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-30" yWindow="135" windowWidth="19050" windowHeight="7290" tabRatio="831" firstSheet="1" activeTab="1"/>
  </bookViews>
  <sheets>
    <sheet name="MW-Cache" sheetId="27" state="veryHidden" r:id="rId1"/>
    <sheet name="ImportantDisclosures" sheetId="91" r:id="rId2"/>
    <sheet name="IS" sheetId="19" r:id="rId3"/>
    <sheet name="RevBuild" sheetId="18" r:id="rId4"/>
    <sheet name="BS" sheetId="16" r:id="rId5"/>
    <sheet name="CFS" sheetId="17" r:id="rId6"/>
    <sheet name="Debt" sheetId="48" r:id="rId7"/>
    <sheet name="End_Mkts" sheetId="77" r:id="rId8"/>
    <sheet name="IndexInformation" sheetId="92" r:id="rId9"/>
    <sheet name="ModPubIndex" sheetId="93" r:id="rId10"/>
    <sheet name="__FDSCACHE__" sheetId="24" state="veryHidden" r:id="rId11"/>
  </sheets>
  <externalReferences>
    <externalReference r:id="rId12"/>
    <externalReference r:id="rId13"/>
    <externalReference r:id="rId14"/>
    <externalReference r:id="rId15"/>
  </externalReferences>
  <definedNames>
    <definedName name="__FDS_HYPERLINK_TOGGLE_STATE__" hidden="1">"ON"</definedName>
    <definedName name="__FDS_UNIQUE_RANGE_ID_GENERATOR_COUNTER">73</definedName>
    <definedName name="AdditionalInstructions">IndexInformation!$B$42</definedName>
    <definedName name="Address" localSheetId="1">ImportantDisclosures!$A$2:$A$2</definedName>
    <definedName name="adfa" hidden="1">{#N/A,#N/A,FALSE,"UCSD"}</definedName>
    <definedName name="adsf" hidden="1">{#N/A,#N/A,FALSE,"Year To Date"}</definedName>
    <definedName name="ANA" localSheetId="9">ModPubIndex!$A$7</definedName>
    <definedName name="Authors" localSheetId="1">ImportantDisclosures!$A$7</definedName>
    <definedName name="Authors" localSheetId="8">IndexInformation!$B$18</definedName>
    <definedName name="BRO" localSheetId="9">ModPubIndex!$A$1</definedName>
    <definedName name="CashFlowCapitalExpenditureCellular">0</definedName>
    <definedName name="CashFlowCapitalExpenditureOther">0</definedName>
    <definedName name="CashFlowCapitalExpenditurePaging">0</definedName>
    <definedName name="CashFlowCapitalExpenditureTelephone">0</definedName>
    <definedName name="CashFlowCapitalExpenditureWireless">0</definedName>
    <definedName name="CashFlowDividendPaidPreferredStock">0</definedName>
    <definedName name="CopyrightStamp">ImportantDisclosures!$A$27</definedName>
    <definedName name="COU" localSheetId="9">ModPubIndex!$A$5</definedName>
    <definedName name="CQEnd" localSheetId="8">IndexInformation!$B$31</definedName>
    <definedName name="Currency" localSheetId="8">IndexInformation!$B$24</definedName>
    <definedName name="CurrentStockPrice" localSheetId="8">IndexInformation!$B$23</definedName>
    <definedName name="CurrQtrEPS" localSheetId="8">IndexInformation!$B$29</definedName>
    <definedName name="CurrYearEPS" localSheetId="8">IndexInformation!$B$11</definedName>
    <definedName name="CurrYearTotalRevenue" localSheetId="8">IndexInformation!$B$10</definedName>
    <definedName name="CurrYearTotalRevenueActual" localSheetId="8">IndexInformation!$B$32</definedName>
    <definedName name="CUSIP" localSheetId="8">IndexInformation!$B$20</definedName>
    <definedName name="CYEnd" localSheetId="8">IndexInformation!$B$30</definedName>
    <definedName name="Date" localSheetId="1">ImportantDisclosures!$A$8</definedName>
    <definedName name="Deleted" localSheetId="8">IndexInformation!$B$27</definedName>
    <definedName name="Description" localSheetId="8">IndexInformation!$B$7</definedName>
    <definedName name="Discipline" localSheetId="8">IndexInformation!$B$3</definedName>
    <definedName name="DISCIPLINE" localSheetId="9">ModPubIndex!$A$12</definedName>
    <definedName name="DisclosuresText">ImportantDisclosures!$A$22</definedName>
    <definedName name="Distribution" localSheetId="8">IndexInformation!$B$26</definedName>
    <definedName name="DistTable" localSheetId="1">ImportantDisclosures!#REF!</definedName>
    <definedName name="DistTablePreamble" localSheetId="1">ImportantDisclosures!#REF!</definedName>
    <definedName name="DOCDAT" localSheetId="9">ModPubIndex!$A$2</definedName>
    <definedName name="DOCTIME" localSheetId="9">ModPubIndex!$A$3</definedName>
    <definedName name="DocType" localSheetId="8">IndexInformation!$B$5</definedName>
    <definedName name="EMAIL_ALERT" localSheetId="9">ModPubIndex!$A$10</definedName>
    <definedName name="EmailAlert" localSheetId="8">IndexInformation!$B$28</definedName>
    <definedName name="EquityAdjustments">0</definedName>
    <definedName name="EquityEmployeeStockOwnershipPlan">0</definedName>
    <definedName name="EquityPaidInCapital">0</definedName>
    <definedName name="EquityTreasuryStock">0</definedName>
    <definedName name="FiveYearGrowthRate" localSheetId="8">IndexInformation!$B$16</definedName>
    <definedName name="FollowingYearEPS" localSheetId="8">IndexInformation!$B$15</definedName>
    <definedName name="FollowingYearTotalRevenue" localSheetId="8">IndexInformation!$B$14</definedName>
    <definedName name="FollowingYearTotalRevenueActual" localSheetId="8">IndexInformation!$B$34</definedName>
    <definedName name="HL" localSheetId="9">ModPubIndex!$A$8</definedName>
    <definedName name="IncomeEPSFullyDiluted">0</definedName>
    <definedName name="IncomeEPSPrimary">0</definedName>
    <definedName name="IncomeEPSRegular">0</definedName>
    <definedName name="IND" localSheetId="9">ModPubIndex!$A$9</definedName>
    <definedName name="Industry" localSheetId="1">ImportantDisclosures!$A$12</definedName>
    <definedName name="IndustryId">IndexInformation!$B$40</definedName>
    <definedName name="IndustryRating" localSheetId="1">ImportantDisclosures!$A$13</definedName>
    <definedName name="KeepVersions" localSheetId="8">IndexInformation!$B$8</definedName>
    <definedName name="LanguageCode">IndexInformation!$B$38</definedName>
    <definedName name="LastCell" localSheetId="1">ImportantDisclosures!$A$22</definedName>
    <definedName name="LiabilitiesCurrentAccruedLiabilities">0</definedName>
    <definedName name="LiabilitiesCurrentNotesPayable">0</definedName>
    <definedName name="LiabilitiesDeferredIncomeTaxes">0</definedName>
    <definedName name="LiabilitiesOther">0</definedName>
    <definedName name="LiabilitiesUnamortizedInvestmentTaxCredits">0</definedName>
    <definedName name="Linking_1" localSheetId="7">End_Mkts!$A$6:$BO$234</definedName>
    <definedName name="Linking_1">RevBuild!$A$6:$BO$207</definedName>
    <definedName name="Linking_15">RevBuild!$CX$46:$DR$59</definedName>
    <definedName name="Linking_18">RevBuild!$CX$310:$DN$314</definedName>
    <definedName name="Linking_20">IS!$A$4:$BU$67</definedName>
    <definedName name="Linking_21">RevBuild!$A$3:$BU$224</definedName>
    <definedName name="Linking_22">RevBuild!$CX$46:$DV$59</definedName>
    <definedName name="Linking_31">IS!$A$4:$CG$67</definedName>
    <definedName name="Linking_32">RevBuild!$A$3:$CG$225</definedName>
    <definedName name="Linking_36">RevBuild!$CX$47:$DZ$62</definedName>
    <definedName name="Linking_37">RevBuild!$CX$46:$DZ$62</definedName>
    <definedName name="Linking_47">RevBuild!$ED$8</definedName>
    <definedName name="Linking_49">RevBuild!$CX$310:$DP$314</definedName>
    <definedName name="Linking_51">IS!$A$7:$CS$67</definedName>
    <definedName name="Linking_52">RevBuild!$A$6:$CS$225</definedName>
    <definedName name="Linking_6">#N/A</definedName>
    <definedName name="Linking_7">#N/A</definedName>
    <definedName name="Linking_Range_10">IS!$A$7:$BC$58</definedName>
    <definedName name="Linking_Range_100" localSheetId="7">End_Mkts!$A$234:$A$243</definedName>
    <definedName name="Linking_Range_100">RevBuild!$A$207:$A$223</definedName>
    <definedName name="Linking_Range_101">BS!$A$7:$BI$41</definedName>
    <definedName name="Linking_Range_102">CFS!$A$7:$BI$49</definedName>
    <definedName name="Linking_Range_104">IS!$A$7:$BU$43</definedName>
    <definedName name="Linking_Range_106">RevBuild!$CX$45:$DN$59</definedName>
    <definedName name="Linking_Range_107">IS!$A$7:$BO$43</definedName>
    <definedName name="Linking_Range_109">BS!$A$7:$BO$70</definedName>
    <definedName name="Linking_Range_11">BS!$A$8:$BC$58</definedName>
    <definedName name="Linking_Range_110">CFS!$A$7:$BO$57</definedName>
    <definedName name="Linking_Range_111" localSheetId="7">End_Mkts!$A$6:$BU$203</definedName>
    <definedName name="Linking_Range_111">RevBuild!$A$6:$BU$172</definedName>
    <definedName name="Linking_Range_112" localSheetId="7">End_Mkts!$A$204:$BU$252</definedName>
    <definedName name="Linking_Range_112">RevBuild!$A$173:$BU$232</definedName>
    <definedName name="Linking_Range_113" localSheetId="7">End_Mkts!$A$204:$BO$252</definedName>
    <definedName name="Linking_Range_113">RevBuild!$A$173:$BO$232</definedName>
    <definedName name="Linking_Range_115" localSheetId="7">End_Mkts!$A$6:$BU$200</definedName>
    <definedName name="Linking_Range_115">RevBuild!$A$6:$BU$169</definedName>
    <definedName name="Linking_Range_116">BS!$A$7:$BO$76</definedName>
    <definedName name="Linking_Range_117" localSheetId="7">End_Mkts!$A$6:$BO$200</definedName>
    <definedName name="Linking_Range_117">RevBuild!$A$6:$BO$169</definedName>
    <definedName name="Linking_Range_118">RevBuild!$CX$45:$DR$59</definedName>
    <definedName name="Linking_Range_119">RevBuild!$A$6:$BO$171</definedName>
    <definedName name="Linking_Range_120">RevBuild!$CX$47:$DV$62</definedName>
    <definedName name="Linking_Range_121">RevBuild!$CX$46:$DV$62</definedName>
    <definedName name="Linking_Range_122">BS!$A$7:$BU$76</definedName>
    <definedName name="Linking_Range_13">BS!$A$8:$BC$41</definedName>
    <definedName name="Linking_Range_14">CFS!$A$8:$BC$49</definedName>
    <definedName name="Linking_Range_22">IS!$A$7:$AQ$44</definedName>
    <definedName name="Linking_Range_23">BS!$A$8:$AQ$41</definedName>
    <definedName name="Linking_Range_24">CFS!$S$8:$AQ$57</definedName>
    <definedName name="Linking_Range_25">CFS!$A$8:$AQ$57</definedName>
    <definedName name="Linking_Range_26" localSheetId="7">End_Mkts!$A$5:$AQ$245</definedName>
    <definedName name="Linking_Range_26">RevBuild!$A$5:$AQ$225</definedName>
    <definedName name="Linking_Range_27">IS!$A$7:$BC$103</definedName>
    <definedName name="Linking_Range_29">CFS!$A$8:$BC$55</definedName>
    <definedName name="Linking_Range_30">[1]BBB!$K$28:$R$62</definedName>
    <definedName name="Linking_Range_32">IS!$A$7:$BO$67</definedName>
    <definedName name="Linking_Range_33" localSheetId="7">End_Mkts!$A$6:$BO$279</definedName>
    <definedName name="Linking_Range_33">RevBuild!$A$6:$BO$263</definedName>
    <definedName name="Linking_Range_34">BS!$A$7:$BO$41</definedName>
    <definedName name="Linking_Range_35">CFS!$A$7:$BO$49</definedName>
    <definedName name="Linking_Range_37" localSheetId="7">End_Mkts!$A$6:$BO$252</definedName>
    <definedName name="Linking_Range_37">RevBuild!$A$6:$BO$232</definedName>
    <definedName name="Linking_Range_38" localSheetId="7">End_Mkts!$A$6:$BC$245</definedName>
    <definedName name="Linking_Range_38">RevBuild!$A$6:$BC$225</definedName>
    <definedName name="Linking_Range_39">BS!$A$7:$BC$41</definedName>
    <definedName name="Linking_Range_4">IS!$A$7:$BC$67</definedName>
    <definedName name="Linking_Range_40">CFS!$A$7:$BC$49</definedName>
    <definedName name="Linking_Range_42">IS!$A$7:$AW$58</definedName>
    <definedName name="Linking_Range_43">IS!$A$7:$AW$67</definedName>
    <definedName name="Linking_Range_44">BS!$A$7:$AW$47</definedName>
    <definedName name="Linking_Range_45">CFS!$A$7:$AW$49</definedName>
    <definedName name="Linking_Range_46" localSheetId="7">End_Mkts!$A$6:$AW$245</definedName>
    <definedName name="Linking_Range_46">RevBuild!$A$6:$AW$225</definedName>
    <definedName name="Linking_Range_47" localSheetId="7">End_Mkts!$A$6:$BO$245</definedName>
    <definedName name="Linking_Range_47">RevBuild!$A$6:$BO$225</definedName>
    <definedName name="Linking_Range_49">BS!$A$7:$AW$41</definedName>
    <definedName name="Linking_Range_5">BS!$A$8:$BC$64</definedName>
    <definedName name="Linking_Range_52">IS!$A$7:$BI$67</definedName>
    <definedName name="Linking_Range_53" localSheetId="7">End_Mkts!$A$6:$BO$7</definedName>
    <definedName name="Linking_Range_53">RevBuild!$A$6:$BO$16</definedName>
    <definedName name="Linking_Range_54" localSheetId="7">End_Mkts!$A$174:$BO$232</definedName>
    <definedName name="Linking_Range_54">RevBuild!$A$42:$BO$205</definedName>
    <definedName name="Linking_Range_56">BS!$A$7:$BO$47</definedName>
    <definedName name="Linking_Range_6">CFS!$A$8:$BC$57</definedName>
    <definedName name="Linking_Range_66">[1]BBB!$K$36:$R$62</definedName>
    <definedName name="Linking_Range_67">IS!$A$7:$BU$67</definedName>
    <definedName name="Linking_Range_68" localSheetId="7">End_Mkts!$A$6:$BU$245</definedName>
    <definedName name="Linking_Range_68">RevBuild!$A$6:$BU$225</definedName>
    <definedName name="Linking_Range_69">BS!$A$7:$BU$47</definedName>
    <definedName name="Linking_Range_7" localSheetId="7">End_Mkts!$A$5:$BC$245</definedName>
    <definedName name="Linking_Range_7">RevBuild!$A$5:$BC$225</definedName>
    <definedName name="Linking_Range_70">CFS!$A$7:$BU$49</definedName>
    <definedName name="Linking_Range_72">BS!$A$7:$BU$41</definedName>
    <definedName name="Linking_Range_78" localSheetId="7">End_Mkts!$A$6:$BU$232</definedName>
    <definedName name="Linking_Range_78">RevBuild!$A$6:$BU$205</definedName>
    <definedName name="Linking_Range_8">IS!$A$7:$BC$43</definedName>
    <definedName name="Linking_Range_85">IS!$A$4:$BI$42</definedName>
    <definedName name="Linking_Range_86">BS!$A$4:$BI$41</definedName>
    <definedName name="Linking_Range_87">CFS!$A$4:$BI$49</definedName>
    <definedName name="Linking_Range_9">IS!$A$7:$BC$44</definedName>
    <definedName name="Linking_Range_90">IS!$A$4:$BI$67</definedName>
    <definedName name="Linking_Range_91" localSheetId="7">End_Mkts!$A$3:$BI$245</definedName>
    <definedName name="Linking_Range_91">RevBuild!$A$3:$BI$225</definedName>
    <definedName name="Linking_Range_96" localSheetId="7">End_Mkts!$A$6:$BI$245</definedName>
    <definedName name="Linking_Range_96">RevBuild!$A$6:$BI$225</definedName>
    <definedName name="Linking_Range_99">IS!$A$7:$BI$43</definedName>
    <definedName name="MacroVersion" localSheetId="8">IndexInformation!$B$1</definedName>
    <definedName name="ModelPrice" localSheetId="1">ImportantDisclosures!$A$14</definedName>
    <definedName name="monthly" hidden="1">{"P450 Monthly Variance",#N/A,FALSE,"NIH P450"}</definedName>
    <definedName name="Multiplier" localSheetId="8">IndexInformation!$B$35</definedName>
    <definedName name="NextYearEPS" localSheetId="8">IndexInformation!$B$13</definedName>
    <definedName name="NextYearTotalRevenue" localSheetId="8">IndexInformation!$B$12</definedName>
    <definedName name="NextYearTotalRevenueActual" localSheetId="8">IndexInformation!$B$33</definedName>
    <definedName name="Normalized_Income_Statement">"IS_Annual"</definedName>
    <definedName name="ObjectType">IndexInformation!$B$37</definedName>
    <definedName name="oncogene" hidden="1">{#N/A,#N/A,FALSE,"Oncogene"}</definedName>
    <definedName name="OpExAmortization">0</definedName>
    <definedName name="OpExBeforeDepreciationAmortizationExtraordinariesOther">0</definedName>
    <definedName name="OpExBeforeDepreciationAmortizationExtraordinariesTotal">0</definedName>
    <definedName name="OpExCostOfEquipment">0</definedName>
    <definedName name="OpExDepreciation">0</definedName>
    <definedName name="OpExGeneralAdministrative">0</definedName>
    <definedName name="OpExSellingMarketing">0</definedName>
    <definedName name="OpExTotal">0</definedName>
    <definedName name="OtherExEquityIncome">0</definedName>
    <definedName name="OtherExGainOnSale">0</definedName>
    <definedName name="OtherExInterestIncome">0</definedName>
    <definedName name="OtherExMinorityInterest">0</definedName>
    <definedName name="OtherExTotal">0</definedName>
    <definedName name="Page_3">'[2]Op Trnd Charts'!$A$1:$R$45</definedName>
    <definedName name="Page_4">'[2]Op Trnd Charts'!$A$46:$R$90</definedName>
    <definedName name="Page_5">'[2]Op Trnd Charts'!$A$91:$R$135</definedName>
    <definedName name="Page_6">'[2]Op Trnd Charts'!$A$136:$R$180</definedName>
    <definedName name="Page_7">'[2]Op Trnd Charts'!$A$225:$R$269</definedName>
    <definedName name="Page_8">'[2]Op Trnd Charts'!$A$181:$R$224</definedName>
    <definedName name="PANA" localSheetId="9">ModPubIndex!$A$11</definedName>
    <definedName name="PathName" localSheetId="8">IndexInformation!$B$25</definedName>
    <definedName name="_xlnm.Print_Area" localSheetId="2">IS!$A$1:$CT$124</definedName>
    <definedName name="_xlnm.Print_Area" localSheetId="3">RevBuild!$A$1:$CT$306</definedName>
    <definedName name="PRODUCT" localSheetId="9">ModPubIndex!$A$6</definedName>
    <definedName name="ProjectName" localSheetId="6">{"Client Name or Project Name"}</definedName>
    <definedName name="ProjectName">{"Client Name or Project Name"}</definedName>
    <definedName name="PSYM" localSheetId="9">ModPubIndex!$A$4</definedName>
    <definedName name="PublishDate" localSheetId="8">IndexInformation!$B$2</definedName>
    <definedName name="Rating" localSheetId="8">IndexInformation!$B$9</definedName>
    <definedName name="RatingsDefined" localSheetId="1">ImportantDisclosures!$A$21</definedName>
    <definedName name="RatingsDefs" localSheetId="1">ImportantDisclosures!#REF!</definedName>
    <definedName name="RegACDisclosure" localSheetId="1">ImportantDisclosures!#REF!</definedName>
    <definedName name="Regiona" hidden="1">{#N/A,#N/A,FALSE,"Year To Date"}</definedName>
    <definedName name="reports" hidden="1">{"ATP Spending Report",#N/A,FALSE,"ATP";"Gestec spd rpt",#N/A,FALSE,"Gestec";"UCSD spending RPT",#N/A,FALSE,"UCSD";"Sapolsky Spending Rpt",#N/A,FALSE,"Sapolsky";"Oncogene Spnding Rpt",#N/A,FALSE,"Oncogene Ph. 2";"P450 spd rpt",#N/A,FALSE,"NIH P450";"hiv 2 SPD RPT",#N/A,FALSE,"HIV Phase 2";"Mito Spd Rpt",#N/A,FALSE,"Mitochondrial";"ORD Spd Rpt",#N/A,FALSE,"ORD"}</definedName>
    <definedName name="ResearchTopic" localSheetId="8">IndexInformation!$B$4</definedName>
    <definedName name="reve" hidden="1">{"Tracking Revenue",#N/A,FALSE,"(NU)Tracking Summary"}</definedName>
    <definedName name="RevenuesCellularEquipment">0</definedName>
    <definedName name="RevenuesCellularOther">0</definedName>
    <definedName name="RevenuesCellularService">0</definedName>
    <definedName name="RevenuesCellularTotal">0</definedName>
    <definedName name="RevenuesPagingEquipment">0</definedName>
    <definedName name="RevenuesPagingOther">0</definedName>
    <definedName name="RevenuesPagingService">0</definedName>
    <definedName name="RevenuesPagingTotal">0</definedName>
    <definedName name="RevenuesWirelessEquipment">0</definedName>
    <definedName name="RevenuesWirelessOther">0</definedName>
    <definedName name="RevenuesWirelessService">0</definedName>
    <definedName name="RIC" localSheetId="8">IndexInformation!$B$21</definedName>
    <definedName name="SECSettlement" localSheetId="1">ImportantDisclosures!#REF!</definedName>
    <definedName name="SEDOL" localSheetId="8">IndexInformation!$B$22</definedName>
    <definedName name="SharesConvertibleSecurities">0</definedName>
    <definedName name="SharesFullyDiluted">0</definedName>
    <definedName name="SharesOptions">0</definedName>
    <definedName name="SharesOutstandingLatestDate">0</definedName>
    <definedName name="SharesOutstandingOther">0</definedName>
    <definedName name="SharesOutstandingSenior">0</definedName>
    <definedName name="SharesOutstandingSubordinate">0</definedName>
    <definedName name="SharesPrimary">0</definedName>
    <definedName name="SharesWarrants">0</definedName>
    <definedName name="SourceDefined" localSheetId="1">ImportantDisclosures!$A$19</definedName>
    <definedName name="spending" hidden="1">{"P450 spd rpt",#N/A,FALSE,"NIH P450"}</definedName>
    <definedName name="StatsAccessLinesDomesticInternationalTotalAverage">0</definedName>
    <definedName name="StatsAccessLinesTotalAverage">0</definedName>
    <definedName name="StatsAverageMonthlyRevenue">0</definedName>
    <definedName name="StatsEmployeesConsolidatedInternational">0</definedName>
    <definedName name="StatsEmployeesTelephoneInternational">0</definedName>
    <definedName name="StatsPagingAverageMonthlyRevenue">0</definedName>
    <definedName name="StatsPagingSubscribers">0</definedName>
    <definedName name="StatsPenetration">0</definedName>
    <definedName name="StatsPOPS">0</definedName>
    <definedName name="StatsProportionatePenetration">0</definedName>
    <definedName name="StatsProportionatePOPS">0</definedName>
    <definedName name="StatsProportionateSubscribersAverage">0</definedName>
    <definedName name="StatsProportionateSubscribersBeginning">0</definedName>
    <definedName name="StatsProportionateSubscribersEnding">0</definedName>
    <definedName name="StatsProportionateSubscribersNetAdds">0</definedName>
    <definedName name="StatsSubscribersAverage">0</definedName>
    <definedName name="StatsSubscribersBeginning">0</definedName>
    <definedName name="StatsSubscribersEnding">0</definedName>
    <definedName name="StatsSubscribersNetAdds">0</definedName>
    <definedName name="StockRating" localSheetId="1">ImportantDisclosures!$A$11</definedName>
    <definedName name="SubjectCode" localSheetId="8">IndexInformation!$B$6</definedName>
    <definedName name="SubmitterUserId">IndexInformation!$B$39</definedName>
    <definedName name="SUPPRESSED" localSheetId="9">ModPubIndex!$A$13</definedName>
    <definedName name="TABLE">[3]ACTIVITY_TABLE!$B$1:$G$3143</definedName>
    <definedName name="TargetPrice" localSheetId="1">ImportantDisclosures!$A$15</definedName>
    <definedName name="TemplateRegion">IndexInformation!$B$36</definedName>
    <definedName name="Ticker" localSheetId="1">ImportantDisclosures!$A$10</definedName>
    <definedName name="TickerRegion">IndexInformation!$B$41</definedName>
    <definedName name="Tickers" localSheetId="8">IndexInformation!$B$19</definedName>
    <definedName name="tracking" hidden="1">{"sapolskytracking",#N/A,FALSE,"Sapolsky"}</definedName>
    <definedName name="UpdateReason" localSheetId="8">IndexInformation!$B$17</definedName>
    <definedName name="USRegDisclosures" localSheetId="1">ImportantDisclosures!#REF!</definedName>
    <definedName name="ValuationAdjustmentsOther">0</definedName>
    <definedName name="ValuationAdjustmentsValue">0</definedName>
    <definedName name="ValuationCellularValue">0</definedName>
    <definedName name="ValuationDebtAdjustment">0</definedName>
    <definedName name="ValuationDebtNet">0</definedName>
    <definedName name="ValuationDebtTotal">0</definedName>
    <definedName name="ValuationFirmValue">0</definedName>
    <definedName name="ValuationInvestments">0</definedName>
    <definedName name="ValuationMarketCapitalization">0</definedName>
    <definedName name="ValuationOtherValue">0</definedName>
    <definedName name="ValuationPagingValue">0</definedName>
    <definedName name="ValuationTelephoneValue">0</definedName>
    <definedName name="ValuationWirelessValue">0</definedName>
    <definedName name="wrn.ATP._.Actuals._.Report." hidden="1">{#N/A,#N/A,FALSE,"ATP";#N/A,#N/A,FALSE,"ATP";#N/A,#N/A,FALSE,"ATP"}</definedName>
    <definedName name="wrn.ATP._.Tracking._.Report." hidden="1">{"atptracking",#N/A,FALSE,"ATP"}</definedName>
    <definedName name="wrn.Chip._.Model." hidden="1">{"Units",#N/A,FALSE,"Units";"Price",#N/A,FALSE,"Price";#N/A,#N/A,FALSE,"Revenue"}</definedName>
    <definedName name="wrn.Cumulative._.Tracking._.Summary." hidden="1">{#N/A,#N/A,FALSE,"Tracking Summary"}</definedName>
    <definedName name="wrn.Oncogene._.Tracking._.Report." hidden="1">{#N/A,#N/A,FALSE,"Oncogene"}</definedName>
    <definedName name="wrn.p._.450._.spending._.rpt." hidden="1">{"P450 spd rpt",#N/A,FALSE,"NIH P450"}</definedName>
    <definedName name="wrn.P450._.Monthly._.Variance." hidden="1">{"P450 Monthly Variance",#N/A,FALSE,"NIH P450"}</definedName>
    <definedName name="wrn.RevenueTracking._.Summary." hidden="1">{"Tracking Revenue",#N/A,FALSE,"(NU)Tracking Summary"}</definedName>
    <definedName name="wrn.Sapolsky._.Tracking._.Report." hidden="1">{"sapolskytracking",#N/A,FALSE,"Sapolsky"}</definedName>
    <definedName name="wrn.Spending._.Reports." hidden="1">{"ATP Spending Report",#N/A,FALSE,"ATP";"Gestec spd rpt",#N/A,FALSE,"Gestec";"UCSD spending RPT",#N/A,FALSE,"UCSD";"Sapolsky Spending Rpt",#N/A,FALSE,"Sapolsky";"Oncogene Spnding Rpt",#N/A,FALSE,"Oncogene Ph. 2";"P450 spd rpt",#N/A,FALSE,"NIH P450";"hiv 2 SPD RPT",#N/A,FALSE,"HIV Phase 2";"Mito Spd Rpt",#N/A,FALSE,"Mitochondrial";"ORD Spd Rpt",#N/A,FALSE,"ORD"}</definedName>
    <definedName name="wrn.UCSD._.Tracking._.Report." hidden="1">{#N/A,#N/A,FALSE,"UCSD"}</definedName>
    <definedName name="wrn.Year._.to._.Date._.Summary." hidden="1">{#N/A,#N/A,FALSE,"Year To Date"}</definedName>
    <definedName name="x" hidden="1">{"Units",#N/A,FALSE,"Units";"Price",#N/A,FALSE,"Price";#N/A,#N/A,FALSE,"Revenue"}</definedName>
  </definedNames>
  <calcPr calcId="145621"/>
</workbook>
</file>

<file path=xl/calcChain.xml><?xml version="1.0" encoding="utf-8"?>
<calcChain xmlns="http://schemas.openxmlformats.org/spreadsheetml/2006/main">
  <c r="BR210" i="18" l="1"/>
  <c r="BS210" i="18" s="1"/>
  <c r="BX210" i="18"/>
  <c r="BY210" i="18" s="1"/>
  <c r="BZ210" i="18" s="1"/>
  <c r="CC210" i="18" s="1"/>
  <c r="CD210" i="18" s="1"/>
  <c r="CE210" i="18" s="1"/>
  <c r="CF210" i="18" s="1"/>
  <c r="CI210" i="18" s="1"/>
  <c r="CJ210" i="18" s="1"/>
  <c r="CK210" i="18" s="1"/>
  <c r="CL210" i="18" s="1"/>
  <c r="CO210" i="18" s="1"/>
  <c r="CP210" i="18" s="1"/>
  <c r="CQ210" i="18" s="1"/>
  <c r="CR210" i="18" s="1"/>
  <c r="BQ217" i="18"/>
  <c r="BR217" i="18" s="1"/>
  <c r="BS217" i="18" s="1"/>
  <c r="BT217" i="18" s="1"/>
  <c r="BW217" i="18"/>
  <c r="BX217" i="18" s="1"/>
  <c r="BY217" i="18" s="1"/>
  <c r="BZ217" i="18" s="1"/>
  <c r="CC217" i="18"/>
  <c r="CD217" i="18" s="1"/>
  <c r="CE217" i="18" s="1"/>
  <c r="CF217" i="18" s="1"/>
  <c r="CI217" i="18"/>
  <c r="CJ217" i="18" s="1"/>
  <c r="CK217" i="18" s="1"/>
  <c r="CL217" i="18" s="1"/>
  <c r="CO217" i="18"/>
  <c r="CP217" i="18" s="1"/>
  <c r="CQ217" i="18" s="1"/>
  <c r="CR217" i="18" s="1"/>
  <c r="BT210" i="18" l="1"/>
  <c r="BR200" i="18"/>
  <c r="BS200" i="18" s="1"/>
  <c r="BN194" i="18"/>
  <c r="BN195" i="18" s="1"/>
  <c r="BN196" i="18" s="1"/>
  <c r="CC215" i="18"/>
  <c r="CI215" i="18" s="1"/>
  <c r="CO215" i="18" s="1"/>
  <c r="CP215" i="18" s="1"/>
  <c r="CQ215" i="18" s="1"/>
  <c r="CR215" i="18" s="1"/>
  <c r="BQ197" i="18"/>
  <c r="BR197" i="18" s="1"/>
  <c r="BS197" i="18" s="1"/>
  <c r="BT197" i="18" s="1"/>
  <c r="BW197" i="18" s="1"/>
  <c r="BX197" i="18" s="1"/>
  <c r="BY197" i="18" s="1"/>
  <c r="BZ197" i="18" s="1"/>
  <c r="CC197" i="18" s="1"/>
  <c r="CD197" i="18" s="1"/>
  <c r="CE197" i="18" s="1"/>
  <c r="CF197" i="18" s="1"/>
  <c r="CI197" i="18" s="1"/>
  <c r="CJ197" i="18" s="1"/>
  <c r="CK197" i="18" s="1"/>
  <c r="CL197" i="18" s="1"/>
  <c r="CO197" i="18" s="1"/>
  <c r="CP197" i="18" s="1"/>
  <c r="CQ197" i="18" s="1"/>
  <c r="CR197" i="18" s="1"/>
  <c r="BS49" i="18"/>
  <c r="BT49" i="18" s="1"/>
  <c r="BW200" i="18"/>
  <c r="BQ305" i="18"/>
  <c r="BQ304" i="18"/>
  <c r="BQ303" i="18"/>
  <c r="BQ302" i="18"/>
  <c r="CJ215" i="18" l="1"/>
  <c r="CK215" i="18" s="1"/>
  <c r="CL215" i="18" s="1"/>
  <c r="BQ215" i="18"/>
  <c r="BQ212" i="18"/>
  <c r="BQ32" i="18"/>
  <c r="BQ15" i="18"/>
  <c r="BQ16" i="18" s="1"/>
  <c r="BQ14" i="18"/>
  <c r="BQ13" i="18" s="1"/>
  <c r="BQ28" i="19"/>
  <c r="BQ29" i="19"/>
  <c r="BQ114" i="19"/>
  <c r="BQ100" i="19"/>
  <c r="BQ31" i="19"/>
  <c r="BQ102" i="19"/>
  <c r="BQ101" i="19"/>
  <c r="BQ99" i="19"/>
  <c r="BQ92" i="19"/>
  <c r="BQ96" i="19" s="1"/>
  <c r="BQ88" i="19"/>
  <c r="BQ91" i="19" s="1"/>
  <c r="BQ78" i="19"/>
  <c r="BQ77" i="19"/>
  <c r="BQ76" i="19"/>
  <c r="BQ75" i="19"/>
  <c r="BQ73" i="19"/>
  <c r="BQ63" i="19"/>
  <c r="BQ62" i="19"/>
  <c r="BQ25" i="19"/>
  <c r="BQ18" i="19"/>
  <c r="BQ17" i="19"/>
  <c r="BQ13" i="19"/>
  <c r="BQ49" i="19"/>
  <c r="BQ22" i="19"/>
  <c r="BQ23" i="19" s="1"/>
  <c r="BQ21" i="19"/>
  <c r="BQ9" i="19"/>
  <c r="BQ139" i="19" l="1"/>
  <c r="BQ79" i="19"/>
  <c r="BQ53" i="19"/>
  <c r="BQ140" i="19"/>
  <c r="BQ52" i="19"/>
  <c r="BQ19" i="19"/>
  <c r="BQ12" i="19"/>
  <c r="BQ16" i="19" l="1"/>
  <c r="BQ46" i="19"/>
  <c r="BQ20" i="19"/>
  <c r="BQ50" i="19"/>
  <c r="BQ84" i="19" l="1"/>
  <c r="BQ87" i="19" s="1"/>
  <c r="BQ97" i="19"/>
  <c r="BQ103" i="19" s="1"/>
  <c r="BQ54" i="19"/>
  <c r="BQ27" i="19"/>
  <c r="BQ24" i="19"/>
  <c r="BQ30" i="19" l="1"/>
  <c r="BQ57" i="19"/>
  <c r="BQ105" i="19" l="1"/>
  <c r="BQ117" i="19" s="1"/>
  <c r="BQ58" i="19"/>
  <c r="BQ32" i="19"/>
  <c r="BQ34" i="19" s="1"/>
  <c r="BQ33" i="19"/>
  <c r="BT135" i="18" l="1"/>
  <c r="BS135" i="18"/>
  <c r="BR135" i="18"/>
  <c r="BN198" i="18" l="1"/>
  <c r="BQ198" i="18" s="1"/>
  <c r="BR198" i="18" s="1"/>
  <c r="BS198" i="18" s="1"/>
  <c r="BT198" i="18" s="1"/>
  <c r="BW198" i="18" s="1"/>
  <c r="BX198" i="18" s="1"/>
  <c r="BY198" i="18" s="1"/>
  <c r="BZ198" i="18" s="1"/>
  <c r="CP133" i="18" l="1"/>
  <c r="CJ133" i="18"/>
  <c r="CD133" i="18"/>
  <c r="CE133" i="18" l="1"/>
  <c r="CF133" i="18" s="1"/>
  <c r="CQ133" i="18"/>
  <c r="CR133" i="18" s="1"/>
  <c r="CK133" i="18"/>
  <c r="CL133" i="18" s="1"/>
  <c r="CS133" i="18" l="1"/>
  <c r="CM133" i="18"/>
  <c r="CG133" i="18"/>
  <c r="BX133" i="18" l="1"/>
  <c r="BY133" i="18" s="1"/>
  <c r="CP129" i="18"/>
  <c r="CJ129" i="18"/>
  <c r="CK129" i="18" s="1"/>
  <c r="CD129" i="18"/>
  <c r="CL129" i="18" l="1"/>
  <c r="CM129" i="18" s="1"/>
  <c r="CE129" i="18"/>
  <c r="CF129" i="18" s="1"/>
  <c r="CQ129" i="18"/>
  <c r="CR129" i="18" s="1"/>
  <c r="CS129" i="18" l="1"/>
  <c r="CG129" i="18"/>
  <c r="BZ49" i="19" l="1"/>
  <c r="CF49" i="19" s="1"/>
  <c r="CL49" i="19" s="1"/>
  <c r="CR49" i="19" s="1"/>
  <c r="BY49" i="19"/>
  <c r="CE49" i="19" s="1"/>
  <c r="CK49" i="19" s="1"/>
  <c r="CQ49" i="19" s="1"/>
  <c r="BX49" i="19"/>
  <c r="CD49" i="19" s="1"/>
  <c r="CJ49" i="19" s="1"/>
  <c r="CP49" i="19" s="1"/>
  <c r="BW49" i="19"/>
  <c r="CC49" i="19" s="1"/>
  <c r="CI49" i="19" s="1"/>
  <c r="CO49" i="19" s="1"/>
  <c r="CS49" i="19" l="1"/>
  <c r="CM49" i="19"/>
  <c r="CP62" i="48" l="1"/>
  <c r="CQ62" i="48" s="1"/>
  <c r="CR62" i="48" s="1"/>
  <c r="CK62" i="48"/>
  <c r="CL62" i="48" s="1"/>
  <c r="CE62" i="48"/>
  <c r="CF62" i="48" s="1"/>
  <c r="CS49" i="48"/>
  <c r="CM49" i="48"/>
  <c r="CG49" i="48"/>
  <c r="CS48" i="48"/>
  <c r="CM48" i="48"/>
  <c r="CG48" i="48"/>
  <c r="CS47" i="48"/>
  <c r="CM47" i="48"/>
  <c r="CG47" i="48"/>
  <c r="CS46" i="48"/>
  <c r="CM46" i="48"/>
  <c r="CG46" i="48"/>
  <c r="CS41" i="48"/>
  <c r="CM41" i="48"/>
  <c r="CG41" i="48"/>
  <c r="CS40" i="48"/>
  <c r="CM40" i="48"/>
  <c r="CG40" i="48"/>
  <c r="CS38" i="48"/>
  <c r="CM38" i="48"/>
  <c r="CG38" i="48"/>
  <c r="CS36" i="48"/>
  <c r="CM36" i="48"/>
  <c r="CG36" i="48"/>
  <c r="CS35" i="48"/>
  <c r="CM35" i="48"/>
  <c r="CG35" i="48"/>
  <c r="CS33" i="48"/>
  <c r="CM33" i="48"/>
  <c r="CG33" i="48"/>
  <c r="CS32" i="48"/>
  <c r="CM32" i="48"/>
  <c r="CG32" i="48"/>
  <c r="CS30" i="48"/>
  <c r="CM30" i="48"/>
  <c r="CG30" i="48"/>
  <c r="CS28" i="48"/>
  <c r="CM28" i="48"/>
  <c r="CG28" i="48"/>
  <c r="CS27" i="48"/>
  <c r="CM27" i="48"/>
  <c r="CG27" i="48"/>
  <c r="CS24" i="48"/>
  <c r="CM24" i="48"/>
  <c r="CG24" i="48"/>
  <c r="CS16" i="48"/>
  <c r="CM16" i="48"/>
  <c r="CG16" i="48"/>
  <c r="CS163" i="19"/>
  <c r="CM163" i="19"/>
  <c r="CS162" i="19"/>
  <c r="CM162" i="19"/>
  <c r="CO160" i="19"/>
  <c r="CI160" i="19"/>
  <c r="CO159" i="19"/>
  <c r="CI159" i="19"/>
  <c r="CS151" i="19"/>
  <c r="CM151" i="19"/>
  <c r="CP140" i="19"/>
  <c r="CP160" i="19" s="1"/>
  <c r="CJ140" i="19"/>
  <c r="CJ160" i="19" s="1"/>
  <c r="CP139" i="19"/>
  <c r="CJ139" i="19"/>
  <c r="CJ159" i="19" s="1"/>
  <c r="CS116" i="19"/>
  <c r="CM116" i="19"/>
  <c r="CS115" i="19"/>
  <c r="CM115" i="19"/>
  <c r="CS114" i="19"/>
  <c r="CM114" i="19"/>
  <c r="CS113" i="19"/>
  <c r="CM113" i="19"/>
  <c r="CS111" i="19"/>
  <c r="CM111" i="19"/>
  <c r="CS110" i="19"/>
  <c r="CM110" i="19"/>
  <c r="CS109" i="19"/>
  <c r="CM109" i="19"/>
  <c r="CS107" i="19"/>
  <c r="CM107" i="19"/>
  <c r="CR102" i="19"/>
  <c r="CQ102" i="19"/>
  <c r="CP102" i="19"/>
  <c r="CO102" i="19"/>
  <c r="CL102" i="19"/>
  <c r="CK102" i="19"/>
  <c r="CJ102" i="19"/>
  <c r="CI102" i="19"/>
  <c r="CR101" i="19"/>
  <c r="CQ101" i="19"/>
  <c r="CP101" i="19"/>
  <c r="CO101" i="19"/>
  <c r="CL101" i="19"/>
  <c r="CK101" i="19"/>
  <c r="CJ101" i="19"/>
  <c r="CI101" i="19"/>
  <c r="CR99" i="19"/>
  <c r="CQ99" i="19"/>
  <c r="CP99" i="19"/>
  <c r="CO99" i="19"/>
  <c r="CL99" i="19"/>
  <c r="CK99" i="19"/>
  <c r="CJ99" i="19"/>
  <c r="CI99" i="19"/>
  <c r="CP98" i="19"/>
  <c r="CJ98" i="19"/>
  <c r="CK98" i="19" s="1"/>
  <c r="CL98" i="19" s="1"/>
  <c r="CM98" i="19" s="1"/>
  <c r="CS95" i="19"/>
  <c r="CM95" i="19"/>
  <c r="CS94" i="19"/>
  <c r="CM94" i="19"/>
  <c r="CS93" i="19"/>
  <c r="CM93" i="19"/>
  <c r="CS90" i="19"/>
  <c r="CM90" i="19"/>
  <c r="CS89" i="19"/>
  <c r="CM89" i="19"/>
  <c r="CP85" i="19"/>
  <c r="CJ85" i="19"/>
  <c r="CK85" i="19" s="1"/>
  <c r="CL85" i="19" s="1"/>
  <c r="CM85" i="19" s="1"/>
  <c r="CP81" i="19"/>
  <c r="CJ81" i="19"/>
  <c r="CS40" i="19"/>
  <c r="CM40" i="19"/>
  <c r="CS39" i="19"/>
  <c r="CM39" i="19"/>
  <c r="CS15" i="19"/>
  <c r="CM15" i="19"/>
  <c r="CO77" i="17"/>
  <c r="CI77" i="17"/>
  <c r="CS45" i="17"/>
  <c r="CM45" i="17"/>
  <c r="CP41" i="17"/>
  <c r="CJ41" i="17"/>
  <c r="CK41" i="17" s="1"/>
  <c r="CS40" i="17"/>
  <c r="CM40" i="17"/>
  <c r="CO39" i="17"/>
  <c r="CI39" i="17"/>
  <c r="CS33" i="17"/>
  <c r="CM33" i="17"/>
  <c r="CS30" i="17"/>
  <c r="CM30" i="17"/>
  <c r="CS16" i="17"/>
  <c r="CM16" i="17"/>
  <c r="CP15" i="17"/>
  <c r="CQ15" i="17" s="1"/>
  <c r="CQ39" i="17" s="1"/>
  <c r="CJ15" i="17"/>
  <c r="CS13" i="17"/>
  <c r="CM13" i="17"/>
  <c r="CS170" i="16"/>
  <c r="CR170" i="16"/>
  <c r="CQ170" i="16"/>
  <c r="CP170" i="16"/>
  <c r="CO170" i="16"/>
  <c r="CS122" i="16"/>
  <c r="CR116" i="16"/>
  <c r="CQ116" i="16"/>
  <c r="CP116" i="16"/>
  <c r="CO116" i="16"/>
  <c r="CO114" i="16"/>
  <c r="CP114" i="16" s="1"/>
  <c r="CP12" i="17" s="1"/>
  <c r="CP22" i="19" s="1"/>
  <c r="CS103" i="16"/>
  <c r="CS97" i="16"/>
  <c r="CS87" i="16"/>
  <c r="CP81" i="16"/>
  <c r="CQ81" i="16" s="1"/>
  <c r="CR81" i="16" s="1"/>
  <c r="CM170" i="16"/>
  <c r="CL170" i="16"/>
  <c r="CK170" i="16"/>
  <c r="CJ170" i="16"/>
  <c r="CI170" i="16"/>
  <c r="CM122" i="16"/>
  <c r="CL116" i="16"/>
  <c r="CK116" i="16"/>
  <c r="CJ116" i="16"/>
  <c r="CI116" i="16"/>
  <c r="CI114" i="16"/>
  <c r="CI12" i="17" s="1"/>
  <c r="CI22" i="19" s="1"/>
  <c r="CM103" i="16"/>
  <c r="CM97" i="16"/>
  <c r="CM87" i="16"/>
  <c r="CJ81" i="16"/>
  <c r="CK81" i="16" s="1"/>
  <c r="CL81" i="16" s="1"/>
  <c r="CP83" i="77"/>
  <c r="CQ83" i="77" s="1"/>
  <c r="CR83" i="77" s="1"/>
  <c r="CP54" i="77"/>
  <c r="CQ54" i="77" s="1"/>
  <c r="CR54" i="77" s="1"/>
  <c r="CR51" i="77"/>
  <c r="CQ51" i="77"/>
  <c r="CP51" i="77"/>
  <c r="CR12" i="77"/>
  <c r="CQ12" i="77"/>
  <c r="CP12" i="77"/>
  <c r="CO12" i="77"/>
  <c r="CJ83" i="77"/>
  <c r="CK83" i="77" s="1"/>
  <c r="CL83" i="77" s="1"/>
  <c r="CJ54" i="77"/>
  <c r="CK54" i="77" s="1"/>
  <c r="CL54" i="77" s="1"/>
  <c r="CL51" i="77"/>
  <c r="CK51" i="77"/>
  <c r="CJ51" i="77"/>
  <c r="CL12" i="77"/>
  <c r="CK12" i="77"/>
  <c r="CJ12" i="77"/>
  <c r="CI12" i="77"/>
  <c r="CG29" i="48" l="1"/>
  <c r="CG31" i="48" s="1"/>
  <c r="CG37" i="48"/>
  <c r="CG39" i="48" s="1"/>
  <c r="CM29" i="48"/>
  <c r="CM31" i="48" s="1"/>
  <c r="CS37" i="48"/>
  <c r="CS39" i="48" s="1"/>
  <c r="CO12" i="17"/>
  <c r="CO22" i="19" s="1"/>
  <c r="CS29" i="48"/>
  <c r="CS31" i="48" s="1"/>
  <c r="CM37" i="48"/>
  <c r="CM39" i="48" s="1"/>
  <c r="CJ77" i="17"/>
  <c r="CS99" i="19"/>
  <c r="CK139" i="19"/>
  <c r="CK140" i="19"/>
  <c r="CK160" i="19" s="1"/>
  <c r="CM101" i="19"/>
  <c r="CM102" i="19"/>
  <c r="CM81" i="77"/>
  <c r="CS82" i="77"/>
  <c r="CS81" i="77"/>
  <c r="CQ81" i="19"/>
  <c r="CQ139" i="19"/>
  <c r="CP159" i="19"/>
  <c r="CM99" i="19"/>
  <c r="CQ98" i="19"/>
  <c r="CR98" i="19" s="1"/>
  <c r="CQ140" i="19"/>
  <c r="CQ85" i="19"/>
  <c r="CR85" i="19" s="1"/>
  <c r="CS101" i="19"/>
  <c r="CS102" i="19"/>
  <c r="CK81" i="19"/>
  <c r="CK15" i="17"/>
  <c r="CQ41" i="17"/>
  <c r="CR15" i="17"/>
  <c r="CR39" i="17" s="1"/>
  <c r="CP77" i="17"/>
  <c r="CJ39" i="17"/>
  <c r="CS116" i="16"/>
  <c r="CP39" i="17"/>
  <c r="CL41" i="17"/>
  <c r="CL77" i="17" s="1"/>
  <c r="CK77" i="17"/>
  <c r="CQ114" i="16"/>
  <c r="CQ12" i="17" s="1"/>
  <c r="CQ22" i="19" s="1"/>
  <c r="CM116" i="16"/>
  <c r="CJ114" i="16"/>
  <c r="CJ12" i="17" s="1"/>
  <c r="CJ22" i="19" s="1"/>
  <c r="CS12" i="77"/>
  <c r="CS79" i="77"/>
  <c r="CQ80" i="77"/>
  <c r="CQ78" i="77" s="1"/>
  <c r="CP80" i="77"/>
  <c r="CP78" i="77" s="1"/>
  <c r="CR80" i="77"/>
  <c r="CR78" i="77" s="1"/>
  <c r="CM12" i="77"/>
  <c r="CO80" i="77"/>
  <c r="CM79" i="77"/>
  <c r="CI80" i="77"/>
  <c r="CI78" i="77" s="1"/>
  <c r="CL80" i="77"/>
  <c r="CL78" i="77" s="1"/>
  <c r="CJ80" i="77"/>
  <c r="CJ78" i="77" s="1"/>
  <c r="CM82" i="77"/>
  <c r="CK80" i="77"/>
  <c r="CK78" i="77" s="1"/>
  <c r="CR436" i="18"/>
  <c r="CQ436" i="18"/>
  <c r="CP436" i="18"/>
  <c r="CO436" i="18"/>
  <c r="CS435" i="18"/>
  <c r="CR427" i="18"/>
  <c r="CQ427" i="18"/>
  <c r="CP427" i="18"/>
  <c r="CO427" i="18"/>
  <c r="CS425" i="18"/>
  <c r="CR372" i="18"/>
  <c r="CQ372" i="18"/>
  <c r="CP372" i="18"/>
  <c r="CO372" i="18"/>
  <c r="CS369" i="18"/>
  <c r="CR363" i="18"/>
  <c r="CQ363" i="18"/>
  <c r="CP363" i="18"/>
  <c r="CO363" i="18"/>
  <c r="CS359" i="18"/>
  <c r="CO203" i="18"/>
  <c r="CP203" i="18" s="1"/>
  <c r="CQ203" i="18" s="1"/>
  <c r="CR203" i="18" s="1"/>
  <c r="CR13" i="18" s="1"/>
  <c r="CP192" i="18"/>
  <c r="CQ192" i="18" s="1"/>
  <c r="CR135" i="18"/>
  <c r="CQ135" i="18"/>
  <c r="CO135" i="18"/>
  <c r="CR124" i="18"/>
  <c r="CR120" i="18" s="1"/>
  <c r="CQ124" i="18"/>
  <c r="CQ120" i="18" s="1"/>
  <c r="CP124" i="18"/>
  <c r="CO124" i="18"/>
  <c r="CO120" i="18" s="1"/>
  <c r="CS122" i="18"/>
  <c r="CP118" i="18"/>
  <c r="CQ118" i="18" s="1"/>
  <c r="CR118" i="18" s="1"/>
  <c r="CS118" i="18" s="1"/>
  <c r="CP106" i="18"/>
  <c r="CP100" i="18"/>
  <c r="CP96" i="18"/>
  <c r="CS93" i="18"/>
  <c r="CP90" i="18"/>
  <c r="CQ90" i="18" s="1"/>
  <c r="CR90" i="18" s="1"/>
  <c r="CS90" i="18" s="1"/>
  <c r="CP87" i="18"/>
  <c r="CQ87" i="18" s="1"/>
  <c r="CR87" i="18" s="1"/>
  <c r="CP77" i="18"/>
  <c r="CP75" i="18"/>
  <c r="CQ75" i="18" s="1"/>
  <c r="CR75" i="18" s="1"/>
  <c r="CP70" i="18"/>
  <c r="CP68" i="18"/>
  <c r="CP63" i="18"/>
  <c r="CP58" i="18"/>
  <c r="CQ58" i="18" s="1"/>
  <c r="CR58" i="18" s="1"/>
  <c r="CS58" i="18" s="1"/>
  <c r="CP52" i="18"/>
  <c r="CP51" i="18"/>
  <c r="CO50" i="18"/>
  <c r="CN43" i="18"/>
  <c r="CP32" i="18"/>
  <c r="CQ32" i="18" s="1"/>
  <c r="CR32" i="18" s="1"/>
  <c r="CL436" i="18"/>
  <c r="CK436" i="18"/>
  <c r="CJ436" i="18"/>
  <c r="CI436" i="18"/>
  <c r="CM435" i="18"/>
  <c r="CL427" i="18"/>
  <c r="CK427" i="18"/>
  <c r="CJ427" i="18"/>
  <c r="CI427" i="18"/>
  <c r="CM425" i="18"/>
  <c r="CL372" i="18"/>
  <c r="CK372" i="18"/>
  <c r="CJ372" i="18"/>
  <c r="CI372" i="18"/>
  <c r="CM369" i="18"/>
  <c r="CL363" i="18"/>
  <c r="CK363" i="18"/>
  <c r="CJ363" i="18"/>
  <c r="CI363" i="18"/>
  <c r="CM359" i="18"/>
  <c r="CI203" i="18"/>
  <c r="CJ203" i="18" s="1"/>
  <c r="CJ192" i="18"/>
  <c r="CI135" i="18"/>
  <c r="CL124" i="18"/>
  <c r="CL120" i="18" s="1"/>
  <c r="CK124" i="18"/>
  <c r="CK120" i="18" s="1"/>
  <c r="CJ124" i="18"/>
  <c r="CI124" i="18"/>
  <c r="CI120" i="18" s="1"/>
  <c r="CM122" i="18"/>
  <c r="CJ118" i="18"/>
  <c r="CJ106" i="18"/>
  <c r="CJ100" i="18"/>
  <c r="CJ96" i="18"/>
  <c r="CM93" i="18"/>
  <c r="CJ90" i="18"/>
  <c r="CJ87" i="18"/>
  <c r="CK87" i="18" s="1"/>
  <c r="CJ77" i="18"/>
  <c r="CJ75" i="18"/>
  <c r="CJ70" i="18"/>
  <c r="CJ68" i="18"/>
  <c r="CJ63" i="18"/>
  <c r="CJ58" i="18"/>
  <c r="CK58" i="18" s="1"/>
  <c r="CJ52" i="18"/>
  <c r="CJ51" i="18"/>
  <c r="CK51" i="18" s="1"/>
  <c r="CI50" i="18"/>
  <c r="CH43" i="18"/>
  <c r="CJ32" i="18"/>
  <c r="CK32" i="18" s="1"/>
  <c r="CL32" i="18" s="1"/>
  <c r="CI13" i="18"/>
  <c r="CS372" i="18" l="1"/>
  <c r="CO13" i="18"/>
  <c r="CP13" i="18"/>
  <c r="CM372" i="18"/>
  <c r="CQ13" i="18"/>
  <c r="CK203" i="18"/>
  <c r="CK13" i="18" s="1"/>
  <c r="CJ13" i="18"/>
  <c r="CM436" i="18"/>
  <c r="CL11" i="77"/>
  <c r="CM427" i="18"/>
  <c r="CQ11" i="77"/>
  <c r="CI11" i="77"/>
  <c r="CL139" i="19"/>
  <c r="CK159" i="19"/>
  <c r="CJ11" i="77"/>
  <c r="CK11" i="77"/>
  <c r="CO11" i="77"/>
  <c r="CP11" i="77"/>
  <c r="CL140" i="19"/>
  <c r="CL160" i="19" s="1"/>
  <c r="CR11" i="77"/>
  <c r="CS427" i="18"/>
  <c r="CQ70" i="18"/>
  <c r="CQ77" i="18"/>
  <c r="CK63" i="18"/>
  <c r="CK77" i="18"/>
  <c r="CQ68" i="18"/>
  <c r="CK106" i="18"/>
  <c r="CL106" i="18" s="1"/>
  <c r="CQ63" i="18"/>
  <c r="CQ52" i="18"/>
  <c r="CP50" i="18"/>
  <c r="CP275" i="18" s="1"/>
  <c r="CI131" i="18"/>
  <c r="CI113" i="18" s="1"/>
  <c r="CR140" i="19"/>
  <c r="CR160" i="19" s="1"/>
  <c r="CQ160" i="19"/>
  <c r="CR81" i="19"/>
  <c r="CR139" i="19"/>
  <c r="CS139" i="19" s="1"/>
  <c r="CS159" i="19" s="1"/>
  <c r="CQ159" i="19"/>
  <c r="CL81" i="19"/>
  <c r="CS98" i="19"/>
  <c r="CS85" i="19"/>
  <c r="CS39" i="17"/>
  <c r="CS15" i="17"/>
  <c r="CL15" i="17"/>
  <c r="CK39" i="17"/>
  <c r="CM41" i="17"/>
  <c r="CM77" i="17" s="1"/>
  <c r="CQ77" i="17"/>
  <c r="CR41" i="17"/>
  <c r="CR114" i="16"/>
  <c r="CR12" i="17" s="1"/>
  <c r="CR22" i="19" s="1"/>
  <c r="CS22" i="19" s="1"/>
  <c r="CK114" i="16"/>
  <c r="CK12" i="17" s="1"/>
  <c r="CK22" i="19" s="1"/>
  <c r="CM80" i="77"/>
  <c r="CO78" i="77"/>
  <c r="CS80" i="77"/>
  <c r="CM78" i="77"/>
  <c r="CM83" i="77" s="1"/>
  <c r="CO131" i="18"/>
  <c r="CO113" i="18" s="1"/>
  <c r="CS436" i="18"/>
  <c r="CQ51" i="18"/>
  <c r="CS87" i="18"/>
  <c r="CQ96" i="18"/>
  <c r="CQ100" i="18"/>
  <c r="CQ106" i="18"/>
  <c r="CO245" i="18"/>
  <c r="CS124" i="18"/>
  <c r="CP120" i="18"/>
  <c r="CR192" i="18"/>
  <c r="CP135" i="18"/>
  <c r="CS363" i="18"/>
  <c r="CL58" i="18"/>
  <c r="CM58" i="18" s="1"/>
  <c r="CK96" i="18"/>
  <c r="CM124" i="18"/>
  <c r="CL51" i="18"/>
  <c r="CM51" i="18" s="1"/>
  <c r="CJ120" i="18"/>
  <c r="CM120" i="18" s="1"/>
  <c r="CK52" i="18"/>
  <c r="CJ50" i="18"/>
  <c r="CK90" i="18"/>
  <c r="CL90" i="18" s="1"/>
  <c r="CJ135" i="18"/>
  <c r="CK192" i="18"/>
  <c r="CK70" i="18"/>
  <c r="CK100" i="18"/>
  <c r="CK68" i="18"/>
  <c r="CK75" i="18"/>
  <c r="CL87" i="18"/>
  <c r="CK118" i="18"/>
  <c r="CL118" i="18" s="1"/>
  <c r="CM363" i="18"/>
  <c r="CS140" i="19" l="1"/>
  <c r="CS160" i="19" s="1"/>
  <c r="CS13" i="18"/>
  <c r="CL203" i="18"/>
  <c r="CL13" i="18" s="1"/>
  <c r="CM13" i="18" s="1"/>
  <c r="CM139" i="19"/>
  <c r="CM159" i="19" s="1"/>
  <c r="CL159" i="19"/>
  <c r="CM140" i="19"/>
  <c r="CM160" i="19" s="1"/>
  <c r="CM118" i="18"/>
  <c r="CR63" i="18"/>
  <c r="CR70" i="18"/>
  <c r="CR68" i="18"/>
  <c r="CL63" i="18"/>
  <c r="CL77" i="18"/>
  <c r="CR77" i="18"/>
  <c r="CR51" i="18"/>
  <c r="CP245" i="18"/>
  <c r="CR52" i="18"/>
  <c r="CS52" i="18" s="1"/>
  <c r="CS12" i="17"/>
  <c r="CL114" i="16"/>
  <c r="CL12" i="17" s="1"/>
  <c r="CL22" i="19" s="1"/>
  <c r="CM22" i="19" s="1"/>
  <c r="CS81" i="19"/>
  <c r="CM81" i="19"/>
  <c r="CR159" i="19"/>
  <c r="CL39" i="17"/>
  <c r="CM39" i="17" s="1"/>
  <c r="CM15" i="17"/>
  <c r="CR77" i="17"/>
  <c r="CS41" i="17"/>
  <c r="CS77" i="17" s="1"/>
  <c r="CS78" i="77"/>
  <c r="CS83" i="77" s="1"/>
  <c r="CQ131" i="18"/>
  <c r="CQ113" i="18" s="1"/>
  <c r="CP131" i="18"/>
  <c r="CP113" i="18" s="1"/>
  <c r="CS135" i="18"/>
  <c r="CR100" i="18"/>
  <c r="CR106" i="18"/>
  <c r="CR96" i="18"/>
  <c r="CS96" i="18" s="1"/>
  <c r="CS120" i="18"/>
  <c r="CQ50" i="18"/>
  <c r="CL68" i="18"/>
  <c r="CM106" i="18"/>
  <c r="CM87" i="18"/>
  <c r="CL100" i="18"/>
  <c r="CL70" i="18"/>
  <c r="CM90" i="18"/>
  <c r="CK135" i="18"/>
  <c r="CL96" i="18"/>
  <c r="CM96" i="18" s="1"/>
  <c r="CL192" i="18"/>
  <c r="CL75" i="18"/>
  <c r="CJ131" i="18"/>
  <c r="CJ275" i="18"/>
  <c r="CL52" i="18"/>
  <c r="CK50" i="18"/>
  <c r="CM12" i="17" l="1"/>
  <c r="CS70" i="18"/>
  <c r="CM77" i="18"/>
  <c r="CM63" i="18"/>
  <c r="CS77" i="18"/>
  <c r="CS63" i="18"/>
  <c r="CR50" i="18"/>
  <c r="CR275" i="18" s="1"/>
  <c r="CS51" i="18"/>
  <c r="CR131" i="18"/>
  <c r="CR113" i="18" s="1"/>
  <c r="CQ275" i="18"/>
  <c r="CQ245" i="18"/>
  <c r="CS100" i="18"/>
  <c r="CS106" i="18"/>
  <c r="CL135" i="18"/>
  <c r="CK275" i="18"/>
  <c r="CK131" i="18"/>
  <c r="CM100" i="18"/>
  <c r="CL50" i="18"/>
  <c r="CM52" i="18"/>
  <c r="CJ113" i="18"/>
  <c r="CM70" i="18"/>
  <c r="CR245" i="18" l="1"/>
  <c r="CS50" i="18"/>
  <c r="CO275" i="18"/>
  <c r="CS131" i="18"/>
  <c r="CS113" i="18" s="1"/>
  <c r="CL131" i="18"/>
  <c r="CM131" i="18" s="1"/>
  <c r="CM113" i="18" s="1"/>
  <c r="CM135" i="18"/>
  <c r="CL275" i="18"/>
  <c r="CM50" i="18"/>
  <c r="CK113" i="18"/>
  <c r="CS245" i="18" l="1"/>
  <c r="CL113" i="18"/>
  <c r="BN43" i="48" l="1"/>
  <c r="BN22" i="48" s="1"/>
  <c r="BN21" i="48"/>
  <c r="BN61" i="48"/>
  <c r="BN56" i="48"/>
  <c r="BN49" i="48"/>
  <c r="BN48" i="48"/>
  <c r="BN47" i="48"/>
  <c r="BN46" i="48"/>
  <c r="BN40" i="19"/>
  <c r="BN39" i="19"/>
  <c r="BN38" i="19"/>
  <c r="BN37" i="19"/>
  <c r="BN13" i="48" l="1"/>
  <c r="BN12" i="48" s="1"/>
  <c r="BN14" i="48"/>
  <c r="BN52" i="48" s="1"/>
  <c r="BN23" i="48"/>
  <c r="BN20" i="48"/>
  <c r="BN15" i="48" l="1"/>
  <c r="BN53" i="48" s="1"/>
  <c r="CD81" i="16" l="1"/>
  <c r="CE81" i="16" s="1"/>
  <c r="CF81" i="16" s="1"/>
  <c r="BX81" i="16"/>
  <c r="BY81" i="16" s="1"/>
  <c r="BZ81" i="16" s="1"/>
  <c r="BN32" i="17" l="1"/>
  <c r="BO121" i="16"/>
  <c r="BO113" i="16"/>
  <c r="BN123" i="16"/>
  <c r="BN117" i="16"/>
  <c r="BN106" i="16"/>
  <c r="BN88" i="16"/>
  <c r="BN85" i="16"/>
  <c r="BN31" i="16"/>
  <c r="BN40" i="16"/>
  <c r="BN30" i="16"/>
  <c r="BN17" i="16"/>
  <c r="BN24" i="16" s="1"/>
  <c r="BN10" i="16"/>
  <c r="BN33" i="16" l="1"/>
  <c r="BN41" i="16" s="1"/>
  <c r="BN42" i="16" s="1"/>
  <c r="BI298" i="18"/>
  <c r="BO298" i="18"/>
  <c r="BO176" i="19" l="1"/>
  <c r="DO311" i="18"/>
  <c r="DP311" i="18"/>
  <c r="DR315" i="18" s="1"/>
  <c r="BO314" i="18"/>
  <c r="BI314" i="18"/>
  <c r="DO307" i="18" s="1"/>
  <c r="DP307" i="18" l="1"/>
  <c r="DP308" i="18" s="1"/>
  <c r="DP312" i="18"/>
  <c r="CF51" i="77" l="1"/>
  <c r="CE51" i="77"/>
  <c r="CD51" i="77"/>
  <c r="BZ51" i="77"/>
  <c r="BY51" i="77"/>
  <c r="BX51" i="77"/>
  <c r="BH262" i="18" l="1"/>
  <c r="BG262" i="18"/>
  <c r="BF262" i="18"/>
  <c r="BE262" i="18"/>
  <c r="BN262" i="18"/>
  <c r="BM262" i="18"/>
  <c r="BL262" i="18"/>
  <c r="BK262" i="18"/>
  <c r="BN242" i="18"/>
  <c r="BM242" i="18"/>
  <c r="BL242" i="18"/>
  <c r="BK242" i="18"/>
  <c r="BH242" i="18"/>
  <c r="BG242" i="18"/>
  <c r="BF242" i="18"/>
  <c r="BE242" i="18"/>
  <c r="BN272" i="18"/>
  <c r="BM272" i="18"/>
  <c r="BL272" i="18"/>
  <c r="BK272" i="18"/>
  <c r="BX62" i="48" l="1"/>
  <c r="BY62" i="48" s="1"/>
  <c r="BZ62" i="48" s="1"/>
  <c r="BN305" i="18" l="1"/>
  <c r="BN304" i="18"/>
  <c r="BN303" i="18"/>
  <c r="BN302" i="18"/>
  <c r="CD52" i="18"/>
  <c r="CE52" i="18" l="1"/>
  <c r="BR211" i="18"/>
  <c r="BR262" i="18" s="1"/>
  <c r="BW212" i="18"/>
  <c r="CC212" i="18" s="1"/>
  <c r="BN217" i="18"/>
  <c r="BN215" i="18"/>
  <c r="BN212" i="18"/>
  <c r="BN14" i="18"/>
  <c r="BN13" i="18" s="1"/>
  <c r="BN32" i="18"/>
  <c r="BR111" i="19"/>
  <c r="BS111" i="19" s="1"/>
  <c r="BT111" i="19" s="1"/>
  <c r="CF52" i="18" l="1"/>
  <c r="CG52" i="18" s="1"/>
  <c r="CD212" i="18"/>
  <c r="CE212" i="18" s="1"/>
  <c r="CF212" i="18" s="1"/>
  <c r="CI212" i="18"/>
  <c r="CD215" i="18"/>
  <c r="CE215" i="18" s="1"/>
  <c r="CF215" i="18" s="1"/>
  <c r="BQ272" i="18"/>
  <c r="BQ242" i="18"/>
  <c r="BX212" i="18"/>
  <c r="BX211" i="18" s="1"/>
  <c r="BX215" i="18"/>
  <c r="BY215" i="18" s="1"/>
  <c r="BZ215" i="18" s="1"/>
  <c r="BW214" i="18"/>
  <c r="BT214" i="18"/>
  <c r="BT242" i="18" s="1"/>
  <c r="BS214" i="18"/>
  <c r="BS242" i="18" s="1"/>
  <c r="BR214" i="18"/>
  <c r="BN78" i="19"/>
  <c r="BN77" i="19"/>
  <c r="BN76" i="19"/>
  <c r="BO72" i="19"/>
  <c r="BO71" i="19"/>
  <c r="BO70" i="19"/>
  <c r="BO69" i="19"/>
  <c r="BO43" i="19"/>
  <c r="BN102" i="19"/>
  <c r="BN112" i="19"/>
  <c r="BN101" i="19"/>
  <c r="BN100" i="19"/>
  <c r="BN99" i="19"/>
  <c r="BO95" i="19"/>
  <c r="BO93" i="19"/>
  <c r="BN92" i="19"/>
  <c r="BN96" i="19" s="1"/>
  <c r="BO90" i="19"/>
  <c r="BO89" i="19"/>
  <c r="BN88" i="19"/>
  <c r="BN91" i="19" s="1"/>
  <c r="BO85" i="19"/>
  <c r="BO42" i="19"/>
  <c r="BO26" i="19"/>
  <c r="BN49" i="19"/>
  <c r="BN13" i="19"/>
  <c r="BN75" i="19" s="1"/>
  <c r="CJ212" i="18" l="1"/>
  <c r="CK212" i="18" s="1"/>
  <c r="CL212" i="18" s="1"/>
  <c r="CO212" i="18"/>
  <c r="CP212" i="18" s="1"/>
  <c r="CQ212" i="18" s="1"/>
  <c r="CR212" i="18" s="1"/>
  <c r="CD211" i="18"/>
  <c r="BX262" i="18"/>
  <c r="CC214" i="18"/>
  <c r="BW242" i="18"/>
  <c r="BR272" i="18"/>
  <c r="BR242" i="18"/>
  <c r="BS272" i="18"/>
  <c r="BT272" i="18"/>
  <c r="BT212" i="18"/>
  <c r="BT211" i="18" s="1"/>
  <c r="BS211" i="18"/>
  <c r="BY214" i="18"/>
  <c r="BY212" i="18"/>
  <c r="BX214" i="18"/>
  <c r="BZ214" i="18"/>
  <c r="BU214" i="18"/>
  <c r="BR207" i="18"/>
  <c r="CC242" i="18" l="1"/>
  <c r="CI214" i="18"/>
  <c r="CD262" i="18"/>
  <c r="CJ211" i="18"/>
  <c r="CP211" i="18" s="1"/>
  <c r="BS207" i="18"/>
  <c r="BS262" i="18"/>
  <c r="BT207" i="18"/>
  <c r="BT262" i="18"/>
  <c r="CD214" i="18"/>
  <c r="BX242" i="18"/>
  <c r="CE214" i="18"/>
  <c r="BY242" i="18"/>
  <c r="CF214" i="18"/>
  <c r="BZ242" i="18"/>
  <c r="BY211" i="18"/>
  <c r="BY207" i="18" s="1"/>
  <c r="BZ212" i="18"/>
  <c r="BZ211" i="18" s="1"/>
  <c r="CA214" i="18"/>
  <c r="CA242" i="18" s="1"/>
  <c r="BX207" i="18"/>
  <c r="BX213" i="18" s="1"/>
  <c r="CI242" i="18" l="1"/>
  <c r="CO214" i="18"/>
  <c r="CP262" i="18"/>
  <c r="CD242" i="18"/>
  <c r="CJ214" i="18"/>
  <c r="CP214" i="18" s="1"/>
  <c r="CJ262" i="18"/>
  <c r="CF242" i="18"/>
  <c r="CL214" i="18"/>
  <c r="CR214" i="18" s="1"/>
  <c r="CE242" i="18"/>
  <c r="CK214" i="18"/>
  <c r="CQ214" i="18" s="1"/>
  <c r="CE211" i="18"/>
  <c r="BY262" i="18"/>
  <c r="CF211" i="18"/>
  <c r="CF207" i="18" s="1"/>
  <c r="CF213" i="18" s="1"/>
  <c r="BZ262" i="18"/>
  <c r="CD207" i="18"/>
  <c r="CD213" i="18" s="1"/>
  <c r="CG214" i="18"/>
  <c r="CG242" i="18" s="1"/>
  <c r="BZ207" i="18"/>
  <c r="BZ208" i="18" s="1"/>
  <c r="BX208" i="18"/>
  <c r="BX216" i="18"/>
  <c r="CA215" i="18"/>
  <c r="BY213" i="18"/>
  <c r="BY208" i="18"/>
  <c r="BY216" i="18"/>
  <c r="CO242" i="18" l="1"/>
  <c r="CQ242" i="18"/>
  <c r="CR242" i="18"/>
  <c r="CP242" i="18"/>
  <c r="CS214" i="18"/>
  <c r="CJ207" i="18"/>
  <c r="CJ15" i="18" s="1"/>
  <c r="CP207" i="18"/>
  <c r="CP216" i="18" s="1"/>
  <c r="CE262" i="18"/>
  <c r="CK211" i="18"/>
  <c r="CQ211" i="18" s="1"/>
  <c r="CK242" i="18"/>
  <c r="CJ242" i="18"/>
  <c r="CM214" i="18"/>
  <c r="CM215" i="18" s="1"/>
  <c r="CF262" i="18"/>
  <c r="CL211" i="18"/>
  <c r="CR211" i="18" s="1"/>
  <c r="CE207" i="18"/>
  <c r="CE216" i="18" s="1"/>
  <c r="CL242" i="18"/>
  <c r="CD208" i="18"/>
  <c r="CD216" i="18"/>
  <c r="CG215" i="18"/>
  <c r="BZ216" i="18"/>
  <c r="BZ213" i="18"/>
  <c r="CF208" i="18"/>
  <c r="CF216" i="18"/>
  <c r="CS215" i="18" l="1"/>
  <c r="CJ216" i="18"/>
  <c r="CJ208" i="18"/>
  <c r="CJ11" i="19"/>
  <c r="CJ14" i="19" s="1"/>
  <c r="CR207" i="18"/>
  <c r="CR262" i="18"/>
  <c r="CP208" i="18"/>
  <c r="CP15" i="18"/>
  <c r="CP11" i="19" s="1"/>
  <c r="CP14" i="19" s="1"/>
  <c r="CP213" i="18"/>
  <c r="CJ213" i="18"/>
  <c r="CS242" i="18"/>
  <c r="CQ262" i="18"/>
  <c r="CQ207" i="18"/>
  <c r="CL262" i="18"/>
  <c r="CL207" i="18"/>
  <c r="CL213" i="18" s="1"/>
  <c r="CM242" i="18"/>
  <c r="CK262" i="18"/>
  <c r="CK207" i="18"/>
  <c r="CE213" i="18"/>
  <c r="CE208" i="18"/>
  <c r="CQ15" i="18" l="1"/>
  <c r="CQ11" i="19" s="1"/>
  <c r="CQ14" i="19" s="1"/>
  <c r="CQ208" i="18"/>
  <c r="CQ216" i="18"/>
  <c r="CR208" i="18"/>
  <c r="CR15" i="18"/>
  <c r="CR11" i="19" s="1"/>
  <c r="CR14" i="19" s="1"/>
  <c r="CR216" i="18"/>
  <c r="CP263" i="18"/>
  <c r="CQ213" i="18"/>
  <c r="CR213" i="18"/>
  <c r="CL208" i="18"/>
  <c r="CL15" i="18"/>
  <c r="CL216" i="18"/>
  <c r="CK208" i="18"/>
  <c r="CK15" i="18"/>
  <c r="CK216" i="18"/>
  <c r="CK213" i="18"/>
  <c r="CL11" i="19" l="1"/>
  <c r="CL14" i="19" s="1"/>
  <c r="CK11" i="19"/>
  <c r="CK14" i="19" s="1"/>
  <c r="CR292" i="18"/>
  <c r="CR263" i="18"/>
  <c r="CQ263" i="18"/>
  <c r="CQ292" i="18"/>
  <c r="CL292" i="18"/>
  <c r="CK292" i="18"/>
  <c r="BW53" i="19" l="1"/>
  <c r="CC53" i="19" s="1"/>
  <c r="CI53" i="19" s="1"/>
  <c r="CO53" i="19" l="1"/>
  <c r="BN135" i="18" l="1"/>
  <c r="BL10" i="17" l="1"/>
  <c r="BM49" i="48"/>
  <c r="BM48" i="48"/>
  <c r="BM47" i="48"/>
  <c r="BM46" i="48"/>
  <c r="BK116" i="19"/>
  <c r="BK45" i="17"/>
  <c r="BL40" i="17"/>
  <c r="BL38" i="17"/>
  <c r="BM38" i="17" s="1"/>
  <c r="BM123" i="16"/>
  <c r="BN120" i="16" s="1"/>
  <c r="BN122" i="16" s="1"/>
  <c r="BM117" i="16"/>
  <c r="BN112" i="16" s="1"/>
  <c r="BM106" i="16"/>
  <c r="BM88" i="16"/>
  <c r="BM85" i="16"/>
  <c r="BM45" i="16"/>
  <c r="BM31" i="16"/>
  <c r="BM15" i="17"/>
  <c r="BN38" i="17" l="1"/>
  <c r="BM40" i="17"/>
  <c r="BN40" i="17" s="1"/>
  <c r="BM10" i="17"/>
  <c r="BN10" i="17" s="1"/>
  <c r="BL45" i="17"/>
  <c r="BM45" i="17" s="1"/>
  <c r="BN45" i="17" l="1"/>
  <c r="BL176" i="16"/>
  <c r="BK176" i="16"/>
  <c r="BH176" i="16"/>
  <c r="BG176" i="16"/>
  <c r="BF176" i="16"/>
  <c r="BE176" i="16"/>
  <c r="BB176" i="16"/>
  <c r="BA176" i="16"/>
  <c r="AZ176" i="16"/>
  <c r="AY176" i="16"/>
  <c r="AV176" i="16"/>
  <c r="AU176" i="16"/>
  <c r="AT176" i="16"/>
  <c r="AS176" i="16"/>
  <c r="AP176" i="16"/>
  <c r="AO176" i="16"/>
  <c r="AN176" i="16"/>
  <c r="AM176" i="16"/>
  <c r="AJ176" i="16"/>
  <c r="AI176" i="16"/>
  <c r="AH176" i="16"/>
  <c r="AG176" i="16"/>
  <c r="AD176" i="16"/>
  <c r="AC176" i="16"/>
  <c r="AB176" i="16"/>
  <c r="AA176" i="16"/>
  <c r="X176" i="16"/>
  <c r="W176" i="16"/>
  <c r="V176" i="16"/>
  <c r="U176" i="16"/>
  <c r="R176" i="16"/>
  <c r="Q176" i="16"/>
  <c r="P176" i="16"/>
  <c r="O176" i="16"/>
  <c r="L176" i="16"/>
  <c r="K176" i="16"/>
  <c r="J176" i="16"/>
  <c r="I176" i="16"/>
  <c r="BL175" i="16"/>
  <c r="BK175" i="16"/>
  <c r="BH175" i="16"/>
  <c r="BG175" i="16"/>
  <c r="BF175" i="16"/>
  <c r="BE175" i="16"/>
  <c r="BB175" i="16"/>
  <c r="BA175" i="16"/>
  <c r="AZ175" i="16"/>
  <c r="AY175" i="16"/>
  <c r="AV175" i="16"/>
  <c r="AU175" i="16"/>
  <c r="AT175" i="16"/>
  <c r="AS175" i="16"/>
  <c r="AP175" i="16"/>
  <c r="AO175" i="16"/>
  <c r="AN175" i="16"/>
  <c r="AM175" i="16"/>
  <c r="AJ175" i="16"/>
  <c r="AI175" i="16"/>
  <c r="AH175" i="16"/>
  <c r="AG175" i="16"/>
  <c r="AD175" i="16"/>
  <c r="AC175" i="16"/>
  <c r="AB175" i="16"/>
  <c r="AA175" i="16"/>
  <c r="X175" i="16"/>
  <c r="W175" i="16"/>
  <c r="V175" i="16"/>
  <c r="U175" i="16"/>
  <c r="R175" i="16"/>
  <c r="Q175" i="16"/>
  <c r="P175" i="16"/>
  <c r="O175" i="16"/>
  <c r="L175" i="16"/>
  <c r="K175" i="16"/>
  <c r="J175" i="16"/>
  <c r="I175" i="16"/>
  <c r="K171" i="16"/>
  <c r="J171" i="16"/>
  <c r="I171" i="16"/>
  <c r="CG170" i="16"/>
  <c r="CF170" i="16"/>
  <c r="CE170" i="16"/>
  <c r="CD170" i="16"/>
  <c r="CC170" i="16"/>
  <c r="CA170" i="16"/>
  <c r="BZ170" i="16"/>
  <c r="BY170" i="16"/>
  <c r="BX170" i="16"/>
  <c r="BW170" i="16"/>
  <c r="BU170" i="16"/>
  <c r="BT170" i="16"/>
  <c r="BS170" i="16"/>
  <c r="BR170" i="16"/>
  <c r="BQ170" i="16"/>
  <c r="BO170" i="16"/>
  <c r="BN170" i="16"/>
  <c r="BM170" i="16"/>
  <c r="BL170" i="16"/>
  <c r="BK170" i="16"/>
  <c r="BI170" i="16"/>
  <c r="BH170" i="16"/>
  <c r="BG170" i="16"/>
  <c r="BF170" i="16"/>
  <c r="BE170" i="16"/>
  <c r="BC170" i="16"/>
  <c r="BB170" i="16"/>
  <c r="BA170" i="16"/>
  <c r="AZ170" i="16"/>
  <c r="AY170" i="16"/>
  <c r="AW170" i="16"/>
  <c r="AV170" i="16"/>
  <c r="AU170" i="16"/>
  <c r="AT170" i="16"/>
  <c r="AS170" i="16"/>
  <c r="AQ170" i="16"/>
  <c r="AP170" i="16"/>
  <c r="AO170" i="16"/>
  <c r="AN170" i="16"/>
  <c r="AM170" i="16"/>
  <c r="AK170" i="16"/>
  <c r="AJ170" i="16"/>
  <c r="AI170" i="16"/>
  <c r="AH170" i="16"/>
  <c r="AG170" i="16"/>
  <c r="AE170" i="16"/>
  <c r="AD170" i="16"/>
  <c r="AC170" i="16"/>
  <c r="AB170" i="16"/>
  <c r="AA170" i="16"/>
  <c r="Y170" i="16"/>
  <c r="X170" i="16"/>
  <c r="W170" i="16"/>
  <c r="V170" i="16"/>
  <c r="U170" i="16"/>
  <c r="S170" i="16"/>
  <c r="R170" i="16"/>
  <c r="Q170" i="16"/>
  <c r="P170" i="16"/>
  <c r="O170" i="16"/>
  <c r="M170" i="16"/>
  <c r="L170" i="16"/>
  <c r="K170" i="16"/>
  <c r="J170" i="16"/>
  <c r="I170" i="16"/>
  <c r="AZ166" i="16"/>
  <c r="AY166" i="16"/>
  <c r="AV166" i="16"/>
  <c r="AU166" i="16"/>
  <c r="AO166" i="16"/>
  <c r="AN166" i="16"/>
  <c r="AM166" i="16"/>
  <c r="AJ166" i="16"/>
  <c r="AI166" i="16"/>
  <c r="AH166" i="16"/>
  <c r="AG166" i="16"/>
  <c r="AD166" i="16"/>
  <c r="AC166" i="16"/>
  <c r="AB166" i="16"/>
  <c r="AA166" i="16"/>
  <c r="X166" i="16"/>
  <c r="W166" i="16"/>
  <c r="V166" i="16"/>
  <c r="U166" i="16"/>
  <c r="R166" i="16"/>
  <c r="Q166" i="16"/>
  <c r="P166" i="16"/>
  <c r="O166" i="16"/>
  <c r="K166" i="16"/>
  <c r="J166" i="16"/>
  <c r="I166" i="16"/>
  <c r="BL165" i="16"/>
  <c r="BK165" i="16"/>
  <c r="BH165" i="16"/>
  <c r="BG165" i="16"/>
  <c r="BF165" i="16"/>
  <c r="BE165" i="16"/>
  <c r="BB165" i="16"/>
  <c r="BA165" i="16"/>
  <c r="AZ165" i="16"/>
  <c r="AY165" i="16"/>
  <c r="AV165" i="16"/>
  <c r="AU165" i="16"/>
  <c r="AT165" i="16"/>
  <c r="AS165" i="16"/>
  <c r="AP165" i="16"/>
  <c r="AO165" i="16"/>
  <c r="AN165" i="16"/>
  <c r="AM165" i="16"/>
  <c r="AJ165" i="16"/>
  <c r="AI165" i="16"/>
  <c r="AH165" i="16"/>
  <c r="AG165" i="16"/>
  <c r="AD165" i="16"/>
  <c r="AC165" i="16"/>
  <c r="AB165" i="16"/>
  <c r="AA165" i="16"/>
  <c r="Q165" i="16"/>
  <c r="P165" i="16"/>
  <c r="K165" i="16"/>
  <c r="J165" i="16"/>
  <c r="I165" i="16"/>
  <c r="BL164" i="16"/>
  <c r="BK164" i="16"/>
  <c r="BH164" i="16"/>
  <c r="BG164" i="16"/>
  <c r="BF164" i="16"/>
  <c r="BE164" i="16"/>
  <c r="BB164" i="16"/>
  <c r="BA164" i="16"/>
  <c r="AZ164" i="16"/>
  <c r="AY164" i="16"/>
  <c r="AV164" i="16"/>
  <c r="AU164" i="16"/>
  <c r="AS164" i="16"/>
  <c r="AI164" i="16"/>
  <c r="X164" i="16"/>
  <c r="W164" i="16"/>
  <c r="V164" i="16"/>
  <c r="U164" i="16"/>
  <c r="Q164" i="16"/>
  <c r="P164" i="16"/>
  <c r="O164" i="16"/>
  <c r="L164" i="16"/>
  <c r="K164" i="16"/>
  <c r="J164" i="16"/>
  <c r="I164" i="16"/>
  <c r="F176" i="16"/>
  <c r="E176" i="16"/>
  <c r="D176" i="16"/>
  <c r="F175" i="16"/>
  <c r="E175" i="16"/>
  <c r="D175" i="16"/>
  <c r="E171" i="16"/>
  <c r="D171" i="16"/>
  <c r="G170" i="16"/>
  <c r="F170" i="16"/>
  <c r="E170" i="16"/>
  <c r="D170" i="16"/>
  <c r="E166" i="16"/>
  <c r="D166" i="16"/>
  <c r="E165" i="16"/>
  <c r="D165" i="16"/>
  <c r="F164" i="16"/>
  <c r="E164" i="16"/>
  <c r="D164" i="16"/>
  <c r="C176" i="16"/>
  <c r="C175" i="16"/>
  <c r="C170" i="16"/>
  <c r="C171" i="16"/>
  <c r="C166" i="16"/>
  <c r="C165" i="16"/>
  <c r="C164" i="16"/>
  <c r="BW158" i="16"/>
  <c r="BQ158" i="16"/>
  <c r="BM215" i="18" l="1"/>
  <c r="BL215" i="18"/>
  <c r="BK215" i="18"/>
  <c r="BM212" i="18"/>
  <c r="BL212" i="18"/>
  <c r="BK212" i="18"/>
  <c r="BI211" i="18"/>
  <c r="BH212" i="18"/>
  <c r="BG212" i="18"/>
  <c r="BF212" i="18"/>
  <c r="BE212" i="18"/>
  <c r="BH215" i="18"/>
  <c r="BG215" i="18"/>
  <c r="BF215" i="18"/>
  <c r="BI214" i="18"/>
  <c r="BE215" i="18"/>
  <c r="BC214" i="18"/>
  <c r="BC211" i="18"/>
  <c r="CD32" i="18"/>
  <c r="CE32" i="18" s="1"/>
  <c r="CF32" i="18" s="1"/>
  <c r="BX32" i="18"/>
  <c r="BY32" i="18" s="1"/>
  <c r="BZ32" i="18" s="1"/>
  <c r="BS31" i="18"/>
  <c r="BR31" i="18"/>
  <c r="BW31" i="18"/>
  <c r="CC31" i="18" s="1"/>
  <c r="AZ24" i="18"/>
  <c r="AY24" i="18"/>
  <c r="BI31" i="18"/>
  <c r="BC31" i="18"/>
  <c r="BM32" i="18"/>
  <c r="BL32" i="18"/>
  <c r="BK32" i="18"/>
  <c r="BH32" i="18"/>
  <c r="BG32" i="18"/>
  <c r="BF32" i="18"/>
  <c r="BE32" i="18"/>
  <c r="L32" i="18"/>
  <c r="K32" i="18"/>
  <c r="J32" i="18"/>
  <c r="I32" i="18"/>
  <c r="CI31" i="18" l="1"/>
  <c r="CI241" i="18" s="1"/>
  <c r="BI242" i="18"/>
  <c r="BI262" i="18"/>
  <c r="BO211" i="18"/>
  <c r="BI212" i="18"/>
  <c r="BI215" i="18"/>
  <c r="BY31" i="18"/>
  <c r="CE31" i="18" s="1"/>
  <c r="BX31" i="18"/>
  <c r="CD31" i="18" s="1"/>
  <c r="BI32" i="18"/>
  <c r="CJ31" i="18" l="1"/>
  <c r="CJ241" i="18" s="1"/>
  <c r="CK31" i="18"/>
  <c r="CK241" i="18" s="1"/>
  <c r="CO31" i="18"/>
  <c r="CO241" i="18" s="1"/>
  <c r="BO212" i="18"/>
  <c r="BO262" i="18"/>
  <c r="CJ271" i="18" l="1"/>
  <c r="CP31" i="18"/>
  <c r="CQ31" i="18"/>
  <c r="CK271" i="18"/>
  <c r="CQ271" i="18" l="1"/>
  <c r="CQ241" i="18"/>
  <c r="CP271" i="18"/>
  <c r="CP241" i="18"/>
  <c r="F593" i="18"/>
  <c r="E593" i="18"/>
  <c r="D593" i="18"/>
  <c r="C593" i="18"/>
  <c r="G593" i="18" s="1"/>
  <c r="F592" i="18"/>
  <c r="E592" i="18"/>
  <c r="D592" i="18"/>
  <c r="C592" i="18"/>
  <c r="G592" i="18" s="1"/>
  <c r="F591" i="18"/>
  <c r="E591" i="18"/>
  <c r="D591" i="18"/>
  <c r="C591" i="18"/>
  <c r="G591" i="18" s="1"/>
  <c r="F590" i="18"/>
  <c r="E590" i="18"/>
  <c r="D590" i="18"/>
  <c r="C590" i="18"/>
  <c r="G590" i="18" s="1"/>
  <c r="F589" i="18"/>
  <c r="E589" i="18"/>
  <c r="D589" i="18"/>
  <c r="C589" i="18"/>
  <c r="G589" i="18" s="1"/>
  <c r="F588" i="18"/>
  <c r="E588" i="18"/>
  <c r="D588" i="18"/>
  <c r="C588" i="18"/>
  <c r="G588" i="18" s="1"/>
  <c r="F587" i="18"/>
  <c r="E587" i="18"/>
  <c r="D587" i="18"/>
  <c r="C587" i="18"/>
  <c r="G587" i="18" s="1"/>
  <c r="F586" i="18"/>
  <c r="E586" i="18"/>
  <c r="D586" i="18"/>
  <c r="C586" i="18"/>
  <c r="G586" i="18" s="1"/>
  <c r="F585" i="18"/>
  <c r="E585" i="18"/>
  <c r="D585" i="18"/>
  <c r="C585" i="18"/>
  <c r="G585" i="18" s="1"/>
  <c r="BL594" i="18"/>
  <c r="BK594" i="18"/>
  <c r="AU604" i="18"/>
  <c r="G602" i="18"/>
  <c r="F602" i="18"/>
  <c r="E602" i="18"/>
  <c r="D602" i="18"/>
  <c r="C602" i="18"/>
  <c r="BO582" i="18"/>
  <c r="BQ582" i="18" s="1"/>
  <c r="BR582" i="18" s="1"/>
  <c r="BS582" i="18" s="1"/>
  <c r="BT582" i="18" s="1"/>
  <c r="BN581" i="18"/>
  <c r="BO581" i="18" s="1"/>
  <c r="BQ581" i="18" s="1"/>
  <c r="AY580" i="18"/>
  <c r="AV580" i="18"/>
  <c r="AU580" i="18" s="1"/>
  <c r="AT580" i="18" s="1"/>
  <c r="AS580" i="18" s="1"/>
  <c r="AQ580" i="18"/>
  <c r="AK580" i="18" s="1"/>
  <c r="AE580" i="18" s="1"/>
  <c r="Y580" i="18" s="1"/>
  <c r="X580" i="18" s="1"/>
  <c r="X593" i="18" s="1"/>
  <c r="AY579" i="18"/>
  <c r="AV579" i="18"/>
  <c r="AV592" i="18" s="1"/>
  <c r="AQ579" i="18"/>
  <c r="AP579" i="18" s="1"/>
  <c r="AP592" i="18" s="1"/>
  <c r="AY578" i="18"/>
  <c r="AV578" i="18"/>
  <c r="AV591" i="18" s="1"/>
  <c r="AQ578" i="18"/>
  <c r="AK578" i="18" s="1"/>
  <c r="AY577" i="18"/>
  <c r="AV577" i="18"/>
  <c r="AV590" i="18" s="1"/>
  <c r="AQ577" i="18"/>
  <c r="AK577" i="18" s="1"/>
  <c r="AE577" i="18" s="1"/>
  <c r="AY576" i="18"/>
  <c r="AV576" i="18"/>
  <c r="AU576" i="18" s="1"/>
  <c r="AT576" i="18" s="1"/>
  <c r="AS576" i="18" s="1"/>
  <c r="AQ576" i="18"/>
  <c r="AP576" i="18" s="1"/>
  <c r="AO576" i="18" s="1"/>
  <c r="AN576" i="18" s="1"/>
  <c r="AY575" i="18"/>
  <c r="AV575" i="18"/>
  <c r="AQ575" i="18"/>
  <c r="AP575" i="18" s="1"/>
  <c r="AY574" i="18"/>
  <c r="AV574" i="18"/>
  <c r="AU574" i="18" s="1"/>
  <c r="AT574" i="18" s="1"/>
  <c r="AQ574" i="18"/>
  <c r="AP574" i="18" s="1"/>
  <c r="AP587" i="18" s="1"/>
  <c r="AY573" i="18"/>
  <c r="AV573" i="18"/>
  <c r="AU573" i="18" s="1"/>
  <c r="AT573" i="18" s="1"/>
  <c r="AQ573" i="18"/>
  <c r="AP573" i="18" s="1"/>
  <c r="AO573" i="18" s="1"/>
  <c r="AN573" i="18" s="1"/>
  <c r="AY572" i="18"/>
  <c r="AY585" i="18" s="1"/>
  <c r="AV572" i="18"/>
  <c r="AV585" i="18" s="1"/>
  <c r="AQ572" i="18"/>
  <c r="AP572" i="18" s="1"/>
  <c r="AP585" i="18" s="1"/>
  <c r="AY571" i="18"/>
  <c r="AZ571" i="18" s="1"/>
  <c r="AV571" i="18"/>
  <c r="AU571" i="18" s="1"/>
  <c r="AT571" i="18" s="1"/>
  <c r="AQ571" i="18"/>
  <c r="AK571" i="18" s="1"/>
  <c r="AP577" i="18" l="1"/>
  <c r="AP590" i="18" s="1"/>
  <c r="AP578" i="18"/>
  <c r="AP591" i="18" s="1"/>
  <c r="AP580" i="18"/>
  <c r="AP593" i="18" s="1"/>
  <c r="AK574" i="18"/>
  <c r="AE574" i="18" s="1"/>
  <c r="AP571" i="18"/>
  <c r="AO571" i="18" s="1"/>
  <c r="AN571" i="18" s="1"/>
  <c r="AK576" i="18"/>
  <c r="AJ576" i="18" s="1"/>
  <c r="AI576" i="18" s="1"/>
  <c r="AH576" i="18" s="1"/>
  <c r="AJ580" i="18"/>
  <c r="AJ593" i="18" s="1"/>
  <c r="AK579" i="18"/>
  <c r="AE579" i="18" s="1"/>
  <c r="AD579" i="18" s="1"/>
  <c r="AD592" i="18" s="1"/>
  <c r="AE578" i="18"/>
  <c r="AD578" i="18" s="1"/>
  <c r="AJ578" i="18"/>
  <c r="AJ591" i="18" s="1"/>
  <c r="AU578" i="18"/>
  <c r="AU591" i="18" s="1"/>
  <c r="AU577" i="18"/>
  <c r="AU590" i="18" s="1"/>
  <c r="AJ577" i="18"/>
  <c r="AJ590" i="18" s="1"/>
  <c r="AK575" i="18"/>
  <c r="AE575" i="18" s="1"/>
  <c r="Y575" i="18" s="1"/>
  <c r="AK573" i="18"/>
  <c r="AO572" i="18"/>
  <c r="AO585" i="18" s="1"/>
  <c r="AK572" i="18"/>
  <c r="AU572" i="18"/>
  <c r="AU585" i="18" s="1"/>
  <c r="AO575" i="18"/>
  <c r="AE571" i="18"/>
  <c r="AJ571" i="18"/>
  <c r="AO579" i="18"/>
  <c r="AO592" i="18" s="1"/>
  <c r="AD577" i="18"/>
  <c r="AD590" i="18" s="1"/>
  <c r="Y577" i="18"/>
  <c r="X577" i="18" s="1"/>
  <c r="X590" i="18" s="1"/>
  <c r="AS574" i="18"/>
  <c r="AS573" i="18"/>
  <c r="AO574" i="18"/>
  <c r="AO587" i="18" s="1"/>
  <c r="AU575" i="18"/>
  <c r="AU579" i="18"/>
  <c r="AU592" i="18" s="1"/>
  <c r="AD580" i="18"/>
  <c r="AD593" i="18" s="1"/>
  <c r="AS571" i="18"/>
  <c r="AZ575" i="18"/>
  <c r="AZ572" i="18"/>
  <c r="AZ585" i="18" s="1"/>
  <c r="AM573" i="18"/>
  <c r="BR581" i="18"/>
  <c r="BA571" i="18"/>
  <c r="AZ573" i="18"/>
  <c r="AZ574" i="18"/>
  <c r="W580" i="18"/>
  <c r="W593" i="18" s="1"/>
  <c r="AM576" i="18"/>
  <c r="S580" i="18"/>
  <c r="AZ576" i="18"/>
  <c r="AZ577" i="18"/>
  <c r="AZ578" i="18"/>
  <c r="AZ579" i="18"/>
  <c r="AZ580" i="18"/>
  <c r="AO580" i="18" l="1"/>
  <c r="AO593" i="18" s="1"/>
  <c r="AO578" i="18"/>
  <c r="AO591" i="18" s="1"/>
  <c r="AO577" i="18"/>
  <c r="AO590" i="18" s="1"/>
  <c r="AJ575" i="18"/>
  <c r="AI575" i="18" s="1"/>
  <c r="AD575" i="18"/>
  <c r="AC575" i="18" s="1"/>
  <c r="AB575" i="18" s="1"/>
  <c r="AC577" i="18"/>
  <c r="AC590" i="18" s="1"/>
  <c r="AJ574" i="18"/>
  <c r="AJ587" i="18" s="1"/>
  <c r="AD574" i="18"/>
  <c r="Y574" i="18"/>
  <c r="X574" i="18" s="1"/>
  <c r="X587" i="18" s="1"/>
  <c r="Y579" i="18"/>
  <c r="X579" i="18" s="1"/>
  <c r="X592" i="18" s="1"/>
  <c r="AD591" i="18"/>
  <c r="AC578" i="18"/>
  <c r="AC591" i="18" s="1"/>
  <c r="Y578" i="18"/>
  <c r="X578" i="18" s="1"/>
  <c r="X591" i="18" s="1"/>
  <c r="AE576" i="18"/>
  <c r="Y576" i="18" s="1"/>
  <c r="AC580" i="18"/>
  <c r="AC593" i="18" s="1"/>
  <c r="AI580" i="18"/>
  <c r="AI593" i="18" s="1"/>
  <c r="AC579" i="18"/>
  <c r="AC592" i="18" s="1"/>
  <c r="AJ579" i="18"/>
  <c r="AJ592" i="18" s="1"/>
  <c r="AI578" i="18"/>
  <c r="AI591" i="18" s="1"/>
  <c r="AT578" i="18"/>
  <c r="AT591" i="18" s="1"/>
  <c r="AI577" i="18"/>
  <c r="AI590" i="18" s="1"/>
  <c r="W577" i="18"/>
  <c r="W590" i="18" s="1"/>
  <c r="AT577" i="18"/>
  <c r="AT590" i="18" s="1"/>
  <c r="X575" i="18"/>
  <c r="W575" i="18" s="1"/>
  <c r="S575" i="18"/>
  <c r="R575" i="18" s="1"/>
  <c r="R588" i="18" s="1"/>
  <c r="AE573" i="18"/>
  <c r="AJ573" i="18"/>
  <c r="AI573" i="18" s="1"/>
  <c r="AH573" i="18" s="1"/>
  <c r="AG573" i="18" s="1"/>
  <c r="AN572" i="18"/>
  <c r="AN585" i="18" s="1"/>
  <c r="AT572" i="18"/>
  <c r="AT585" i="18" s="1"/>
  <c r="AE572" i="18"/>
  <c r="AJ572" i="18"/>
  <c r="AJ585" i="18" s="1"/>
  <c r="AN579" i="18"/>
  <c r="AN592" i="18" s="1"/>
  <c r="AN575" i="18"/>
  <c r="AN574" i="18"/>
  <c r="AN587" i="18" s="1"/>
  <c r="S577" i="18"/>
  <c r="R577" i="18" s="1"/>
  <c r="R590" i="18" s="1"/>
  <c r="AT579" i="18"/>
  <c r="AT592" i="18" s="1"/>
  <c r="AI571" i="18"/>
  <c r="AT575" i="18"/>
  <c r="Y571" i="18"/>
  <c r="AD571" i="18"/>
  <c r="BA576" i="18"/>
  <c r="BA579" i="18"/>
  <c r="BA578" i="18"/>
  <c r="R580" i="18"/>
  <c r="R593" i="18" s="1"/>
  <c r="M580" i="18"/>
  <c r="L580" i="18" s="1"/>
  <c r="L593" i="18" s="1"/>
  <c r="BB571" i="18"/>
  <c r="BS581" i="18"/>
  <c r="BA575" i="18"/>
  <c r="BA577" i="18"/>
  <c r="V580" i="18"/>
  <c r="V593" i="18" s="1"/>
  <c r="BA573" i="18"/>
  <c r="BA572" i="18"/>
  <c r="BA585" i="18" s="1"/>
  <c r="BA580" i="18"/>
  <c r="AG576" i="18"/>
  <c r="BA574" i="18"/>
  <c r="AM571" i="18"/>
  <c r="BW52" i="19"/>
  <c r="CD139" i="19"/>
  <c r="CD140" i="19"/>
  <c r="BX140" i="19"/>
  <c r="BY140" i="19" s="1"/>
  <c r="CD192" i="18"/>
  <c r="BR193" i="18"/>
  <c r="BS193" i="18" s="1"/>
  <c r="BT193" i="18" s="1"/>
  <c r="BR194" i="18"/>
  <c r="BS194" i="18" s="1"/>
  <c r="BT194" i="18" s="1"/>
  <c r="BW194" i="18" s="1"/>
  <c r="BX194" i="18" s="1"/>
  <c r="BY194" i="18" s="1"/>
  <c r="BZ194" i="18" s="1"/>
  <c r="CC194" i="18" s="1"/>
  <c r="CD194" i="18" s="1"/>
  <c r="BQ195" i="18"/>
  <c r="BR195" i="18" s="1"/>
  <c r="BS195" i="18" s="1"/>
  <c r="BT195" i="18" s="1"/>
  <c r="BW195" i="18" s="1"/>
  <c r="BX195" i="18" s="1"/>
  <c r="BY195" i="18" s="1"/>
  <c r="BZ195" i="18" s="1"/>
  <c r="BQ196" i="18"/>
  <c r="BR196" i="18" s="1"/>
  <c r="BS196" i="18" s="1"/>
  <c r="BT196" i="18" s="1"/>
  <c r="BW196" i="18" s="1"/>
  <c r="BX196" i="18" s="1"/>
  <c r="BY196" i="18" s="1"/>
  <c r="BZ196" i="18" s="1"/>
  <c r="BL193" i="18"/>
  <c r="BM135" i="18"/>
  <c r="BM305" i="18"/>
  <c r="BM304" i="18"/>
  <c r="BM303" i="18"/>
  <c r="BM302" i="18"/>
  <c r="CD118" i="18"/>
  <c r="BX118" i="18"/>
  <c r="BY118" i="18" s="1"/>
  <c r="BZ118" i="18" s="1"/>
  <c r="CG122" i="18"/>
  <c r="CA122" i="18"/>
  <c r="CC196" i="18" l="1"/>
  <c r="CD196" i="18" s="1"/>
  <c r="CE196" i="18" s="1"/>
  <c r="CF196" i="18" s="1"/>
  <c r="CI196" i="18" s="1"/>
  <c r="CJ196" i="18" s="1"/>
  <c r="CK196" i="18" s="1"/>
  <c r="CL196" i="18" s="1"/>
  <c r="CO196" i="18" s="1"/>
  <c r="CP196" i="18" s="1"/>
  <c r="CQ196" i="18" s="1"/>
  <c r="CR196" i="18" s="1"/>
  <c r="CC195" i="18"/>
  <c r="CD195" i="18" s="1"/>
  <c r="CE195" i="18" s="1"/>
  <c r="CF195" i="18" s="1"/>
  <c r="CI195" i="18" s="1"/>
  <c r="CJ195" i="18" s="1"/>
  <c r="CK195" i="18" s="1"/>
  <c r="CL195" i="18" s="1"/>
  <c r="CO195" i="18" s="1"/>
  <c r="CP195" i="18" s="1"/>
  <c r="CQ195" i="18" s="1"/>
  <c r="CR195" i="18" s="1"/>
  <c r="CE194" i="18"/>
  <c r="CF194" i="18" s="1"/>
  <c r="CI194" i="18" s="1"/>
  <c r="CE192" i="18"/>
  <c r="AN580" i="18"/>
  <c r="AN593" i="18" s="1"/>
  <c r="AN578" i="18"/>
  <c r="AN591" i="18" s="1"/>
  <c r="CE139" i="19"/>
  <c r="AN577" i="18"/>
  <c r="AN590" i="18" s="1"/>
  <c r="M575" i="18"/>
  <c r="L575" i="18" s="1"/>
  <c r="L588" i="18" s="1"/>
  <c r="W574" i="18"/>
  <c r="W587" i="18" s="1"/>
  <c r="S579" i="18"/>
  <c r="M579" i="18" s="1"/>
  <c r="L579" i="18" s="1"/>
  <c r="L592" i="18" s="1"/>
  <c r="S574" i="18"/>
  <c r="M574" i="18" s="1"/>
  <c r="L574" i="18" s="1"/>
  <c r="L587" i="18" s="1"/>
  <c r="AI579" i="18"/>
  <c r="AI592" i="18" s="1"/>
  <c r="AB577" i="18"/>
  <c r="AB590" i="18" s="1"/>
  <c r="AI574" i="18"/>
  <c r="AI587" i="18" s="1"/>
  <c r="AB578" i="18"/>
  <c r="AB591" i="18" s="1"/>
  <c r="W579" i="18"/>
  <c r="W592" i="18" s="1"/>
  <c r="AD587" i="18"/>
  <c r="AC574" i="18"/>
  <c r="AH580" i="18"/>
  <c r="AH593" i="18" s="1"/>
  <c r="S578" i="18"/>
  <c r="W578" i="18"/>
  <c r="V577" i="18"/>
  <c r="V590" i="18" s="1"/>
  <c r="AB580" i="18"/>
  <c r="AB593" i="18" s="1"/>
  <c r="AD576" i="18"/>
  <c r="AD589" i="18" s="1"/>
  <c r="AS578" i="18"/>
  <c r="AS591" i="18" s="1"/>
  <c r="AW591" i="18" s="1"/>
  <c r="X576" i="18"/>
  <c r="X589" i="18" s="1"/>
  <c r="S576" i="18"/>
  <c r="AB579" i="18"/>
  <c r="AB592" i="18" s="1"/>
  <c r="AH578" i="18"/>
  <c r="AH591" i="18" s="1"/>
  <c r="AS577" i="18"/>
  <c r="AS590" i="18" s="1"/>
  <c r="AW590" i="18" s="1"/>
  <c r="M577" i="18"/>
  <c r="L577" i="18" s="1"/>
  <c r="L590" i="18" s="1"/>
  <c r="AH577" i="18"/>
  <c r="AH590" i="18" s="1"/>
  <c r="AD573" i="18"/>
  <c r="AC573" i="18" s="1"/>
  <c r="AB573" i="18" s="1"/>
  <c r="AB586" i="18" s="1"/>
  <c r="Y573" i="18"/>
  <c r="Y572" i="18"/>
  <c r="AD572" i="18"/>
  <c r="AD585" i="18" s="1"/>
  <c r="AS572" i="18"/>
  <c r="AS585" i="18" s="1"/>
  <c r="AW585" i="18" s="1"/>
  <c r="AI572" i="18"/>
  <c r="AI585" i="18" s="1"/>
  <c r="AM572" i="18"/>
  <c r="AM585" i="18" s="1"/>
  <c r="AQ585" i="18" s="1"/>
  <c r="CC198" i="18"/>
  <c r="CD198" i="18" s="1"/>
  <c r="CE198" i="18" s="1"/>
  <c r="CF198" i="18" s="1"/>
  <c r="CI198" i="18" s="1"/>
  <c r="CJ198" i="18" s="1"/>
  <c r="CK198" i="18" s="1"/>
  <c r="CL198" i="18" s="1"/>
  <c r="CO198" i="18" s="1"/>
  <c r="CP198" i="18" s="1"/>
  <c r="CQ198" i="18" s="1"/>
  <c r="CR198" i="18" s="1"/>
  <c r="X571" i="18"/>
  <c r="S571" i="18"/>
  <c r="AS575" i="18"/>
  <c r="AH571" i="18"/>
  <c r="AM579" i="18"/>
  <c r="AM592" i="18" s="1"/>
  <c r="AQ592" i="18" s="1"/>
  <c r="AC571" i="18"/>
  <c r="AS579" i="18"/>
  <c r="AS592" i="18" s="1"/>
  <c r="AW592" i="18" s="1"/>
  <c r="AM574" i="18"/>
  <c r="AM587" i="18" s="1"/>
  <c r="AQ587" i="18" s="1"/>
  <c r="AM575" i="18"/>
  <c r="AH575" i="18"/>
  <c r="V575" i="18"/>
  <c r="Q575" i="18"/>
  <c r="Q588" i="18" s="1"/>
  <c r="AA575" i="18"/>
  <c r="BU582" i="18"/>
  <c r="BW582" i="18" s="1"/>
  <c r="BX582" i="18" s="1"/>
  <c r="BY582" i="18" s="1"/>
  <c r="BZ582" i="18" s="1"/>
  <c r="CA582" i="18" s="1"/>
  <c r="CC582" i="18" s="1"/>
  <c r="CD582" i="18" s="1"/>
  <c r="CE582" i="18" s="1"/>
  <c r="CF582" i="18" s="1"/>
  <c r="CG582" i="18" s="1"/>
  <c r="CI582" i="18" s="1"/>
  <c r="CJ582" i="18" s="1"/>
  <c r="CK582" i="18" s="1"/>
  <c r="CL582" i="18" s="1"/>
  <c r="CM582" i="18" s="1"/>
  <c r="CO582" i="18" s="1"/>
  <c r="CP582" i="18" s="1"/>
  <c r="CQ582" i="18" s="1"/>
  <c r="CR582" i="18" s="1"/>
  <c r="CS582" i="18" s="1"/>
  <c r="K580" i="18"/>
  <c r="K593" i="18" s="1"/>
  <c r="BB579" i="18"/>
  <c r="BB572" i="18"/>
  <c r="BB585" i="18" s="1"/>
  <c r="BC585" i="18" s="1"/>
  <c r="BB575" i="18"/>
  <c r="BT581" i="18"/>
  <c r="Q580" i="18"/>
  <c r="Q593" i="18" s="1"/>
  <c r="BB574" i="18"/>
  <c r="BB573" i="18"/>
  <c r="U580" i="18"/>
  <c r="U593" i="18" s="1"/>
  <c r="Y593" i="18" s="1"/>
  <c r="BB577" i="18"/>
  <c r="BB578" i="18"/>
  <c r="BB576" i="18"/>
  <c r="BB580" i="18"/>
  <c r="BC571" i="18"/>
  <c r="BE571" i="18" s="1"/>
  <c r="Q577" i="18"/>
  <c r="Q590" i="18" s="1"/>
  <c r="BZ140" i="19"/>
  <c r="CA140" i="19" s="1"/>
  <c r="CE140" i="19"/>
  <c r="CF140" i="19" s="1"/>
  <c r="BW193" i="18"/>
  <c r="BX193" i="18" s="1"/>
  <c r="BY193" i="18" s="1"/>
  <c r="BZ193" i="18" s="1"/>
  <c r="CC193" i="18" s="1"/>
  <c r="CD193" i="18" s="1"/>
  <c r="CE193" i="18" s="1"/>
  <c r="CA118" i="18"/>
  <c r="CE118" i="18"/>
  <c r="CF118" i="18" s="1"/>
  <c r="CJ194" i="18" l="1"/>
  <c r="CK194" i="18" s="1"/>
  <c r="CL194" i="18" s="1"/>
  <c r="CO194" i="18" s="1"/>
  <c r="CP194" i="18" s="1"/>
  <c r="CQ194" i="18" s="1"/>
  <c r="CR194" i="18" s="1"/>
  <c r="CF193" i="18"/>
  <c r="CI193" i="18" s="1"/>
  <c r="AM580" i="18"/>
  <c r="AM593" i="18" s="1"/>
  <c r="AQ593" i="18" s="1"/>
  <c r="CF192" i="18"/>
  <c r="AM578" i="18"/>
  <c r="AM591" i="18" s="1"/>
  <c r="AQ591" i="18" s="1"/>
  <c r="K575" i="18"/>
  <c r="K588" i="18" s="1"/>
  <c r="AM577" i="18"/>
  <c r="AM590" i="18" s="1"/>
  <c r="AQ590" i="18" s="1"/>
  <c r="CF139" i="19"/>
  <c r="V574" i="18"/>
  <c r="V587" i="18" s="1"/>
  <c r="K579" i="18"/>
  <c r="K592" i="18" s="1"/>
  <c r="R574" i="18"/>
  <c r="AA578" i="18"/>
  <c r="AA591" i="18" s="1"/>
  <c r="AE591" i="18" s="1"/>
  <c r="K574" i="18"/>
  <c r="K587" i="18" s="1"/>
  <c r="R579" i="18"/>
  <c r="R592" i="18" s="1"/>
  <c r="AC576" i="18"/>
  <c r="AC589" i="18" s="1"/>
  <c r="AH574" i="18"/>
  <c r="AH587" i="18" s="1"/>
  <c r="AA577" i="18"/>
  <c r="AA590" i="18" s="1"/>
  <c r="AE590" i="18" s="1"/>
  <c r="AH579" i="18"/>
  <c r="AH592" i="18" s="1"/>
  <c r="V579" i="18"/>
  <c r="V592" i="18" s="1"/>
  <c r="U577" i="18"/>
  <c r="U590" i="18" s="1"/>
  <c r="Y590" i="18" s="1"/>
  <c r="AC587" i="18"/>
  <c r="AB574" i="18"/>
  <c r="AA580" i="18"/>
  <c r="AA593" i="18" s="1"/>
  <c r="AE593" i="18" s="1"/>
  <c r="K577" i="18"/>
  <c r="K590" i="18" s="1"/>
  <c r="AA579" i="18"/>
  <c r="AA592" i="18" s="1"/>
  <c r="AE592" i="18" s="1"/>
  <c r="AG580" i="18"/>
  <c r="AG593" i="18" s="1"/>
  <c r="AK593" i="18" s="1"/>
  <c r="W591" i="18"/>
  <c r="V578" i="18"/>
  <c r="M578" i="18"/>
  <c r="L578" i="18" s="1"/>
  <c r="R578" i="18"/>
  <c r="W576" i="18"/>
  <c r="W589" i="18" s="1"/>
  <c r="AA573" i="18"/>
  <c r="AA586" i="18" s="1"/>
  <c r="R576" i="18"/>
  <c r="R589" i="18" s="1"/>
  <c r="M576" i="18"/>
  <c r="L576" i="18" s="1"/>
  <c r="L589" i="18" s="1"/>
  <c r="AG578" i="18"/>
  <c r="AG591" i="18" s="1"/>
  <c r="AK591" i="18" s="1"/>
  <c r="AG577" i="18"/>
  <c r="AG590" i="18" s="1"/>
  <c r="AK590" i="18" s="1"/>
  <c r="X573" i="18"/>
  <c r="X586" i="18" s="1"/>
  <c r="S573" i="18"/>
  <c r="AH572" i="18"/>
  <c r="AH585" i="18" s="1"/>
  <c r="AC572" i="18"/>
  <c r="AC585" i="18" s="1"/>
  <c r="X572" i="18"/>
  <c r="X585" i="18" s="1"/>
  <c r="S572" i="18"/>
  <c r="R571" i="18"/>
  <c r="M571" i="18"/>
  <c r="L571" i="18" s="1"/>
  <c r="AB571" i="18"/>
  <c r="AG571" i="18"/>
  <c r="W571" i="18"/>
  <c r="AG575" i="18"/>
  <c r="BF571" i="18"/>
  <c r="P577" i="18"/>
  <c r="P590" i="18" s="1"/>
  <c r="BC572" i="18"/>
  <c r="BE572" i="18" s="1"/>
  <c r="BC574" i="18"/>
  <c r="BE574" i="18" s="1"/>
  <c r="BU581" i="18"/>
  <c r="BW581" i="18" s="1"/>
  <c r="BC579" i="18"/>
  <c r="BE579" i="18" s="1"/>
  <c r="BC578" i="18"/>
  <c r="BE578" i="18" s="1"/>
  <c r="P580" i="18"/>
  <c r="P593" i="18" s="1"/>
  <c r="BC575" i="18"/>
  <c r="BE575" i="18" s="1"/>
  <c r="P575" i="18"/>
  <c r="P588" i="18" s="1"/>
  <c r="U575" i="18"/>
  <c r="BC580" i="18"/>
  <c r="BE580" i="18" s="1"/>
  <c r="BC576" i="18"/>
  <c r="BE576" i="18" s="1"/>
  <c r="BC577" i="18"/>
  <c r="BE577" i="18" s="1"/>
  <c r="BC573" i="18"/>
  <c r="BE573" i="18" s="1"/>
  <c r="J580" i="18"/>
  <c r="J593" i="18" s="1"/>
  <c r="CG140" i="19"/>
  <c r="CG118" i="18"/>
  <c r="CJ193" i="18" l="1"/>
  <c r="CK193" i="18" s="1"/>
  <c r="CL193" i="18" s="1"/>
  <c r="CO193" i="18" s="1"/>
  <c r="CP193" i="18" s="1"/>
  <c r="CQ193" i="18" s="1"/>
  <c r="CR193" i="18" s="1"/>
  <c r="J575" i="18"/>
  <c r="J588" i="18" s="1"/>
  <c r="U574" i="18"/>
  <c r="U587" i="18" s="1"/>
  <c r="Y587" i="18" s="1"/>
  <c r="CG139" i="19"/>
  <c r="J579" i="18"/>
  <c r="J592" i="18" s="1"/>
  <c r="Q579" i="18"/>
  <c r="J574" i="18"/>
  <c r="J587" i="18" s="1"/>
  <c r="R587" i="18"/>
  <c r="Q574" i="18"/>
  <c r="AG579" i="18"/>
  <c r="AG592" i="18" s="1"/>
  <c r="AK592" i="18" s="1"/>
  <c r="AB576" i="18"/>
  <c r="AB589" i="18" s="1"/>
  <c r="U579" i="18"/>
  <c r="U592" i="18" s="1"/>
  <c r="Y592" i="18" s="1"/>
  <c r="AG574" i="18"/>
  <c r="AG587" i="18" s="1"/>
  <c r="AK587" i="18" s="1"/>
  <c r="AB587" i="18"/>
  <c r="AA574" i="18"/>
  <c r="AA587" i="18" s="1"/>
  <c r="J577" i="18"/>
  <c r="J590" i="18" s="1"/>
  <c r="R591" i="18"/>
  <c r="Q578" i="18"/>
  <c r="L591" i="18"/>
  <c r="K578" i="18"/>
  <c r="V591" i="18"/>
  <c r="U578" i="18"/>
  <c r="U591" i="18" s="1"/>
  <c r="K576" i="18"/>
  <c r="K589" i="18" s="1"/>
  <c r="V576" i="18"/>
  <c r="V589" i="18" s="1"/>
  <c r="Q576" i="18"/>
  <c r="Q589" i="18" s="1"/>
  <c r="R573" i="18"/>
  <c r="R586" i="18" s="1"/>
  <c r="M573" i="18"/>
  <c r="L573" i="18" s="1"/>
  <c r="L586" i="18" s="1"/>
  <c r="W573" i="18"/>
  <c r="W586" i="18" s="1"/>
  <c r="R572" i="18"/>
  <c r="R585" i="18" s="1"/>
  <c r="M572" i="18"/>
  <c r="L572" i="18" s="1"/>
  <c r="L585" i="18" s="1"/>
  <c r="AB572" i="18"/>
  <c r="AB585" i="18" s="1"/>
  <c r="W572" i="18"/>
  <c r="W585" i="18" s="1"/>
  <c r="AG572" i="18"/>
  <c r="AG585" i="18" s="1"/>
  <c r="AK585" i="18" s="1"/>
  <c r="K571" i="18"/>
  <c r="V571" i="18"/>
  <c r="Q571" i="18"/>
  <c r="AA571" i="18"/>
  <c r="BF577" i="18"/>
  <c r="BF580" i="18"/>
  <c r="BF575" i="18"/>
  <c r="O580" i="18"/>
  <c r="O593" i="18" s="1"/>
  <c r="S593" i="18" s="1"/>
  <c r="BF574" i="18"/>
  <c r="BF576" i="18"/>
  <c r="O575" i="18"/>
  <c r="O588" i="18" s="1"/>
  <c r="S588" i="18" s="1"/>
  <c r="O577" i="18"/>
  <c r="O590" i="18" s="1"/>
  <c r="S590" i="18" s="1"/>
  <c r="BG571" i="18"/>
  <c r="BX581" i="18"/>
  <c r="BF572" i="18"/>
  <c r="I580" i="18"/>
  <c r="I593" i="18" s="1"/>
  <c r="M593" i="18" s="1"/>
  <c r="BF573" i="18"/>
  <c r="BF578" i="18"/>
  <c r="BF579" i="18"/>
  <c r="BM14" i="18"/>
  <c r="BM13" i="18" s="1"/>
  <c r="I575" i="18" l="1"/>
  <c r="I588" i="18" s="1"/>
  <c r="M588" i="18" s="1"/>
  <c r="I579" i="18"/>
  <c r="I592" i="18" s="1"/>
  <c r="M592" i="18" s="1"/>
  <c r="Y591" i="18"/>
  <c r="I574" i="18"/>
  <c r="I587" i="18" s="1"/>
  <c r="M587" i="18" s="1"/>
  <c r="Q592" i="18"/>
  <c r="P579" i="18"/>
  <c r="Q587" i="18"/>
  <c r="P574" i="18"/>
  <c r="I577" i="18"/>
  <c r="I590" i="18" s="1"/>
  <c r="M590" i="18" s="1"/>
  <c r="AA576" i="18"/>
  <c r="AA589" i="18" s="1"/>
  <c r="AE589" i="18" s="1"/>
  <c r="AE587" i="18"/>
  <c r="Q591" i="18"/>
  <c r="P578" i="18"/>
  <c r="K591" i="18"/>
  <c r="J578" i="18"/>
  <c r="J576" i="18"/>
  <c r="J589" i="18" s="1"/>
  <c r="P576" i="18"/>
  <c r="P589" i="18" s="1"/>
  <c r="U576" i="18"/>
  <c r="U589" i="18" s="1"/>
  <c r="Y589" i="18" s="1"/>
  <c r="V573" i="18"/>
  <c r="V586" i="18" s="1"/>
  <c r="K573" i="18"/>
  <c r="K586" i="18" s="1"/>
  <c r="Q573" i="18"/>
  <c r="Q586" i="18" s="1"/>
  <c r="V572" i="18"/>
  <c r="V585" i="18" s="1"/>
  <c r="Q572" i="18"/>
  <c r="Q585" i="18" s="1"/>
  <c r="K572" i="18"/>
  <c r="K585" i="18" s="1"/>
  <c r="AA572" i="18"/>
  <c r="AA585" i="18" s="1"/>
  <c r="AE585" i="18" s="1"/>
  <c r="P571" i="18"/>
  <c r="U571" i="18"/>
  <c r="J571" i="18"/>
  <c r="BG579" i="18"/>
  <c r="BG575" i="18"/>
  <c r="BG577" i="18"/>
  <c r="BG578" i="18"/>
  <c r="BG572" i="18"/>
  <c r="BG576" i="18"/>
  <c r="BG580" i="18"/>
  <c r="BG573" i="18"/>
  <c r="BY581" i="18"/>
  <c r="BH571" i="18"/>
  <c r="BG574" i="18"/>
  <c r="P592" i="18" l="1"/>
  <c r="O579" i="18"/>
  <c r="O592" i="18" s="1"/>
  <c r="P587" i="18"/>
  <c r="O574" i="18"/>
  <c r="O587" i="18" s="1"/>
  <c r="J591" i="18"/>
  <c r="I578" i="18"/>
  <c r="I591" i="18" s="1"/>
  <c r="P591" i="18"/>
  <c r="O578" i="18"/>
  <c r="O591" i="18" s="1"/>
  <c r="O576" i="18"/>
  <c r="O589" i="18" s="1"/>
  <c r="S589" i="18" s="1"/>
  <c r="I576" i="18"/>
  <c r="I589" i="18" s="1"/>
  <c r="M589" i="18" s="1"/>
  <c r="P573" i="18"/>
  <c r="P586" i="18" s="1"/>
  <c r="U573" i="18"/>
  <c r="U586" i="18" s="1"/>
  <c r="Y586" i="18" s="1"/>
  <c r="J573" i="18"/>
  <c r="J586" i="18" s="1"/>
  <c r="U572" i="18"/>
  <c r="U585" i="18" s="1"/>
  <c r="Y585" i="18" s="1"/>
  <c r="J572" i="18"/>
  <c r="J585" i="18" s="1"/>
  <c r="P572" i="18"/>
  <c r="P585" i="18" s="1"/>
  <c r="O571" i="18"/>
  <c r="I571" i="18"/>
  <c r="BH579" i="18"/>
  <c r="BH573" i="18"/>
  <c r="BH580" i="18"/>
  <c r="BH576" i="18"/>
  <c r="BH577" i="18"/>
  <c r="BH574" i="18"/>
  <c r="BI571" i="18"/>
  <c r="BK571" i="18" s="1"/>
  <c r="BZ581" i="18"/>
  <c r="BH572" i="18"/>
  <c r="BH578" i="18"/>
  <c r="BH575" i="18"/>
  <c r="S592" i="18" l="1"/>
  <c r="S587" i="18"/>
  <c r="S591" i="18"/>
  <c r="M591" i="18"/>
  <c r="O573" i="18"/>
  <c r="O586" i="18" s="1"/>
  <c r="S586" i="18" s="1"/>
  <c r="I573" i="18"/>
  <c r="I586" i="18" s="1"/>
  <c r="M586" i="18" s="1"/>
  <c r="O572" i="18"/>
  <c r="O585" i="18" s="1"/>
  <c r="S585" i="18" s="1"/>
  <c r="I572" i="18"/>
  <c r="I585" i="18" s="1"/>
  <c r="M585" i="18" s="1"/>
  <c r="BI578" i="18"/>
  <c r="BK578" i="18" s="1"/>
  <c r="BI577" i="18"/>
  <c r="BK577" i="18" s="1"/>
  <c r="BI580" i="18"/>
  <c r="BK580" i="18" s="1"/>
  <c r="BL571" i="18"/>
  <c r="CA581" i="18"/>
  <c r="CC581" i="18" s="1"/>
  <c r="BI574" i="18"/>
  <c r="BK574" i="18" s="1"/>
  <c r="BI575" i="18"/>
  <c r="BK575" i="18" s="1"/>
  <c r="BI572" i="18"/>
  <c r="BK572" i="18" s="1"/>
  <c r="BI576" i="18"/>
  <c r="BK576" i="18" s="1"/>
  <c r="BI573" i="18"/>
  <c r="BK573" i="18" s="1"/>
  <c r="BI579" i="18"/>
  <c r="BK579" i="18" s="1"/>
  <c r="BM102" i="19"/>
  <c r="BM101" i="19"/>
  <c r="BM100" i="19"/>
  <c r="BM99" i="19"/>
  <c r="BM92" i="19"/>
  <c r="BM96" i="19" s="1"/>
  <c r="BM88" i="19"/>
  <c r="BM91" i="19" s="1"/>
  <c r="BM78" i="19"/>
  <c r="BM77" i="19"/>
  <c r="BM76" i="19"/>
  <c r="BM75" i="19"/>
  <c r="BM73" i="19"/>
  <c r="BM49" i="19"/>
  <c r="BM48" i="19"/>
  <c r="BM31" i="19"/>
  <c r="BM12" i="19"/>
  <c r="BM9" i="19"/>
  <c r="BW79" i="16"/>
  <c r="CC79" i="16" s="1"/>
  <c r="BQ22" i="16"/>
  <c r="BR22" i="16" s="1"/>
  <c r="BS22" i="16" s="1"/>
  <c r="BT22" i="16" s="1"/>
  <c r="BW22" i="16" s="1"/>
  <c r="BX22" i="16" s="1"/>
  <c r="BY22" i="16" s="1"/>
  <c r="BZ22" i="16" s="1"/>
  <c r="CD79" i="16" l="1"/>
  <c r="CE79" i="16" s="1"/>
  <c r="CF79" i="16" s="1"/>
  <c r="CI79" i="16"/>
  <c r="BM156" i="16"/>
  <c r="BM81" i="16"/>
  <c r="BM67" i="16"/>
  <c r="BS67" i="16" s="1"/>
  <c r="BY67" i="16" s="1"/>
  <c r="CE67" i="16" s="1"/>
  <c r="CK67" i="16" s="1"/>
  <c r="CQ67" i="16" s="1"/>
  <c r="BM69" i="16"/>
  <c r="BM68" i="16"/>
  <c r="BS68" i="16" s="1"/>
  <c r="BY68" i="16" s="1"/>
  <c r="CE68" i="16" s="1"/>
  <c r="CK68" i="16" s="1"/>
  <c r="BL573" i="18"/>
  <c r="BM571" i="18"/>
  <c r="BL580" i="18"/>
  <c r="CD581" i="18"/>
  <c r="BL577" i="18"/>
  <c r="BL578" i="18"/>
  <c r="BL575" i="18"/>
  <c r="BL579" i="18"/>
  <c r="BL576" i="18"/>
  <c r="BL572" i="18"/>
  <c r="BL574" i="18"/>
  <c r="BM139" i="19"/>
  <c r="BM140" i="19"/>
  <c r="BM16" i="19"/>
  <c r="BM50" i="19" s="1"/>
  <c r="BM53" i="19"/>
  <c r="BM52" i="19"/>
  <c r="BM79" i="19"/>
  <c r="CC22" i="16"/>
  <c r="CD22" i="16" s="1"/>
  <c r="CE22" i="16" s="1"/>
  <c r="CF22" i="16" s="1"/>
  <c r="CA22" i="16"/>
  <c r="CJ79" i="16" l="1"/>
  <c r="CK79" i="16" s="1"/>
  <c r="CL79" i="16" s="1"/>
  <c r="CO79" i="16"/>
  <c r="CP79" i="16" s="1"/>
  <c r="CQ79" i="16" s="1"/>
  <c r="CR79" i="16" s="1"/>
  <c r="CG22" i="16"/>
  <c r="CI22" i="16"/>
  <c r="CQ68" i="16"/>
  <c r="BM70" i="16"/>
  <c r="BM84" i="19"/>
  <c r="BM87" i="19" s="1"/>
  <c r="CE581" i="18"/>
  <c r="BM576" i="18"/>
  <c r="BM572" i="18"/>
  <c r="BM578" i="18"/>
  <c r="BM580" i="18"/>
  <c r="BM575" i="18"/>
  <c r="BM573" i="18"/>
  <c r="BM574" i="18"/>
  <c r="BM579" i="18"/>
  <c r="BM577" i="18"/>
  <c r="BN571" i="18"/>
  <c r="CJ22" i="16" l="1"/>
  <c r="BN579" i="18"/>
  <c r="BN573" i="18"/>
  <c r="BN578" i="18"/>
  <c r="BN576" i="18"/>
  <c r="BN577" i="18"/>
  <c r="BN580" i="18"/>
  <c r="CF581" i="18"/>
  <c r="BN574" i="18"/>
  <c r="BN575" i="18"/>
  <c r="BN572" i="18"/>
  <c r="BO571" i="18"/>
  <c r="BQ571" i="18" s="1"/>
  <c r="CK22" i="16" l="1"/>
  <c r="BR571" i="18"/>
  <c r="BO580" i="18"/>
  <c r="BQ580" i="18" s="1"/>
  <c r="CG581" i="18"/>
  <c r="CI581" i="18" s="1"/>
  <c r="CJ581" i="18" s="1"/>
  <c r="CK581" i="18" s="1"/>
  <c r="CL581" i="18" s="1"/>
  <c r="CM581" i="18" s="1"/>
  <c r="CO581" i="18" s="1"/>
  <c r="CP581" i="18" s="1"/>
  <c r="CQ581" i="18" s="1"/>
  <c r="CR581" i="18" s="1"/>
  <c r="CS581" i="18" s="1"/>
  <c r="BO573" i="18"/>
  <c r="BQ573" i="18" s="1"/>
  <c r="BO572" i="18"/>
  <c r="BQ572" i="18" s="1"/>
  <c r="BO574" i="18"/>
  <c r="BQ574" i="18" s="1"/>
  <c r="BR574" i="18" s="1"/>
  <c r="BS574" i="18" s="1"/>
  <c r="BT574" i="18" s="1"/>
  <c r="BO577" i="18"/>
  <c r="BQ577" i="18" s="1"/>
  <c r="BO579" i="18"/>
  <c r="BQ579" i="18" s="1"/>
  <c r="BO575" i="18"/>
  <c r="BQ575" i="18" s="1"/>
  <c r="BO576" i="18"/>
  <c r="BQ576" i="18" s="1"/>
  <c r="BO578" i="18"/>
  <c r="BQ578" i="18" s="1"/>
  <c r="CL22" i="16" l="1"/>
  <c r="BR580" i="18"/>
  <c r="BR577" i="18"/>
  <c r="BR572" i="18"/>
  <c r="BR579" i="18"/>
  <c r="BR576" i="18"/>
  <c r="BR573" i="18"/>
  <c r="BS571" i="18"/>
  <c r="BR578" i="18"/>
  <c r="BR575" i="18"/>
  <c r="CO22" i="16" l="1"/>
  <c r="CM22" i="16"/>
  <c r="BS580" i="18"/>
  <c r="BT571" i="18"/>
  <c r="BS579" i="18"/>
  <c r="BS577" i="18"/>
  <c r="BS578" i="18"/>
  <c r="BS572" i="18"/>
  <c r="BS575" i="18"/>
  <c r="BS576" i="18"/>
  <c r="BS573" i="18"/>
  <c r="CP22" i="16" l="1"/>
  <c r="BT576" i="18"/>
  <c r="BT577" i="18"/>
  <c r="BU571" i="18"/>
  <c r="BW571" i="18" s="1"/>
  <c r="BT573" i="18"/>
  <c r="BT575" i="18"/>
  <c r="BT578" i="18"/>
  <c r="BT579" i="18"/>
  <c r="BT580" i="18"/>
  <c r="BT572" i="18"/>
  <c r="CQ22" i="16" l="1"/>
  <c r="BU579" i="18"/>
  <c r="BW579" i="18" s="1"/>
  <c r="BU574" i="18"/>
  <c r="BW574" i="18" s="1"/>
  <c r="BX574" i="18" s="1"/>
  <c r="BY574" i="18" s="1"/>
  <c r="BZ574" i="18" s="1"/>
  <c r="CA574" i="18" s="1"/>
  <c r="CC574" i="18" s="1"/>
  <c r="CD574" i="18" s="1"/>
  <c r="CE574" i="18" s="1"/>
  <c r="CF574" i="18" s="1"/>
  <c r="CG574" i="18" s="1"/>
  <c r="CI574" i="18" s="1"/>
  <c r="CJ574" i="18" s="1"/>
  <c r="CK574" i="18" s="1"/>
  <c r="CL574" i="18" s="1"/>
  <c r="CM574" i="18" s="1"/>
  <c r="CO574" i="18" s="1"/>
  <c r="CP574" i="18" s="1"/>
  <c r="CQ574" i="18" s="1"/>
  <c r="CR574" i="18" s="1"/>
  <c r="CS574" i="18" s="1"/>
  <c r="BU577" i="18"/>
  <c r="BW577" i="18" s="1"/>
  <c r="BU580" i="18"/>
  <c r="BW580" i="18" s="1"/>
  <c r="BU578" i="18"/>
  <c r="BW578" i="18" s="1"/>
  <c r="BU572" i="18"/>
  <c r="BW572" i="18" s="1"/>
  <c r="BU573" i="18"/>
  <c r="BW573" i="18" s="1"/>
  <c r="BX571" i="18"/>
  <c r="BU576" i="18"/>
  <c r="BW576" i="18" s="1"/>
  <c r="BU575" i="18"/>
  <c r="BW575" i="18" s="1"/>
  <c r="CR22" i="16" l="1"/>
  <c r="CS22" i="16" s="1"/>
  <c r="BX572" i="18"/>
  <c r="BX577" i="18"/>
  <c r="BX576" i="18"/>
  <c r="BX580" i="18"/>
  <c r="BX573" i="18"/>
  <c r="BX579" i="18"/>
  <c r="BX575" i="18"/>
  <c r="BY571" i="18"/>
  <c r="BX578" i="18"/>
  <c r="BY575" i="18" l="1"/>
  <c r="BY580" i="18"/>
  <c r="BY573" i="18"/>
  <c r="BY572" i="18"/>
  <c r="BZ571" i="18"/>
  <c r="BY577" i="18"/>
  <c r="BY578" i="18"/>
  <c r="BY579" i="18"/>
  <c r="BY576" i="18"/>
  <c r="BL148" i="16"/>
  <c r="BK148" i="16"/>
  <c r="BL147" i="16"/>
  <c r="BK147" i="16"/>
  <c r="BH148" i="16"/>
  <c r="BG148" i="16"/>
  <c r="BF148" i="16"/>
  <c r="BH147" i="16"/>
  <c r="BG147" i="16"/>
  <c r="BF147" i="16"/>
  <c r="BE147" i="16"/>
  <c r="AZ149" i="16"/>
  <c r="AY149" i="16"/>
  <c r="BB148" i="16"/>
  <c r="BA148" i="16"/>
  <c r="AZ148" i="16"/>
  <c r="AY148" i="16"/>
  <c r="BB147" i="16"/>
  <c r="BA147" i="16"/>
  <c r="AZ147" i="16"/>
  <c r="AY147" i="16"/>
  <c r="AV149" i="16"/>
  <c r="AU149" i="16"/>
  <c r="AV148" i="16"/>
  <c r="AU148" i="16"/>
  <c r="AT148" i="16"/>
  <c r="AS148" i="16"/>
  <c r="AV147" i="16"/>
  <c r="AU147" i="16"/>
  <c r="AT147" i="16"/>
  <c r="AS147" i="16"/>
  <c r="AO149" i="16"/>
  <c r="AN149" i="16"/>
  <c r="AM149" i="16"/>
  <c r="AP148" i="16"/>
  <c r="AO148" i="16"/>
  <c r="AN148" i="16"/>
  <c r="AP147" i="16"/>
  <c r="AO147" i="16"/>
  <c r="AN147" i="16"/>
  <c r="AM147" i="16"/>
  <c r="AJ149" i="16"/>
  <c r="AI149" i="16"/>
  <c r="AH149" i="16"/>
  <c r="AG149" i="16"/>
  <c r="AJ148" i="16"/>
  <c r="AI148" i="16"/>
  <c r="AH148" i="16"/>
  <c r="AG148" i="16"/>
  <c r="AJ147" i="16"/>
  <c r="AI147" i="16"/>
  <c r="AH147" i="16"/>
  <c r="AG147" i="16"/>
  <c r="AD149" i="16"/>
  <c r="AC149" i="16"/>
  <c r="AB149" i="16"/>
  <c r="AA149" i="16"/>
  <c r="AD148" i="16"/>
  <c r="AC148" i="16"/>
  <c r="AB148" i="16"/>
  <c r="AA148" i="16"/>
  <c r="AD147" i="16"/>
  <c r="AC147" i="16"/>
  <c r="AB147" i="16"/>
  <c r="AA147" i="16"/>
  <c r="X149" i="16"/>
  <c r="W149" i="16"/>
  <c r="V149" i="16"/>
  <c r="U149" i="16"/>
  <c r="X148" i="16"/>
  <c r="W148" i="16"/>
  <c r="V148" i="16"/>
  <c r="U148" i="16"/>
  <c r="X147" i="16"/>
  <c r="W147" i="16"/>
  <c r="V147" i="16"/>
  <c r="U147" i="16"/>
  <c r="R149" i="16"/>
  <c r="Q149" i="16"/>
  <c r="P149" i="16"/>
  <c r="O149" i="16"/>
  <c r="R148" i="16"/>
  <c r="Q148" i="16"/>
  <c r="P148" i="16"/>
  <c r="O148" i="16"/>
  <c r="R147" i="16"/>
  <c r="Q147" i="16"/>
  <c r="P147" i="16"/>
  <c r="O147" i="16"/>
  <c r="K149" i="16"/>
  <c r="J149" i="16"/>
  <c r="I149" i="16"/>
  <c r="L148" i="16"/>
  <c r="K148" i="16"/>
  <c r="J148" i="16"/>
  <c r="I148" i="16"/>
  <c r="L147" i="16"/>
  <c r="K147" i="16"/>
  <c r="J147" i="16"/>
  <c r="I147" i="16"/>
  <c r="E149" i="16"/>
  <c r="D149" i="16"/>
  <c r="C149" i="16"/>
  <c r="E148" i="16"/>
  <c r="D148" i="16"/>
  <c r="C148" i="16"/>
  <c r="F147" i="16"/>
  <c r="E147" i="16"/>
  <c r="D147" i="16"/>
  <c r="C147" i="16"/>
  <c r="F144" i="16"/>
  <c r="E144" i="16"/>
  <c r="D144" i="16"/>
  <c r="C144" i="16"/>
  <c r="E143" i="16"/>
  <c r="D143" i="16"/>
  <c r="C143" i="16"/>
  <c r="F142" i="16"/>
  <c r="E142" i="16"/>
  <c r="D142" i="16"/>
  <c r="C142" i="16"/>
  <c r="F141" i="16"/>
  <c r="E141" i="16"/>
  <c r="D141" i="16"/>
  <c r="C141" i="16"/>
  <c r="F140" i="16"/>
  <c r="E140" i="16"/>
  <c r="D140" i="16"/>
  <c r="C140" i="16"/>
  <c r="F139" i="16"/>
  <c r="E139" i="16"/>
  <c r="D139" i="16"/>
  <c r="C139" i="16"/>
  <c r="F138" i="16"/>
  <c r="E138" i="16"/>
  <c r="D138" i="16"/>
  <c r="C138" i="16"/>
  <c r="H134" i="16"/>
  <c r="G134" i="16"/>
  <c r="BW134" i="16"/>
  <c r="BQ134" i="16"/>
  <c r="BL144" i="16"/>
  <c r="BK144" i="16"/>
  <c r="BL143" i="16"/>
  <c r="BK143" i="16"/>
  <c r="BL142" i="16"/>
  <c r="BK142" i="16"/>
  <c r="BL141" i="16"/>
  <c r="BK141" i="16"/>
  <c r="BL140" i="16"/>
  <c r="BK140" i="16"/>
  <c r="BL139" i="16"/>
  <c r="BK139" i="16"/>
  <c r="BL138" i="16"/>
  <c r="BK138" i="16"/>
  <c r="BH144" i="16"/>
  <c r="BG144" i="16"/>
  <c r="BF144" i="16"/>
  <c r="BE144" i="16"/>
  <c r="BH143" i="16"/>
  <c r="BG143" i="16"/>
  <c r="BF143" i="16"/>
  <c r="BE143" i="16"/>
  <c r="BH142" i="16"/>
  <c r="BG142" i="16"/>
  <c r="BF142" i="16"/>
  <c r="BE142" i="16"/>
  <c r="BH141" i="16"/>
  <c r="BG141" i="16"/>
  <c r="BF141" i="16"/>
  <c r="BE141" i="16"/>
  <c r="BH140" i="16"/>
  <c r="BG140" i="16"/>
  <c r="BF140" i="16"/>
  <c r="BE140" i="16"/>
  <c r="BH139" i="16"/>
  <c r="BG139" i="16"/>
  <c r="BF139" i="16"/>
  <c r="BE139" i="16"/>
  <c r="BH138" i="16"/>
  <c r="BG138" i="16"/>
  <c r="BF138" i="16"/>
  <c r="BE138" i="16"/>
  <c r="BB144" i="16"/>
  <c r="BA144" i="16"/>
  <c r="AZ144" i="16"/>
  <c r="AY144" i="16"/>
  <c r="BB143" i="16"/>
  <c r="BA143" i="16"/>
  <c r="AZ143" i="16"/>
  <c r="AY143" i="16"/>
  <c r="BB142" i="16"/>
  <c r="BA142" i="16"/>
  <c r="AZ142" i="16"/>
  <c r="AY142" i="16"/>
  <c r="BB141" i="16"/>
  <c r="BA141" i="16"/>
  <c r="AZ141" i="16"/>
  <c r="AY141" i="16"/>
  <c r="BB140" i="16"/>
  <c r="BA140" i="16"/>
  <c r="AZ140" i="16"/>
  <c r="AY140" i="16"/>
  <c r="BB139" i="16"/>
  <c r="BA139" i="16"/>
  <c r="AZ139" i="16"/>
  <c r="AY139" i="16"/>
  <c r="BB138" i="16"/>
  <c r="BA138" i="16"/>
  <c r="AZ138" i="16"/>
  <c r="AY138" i="16"/>
  <c r="AV144" i="16"/>
  <c r="AU144" i="16"/>
  <c r="AT144" i="16"/>
  <c r="AS144" i="16"/>
  <c r="AV143" i="16"/>
  <c r="AU143" i="16"/>
  <c r="AT143" i="16"/>
  <c r="AS143" i="16"/>
  <c r="AV142" i="16"/>
  <c r="AU142" i="16"/>
  <c r="AT142" i="16"/>
  <c r="AS142" i="16"/>
  <c r="AV141" i="16"/>
  <c r="AU141" i="16"/>
  <c r="AT141" i="16"/>
  <c r="AS141" i="16"/>
  <c r="AV140" i="16"/>
  <c r="AU140" i="16"/>
  <c r="AT140" i="16"/>
  <c r="AS140" i="16"/>
  <c r="AV139" i="16"/>
  <c r="AU139" i="16"/>
  <c r="AT139" i="16"/>
  <c r="AS139" i="16"/>
  <c r="AV138" i="16"/>
  <c r="AU138" i="16"/>
  <c r="AT138" i="16"/>
  <c r="AS138" i="16"/>
  <c r="AP144" i="16"/>
  <c r="AO144" i="16"/>
  <c r="AN144" i="16"/>
  <c r="AM144" i="16"/>
  <c r="AP143" i="16"/>
  <c r="AO143" i="16"/>
  <c r="AN143" i="16"/>
  <c r="AM143" i="16"/>
  <c r="AP142" i="16"/>
  <c r="AO142" i="16"/>
  <c r="AN142" i="16"/>
  <c r="AM142" i="16"/>
  <c r="AP141" i="16"/>
  <c r="AO141" i="16"/>
  <c r="AN141" i="16"/>
  <c r="AM141" i="16"/>
  <c r="AP140" i="16"/>
  <c r="AO140" i="16"/>
  <c r="AN140" i="16"/>
  <c r="AM140" i="16"/>
  <c r="AP139" i="16"/>
  <c r="AO139" i="16"/>
  <c r="AN139" i="16"/>
  <c r="AM139" i="16"/>
  <c r="AP138" i="16"/>
  <c r="AO138" i="16"/>
  <c r="AN138" i="16"/>
  <c r="AM138" i="16"/>
  <c r="AJ144" i="16"/>
  <c r="AI144" i="16"/>
  <c r="AH144" i="16"/>
  <c r="AG144" i="16"/>
  <c r="AJ143" i="16"/>
  <c r="AI143" i="16"/>
  <c r="AH143" i="16"/>
  <c r="AG143" i="16"/>
  <c r="AJ142" i="16"/>
  <c r="AI142" i="16"/>
  <c r="AH142" i="16"/>
  <c r="AG142" i="16"/>
  <c r="AJ141" i="16"/>
  <c r="AI141" i="16"/>
  <c r="AH141" i="16"/>
  <c r="AG141" i="16"/>
  <c r="AJ140" i="16"/>
  <c r="AI140" i="16"/>
  <c r="AH140" i="16"/>
  <c r="AG140" i="16"/>
  <c r="AJ139" i="16"/>
  <c r="AI139" i="16"/>
  <c r="AH139" i="16"/>
  <c r="AG139" i="16"/>
  <c r="AJ138" i="16"/>
  <c r="AI138" i="16"/>
  <c r="AH138" i="16"/>
  <c r="AG138" i="16"/>
  <c r="AD144" i="16"/>
  <c r="AC144" i="16"/>
  <c r="AB144" i="16"/>
  <c r="AA144" i="16"/>
  <c r="AD143" i="16"/>
  <c r="AC143" i="16"/>
  <c r="AB143" i="16"/>
  <c r="AA143" i="16"/>
  <c r="AD142" i="16"/>
  <c r="AC142" i="16"/>
  <c r="AB142" i="16"/>
  <c r="AA142" i="16"/>
  <c r="AD141" i="16"/>
  <c r="AC141" i="16"/>
  <c r="AB141" i="16"/>
  <c r="AA141" i="16"/>
  <c r="AD140" i="16"/>
  <c r="AC140" i="16"/>
  <c r="AD139" i="16"/>
  <c r="AC139" i="16"/>
  <c r="AB139" i="16"/>
  <c r="AA139" i="16"/>
  <c r="AD138" i="16"/>
  <c r="AC138" i="16"/>
  <c r="AB138" i="16"/>
  <c r="AA138" i="16"/>
  <c r="X144" i="16"/>
  <c r="W144" i="16"/>
  <c r="V144" i="16"/>
  <c r="U144" i="16"/>
  <c r="X142" i="16"/>
  <c r="W142" i="16"/>
  <c r="V142" i="16"/>
  <c r="U142" i="16"/>
  <c r="X141" i="16"/>
  <c r="W141" i="16"/>
  <c r="V141" i="16"/>
  <c r="U141" i="16"/>
  <c r="X140" i="16"/>
  <c r="X139" i="16"/>
  <c r="W139" i="16"/>
  <c r="V139" i="16"/>
  <c r="U139" i="16"/>
  <c r="X138" i="16"/>
  <c r="W138" i="16"/>
  <c r="V138" i="16"/>
  <c r="U138" i="16"/>
  <c r="R144" i="16"/>
  <c r="Q144" i="16"/>
  <c r="P144" i="16"/>
  <c r="O144" i="16"/>
  <c r="Q143" i="16"/>
  <c r="P143" i="16"/>
  <c r="R142" i="16"/>
  <c r="Q142" i="16"/>
  <c r="P142" i="16"/>
  <c r="O142" i="16"/>
  <c r="R141" i="16"/>
  <c r="Q141" i="16"/>
  <c r="P141" i="16"/>
  <c r="O141" i="16"/>
  <c r="R140" i="16"/>
  <c r="O140" i="16"/>
  <c r="R139" i="16"/>
  <c r="Q139" i="16"/>
  <c r="P139" i="16"/>
  <c r="O139" i="16"/>
  <c r="R138" i="16"/>
  <c r="Q138" i="16"/>
  <c r="P138" i="16"/>
  <c r="O138" i="16"/>
  <c r="L144" i="16"/>
  <c r="K144" i="16"/>
  <c r="J144" i="16"/>
  <c r="I144" i="16"/>
  <c r="K143" i="16"/>
  <c r="J143" i="16"/>
  <c r="I143" i="16"/>
  <c r="L142" i="16"/>
  <c r="K142" i="16"/>
  <c r="J142" i="16"/>
  <c r="I142" i="16"/>
  <c r="L141" i="16"/>
  <c r="K141" i="16"/>
  <c r="J141" i="16"/>
  <c r="I141" i="16"/>
  <c r="L140" i="16"/>
  <c r="L139" i="16"/>
  <c r="K139" i="16"/>
  <c r="J139" i="16"/>
  <c r="I139" i="16"/>
  <c r="L138" i="16"/>
  <c r="K138" i="16"/>
  <c r="J138" i="16"/>
  <c r="I138" i="16"/>
  <c r="BL123" i="16"/>
  <c r="BM120" i="16" s="1"/>
  <c r="BM122" i="16" s="1"/>
  <c r="BK123" i="16"/>
  <c r="BL120" i="16" s="1"/>
  <c r="CG122" i="16"/>
  <c r="CA122" i="16"/>
  <c r="BU122" i="16"/>
  <c r="BH123" i="16"/>
  <c r="BO120" i="16" s="1"/>
  <c r="BG123" i="16"/>
  <c r="BH120" i="16" s="1"/>
  <c r="BF123" i="16"/>
  <c r="BG120" i="16" s="1"/>
  <c r="BE123" i="16"/>
  <c r="BF120" i="16" s="1"/>
  <c r="BB123" i="16"/>
  <c r="BA123" i="16"/>
  <c r="BB120" i="16" s="1"/>
  <c r="AZ123" i="16"/>
  <c r="BA120" i="16" s="1"/>
  <c r="AY123" i="16"/>
  <c r="AZ120" i="16" s="1"/>
  <c r="AV123" i="16"/>
  <c r="BC120" i="16" s="1"/>
  <c r="AU123" i="16"/>
  <c r="AV120" i="16" s="1"/>
  <c r="AT123" i="16"/>
  <c r="AU120" i="16" s="1"/>
  <c r="AS123" i="16"/>
  <c r="AT120" i="16" s="1"/>
  <c r="AP123" i="16"/>
  <c r="AW120" i="16" s="1"/>
  <c r="AO123" i="16"/>
  <c r="AP120" i="16" s="1"/>
  <c r="AN123" i="16"/>
  <c r="AM123" i="16"/>
  <c r="AJ123" i="16"/>
  <c r="AQ120" i="16" s="1"/>
  <c r="AI123" i="16"/>
  <c r="AJ120" i="16" s="1"/>
  <c r="AH123" i="16"/>
  <c r="AG123" i="16"/>
  <c r="AD123" i="16"/>
  <c r="AC123" i="16"/>
  <c r="AB123" i="16"/>
  <c r="AA123" i="16"/>
  <c r="X123" i="16"/>
  <c r="W123" i="16"/>
  <c r="V123" i="16"/>
  <c r="W120" i="16" s="1"/>
  <c r="U123" i="16"/>
  <c r="V120" i="16" s="1"/>
  <c r="R123" i="16"/>
  <c r="Q123" i="16"/>
  <c r="R120" i="16" s="1"/>
  <c r="P123" i="16"/>
  <c r="Q120" i="16" s="1"/>
  <c r="O123" i="16"/>
  <c r="P120" i="16" s="1"/>
  <c r="L123" i="16"/>
  <c r="K123" i="16"/>
  <c r="L120" i="16" s="1"/>
  <c r="J123" i="16"/>
  <c r="K120" i="16" s="1"/>
  <c r="I123" i="16"/>
  <c r="J120" i="16" s="1"/>
  <c r="F123" i="16"/>
  <c r="E123" i="16"/>
  <c r="F120" i="16" s="1"/>
  <c r="D123" i="16"/>
  <c r="E120" i="16" s="1"/>
  <c r="C123" i="16"/>
  <c r="BI121" i="16"/>
  <c r="BC121" i="16"/>
  <c r="AW121" i="16"/>
  <c r="AQ121" i="16"/>
  <c r="AK121" i="16"/>
  <c r="AE121" i="16"/>
  <c r="G120" i="16"/>
  <c r="G117" i="16"/>
  <c r="I112" i="16" s="1"/>
  <c r="CF116" i="16"/>
  <c r="CE116" i="16"/>
  <c r="CD116" i="16"/>
  <c r="CC116" i="16"/>
  <c r="BZ116" i="16"/>
  <c r="BY116" i="16"/>
  <c r="BX116" i="16"/>
  <c r="BW116" i="16"/>
  <c r="BT116" i="16"/>
  <c r="BS116" i="16"/>
  <c r="BR116" i="16"/>
  <c r="BQ116" i="16"/>
  <c r="BL117" i="16"/>
  <c r="BM112" i="16" s="1"/>
  <c r="BK117" i="16"/>
  <c r="BL112" i="16" s="1"/>
  <c r="CC114" i="16"/>
  <c r="BW114" i="16"/>
  <c r="BX114" i="16" s="1"/>
  <c r="BQ114" i="16"/>
  <c r="BR114" i="16" s="1"/>
  <c r="BS114" i="16" s="1"/>
  <c r="BK114" i="16"/>
  <c r="BH117" i="16"/>
  <c r="BG117" i="16"/>
  <c r="BF117" i="16"/>
  <c r="BG112" i="16" s="1"/>
  <c r="BE117" i="16"/>
  <c r="BF112" i="16" s="1"/>
  <c r="BE114" i="16"/>
  <c r="BB117" i="16"/>
  <c r="BA117" i="16"/>
  <c r="BB112" i="16" s="1"/>
  <c r="AZ117" i="16"/>
  <c r="BA112" i="16" s="1"/>
  <c r="AY117" i="16"/>
  <c r="AZ112" i="16" s="1"/>
  <c r="AY114" i="16"/>
  <c r="AV117" i="16"/>
  <c r="AU117" i="16"/>
  <c r="AV112" i="16" s="1"/>
  <c r="AT117" i="16"/>
  <c r="AU112" i="16" s="1"/>
  <c r="AS117" i="16"/>
  <c r="AT112" i="16" s="1"/>
  <c r="AS114" i="16"/>
  <c r="AP117" i="16"/>
  <c r="AO117" i="16"/>
  <c r="AP112" i="16" s="1"/>
  <c r="AN117" i="16"/>
  <c r="AM117" i="16"/>
  <c r="AN112" i="16" s="1"/>
  <c r="AM114" i="16"/>
  <c r="AJ117" i="16"/>
  <c r="AI117" i="16"/>
  <c r="AH117" i="16"/>
  <c r="AI112" i="16" s="1"/>
  <c r="AG117" i="16"/>
  <c r="AH112" i="16" s="1"/>
  <c r="AG114" i="16"/>
  <c r="AD117" i="16"/>
  <c r="AC117" i="16"/>
  <c r="AD112" i="16" s="1"/>
  <c r="AB117" i="16"/>
  <c r="AC112" i="16" s="1"/>
  <c r="AA117" i="16"/>
  <c r="AB112" i="16" s="1"/>
  <c r="AA114" i="16"/>
  <c r="X117" i="16"/>
  <c r="W117" i="16"/>
  <c r="X112" i="16" s="1"/>
  <c r="V117" i="16"/>
  <c r="W112" i="16" s="1"/>
  <c r="U117" i="16"/>
  <c r="V112" i="16" s="1"/>
  <c r="U114" i="16"/>
  <c r="R117" i="16"/>
  <c r="Q117" i="16"/>
  <c r="R112" i="16" s="1"/>
  <c r="P117" i="16"/>
  <c r="Q112" i="16" s="1"/>
  <c r="O117" i="16"/>
  <c r="P112" i="16" s="1"/>
  <c r="O114" i="16"/>
  <c r="L117" i="16"/>
  <c r="K117" i="16"/>
  <c r="L112" i="16" s="1"/>
  <c r="J117" i="16"/>
  <c r="K112" i="16" s="1"/>
  <c r="I117" i="16"/>
  <c r="J112" i="16" s="1"/>
  <c r="I114" i="16"/>
  <c r="BI113" i="16"/>
  <c r="BC113" i="16"/>
  <c r="AW113" i="16"/>
  <c r="AQ113" i="16"/>
  <c r="AK113" i="16"/>
  <c r="AE113" i="16"/>
  <c r="BL106" i="16"/>
  <c r="BK106" i="16"/>
  <c r="BH106" i="16"/>
  <c r="BG106" i="16"/>
  <c r="BF106" i="16"/>
  <c r="BE106" i="16"/>
  <c r="BB106" i="16"/>
  <c r="BA106" i="16"/>
  <c r="AZ106" i="16"/>
  <c r="AY106" i="16"/>
  <c r="AV106" i="16"/>
  <c r="AU106" i="16"/>
  <c r="AT106" i="16"/>
  <c r="AS106" i="16"/>
  <c r="AP106" i="16"/>
  <c r="AO106" i="16"/>
  <c r="AN106" i="16"/>
  <c r="AM106" i="16"/>
  <c r="AJ106" i="16"/>
  <c r="AI106" i="16"/>
  <c r="AH106" i="16"/>
  <c r="AG106" i="16"/>
  <c r="AD106" i="16"/>
  <c r="AC106" i="16"/>
  <c r="AB106" i="16"/>
  <c r="AA106" i="16"/>
  <c r="X106" i="16"/>
  <c r="W106" i="16"/>
  <c r="V106" i="16"/>
  <c r="U106" i="16"/>
  <c r="R106" i="16"/>
  <c r="Q106" i="16"/>
  <c r="P106" i="16"/>
  <c r="O106" i="16"/>
  <c r="L106" i="16"/>
  <c r="K106" i="16"/>
  <c r="J106" i="16"/>
  <c r="I106" i="16"/>
  <c r="F106" i="16"/>
  <c r="E106" i="16"/>
  <c r="D106" i="16"/>
  <c r="C106" i="16"/>
  <c r="G100" i="16"/>
  <c r="CG103" i="16"/>
  <c r="CA103" i="16"/>
  <c r="BU103" i="16"/>
  <c r="C101" i="16"/>
  <c r="C102" i="16" s="1"/>
  <c r="BR102" i="16"/>
  <c r="BS102" i="16" s="1"/>
  <c r="BT102" i="16" s="1"/>
  <c r="BW102" i="16" s="1"/>
  <c r="BX102" i="16" s="1"/>
  <c r="BY102" i="16" s="1"/>
  <c r="BZ102" i="16" s="1"/>
  <c r="CC102" i="16" s="1"/>
  <c r="CD102" i="16" s="1"/>
  <c r="CE102" i="16" s="1"/>
  <c r="CF102" i="16" s="1"/>
  <c r="CI102" i="16" s="1"/>
  <c r="CJ102" i="16" s="1"/>
  <c r="CK102" i="16" s="1"/>
  <c r="CL102" i="16" s="1"/>
  <c r="CO102" i="16" s="1"/>
  <c r="CP102" i="16" s="1"/>
  <c r="CQ102" i="16" s="1"/>
  <c r="CR102" i="16" s="1"/>
  <c r="BK101" i="16"/>
  <c r="BE101" i="16"/>
  <c r="AY101" i="16"/>
  <c r="AS101" i="16"/>
  <c r="AM101" i="16"/>
  <c r="AG101" i="16"/>
  <c r="AA101" i="16"/>
  <c r="U101" i="16"/>
  <c r="O101" i="16"/>
  <c r="I101" i="16"/>
  <c r="AK96" i="16"/>
  <c r="AE96" i="16"/>
  <c r="CG97" i="16"/>
  <c r="CA97" i="16"/>
  <c r="BU97" i="16"/>
  <c r="BO97" i="16"/>
  <c r="BI97" i="16"/>
  <c r="BI96" i="16"/>
  <c r="BC97" i="16"/>
  <c r="BC96" i="16"/>
  <c r="AW97" i="16"/>
  <c r="AW96" i="16"/>
  <c r="AQ97" i="16"/>
  <c r="AQ96" i="16"/>
  <c r="C94" i="16"/>
  <c r="BR95" i="16"/>
  <c r="BS95" i="16" s="1"/>
  <c r="BT95" i="16" s="1"/>
  <c r="BW95" i="16" s="1"/>
  <c r="BX95" i="16" s="1"/>
  <c r="BK94" i="16"/>
  <c r="BE94" i="16"/>
  <c r="AY94" i="16"/>
  <c r="AS94" i="16"/>
  <c r="AM94" i="16"/>
  <c r="AG94" i="16"/>
  <c r="AA94" i="16"/>
  <c r="U94" i="16"/>
  <c r="O94" i="16"/>
  <c r="I94" i="16"/>
  <c r="G93" i="16"/>
  <c r="BL88" i="16"/>
  <c r="BK88" i="16"/>
  <c r="BH88" i="16"/>
  <c r="BG88" i="16"/>
  <c r="BF88" i="16"/>
  <c r="BE88" i="16"/>
  <c r="BB88" i="16"/>
  <c r="BA88" i="16"/>
  <c r="AZ88" i="16"/>
  <c r="AY88" i="16"/>
  <c r="AV88" i="16"/>
  <c r="AU88" i="16"/>
  <c r="AT88" i="16"/>
  <c r="AS88" i="16"/>
  <c r="AP88" i="16"/>
  <c r="AO88" i="16"/>
  <c r="AN88" i="16"/>
  <c r="AJ88" i="16"/>
  <c r="AI88" i="16"/>
  <c r="AH88" i="16"/>
  <c r="AD88" i="16"/>
  <c r="AC88" i="16"/>
  <c r="AB88" i="16"/>
  <c r="X88" i="16"/>
  <c r="W88" i="16"/>
  <c r="V88" i="16"/>
  <c r="R88" i="16"/>
  <c r="Q88" i="16"/>
  <c r="P88" i="16"/>
  <c r="CG87" i="16"/>
  <c r="CA87" i="16"/>
  <c r="BU87" i="16"/>
  <c r="BO87" i="16"/>
  <c r="BI87" i="16"/>
  <c r="BC87" i="16"/>
  <c r="AW87" i="16"/>
  <c r="AQ87" i="16"/>
  <c r="AK87" i="16"/>
  <c r="AE87" i="16"/>
  <c r="Y87" i="16"/>
  <c r="S87" i="16"/>
  <c r="M87" i="16"/>
  <c r="G87" i="16"/>
  <c r="G84" i="16"/>
  <c r="BL85" i="16"/>
  <c r="BB85" i="16"/>
  <c r="BA85" i="16"/>
  <c r="AZ85" i="16"/>
  <c r="AV85" i="16"/>
  <c r="AU85" i="16"/>
  <c r="AT85" i="16"/>
  <c r="AO85" i="16"/>
  <c r="AN85" i="16"/>
  <c r="AJ85" i="16"/>
  <c r="AI85" i="16"/>
  <c r="AH85" i="16"/>
  <c r="AD85" i="16"/>
  <c r="AC85" i="16"/>
  <c r="AB85" i="16"/>
  <c r="W85" i="16"/>
  <c r="V85" i="16"/>
  <c r="R85" i="16"/>
  <c r="Q85" i="16"/>
  <c r="P85" i="16"/>
  <c r="BR81" i="16"/>
  <c r="BS81" i="16" s="1"/>
  <c r="BR80" i="16"/>
  <c r="BS80" i="16" s="1"/>
  <c r="BT80" i="16" s="1"/>
  <c r="BR79" i="16"/>
  <c r="BS79" i="16" s="1"/>
  <c r="BT79" i="16" s="1"/>
  <c r="K58" i="16"/>
  <c r="J58" i="16"/>
  <c r="I58" i="16"/>
  <c r="E58" i="16"/>
  <c r="D58" i="16"/>
  <c r="C58" i="16"/>
  <c r="BL45" i="16"/>
  <c r="BK45" i="16"/>
  <c r="BH45" i="16"/>
  <c r="BG45" i="16"/>
  <c r="BF45" i="16"/>
  <c r="BE45" i="16"/>
  <c r="BB45" i="16"/>
  <c r="BA45" i="16"/>
  <c r="AZ45" i="16"/>
  <c r="AY45" i="16"/>
  <c r="AV45" i="16"/>
  <c r="AU45" i="16"/>
  <c r="AS45" i="16"/>
  <c r="AI45" i="16"/>
  <c r="X45" i="16"/>
  <c r="W45" i="16"/>
  <c r="V45" i="16"/>
  <c r="U45" i="16"/>
  <c r="Q45" i="16"/>
  <c r="P45" i="16"/>
  <c r="O45" i="16"/>
  <c r="L45" i="16"/>
  <c r="K45" i="16"/>
  <c r="J45" i="16"/>
  <c r="I45" i="16"/>
  <c r="F45" i="16"/>
  <c r="E45" i="16"/>
  <c r="D45" i="16"/>
  <c r="C45" i="16"/>
  <c r="BL40" i="16"/>
  <c r="BK40" i="16"/>
  <c r="BH40" i="16"/>
  <c r="BE40" i="16"/>
  <c r="BE171" i="16" s="1"/>
  <c r="BB40" i="16"/>
  <c r="BA40" i="16"/>
  <c r="AZ40" i="16"/>
  <c r="AY40" i="16"/>
  <c r="AY171" i="16" s="1"/>
  <c r="AV40" i="16"/>
  <c r="AU40" i="16"/>
  <c r="AT40" i="16"/>
  <c r="AT171" i="16" s="1"/>
  <c r="AS40" i="16"/>
  <c r="AO40" i="16"/>
  <c r="AO171" i="16" s="1"/>
  <c r="AN40" i="16"/>
  <c r="AN171" i="16" s="1"/>
  <c r="AM40" i="16"/>
  <c r="AM171" i="16" s="1"/>
  <c r="AJ40" i="16"/>
  <c r="AJ171" i="16" s="1"/>
  <c r="AI40" i="16"/>
  <c r="AH40" i="16"/>
  <c r="AG40" i="16"/>
  <c r="AG171" i="16" s="1"/>
  <c r="AD40" i="16"/>
  <c r="AD171" i="16" s="1"/>
  <c r="AC40" i="16"/>
  <c r="AC171" i="16" s="1"/>
  <c r="AB40" i="16"/>
  <c r="AB171" i="16" s="1"/>
  <c r="AA40" i="16"/>
  <c r="AA171" i="16" s="1"/>
  <c r="W40" i="16"/>
  <c r="V40" i="16"/>
  <c r="U40" i="16"/>
  <c r="R40" i="16"/>
  <c r="R171" i="16" s="1"/>
  <c r="Q40" i="16"/>
  <c r="P40" i="16"/>
  <c r="P171" i="16" s="1"/>
  <c r="O40" i="16"/>
  <c r="O171" i="16" s="1"/>
  <c r="L40" i="16"/>
  <c r="L171" i="16" s="1"/>
  <c r="F40" i="16"/>
  <c r="F171" i="16" s="1"/>
  <c r="BI39" i="16"/>
  <c r="BI38" i="16"/>
  <c r="BI37" i="16"/>
  <c r="BI36" i="16"/>
  <c r="BI35" i="16"/>
  <c r="BG39" i="16"/>
  <c r="BC39" i="16"/>
  <c r="BC38" i="16"/>
  <c r="BC37" i="16"/>
  <c r="BC36" i="16"/>
  <c r="BC35" i="16"/>
  <c r="AW39" i="16"/>
  <c r="AW38" i="16"/>
  <c r="AW37" i="16"/>
  <c r="AW36" i="16"/>
  <c r="AW35" i="16"/>
  <c r="AP39" i="16"/>
  <c r="AQ39" i="16" s="1"/>
  <c r="AK39" i="16"/>
  <c r="AK38" i="16"/>
  <c r="AK37" i="16"/>
  <c r="AM88" i="16" s="1"/>
  <c r="AK36" i="16"/>
  <c r="AK35" i="16"/>
  <c r="AE39" i="16"/>
  <c r="AE38" i="16"/>
  <c r="AE37" i="16"/>
  <c r="AG88" i="16" s="1"/>
  <c r="AE36" i="16"/>
  <c r="AE35" i="16"/>
  <c r="X39" i="16"/>
  <c r="Y39" i="16" s="1"/>
  <c r="S39" i="16"/>
  <c r="S38" i="16"/>
  <c r="S37" i="16"/>
  <c r="U88" i="16" s="1"/>
  <c r="S36" i="16"/>
  <c r="S35" i="16"/>
  <c r="M39" i="16"/>
  <c r="M38" i="16"/>
  <c r="M37" i="16"/>
  <c r="O88" i="16" s="1"/>
  <c r="M36" i="16"/>
  <c r="M35" i="16"/>
  <c r="G39" i="16"/>
  <c r="I39" i="16" s="1"/>
  <c r="G38" i="16"/>
  <c r="G37" i="16"/>
  <c r="G36" i="16"/>
  <c r="I36" i="16" s="1"/>
  <c r="G35" i="16"/>
  <c r="C39" i="16"/>
  <c r="AQ38" i="16"/>
  <c r="AQ37" i="16"/>
  <c r="AQ36" i="16"/>
  <c r="AQ35" i="16"/>
  <c r="Y38" i="16"/>
  <c r="Y37" i="16"/>
  <c r="AA88" i="16" s="1"/>
  <c r="Y36" i="16"/>
  <c r="Y35" i="16"/>
  <c r="BF36" i="16"/>
  <c r="BF85" i="16" s="1"/>
  <c r="D35" i="16"/>
  <c r="E35" i="16" s="1"/>
  <c r="BI32" i="16"/>
  <c r="BI29" i="16"/>
  <c r="BI28" i="16"/>
  <c r="BI27" i="16"/>
  <c r="BI26" i="16"/>
  <c r="BC32" i="16"/>
  <c r="BC29" i="16"/>
  <c r="BC28" i="16"/>
  <c r="BE28" i="16" s="1"/>
  <c r="BC27" i="16"/>
  <c r="BC26" i="16"/>
  <c r="AW32" i="16"/>
  <c r="AW31" i="16"/>
  <c r="AW29" i="16"/>
  <c r="AW28" i="16"/>
  <c r="AW27" i="16"/>
  <c r="AW26" i="16"/>
  <c r="AT32" i="16"/>
  <c r="AT31" i="16"/>
  <c r="AT30" i="16"/>
  <c r="AP32" i="16"/>
  <c r="AP164" i="16" s="1"/>
  <c r="AO32" i="16"/>
  <c r="AO164" i="16" s="1"/>
  <c r="AN32" i="16"/>
  <c r="AM32" i="16"/>
  <c r="AJ32" i="16"/>
  <c r="AJ164" i="16" s="1"/>
  <c r="AH32" i="16"/>
  <c r="AG32" i="16"/>
  <c r="AD32" i="16"/>
  <c r="AD164" i="16" s="1"/>
  <c r="AC32" i="16"/>
  <c r="AC164" i="16" s="1"/>
  <c r="AB32" i="16"/>
  <c r="AB45" i="16" s="1"/>
  <c r="AA32" i="16"/>
  <c r="AA164" i="16" s="1"/>
  <c r="Y32" i="16"/>
  <c r="Y31" i="16"/>
  <c r="Y29" i="16"/>
  <c r="Y28" i="16"/>
  <c r="Y27" i="16"/>
  <c r="Y26" i="16"/>
  <c r="R32" i="16"/>
  <c r="S32" i="16" s="1"/>
  <c r="M32" i="16"/>
  <c r="M29" i="16"/>
  <c r="M28" i="16"/>
  <c r="M27" i="16"/>
  <c r="M26" i="16"/>
  <c r="M147" i="16" s="1"/>
  <c r="G32" i="16"/>
  <c r="G29" i="16"/>
  <c r="G28" i="16"/>
  <c r="G26" i="16"/>
  <c r="AS31" i="16"/>
  <c r="AS30" i="16"/>
  <c r="AK31" i="16"/>
  <c r="AK29" i="16"/>
  <c r="AK28" i="16"/>
  <c r="AK27" i="16"/>
  <c r="AK26" i="16"/>
  <c r="AE31" i="16"/>
  <c r="AE29" i="16"/>
  <c r="AE28" i="16"/>
  <c r="AE27" i="16"/>
  <c r="AE26" i="16"/>
  <c r="S31" i="16"/>
  <c r="S28" i="16"/>
  <c r="S27" i="16"/>
  <c r="S26" i="16"/>
  <c r="S147" i="16" s="1"/>
  <c r="L31" i="16"/>
  <c r="L166" i="16" s="1"/>
  <c r="L30" i="16"/>
  <c r="F31" i="16"/>
  <c r="G31" i="16" s="1"/>
  <c r="BL31" i="16"/>
  <c r="BK31" i="16"/>
  <c r="BL30" i="16"/>
  <c r="BK30" i="16"/>
  <c r="BH31" i="16"/>
  <c r="BH166" i="16" s="1"/>
  <c r="BG31" i="16"/>
  <c r="BF31" i="16"/>
  <c r="BF166" i="16" s="1"/>
  <c r="BE31" i="16"/>
  <c r="BH30" i="16"/>
  <c r="BG30" i="16"/>
  <c r="BF30" i="16"/>
  <c r="BB31" i="16"/>
  <c r="BB166" i="16" s="1"/>
  <c r="BA31" i="16"/>
  <c r="BA166" i="16" s="1"/>
  <c r="BB30" i="16"/>
  <c r="BA30" i="16"/>
  <c r="AZ30" i="16"/>
  <c r="AZ33" i="16" s="1"/>
  <c r="AY30" i="16"/>
  <c r="AY33" i="16" s="1"/>
  <c r="AV30" i="16"/>
  <c r="AV33" i="16" s="1"/>
  <c r="AU30" i="16"/>
  <c r="AU33" i="16" s="1"/>
  <c r="AP31" i="16"/>
  <c r="AP166" i="16" s="1"/>
  <c r="AP30" i="16"/>
  <c r="AO30" i="16"/>
  <c r="AN30" i="16"/>
  <c r="AJ30" i="16"/>
  <c r="AI30" i="16"/>
  <c r="AI33" i="16" s="1"/>
  <c r="AH30" i="16"/>
  <c r="AG30" i="16"/>
  <c r="AD30" i="16"/>
  <c r="AC30" i="16"/>
  <c r="AB30" i="16"/>
  <c r="AA30" i="16"/>
  <c r="X30" i="16"/>
  <c r="X33" i="16" s="1"/>
  <c r="W30" i="16"/>
  <c r="W33" i="16" s="1"/>
  <c r="V30" i="16"/>
  <c r="V33" i="16" s="1"/>
  <c r="U30" i="16"/>
  <c r="U33" i="16" s="1"/>
  <c r="Q30" i="16"/>
  <c r="Q33" i="16" s="1"/>
  <c r="P30" i="16"/>
  <c r="P33" i="16" s="1"/>
  <c r="O30" i="16"/>
  <c r="O33" i="16" s="1"/>
  <c r="K30" i="16"/>
  <c r="K33" i="16" s="1"/>
  <c r="K41" i="16" s="1"/>
  <c r="J30" i="16"/>
  <c r="J33" i="16" s="1"/>
  <c r="J41" i="16" s="1"/>
  <c r="I30" i="16"/>
  <c r="I33" i="16" s="1"/>
  <c r="I41" i="16" s="1"/>
  <c r="E30" i="16"/>
  <c r="E33" i="16" s="1"/>
  <c r="E41" i="16" s="1"/>
  <c r="D30" i="16"/>
  <c r="D33" i="16" s="1"/>
  <c r="D41" i="16" s="1"/>
  <c r="C30" i="16"/>
  <c r="C33" i="16" s="1"/>
  <c r="C41" i="16" s="1"/>
  <c r="AQ29" i="16"/>
  <c r="AQ28" i="16"/>
  <c r="AQ27" i="16"/>
  <c r="AQ26" i="16"/>
  <c r="R29" i="16"/>
  <c r="S29" i="16" s="1"/>
  <c r="AM27" i="16"/>
  <c r="F27" i="16"/>
  <c r="BO28" i="16"/>
  <c r="BI23" i="16"/>
  <c r="BI142" i="16" s="1"/>
  <c r="BI22" i="16"/>
  <c r="BI21" i="16"/>
  <c r="BI20" i="16"/>
  <c r="BI176" i="16" s="1"/>
  <c r="BI19" i="16"/>
  <c r="BI175" i="16" s="1"/>
  <c r="BI18" i="16"/>
  <c r="BI141" i="16" s="1"/>
  <c r="BI16" i="16"/>
  <c r="BI15" i="16"/>
  <c r="BI14" i="16"/>
  <c r="BI13" i="16"/>
  <c r="BI12" i="16"/>
  <c r="BI11" i="16"/>
  <c r="BC23" i="16"/>
  <c r="BC142" i="16" s="1"/>
  <c r="BC22" i="16"/>
  <c r="BC21" i="16"/>
  <c r="BC20" i="16"/>
  <c r="BC176" i="16" s="1"/>
  <c r="BC19" i="16"/>
  <c r="BC175" i="16" s="1"/>
  <c r="BC18" i="16"/>
  <c r="BC141" i="16" s="1"/>
  <c r="BC16" i="16"/>
  <c r="BC15" i="16"/>
  <c r="BC14" i="16"/>
  <c r="BC13" i="16"/>
  <c r="BC12" i="16"/>
  <c r="BC11" i="16"/>
  <c r="AW23" i="16"/>
  <c r="AW142" i="16" s="1"/>
  <c r="AW22" i="16"/>
  <c r="AW21" i="16"/>
  <c r="AW20" i="16"/>
  <c r="AW176" i="16" s="1"/>
  <c r="AW19" i="16"/>
  <c r="AW175" i="16" s="1"/>
  <c r="AW18" i="16"/>
  <c r="AW141" i="16" s="1"/>
  <c r="AW16" i="16"/>
  <c r="AW15" i="16"/>
  <c r="AW14" i="16"/>
  <c r="AW13" i="16"/>
  <c r="AW12" i="16"/>
  <c r="AW11" i="16"/>
  <c r="AQ23" i="16"/>
  <c r="AQ142" i="16" s="1"/>
  <c r="AQ22" i="16"/>
  <c r="AQ21" i="16"/>
  <c r="AQ20" i="16"/>
  <c r="AQ176" i="16" s="1"/>
  <c r="AQ19" i="16"/>
  <c r="AQ175" i="16" s="1"/>
  <c r="AQ18" i="16"/>
  <c r="AQ141" i="16" s="1"/>
  <c r="AQ16" i="16"/>
  <c r="AQ15" i="16"/>
  <c r="AQ14" i="16"/>
  <c r="AQ13" i="16"/>
  <c r="AQ12" i="16"/>
  <c r="AQ11" i="16"/>
  <c r="AK23" i="16"/>
  <c r="AK142" i="16" s="1"/>
  <c r="AK22" i="16"/>
  <c r="AK21" i="16"/>
  <c r="AK20" i="16"/>
  <c r="AK19" i="16"/>
  <c r="AK175" i="16" s="1"/>
  <c r="AK18" i="16"/>
  <c r="AK141" i="16" s="1"/>
  <c r="AK16" i="16"/>
  <c r="AK15" i="16"/>
  <c r="AK14" i="16"/>
  <c r="AK139" i="16" s="1"/>
  <c r="AK13" i="16"/>
  <c r="AK138" i="16" s="1"/>
  <c r="AK12" i="16"/>
  <c r="AK11" i="16"/>
  <c r="AE23" i="16"/>
  <c r="AE142" i="16" s="1"/>
  <c r="AE22" i="16"/>
  <c r="AE21" i="16"/>
  <c r="AE20" i="16"/>
  <c r="AE176" i="16" s="1"/>
  <c r="AE19" i="16"/>
  <c r="AE175" i="16" s="1"/>
  <c r="AE18" i="16"/>
  <c r="AE141" i="16" s="1"/>
  <c r="AE16" i="16"/>
  <c r="AE140" i="16" s="1"/>
  <c r="AE15" i="16"/>
  <c r="AE14" i="16"/>
  <c r="AE13" i="16"/>
  <c r="AE12" i="16"/>
  <c r="AE11" i="16"/>
  <c r="Y23" i="16"/>
  <c r="Y142" i="16" s="1"/>
  <c r="Y21" i="16"/>
  <c r="Y20" i="16"/>
  <c r="Y176" i="16" s="1"/>
  <c r="Y19" i="16"/>
  <c r="Y175" i="16" s="1"/>
  <c r="Y18" i="16"/>
  <c r="Y16" i="16"/>
  <c r="Y140" i="16" s="1"/>
  <c r="Y15" i="16"/>
  <c r="Y14" i="16"/>
  <c r="Y13" i="16"/>
  <c r="Y12" i="16"/>
  <c r="Y11" i="16"/>
  <c r="S23" i="16"/>
  <c r="S142" i="16" s="1"/>
  <c r="S21" i="16"/>
  <c r="S20" i="16"/>
  <c r="S19" i="16"/>
  <c r="S175" i="16" s="1"/>
  <c r="S18" i="16"/>
  <c r="S16" i="16"/>
  <c r="S15" i="16"/>
  <c r="S14" i="16"/>
  <c r="S13" i="16"/>
  <c r="S138" i="16" s="1"/>
  <c r="S12" i="16"/>
  <c r="S11" i="16"/>
  <c r="M23" i="16"/>
  <c r="M142" i="16" s="1"/>
  <c r="M21" i="16"/>
  <c r="M117" i="16" s="1"/>
  <c r="M20" i="16"/>
  <c r="M176" i="16" s="1"/>
  <c r="M19" i="16"/>
  <c r="M175" i="16" s="1"/>
  <c r="M18" i="16"/>
  <c r="M16" i="16"/>
  <c r="M15" i="16"/>
  <c r="M14" i="16"/>
  <c r="M13" i="16"/>
  <c r="M12" i="16"/>
  <c r="M11" i="16"/>
  <c r="G23" i="16"/>
  <c r="G142" i="16" s="1"/>
  <c r="G21" i="16"/>
  <c r="G20" i="16"/>
  <c r="G176" i="16" s="1"/>
  <c r="G19" i="16"/>
  <c r="G175" i="16" s="1"/>
  <c r="G18" i="16"/>
  <c r="G16" i="16"/>
  <c r="G15" i="16"/>
  <c r="G14" i="16"/>
  <c r="G13" i="16"/>
  <c r="G12" i="16"/>
  <c r="G11" i="16"/>
  <c r="X22" i="16"/>
  <c r="Y22" i="16" s="1"/>
  <c r="W22" i="16"/>
  <c r="V22" i="16"/>
  <c r="U22" i="16"/>
  <c r="R22" i="16"/>
  <c r="R165" i="16" s="1"/>
  <c r="L22" i="16"/>
  <c r="F22" i="16"/>
  <c r="F165" i="16" s="1"/>
  <c r="BL17" i="16"/>
  <c r="BK17" i="16"/>
  <c r="BK24" i="16" s="1"/>
  <c r="BH17" i="16"/>
  <c r="BG17" i="16"/>
  <c r="BF17" i="16"/>
  <c r="BE17" i="16"/>
  <c r="BE24" i="16" s="1"/>
  <c r="BB17" i="16"/>
  <c r="BA17" i="16"/>
  <c r="BA24" i="16" s="1"/>
  <c r="AZ17" i="16"/>
  <c r="AZ24" i="16" s="1"/>
  <c r="AY17" i="16"/>
  <c r="AY24" i="16" s="1"/>
  <c r="AV17" i="16"/>
  <c r="AU17" i="16"/>
  <c r="AT17" i="16"/>
  <c r="AS17" i="16"/>
  <c r="AP17" i="16"/>
  <c r="AO17" i="16"/>
  <c r="AO24" i="16" s="1"/>
  <c r="AN17" i="16"/>
  <c r="AN24" i="16" s="1"/>
  <c r="AM17" i="16"/>
  <c r="AM24" i="16" s="1"/>
  <c r="AJ17" i="16"/>
  <c r="AI17" i="16"/>
  <c r="AH17" i="16"/>
  <c r="AG17" i="16"/>
  <c r="AD17" i="16"/>
  <c r="AD24" i="16" s="1"/>
  <c r="AC17" i="16"/>
  <c r="X17" i="16"/>
  <c r="R17" i="16"/>
  <c r="L17" i="16"/>
  <c r="F17" i="16"/>
  <c r="E17" i="16"/>
  <c r="E24" i="16" s="1"/>
  <c r="D17" i="16"/>
  <c r="C17" i="16"/>
  <c r="C24" i="16" s="1"/>
  <c r="AB16" i="16"/>
  <c r="AB17" i="16" s="1"/>
  <c r="AA16" i="16"/>
  <c r="W16" i="16"/>
  <c r="V16" i="16"/>
  <c r="V17" i="16" s="1"/>
  <c r="U16" i="16"/>
  <c r="Q16" i="16"/>
  <c r="Q140" i="16" s="1"/>
  <c r="P16" i="16"/>
  <c r="P140" i="16" s="1"/>
  <c r="K16" i="16"/>
  <c r="K17" i="16" s="1"/>
  <c r="J16" i="16"/>
  <c r="I16" i="16"/>
  <c r="I17" i="16" s="1"/>
  <c r="O15" i="16"/>
  <c r="O165" i="16" s="1"/>
  <c r="BO22" i="16"/>
  <c r="BU22" i="16" s="1"/>
  <c r="BL10" i="16"/>
  <c r="BK10" i="16"/>
  <c r="BH10" i="16"/>
  <c r="BG10" i="16"/>
  <c r="BF10" i="16"/>
  <c r="BF174" i="16" s="1"/>
  <c r="BE10" i="16"/>
  <c r="BE174" i="16" s="1"/>
  <c r="BB10" i="16"/>
  <c r="BB174" i="16" s="1"/>
  <c r="BA10" i="16"/>
  <c r="BA174" i="16" s="1"/>
  <c r="AZ10" i="16"/>
  <c r="AZ174" i="16" s="1"/>
  <c r="AY10" i="16"/>
  <c r="AY174" i="16" s="1"/>
  <c r="AV10" i="16"/>
  <c r="AV174" i="16" s="1"/>
  <c r="AU10" i="16"/>
  <c r="AU174" i="16" s="1"/>
  <c r="AT10" i="16"/>
  <c r="AT174" i="16" s="1"/>
  <c r="AS10" i="16"/>
  <c r="AS174" i="16" s="1"/>
  <c r="AP10" i="16"/>
  <c r="AO10" i="16"/>
  <c r="AO174" i="16" s="1"/>
  <c r="AN10" i="16"/>
  <c r="AN174" i="16" s="1"/>
  <c r="AM10" i="16"/>
  <c r="AM174" i="16" s="1"/>
  <c r="AJ10" i="16"/>
  <c r="AJ174" i="16" s="1"/>
  <c r="AI10" i="16"/>
  <c r="AI174" i="16" s="1"/>
  <c r="AH10" i="16"/>
  <c r="AH174" i="16" s="1"/>
  <c r="AG10" i="16"/>
  <c r="AG174" i="16" s="1"/>
  <c r="AD10" i="16"/>
  <c r="AD174" i="16" s="1"/>
  <c r="AC10" i="16"/>
  <c r="AC174" i="16" s="1"/>
  <c r="AB10" i="16"/>
  <c r="AB174" i="16" s="1"/>
  <c r="AA10" i="16"/>
  <c r="AA174" i="16" s="1"/>
  <c r="X10" i="16"/>
  <c r="X174" i="16" s="1"/>
  <c r="W10" i="16"/>
  <c r="W174" i="16" s="1"/>
  <c r="V10" i="16"/>
  <c r="V174" i="16" s="1"/>
  <c r="U10" i="16"/>
  <c r="U174" i="16" s="1"/>
  <c r="R10" i="16"/>
  <c r="R174" i="16" s="1"/>
  <c r="Q10" i="16"/>
  <c r="Q174" i="16" s="1"/>
  <c r="P10" i="16"/>
  <c r="P174" i="16" s="1"/>
  <c r="O10" i="16"/>
  <c r="O174" i="16" s="1"/>
  <c r="L10" i="16"/>
  <c r="L174" i="16" s="1"/>
  <c r="K10" i="16"/>
  <c r="J10" i="16"/>
  <c r="J174" i="16" s="1"/>
  <c r="I10" i="16"/>
  <c r="I174" i="16" s="1"/>
  <c r="F10" i="16"/>
  <c r="F174" i="16" s="1"/>
  <c r="E10" i="16"/>
  <c r="D10" i="16"/>
  <c r="D174" i="16" s="1"/>
  <c r="C10" i="16"/>
  <c r="C174" i="16" s="1"/>
  <c r="I8" i="16"/>
  <c r="D8" i="16"/>
  <c r="E8" i="16" s="1"/>
  <c r="F8" i="16" s="1"/>
  <c r="M7" i="16"/>
  <c r="S7" i="16" s="1"/>
  <c r="Y7" i="16" s="1"/>
  <c r="AE7" i="16" s="1"/>
  <c r="AK7" i="16" s="1"/>
  <c r="AQ7" i="16" s="1"/>
  <c r="AW7" i="16" s="1"/>
  <c r="BC7" i="16" s="1"/>
  <c r="BI7" i="16" s="1"/>
  <c r="I7" i="16"/>
  <c r="O7" i="16" s="1"/>
  <c r="U7" i="16" s="1"/>
  <c r="AA7" i="16" s="1"/>
  <c r="AG7" i="16" s="1"/>
  <c r="AM7" i="16" s="1"/>
  <c r="AS7" i="16" s="1"/>
  <c r="AY7" i="16" s="1"/>
  <c r="BE7" i="16" s="1"/>
  <c r="A2" i="16"/>
  <c r="BB33" i="16" l="1"/>
  <c r="BB41" i="16" s="1"/>
  <c r="AT33" i="16"/>
  <c r="BL122" i="16"/>
  <c r="BA122" i="16"/>
  <c r="P17" i="16"/>
  <c r="P61" i="16" s="1"/>
  <c r="AE32" i="16"/>
  <c r="AE164" i="16" s="1"/>
  <c r="AD33" i="16"/>
  <c r="AD41" i="16" s="1"/>
  <c r="AD42" i="16" s="1"/>
  <c r="L122" i="16"/>
  <c r="X24" i="16"/>
  <c r="AQ32" i="16"/>
  <c r="AQ164" i="16" s="1"/>
  <c r="X40" i="16"/>
  <c r="X171" i="16" s="1"/>
  <c r="AJ45" i="16"/>
  <c r="AJ46" i="16" s="1"/>
  <c r="BK7" i="16"/>
  <c r="BQ7" i="16" s="1"/>
  <c r="BW7" i="16" s="1"/>
  <c r="CC7" i="16" s="1"/>
  <c r="CI7" i="16" s="1"/>
  <c r="CO7" i="16" s="1"/>
  <c r="AH33" i="16"/>
  <c r="AH41" i="16" s="1"/>
  <c r="AJ33" i="16"/>
  <c r="AJ41" i="16" s="1"/>
  <c r="BO7" i="16"/>
  <c r="BU7" i="16" s="1"/>
  <c r="CA7" i="16" s="1"/>
  <c r="CG7" i="16" s="1"/>
  <c r="CM7" i="16" s="1"/>
  <c r="CS7" i="16" s="1"/>
  <c r="V41" i="16"/>
  <c r="O150" i="16"/>
  <c r="AA150" i="16"/>
  <c r="BB145" i="16"/>
  <c r="AS33" i="16"/>
  <c r="AS41" i="16" s="1"/>
  <c r="AU122" i="16"/>
  <c r="U41" i="16"/>
  <c r="I150" i="16"/>
  <c r="V150" i="16"/>
  <c r="AV150" i="16"/>
  <c r="P41" i="16"/>
  <c r="E150" i="16"/>
  <c r="AZ150" i="16"/>
  <c r="AY41" i="16"/>
  <c r="AY42" i="16" s="1"/>
  <c r="BL149" i="16"/>
  <c r="BL150" i="16" s="1"/>
  <c r="BL166" i="16"/>
  <c r="BC88" i="16"/>
  <c r="L143" i="16"/>
  <c r="L145" i="16" s="1"/>
  <c r="L165" i="16"/>
  <c r="L177" i="16" s="1"/>
  <c r="M177" i="16" s="1"/>
  <c r="AQ165" i="16"/>
  <c r="BE149" i="16"/>
  <c r="BE166" i="16"/>
  <c r="BE178" i="16" s="1"/>
  <c r="F149" i="16"/>
  <c r="F166" i="16"/>
  <c r="F177" i="16" s="1"/>
  <c r="G177" i="16" s="1"/>
  <c r="AC45" i="16"/>
  <c r="AC46" i="16" s="1"/>
  <c r="AC47" i="16" s="1"/>
  <c r="AN45" i="16"/>
  <c r="AN46" i="16" s="1"/>
  <c r="AN164" i="16"/>
  <c r="AN177" i="16" s="1"/>
  <c r="BG149" i="16"/>
  <c r="BG150" i="16" s="1"/>
  <c r="BG166" i="16"/>
  <c r="BF145" i="16"/>
  <c r="R24" i="16"/>
  <c r="BG61" i="16"/>
  <c r="V143" i="16"/>
  <c r="V165" i="16"/>
  <c r="M22" i="16"/>
  <c r="M143" i="16" s="1"/>
  <c r="AC33" i="16"/>
  <c r="AC41" i="16" s="1"/>
  <c r="AH45" i="16"/>
  <c r="AH46" i="16" s="1"/>
  <c r="AH164" i="16"/>
  <c r="AT149" i="16"/>
  <c r="AT150" i="16" s="1"/>
  <c r="AT166" i="16"/>
  <c r="BF40" i="16"/>
  <c r="BF171" i="16" s="1"/>
  <c r="BF177" i="16" s="1"/>
  <c r="AB58" i="16"/>
  <c r="AB164" i="16"/>
  <c r="AB178" i="16" s="1"/>
  <c r="AN33" i="16"/>
  <c r="AN41" i="16" s="1"/>
  <c r="AN42" i="16" s="1"/>
  <c r="AS149" i="16"/>
  <c r="AS150" i="16" s="1"/>
  <c r="AS166" i="16"/>
  <c r="AG45" i="16"/>
  <c r="AG46" i="16" s="1"/>
  <c r="AG164" i="16"/>
  <c r="AG177" i="16" s="1"/>
  <c r="R45" i="16"/>
  <c r="R46" i="16" s="1"/>
  <c r="W143" i="16"/>
  <c r="W165" i="16"/>
  <c r="Y165" i="16"/>
  <c r="AW165" i="16"/>
  <c r="BI165" i="16"/>
  <c r="BK33" i="16"/>
  <c r="BK41" i="16" s="1"/>
  <c r="BK42" i="16" s="1"/>
  <c r="AT45" i="16"/>
  <c r="AT46" i="16" s="1"/>
  <c r="AT164" i="16"/>
  <c r="AD150" i="16"/>
  <c r="BK149" i="16"/>
  <c r="BK150" i="16" s="1"/>
  <c r="BK166" i="16"/>
  <c r="U143" i="16"/>
  <c r="U165" i="16"/>
  <c r="X143" i="16"/>
  <c r="X145" i="16" s="1"/>
  <c r="X165" i="16"/>
  <c r="AG33" i="16"/>
  <c r="AG41" i="16" s="1"/>
  <c r="BL33" i="16"/>
  <c r="BL41" i="16" s="1"/>
  <c r="R164" i="16"/>
  <c r="R177" i="16" s="1"/>
  <c r="S177" i="16" s="1"/>
  <c r="AM45" i="16"/>
  <c r="AM46" i="16" s="1"/>
  <c r="AM47" i="16" s="1"/>
  <c r="AM164" i="16"/>
  <c r="AM178" i="16" s="1"/>
  <c r="AM145" i="16"/>
  <c r="I116" i="16"/>
  <c r="M10" i="16"/>
  <c r="M174" i="16" s="1"/>
  <c r="S10" i="16"/>
  <c r="S174" i="16" s="1"/>
  <c r="BC164" i="16"/>
  <c r="BL174" i="16"/>
  <c r="BM60" i="48"/>
  <c r="BM62" i="48" s="1"/>
  <c r="R122" i="16"/>
  <c r="AJ122" i="16"/>
  <c r="AE149" i="16"/>
  <c r="AE166" i="16"/>
  <c r="G164" i="16"/>
  <c r="Y149" i="16"/>
  <c r="Y166" i="16"/>
  <c r="AW149" i="16"/>
  <c r="AW166" i="16"/>
  <c r="O177" i="16"/>
  <c r="O178" i="16"/>
  <c r="Q58" i="16"/>
  <c r="Q171" i="16"/>
  <c r="U58" i="16"/>
  <c r="U171" i="16"/>
  <c r="W58" i="16"/>
  <c r="W171" i="16"/>
  <c r="AA177" i="16"/>
  <c r="AA178" i="16"/>
  <c r="AC178" i="16"/>
  <c r="AC177" i="16"/>
  <c r="AI58" i="16"/>
  <c r="AI171" i="16"/>
  <c r="AO177" i="16"/>
  <c r="AO178" i="16"/>
  <c r="AV58" i="16"/>
  <c r="AV171" i="16"/>
  <c r="AZ58" i="16"/>
  <c r="AZ171" i="16"/>
  <c r="BB58" i="16"/>
  <c r="BB171" i="16"/>
  <c r="BK58" i="16"/>
  <c r="BK171" i="16"/>
  <c r="C178" i="16"/>
  <c r="C177" i="16"/>
  <c r="E46" i="16"/>
  <c r="E47" i="16" s="1"/>
  <c r="E174" i="16"/>
  <c r="I178" i="16"/>
  <c r="I177" i="16"/>
  <c r="K63" i="16"/>
  <c r="K174" i="16"/>
  <c r="BG63" i="16"/>
  <c r="BG174" i="16"/>
  <c r="BK63" i="16"/>
  <c r="BK174" i="16"/>
  <c r="S144" i="16"/>
  <c r="S176" i="16"/>
  <c r="D178" i="16"/>
  <c r="D177" i="16"/>
  <c r="J177" i="16"/>
  <c r="J178" i="16"/>
  <c r="AP62" i="16"/>
  <c r="AP174" i="16"/>
  <c r="BH63" i="16"/>
  <c r="BH174" i="16"/>
  <c r="AE143" i="16"/>
  <c r="AE165" i="16"/>
  <c r="AK10" i="16"/>
  <c r="AK174" i="16" s="1"/>
  <c r="AK143" i="16"/>
  <c r="AK165" i="16"/>
  <c r="AK144" i="16"/>
  <c r="AK176" i="16"/>
  <c r="BC10" i="16"/>
  <c r="BC174" i="16" s="1"/>
  <c r="BC143" i="16"/>
  <c r="BC165" i="16"/>
  <c r="BI10" i="16"/>
  <c r="BI174" i="16" s="1"/>
  <c r="O41" i="16"/>
  <c r="Q41" i="16"/>
  <c r="AZ41" i="16"/>
  <c r="AZ42" i="16" s="1"/>
  <c r="S149" i="16"/>
  <c r="S166" i="16"/>
  <c r="AK149" i="16"/>
  <c r="AK166" i="16"/>
  <c r="G149" i="16"/>
  <c r="G166" i="16"/>
  <c r="M164" i="16"/>
  <c r="S164" i="16"/>
  <c r="Y164" i="16"/>
  <c r="AW164" i="16"/>
  <c r="BI164" i="16"/>
  <c r="AE88" i="16"/>
  <c r="P178" i="16"/>
  <c r="P177" i="16"/>
  <c r="V58" i="16"/>
  <c r="V171" i="16"/>
  <c r="AD178" i="16"/>
  <c r="AE178" i="16" s="1"/>
  <c r="AD177" i="16"/>
  <c r="AE177" i="16" s="1"/>
  <c r="AH58" i="16"/>
  <c r="AH171" i="16"/>
  <c r="AJ178" i="16"/>
  <c r="AK178" i="16" s="1"/>
  <c r="AJ177" i="16"/>
  <c r="AK177" i="16" s="1"/>
  <c r="AS58" i="16"/>
  <c r="AS171" i="16"/>
  <c r="AU58" i="16"/>
  <c r="AU171" i="16"/>
  <c r="AY177" i="16"/>
  <c r="AY178" i="16"/>
  <c r="BA58" i="16"/>
  <c r="BA171" i="16"/>
  <c r="BH58" i="16"/>
  <c r="BH171" i="16"/>
  <c r="AW88" i="16"/>
  <c r="F122" i="16"/>
  <c r="AP122" i="16"/>
  <c r="AT122" i="16"/>
  <c r="AV122" i="16"/>
  <c r="AZ122" i="16"/>
  <c r="C145" i="16"/>
  <c r="BN165" i="16"/>
  <c r="BM165" i="16"/>
  <c r="BL58" i="16"/>
  <c r="BL171" i="16"/>
  <c r="BM175" i="16"/>
  <c r="BM149" i="16"/>
  <c r="BM166" i="16"/>
  <c r="CA571" i="18"/>
  <c r="CC571" i="18" s="1"/>
  <c r="BZ573" i="18"/>
  <c r="BZ575" i="18"/>
  <c r="BZ578" i="18"/>
  <c r="BZ579" i="18"/>
  <c r="BZ572" i="18"/>
  <c r="BZ580" i="18"/>
  <c r="BZ576" i="18"/>
  <c r="BZ577" i="18"/>
  <c r="J122" i="16"/>
  <c r="AI145" i="16"/>
  <c r="P150" i="16"/>
  <c r="AB150" i="16"/>
  <c r="AN150" i="16"/>
  <c r="O63" i="16"/>
  <c r="AH61" i="16"/>
  <c r="AT64" i="16"/>
  <c r="S45" i="16"/>
  <c r="W41" i="16"/>
  <c r="AI41" i="16"/>
  <c r="E122" i="16"/>
  <c r="AJ145" i="16"/>
  <c r="AV145" i="16"/>
  <c r="Q150" i="16"/>
  <c r="AC150" i="16"/>
  <c r="AO150" i="16"/>
  <c r="AD58" i="16"/>
  <c r="Y88" i="16"/>
  <c r="AQ10" i="16"/>
  <c r="AQ174" i="16" s="1"/>
  <c r="AQ144" i="16"/>
  <c r="Q122" i="16"/>
  <c r="AN145" i="16"/>
  <c r="D150" i="16"/>
  <c r="U150" i="16"/>
  <c r="AG150" i="16"/>
  <c r="AU150" i="16"/>
  <c r="AY150" i="16"/>
  <c r="BI143" i="16"/>
  <c r="G144" i="16"/>
  <c r="S88" i="16"/>
  <c r="AQ88" i="16"/>
  <c r="V122" i="16"/>
  <c r="AH63" i="16"/>
  <c r="Y45" i="16"/>
  <c r="BI45" i="16"/>
  <c r="AG85" i="16"/>
  <c r="AK85" i="16" s="1"/>
  <c r="BI40" i="16"/>
  <c r="BF122" i="16"/>
  <c r="AS145" i="16"/>
  <c r="X150" i="16"/>
  <c r="AJ150" i="16"/>
  <c r="BO88" i="16"/>
  <c r="BU116" i="16"/>
  <c r="CG116" i="16"/>
  <c r="C62" i="16"/>
  <c r="C63" i="16"/>
  <c r="AA63" i="16"/>
  <c r="AA62" i="16"/>
  <c r="AY62" i="16"/>
  <c r="AY63" i="16"/>
  <c r="K61" i="16"/>
  <c r="K64" i="16"/>
  <c r="AP61" i="16"/>
  <c r="AP64" i="16"/>
  <c r="C46" i="16"/>
  <c r="K46" i="16"/>
  <c r="K47" i="16" s="1"/>
  <c r="AV46" i="16"/>
  <c r="AV47" i="16" s="1"/>
  <c r="BF46" i="16"/>
  <c r="BF47" i="16" s="1"/>
  <c r="D62" i="16"/>
  <c r="D63" i="16"/>
  <c r="L63" i="16"/>
  <c r="L62" i="16"/>
  <c r="AZ62" i="16"/>
  <c r="AZ63" i="16"/>
  <c r="C42" i="16"/>
  <c r="D46" i="16"/>
  <c r="L46" i="16"/>
  <c r="L47" i="16" s="1"/>
  <c r="AY46" i="16"/>
  <c r="AY47" i="16" s="1"/>
  <c r="BG46" i="16"/>
  <c r="BG47" i="16" s="1"/>
  <c r="BW80" i="16"/>
  <c r="BX80" i="16" s="1"/>
  <c r="BY80" i="16" s="1"/>
  <c r="BZ80" i="16" s="1"/>
  <c r="M30" i="16"/>
  <c r="BC40" i="16"/>
  <c r="AE40" i="16"/>
  <c r="AU46" i="16"/>
  <c r="AU47" i="16" s="1"/>
  <c r="BK46" i="16"/>
  <c r="BK47" i="16" s="1"/>
  <c r="BI88" i="16"/>
  <c r="P122" i="16"/>
  <c r="AG145" i="16"/>
  <c r="AZ145" i="16"/>
  <c r="BL145" i="16"/>
  <c r="R150" i="16"/>
  <c r="Y17" i="16"/>
  <c r="Y24" i="16" s="1"/>
  <c r="Y144" i="16"/>
  <c r="S30" i="16"/>
  <c r="S33" i="16" s="1"/>
  <c r="M45" i="16"/>
  <c r="BC45" i="16"/>
  <c r="Y40" i="16"/>
  <c r="O46" i="16"/>
  <c r="O47" i="16" s="1"/>
  <c r="AB46" i="16"/>
  <c r="AB47" i="16" s="1"/>
  <c r="BG122" i="16"/>
  <c r="AD145" i="16"/>
  <c r="BA145" i="16"/>
  <c r="BE145" i="16"/>
  <c r="BG145" i="16"/>
  <c r="BY95" i="16"/>
  <c r="I35" i="16"/>
  <c r="G40" i="16"/>
  <c r="G171" i="16" s="1"/>
  <c r="AB61" i="16"/>
  <c r="AB64" i="16"/>
  <c r="G17" i="16"/>
  <c r="G10" i="16"/>
  <c r="G174" i="16" s="1"/>
  <c r="AI62" i="16"/>
  <c r="BM142" i="16"/>
  <c r="V140" i="16"/>
  <c r="I61" i="16"/>
  <c r="I64" i="16"/>
  <c r="I24" i="16"/>
  <c r="AC64" i="16"/>
  <c r="AC24" i="16"/>
  <c r="AC61" i="16"/>
  <c r="AO64" i="16"/>
  <c r="AO61" i="16"/>
  <c r="BA64" i="16"/>
  <c r="BA61" i="16"/>
  <c r="F143" i="16"/>
  <c r="F145" i="16" s="1"/>
  <c r="G22" i="16"/>
  <c r="G165" i="16" s="1"/>
  <c r="AQ17" i="16"/>
  <c r="AQ147" i="16"/>
  <c r="AQ30" i="16"/>
  <c r="AT58" i="16"/>
  <c r="L58" i="16"/>
  <c r="AP63" i="16"/>
  <c r="L61" i="16"/>
  <c r="L64" i="16"/>
  <c r="L24" i="16"/>
  <c r="AW139" i="16"/>
  <c r="BG24" i="16"/>
  <c r="AO58" i="16"/>
  <c r="AO45" i="16"/>
  <c r="AO46" i="16" s="1"/>
  <c r="BT81" i="16"/>
  <c r="E62" i="16"/>
  <c r="E63" i="16"/>
  <c r="Q62" i="16"/>
  <c r="Q63" i="16"/>
  <c r="AC62" i="16"/>
  <c r="AC63" i="16"/>
  <c r="AO62" i="16"/>
  <c r="AO63" i="16"/>
  <c r="BA62" i="16"/>
  <c r="BA63" i="16"/>
  <c r="J140" i="16"/>
  <c r="J145" i="16" s="1"/>
  <c r="J17" i="16"/>
  <c r="AB140" i="16"/>
  <c r="AB145" i="16" s="1"/>
  <c r="Y10" i="16"/>
  <c r="Y174" i="16" s="1"/>
  <c r="AE139" i="16"/>
  <c r="AK17" i="16"/>
  <c r="AB24" i="16"/>
  <c r="BA149" i="16"/>
  <c r="BA150" i="16" s="1"/>
  <c r="BA33" i="16"/>
  <c r="BA41" i="16" s="1"/>
  <c r="BA42" i="16" s="1"/>
  <c r="BH149" i="16"/>
  <c r="BH150" i="16" s="1"/>
  <c r="BI31" i="16"/>
  <c r="AK40" i="16"/>
  <c r="AK171" i="16" s="1"/>
  <c r="BX79" i="16"/>
  <c r="BB62" i="16"/>
  <c r="BB63" i="16"/>
  <c r="AI61" i="16"/>
  <c r="AI24" i="16"/>
  <c r="AI64" i="16"/>
  <c r="S140" i="16"/>
  <c r="AW140" i="16"/>
  <c r="AP149" i="16"/>
  <c r="AP150" i="16" s="1"/>
  <c r="AQ31" i="16"/>
  <c r="O8" i="16"/>
  <c r="J8" i="16"/>
  <c r="K8" i="16" s="1"/>
  <c r="L8" i="16" s="1"/>
  <c r="I62" i="16"/>
  <c r="I63" i="16"/>
  <c r="U62" i="16"/>
  <c r="U63" i="16"/>
  <c r="U46" i="16"/>
  <c r="AG62" i="16"/>
  <c r="AG63" i="16"/>
  <c r="AS62" i="16"/>
  <c r="AS63" i="16"/>
  <c r="V61" i="16"/>
  <c r="V24" i="16"/>
  <c r="V64" i="16"/>
  <c r="S17" i="16"/>
  <c r="AK148" i="16"/>
  <c r="AD62" i="16"/>
  <c r="AD63" i="16"/>
  <c r="AU61" i="16"/>
  <c r="AU64" i="16"/>
  <c r="AU24" i="16"/>
  <c r="G140" i="16"/>
  <c r="BH85" i="16"/>
  <c r="BG85" i="16"/>
  <c r="BG40" i="16"/>
  <c r="BG171" i="16" s="1"/>
  <c r="M139" i="16"/>
  <c r="M17" i="16"/>
  <c r="BE148" i="16"/>
  <c r="BE30" i="16"/>
  <c r="BE33" i="16" s="1"/>
  <c r="BE41" i="16" s="1"/>
  <c r="BE42" i="16" s="1"/>
  <c r="E42" i="16"/>
  <c r="BG64" i="16"/>
  <c r="P62" i="16"/>
  <c r="P63" i="16"/>
  <c r="AB62" i="16"/>
  <c r="AB63" i="16"/>
  <c r="AN62" i="16"/>
  <c r="AN63" i="16"/>
  <c r="BL62" i="16"/>
  <c r="BL63" i="16"/>
  <c r="O143" i="16"/>
  <c r="O145" i="16" s="1"/>
  <c r="O17" i="16"/>
  <c r="W140" i="16"/>
  <c r="W17" i="16"/>
  <c r="AJ61" i="16"/>
  <c r="AJ64" i="16"/>
  <c r="AJ24" i="16"/>
  <c r="AV61" i="16"/>
  <c r="AV64" i="16"/>
  <c r="AV24" i="16"/>
  <c r="BH61" i="16"/>
  <c r="BH64" i="16"/>
  <c r="BH24" i="16"/>
  <c r="Y141" i="16"/>
  <c r="Y106" i="16"/>
  <c r="AE138" i="16"/>
  <c r="AK140" i="16"/>
  <c r="AW138" i="16"/>
  <c r="BC140" i="16"/>
  <c r="BB149" i="16"/>
  <c r="BB150" i="16" s="1"/>
  <c r="BC31" i="16"/>
  <c r="AP45" i="16"/>
  <c r="AP46" i="16" s="1"/>
  <c r="BI147" i="16"/>
  <c r="BI30" i="16"/>
  <c r="BH62" i="16"/>
  <c r="J63" i="16"/>
  <c r="J62" i="16"/>
  <c r="V63" i="16"/>
  <c r="V62" i="16"/>
  <c r="V46" i="16"/>
  <c r="AT63" i="16"/>
  <c r="AT62" i="16"/>
  <c r="BF63" i="16"/>
  <c r="BF62" i="16"/>
  <c r="BM143" i="16"/>
  <c r="D61" i="16"/>
  <c r="D64" i="16"/>
  <c r="Q17" i="16"/>
  <c r="AD61" i="16"/>
  <c r="AD64" i="16"/>
  <c r="BB61" i="16"/>
  <c r="BB64" i="16"/>
  <c r="BB24" i="16"/>
  <c r="G138" i="16"/>
  <c r="M140" i="16"/>
  <c r="S141" i="16"/>
  <c r="S106" i="16"/>
  <c r="Y138" i="16"/>
  <c r="AQ139" i="16"/>
  <c r="AP24" i="16"/>
  <c r="BE58" i="16"/>
  <c r="BH46" i="16"/>
  <c r="E64" i="16"/>
  <c r="E61" i="16"/>
  <c r="AG61" i="16"/>
  <c r="AG64" i="16"/>
  <c r="AG24" i="16"/>
  <c r="AS24" i="16"/>
  <c r="AS61" i="16"/>
  <c r="AS64" i="16"/>
  <c r="R143" i="16"/>
  <c r="R145" i="16" s="1"/>
  <c r="S22" i="16"/>
  <c r="S165" i="16" s="1"/>
  <c r="G139" i="16"/>
  <c r="BC138" i="16"/>
  <c r="BI140" i="16"/>
  <c r="AW147" i="16"/>
  <c r="AW30" i="16"/>
  <c r="AW33" i="16" s="1"/>
  <c r="X63" i="16"/>
  <c r="X62" i="16"/>
  <c r="X46" i="16"/>
  <c r="AJ63" i="16"/>
  <c r="AJ62" i="16"/>
  <c r="AV63" i="16"/>
  <c r="AV62" i="16"/>
  <c r="U140" i="16"/>
  <c r="F24" i="16"/>
  <c r="U17" i="16"/>
  <c r="AH64" i="16"/>
  <c r="AH24" i="16"/>
  <c r="AT24" i="16"/>
  <c r="AT61" i="16"/>
  <c r="BF64" i="16"/>
  <c r="BF24" i="16"/>
  <c r="BF61" i="16"/>
  <c r="AW17" i="16"/>
  <c r="AW10" i="16"/>
  <c r="AW174" i="16" s="1"/>
  <c r="AW144" i="16"/>
  <c r="BC139" i="16"/>
  <c r="BI17" i="16"/>
  <c r="D24" i="16"/>
  <c r="D42" i="16" s="1"/>
  <c r="AM148" i="16"/>
  <c r="AM150" i="16" s="1"/>
  <c r="AM30" i="16"/>
  <c r="AM33" i="16" s="1"/>
  <c r="AM41" i="16" s="1"/>
  <c r="AM42" i="16" s="1"/>
  <c r="R30" i="16"/>
  <c r="R33" i="16" s="1"/>
  <c r="R41" i="16" s="1"/>
  <c r="L149" i="16"/>
  <c r="L150" i="16" s="1"/>
  <c r="M31" i="16"/>
  <c r="AW148" i="16"/>
  <c r="O85" i="16"/>
  <c r="S85" i="16" s="1"/>
  <c r="M40" i="16"/>
  <c r="M171" i="16" s="1"/>
  <c r="AM85" i="16"/>
  <c r="AS46" i="16"/>
  <c r="AH62" i="16"/>
  <c r="AN61" i="16"/>
  <c r="AN64" i="16"/>
  <c r="AZ61" i="16"/>
  <c r="AZ64" i="16"/>
  <c r="BL61" i="16"/>
  <c r="BL64" i="16"/>
  <c r="BL24" i="16"/>
  <c r="M138" i="16"/>
  <c r="O112" i="16"/>
  <c r="O116" i="16" s="1"/>
  <c r="S112" i="16"/>
  <c r="AE17" i="16"/>
  <c r="AE144" i="16"/>
  <c r="AQ140" i="16"/>
  <c r="AP33" i="16"/>
  <c r="BF149" i="16"/>
  <c r="BF150" i="16" s="1"/>
  <c r="BF33" i="16"/>
  <c r="L33" i="16"/>
  <c r="L41" i="16" s="1"/>
  <c r="BC148" i="16"/>
  <c r="F46" i="16"/>
  <c r="Q46" i="16"/>
  <c r="K62" i="16"/>
  <c r="BG62" i="16"/>
  <c r="M141" i="16"/>
  <c r="M106" i="16"/>
  <c r="Y139" i="16"/>
  <c r="BI144" i="16"/>
  <c r="AV41" i="16"/>
  <c r="R58" i="16"/>
  <c r="AA58" i="16"/>
  <c r="AA45" i="16"/>
  <c r="AA46" i="16" s="1"/>
  <c r="BI148" i="16"/>
  <c r="O58" i="16"/>
  <c r="AZ46" i="16"/>
  <c r="BK85" i="16"/>
  <c r="BI138" i="16"/>
  <c r="BQ28" i="16"/>
  <c r="BR28" i="16" s="1"/>
  <c r="BS28" i="16" s="1"/>
  <c r="BT28" i="16" s="1"/>
  <c r="BU28" i="16" s="1"/>
  <c r="G45" i="16"/>
  <c r="AT41" i="16"/>
  <c r="AW45" i="16"/>
  <c r="AS85" i="16"/>
  <c r="AW85" i="16" s="1"/>
  <c r="AQ40" i="16"/>
  <c r="AQ171" i="16" s="1"/>
  <c r="P58" i="16"/>
  <c r="I46" i="16"/>
  <c r="BA46" i="16"/>
  <c r="BH33" i="16"/>
  <c r="BH41" i="16" s="1"/>
  <c r="AE147" i="16"/>
  <c r="AE30" i="16"/>
  <c r="W63" i="16"/>
  <c r="W62" i="16"/>
  <c r="AI63" i="16"/>
  <c r="AU63" i="16"/>
  <c r="AU62" i="16"/>
  <c r="I140" i="16"/>
  <c r="I145" i="16" s="1"/>
  <c r="AA140" i="16"/>
  <c r="AA145" i="16" s="1"/>
  <c r="AA17" i="16"/>
  <c r="X61" i="16"/>
  <c r="X64" i="16"/>
  <c r="G141" i="16"/>
  <c r="G106" i="16"/>
  <c r="M144" i="16"/>
  <c r="AE10" i="16"/>
  <c r="AE174" i="16" s="1"/>
  <c r="AQ143" i="16"/>
  <c r="BC17" i="16"/>
  <c r="BC144" i="16"/>
  <c r="BI139" i="16"/>
  <c r="K24" i="16"/>
  <c r="AB33" i="16"/>
  <c r="AB41" i="16" s="1"/>
  <c r="AE148" i="16"/>
  <c r="BC147" i="16"/>
  <c r="BC30" i="16"/>
  <c r="AU41" i="16"/>
  <c r="J46" i="16"/>
  <c r="P46" i="16"/>
  <c r="AI46" i="16"/>
  <c r="BB46" i="16"/>
  <c r="BL46" i="16"/>
  <c r="AG58" i="16"/>
  <c r="X85" i="16"/>
  <c r="S139" i="16"/>
  <c r="K140" i="16"/>
  <c r="K145" i="16" s="1"/>
  <c r="C61" i="16"/>
  <c r="C64" i="16"/>
  <c r="AY61" i="16"/>
  <c r="AY64" i="16"/>
  <c r="BK61" i="16"/>
  <c r="BK64" i="16"/>
  <c r="Y143" i="16"/>
  <c r="AQ138" i="16"/>
  <c r="AW143" i="16"/>
  <c r="S148" i="16"/>
  <c r="Y147" i="16"/>
  <c r="Y30" i="16"/>
  <c r="Y33" i="16" s="1"/>
  <c r="AC58" i="16"/>
  <c r="BE85" i="16"/>
  <c r="AY58" i="16"/>
  <c r="AD45" i="16"/>
  <c r="AD46" i="16" s="1"/>
  <c r="BE46" i="16"/>
  <c r="O62" i="16"/>
  <c r="BK62" i="16"/>
  <c r="AA33" i="16"/>
  <c r="AA41" i="16" s="1"/>
  <c r="BG33" i="16"/>
  <c r="M148" i="16"/>
  <c r="Y148" i="16"/>
  <c r="AJ58" i="16"/>
  <c r="AK32" i="16"/>
  <c r="AK164" i="16" s="1"/>
  <c r="AA85" i="16"/>
  <c r="AE85" i="16" s="1"/>
  <c r="U85" i="16"/>
  <c r="AK88" i="16"/>
  <c r="AP85" i="16"/>
  <c r="AP40" i="16"/>
  <c r="G147" i="16"/>
  <c r="AM58" i="16"/>
  <c r="S40" i="16"/>
  <c r="S171" i="16" s="1"/>
  <c r="W46" i="16"/>
  <c r="X120" i="16"/>
  <c r="X122" i="16" s="1"/>
  <c r="W122" i="16"/>
  <c r="F148" i="16"/>
  <c r="AO33" i="16"/>
  <c r="AO41" i="16" s="1"/>
  <c r="AO42" i="16" s="1"/>
  <c r="F30" i="16"/>
  <c r="F33" i="16" s="1"/>
  <c r="F41" i="16" s="1"/>
  <c r="AK147" i="16"/>
  <c r="AK30" i="16"/>
  <c r="G27" i="16"/>
  <c r="G30" i="16" s="1"/>
  <c r="G33" i="16" s="1"/>
  <c r="AN58" i="16"/>
  <c r="AY85" i="16"/>
  <c r="BC85" i="16" s="1"/>
  <c r="AW40" i="16"/>
  <c r="F58" i="16"/>
  <c r="AQ148" i="16"/>
  <c r="P145" i="16"/>
  <c r="Q145" i="16"/>
  <c r="AO112" i="16"/>
  <c r="CD114" i="16"/>
  <c r="AD120" i="16"/>
  <c r="AD122" i="16" s="1"/>
  <c r="AJ112" i="16"/>
  <c r="C122" i="16"/>
  <c r="D120" i="16"/>
  <c r="D122" i="16" s="1"/>
  <c r="AK120" i="16"/>
  <c r="AN120" i="16"/>
  <c r="AN122" i="16" s="1"/>
  <c r="AO120" i="16"/>
  <c r="AO122" i="16" s="1"/>
  <c r="C98" i="16"/>
  <c r="AH120" i="16"/>
  <c r="AH122" i="16" s="1"/>
  <c r="BH122" i="16"/>
  <c r="M112" i="16"/>
  <c r="BT114" i="16"/>
  <c r="AI120" i="16"/>
  <c r="AI122" i="16" s="1"/>
  <c r="BI120" i="16"/>
  <c r="BB122" i="16"/>
  <c r="AH145" i="16"/>
  <c r="BK145" i="16"/>
  <c r="I115" i="16"/>
  <c r="AB120" i="16"/>
  <c r="AB122" i="16" s="1"/>
  <c r="BH112" i="16"/>
  <c r="CA116" i="16"/>
  <c r="AC120" i="16"/>
  <c r="AC122" i="16" s="1"/>
  <c r="AU145" i="16"/>
  <c r="AC145" i="16"/>
  <c r="AO145" i="16"/>
  <c r="AP145" i="16"/>
  <c r="AT145" i="16"/>
  <c r="AH150" i="16"/>
  <c r="BY114" i="16"/>
  <c r="BZ114" i="16" s="1"/>
  <c r="K122" i="16"/>
  <c r="AY145" i="16"/>
  <c r="J150" i="16"/>
  <c r="C150" i="16"/>
  <c r="D145" i="16"/>
  <c r="K150" i="16"/>
  <c r="W150" i="16"/>
  <c r="AI150" i="16"/>
  <c r="E145" i="16"/>
  <c r="BH145" i="16"/>
  <c r="P24" i="16" l="1"/>
  <c r="X178" i="16"/>
  <c r="Y178" i="16" s="1"/>
  <c r="P64" i="16"/>
  <c r="AE45" i="16"/>
  <c r="AE46" i="16" s="1"/>
  <c r="AE33" i="16"/>
  <c r="AE41" i="16" s="1"/>
  <c r="G143" i="16"/>
  <c r="G145" i="16" s="1"/>
  <c r="S143" i="16"/>
  <c r="S145" i="16" s="1"/>
  <c r="X41" i="16"/>
  <c r="X42" i="16" s="1"/>
  <c r="X58" i="16"/>
  <c r="O152" i="16"/>
  <c r="AQ45" i="16"/>
  <c r="AQ46" i="16" s="1"/>
  <c r="AQ47" i="16" s="1"/>
  <c r="AK62" i="16"/>
  <c r="AA152" i="16"/>
  <c r="BI46" i="16"/>
  <c r="BB152" i="16"/>
  <c r="AB152" i="16"/>
  <c r="L42" i="16"/>
  <c r="I152" i="16"/>
  <c r="V42" i="16"/>
  <c r="AV152" i="16"/>
  <c r="BE177" i="16"/>
  <c r="BF152" i="16"/>
  <c r="AZ152" i="16"/>
  <c r="L178" i="16"/>
  <c r="M178" i="16" s="1"/>
  <c r="F178" i="16"/>
  <c r="G178" i="16" s="1"/>
  <c r="R178" i="16"/>
  <c r="S178" i="16" s="1"/>
  <c r="AM177" i="16"/>
  <c r="BG152" i="16"/>
  <c r="E152" i="16"/>
  <c r="AY152" i="16"/>
  <c r="P42" i="16"/>
  <c r="S46" i="16"/>
  <c r="S47" i="16" s="1"/>
  <c r="BF41" i="16"/>
  <c r="BF42" i="16" s="1"/>
  <c r="BE150" i="16"/>
  <c r="BE152" i="16" s="1"/>
  <c r="V145" i="16"/>
  <c r="V152" i="16" s="1"/>
  <c r="BF178" i="16"/>
  <c r="U145" i="16"/>
  <c r="U152" i="16" s="1"/>
  <c r="BF58" i="16"/>
  <c r="AG42" i="16"/>
  <c r="AT177" i="16"/>
  <c r="AU152" i="16"/>
  <c r="AT178" i="16"/>
  <c r="AG178" i="16"/>
  <c r="F150" i="16"/>
  <c r="F152" i="16" s="1"/>
  <c r="W145" i="16"/>
  <c r="W152" i="16" s="1"/>
  <c r="AN178" i="16"/>
  <c r="AB177" i="16"/>
  <c r="M165" i="16"/>
  <c r="BC33" i="16"/>
  <c r="BC41" i="16" s="1"/>
  <c r="X177" i="16"/>
  <c r="Y177" i="16" s="1"/>
  <c r="BL42" i="16"/>
  <c r="R42" i="16"/>
  <c r="BL152" i="16"/>
  <c r="M46" i="16"/>
  <c r="M47" i="16" s="1"/>
  <c r="M62" i="16"/>
  <c r="AI152" i="16"/>
  <c r="AO152" i="16"/>
  <c r="M63" i="16"/>
  <c r="AM152" i="16"/>
  <c r="AD152" i="16"/>
  <c r="AS152" i="16"/>
  <c r="AC152" i="16"/>
  <c r="P152" i="16"/>
  <c r="G41" i="16"/>
  <c r="BI85" i="16"/>
  <c r="AB42" i="16"/>
  <c r="BO15" i="16"/>
  <c r="BO165" i="16" s="1"/>
  <c r="BN143" i="16"/>
  <c r="BI33" i="16"/>
  <c r="BI41" i="16" s="1"/>
  <c r="BA152" i="16"/>
  <c r="AP58" i="16"/>
  <c r="AP171" i="16"/>
  <c r="M149" i="16"/>
  <c r="M150" i="16" s="1"/>
  <c r="M166" i="16"/>
  <c r="BG178" i="16"/>
  <c r="BG177" i="16"/>
  <c r="AQ149" i="16"/>
  <c r="AQ150" i="16" s="1"/>
  <c r="AQ166" i="16"/>
  <c r="Y58" i="16"/>
  <c r="Y171" i="16"/>
  <c r="BC58" i="16"/>
  <c r="BC171" i="16"/>
  <c r="K178" i="16"/>
  <c r="K177" i="16"/>
  <c r="E177" i="16"/>
  <c r="E178" i="16"/>
  <c r="BK178" i="16"/>
  <c r="BK177" i="16"/>
  <c r="BB177" i="16"/>
  <c r="BC177" i="16" s="1"/>
  <c r="BB178" i="16"/>
  <c r="BC178" i="16" s="1"/>
  <c r="AZ177" i="16"/>
  <c r="AZ178" i="16"/>
  <c r="AV178" i="16"/>
  <c r="AW178" i="16" s="1"/>
  <c r="AV177" i="16"/>
  <c r="AW177" i="16" s="1"/>
  <c r="AI178" i="16"/>
  <c r="AI177" i="16"/>
  <c r="W178" i="16"/>
  <c r="W177" i="16"/>
  <c r="U177" i="16"/>
  <c r="U178" i="16"/>
  <c r="Q178" i="16"/>
  <c r="Q177" i="16"/>
  <c r="D152" i="16"/>
  <c r="C152" i="16"/>
  <c r="R152" i="16"/>
  <c r="O115" i="16"/>
  <c r="X152" i="16"/>
  <c r="AW58" i="16"/>
  <c r="AW171" i="16"/>
  <c r="F42" i="16"/>
  <c r="Y41" i="16"/>
  <c r="Y42" i="16" s="1"/>
  <c r="S150" i="16"/>
  <c r="AW46" i="16"/>
  <c r="G58" i="16"/>
  <c r="BC149" i="16"/>
  <c r="BC150" i="16" s="1"/>
  <c r="BC166" i="16"/>
  <c r="AK145" i="16"/>
  <c r="BI149" i="16"/>
  <c r="BI150" i="16" s="1"/>
  <c r="BI166" i="16"/>
  <c r="BC46" i="16"/>
  <c r="BC47" i="16" s="1"/>
  <c r="AG152" i="16"/>
  <c r="AE58" i="16"/>
  <c r="AE171" i="16"/>
  <c r="BI58" i="16"/>
  <c r="BI171" i="16"/>
  <c r="BH178" i="16"/>
  <c r="BI178" i="16" s="1"/>
  <c r="BH177" i="16"/>
  <c r="BI177" i="16" s="1"/>
  <c r="BA177" i="16"/>
  <c r="BA178" i="16"/>
  <c r="AU178" i="16"/>
  <c r="AU177" i="16"/>
  <c r="AS177" i="16"/>
  <c r="AS178" i="16"/>
  <c r="AH178" i="16"/>
  <c r="AH177" i="16"/>
  <c r="V178" i="16"/>
  <c r="V177" i="16"/>
  <c r="BL177" i="16"/>
  <c r="BL178" i="16"/>
  <c r="BO31" i="16"/>
  <c r="BO166" i="16" s="1"/>
  <c r="BN166" i="16"/>
  <c r="BO19" i="16"/>
  <c r="BN175" i="16"/>
  <c r="CA576" i="18"/>
  <c r="CC576" i="18" s="1"/>
  <c r="CA579" i="18"/>
  <c r="CC579" i="18" s="1"/>
  <c r="CA577" i="18"/>
  <c r="CC577" i="18" s="1"/>
  <c r="CA572" i="18"/>
  <c r="CC572" i="18" s="1"/>
  <c r="CA575" i="18"/>
  <c r="CC575" i="18" s="1"/>
  <c r="CD571" i="18"/>
  <c r="CA578" i="18"/>
  <c r="CC578" i="18" s="1"/>
  <c r="CA580" i="18"/>
  <c r="CC580" i="18" s="1"/>
  <c r="CA573" i="18"/>
  <c r="CC573" i="18" s="1"/>
  <c r="S63" i="16"/>
  <c r="S62" i="16"/>
  <c r="AJ152" i="16"/>
  <c r="BO37" i="16"/>
  <c r="BQ37" i="16" s="1"/>
  <c r="BQ88" i="16" s="1"/>
  <c r="Y46" i="16"/>
  <c r="Y47" i="16" s="1"/>
  <c r="Q152" i="16"/>
  <c r="BG41" i="16"/>
  <c r="BG42" i="16" s="1"/>
  <c r="S41" i="16"/>
  <c r="R61" i="16"/>
  <c r="AN152" i="16"/>
  <c r="BN149" i="16"/>
  <c r="BK152" i="16"/>
  <c r="G122" i="16"/>
  <c r="G123" i="16" s="1"/>
  <c r="I120" i="16" s="1"/>
  <c r="I122" i="16" s="1"/>
  <c r="M122" i="16" s="1"/>
  <c r="AW150" i="16"/>
  <c r="M33" i="16"/>
  <c r="M41" i="16" s="1"/>
  <c r="AK63" i="16"/>
  <c r="R63" i="16"/>
  <c r="BC63" i="16"/>
  <c r="AQ33" i="16"/>
  <c r="AQ41" i="16" s="1"/>
  <c r="AH152" i="16"/>
  <c r="AE150" i="16"/>
  <c r="AW41" i="16"/>
  <c r="BC145" i="16"/>
  <c r="CC80" i="16"/>
  <c r="CD80" i="16" s="1"/>
  <c r="CE80" i="16" s="1"/>
  <c r="CF80" i="16" s="1"/>
  <c r="CI80" i="16" s="1"/>
  <c r="CJ80" i="16" s="1"/>
  <c r="CK80" i="16" s="1"/>
  <c r="CL80" i="16" s="1"/>
  <c r="CO80" i="16" s="1"/>
  <c r="CP80" i="16" s="1"/>
  <c r="CQ80" i="16" s="1"/>
  <c r="CR80" i="16" s="1"/>
  <c r="BZ95" i="16"/>
  <c r="CC95" i="16" s="1"/>
  <c r="CD95" i="16" s="1"/>
  <c r="CE95" i="16" s="1"/>
  <c r="CF95" i="16" s="1"/>
  <c r="CI95" i="16" s="1"/>
  <c r="CJ95" i="16" s="1"/>
  <c r="CK95" i="16" s="1"/>
  <c r="CL95" i="16" s="1"/>
  <c r="CO95" i="16" s="1"/>
  <c r="CP95" i="16" s="1"/>
  <c r="CQ95" i="16" s="1"/>
  <c r="CR95" i="16" s="1"/>
  <c r="F47" i="16"/>
  <c r="P47" i="16"/>
  <c r="AA61" i="16"/>
  <c r="AA64" i="16"/>
  <c r="AA24" i="16"/>
  <c r="AA42" i="16" s="1"/>
  <c r="AH47" i="16"/>
  <c r="AJ47" i="16"/>
  <c r="M145" i="16"/>
  <c r="F64" i="16"/>
  <c r="BE61" i="16"/>
  <c r="AH42" i="16"/>
  <c r="AE145" i="16"/>
  <c r="U47" i="16"/>
  <c r="AQ24" i="16"/>
  <c r="AQ61" i="16"/>
  <c r="AQ64" i="16"/>
  <c r="AC42" i="16"/>
  <c r="AM63" i="16"/>
  <c r="BE47" i="16"/>
  <c r="BO35" i="16"/>
  <c r="K152" i="16"/>
  <c r="J47" i="16"/>
  <c r="G46" i="16"/>
  <c r="BI145" i="16"/>
  <c r="Q47" i="16"/>
  <c r="AQ85" i="16"/>
  <c r="BI61" i="16"/>
  <c r="BI64" i="16"/>
  <c r="BI24" i="16"/>
  <c r="F61" i="16"/>
  <c r="X47" i="16"/>
  <c r="Q64" i="16"/>
  <c r="Q61" i="16"/>
  <c r="Q24" i="16"/>
  <c r="V47" i="16"/>
  <c r="M61" i="16"/>
  <c r="M64" i="16"/>
  <c r="M24" i="16"/>
  <c r="R62" i="16"/>
  <c r="BE63" i="16"/>
  <c r="BY79" i="16"/>
  <c r="BC62" i="16"/>
  <c r="AE62" i="16"/>
  <c r="AE63" i="16"/>
  <c r="BE62" i="16"/>
  <c r="K42" i="16"/>
  <c r="CE114" i="16"/>
  <c r="G148" i="16"/>
  <c r="G150" i="16" s="1"/>
  <c r="W47" i="16"/>
  <c r="AM62" i="16"/>
  <c r="AM64" i="16"/>
  <c r="AA47" i="16"/>
  <c r="AW145" i="16"/>
  <c r="AT152" i="16"/>
  <c r="L152" i="16"/>
  <c r="AK33" i="16"/>
  <c r="AK41" i="16" s="1"/>
  <c r="AQ145" i="16"/>
  <c r="AM61" i="16"/>
  <c r="BL47" i="16"/>
  <c r="BA47" i="16"/>
  <c r="AZ47" i="16"/>
  <c r="AP41" i="16"/>
  <c r="AP42" i="16" s="1"/>
  <c r="AS47" i="16"/>
  <c r="AW63" i="16"/>
  <c r="AW62" i="16"/>
  <c r="AT47" i="16"/>
  <c r="Y145" i="16"/>
  <c r="BG58" i="16"/>
  <c r="AG47" i="16"/>
  <c r="F63" i="16"/>
  <c r="R47" i="16"/>
  <c r="Y63" i="16"/>
  <c r="Y62" i="16"/>
  <c r="J152" i="16"/>
  <c r="AQ63" i="16"/>
  <c r="AI42" i="16"/>
  <c r="AD47" i="16"/>
  <c r="M58" i="16"/>
  <c r="AU42" i="16"/>
  <c r="I85" i="16"/>
  <c r="J35" i="16"/>
  <c r="I37" i="16"/>
  <c r="I88" i="16" s="1"/>
  <c r="G61" i="16"/>
  <c r="G64" i="16"/>
  <c r="G24" i="16"/>
  <c r="Y150" i="16"/>
  <c r="BB47" i="16"/>
  <c r="BH42" i="16"/>
  <c r="I47" i="16"/>
  <c r="BW28" i="16"/>
  <c r="BX28" i="16" s="1"/>
  <c r="BY28" i="16" s="1"/>
  <c r="BZ28" i="16" s="1"/>
  <c r="CA28" i="16" s="1"/>
  <c r="AS42" i="16"/>
  <c r="AN47" i="16"/>
  <c r="AW61" i="16"/>
  <c r="AW64" i="16"/>
  <c r="AW24" i="16"/>
  <c r="U24" i="16"/>
  <c r="U61" i="16"/>
  <c r="U64" i="16"/>
  <c r="BH47" i="16"/>
  <c r="Y64" i="16"/>
  <c r="P8" i="16"/>
  <c r="Q8" i="16" s="1"/>
  <c r="R8" i="16" s="1"/>
  <c r="U8" i="16"/>
  <c r="F62" i="16"/>
  <c r="AQ62" i="16"/>
  <c r="BI62" i="16"/>
  <c r="S58" i="16"/>
  <c r="AK58" i="16"/>
  <c r="AK45" i="16"/>
  <c r="AK46" i="16" s="1"/>
  <c r="AE61" i="16"/>
  <c r="AE64" i="16"/>
  <c r="AE24" i="16"/>
  <c r="AK61" i="16"/>
  <c r="AK64" i="16"/>
  <c r="AK24" i="16"/>
  <c r="I42" i="16"/>
  <c r="J64" i="16"/>
  <c r="J61" i="16"/>
  <c r="J24" i="16"/>
  <c r="G62" i="16"/>
  <c r="G63" i="16"/>
  <c r="AP47" i="16"/>
  <c r="W61" i="16"/>
  <c r="W64" i="16"/>
  <c r="W24" i="16"/>
  <c r="S61" i="16"/>
  <c r="S24" i="16"/>
  <c r="S64" i="16"/>
  <c r="BH152" i="16"/>
  <c r="AP152" i="16"/>
  <c r="C104" i="16"/>
  <c r="C108" i="16"/>
  <c r="D93" i="16"/>
  <c r="AK150" i="16"/>
  <c r="Y85" i="16"/>
  <c r="AI47" i="16"/>
  <c r="BC61" i="16"/>
  <c r="BC64" i="16"/>
  <c r="BC24" i="16"/>
  <c r="AT42" i="16"/>
  <c r="AV42" i="16"/>
  <c r="BB42" i="16"/>
  <c r="BE64" i="16"/>
  <c r="R64" i="16"/>
  <c r="AJ42" i="16"/>
  <c r="O61" i="16"/>
  <c r="O64" i="16"/>
  <c r="O24" i="16"/>
  <c r="Y61" i="16"/>
  <c r="AQ58" i="16"/>
  <c r="AO47" i="16"/>
  <c r="BI63" i="16"/>
  <c r="BN142" i="16"/>
  <c r="BO23" i="16"/>
  <c r="BQ15" i="16" l="1"/>
  <c r="BQ165" i="16" s="1"/>
  <c r="BO143" i="16"/>
  <c r="BC152" i="16"/>
  <c r="AK152" i="16"/>
  <c r="BO149" i="16"/>
  <c r="G42" i="16"/>
  <c r="AE152" i="16"/>
  <c r="S152" i="16"/>
  <c r="BC42" i="16"/>
  <c r="AW42" i="16"/>
  <c r="AQ42" i="16"/>
  <c r="AE42" i="16"/>
  <c r="AP178" i="16"/>
  <c r="AQ178" i="16" s="1"/>
  <c r="AP177" i="16"/>
  <c r="AQ177" i="16" s="1"/>
  <c r="BR37" i="16"/>
  <c r="BS37" i="16" s="1"/>
  <c r="BQ19" i="16"/>
  <c r="BO175" i="16"/>
  <c r="BQ31" i="16"/>
  <c r="BQ166" i="16" s="1"/>
  <c r="CD578" i="18"/>
  <c r="CD572" i="18"/>
  <c r="CD579" i="18"/>
  <c r="CD573" i="18"/>
  <c r="CD580" i="18"/>
  <c r="CD575" i="18"/>
  <c r="CD577" i="18"/>
  <c r="CD576" i="18"/>
  <c r="CE571" i="18"/>
  <c r="AW152" i="16"/>
  <c r="BI152" i="16"/>
  <c r="M152" i="16"/>
  <c r="M120" i="16"/>
  <c r="M123" i="16" s="1"/>
  <c r="O120" i="16" s="1"/>
  <c r="O122" i="16" s="1"/>
  <c r="S122" i="16" s="1"/>
  <c r="C103" i="16"/>
  <c r="C109" i="16"/>
  <c r="D100" i="16"/>
  <c r="M42" i="16"/>
  <c r="CC28" i="16"/>
  <c r="CD28" i="16" s="1"/>
  <c r="CE28" i="16" s="1"/>
  <c r="CF28" i="16" s="1"/>
  <c r="CG28" i="16" s="1"/>
  <c r="CI28" i="16" s="1"/>
  <c r="CJ28" i="16" s="1"/>
  <c r="CK28" i="16" s="1"/>
  <c r="CL28" i="16" s="1"/>
  <c r="CM28" i="16" s="1"/>
  <c r="CO28" i="16" s="1"/>
  <c r="CP28" i="16" s="1"/>
  <c r="CQ28" i="16" s="1"/>
  <c r="CR28" i="16" s="1"/>
  <c r="CS28" i="16" s="1"/>
  <c r="Y152" i="16"/>
  <c r="CF114" i="16"/>
  <c r="BZ79" i="16"/>
  <c r="BO142" i="16"/>
  <c r="BQ23" i="16"/>
  <c r="AK42" i="16"/>
  <c r="G152" i="16"/>
  <c r="BQ35" i="16"/>
  <c r="AK47" i="16"/>
  <c r="AE47" i="16"/>
  <c r="O42" i="16"/>
  <c r="J42" i="16"/>
  <c r="K35" i="16"/>
  <c r="Q42" i="16"/>
  <c r="AA8" i="16"/>
  <c r="V8" i="16"/>
  <c r="W8" i="16" s="1"/>
  <c r="X8" i="16" s="1"/>
  <c r="U42" i="16"/>
  <c r="G47" i="16"/>
  <c r="W42" i="16"/>
  <c r="AQ152" i="16"/>
  <c r="BI42" i="16"/>
  <c r="S42" i="16"/>
  <c r="BR15" i="16" l="1"/>
  <c r="BR165" i="16" s="1"/>
  <c r="BQ143" i="16"/>
  <c r="S120" i="16"/>
  <c r="S123" i="16" s="1"/>
  <c r="BR88" i="16"/>
  <c r="BR31" i="16"/>
  <c r="BR166" i="16" s="1"/>
  <c r="BR19" i="16"/>
  <c r="BQ175" i="16"/>
  <c r="BQ149" i="16"/>
  <c r="CE576" i="18"/>
  <c r="CE573" i="18"/>
  <c r="CE580" i="18"/>
  <c r="CE578" i="18"/>
  <c r="CF571" i="18"/>
  <c r="CE575" i="18"/>
  <c r="CE572" i="18"/>
  <c r="CE577" i="18"/>
  <c r="CE579" i="18"/>
  <c r="AG8" i="16"/>
  <c r="AB8" i="16"/>
  <c r="AC8" i="16" s="1"/>
  <c r="AD8" i="16" s="1"/>
  <c r="BT37" i="16"/>
  <c r="BS88" i="16"/>
  <c r="BR35" i="16"/>
  <c r="BQ142" i="16"/>
  <c r="BR23" i="16"/>
  <c r="Y120" i="16" l="1"/>
  <c r="U120" i="16"/>
  <c r="U122" i="16" s="1"/>
  <c r="Y122" i="16" s="1"/>
  <c r="BR143" i="16"/>
  <c r="BS15" i="16"/>
  <c r="BS165" i="16" s="1"/>
  <c r="BS31" i="16"/>
  <c r="BS166" i="16" s="1"/>
  <c r="BR149" i="16"/>
  <c r="BS19" i="16"/>
  <c r="BR175" i="16"/>
  <c r="CF572" i="18"/>
  <c r="CF578" i="18"/>
  <c r="CF579" i="18"/>
  <c r="CF576" i="18"/>
  <c r="CG571" i="18"/>
  <c r="CI571" i="18" s="1"/>
  <c r="CJ571" i="18" s="1"/>
  <c r="CK571" i="18" s="1"/>
  <c r="CL571" i="18" s="1"/>
  <c r="CM571" i="18" s="1"/>
  <c r="CO571" i="18" s="1"/>
  <c r="CP571" i="18" s="1"/>
  <c r="CQ571" i="18" s="1"/>
  <c r="CR571" i="18" s="1"/>
  <c r="CS571" i="18" s="1"/>
  <c r="CF580" i="18"/>
  <c r="CF577" i="18"/>
  <c r="CF575" i="18"/>
  <c r="CF573" i="18"/>
  <c r="BR142" i="16"/>
  <c r="BS23" i="16"/>
  <c r="AM8" i="16"/>
  <c r="AH8" i="16"/>
  <c r="AI8" i="16" s="1"/>
  <c r="AJ8" i="16" s="1"/>
  <c r="BT88" i="16"/>
  <c r="BU88" i="16" s="1"/>
  <c r="BU37" i="16"/>
  <c r="BW37" i="16" s="1"/>
  <c r="BS35" i="16"/>
  <c r="Y123" i="16" l="1"/>
  <c r="AE120" i="16" s="1"/>
  <c r="BT15" i="16"/>
  <c r="BT165" i="16" s="1"/>
  <c r="BS143" i="16"/>
  <c r="BT31" i="16"/>
  <c r="BT166" i="16" s="1"/>
  <c r="BS149" i="16"/>
  <c r="BT19" i="16"/>
  <c r="BS175" i="16"/>
  <c r="CG578" i="18"/>
  <c r="CI578" i="18" s="1"/>
  <c r="CJ578" i="18" s="1"/>
  <c r="CK578" i="18" s="1"/>
  <c r="CL578" i="18" s="1"/>
  <c r="CM578" i="18" s="1"/>
  <c r="CO578" i="18" s="1"/>
  <c r="CP578" i="18" s="1"/>
  <c r="CQ578" i="18" s="1"/>
  <c r="CR578" i="18" s="1"/>
  <c r="CS578" i="18" s="1"/>
  <c r="CG577" i="18"/>
  <c r="CI577" i="18" s="1"/>
  <c r="CJ577" i="18" s="1"/>
  <c r="CK577" i="18" s="1"/>
  <c r="CL577" i="18" s="1"/>
  <c r="CM577" i="18" s="1"/>
  <c r="CO577" i="18" s="1"/>
  <c r="CP577" i="18" s="1"/>
  <c r="CQ577" i="18" s="1"/>
  <c r="CR577" i="18" s="1"/>
  <c r="CS577" i="18" s="1"/>
  <c r="CG580" i="18"/>
  <c r="CI580" i="18" s="1"/>
  <c r="CJ580" i="18" s="1"/>
  <c r="CK580" i="18" s="1"/>
  <c r="CL580" i="18" s="1"/>
  <c r="CM580" i="18" s="1"/>
  <c r="CO580" i="18" s="1"/>
  <c r="CP580" i="18" s="1"/>
  <c r="CQ580" i="18" s="1"/>
  <c r="CR580" i="18" s="1"/>
  <c r="CS580" i="18" s="1"/>
  <c r="CG579" i="18"/>
  <c r="CI579" i="18" s="1"/>
  <c r="CJ579" i="18" s="1"/>
  <c r="CK579" i="18" s="1"/>
  <c r="CL579" i="18" s="1"/>
  <c r="CM579" i="18" s="1"/>
  <c r="CO579" i="18" s="1"/>
  <c r="CP579" i="18" s="1"/>
  <c r="CQ579" i="18" s="1"/>
  <c r="CR579" i="18" s="1"/>
  <c r="CS579" i="18" s="1"/>
  <c r="CG573" i="18"/>
  <c r="CI573" i="18" s="1"/>
  <c r="CJ573" i="18" s="1"/>
  <c r="CK573" i="18" s="1"/>
  <c r="CL573" i="18" s="1"/>
  <c r="CM573" i="18" s="1"/>
  <c r="CO573" i="18" s="1"/>
  <c r="CP573" i="18" s="1"/>
  <c r="CQ573" i="18" s="1"/>
  <c r="CR573" i="18" s="1"/>
  <c r="CS573" i="18" s="1"/>
  <c r="CG575" i="18"/>
  <c r="CI575" i="18" s="1"/>
  <c r="CJ575" i="18" s="1"/>
  <c r="CK575" i="18" s="1"/>
  <c r="CL575" i="18" s="1"/>
  <c r="CM575" i="18" s="1"/>
  <c r="CO575" i="18" s="1"/>
  <c r="CP575" i="18" s="1"/>
  <c r="CQ575" i="18" s="1"/>
  <c r="CR575" i="18" s="1"/>
  <c r="CS575" i="18" s="1"/>
  <c r="CG576" i="18"/>
  <c r="CI576" i="18" s="1"/>
  <c r="CJ576" i="18" s="1"/>
  <c r="CK576" i="18" s="1"/>
  <c r="CL576" i="18" s="1"/>
  <c r="CM576" i="18" s="1"/>
  <c r="CO576" i="18" s="1"/>
  <c r="CP576" i="18" s="1"/>
  <c r="CQ576" i="18" s="1"/>
  <c r="CR576" i="18" s="1"/>
  <c r="CS576" i="18" s="1"/>
  <c r="CG572" i="18"/>
  <c r="CI572" i="18" s="1"/>
  <c r="CJ572" i="18" s="1"/>
  <c r="CK572" i="18" s="1"/>
  <c r="CL572" i="18" s="1"/>
  <c r="CM572" i="18" s="1"/>
  <c r="CO572" i="18" s="1"/>
  <c r="CP572" i="18" s="1"/>
  <c r="CQ572" i="18" s="1"/>
  <c r="CR572" i="18" s="1"/>
  <c r="CS572" i="18" s="1"/>
  <c r="BW88" i="16"/>
  <c r="BX37" i="16"/>
  <c r="BS142" i="16"/>
  <c r="BT23" i="16"/>
  <c r="BT35" i="16"/>
  <c r="AS8" i="16"/>
  <c r="AN8" i="16"/>
  <c r="AO8" i="16" s="1"/>
  <c r="AP8" i="16" s="1"/>
  <c r="BT143" i="16" l="1"/>
  <c r="AA120" i="16"/>
  <c r="AA122" i="16" s="1"/>
  <c r="AE122" i="16" s="1"/>
  <c r="AE123" i="16" s="1"/>
  <c r="AG120" i="16" s="1"/>
  <c r="AG122" i="16" s="1"/>
  <c r="AK122" i="16" s="1"/>
  <c r="AK123" i="16" s="1"/>
  <c r="AM120" i="16" s="1"/>
  <c r="AM122" i="16" s="1"/>
  <c r="AQ122" i="16" s="1"/>
  <c r="AQ123" i="16" s="1"/>
  <c r="AS120" i="16" s="1"/>
  <c r="AS122" i="16" s="1"/>
  <c r="AW122" i="16" s="1"/>
  <c r="AW123" i="16" s="1"/>
  <c r="AY120" i="16" s="1"/>
  <c r="AY122" i="16" s="1"/>
  <c r="BC122" i="16" s="1"/>
  <c r="BC123" i="16" s="1"/>
  <c r="BE120" i="16" s="1"/>
  <c r="BE122" i="16" s="1"/>
  <c r="BI122" i="16" s="1"/>
  <c r="BI123" i="16" s="1"/>
  <c r="BK120" i="16" s="1"/>
  <c r="BK122" i="16" s="1"/>
  <c r="BO122" i="16" s="1"/>
  <c r="BO123" i="16" s="1"/>
  <c r="BU15" i="16"/>
  <c r="BU165" i="16" s="1"/>
  <c r="BT149" i="16"/>
  <c r="BU31" i="16"/>
  <c r="BU166" i="16" s="1"/>
  <c r="BU19" i="16"/>
  <c r="BT175" i="16"/>
  <c r="BT142" i="16"/>
  <c r="BU23" i="16"/>
  <c r="BU35" i="16"/>
  <c r="BX88" i="16"/>
  <c r="BY37" i="16"/>
  <c r="AY8" i="16"/>
  <c r="AT8" i="16"/>
  <c r="AU8" i="16" s="1"/>
  <c r="AV8" i="16" s="1"/>
  <c r="BU143" i="16" l="1"/>
  <c r="BW15" i="16"/>
  <c r="BW165" i="16" s="1"/>
  <c r="BU149" i="16"/>
  <c r="BW31" i="16"/>
  <c r="BW166" i="16" s="1"/>
  <c r="BW19" i="16"/>
  <c r="BU175" i="16"/>
  <c r="BE8" i="16"/>
  <c r="AZ8" i="16"/>
  <c r="BA8" i="16" s="1"/>
  <c r="BB8" i="16" s="1"/>
  <c r="BU142" i="16"/>
  <c r="BW23" i="16"/>
  <c r="BY88" i="16"/>
  <c r="BZ37" i="16"/>
  <c r="BW35" i="16"/>
  <c r="BX15" i="16" l="1"/>
  <c r="BX165" i="16" s="1"/>
  <c r="BW143" i="16"/>
  <c r="BX31" i="16"/>
  <c r="BX166" i="16" s="1"/>
  <c r="BW149" i="16"/>
  <c r="BX19" i="16"/>
  <c r="BW175" i="16"/>
  <c r="BK8" i="16"/>
  <c r="BF8" i="16"/>
  <c r="BG8" i="16" s="1"/>
  <c r="BH8" i="16" s="1"/>
  <c r="BX35" i="16"/>
  <c r="BZ88" i="16"/>
  <c r="CA88" i="16" s="1"/>
  <c r="CA37" i="16"/>
  <c r="CC37" i="16" s="1"/>
  <c r="BW142" i="16"/>
  <c r="BX23" i="16"/>
  <c r="BY15" i="16" l="1"/>
  <c r="BY165" i="16" s="1"/>
  <c r="BX143" i="16"/>
  <c r="BX149" i="16"/>
  <c r="BY31" i="16"/>
  <c r="BY166" i="16" s="1"/>
  <c r="BY19" i="16"/>
  <c r="BX175" i="16"/>
  <c r="BQ8" i="16"/>
  <c r="BL8" i="16"/>
  <c r="BM8" i="16" s="1"/>
  <c r="BN8" i="16" s="1"/>
  <c r="BX142" i="16"/>
  <c r="BY23" i="16"/>
  <c r="CC88" i="16"/>
  <c r="CD37" i="16"/>
  <c r="BY35" i="16"/>
  <c r="BZ15" i="16" l="1"/>
  <c r="BZ165" i="16" s="1"/>
  <c r="BY143" i="16"/>
  <c r="BY149" i="16"/>
  <c r="BZ31" i="16"/>
  <c r="BZ166" i="16" s="1"/>
  <c r="BZ19" i="16"/>
  <c r="BY175" i="16"/>
  <c r="BZ143" i="16"/>
  <c r="BY142" i="16"/>
  <c r="BZ23" i="16"/>
  <c r="CD88" i="16"/>
  <c r="CE37" i="16"/>
  <c r="BZ35" i="16"/>
  <c r="BW8" i="16"/>
  <c r="BR8" i="16"/>
  <c r="BS8" i="16" s="1"/>
  <c r="BT8" i="16" s="1"/>
  <c r="CA15" i="16" l="1"/>
  <c r="CA165" i="16" s="1"/>
  <c r="CA31" i="16"/>
  <c r="CA166" i="16" s="1"/>
  <c r="BZ149" i="16"/>
  <c r="CA19" i="16"/>
  <c r="BZ175" i="16"/>
  <c r="CA35" i="16"/>
  <c r="CE88" i="16"/>
  <c r="CF37" i="16"/>
  <c r="CC8" i="16"/>
  <c r="BX8" i="16"/>
  <c r="BY8" i="16" s="1"/>
  <c r="BZ8" i="16" s="1"/>
  <c r="BZ142" i="16"/>
  <c r="CA23" i="16"/>
  <c r="CA143" i="16" l="1"/>
  <c r="CC15" i="16"/>
  <c r="CC165" i="16" s="1"/>
  <c r="CD8" i="16"/>
  <c r="CE8" i="16" s="1"/>
  <c r="CF8" i="16" s="1"/>
  <c r="CI8" i="16"/>
  <c r="CA149" i="16"/>
  <c r="CC31" i="16"/>
  <c r="CC166" i="16" s="1"/>
  <c r="CC19" i="16"/>
  <c r="CA175" i="16"/>
  <c r="CF88" i="16"/>
  <c r="CG88" i="16" s="1"/>
  <c r="CG37" i="16"/>
  <c r="CI37" i="16" s="1"/>
  <c r="CA142" i="16"/>
  <c r="CC23" i="16"/>
  <c r="CC35" i="16"/>
  <c r="BL60" i="48"/>
  <c r="BL62" i="48" s="1"/>
  <c r="BL56" i="48"/>
  <c r="BL49" i="48"/>
  <c r="BL48" i="48"/>
  <c r="BL47" i="48"/>
  <c r="BL46" i="48"/>
  <c r="BL43" i="48"/>
  <c r="CU38" i="17"/>
  <c r="CU40" i="17"/>
  <c r="BL37" i="17"/>
  <c r="BL41" i="17"/>
  <c r="BL39" i="17"/>
  <c r="CU39" i="17" s="1"/>
  <c r="BL30" i="17"/>
  <c r="BL29" i="17"/>
  <c r="BL25" i="17"/>
  <c r="BL21" i="17"/>
  <c r="BL24" i="17"/>
  <c r="BL23" i="17"/>
  <c r="BL22" i="17"/>
  <c r="BL20" i="17"/>
  <c r="BL19" i="17"/>
  <c r="BL18" i="17"/>
  <c r="BL14" i="17"/>
  <c r="BL13" i="17"/>
  <c r="BL12" i="17"/>
  <c r="BL11" i="17"/>
  <c r="CC143" i="16" l="1"/>
  <c r="CD15" i="16"/>
  <c r="CD165" i="16" s="1"/>
  <c r="BM13" i="17"/>
  <c r="BN13" i="17" s="1"/>
  <c r="BM21" i="17"/>
  <c r="BN21" i="17" s="1"/>
  <c r="BM14" i="17"/>
  <c r="BN14" i="17" s="1"/>
  <c r="BM25" i="17"/>
  <c r="BN25" i="17" s="1"/>
  <c r="BM19" i="17"/>
  <c r="BN19" i="17" s="1"/>
  <c r="BM22" i="17"/>
  <c r="BN22" i="17" s="1"/>
  <c r="BM23" i="17"/>
  <c r="BN23" i="17" s="1"/>
  <c r="BM41" i="17"/>
  <c r="BN41" i="17" s="1"/>
  <c r="CJ8" i="16"/>
  <c r="CK8" i="16" s="1"/>
  <c r="CL8" i="16" s="1"/>
  <c r="CO8" i="16"/>
  <c r="CP8" i="16" s="1"/>
  <c r="CQ8" i="16" s="1"/>
  <c r="CR8" i="16" s="1"/>
  <c r="BM18" i="17"/>
  <c r="BN18" i="17" s="1"/>
  <c r="BM30" i="17"/>
  <c r="BN30" i="17" s="1"/>
  <c r="BM20" i="17"/>
  <c r="BN20" i="17" s="1"/>
  <c r="BM39" i="17"/>
  <c r="BN39" i="17" s="1"/>
  <c r="BM24" i="17"/>
  <c r="BN24" i="17" s="1"/>
  <c r="BM37" i="17"/>
  <c r="BN37" i="17" s="1"/>
  <c r="CI88" i="16"/>
  <c r="CJ37" i="16"/>
  <c r="CD31" i="16"/>
  <c r="CD166" i="16" s="1"/>
  <c r="CC149" i="16"/>
  <c r="CU41" i="17"/>
  <c r="BL101" i="16"/>
  <c r="BM11" i="17"/>
  <c r="BM101" i="16" s="1"/>
  <c r="BL114" i="16"/>
  <c r="BL115" i="16" s="1"/>
  <c r="BM12" i="17"/>
  <c r="BM114" i="16" s="1"/>
  <c r="BL94" i="16"/>
  <c r="BM29" i="17"/>
  <c r="BM94" i="16" s="1"/>
  <c r="BM95" i="16" s="1"/>
  <c r="CD19" i="16"/>
  <c r="CC175" i="16"/>
  <c r="CC142" i="16"/>
  <c r="CD23" i="16"/>
  <c r="CD35" i="16"/>
  <c r="BL43" i="17"/>
  <c r="CU37" i="17"/>
  <c r="BL17" i="17"/>
  <c r="CD143" i="16" l="1"/>
  <c r="CE15" i="16"/>
  <c r="CE165" i="16" s="1"/>
  <c r="BO37" i="17"/>
  <c r="BN11" i="17"/>
  <c r="BN29" i="17"/>
  <c r="BN12" i="17"/>
  <c r="BO41" i="17"/>
  <c r="BN17" i="17"/>
  <c r="CD149" i="16"/>
  <c r="BN43" i="17"/>
  <c r="CJ88" i="16"/>
  <c r="CK37" i="16"/>
  <c r="CE31" i="16"/>
  <c r="CE166" i="16" s="1"/>
  <c r="BL116" i="16"/>
  <c r="BM115" i="16"/>
  <c r="BM116" i="16"/>
  <c r="CE19" i="16"/>
  <c r="CD175" i="16"/>
  <c r="CE35" i="16"/>
  <c r="CD142" i="16"/>
  <c r="CE23" i="16"/>
  <c r="CF15" i="16" l="1"/>
  <c r="CF165" i="16" s="1"/>
  <c r="CE143" i="16"/>
  <c r="CF31" i="16"/>
  <c r="CF149" i="16" s="1"/>
  <c r="CE149" i="16"/>
  <c r="CK88" i="16"/>
  <c r="CL37" i="16"/>
  <c r="CF19" i="16"/>
  <c r="CE175" i="16"/>
  <c r="CF35" i="16"/>
  <c r="CE142" i="16"/>
  <c r="CF23" i="16"/>
  <c r="BX53" i="19"/>
  <c r="CD53" i="19" s="1"/>
  <c r="CJ53" i="19" s="1"/>
  <c r="BX52" i="19"/>
  <c r="BL15" i="18"/>
  <c r="BL305" i="18"/>
  <c r="BL304" i="18"/>
  <c r="BL303" i="18"/>
  <c r="BL302" i="18"/>
  <c r="BL135" i="18"/>
  <c r="BL26" i="18"/>
  <c r="BL24" i="18" s="1"/>
  <c r="BL14" i="18"/>
  <c r="BL13" i="18" s="1"/>
  <c r="BL135" i="19"/>
  <c r="BL133" i="19"/>
  <c r="BL114" i="19"/>
  <c r="BL102" i="19" s="1"/>
  <c r="BL101" i="19"/>
  <c r="BL100" i="19"/>
  <c r="BL99" i="19"/>
  <c r="BL98" i="19"/>
  <c r="BL92" i="19"/>
  <c r="BL96" i="19" s="1"/>
  <c r="BL88" i="19"/>
  <c r="BL91" i="19" s="1"/>
  <c r="BL78" i="19"/>
  <c r="BL77" i="19"/>
  <c r="BL76" i="19"/>
  <c r="BL75" i="19"/>
  <c r="BL73" i="19"/>
  <c r="BL49" i="19"/>
  <c r="BL12" i="19"/>
  <c r="BL9" i="19"/>
  <c r="CG15" i="16" l="1"/>
  <c r="CI15" i="16" s="1"/>
  <c r="CI22" i="17" s="1"/>
  <c r="CF143" i="16"/>
  <c r="CF166" i="16"/>
  <c r="CG31" i="16"/>
  <c r="CI31" i="16" s="1"/>
  <c r="CI25" i="17" s="1"/>
  <c r="BL156" i="16"/>
  <c r="CP53" i="19"/>
  <c r="CL88" i="16"/>
  <c r="CM88" i="16" s="1"/>
  <c r="CM37" i="16"/>
  <c r="CO37" i="16" s="1"/>
  <c r="BM98" i="19"/>
  <c r="BN98" i="19" s="1"/>
  <c r="CG19" i="16"/>
  <c r="CF175" i="16"/>
  <c r="BL67" i="16"/>
  <c r="BR67" i="16" s="1"/>
  <c r="BX67" i="16" s="1"/>
  <c r="CD67" i="16" s="1"/>
  <c r="CJ67" i="16" s="1"/>
  <c r="CP67" i="16" s="1"/>
  <c r="BL81" i="16"/>
  <c r="BL132" i="16"/>
  <c r="BL153" i="16" s="1"/>
  <c r="BL95" i="16"/>
  <c r="BL69" i="16"/>
  <c r="BL68" i="16"/>
  <c r="BR68" i="16" s="1"/>
  <c r="BX68" i="16" s="1"/>
  <c r="CD68" i="16" s="1"/>
  <c r="CJ68" i="16" s="1"/>
  <c r="CG35" i="16"/>
  <c r="CI35" i="16" s="1"/>
  <c r="CJ35" i="16" s="1"/>
  <c r="CK35" i="16" s="1"/>
  <c r="CL35" i="16" s="1"/>
  <c r="CM35" i="16" s="1"/>
  <c r="CO35" i="16" s="1"/>
  <c r="CP35" i="16" s="1"/>
  <c r="CQ35" i="16" s="1"/>
  <c r="CR35" i="16" s="1"/>
  <c r="CS35" i="16" s="1"/>
  <c r="CF142" i="16"/>
  <c r="CG23" i="16"/>
  <c r="BL79" i="19"/>
  <c r="BL136" i="19"/>
  <c r="BL52" i="19"/>
  <c r="BL46" i="19"/>
  <c r="BL53" i="19"/>
  <c r="BL134" i="19"/>
  <c r="BL139" i="19"/>
  <c r="BL140" i="19"/>
  <c r="BL143" i="19" s="1"/>
  <c r="BL144" i="19" s="1"/>
  <c r="BL48" i="19"/>
  <c r="BL16" i="19"/>
  <c r="CG165" i="16" l="1"/>
  <c r="CG166" i="16"/>
  <c r="CG143" i="16"/>
  <c r="CG149" i="16"/>
  <c r="BO98" i="19"/>
  <c r="CG142" i="16"/>
  <c r="CI23" i="16"/>
  <c r="CI24" i="17" s="1"/>
  <c r="CJ15" i="16"/>
  <c r="CJ22" i="17" s="1"/>
  <c r="CI143" i="16"/>
  <c r="CI165" i="16"/>
  <c r="CO88" i="16"/>
  <c r="CP37" i="16"/>
  <c r="CP68" i="16"/>
  <c r="CG175" i="16"/>
  <c r="CI19" i="16"/>
  <c r="CI166" i="16"/>
  <c r="CJ31" i="16"/>
  <c r="CJ25" i="17" s="1"/>
  <c r="CI149" i="16"/>
  <c r="BL159" i="19"/>
  <c r="BL160" i="19"/>
  <c r="BL70" i="16"/>
  <c r="BL84" i="19"/>
  <c r="BL87" i="19" s="1"/>
  <c r="BL131" i="19"/>
  <c r="BL132" i="19" s="1"/>
  <c r="BL50" i="19"/>
  <c r="BL141" i="19"/>
  <c r="BL142" i="19" s="1"/>
  <c r="CK15" i="16" l="1"/>
  <c r="CK22" i="17" s="1"/>
  <c r="CJ165" i="16"/>
  <c r="CJ143" i="16"/>
  <c r="CJ23" i="16"/>
  <c r="CI142" i="16"/>
  <c r="CP88" i="16"/>
  <c r="CQ37" i="16"/>
  <c r="CI175" i="16"/>
  <c r="CJ19" i="16"/>
  <c r="CJ166" i="16"/>
  <c r="CK31" i="16"/>
  <c r="CK25" i="17" s="1"/>
  <c r="CJ149" i="16"/>
  <c r="BL145" i="19"/>
  <c r="BL146" i="19" s="1"/>
  <c r="CL15" i="16" l="1"/>
  <c r="CL22" i="17" s="1"/>
  <c r="CM22" i="17" s="1"/>
  <c r="CK143" i="16"/>
  <c r="CK165" i="16"/>
  <c r="CJ142" i="16"/>
  <c r="CK23" i="16"/>
  <c r="CJ24" i="17"/>
  <c r="CR37" i="16"/>
  <c r="CQ88" i="16"/>
  <c r="CK166" i="16"/>
  <c r="CK149" i="16"/>
  <c r="CL31" i="16"/>
  <c r="CL25" i="17" s="1"/>
  <c r="CJ175" i="16"/>
  <c r="CK19" i="16"/>
  <c r="CL23" i="16" l="1"/>
  <c r="CL24" i="17" s="1"/>
  <c r="CK142" i="16"/>
  <c r="CM15" i="16"/>
  <c r="CL165" i="16"/>
  <c r="CL143" i="16"/>
  <c r="CK24" i="17"/>
  <c r="CM25" i="17"/>
  <c r="CR88" i="16"/>
  <c r="CS88" i="16" s="1"/>
  <c r="CS37" i="16"/>
  <c r="CK175" i="16"/>
  <c r="CL19" i="16"/>
  <c r="CL149" i="16"/>
  <c r="CL166" i="16"/>
  <c r="CM31" i="16"/>
  <c r="CO31" i="16" s="1"/>
  <c r="CO25" i="17" s="1"/>
  <c r="CM24" i="17" l="1"/>
  <c r="CM23" i="16"/>
  <c r="CL142" i="16"/>
  <c r="CO15" i="16"/>
  <c r="CO22" i="17" s="1"/>
  <c r="CM165" i="16"/>
  <c r="CM143" i="16"/>
  <c r="CO166" i="16"/>
  <c r="CP31" i="16"/>
  <c r="CP25" i="17" s="1"/>
  <c r="CO149" i="16"/>
  <c r="CM149" i="16"/>
  <c r="CM166" i="16"/>
  <c r="CL175" i="16"/>
  <c r="CM19" i="16"/>
  <c r="CP15" i="16" l="1"/>
  <c r="CP22" i="17" s="1"/>
  <c r="CO165" i="16"/>
  <c r="CO143" i="16"/>
  <c r="CM142" i="16"/>
  <c r="CO23" i="16"/>
  <c r="CM175" i="16"/>
  <c r="CO19" i="16"/>
  <c r="CP166" i="16"/>
  <c r="CP149" i="16"/>
  <c r="CQ31" i="16"/>
  <c r="CQ25" i="17" s="1"/>
  <c r="CP165" i="16" l="1"/>
  <c r="CQ15" i="16"/>
  <c r="CQ22" i="17" s="1"/>
  <c r="CP143" i="16"/>
  <c r="CP23" i="16"/>
  <c r="CO142" i="16"/>
  <c r="CO24" i="17"/>
  <c r="CQ149" i="16"/>
  <c r="CQ166" i="16"/>
  <c r="CR31" i="16"/>
  <c r="CR25" i="17" s="1"/>
  <c r="CO175" i="16"/>
  <c r="CP19" i="16"/>
  <c r="CQ23" i="16" l="1"/>
  <c r="CQ24" i="17" s="1"/>
  <c r="CP142" i="16"/>
  <c r="CR15" i="16"/>
  <c r="CR22" i="17" s="1"/>
  <c r="CS22" i="17" s="1"/>
  <c r="CQ143" i="16"/>
  <c r="CQ165" i="16"/>
  <c r="CP24" i="17"/>
  <c r="CS25" i="17"/>
  <c r="CP175" i="16"/>
  <c r="CQ19" i="16"/>
  <c r="CR149" i="16"/>
  <c r="CS31" i="16"/>
  <c r="CR166" i="16"/>
  <c r="BR172" i="19"/>
  <c r="BS172" i="19"/>
  <c r="BT172" i="19"/>
  <c r="DV207" i="18"/>
  <c r="DU207" i="18"/>
  <c r="DT207" i="18"/>
  <c r="DS207" i="18"/>
  <c r="DQ207" i="18"/>
  <c r="DP207" i="18"/>
  <c r="DO207" i="18"/>
  <c r="DN207" i="18"/>
  <c r="DM207" i="18"/>
  <c r="DL207" i="18"/>
  <c r="DK207" i="18"/>
  <c r="DJ207" i="18"/>
  <c r="DI207" i="18"/>
  <c r="DH207" i="18"/>
  <c r="DG207" i="18"/>
  <c r="DF207" i="18"/>
  <c r="DE207" i="18"/>
  <c r="DD207" i="18"/>
  <c r="DC207" i="18"/>
  <c r="DB207" i="18"/>
  <c r="DA207" i="18"/>
  <c r="CZ207" i="18"/>
  <c r="CY207" i="18"/>
  <c r="DR207" i="18"/>
  <c r="CS15" i="16" l="1"/>
  <c r="CR143" i="16"/>
  <c r="CR165" i="16"/>
  <c r="CR23" i="16"/>
  <c r="CQ142" i="16"/>
  <c r="CS149" i="16"/>
  <c r="CS166" i="16"/>
  <c r="CQ175" i="16"/>
  <c r="CR19" i="16"/>
  <c r="BU172" i="19"/>
  <c r="CR142" i="16" l="1"/>
  <c r="CS23" i="16"/>
  <c r="CS142" i="16" s="1"/>
  <c r="CR24" i="17"/>
  <c r="CS24" i="17" s="1"/>
  <c r="CS143" i="16"/>
  <c r="CS165" i="16"/>
  <c r="CR175" i="16"/>
  <c r="CS19" i="16"/>
  <c r="CS175" i="16" s="1"/>
  <c r="BK33" i="17" l="1"/>
  <c r="BK31" i="17"/>
  <c r="BK16" i="17"/>
  <c r="BK43" i="17"/>
  <c r="CU43" i="17" s="1"/>
  <c r="BK17" i="17"/>
  <c r="BK34" i="17" l="1"/>
  <c r="BL16" i="17"/>
  <c r="BM16" i="17" s="1"/>
  <c r="BL33" i="17"/>
  <c r="BM33" i="17" s="1"/>
  <c r="BN33" i="17" s="1"/>
  <c r="BL31" i="17"/>
  <c r="BM31" i="17" s="1"/>
  <c r="BN31" i="17" s="1"/>
  <c r="BN34" i="17" l="1"/>
  <c r="BL34" i="17"/>
  <c r="BN16" i="17"/>
  <c r="BN26" i="17" s="1"/>
  <c r="BN47" i="17" l="1"/>
  <c r="BF39" i="17" l="1"/>
  <c r="CD15" i="17"/>
  <c r="BX15" i="17"/>
  <c r="BR15" i="17"/>
  <c r="BE16" i="17"/>
  <c r="BF16" i="17" s="1"/>
  <c r="BE40" i="17"/>
  <c r="BE38" i="17"/>
  <c r="BG39" i="17" l="1"/>
  <c r="BH39" i="17" s="1"/>
  <c r="BG16" i="17"/>
  <c r="BH16" i="17" s="1"/>
  <c r="BS15" i="17"/>
  <c r="BT15" i="17" s="1"/>
  <c r="CE15" i="17"/>
  <c r="CF15" i="17" s="1"/>
  <c r="BY15" i="17"/>
  <c r="BZ15" i="17" s="1"/>
  <c r="CG15" i="17" l="1"/>
  <c r="BU15" i="17"/>
  <c r="CA15" i="17"/>
  <c r="BO15" i="17"/>
  <c r="CD160" i="19"/>
  <c r="CC160" i="19"/>
  <c r="BW160" i="19"/>
  <c r="BQ160" i="19"/>
  <c r="BI160" i="19"/>
  <c r="CD159" i="19"/>
  <c r="CC159" i="19"/>
  <c r="BW159" i="19"/>
  <c r="BQ159" i="19"/>
  <c r="BM159" i="19"/>
  <c r="BI159" i="19"/>
  <c r="BB160" i="19"/>
  <c r="BA160" i="19"/>
  <c r="AZ160" i="19"/>
  <c r="BB159" i="19"/>
  <c r="BA159" i="19"/>
  <c r="AZ159" i="19"/>
  <c r="AY160" i="19"/>
  <c r="AY159" i="19"/>
  <c r="AW160" i="19"/>
  <c r="AQ160" i="19"/>
  <c r="AK160" i="19"/>
  <c r="AE160" i="19"/>
  <c r="Y160" i="19"/>
  <c r="S160" i="19"/>
  <c r="M160" i="19"/>
  <c r="G160" i="19"/>
  <c r="AW159" i="19"/>
  <c r="AQ159" i="19"/>
  <c r="AK159" i="19"/>
  <c r="AE159" i="19"/>
  <c r="Y159" i="19"/>
  <c r="S159" i="19"/>
  <c r="M159" i="19"/>
  <c r="G159" i="19"/>
  <c r="CG163" i="19" l="1"/>
  <c r="CA163" i="19"/>
  <c r="BI163" i="19" l="1"/>
  <c r="BC163" i="19"/>
  <c r="AW163" i="19"/>
  <c r="AQ163" i="19"/>
  <c r="AK163" i="19"/>
  <c r="AE163" i="19"/>
  <c r="Y163" i="19"/>
  <c r="S163" i="19"/>
  <c r="M163" i="19"/>
  <c r="AE162" i="19"/>
  <c r="Y162" i="19"/>
  <c r="S162" i="19"/>
  <c r="M162" i="19"/>
  <c r="AK162" i="19"/>
  <c r="CG162" i="19"/>
  <c r="CA162" i="19"/>
  <c r="BU162" i="19"/>
  <c r="BO162" i="19"/>
  <c r="BI162" i="19"/>
  <c r="BC162" i="19"/>
  <c r="CD81" i="19"/>
  <c r="CE81" i="19" s="1"/>
  <c r="BX81" i="19"/>
  <c r="BY81" i="19" s="1"/>
  <c r="BZ81" i="19" s="1"/>
  <c r="CA81" i="19" s="1"/>
  <c r="BL81" i="19"/>
  <c r="BM81" i="19" s="1"/>
  <c r="BF81" i="19"/>
  <c r="BG81" i="19" s="1"/>
  <c r="BH81" i="19" s="1"/>
  <c r="BI81" i="19" s="1"/>
  <c r="AZ81" i="19"/>
  <c r="BA81" i="19" s="1"/>
  <c r="BB81" i="19" s="1"/>
  <c r="BC81" i="19" s="1"/>
  <c r="AT81" i="19"/>
  <c r="AU81" i="19" s="1"/>
  <c r="AN81" i="19"/>
  <c r="AO81" i="19" s="1"/>
  <c r="AP81" i="19" s="1"/>
  <c r="AQ81" i="19" s="1"/>
  <c r="AH81" i="19"/>
  <c r="AI81" i="19" s="1"/>
  <c r="AB81" i="19"/>
  <c r="AC81" i="19" s="1"/>
  <c r="AD81" i="19" s="1"/>
  <c r="AE81" i="19" s="1"/>
  <c r="V81" i="19"/>
  <c r="W81" i="19" s="1"/>
  <c r="P81" i="19"/>
  <c r="J81" i="19"/>
  <c r="D81" i="19"/>
  <c r="E81" i="19" s="1"/>
  <c r="F81" i="19" s="1"/>
  <c r="G81" i="19" s="1"/>
  <c r="BS81" i="19" l="1"/>
  <c r="BS161" i="19" s="1"/>
  <c r="BR161" i="19"/>
  <c r="BN81" i="19"/>
  <c r="BO81" i="19" s="1"/>
  <c r="Q81" i="19"/>
  <c r="K81" i="19"/>
  <c r="L81" i="19" s="1"/>
  <c r="M81" i="19" s="1"/>
  <c r="X81" i="19"/>
  <c r="AJ81" i="19"/>
  <c r="AV81" i="19"/>
  <c r="G163" i="19"/>
  <c r="G162" i="19"/>
  <c r="G140" i="19"/>
  <c r="G161" i="19"/>
  <c r="BT81" i="19" l="1"/>
  <c r="BU81" i="19" s="1"/>
  <c r="R81" i="19"/>
  <c r="AW81" i="19"/>
  <c r="Y81" i="19"/>
  <c r="CF81" i="19"/>
  <c r="AK81" i="19"/>
  <c r="S81" i="19" l="1"/>
  <c r="CG81" i="19"/>
  <c r="DV205" i="18" l="1"/>
  <c r="DU205" i="18"/>
  <c r="DT205" i="18"/>
  <c r="DS205" i="18"/>
  <c r="DR205" i="18"/>
  <c r="DQ205" i="18"/>
  <c r="DP205" i="18"/>
  <c r="DO205" i="18"/>
  <c r="DN205" i="18"/>
  <c r="DM205" i="18"/>
  <c r="DL205" i="18"/>
  <c r="DK205" i="18"/>
  <c r="DJ205" i="18"/>
  <c r="DI205" i="18"/>
  <c r="DH205" i="18"/>
  <c r="DG205" i="18"/>
  <c r="DF205" i="18"/>
  <c r="DE205" i="18"/>
  <c r="DD205" i="18"/>
  <c r="DC205" i="18"/>
  <c r="DB205" i="18"/>
  <c r="DA205" i="18"/>
  <c r="CZ205" i="18"/>
  <c r="CY205" i="18"/>
  <c r="DN311" i="18"/>
  <c r="DO312" i="18" s="1"/>
  <c r="BI15" i="17" l="1"/>
  <c r="BX160" i="19" l="1"/>
  <c r="BX139" i="19"/>
  <c r="BR160" i="19"/>
  <c r="BS52" i="19"/>
  <c r="BS53" i="19"/>
  <c r="BR159" i="19" l="1"/>
  <c r="BX159" i="19"/>
  <c r="BT52" i="19"/>
  <c r="BZ52" i="19" s="1"/>
  <c r="BY52" i="19"/>
  <c r="CE52" i="19" s="1"/>
  <c r="BT53" i="19"/>
  <c r="BZ53" i="19" s="1"/>
  <c r="CF53" i="19" s="1"/>
  <c r="CL53" i="19" s="1"/>
  <c r="CR53" i="19" s="1"/>
  <c r="BY53" i="19"/>
  <c r="CE53" i="19" s="1"/>
  <c r="CK53" i="19" s="1"/>
  <c r="BX57" i="19"/>
  <c r="BX158" i="16" s="1"/>
  <c r="CQ53" i="19" l="1"/>
  <c r="CS53" i="19" s="1"/>
  <c r="CM53" i="19"/>
  <c r="CK52" i="19"/>
  <c r="CQ52" i="19" s="1"/>
  <c r="CG53" i="19"/>
  <c r="BY57" i="19"/>
  <c r="BY158" i="16" s="1"/>
  <c r="BX134" i="16"/>
  <c r="BI186" i="19"/>
  <c r="M176" i="19"/>
  <c r="S176" i="19"/>
  <c r="Y176" i="19"/>
  <c r="AE176" i="19"/>
  <c r="AK176" i="19"/>
  <c r="AQ176" i="19"/>
  <c r="AW176" i="19"/>
  <c r="BC176" i="19"/>
  <c r="BI176" i="19"/>
  <c r="BZ57" i="19" l="1"/>
  <c r="CC57" i="19" s="1"/>
  <c r="BY134" i="16"/>
  <c r="DW205" i="18"/>
  <c r="E18" i="19"/>
  <c r="E135" i="19" s="1"/>
  <c r="D18" i="19"/>
  <c r="D135" i="19" s="1"/>
  <c r="C18" i="19"/>
  <c r="C143" i="19" s="1"/>
  <c r="E17" i="19"/>
  <c r="E133" i="19" s="1"/>
  <c r="D17" i="19"/>
  <c r="D133" i="19" s="1"/>
  <c r="C17" i="19"/>
  <c r="E14" i="19"/>
  <c r="D14" i="19"/>
  <c r="C14" i="19"/>
  <c r="E13" i="19"/>
  <c r="D13" i="19"/>
  <c r="C13" i="19"/>
  <c r="K18" i="19"/>
  <c r="K135" i="19" s="1"/>
  <c r="J18" i="19"/>
  <c r="J135" i="19" s="1"/>
  <c r="I18" i="19"/>
  <c r="K17" i="19"/>
  <c r="K133" i="19" s="1"/>
  <c r="J17" i="19"/>
  <c r="J133" i="19" s="1"/>
  <c r="I17" i="19"/>
  <c r="I133" i="19" s="1"/>
  <c r="K14" i="19"/>
  <c r="J14" i="19"/>
  <c r="K13" i="19"/>
  <c r="J13" i="19"/>
  <c r="I14" i="19"/>
  <c r="I13" i="19"/>
  <c r="Q18" i="19"/>
  <c r="Q135" i="19" s="1"/>
  <c r="Q17" i="19"/>
  <c r="Q133" i="19" s="1"/>
  <c r="Q14" i="19"/>
  <c r="Q13" i="19"/>
  <c r="P18" i="19"/>
  <c r="P135" i="19" s="1"/>
  <c r="P17" i="19"/>
  <c r="P133" i="19" s="1"/>
  <c r="P14" i="19"/>
  <c r="P13" i="19"/>
  <c r="O18" i="19"/>
  <c r="O135" i="19" s="1"/>
  <c r="O17" i="19"/>
  <c r="O133" i="19" s="1"/>
  <c r="O14" i="19"/>
  <c r="O13" i="19"/>
  <c r="W18" i="19"/>
  <c r="W135" i="19" s="1"/>
  <c r="W17" i="19"/>
  <c r="W133" i="19" s="1"/>
  <c r="W14" i="19"/>
  <c r="W13" i="19"/>
  <c r="V18" i="19"/>
  <c r="V135" i="19" s="1"/>
  <c r="V17" i="19"/>
  <c r="V14" i="19"/>
  <c r="V13" i="19"/>
  <c r="U18" i="19"/>
  <c r="U135" i="19" s="1"/>
  <c r="U17" i="19"/>
  <c r="U133" i="19" s="1"/>
  <c r="U14" i="19"/>
  <c r="U13" i="19"/>
  <c r="AC18" i="19"/>
  <c r="AC135" i="19" s="1"/>
  <c r="AC17" i="19"/>
  <c r="AC133" i="19" s="1"/>
  <c r="AC14" i="19"/>
  <c r="AC13" i="19"/>
  <c r="AB18" i="19"/>
  <c r="AB135" i="19" s="1"/>
  <c r="AB17" i="19"/>
  <c r="AB133" i="19" s="1"/>
  <c r="AB15" i="19"/>
  <c r="AB14" i="19"/>
  <c r="AB13" i="19"/>
  <c r="AA18" i="19"/>
  <c r="AA135" i="19" s="1"/>
  <c r="AA17" i="19"/>
  <c r="AA133" i="19" s="1"/>
  <c r="AA14" i="19"/>
  <c r="AA13" i="19"/>
  <c r="AJ14" i="19"/>
  <c r="AJ13" i="19"/>
  <c r="AJ17" i="19"/>
  <c r="AJ133" i="19" s="1"/>
  <c r="AJ18" i="19"/>
  <c r="AJ135" i="19" s="1"/>
  <c r="AI18" i="19"/>
  <c r="AI135" i="19" s="1"/>
  <c r="AI17" i="19"/>
  <c r="AI133" i="19" s="1"/>
  <c r="AI14" i="19"/>
  <c r="AI13" i="19"/>
  <c r="AH18" i="19"/>
  <c r="AH135" i="19" s="1"/>
  <c r="AH17" i="19"/>
  <c r="AH133" i="19" s="1"/>
  <c r="AH14" i="19"/>
  <c r="AH13" i="19"/>
  <c r="AG18" i="19"/>
  <c r="AG135" i="19" s="1"/>
  <c r="AG17" i="19"/>
  <c r="AG133" i="19" s="1"/>
  <c r="AG14" i="19"/>
  <c r="AG13" i="19"/>
  <c r="AP13" i="19"/>
  <c r="AP14" i="19"/>
  <c r="AP17" i="19"/>
  <c r="AP133" i="19" s="1"/>
  <c r="AP18" i="19"/>
  <c r="AP135" i="19" s="1"/>
  <c r="AO18" i="19"/>
  <c r="AO135" i="19" s="1"/>
  <c r="AO17" i="19"/>
  <c r="AO133" i="19" s="1"/>
  <c r="AO14" i="19"/>
  <c r="AO13" i="19"/>
  <c r="AN18" i="19"/>
  <c r="AN135" i="19" s="1"/>
  <c r="AN17" i="19"/>
  <c r="AN133" i="19" s="1"/>
  <c r="AN14" i="19"/>
  <c r="AN13" i="19"/>
  <c r="AM18" i="19"/>
  <c r="AM135" i="19" s="1"/>
  <c r="AM17" i="19"/>
  <c r="AM133" i="19" s="1"/>
  <c r="AM13" i="19"/>
  <c r="AM14" i="19"/>
  <c r="AV18" i="19"/>
  <c r="AV135" i="19" s="1"/>
  <c r="AV17" i="19"/>
  <c r="AV133" i="19" s="1"/>
  <c r="AV14" i="19"/>
  <c r="AV13" i="19"/>
  <c r="AU13" i="19"/>
  <c r="AU14" i="19"/>
  <c r="AU17" i="19"/>
  <c r="AU133" i="19" s="1"/>
  <c r="AU18" i="19"/>
  <c r="AU135" i="19" s="1"/>
  <c r="AT18" i="19"/>
  <c r="AT135" i="19" s="1"/>
  <c r="AT17" i="19"/>
  <c r="AT133" i="19" s="1"/>
  <c r="AT14" i="19"/>
  <c r="AT13" i="19"/>
  <c r="AS18" i="19"/>
  <c r="AS135" i="19" s="1"/>
  <c r="AS17" i="19"/>
  <c r="AS133" i="19" s="1"/>
  <c r="AS14" i="19"/>
  <c r="AS13" i="19"/>
  <c r="BC26" i="19"/>
  <c r="AW26" i="19"/>
  <c r="AQ26" i="19"/>
  <c r="AK26" i="19"/>
  <c r="AE26" i="19"/>
  <c r="Y26" i="19"/>
  <c r="S26" i="19"/>
  <c r="M26" i="19"/>
  <c r="G26" i="19"/>
  <c r="BB14" i="19"/>
  <c r="BB13" i="19"/>
  <c r="BB17" i="19"/>
  <c r="BB133" i="19" s="1"/>
  <c r="BB18" i="19"/>
  <c r="BB135" i="19" s="1"/>
  <c r="BA18" i="19"/>
  <c r="BA135" i="19" s="1"/>
  <c r="BA17" i="19"/>
  <c r="BA133" i="19" s="1"/>
  <c r="BA14" i="19"/>
  <c r="BA13" i="19"/>
  <c r="AZ14" i="19"/>
  <c r="AZ18" i="19"/>
  <c r="AZ135" i="19" s="1"/>
  <c r="AZ17" i="19"/>
  <c r="AZ133" i="19" s="1"/>
  <c r="AZ13" i="19"/>
  <c r="AY17" i="19"/>
  <c r="AY133" i="19" s="1"/>
  <c r="AY18" i="19"/>
  <c r="AY135" i="19" s="1"/>
  <c r="AY14" i="19"/>
  <c r="AY13" i="19"/>
  <c r="BI26" i="19"/>
  <c r="BI15" i="19"/>
  <c r="BH14" i="19"/>
  <c r="BH13" i="19"/>
  <c r="BH17" i="19"/>
  <c r="BN62" i="19" s="1"/>
  <c r="BH18" i="19"/>
  <c r="BN63" i="19" s="1"/>
  <c r="BE18" i="19"/>
  <c r="BE25" i="19"/>
  <c r="BG18" i="19"/>
  <c r="BG17" i="19"/>
  <c r="BG14" i="19"/>
  <c r="BG13" i="19"/>
  <c r="BF13" i="19"/>
  <c r="BF14" i="19"/>
  <c r="BF17" i="19"/>
  <c r="BF133" i="19" s="1"/>
  <c r="BF18" i="19"/>
  <c r="BF135" i="19" s="1"/>
  <c r="BE13" i="19"/>
  <c r="BF98" i="19"/>
  <c r="AZ98" i="19"/>
  <c r="AT98" i="19"/>
  <c r="AN98" i="19"/>
  <c r="AH98" i="19"/>
  <c r="AB98" i="19"/>
  <c r="V98" i="19"/>
  <c r="P98" i="19"/>
  <c r="J98" i="19"/>
  <c r="D98" i="19"/>
  <c r="E98" i="19" s="1"/>
  <c r="CD98" i="19"/>
  <c r="BX98" i="19"/>
  <c r="BY98" i="19" s="1"/>
  <c r="BR98" i="19"/>
  <c r="BK100" i="19"/>
  <c r="BO100" i="19" s="1"/>
  <c r="BK102" i="19"/>
  <c r="BO102" i="19" s="1"/>
  <c r="BE17" i="19"/>
  <c r="BE133" i="19" s="1"/>
  <c r="AV72" i="19"/>
  <c r="AV73" i="19" s="1"/>
  <c r="AU72" i="19"/>
  <c r="AU73" i="19" s="1"/>
  <c r="AT72" i="19"/>
  <c r="AT73" i="19" s="1"/>
  <c r="AS72" i="19"/>
  <c r="AS73" i="19" s="1"/>
  <c r="BB72" i="19"/>
  <c r="BB73" i="19" s="1"/>
  <c r="BA72" i="19"/>
  <c r="BA73" i="19" s="1"/>
  <c r="AZ72" i="19"/>
  <c r="AZ73" i="19" s="1"/>
  <c r="AY72" i="19"/>
  <c r="AY73" i="19" s="1"/>
  <c r="BH72" i="19"/>
  <c r="BG72" i="19"/>
  <c r="BF72" i="19"/>
  <c r="BG135" i="19" l="1"/>
  <c r="BM63" i="19"/>
  <c r="BG133" i="19"/>
  <c r="BM62" i="19"/>
  <c r="BH135" i="19"/>
  <c r="CD57" i="19"/>
  <c r="CC158" i="16"/>
  <c r="CC134" i="16"/>
  <c r="BH133" i="19"/>
  <c r="BZ134" i="16"/>
  <c r="BZ158" i="16"/>
  <c r="C133" i="19"/>
  <c r="C141" i="19"/>
  <c r="L13" i="19"/>
  <c r="F13" i="19"/>
  <c r="X17" i="19"/>
  <c r="X133" i="19" s="1"/>
  <c r="L14" i="19"/>
  <c r="X14" i="19"/>
  <c r="L18" i="19"/>
  <c r="L135" i="19" s="1"/>
  <c r="AD14" i="19"/>
  <c r="AD17" i="19"/>
  <c r="AD133" i="19" s="1"/>
  <c r="BI13" i="19"/>
  <c r="F17" i="19"/>
  <c r="F133" i="19" s="1"/>
  <c r="BI18" i="19"/>
  <c r="AD13" i="19"/>
  <c r="X13" i="19"/>
  <c r="R13" i="19"/>
  <c r="R17" i="19"/>
  <c r="R133" i="19" s="1"/>
  <c r="BE135" i="19"/>
  <c r="R14" i="19"/>
  <c r="BC73" i="19"/>
  <c r="F18" i="19"/>
  <c r="F135" i="19" s="1"/>
  <c r="AD18" i="19"/>
  <c r="AD135" i="19" s="1"/>
  <c r="R18" i="19"/>
  <c r="R135" i="19" s="1"/>
  <c r="L17" i="19"/>
  <c r="F14" i="19"/>
  <c r="AW73" i="19"/>
  <c r="C135" i="19"/>
  <c r="BI17" i="19"/>
  <c r="I135" i="19"/>
  <c r="V133" i="19"/>
  <c r="X18" i="19"/>
  <c r="X135" i="19" s="1"/>
  <c r="K98" i="19"/>
  <c r="L98" i="19" s="1"/>
  <c r="W98" i="19"/>
  <c r="X98" i="19" s="1"/>
  <c r="AI98" i="19"/>
  <c r="AJ98" i="19" s="1"/>
  <c r="AU98" i="19"/>
  <c r="AV98" i="19" s="1"/>
  <c r="BG98" i="19"/>
  <c r="BH98" i="19" s="1"/>
  <c r="Q98" i="19"/>
  <c r="R98" i="19" s="1"/>
  <c r="AC98" i="19"/>
  <c r="AD98" i="19" s="1"/>
  <c r="AO98" i="19"/>
  <c r="AP98" i="19" s="1"/>
  <c r="BA98" i="19"/>
  <c r="BB98" i="19" s="1"/>
  <c r="F98" i="19"/>
  <c r="G98" i="19" s="1"/>
  <c r="BZ98" i="19"/>
  <c r="CA98" i="19" s="1"/>
  <c r="BS98" i="19"/>
  <c r="BT98" i="19" s="1"/>
  <c r="CE98" i="19"/>
  <c r="CF98" i="19" s="1"/>
  <c r="BK94" i="19"/>
  <c r="BO94" i="19" s="1"/>
  <c r="CE57" i="19" l="1"/>
  <c r="CD158" i="16"/>
  <c r="CD134" i="16"/>
  <c r="BI135" i="19"/>
  <c r="BI133" i="19"/>
  <c r="L143" i="19"/>
  <c r="S98" i="19"/>
  <c r="L133" i="19"/>
  <c r="L141" i="19"/>
  <c r="AK98" i="19"/>
  <c r="Y98" i="19"/>
  <c r="BC98" i="19"/>
  <c r="BI98" i="19"/>
  <c r="AW98" i="19"/>
  <c r="AQ98" i="19"/>
  <c r="M98" i="19"/>
  <c r="AE98" i="19"/>
  <c r="CG98" i="19"/>
  <c r="BU98" i="19"/>
  <c r="CG89" i="19"/>
  <c r="CA89" i="19"/>
  <c r="BU89" i="19"/>
  <c r="CG93" i="19"/>
  <c r="CA93" i="19"/>
  <c r="BU93" i="19"/>
  <c r="BI93" i="19"/>
  <c r="BC93" i="19"/>
  <c r="AW93" i="19"/>
  <c r="AQ93" i="19"/>
  <c r="AK93" i="19"/>
  <c r="AE93" i="19"/>
  <c r="Y93" i="19"/>
  <c r="S93" i="19"/>
  <c r="M93" i="19"/>
  <c r="G93" i="19"/>
  <c r="BI89" i="19"/>
  <c r="BC89" i="19"/>
  <c r="AW89" i="19"/>
  <c r="AQ89" i="19"/>
  <c r="AK89" i="19"/>
  <c r="AE89" i="19"/>
  <c r="Y89" i="19"/>
  <c r="S89" i="19"/>
  <c r="M89" i="19"/>
  <c r="G89" i="19"/>
  <c r="BC85" i="19"/>
  <c r="AW85" i="19"/>
  <c r="AQ85" i="19"/>
  <c r="AK85" i="19"/>
  <c r="AE85" i="19"/>
  <c r="Y85" i="19"/>
  <c r="S85" i="19"/>
  <c r="M85" i="19"/>
  <c r="G85" i="19"/>
  <c r="CD85" i="19"/>
  <c r="BX85" i="19"/>
  <c r="BR85" i="19"/>
  <c r="BS85" i="19" s="1"/>
  <c r="BT85" i="19" s="1"/>
  <c r="BE14" i="19"/>
  <c r="BI14" i="19" s="1"/>
  <c r="BI12" i="19" s="1"/>
  <c r="CF57" i="19" l="1"/>
  <c r="CI57" i="19" s="1"/>
  <c r="CE158" i="16"/>
  <c r="CE134" i="16"/>
  <c r="BI68" i="16"/>
  <c r="BI69" i="16"/>
  <c r="BO163" i="19"/>
  <c r="CE85" i="19"/>
  <c r="CF85" i="19" s="1"/>
  <c r="BY85" i="19"/>
  <c r="BZ85" i="19" s="1"/>
  <c r="BM160" i="19"/>
  <c r="CI126" i="19" l="1"/>
  <c r="CJ57" i="19"/>
  <c r="CI134" i="16"/>
  <c r="CI158" i="16"/>
  <c r="CF134" i="16"/>
  <c r="CF158" i="16"/>
  <c r="CG85" i="19"/>
  <c r="CA85" i="19"/>
  <c r="BK114" i="19"/>
  <c r="BK28" i="19"/>
  <c r="BR29" i="19"/>
  <c r="BS29" i="19" s="1"/>
  <c r="BT29" i="19" s="1"/>
  <c r="BW29" i="19" s="1"/>
  <c r="BK29" i="19"/>
  <c r="CJ126" i="19" l="1"/>
  <c r="CK57" i="19"/>
  <c r="CJ134" i="16"/>
  <c r="CJ158" i="16"/>
  <c r="BX29" i="19"/>
  <c r="BY29" i="19" s="1"/>
  <c r="BZ29" i="19" s="1"/>
  <c r="CC29" i="19" s="1"/>
  <c r="CK126" i="19" l="1"/>
  <c r="CL57" i="19"/>
  <c r="CK134" i="16"/>
  <c r="CK158" i="16"/>
  <c r="CA29" i="19"/>
  <c r="CD29" i="19"/>
  <c r="CE29" i="19" s="1"/>
  <c r="CF29" i="19" s="1"/>
  <c r="CI29" i="19" s="1"/>
  <c r="BK15" i="18"/>
  <c r="BK14" i="18"/>
  <c r="BK13" i="18" s="1"/>
  <c r="BK304" i="18"/>
  <c r="BK303" i="18"/>
  <c r="BK302" i="18"/>
  <c r="BX129" i="18"/>
  <c r="BR129" i="18"/>
  <c r="BR118" i="18"/>
  <c r="BS118" i="18" s="1"/>
  <c r="BT118" i="18" s="1"/>
  <c r="CC135" i="18"/>
  <c r="BW135" i="18"/>
  <c r="BR124" i="18"/>
  <c r="BQ124" i="18"/>
  <c r="BW124" i="18"/>
  <c r="CC124" i="18"/>
  <c r="BX124" i="18"/>
  <c r="BZ133" i="18"/>
  <c r="BZ135" i="18" s="1"/>
  <c r="CD135" i="18"/>
  <c r="BK128" i="18"/>
  <c r="BK86" i="19"/>
  <c r="BO86" i="19" s="1"/>
  <c r="BE72" i="19"/>
  <c r="BK31" i="19"/>
  <c r="BK25" i="19"/>
  <c r="BK18" i="19"/>
  <c r="BK17" i="19"/>
  <c r="BK13" i="19"/>
  <c r="BK12" i="19" s="1"/>
  <c r="BK101" i="19"/>
  <c r="BO101" i="19" s="1"/>
  <c r="BK99" i="19"/>
  <c r="BO99" i="19" s="1"/>
  <c r="BK76" i="19"/>
  <c r="BK73" i="19"/>
  <c r="BK49" i="19"/>
  <c r="BK9" i="19"/>
  <c r="BQ60" i="19" l="1"/>
  <c r="BQ61" i="19"/>
  <c r="BK62" i="19"/>
  <c r="CL126" i="19"/>
  <c r="CO57" i="19"/>
  <c r="CL158" i="16"/>
  <c r="CL134" i="16"/>
  <c r="CJ29" i="19"/>
  <c r="CK29" i="19" s="1"/>
  <c r="CL29" i="19" s="1"/>
  <c r="CO29" i="19" s="1"/>
  <c r="BK156" i="16"/>
  <c r="BQ161" i="19"/>
  <c r="BQ170" i="19" s="1"/>
  <c r="BK92" i="19"/>
  <c r="BK96" i="19" s="1"/>
  <c r="BK75" i="19"/>
  <c r="BK133" i="19"/>
  <c r="BK134" i="19" s="1"/>
  <c r="BY129" i="18"/>
  <c r="BK67" i="16"/>
  <c r="BQ67" i="16" s="1"/>
  <c r="BK81" i="16"/>
  <c r="BK132" i="16"/>
  <c r="BK153" i="16" s="1"/>
  <c r="BK95" i="16"/>
  <c r="BK68" i="16"/>
  <c r="BQ68" i="16" s="1"/>
  <c r="BW68" i="16" s="1"/>
  <c r="CC68" i="16" s="1"/>
  <c r="CI68" i="16" s="1"/>
  <c r="BK69" i="16"/>
  <c r="CD124" i="18"/>
  <c r="BK63" i="19"/>
  <c r="BK135" i="19"/>
  <c r="BK136" i="19" s="1"/>
  <c r="BK88" i="19"/>
  <c r="BK91" i="19" s="1"/>
  <c r="BK53" i="19"/>
  <c r="BK140" i="19"/>
  <c r="BK139" i="19"/>
  <c r="BK46" i="19"/>
  <c r="CE124" i="18"/>
  <c r="CF124" i="18"/>
  <c r="BY135" i="18"/>
  <c r="BK52" i="19"/>
  <c r="BK16" i="18"/>
  <c r="CG29" i="19"/>
  <c r="CF135" i="18"/>
  <c r="BX135" i="18"/>
  <c r="BK78" i="19"/>
  <c r="BK77" i="19"/>
  <c r="BK19" i="19"/>
  <c r="BK79" i="19"/>
  <c r="BK16" i="19"/>
  <c r="BQ64" i="19" l="1"/>
  <c r="BQ51" i="19"/>
  <c r="BQ17" i="18"/>
  <c r="BQ172" i="19"/>
  <c r="BR26" i="19"/>
  <c r="BS26" i="19" s="1"/>
  <c r="BT26" i="19" s="1"/>
  <c r="BU26" i="19" s="1"/>
  <c r="CM29" i="19"/>
  <c r="CO126" i="19"/>
  <c r="CP57" i="19"/>
  <c r="CO134" i="16"/>
  <c r="CO158" i="16"/>
  <c r="CP29" i="19"/>
  <c r="CQ29" i="19" s="1"/>
  <c r="CR29" i="19" s="1"/>
  <c r="CO68" i="16"/>
  <c r="BW67" i="16"/>
  <c r="BK160" i="19"/>
  <c r="BK159" i="19"/>
  <c r="BZ129" i="18"/>
  <c r="BK80" i="16"/>
  <c r="BK79" i="16"/>
  <c r="BK70" i="16"/>
  <c r="CE135" i="18"/>
  <c r="BK50" i="19"/>
  <c r="BZ124" i="18"/>
  <c r="BY124" i="18"/>
  <c r="BK20" i="19"/>
  <c r="BK84" i="19"/>
  <c r="BK87" i="19" s="1"/>
  <c r="BQ21" i="18" l="1"/>
  <c r="BQ55" i="19"/>
  <c r="BQ65" i="19"/>
  <c r="CS29" i="19"/>
  <c r="BW26" i="19"/>
  <c r="BX26" i="19" s="1"/>
  <c r="BY26" i="19" s="1"/>
  <c r="BZ26" i="19" s="1"/>
  <c r="CC26" i="19" s="1"/>
  <c r="CD26" i="19" s="1"/>
  <c r="CE26" i="19" s="1"/>
  <c r="CF26" i="19" s="1"/>
  <c r="CG26" i="19" s="1"/>
  <c r="BK157" i="16"/>
  <c r="CP126" i="19"/>
  <c r="CP158" i="16"/>
  <c r="CP134" i="16"/>
  <c r="CQ57" i="19"/>
  <c r="CC67" i="16"/>
  <c r="CI67" i="16" s="1"/>
  <c r="CO67" i="16" s="1"/>
  <c r="BK133" i="16"/>
  <c r="BK137" i="19"/>
  <c r="BK138" i="19" s="1"/>
  <c r="BK97" i="19"/>
  <c r="BK103" i="19" s="1"/>
  <c r="BK54" i="19"/>
  <c r="CI26" i="19" l="1"/>
  <c r="CJ26" i="19" s="1"/>
  <c r="CK26" i="19" s="1"/>
  <c r="CA26" i="19"/>
  <c r="CR57" i="19"/>
  <c r="CQ158" i="16"/>
  <c r="CQ134" i="16"/>
  <c r="CQ126" i="19"/>
  <c r="BK156" i="19"/>
  <c r="CL26" i="19" l="1"/>
  <c r="CR158" i="16"/>
  <c r="CR134" i="16"/>
  <c r="CR126" i="19"/>
  <c r="CO26" i="19" l="1"/>
  <c r="CM26" i="19"/>
  <c r="CP26" i="19" l="1"/>
  <c r="BU129" i="18"/>
  <c r="BU118" i="18"/>
  <c r="BO118" i="18"/>
  <c r="BU163" i="19" l="1"/>
  <c r="CQ26" i="19"/>
  <c r="BO129" i="18"/>
  <c r="CR26" i="19" l="1"/>
  <c r="CA129" i="18"/>
  <c r="CG151" i="19"/>
  <c r="CA151" i="19"/>
  <c r="CS26" i="19" l="1"/>
  <c r="BU151" i="19"/>
  <c r="CE160" i="19"/>
  <c r="BY160" i="19"/>
  <c r="CE159" i="19"/>
  <c r="BY139" i="19"/>
  <c r="BS140" i="19"/>
  <c r="BS139" i="19"/>
  <c r="BT140" i="19" l="1"/>
  <c r="BT160" i="19" s="1"/>
  <c r="BS160" i="19"/>
  <c r="BT139" i="19"/>
  <c r="BS159" i="19"/>
  <c r="BZ139" i="19"/>
  <c r="BY159" i="19"/>
  <c r="CF160" i="19"/>
  <c r="CF159" i="19"/>
  <c r="BT159" i="19" l="1"/>
  <c r="BU140" i="19"/>
  <c r="BU160" i="19" s="1"/>
  <c r="BU139" i="19"/>
  <c r="BU159" i="19" s="1"/>
  <c r="CA139" i="19"/>
  <c r="CA159" i="19" s="1"/>
  <c r="BZ159" i="19"/>
  <c r="CA160" i="19"/>
  <c r="BZ160" i="19"/>
  <c r="CG159" i="19"/>
  <c r="CG160" i="19"/>
  <c r="BX192" i="18" l="1"/>
  <c r="BY192" i="18" s="1"/>
  <c r="BZ192" i="18" s="1"/>
  <c r="BR192" i="18"/>
  <c r="BS192" i="18" s="1"/>
  <c r="BT192" i="18" s="1"/>
  <c r="BN131" i="18"/>
  <c r="BO135" i="18"/>
  <c r="BO133" i="18"/>
  <c r="BM131" i="18"/>
  <c r="BL131" i="18"/>
  <c r="BK131" i="18"/>
  <c r="BK126" i="18"/>
  <c r="BL127" i="18"/>
  <c r="BL128" i="18" s="1"/>
  <c r="BO124" i="18"/>
  <c r="BS124" i="18"/>
  <c r="BN122" i="18"/>
  <c r="BL122" i="18"/>
  <c r="BL120" i="18" s="1"/>
  <c r="BK122" i="18"/>
  <c r="BK120" i="18" s="1"/>
  <c r="BR120" i="18"/>
  <c r="BQ120" i="18"/>
  <c r="BM120" i="18"/>
  <c r="BK117" i="18"/>
  <c r="BL117" i="18" s="1"/>
  <c r="BL116" i="18"/>
  <c r="BM116" i="18" s="1"/>
  <c r="BK130" i="18" l="1"/>
  <c r="BL130" i="18" s="1"/>
  <c r="BM130" i="18" s="1"/>
  <c r="BN130" i="18" s="1"/>
  <c r="BK121" i="18"/>
  <c r="BL121" i="18" s="1"/>
  <c r="BM121" i="18" s="1"/>
  <c r="BK119" i="18"/>
  <c r="BL119" i="18" s="1"/>
  <c r="BM119" i="18" s="1"/>
  <c r="BO122" i="18"/>
  <c r="BK115" i="18"/>
  <c r="BO131" i="18"/>
  <c r="BM117" i="18"/>
  <c r="BN116" i="18"/>
  <c r="BO116" i="18" s="1"/>
  <c r="BS120" i="18"/>
  <c r="BM127" i="18"/>
  <c r="BM128" i="18" s="1"/>
  <c r="BN120" i="18"/>
  <c r="BO120" i="18" s="1"/>
  <c r="BL115" i="18"/>
  <c r="BK132" i="18"/>
  <c r="BL132" i="18" s="1"/>
  <c r="BM132" i="18" s="1"/>
  <c r="BN132" i="18" s="1"/>
  <c r="BO132" i="18" s="1"/>
  <c r="BT124" i="18"/>
  <c r="BL137" i="18" l="1"/>
  <c r="BU124" i="18"/>
  <c r="BN137" i="18"/>
  <c r="BM137" i="18"/>
  <c r="BU122" i="18"/>
  <c r="BO130" i="18"/>
  <c r="BN119" i="18"/>
  <c r="BN121" i="18"/>
  <c r="BO121" i="18" s="1"/>
  <c r="BQ121" i="18" s="1"/>
  <c r="BR121" i="18" s="1"/>
  <c r="BS121" i="18" s="1"/>
  <c r="BQ116" i="18"/>
  <c r="BN128" i="18"/>
  <c r="BN127" i="18"/>
  <c r="BN117" i="18"/>
  <c r="BQ117" i="18" s="1"/>
  <c r="BM115" i="18"/>
  <c r="BL126" i="18"/>
  <c r="BT120" i="18" l="1"/>
  <c r="BU120" i="18" s="1"/>
  <c r="BM126" i="18"/>
  <c r="BO137" i="18"/>
  <c r="BN115" i="18"/>
  <c r="BO115" i="18" s="1"/>
  <c r="BO128" i="18"/>
  <c r="BO119" i="18"/>
  <c r="BQ119" i="18"/>
  <c r="BO117" i="18"/>
  <c r="BQ127" i="18"/>
  <c r="BQ128" i="18" s="1"/>
  <c r="BN126" i="18"/>
  <c r="BO127" i="18"/>
  <c r="BR116" i="18"/>
  <c r="BQ115" i="18"/>
  <c r="BR117" i="18"/>
  <c r="BS117" i="18" s="1"/>
  <c r="BT117" i="18" s="1"/>
  <c r="BT121" i="18" l="1"/>
  <c r="BU121" i="18" s="1"/>
  <c r="BO126" i="18"/>
  <c r="BR119" i="18"/>
  <c r="BU117" i="18"/>
  <c r="BR127" i="18"/>
  <c r="BR128" i="18" s="1"/>
  <c r="BS128" i="18" s="1"/>
  <c r="BT128" i="18" s="1"/>
  <c r="BR115" i="18"/>
  <c r="BS116" i="18"/>
  <c r="BU128" i="18" l="1"/>
  <c r="BS119" i="18"/>
  <c r="BS127" i="18"/>
  <c r="BT116" i="18"/>
  <c r="BT115" i="18" s="1"/>
  <c r="BS115" i="18"/>
  <c r="BT119" i="18" l="1"/>
  <c r="BU119" i="18" s="1"/>
  <c r="BT127" i="18"/>
  <c r="BU116" i="18"/>
  <c r="BU115" i="18"/>
  <c r="BU127" i="18" l="1"/>
  <c r="BI158" i="77" l="1"/>
  <c r="BH61" i="48" l="1"/>
  <c r="BH49" i="48"/>
  <c r="BH48" i="48"/>
  <c r="BH47" i="48"/>
  <c r="BH46" i="48"/>
  <c r="BI39" i="17" l="1"/>
  <c r="BI11" i="48"/>
  <c r="BI16" i="48"/>
  <c r="BI19" i="48"/>
  <c r="BK47" i="48" s="1"/>
  <c r="BI24" i="48"/>
  <c r="BI27" i="48"/>
  <c r="BK48" i="48" s="1"/>
  <c r="BI28" i="48"/>
  <c r="BI30" i="48"/>
  <c r="BI32" i="48"/>
  <c r="BI33" i="48"/>
  <c r="BI35" i="48"/>
  <c r="BK49" i="48" s="1"/>
  <c r="BI36" i="48"/>
  <c r="BI38" i="48"/>
  <c r="BI40" i="48"/>
  <c r="BI41" i="48"/>
  <c r="BH43" i="48"/>
  <c r="BH56" i="48"/>
  <c r="BI61" i="48"/>
  <c r="BH40" i="19"/>
  <c r="BH39" i="19"/>
  <c r="BH37" i="19"/>
  <c r="BH38" i="19"/>
  <c r="BH9" i="19"/>
  <c r="BH156" i="16" l="1"/>
  <c r="BI29" i="48"/>
  <c r="BI31" i="48" s="1"/>
  <c r="BN161" i="19"/>
  <c r="BH132" i="16"/>
  <c r="BH153" i="16" s="1"/>
  <c r="BH67" i="16"/>
  <c r="BH81" i="16"/>
  <c r="BI37" i="48"/>
  <c r="BI39" i="48" s="1"/>
  <c r="BK56" i="48"/>
  <c r="BK56" i="16" s="1"/>
  <c r="BK46" i="48"/>
  <c r="BH136" i="19"/>
  <c r="BH134" i="19"/>
  <c r="BI184" i="19"/>
  <c r="BI179" i="19"/>
  <c r="BI188" i="19" s="1"/>
  <c r="DQ61" i="18" l="1"/>
  <c r="DQ60" i="18"/>
  <c r="DQ52" i="18"/>
  <c r="DQ50" i="18"/>
  <c r="DR61" i="18"/>
  <c r="DR60" i="18"/>
  <c r="DR52" i="18"/>
  <c r="DR51" i="18"/>
  <c r="DR50" i="18"/>
  <c r="DR62" i="18" l="1"/>
  <c r="DQ62" i="18"/>
  <c r="BK97" i="18" l="1"/>
  <c r="BH198" i="18" l="1"/>
  <c r="BH217" i="18"/>
  <c r="BH14" i="18"/>
  <c r="BH13" i="18" s="1"/>
  <c r="BH100" i="19"/>
  <c r="BH102" i="19"/>
  <c r="BH101" i="19"/>
  <c r="BH99" i="19"/>
  <c r="BH75" i="19"/>
  <c r="BH73" i="19"/>
  <c r="BH25" i="19"/>
  <c r="BH28" i="19"/>
  <c r="BH31" i="19"/>
  <c r="BH76" i="19"/>
  <c r="BH77" i="19" l="1"/>
  <c r="BH88" i="19"/>
  <c r="BH91" i="19" s="1"/>
  <c r="BH121" i="19" s="1"/>
  <c r="BH19" i="19"/>
  <c r="BH78" i="19"/>
  <c r="BH92" i="19"/>
  <c r="BH96" i="19" s="1"/>
  <c r="BH122" i="19" s="1"/>
  <c r="BH53" i="19"/>
  <c r="BH52" i="19"/>
  <c r="BH12" i="19"/>
  <c r="BH49" i="19"/>
  <c r="BH79" i="19"/>
  <c r="BH80" i="16" l="1"/>
  <c r="BH79" i="16"/>
  <c r="BH69" i="16"/>
  <c r="BH68" i="16"/>
  <c r="BH46" i="19"/>
  <c r="BH16" i="19"/>
  <c r="BH84" i="19" l="1"/>
  <c r="BH87" i="19" s="1"/>
  <c r="BH120" i="19" s="1"/>
  <c r="BH70" i="16"/>
  <c r="BH50" i="19"/>
  <c r="BH20" i="19"/>
  <c r="BH157" i="16" l="1"/>
  <c r="BH137" i="19"/>
  <c r="BH138" i="19" s="1"/>
  <c r="BH133" i="16"/>
  <c r="BH56" i="16"/>
  <c r="BH54" i="19"/>
  <c r="BH97" i="19"/>
  <c r="BH103" i="19" s="1"/>
  <c r="BH123" i="19" s="1"/>
  <c r="CC46" i="77"/>
  <c r="CI46" i="77" s="1"/>
  <c r="CJ46" i="77" l="1"/>
  <c r="CK46" i="77" s="1"/>
  <c r="CL46" i="77" s="1"/>
  <c r="CO46" i="77"/>
  <c r="CP46" i="77" s="1"/>
  <c r="CQ46" i="77" s="1"/>
  <c r="CR46" i="77" s="1"/>
  <c r="BH156" i="19"/>
  <c r="BR331" i="18"/>
  <c r="BS331" i="18" s="1"/>
  <c r="BT331" i="18" s="1"/>
  <c r="BN172" i="19" l="1"/>
  <c r="BN104" i="18" l="1"/>
  <c r="BN110" i="18"/>
  <c r="BR101" i="18" l="1"/>
  <c r="BS101" i="18" s="1"/>
  <c r="BT101" i="18" s="1"/>
  <c r="BW101" i="18" s="1"/>
  <c r="BX101" i="18" s="1"/>
  <c r="BY101" i="18" s="1"/>
  <c r="BZ101" i="18" s="1"/>
  <c r="CC101" i="18" s="1"/>
  <c r="CD101" i="18" s="1"/>
  <c r="CE101" i="18" s="1"/>
  <c r="CF101" i="18" s="1"/>
  <c r="CI101" i="18" s="1"/>
  <c r="BR107" i="18"/>
  <c r="BS107" i="18" s="1"/>
  <c r="BT107" i="18" s="1"/>
  <c r="BW107" i="18" s="1"/>
  <c r="BX107" i="18" s="1"/>
  <c r="BY107" i="18" s="1"/>
  <c r="BZ107" i="18" s="1"/>
  <c r="CC107" i="18" s="1"/>
  <c r="CD107" i="18" s="1"/>
  <c r="CE107" i="18" s="1"/>
  <c r="CF107" i="18" s="1"/>
  <c r="CI107" i="18" s="1"/>
  <c r="CJ107" i="18" l="1"/>
  <c r="CK107" i="18" s="1"/>
  <c r="CL107" i="18" s="1"/>
  <c r="CO107" i="18" s="1"/>
  <c r="CP107" i="18" s="1"/>
  <c r="CQ107" i="18" s="1"/>
  <c r="CR107" i="18" s="1"/>
  <c r="CS107" i="18" s="1"/>
  <c r="CJ101" i="18"/>
  <c r="CI97" i="18"/>
  <c r="CT136" i="18"/>
  <c r="EE51" i="18"/>
  <c r="EA51" i="18"/>
  <c r="DW52" i="18"/>
  <c r="DW51" i="18"/>
  <c r="DP61" i="18"/>
  <c r="DO61" i="18"/>
  <c r="DN61" i="18"/>
  <c r="DM61" i="18"/>
  <c r="DL61" i="18"/>
  <c r="DK61" i="18"/>
  <c r="DJ61" i="18"/>
  <c r="DI61" i="18"/>
  <c r="DH61" i="18"/>
  <c r="DG61" i="18"/>
  <c r="DF61" i="18"/>
  <c r="DE61" i="18"/>
  <c r="DD61" i="18"/>
  <c r="DC61" i="18"/>
  <c r="DB61" i="18"/>
  <c r="DA61" i="18"/>
  <c r="CZ61" i="18"/>
  <c r="CY61" i="18"/>
  <c r="DP60" i="18"/>
  <c r="DO60" i="18"/>
  <c r="DN60" i="18"/>
  <c r="DM60" i="18"/>
  <c r="DL60" i="18"/>
  <c r="DK60" i="18"/>
  <c r="DJ60" i="18"/>
  <c r="DI60" i="18"/>
  <c r="DH60" i="18"/>
  <c r="DG60" i="18"/>
  <c r="DF60" i="18"/>
  <c r="DE60" i="18"/>
  <c r="DD60" i="18"/>
  <c r="DC60" i="18"/>
  <c r="DB60" i="18"/>
  <c r="DA60" i="18"/>
  <c r="CZ60" i="18"/>
  <c r="CY60" i="18"/>
  <c r="BR110" i="18"/>
  <c r="BS110" i="18" s="1"/>
  <c r="BT110" i="18" s="1"/>
  <c r="BW110" i="18" s="1"/>
  <c r="CM107" i="18" l="1"/>
  <c r="CK101" i="18"/>
  <c r="CJ97" i="18"/>
  <c r="DA62" i="18"/>
  <c r="DI62" i="18"/>
  <c r="DM62" i="18"/>
  <c r="DF62" i="18"/>
  <c r="DN62" i="18"/>
  <c r="DG62" i="18"/>
  <c r="DO62" i="18"/>
  <c r="CY62" i="18"/>
  <c r="CZ62" i="18"/>
  <c r="DP62" i="18"/>
  <c r="DH62" i="18"/>
  <c r="DE62" i="18"/>
  <c r="DB62" i="18"/>
  <c r="DD62" i="18"/>
  <c r="DC62" i="18"/>
  <c r="DL62" i="18"/>
  <c r="DJ62" i="18"/>
  <c r="DK62" i="18"/>
  <c r="BR104" i="18"/>
  <c r="BS104" i="18" s="1"/>
  <c r="BT104" i="18" s="1"/>
  <c r="BW104" i="18" s="1"/>
  <c r="BO104" i="18"/>
  <c r="BX110" i="18"/>
  <c r="BY110" i="18" s="1"/>
  <c r="BZ110" i="18" s="1"/>
  <c r="CC110" i="18" s="1"/>
  <c r="CD106" i="18"/>
  <c r="BX106" i="18"/>
  <c r="BY106" i="18" s="1"/>
  <c r="BZ106" i="18" s="1"/>
  <c r="CA106" i="18" s="1"/>
  <c r="BR106" i="18"/>
  <c r="BS106" i="18" s="1"/>
  <c r="BT106" i="18" s="1"/>
  <c r="BU106" i="18" s="1"/>
  <c r="BE146" i="18"/>
  <c r="BE147" i="18" s="1"/>
  <c r="CE106" i="18" l="1"/>
  <c r="CK97" i="18"/>
  <c r="CL101" i="18"/>
  <c r="CM101" i="18" s="1"/>
  <c r="CM97" i="18" s="1"/>
  <c r="BU104" i="18"/>
  <c r="BX104" i="18"/>
  <c r="BY104" i="18" s="1"/>
  <c r="BZ104" i="18" s="1"/>
  <c r="CC104" i="18" s="1"/>
  <c r="CD110" i="18"/>
  <c r="CE110" i="18" s="1"/>
  <c r="CF110" i="18" s="1"/>
  <c r="CI110" i="18" s="1"/>
  <c r="CA110" i="18"/>
  <c r="CL97" i="18" l="1"/>
  <c r="CO101" i="18"/>
  <c r="CF106" i="18"/>
  <c r="CJ110" i="18"/>
  <c r="CK110" i="18" s="1"/>
  <c r="CL110" i="18" s="1"/>
  <c r="CO110" i="18" s="1"/>
  <c r="CD104" i="18"/>
  <c r="CE104" i="18" s="1"/>
  <c r="CF104" i="18" s="1"/>
  <c r="CI104" i="18" s="1"/>
  <c r="CA104" i="18"/>
  <c r="CG110" i="18"/>
  <c r="CM110" i="18" l="1"/>
  <c r="CG106" i="18"/>
  <c r="CP101" i="18"/>
  <c r="CO97" i="18"/>
  <c r="CP110" i="18"/>
  <c r="CQ110" i="18" s="1"/>
  <c r="CR110" i="18" s="1"/>
  <c r="CJ104" i="18"/>
  <c r="CK104" i="18" s="1"/>
  <c r="CL104" i="18" s="1"/>
  <c r="CO104" i="18" s="1"/>
  <c r="CG104" i="18"/>
  <c r="BC548" i="18"/>
  <c r="BC551" i="18" s="1"/>
  <c r="BC546" i="18"/>
  <c r="BC550" i="18" s="1"/>
  <c r="BC559" i="18"/>
  <c r="BC562" i="18" s="1"/>
  <c r="BC557" i="18"/>
  <c r="BC558" i="18" s="1"/>
  <c r="BK284" i="18"/>
  <c r="DT61" i="18"/>
  <c r="DV60" i="18"/>
  <c r="DU60" i="18"/>
  <c r="DT60" i="18"/>
  <c r="BM95" i="18"/>
  <c r="BN95" i="18" s="1"/>
  <c r="BQ95" i="18" s="1"/>
  <c r="BR95" i="18" s="1"/>
  <c r="BS95" i="18" s="1"/>
  <c r="BT95" i="18" s="1"/>
  <c r="BW95" i="18" s="1"/>
  <c r="BX95" i="18" s="1"/>
  <c r="BY95" i="18" s="1"/>
  <c r="BZ95" i="18" s="1"/>
  <c r="CC95" i="18" s="1"/>
  <c r="CD95" i="18" s="1"/>
  <c r="CE95" i="18" s="1"/>
  <c r="CF95" i="18" s="1"/>
  <c r="CI95" i="18" s="1"/>
  <c r="CB43" i="18"/>
  <c r="BV43" i="18"/>
  <c r="BP43" i="18"/>
  <c r="CM104" i="18" l="1"/>
  <c r="CP97" i="18"/>
  <c r="CQ101" i="18"/>
  <c r="CP104" i="18"/>
  <c r="CQ104" i="18" s="1"/>
  <c r="CR104" i="18" s="1"/>
  <c r="CS110" i="18"/>
  <c r="CJ95" i="18"/>
  <c r="BM284" i="18"/>
  <c r="DT62" i="18"/>
  <c r="DS61" i="18"/>
  <c r="DW60" i="18"/>
  <c r="BO331" i="18"/>
  <c r="BU331" i="18" s="1"/>
  <c r="BW331" i="18" s="1"/>
  <c r="BX331" i="18" s="1"/>
  <c r="BY331" i="18" s="1"/>
  <c r="BZ331" i="18" s="1"/>
  <c r="BL284" i="18"/>
  <c r="BC560" i="18"/>
  <c r="BC561" i="18"/>
  <c r="BK112" i="18"/>
  <c r="BC547" i="18"/>
  <c r="BC549" i="18"/>
  <c r="DX60" i="18"/>
  <c r="DY60" i="18"/>
  <c r="DZ60" i="18"/>
  <c r="DU61" i="18"/>
  <c r="DU62" i="18" s="1"/>
  <c r="CQ97" i="18" l="1"/>
  <c r="CR101" i="18"/>
  <c r="CR97" i="18" s="1"/>
  <c r="CS104" i="18"/>
  <c r="CK95" i="18"/>
  <c r="BK164" i="18"/>
  <c r="BK165" i="18" s="1"/>
  <c r="CA331" i="18"/>
  <c r="DS60" i="18"/>
  <c r="DS62" i="18" s="1"/>
  <c r="BL112" i="18"/>
  <c r="BK285" i="18"/>
  <c r="BN284" i="18"/>
  <c r="BL285" i="18"/>
  <c r="BN330" i="18"/>
  <c r="BM113" i="18"/>
  <c r="CS101" i="18" l="1"/>
  <c r="CS97" i="18" s="1"/>
  <c r="CL95" i="18"/>
  <c r="BL164" i="18"/>
  <c r="BL165" i="18" s="1"/>
  <c r="CC331" i="18"/>
  <c r="CD331" i="18" s="1"/>
  <c r="CE331" i="18" s="1"/>
  <c r="CF331" i="18" s="1"/>
  <c r="CG331" i="18" s="1"/>
  <c r="CI331" i="18" s="1"/>
  <c r="CJ331" i="18" s="1"/>
  <c r="CK331" i="18" s="1"/>
  <c r="CL331" i="18" s="1"/>
  <c r="CM331" i="18" s="1"/>
  <c r="CO331" i="18" s="1"/>
  <c r="CP331" i="18" s="1"/>
  <c r="CQ331" i="18" s="1"/>
  <c r="CR331" i="18" s="1"/>
  <c r="CS331" i="18" s="1"/>
  <c r="BM112" i="18"/>
  <c r="BK343" i="18"/>
  <c r="BQ284" i="18"/>
  <c r="BM285" i="18"/>
  <c r="BO330" i="18"/>
  <c r="BQ330" i="18" s="1"/>
  <c r="BR284" i="18"/>
  <c r="CO95" i="18" l="1"/>
  <c r="BL343" i="18"/>
  <c r="BM164" i="18"/>
  <c r="BM165" i="18" s="1"/>
  <c r="DV61" i="18"/>
  <c r="BN112" i="18"/>
  <c r="BR330" i="18"/>
  <c r="BO112" i="18"/>
  <c r="BN285" i="18"/>
  <c r="BN113" i="18"/>
  <c r="BS284" i="18"/>
  <c r="BW117" i="18"/>
  <c r="CP95" i="18" l="1"/>
  <c r="BM186" i="18"/>
  <c r="BM594" i="18" s="1"/>
  <c r="BM343" i="18"/>
  <c r="BN164" i="18"/>
  <c r="BO164" i="18" s="1"/>
  <c r="BX200" i="18"/>
  <c r="BS330" i="18"/>
  <c r="BT284" i="18"/>
  <c r="CQ95" i="18" l="1"/>
  <c r="BQ164" i="18"/>
  <c r="BR164" i="18" s="1"/>
  <c r="BS164" i="18" s="1"/>
  <c r="BN165" i="18"/>
  <c r="BN343" i="18" s="1"/>
  <c r="BY200" i="18"/>
  <c r="BT330" i="18"/>
  <c r="BW116" i="18"/>
  <c r="BW284" i="18" s="1"/>
  <c r="BW128" i="18"/>
  <c r="BO29" i="19"/>
  <c r="CR95" i="18" l="1"/>
  <c r="BN186" i="18"/>
  <c r="BR165" i="18"/>
  <c r="BQ165" i="18"/>
  <c r="BO343" i="18"/>
  <c r="BO165" i="18"/>
  <c r="BT164" i="18"/>
  <c r="BT165" i="18" s="1"/>
  <c r="BS165" i="18"/>
  <c r="BW127" i="18"/>
  <c r="BZ200" i="18"/>
  <c r="BU330" i="18"/>
  <c r="BW330" i="18" s="1"/>
  <c r="BX128" i="18"/>
  <c r="BX116" i="18"/>
  <c r="BX284" i="18" s="1"/>
  <c r="BO151" i="19"/>
  <c r="CD83" i="77"/>
  <c r="CE83" i="77" s="1"/>
  <c r="CF83" i="77" s="1"/>
  <c r="CD54" i="77"/>
  <c r="CE54" i="77" s="1"/>
  <c r="CD46" i="77"/>
  <c r="CE46" i="77" s="1"/>
  <c r="BX83" i="77"/>
  <c r="BY83" i="77" s="1"/>
  <c r="BX54" i="77"/>
  <c r="BY54" i="77" s="1"/>
  <c r="BZ54" i="77" s="1"/>
  <c r="BX46" i="77"/>
  <c r="BY46" i="77" s="1"/>
  <c r="CA49" i="48"/>
  <c r="CA48" i="48"/>
  <c r="CA47" i="48"/>
  <c r="CA46" i="48"/>
  <c r="CA41" i="48"/>
  <c r="CA40" i="48"/>
  <c r="CA38" i="48"/>
  <c r="CA36" i="48"/>
  <c r="CA35" i="48"/>
  <c r="CA33" i="48"/>
  <c r="CA32" i="48"/>
  <c r="CA30" i="48"/>
  <c r="CA28" i="48"/>
  <c r="CA27" i="48"/>
  <c r="CA24" i="48"/>
  <c r="CA16" i="48"/>
  <c r="CC77" i="17"/>
  <c r="CG45" i="17"/>
  <c r="CD41" i="17"/>
  <c r="CD77" i="17" s="1"/>
  <c r="CG40" i="17"/>
  <c r="CC39" i="17"/>
  <c r="CG33" i="17"/>
  <c r="CG30" i="17"/>
  <c r="CG16" i="17"/>
  <c r="CD39" i="17"/>
  <c r="CG13" i="17"/>
  <c r="BW77" i="17"/>
  <c r="CA45" i="17"/>
  <c r="BX41" i="17"/>
  <c r="BX77" i="17" s="1"/>
  <c r="CA40" i="17"/>
  <c r="BW39" i="17"/>
  <c r="CA33" i="17"/>
  <c r="CA30" i="17"/>
  <c r="CA16" i="17"/>
  <c r="BX39" i="17"/>
  <c r="CA13" i="17"/>
  <c r="CD12" i="17"/>
  <c r="CD22" i="19" s="1"/>
  <c r="CF436" i="18"/>
  <c r="CE436" i="18"/>
  <c r="CD436" i="18"/>
  <c r="CC436" i="18"/>
  <c r="CG435" i="18"/>
  <c r="CF427" i="18"/>
  <c r="CE427" i="18"/>
  <c r="CD427" i="18"/>
  <c r="CC427" i="18"/>
  <c r="CG425" i="18"/>
  <c r="CF372" i="18"/>
  <c r="CE372" i="18"/>
  <c r="CD372" i="18"/>
  <c r="CC372" i="18"/>
  <c r="CG369" i="18"/>
  <c r="CF363" i="18"/>
  <c r="CE363" i="18"/>
  <c r="CD363" i="18"/>
  <c r="CC363" i="18"/>
  <c r="CG359" i="18"/>
  <c r="CC203" i="18"/>
  <c r="CG107" i="18"/>
  <c r="CG101" i="18"/>
  <c r="CD100" i="18"/>
  <c r="CE100" i="18" s="1"/>
  <c r="CF100" i="18" s="1"/>
  <c r="CG100" i="18" s="1"/>
  <c r="CF97" i="18"/>
  <c r="CE97" i="18"/>
  <c r="CD97" i="18"/>
  <c r="CC97" i="18"/>
  <c r="CD96" i="18"/>
  <c r="CE96" i="18" s="1"/>
  <c r="CG93" i="18"/>
  <c r="CD90" i="18"/>
  <c r="CD87" i="18"/>
  <c r="CE87" i="18" s="1"/>
  <c r="CF87" i="18" s="1"/>
  <c r="CG87" i="18" s="1"/>
  <c r="CD77" i="18"/>
  <c r="CD75" i="18"/>
  <c r="CE75" i="18" s="1"/>
  <c r="CD70" i="18"/>
  <c r="CD68" i="18"/>
  <c r="CD63" i="18"/>
  <c r="CD58" i="18"/>
  <c r="CE58" i="18" s="1"/>
  <c r="CF58" i="18" s="1"/>
  <c r="CG58" i="18" s="1"/>
  <c r="EF51" i="18"/>
  <c r="CD51" i="18"/>
  <c r="CC50" i="18"/>
  <c r="BZ436" i="18"/>
  <c r="BY436" i="18"/>
  <c r="BX436" i="18"/>
  <c r="BW436" i="18"/>
  <c r="CA435" i="18"/>
  <c r="BZ427" i="18"/>
  <c r="BY427" i="18"/>
  <c r="BX427" i="18"/>
  <c r="BW427" i="18"/>
  <c r="CA425" i="18"/>
  <c r="BZ372" i="18"/>
  <c r="BY372" i="18"/>
  <c r="BX372" i="18"/>
  <c r="BW372" i="18"/>
  <c r="CA369" i="18"/>
  <c r="BZ363" i="18"/>
  <c r="BY363" i="18"/>
  <c r="BX363" i="18"/>
  <c r="BW363" i="18"/>
  <c r="CA359" i="18"/>
  <c r="BW203" i="18"/>
  <c r="BX203" i="18" s="1"/>
  <c r="BX13" i="18" s="1"/>
  <c r="CA107" i="18"/>
  <c r="CA101" i="18"/>
  <c r="BX100" i="18"/>
  <c r="BY100" i="18" s="1"/>
  <c r="BZ97" i="18"/>
  <c r="BY97" i="18"/>
  <c r="BX97" i="18"/>
  <c r="BW97" i="18"/>
  <c r="BX96" i="18"/>
  <c r="BY96" i="18" s="1"/>
  <c r="CA93" i="18"/>
  <c r="BX90" i="18"/>
  <c r="BY90" i="18" s="1"/>
  <c r="BZ90" i="18" s="1"/>
  <c r="BX87" i="18"/>
  <c r="BX77" i="18"/>
  <c r="BX75" i="18"/>
  <c r="BX70" i="18"/>
  <c r="BX68" i="18"/>
  <c r="BX63" i="18"/>
  <c r="BX58" i="18"/>
  <c r="BY58" i="18" s="1"/>
  <c r="BZ58" i="18" s="1"/>
  <c r="BX52" i="18"/>
  <c r="EB51" i="18" s="1"/>
  <c r="BX51" i="18"/>
  <c r="BW50" i="18"/>
  <c r="CC126" i="19"/>
  <c r="CG116" i="19"/>
  <c r="CG115" i="19"/>
  <c r="CG114" i="19"/>
  <c r="CG113" i="19"/>
  <c r="CG111" i="19"/>
  <c r="CG110" i="19"/>
  <c r="CG109" i="19"/>
  <c r="CG107" i="19"/>
  <c r="CF102" i="19"/>
  <c r="CE102" i="19"/>
  <c r="CD102" i="19"/>
  <c r="CC102" i="19"/>
  <c r="CF101" i="19"/>
  <c r="CE101" i="19"/>
  <c r="CD101" i="19"/>
  <c r="CC101" i="19"/>
  <c r="CF99" i="19"/>
  <c r="CE99" i="19"/>
  <c r="CD99" i="19"/>
  <c r="CC99" i="19"/>
  <c r="CG95" i="19"/>
  <c r="CG94" i="19"/>
  <c r="CG90" i="19"/>
  <c r="CD126" i="19"/>
  <c r="CG40" i="19"/>
  <c r="CG39" i="19"/>
  <c r="CG15" i="19"/>
  <c r="BW126" i="19"/>
  <c r="CA116" i="19"/>
  <c r="CA115" i="19"/>
  <c r="CA114" i="19"/>
  <c r="CA113" i="19"/>
  <c r="CA111" i="19"/>
  <c r="CA110" i="19"/>
  <c r="CA109" i="19"/>
  <c r="CA107" i="19"/>
  <c r="BZ102" i="19"/>
  <c r="BY102" i="19"/>
  <c r="BX102" i="19"/>
  <c r="BW102" i="19"/>
  <c r="BZ101" i="19"/>
  <c r="BY101" i="19"/>
  <c r="BX101" i="19"/>
  <c r="BW101" i="19"/>
  <c r="BZ99" i="19"/>
  <c r="BY99" i="19"/>
  <c r="BX99" i="19"/>
  <c r="BW99" i="19"/>
  <c r="CA95" i="19"/>
  <c r="CA94" i="19"/>
  <c r="CA90" i="19"/>
  <c r="CA40" i="19"/>
  <c r="CA39" i="19"/>
  <c r="CA15" i="19"/>
  <c r="CE77" i="18" l="1"/>
  <c r="CI245" i="18"/>
  <c r="BZ11" i="77"/>
  <c r="BY11" i="77"/>
  <c r="CE11" i="77"/>
  <c r="CF11" i="77"/>
  <c r="CA37" i="48"/>
  <c r="CA39" i="48" s="1"/>
  <c r="BO186" i="18"/>
  <c r="BN594" i="18"/>
  <c r="BO594" i="18" s="1"/>
  <c r="BR186" i="18"/>
  <c r="BR594" i="18" s="1"/>
  <c r="BQ343" i="18"/>
  <c r="BQ186" i="18"/>
  <c r="BQ594" i="18" s="1"/>
  <c r="BR343" i="18"/>
  <c r="CA29" i="48"/>
  <c r="CA31" i="48" s="1"/>
  <c r="BW12" i="17"/>
  <c r="BW22" i="19" s="1"/>
  <c r="CC12" i="17"/>
  <c r="CC22" i="19" s="1"/>
  <c r="BY41" i="17"/>
  <c r="BZ41" i="17" s="1"/>
  <c r="BZ77" i="17" s="1"/>
  <c r="BY39" i="17"/>
  <c r="CA101" i="19"/>
  <c r="CG99" i="19"/>
  <c r="BT186" i="18"/>
  <c r="BT594" i="18" s="1"/>
  <c r="BT343" i="18"/>
  <c r="BS186" i="18"/>
  <c r="BS594" i="18" s="1"/>
  <c r="BS343" i="18"/>
  <c r="BU165" i="18"/>
  <c r="BU164" i="18"/>
  <c r="BU343" i="18"/>
  <c r="BX127" i="18"/>
  <c r="BX330" i="18"/>
  <c r="CA81" i="77"/>
  <c r="BY116" i="18"/>
  <c r="BY284" i="18" s="1"/>
  <c r="BY128" i="18"/>
  <c r="BX117" i="18"/>
  <c r="BY117" i="18" s="1"/>
  <c r="BZ117" i="18" s="1"/>
  <c r="CC117" i="18" s="1"/>
  <c r="BY203" i="18"/>
  <c r="BY13" i="18" s="1"/>
  <c r="CA427" i="18"/>
  <c r="BW13" i="18"/>
  <c r="BW11" i="77"/>
  <c r="CG372" i="18"/>
  <c r="CG97" i="18"/>
  <c r="CA97" i="18"/>
  <c r="BX11" i="77"/>
  <c r="CC11" i="77"/>
  <c r="CD11" i="77"/>
  <c r="CE70" i="18"/>
  <c r="BY51" i="18"/>
  <c r="CD203" i="18"/>
  <c r="CC13" i="18"/>
  <c r="BY63" i="18"/>
  <c r="CE51" i="18"/>
  <c r="CE63" i="18"/>
  <c r="CG427" i="18"/>
  <c r="CG363" i="18"/>
  <c r="CE80" i="77"/>
  <c r="CE78" i="77" s="1"/>
  <c r="CG102" i="19"/>
  <c r="BW80" i="77"/>
  <c r="BW78" i="77" s="1"/>
  <c r="BX80" i="77"/>
  <c r="BX78" i="77" s="1"/>
  <c r="CG81" i="77"/>
  <c r="CG79" i="77"/>
  <c r="CF80" i="77"/>
  <c r="CF78" i="77" s="1"/>
  <c r="CD80" i="77"/>
  <c r="CD78" i="77" s="1"/>
  <c r="CF46" i="77"/>
  <c r="CC80" i="77"/>
  <c r="CC78" i="77" s="1"/>
  <c r="CG82" i="77"/>
  <c r="CF54" i="77"/>
  <c r="BZ83" i="77"/>
  <c r="BZ80" i="77" s="1"/>
  <c r="BZ78" i="77" s="1"/>
  <c r="BY80" i="77"/>
  <c r="BZ46" i="77"/>
  <c r="CA79" i="77"/>
  <c r="CA82" i="77"/>
  <c r="BX126" i="19"/>
  <c r="CA102" i="19"/>
  <c r="CG101" i="19"/>
  <c r="CA99" i="19"/>
  <c r="CE41" i="17"/>
  <c r="CE12" i="17"/>
  <c r="CE22" i="19" s="1"/>
  <c r="CF77" i="18"/>
  <c r="CE68" i="18"/>
  <c r="EG51" i="18"/>
  <c r="CE90" i="18"/>
  <c r="CF90" i="18" s="1"/>
  <c r="CC245" i="18"/>
  <c r="CD50" i="18"/>
  <c r="CF96" i="18"/>
  <c r="CG96" i="18" s="1"/>
  <c r="CF75" i="18"/>
  <c r="CG436" i="18"/>
  <c r="BY52" i="18"/>
  <c r="EC51" i="18" s="1"/>
  <c r="CA372" i="18"/>
  <c r="CA58" i="18"/>
  <c r="BY68" i="18"/>
  <c r="BY75" i="18"/>
  <c r="BZ96" i="18"/>
  <c r="BX50" i="18"/>
  <c r="BY70" i="18"/>
  <c r="BZ100" i="18"/>
  <c r="CA100" i="18" s="1"/>
  <c r="CA90" i="18"/>
  <c r="BY77" i="18"/>
  <c r="BY87" i="18"/>
  <c r="CA436" i="18"/>
  <c r="CA363" i="18"/>
  <c r="CG77" i="18" l="1"/>
  <c r="CJ245" i="18"/>
  <c r="BU594" i="18"/>
  <c r="BY77" i="17"/>
  <c r="BX12" i="17"/>
  <c r="BX22" i="19" s="1"/>
  <c r="BZ39" i="17"/>
  <c r="CA39" i="17" s="1"/>
  <c r="CA41" i="17"/>
  <c r="CA77" i="17" s="1"/>
  <c r="BY127" i="18"/>
  <c r="BZ203" i="18"/>
  <c r="BZ13" i="18" s="1"/>
  <c r="BU186" i="18"/>
  <c r="CD200" i="18"/>
  <c r="BY330" i="18"/>
  <c r="CA117" i="18"/>
  <c r="BZ116" i="18"/>
  <c r="BZ284" i="18" s="1"/>
  <c r="BZ128" i="18"/>
  <c r="CA128" i="18" s="1"/>
  <c r="BZ70" i="18"/>
  <c r="CA70" i="18" s="1"/>
  <c r="CE203" i="18"/>
  <c r="CD13" i="18"/>
  <c r="CF70" i="18"/>
  <c r="CF51" i="18"/>
  <c r="BZ63" i="18"/>
  <c r="CA63" i="18" s="1"/>
  <c r="CF63" i="18"/>
  <c r="BZ51" i="18"/>
  <c r="CA80" i="77"/>
  <c r="BY78" i="77"/>
  <c r="CG80" i="77"/>
  <c r="CG78" i="77"/>
  <c r="CG83" i="77" s="1"/>
  <c r="CE77" i="17"/>
  <c r="CF41" i="17"/>
  <c r="CF77" i="17" s="1"/>
  <c r="CE39" i="17"/>
  <c r="CF39" i="17"/>
  <c r="CF12" i="17"/>
  <c r="CF22" i="19" s="1"/>
  <c r="CG22" i="19" s="1"/>
  <c r="EH51" i="18"/>
  <c r="CE50" i="18"/>
  <c r="CG90" i="18"/>
  <c r="CD275" i="18"/>
  <c r="CD245" i="18"/>
  <c r="CF68" i="18"/>
  <c r="BZ52" i="18"/>
  <c r="ED51" i="18" s="1"/>
  <c r="BY50" i="18"/>
  <c r="BZ77" i="18"/>
  <c r="BZ75" i="18"/>
  <c r="CA96" i="18"/>
  <c r="BZ68" i="18"/>
  <c r="BX275" i="18"/>
  <c r="BZ87" i="18"/>
  <c r="CE126" i="19"/>
  <c r="BY126" i="19"/>
  <c r="CK245" i="18" l="1"/>
  <c r="CA13" i="18"/>
  <c r="CG12" i="17"/>
  <c r="BY12" i="17"/>
  <c r="CG41" i="17"/>
  <c r="CG77" i="17" s="1"/>
  <c r="BZ127" i="18"/>
  <c r="CE200" i="18"/>
  <c r="BZ330" i="18"/>
  <c r="CA78" i="77"/>
  <c r="CA83" i="77" s="1"/>
  <c r="CC128" i="18"/>
  <c r="CC116" i="18"/>
  <c r="CC284" i="18" s="1"/>
  <c r="CA116" i="18"/>
  <c r="CA77" i="18"/>
  <c r="CF50" i="18"/>
  <c r="CG70" i="18"/>
  <c r="BZ50" i="18"/>
  <c r="CG63" i="18"/>
  <c r="CG51" i="18"/>
  <c r="CA51" i="18"/>
  <c r="CF203" i="18"/>
  <c r="CF13" i="18" s="1"/>
  <c r="CE13" i="18"/>
  <c r="CF126" i="19"/>
  <c r="BZ126" i="19"/>
  <c r="CG39" i="17"/>
  <c r="CE275" i="18"/>
  <c r="CE245" i="18"/>
  <c r="BY275" i="18"/>
  <c r="CA87" i="18"/>
  <c r="CA52" i="18"/>
  <c r="CI275" i="18" l="1"/>
  <c r="CL245" i="18"/>
  <c r="CG50" i="18"/>
  <c r="BZ12" i="17"/>
  <c r="BZ22" i="19" s="1"/>
  <c r="BY22" i="19"/>
  <c r="CA127" i="18"/>
  <c r="CC127" i="18"/>
  <c r="CF200" i="18"/>
  <c r="CA330" i="18"/>
  <c r="CC330" i="18" s="1"/>
  <c r="CG13" i="18"/>
  <c r="CD116" i="18"/>
  <c r="CD284" i="18" s="1"/>
  <c r="CD128" i="18"/>
  <c r="CF275" i="18"/>
  <c r="CC275" i="18"/>
  <c r="CF245" i="18"/>
  <c r="CA50" i="18"/>
  <c r="BZ275" i="18"/>
  <c r="CI200" i="18" l="1"/>
  <c r="CM245" i="18"/>
  <c r="CA12" i="17"/>
  <c r="CA22" i="19"/>
  <c r="CG245" i="18"/>
  <c r="CD127" i="18"/>
  <c r="CD330" i="18"/>
  <c r="CE116" i="18"/>
  <c r="CE284" i="18" s="1"/>
  <c r="CD117" i="18"/>
  <c r="CE117" i="18" s="1"/>
  <c r="CF117" i="18" s="1"/>
  <c r="CE128" i="18"/>
  <c r="CJ200" i="18" l="1"/>
  <c r="CG117" i="18"/>
  <c r="CI117" i="18"/>
  <c r="CE127" i="18"/>
  <c r="CE330" i="18"/>
  <c r="CF128" i="18"/>
  <c r="CI128" i="18" s="1"/>
  <c r="CF116" i="18"/>
  <c r="CJ117" i="18" l="1"/>
  <c r="CK117" i="18" s="1"/>
  <c r="CL117" i="18" s="1"/>
  <c r="CO117" i="18" s="1"/>
  <c r="CG116" i="18"/>
  <c r="CI116" i="18"/>
  <c r="CJ128" i="18"/>
  <c r="CK128" i="18" s="1"/>
  <c r="CL128" i="18" s="1"/>
  <c r="CO128" i="18" s="1"/>
  <c r="CK200" i="18"/>
  <c r="CF127" i="18"/>
  <c r="CI127" i="18" s="1"/>
  <c r="CF330" i="18"/>
  <c r="CF284" i="18"/>
  <c r="CG128" i="18"/>
  <c r="CM128" i="18" l="1"/>
  <c r="CP128" i="18"/>
  <c r="CQ128" i="18" s="1"/>
  <c r="CR128" i="18" s="1"/>
  <c r="CP117" i="18"/>
  <c r="CQ117" i="18" s="1"/>
  <c r="CR117" i="18" s="1"/>
  <c r="CL200" i="18"/>
  <c r="CO200" i="18" s="1"/>
  <c r="CP200" i="18" s="1"/>
  <c r="CQ200" i="18" s="1"/>
  <c r="CR200" i="18" s="1"/>
  <c r="CJ127" i="18"/>
  <c r="CI126" i="18"/>
  <c r="CI284" i="18"/>
  <c r="CJ116" i="18"/>
  <c r="CI115" i="18"/>
  <c r="CM117" i="18"/>
  <c r="CG127" i="18"/>
  <c r="CG330" i="18"/>
  <c r="CI330" i="18" s="1"/>
  <c r="CJ330" i="18" s="1"/>
  <c r="CK330" i="18" s="1"/>
  <c r="CL330" i="18" s="1"/>
  <c r="CM330" i="18" s="1"/>
  <c r="CO330" i="18" s="1"/>
  <c r="CP330" i="18" s="1"/>
  <c r="CQ330" i="18" s="1"/>
  <c r="CR330" i="18" s="1"/>
  <c r="CS330" i="18" s="1"/>
  <c r="CS128" i="18" l="1"/>
  <c r="CS117" i="18"/>
  <c r="CK116" i="18"/>
  <c r="CJ284" i="18"/>
  <c r="CJ115" i="18"/>
  <c r="CI112" i="18"/>
  <c r="CK127" i="18"/>
  <c r="CJ126" i="18"/>
  <c r="CL127" i="18" l="1"/>
  <c r="CK126" i="18"/>
  <c r="CJ285" i="18"/>
  <c r="CJ112" i="18"/>
  <c r="CL116" i="18"/>
  <c r="CO116" i="18" s="1"/>
  <c r="CK115" i="18"/>
  <c r="CK284" i="18"/>
  <c r="CO284" i="18" l="1"/>
  <c r="CO115" i="18"/>
  <c r="CP116" i="18"/>
  <c r="CL126" i="18"/>
  <c r="CL285" i="18" s="1"/>
  <c r="CO127" i="18"/>
  <c r="CL284" i="18"/>
  <c r="CL115" i="18"/>
  <c r="CM115" i="18" s="1"/>
  <c r="CM116" i="18"/>
  <c r="CK285" i="18"/>
  <c r="CK112" i="18"/>
  <c r="CM127" i="18"/>
  <c r="BR106" i="19"/>
  <c r="BS106" i="19" s="1"/>
  <c r="BT106" i="19" s="1"/>
  <c r="BW106" i="19" s="1"/>
  <c r="BR112" i="19"/>
  <c r="BS112" i="19" s="1"/>
  <c r="BT112" i="19" s="1"/>
  <c r="BW112" i="19" s="1"/>
  <c r="BR108" i="19"/>
  <c r="BS108" i="19" s="1"/>
  <c r="BT108" i="19" s="1"/>
  <c r="BW108" i="19" s="1"/>
  <c r="CM126" i="18" l="1"/>
  <c r="CM112" i="18" s="1"/>
  <c r="CL112" i="18"/>
  <c r="CP127" i="18"/>
  <c r="CO126" i="18"/>
  <c r="CP284" i="18"/>
  <c r="CQ116" i="18"/>
  <c r="CP115" i="18"/>
  <c r="BX106" i="19"/>
  <c r="BW31" i="19"/>
  <c r="BX112" i="19"/>
  <c r="BY112" i="19" s="1"/>
  <c r="BZ112" i="19" s="1"/>
  <c r="CC112" i="19" s="1"/>
  <c r="BX108" i="19"/>
  <c r="BW86" i="19"/>
  <c r="BW100" i="19"/>
  <c r="C36" i="19"/>
  <c r="D36" i="19"/>
  <c r="AQ36" i="19"/>
  <c r="AW36" i="19"/>
  <c r="BC36" i="19"/>
  <c r="L37" i="19"/>
  <c r="R37" i="19"/>
  <c r="X37" i="19"/>
  <c r="AD37" i="19"/>
  <c r="AJ37" i="19"/>
  <c r="AP37" i="19"/>
  <c r="AV37" i="19"/>
  <c r="BB37" i="19"/>
  <c r="D38" i="19"/>
  <c r="L38" i="19"/>
  <c r="R38" i="19"/>
  <c r="X38" i="19"/>
  <c r="AD38" i="19"/>
  <c r="AJ38" i="19"/>
  <c r="AP38" i="19"/>
  <c r="AV38" i="19"/>
  <c r="BB38" i="19"/>
  <c r="L39" i="19"/>
  <c r="R39" i="19"/>
  <c r="X39" i="19"/>
  <c r="AD39" i="19"/>
  <c r="AJ39" i="19"/>
  <c r="AP39" i="19"/>
  <c r="AV39" i="19"/>
  <c r="BB39" i="19"/>
  <c r="BU39" i="19"/>
  <c r="D40" i="19"/>
  <c r="L40" i="19"/>
  <c r="R40" i="19"/>
  <c r="X40" i="19"/>
  <c r="AD40" i="19"/>
  <c r="AJ40" i="19"/>
  <c r="AP40" i="19"/>
  <c r="AV40" i="19"/>
  <c r="BB40" i="19"/>
  <c r="BU40" i="19"/>
  <c r="C42" i="19"/>
  <c r="D42" i="19"/>
  <c r="AW42" i="19"/>
  <c r="CR116" i="18" l="1"/>
  <c r="CS116" i="18" s="1"/>
  <c r="CQ284" i="18"/>
  <c r="CQ115" i="18"/>
  <c r="CO255" i="18"/>
  <c r="CO112" i="18"/>
  <c r="CO285" i="18"/>
  <c r="CQ127" i="18"/>
  <c r="CP126" i="18"/>
  <c r="CA112" i="19"/>
  <c r="CD112" i="19"/>
  <c r="CE112" i="19" s="1"/>
  <c r="CF112" i="19" s="1"/>
  <c r="CI112" i="19" s="1"/>
  <c r="BX100" i="19"/>
  <c r="BY108" i="19"/>
  <c r="BX86" i="19"/>
  <c r="BY106" i="19"/>
  <c r="BX31" i="19"/>
  <c r="BR38" i="19"/>
  <c r="BS38" i="19" s="1"/>
  <c r="BT38" i="19" s="1"/>
  <c r="CJ112" i="19" l="1"/>
  <c r="CK112" i="19" s="1"/>
  <c r="CL112" i="19" s="1"/>
  <c r="CO112" i="19" s="1"/>
  <c r="CP285" i="18"/>
  <c r="CP112" i="18"/>
  <c r="CP255" i="18"/>
  <c r="CR127" i="18"/>
  <c r="CQ126" i="18"/>
  <c r="CR284" i="18"/>
  <c r="CR115" i="18"/>
  <c r="CS115" i="18" s="1"/>
  <c r="CG112" i="19"/>
  <c r="BZ108" i="19"/>
  <c r="BY100" i="19"/>
  <c r="BY86" i="19"/>
  <c r="BZ106" i="19"/>
  <c r="CA106" i="19" s="1"/>
  <c r="BY31" i="19"/>
  <c r="BU38" i="19"/>
  <c r="BW38" i="19" s="1"/>
  <c r="CM112" i="19" l="1"/>
  <c r="CP112" i="19"/>
  <c r="CQ112" i="19" s="1"/>
  <c r="CR112" i="19" s="1"/>
  <c r="CQ255" i="18"/>
  <c r="CQ112" i="18"/>
  <c r="CQ285" i="18"/>
  <c r="CR126" i="18"/>
  <c r="CS126" i="18" s="1"/>
  <c r="CS127" i="18"/>
  <c r="BX38" i="19"/>
  <c r="BY38" i="19" s="1"/>
  <c r="BZ38" i="19" s="1"/>
  <c r="CC106" i="19"/>
  <c r="BZ31" i="19"/>
  <c r="CC108" i="19"/>
  <c r="BZ86" i="19"/>
  <c r="CA86" i="19" s="1"/>
  <c r="BZ100" i="19"/>
  <c r="CA100" i="19" s="1"/>
  <c r="CA108" i="19"/>
  <c r="CA31" i="19" s="1"/>
  <c r="BG49" i="48"/>
  <c r="BG48" i="48"/>
  <c r="BG47" i="48"/>
  <c r="BG46" i="48"/>
  <c r="CS112" i="19" l="1"/>
  <c r="CS255" i="18"/>
  <c r="CS112" i="18"/>
  <c r="CR285" i="18"/>
  <c r="CR255" i="18"/>
  <c r="CR112" i="18"/>
  <c r="CA38" i="19"/>
  <c r="CC38" i="19" s="1"/>
  <c r="CD38" i="19" s="1"/>
  <c r="CE38" i="19" s="1"/>
  <c r="CF38" i="19" s="1"/>
  <c r="CD108" i="19"/>
  <c r="CC86" i="19"/>
  <c r="CC100" i="19"/>
  <c r="CD106" i="19"/>
  <c r="CC31" i="19"/>
  <c r="CE106" i="19" l="1"/>
  <c r="CD31" i="19"/>
  <c r="CG38" i="19"/>
  <c r="CI38" i="19" s="1"/>
  <c r="CD86" i="19"/>
  <c r="CE108" i="19"/>
  <c r="CD100" i="19"/>
  <c r="CJ38" i="19" l="1"/>
  <c r="CK38" i="19" s="1"/>
  <c r="CL38" i="19" s="1"/>
  <c r="CE100" i="19"/>
  <c r="CE86" i="19"/>
  <c r="CF108" i="19"/>
  <c r="CE31" i="19"/>
  <c r="CF106" i="19"/>
  <c r="CI106" i="19" s="1"/>
  <c r="CG108" i="19" l="1"/>
  <c r="CI108" i="19"/>
  <c r="CI31" i="19" s="1"/>
  <c r="CJ106" i="19"/>
  <c r="CM38" i="19"/>
  <c r="CO38" i="19" s="1"/>
  <c r="CF100" i="19"/>
  <c r="CG100" i="19" s="1"/>
  <c r="CF86" i="19"/>
  <c r="CG86" i="19" s="1"/>
  <c r="CF31" i="19"/>
  <c r="CG106" i="19"/>
  <c r="CG31" i="19" l="1"/>
  <c r="CK106" i="19"/>
  <c r="CI86" i="19"/>
  <c r="CI100" i="19"/>
  <c r="CJ108" i="19"/>
  <c r="CJ31" i="19" s="1"/>
  <c r="CP38" i="19"/>
  <c r="CQ38" i="19" s="1"/>
  <c r="CR38" i="19" s="1"/>
  <c r="CS38" i="19" l="1"/>
  <c r="CJ86" i="19"/>
  <c r="CK108" i="19"/>
  <c r="CK31" i="19" s="1"/>
  <c r="CJ100" i="19"/>
  <c r="CL106" i="19"/>
  <c r="CO106" i="19" l="1"/>
  <c r="CM106" i="19"/>
  <c r="CK86" i="19"/>
  <c r="CL108" i="19"/>
  <c r="CK100" i="19"/>
  <c r="CO108" i="19" l="1"/>
  <c r="CO31" i="19" s="1"/>
  <c r="CL100" i="19"/>
  <c r="CM100" i="19" s="1"/>
  <c r="CL86" i="19"/>
  <c r="CM86" i="19" s="1"/>
  <c r="CL31" i="19"/>
  <c r="CP106" i="19"/>
  <c r="CM108" i="19"/>
  <c r="CM31" i="19" s="1"/>
  <c r="CQ106" i="19" l="1"/>
  <c r="CO100" i="19"/>
  <c r="CP108" i="19"/>
  <c r="CP31" i="19" s="1"/>
  <c r="CO86" i="19"/>
  <c r="CR106" i="19" l="1"/>
  <c r="CS106" i="19" s="1"/>
  <c r="CQ108" i="19"/>
  <c r="CQ31" i="19" s="1"/>
  <c r="CP86" i="19"/>
  <c r="CP100" i="19"/>
  <c r="J161" i="19"/>
  <c r="L161" i="19"/>
  <c r="I161" i="19"/>
  <c r="M161" i="19"/>
  <c r="K161" i="19"/>
  <c r="CQ86" i="19" l="1"/>
  <c r="CR108" i="19"/>
  <c r="CS108" i="19" s="1"/>
  <c r="CS31" i="19" s="1"/>
  <c r="CQ100" i="19"/>
  <c r="K167" i="19"/>
  <c r="I167" i="19"/>
  <c r="J167" i="19"/>
  <c r="CR86" i="19" l="1"/>
  <c r="CS86" i="19" s="1"/>
  <c r="CR100" i="19"/>
  <c r="CR31" i="19"/>
  <c r="CS100" i="19" l="1"/>
  <c r="BA98" i="77" l="1"/>
  <c r="BB98" i="77"/>
  <c r="BT99" i="77"/>
  <c r="BZ99" i="77" s="1"/>
  <c r="CF99" i="77" s="1"/>
  <c r="CL99" i="77" s="1"/>
  <c r="CR99" i="77" s="1"/>
  <c r="BS99" i="77"/>
  <c r="BY99" i="77" s="1"/>
  <c r="CE99" i="77" s="1"/>
  <c r="CK99" i="77" s="1"/>
  <c r="CQ99" i="77" s="1"/>
  <c r="BR99" i="77"/>
  <c r="BX99" i="77" s="1"/>
  <c r="CD99" i="77" s="1"/>
  <c r="CJ99" i="77" s="1"/>
  <c r="CP99" i="77" s="1"/>
  <c r="BQ99" i="77"/>
  <c r="BW99" i="77" s="1"/>
  <c r="CC99" i="77" s="1"/>
  <c r="CI99" i="77" s="1"/>
  <c r="CO99" i="77" s="1"/>
  <c r="AZ98" i="77"/>
  <c r="AP98" i="77"/>
  <c r="AO98" i="77"/>
  <c r="AN98" i="77"/>
  <c r="BK96" i="77"/>
  <c r="BH96" i="77"/>
  <c r="BG96" i="77"/>
  <c r="BF96" i="77"/>
  <c r="BE96" i="77"/>
  <c r="BB96" i="77"/>
  <c r="BA96" i="77"/>
  <c r="AZ96" i="77"/>
  <c r="AY96" i="77"/>
  <c r="AV96" i="77"/>
  <c r="AU96" i="77"/>
  <c r="AT96" i="77"/>
  <c r="AS96" i="77"/>
  <c r="BK115" i="77"/>
  <c r="BH115" i="77"/>
  <c r="BG115" i="77"/>
  <c r="BF115" i="77"/>
  <c r="BB115" i="77"/>
  <c r="BA115" i="77"/>
  <c r="AZ115" i="77"/>
  <c r="AY115" i="77"/>
  <c r="AV115" i="77"/>
  <c r="AU115" i="77"/>
  <c r="AT115" i="77"/>
  <c r="AS115" i="77"/>
  <c r="BM85" i="77"/>
  <c r="BL85" i="77"/>
  <c r="BH85" i="77"/>
  <c r="BC77" i="77"/>
  <c r="BC74" i="77"/>
  <c r="BC70" i="77"/>
  <c r="AW77" i="77"/>
  <c r="AW74" i="77"/>
  <c r="AW70" i="77"/>
  <c r="AQ77" i="77"/>
  <c r="AQ74" i="77"/>
  <c r="AQ71" i="77"/>
  <c r="AQ70" i="77"/>
  <c r="BH77" i="77"/>
  <c r="BN77" i="77" s="1"/>
  <c r="BT77" i="77" s="1"/>
  <c r="BG77" i="77"/>
  <c r="BM77" i="77" s="1"/>
  <c r="BS77" i="77" s="1"/>
  <c r="BY77" i="77" s="1"/>
  <c r="BF77" i="77"/>
  <c r="BL77" i="77" s="1"/>
  <c r="BR77" i="77" s="1"/>
  <c r="BX77" i="77" s="1"/>
  <c r="BB75" i="77"/>
  <c r="BB73" i="77" s="1"/>
  <c r="BA75" i="77"/>
  <c r="BA73" i="77" s="1"/>
  <c r="AY75" i="77"/>
  <c r="AY73" i="77" s="1"/>
  <c r="AT75" i="77"/>
  <c r="AT73" i="77" s="1"/>
  <c r="AS75" i="77"/>
  <c r="AM75" i="77" s="1"/>
  <c r="BF74" i="77"/>
  <c r="BF73" i="77" s="1"/>
  <c r="BE73" i="77"/>
  <c r="BE71" i="77"/>
  <c r="BE223" i="18" s="1"/>
  <c r="BE70" i="77"/>
  <c r="BF70" i="77" s="1"/>
  <c r="BH74" i="77"/>
  <c r="BN74" i="77" s="1"/>
  <c r="BT74" i="77" s="1"/>
  <c r="BZ74" i="77" s="1"/>
  <c r="BG74" i="77"/>
  <c r="BM74" i="77" s="1"/>
  <c r="BS74" i="77" s="1"/>
  <c r="BH71" i="77"/>
  <c r="BH223" i="18" s="1"/>
  <c r="BN223" i="18" s="1"/>
  <c r="BT223" i="18" s="1"/>
  <c r="BZ223" i="18" s="1"/>
  <c r="AZ71" i="77"/>
  <c r="BC71" i="77" s="1"/>
  <c r="AV71" i="77"/>
  <c r="AU71" i="77" s="1"/>
  <c r="AU223" i="18" s="1"/>
  <c r="AU220" i="18" s="1"/>
  <c r="AP68" i="77"/>
  <c r="AO68" i="77"/>
  <c r="AN68" i="77"/>
  <c r="AM68" i="77"/>
  <c r="BR83" i="77"/>
  <c r="BN83" i="77"/>
  <c r="BK77" i="77"/>
  <c r="BK74" i="77"/>
  <c r="BQ74" i="77" s="1"/>
  <c r="BW74" i="77" s="1"/>
  <c r="BB68" i="77"/>
  <c r="BA68" i="77"/>
  <c r="AY68" i="77"/>
  <c r="AT68" i="77"/>
  <c r="AS68" i="77"/>
  <c r="BR54" i="77"/>
  <c r="BS54" i="77" s="1"/>
  <c r="BT54" i="77" s="1"/>
  <c r="BT51" i="77"/>
  <c r="BS51" i="77"/>
  <c r="BR51" i="77"/>
  <c r="BN51" i="77"/>
  <c r="BM51" i="77"/>
  <c r="BL51" i="77"/>
  <c r="BR46" i="77"/>
  <c r="BS46" i="77" s="1"/>
  <c r="BT46" i="77" s="1"/>
  <c r="BM46" i="77"/>
  <c r="BN46" i="77" s="1"/>
  <c r="AP46" i="77"/>
  <c r="AO46" i="77"/>
  <c r="AN46" i="77"/>
  <c r="AM46" i="77"/>
  <c r="AJ46" i="77"/>
  <c r="AI46" i="77"/>
  <c r="AH46" i="77"/>
  <c r="AG46" i="77"/>
  <c r="AE46" i="77"/>
  <c r="AD46" i="77"/>
  <c r="AC46" i="77"/>
  <c r="AB46" i="77"/>
  <c r="AA46" i="77"/>
  <c r="AJ32" i="77"/>
  <c r="AI32" i="77"/>
  <c r="AH32" i="77"/>
  <c r="AG32" i="77"/>
  <c r="AP32" i="77"/>
  <c r="AO32" i="77"/>
  <c r="AN32" i="77"/>
  <c r="AM32" i="77"/>
  <c r="F19" i="77"/>
  <c r="E19" i="77"/>
  <c r="D19" i="77"/>
  <c r="K19" i="77"/>
  <c r="J19" i="77"/>
  <c r="L14" i="77"/>
  <c r="K14" i="77"/>
  <c r="K18" i="77" s="1"/>
  <c r="J14" i="77"/>
  <c r="J18" i="77" s="1"/>
  <c r="I14" i="77"/>
  <c r="K13" i="77"/>
  <c r="J13" i="77"/>
  <c r="F14" i="77"/>
  <c r="E14" i="77"/>
  <c r="E18" i="77" s="1"/>
  <c r="D14" i="77"/>
  <c r="D18" i="77" s="1"/>
  <c r="C14" i="77"/>
  <c r="BE11" i="77"/>
  <c r="BE13" i="77" s="1"/>
  <c r="BB11" i="77"/>
  <c r="BA11" i="77"/>
  <c r="AZ11" i="77"/>
  <c r="AY11" i="77"/>
  <c r="AV11" i="77"/>
  <c r="AV13" i="77" s="1"/>
  <c r="AU11" i="77"/>
  <c r="AT11" i="77"/>
  <c r="AS11" i="77"/>
  <c r="AP11" i="77"/>
  <c r="AO11" i="77"/>
  <c r="AN11" i="77"/>
  <c r="AN19" i="77" s="1"/>
  <c r="AM11" i="77"/>
  <c r="AJ11" i="77"/>
  <c r="AI11" i="77"/>
  <c r="AI19" i="77" s="1"/>
  <c r="AH11" i="77"/>
  <c r="AH19" i="77" s="1"/>
  <c r="AG11" i="77"/>
  <c r="AG19" i="77" s="1"/>
  <c r="AD11" i="77"/>
  <c r="AC11" i="77"/>
  <c r="AC19" i="77" s="1"/>
  <c r="AB11" i="77"/>
  <c r="AA11" i="77"/>
  <c r="AA13" i="77" s="1"/>
  <c r="X11" i="77"/>
  <c r="W11" i="77"/>
  <c r="W13" i="77" s="1"/>
  <c r="V11" i="77"/>
  <c r="V19" i="77" s="1"/>
  <c r="U11" i="77"/>
  <c r="U19" i="77" s="1"/>
  <c r="R14" i="77"/>
  <c r="Q14" i="77"/>
  <c r="Q18" i="77" s="1"/>
  <c r="P14" i="77"/>
  <c r="O14" i="77"/>
  <c r="O18" i="77" s="1"/>
  <c r="S11" i="77"/>
  <c r="S19" i="77" s="1"/>
  <c r="R11" i="77"/>
  <c r="Q11" i="77"/>
  <c r="Q19" i="77" s="1"/>
  <c r="P11" i="77"/>
  <c r="P19" i="77" s="1"/>
  <c r="O11" i="77"/>
  <c r="I7" i="77"/>
  <c r="O7" i="77" s="1"/>
  <c r="P7" i="77" s="1"/>
  <c r="Q7" i="77" s="1"/>
  <c r="R7" i="77" s="1"/>
  <c r="D7" i="77"/>
  <c r="E7" i="77" s="1"/>
  <c r="F7" i="77" s="1"/>
  <c r="M6" i="77"/>
  <c r="S6" i="77" s="1"/>
  <c r="Y6" i="77" s="1"/>
  <c r="AE6" i="77" s="1"/>
  <c r="AK6" i="77" s="1"/>
  <c r="AQ6" i="77" s="1"/>
  <c r="AW6" i="77" s="1"/>
  <c r="BC6" i="77" s="1"/>
  <c r="BI6" i="77" s="1"/>
  <c r="BO6" i="77" s="1"/>
  <c r="BU6" i="77" s="1"/>
  <c r="CA6" i="77" s="1"/>
  <c r="CG6" i="77" s="1"/>
  <c r="CM6" i="77" s="1"/>
  <c r="CS6" i="77" s="1"/>
  <c r="I6" i="77"/>
  <c r="O6" i="77" s="1"/>
  <c r="U6" i="77" s="1"/>
  <c r="AA6" i="77" s="1"/>
  <c r="AG6" i="77" s="1"/>
  <c r="AM6" i="77" s="1"/>
  <c r="AS6" i="77" s="1"/>
  <c r="AY6" i="77" s="1"/>
  <c r="BE6" i="77" s="1"/>
  <c r="BK6" i="77" s="1"/>
  <c r="BQ6" i="77" s="1"/>
  <c r="BW6" i="77" s="1"/>
  <c r="CC6" i="77" s="1"/>
  <c r="CI6" i="77" s="1"/>
  <c r="CO6" i="77" s="1"/>
  <c r="A1" i="77"/>
  <c r="BR62" i="48"/>
  <c r="BS62" i="48" s="1"/>
  <c r="BT62" i="48" s="1"/>
  <c r="BB61" i="48"/>
  <c r="AV61" i="48"/>
  <c r="AW61" i="48" s="1"/>
  <c r="AP61" i="48"/>
  <c r="AQ61" i="48" s="1"/>
  <c r="AD57" i="48"/>
  <c r="AD56" i="48"/>
  <c r="BF56" i="48"/>
  <c r="BB56" i="48"/>
  <c r="BA56" i="48"/>
  <c r="AZ56" i="48"/>
  <c r="AV56" i="48"/>
  <c r="AU56" i="48"/>
  <c r="AT56" i="48"/>
  <c r="AO57" i="48"/>
  <c r="AN57" i="48"/>
  <c r="AO56" i="48"/>
  <c r="AN56" i="48"/>
  <c r="AJ57" i="48"/>
  <c r="AI57" i="48"/>
  <c r="AH57" i="48"/>
  <c r="AJ56" i="48"/>
  <c r="AI56" i="48"/>
  <c r="AH56" i="48"/>
  <c r="AS52" i="48"/>
  <c r="AO52" i="48"/>
  <c r="AN52" i="48"/>
  <c r="AM52" i="48"/>
  <c r="AJ52" i="48"/>
  <c r="AI52" i="48"/>
  <c r="AH52" i="48"/>
  <c r="AG52" i="48"/>
  <c r="AD52" i="48"/>
  <c r="AC52" i="48"/>
  <c r="AB52" i="48"/>
  <c r="AA52" i="48"/>
  <c r="BU49" i="48"/>
  <c r="BU48" i="48"/>
  <c r="BU47" i="48"/>
  <c r="BU46" i="48"/>
  <c r="BO49" i="48"/>
  <c r="BO48" i="48"/>
  <c r="BO47" i="48"/>
  <c r="BO46" i="48"/>
  <c r="AD49" i="48"/>
  <c r="AC49" i="48"/>
  <c r="AB49" i="48"/>
  <c r="A49" i="48"/>
  <c r="A48" i="48"/>
  <c r="A47" i="48"/>
  <c r="A46" i="48"/>
  <c r="AV49" i="48"/>
  <c r="AU49" i="48"/>
  <c r="AT49" i="48"/>
  <c r="AV48" i="48"/>
  <c r="AU48" i="48"/>
  <c r="AT48" i="48"/>
  <c r="AO49" i="48"/>
  <c r="AN49" i="48"/>
  <c r="AO48" i="48"/>
  <c r="AN48" i="48"/>
  <c r="AJ49" i="48"/>
  <c r="AI49" i="48"/>
  <c r="AH49" i="48"/>
  <c r="AJ48" i="48"/>
  <c r="AI48" i="48"/>
  <c r="AH48" i="48"/>
  <c r="AD48" i="48"/>
  <c r="AC48" i="48"/>
  <c r="AB48" i="48"/>
  <c r="AA48" i="48"/>
  <c r="BF49" i="48"/>
  <c r="BF48" i="48"/>
  <c r="BF47" i="48"/>
  <c r="BF46" i="48"/>
  <c r="BB49" i="48"/>
  <c r="BA49" i="48"/>
  <c r="AZ49" i="48"/>
  <c r="BB48" i="48"/>
  <c r="BA48" i="48"/>
  <c r="AZ48" i="48"/>
  <c r="BB47" i="48"/>
  <c r="BA47" i="48"/>
  <c r="AZ47" i="48"/>
  <c r="BB46" i="48"/>
  <c r="BA46" i="48"/>
  <c r="AZ46" i="48"/>
  <c r="AV47" i="48"/>
  <c r="AU47" i="48"/>
  <c r="AT47" i="48"/>
  <c r="AV46" i="48"/>
  <c r="AU46" i="48"/>
  <c r="AT46" i="48"/>
  <c r="BF43" i="48"/>
  <c r="BE43" i="48"/>
  <c r="BB43" i="48"/>
  <c r="BA43" i="48"/>
  <c r="AZ43" i="48"/>
  <c r="AY43" i="48"/>
  <c r="AV43" i="48"/>
  <c r="AU43" i="48"/>
  <c r="AT43" i="48"/>
  <c r="AS43" i="48"/>
  <c r="AP43" i="48"/>
  <c r="AO43" i="48"/>
  <c r="AN43" i="48"/>
  <c r="AM43" i="48"/>
  <c r="AK43" i="48"/>
  <c r="AJ43" i="48"/>
  <c r="AI43" i="48"/>
  <c r="AH43" i="48"/>
  <c r="AG43" i="48"/>
  <c r="AE43" i="48"/>
  <c r="AD43" i="48"/>
  <c r="AC43" i="48"/>
  <c r="AB43" i="48"/>
  <c r="AA43" i="48"/>
  <c r="BU41" i="48"/>
  <c r="BU40" i="48"/>
  <c r="BU38" i="48"/>
  <c r="BU36" i="48"/>
  <c r="BU35" i="48"/>
  <c r="BO41" i="48"/>
  <c r="BO40" i="48"/>
  <c r="BO38" i="48"/>
  <c r="BO36" i="48"/>
  <c r="BO35" i="48"/>
  <c r="BC41" i="48"/>
  <c r="BC40" i="48"/>
  <c r="BC38" i="48"/>
  <c r="BC36" i="48"/>
  <c r="BC35" i="48"/>
  <c r="AW41" i="48"/>
  <c r="AW40" i="48"/>
  <c r="AW38" i="48"/>
  <c r="AW36" i="48"/>
  <c r="AW35" i="48"/>
  <c r="AK41" i="48"/>
  <c r="AK40" i="48"/>
  <c r="AK38" i="48"/>
  <c r="AK36" i="48"/>
  <c r="AK35" i="48"/>
  <c r="AM49" i="48" s="1"/>
  <c r="AE41" i="48"/>
  <c r="AE40" i="48"/>
  <c r="AQ40" i="48"/>
  <c r="AP36" i="48"/>
  <c r="AQ36" i="48" s="1"/>
  <c r="BE37" i="48"/>
  <c r="BE39" i="48" s="1"/>
  <c r="BB37" i="48"/>
  <c r="BB39" i="48" s="1"/>
  <c r="BA37" i="48"/>
  <c r="BA39" i="48" s="1"/>
  <c r="AZ37" i="48"/>
  <c r="AZ39" i="48" s="1"/>
  <c r="AY37" i="48"/>
  <c r="AY39" i="48" s="1"/>
  <c r="AV37" i="48"/>
  <c r="AV39" i="48" s="1"/>
  <c r="AU37" i="48"/>
  <c r="AU39" i="48" s="1"/>
  <c r="AT37" i="48"/>
  <c r="AT39" i="48" s="1"/>
  <c r="AS37" i="48"/>
  <c r="AS39" i="48" s="1"/>
  <c r="AO37" i="48"/>
  <c r="AO39" i="48" s="1"/>
  <c r="AN37" i="48"/>
  <c r="AN39" i="48" s="1"/>
  <c r="AM37" i="48"/>
  <c r="AM39" i="48" s="1"/>
  <c r="AJ37" i="48"/>
  <c r="AJ39" i="48" s="1"/>
  <c r="AI37" i="48"/>
  <c r="AI39" i="48" s="1"/>
  <c r="AH37" i="48"/>
  <c r="AH39" i="48" s="1"/>
  <c r="AG37" i="48"/>
  <c r="AG39" i="48" s="1"/>
  <c r="AD37" i="48"/>
  <c r="AD39" i="48" s="1"/>
  <c r="AC37" i="48"/>
  <c r="AC39" i="48" s="1"/>
  <c r="AB37" i="48"/>
  <c r="AB39" i="48" s="1"/>
  <c r="AA37" i="48"/>
  <c r="AA39" i="48" s="1"/>
  <c r="AE36" i="48"/>
  <c r="AE35" i="48"/>
  <c r="BU33" i="48"/>
  <c r="BU32" i="48"/>
  <c r="BU30" i="48"/>
  <c r="BU28" i="48"/>
  <c r="BU27" i="48"/>
  <c r="BO33" i="48"/>
  <c r="BO32" i="48"/>
  <c r="BO30" i="48"/>
  <c r="BO28" i="48"/>
  <c r="BO27" i="48"/>
  <c r="AT33" i="48"/>
  <c r="AU33" i="48" s="1"/>
  <c r="AV33" i="48" s="1"/>
  <c r="AP33" i="48"/>
  <c r="AP41" i="48" s="1"/>
  <c r="AQ41" i="48" s="1"/>
  <c r="AK33" i="48"/>
  <c r="AK32" i="48"/>
  <c r="AK30" i="48"/>
  <c r="AK28" i="48"/>
  <c r="AK27" i="48"/>
  <c r="AE33" i="48"/>
  <c r="AE32" i="48"/>
  <c r="AE30" i="48"/>
  <c r="AE52" i="48" s="1"/>
  <c r="AE28" i="48"/>
  <c r="AE27" i="48"/>
  <c r="BC32" i="48"/>
  <c r="BC30" i="48"/>
  <c r="BC27" i="48"/>
  <c r="AW32" i="48"/>
  <c r="AW30" i="48"/>
  <c r="AW27" i="48"/>
  <c r="AY48" i="48" s="1"/>
  <c r="AQ32" i="48"/>
  <c r="AQ30" i="48"/>
  <c r="AS29" i="48"/>
  <c r="AS31" i="48" s="1"/>
  <c r="AO29" i="48"/>
  <c r="AO31" i="48" s="1"/>
  <c r="AN29" i="48"/>
  <c r="AN31" i="48" s="1"/>
  <c r="AM29" i="48"/>
  <c r="AM31" i="48" s="1"/>
  <c r="AJ29" i="48"/>
  <c r="AJ31" i="48" s="1"/>
  <c r="AI29" i="48"/>
  <c r="AI31" i="48" s="1"/>
  <c r="AH29" i="48"/>
  <c r="AH31" i="48" s="1"/>
  <c r="AG29" i="48"/>
  <c r="AG31" i="48" s="1"/>
  <c r="AD29" i="48"/>
  <c r="AD31" i="48" s="1"/>
  <c r="AC29" i="48"/>
  <c r="AC31" i="48" s="1"/>
  <c r="AB29" i="48"/>
  <c r="AB31" i="48" s="1"/>
  <c r="AA29" i="48"/>
  <c r="AA31" i="48" s="1"/>
  <c r="AP27" i="48"/>
  <c r="AQ27" i="48" s="1"/>
  <c r="AT25" i="48"/>
  <c r="AU25" i="48" s="1"/>
  <c r="AV25" i="48" s="1"/>
  <c r="AW25" i="48" s="1"/>
  <c r="AY25" i="48" s="1"/>
  <c r="AZ25" i="48" s="1"/>
  <c r="BA25" i="48" s="1"/>
  <c r="BB25" i="48" s="1"/>
  <c r="BU24" i="48"/>
  <c r="BO24" i="48"/>
  <c r="BC24" i="48"/>
  <c r="BC19" i="48"/>
  <c r="BE47" i="48" s="1"/>
  <c r="AW24" i="48"/>
  <c r="AW19" i="48"/>
  <c r="AY47" i="48" s="1"/>
  <c r="AT17" i="48"/>
  <c r="AU17" i="48" s="1"/>
  <c r="AV17" i="48" s="1"/>
  <c r="AW17" i="48" s="1"/>
  <c r="AY17" i="48" s="1"/>
  <c r="AZ17" i="48" s="1"/>
  <c r="BA17" i="48" s="1"/>
  <c r="BB17" i="48" s="1"/>
  <c r="BU16" i="48"/>
  <c r="BO16" i="48"/>
  <c r="BC16" i="48"/>
  <c r="BC11" i="48"/>
  <c r="AW16" i="48"/>
  <c r="AW11" i="48"/>
  <c r="AY46" i="48" s="1"/>
  <c r="G7" i="48"/>
  <c r="AG78" i="17"/>
  <c r="AG77" i="17"/>
  <c r="BQ77" i="17"/>
  <c r="BK77" i="17"/>
  <c r="BF78" i="17"/>
  <c r="BF41" i="19" s="1"/>
  <c r="BE78" i="17"/>
  <c r="BE41" i="19" s="1"/>
  <c r="BE77" i="17"/>
  <c r="BB78" i="17"/>
  <c r="BB41" i="19" s="1"/>
  <c r="BA78" i="17"/>
  <c r="BA41" i="19" s="1"/>
  <c r="AZ78" i="17"/>
  <c r="AZ41" i="19" s="1"/>
  <c r="AY78" i="17"/>
  <c r="AY41" i="19" s="1"/>
  <c r="AY77" i="17"/>
  <c r="AV78" i="17"/>
  <c r="AV41" i="19" s="1"/>
  <c r="AU78" i="17"/>
  <c r="AU41" i="19" s="1"/>
  <c r="AT78" i="17"/>
  <c r="AT41" i="19" s="1"/>
  <c r="AS78" i="17"/>
  <c r="AS41" i="19" s="1"/>
  <c r="AS77" i="17"/>
  <c r="AP78" i="17"/>
  <c r="AP41" i="19" s="1"/>
  <c r="AO78" i="17"/>
  <c r="AO41" i="19" s="1"/>
  <c r="AN78" i="17"/>
  <c r="AN41" i="19" s="1"/>
  <c r="AM78" i="17"/>
  <c r="AM41" i="19" s="1"/>
  <c r="AM77" i="17"/>
  <c r="AK78" i="17"/>
  <c r="AJ78" i="17"/>
  <c r="AI78" i="17"/>
  <c r="AE78" i="17"/>
  <c r="AD78" i="17"/>
  <c r="AC78" i="17"/>
  <c r="AB78" i="17"/>
  <c r="AA78" i="17"/>
  <c r="AA77" i="17"/>
  <c r="Y78" i="17"/>
  <c r="X78" i="17"/>
  <c r="W78" i="17"/>
  <c r="V78" i="17"/>
  <c r="U78" i="17"/>
  <c r="U77" i="17"/>
  <c r="S78" i="17"/>
  <c r="R78" i="17"/>
  <c r="Q78" i="17"/>
  <c r="P78" i="17"/>
  <c r="O78" i="17"/>
  <c r="O77" i="17"/>
  <c r="M78" i="17"/>
  <c r="L78" i="17"/>
  <c r="K78" i="17"/>
  <c r="J78" i="17"/>
  <c r="I78" i="17"/>
  <c r="I77" i="17"/>
  <c r="G78" i="17"/>
  <c r="F78" i="17"/>
  <c r="E78" i="17"/>
  <c r="D78" i="17"/>
  <c r="C78" i="17"/>
  <c r="C77" i="17"/>
  <c r="AQ73" i="17"/>
  <c r="AK73" i="17"/>
  <c r="AE73" i="17"/>
  <c r="Y73" i="17"/>
  <c r="S73" i="17"/>
  <c r="M73" i="17"/>
  <c r="G73" i="17"/>
  <c r="AQ71" i="17"/>
  <c r="AK71" i="17"/>
  <c r="AE71" i="17"/>
  <c r="Y71" i="17"/>
  <c r="S71" i="17"/>
  <c r="M71" i="17"/>
  <c r="G70" i="17"/>
  <c r="G69" i="17"/>
  <c r="AW62" i="17"/>
  <c r="BC62" i="17" s="1"/>
  <c r="BI62" i="17" s="1"/>
  <c r="BO62" i="17" s="1"/>
  <c r="BU62" i="17" s="1"/>
  <c r="CA62" i="17" s="1"/>
  <c r="CG62" i="17" s="1"/>
  <c r="CM62" i="17" s="1"/>
  <c r="CS62" i="17" s="1"/>
  <c r="AQ67" i="17"/>
  <c r="AK67" i="17"/>
  <c r="AE67" i="17"/>
  <c r="Y67" i="17"/>
  <c r="S67" i="17"/>
  <c r="M67" i="17"/>
  <c r="G65" i="17"/>
  <c r="M61" i="17" s="1"/>
  <c r="BC57" i="17"/>
  <c r="BC43" i="48" s="1"/>
  <c r="AW57" i="17"/>
  <c r="AW43" i="48" s="1"/>
  <c r="AQ57" i="17"/>
  <c r="AQ78" i="17" s="1"/>
  <c r="AQ41" i="19" s="1"/>
  <c r="G48" i="17"/>
  <c r="BU45" i="17"/>
  <c r="BO45" i="17"/>
  <c r="BF45" i="17"/>
  <c r="AZ45" i="17"/>
  <c r="AT45" i="17"/>
  <c r="AN45" i="17"/>
  <c r="AO45" i="17" s="1"/>
  <c r="AH45" i="17"/>
  <c r="AB45" i="17"/>
  <c r="V45" i="17"/>
  <c r="P45" i="17"/>
  <c r="Q45" i="17" s="1"/>
  <c r="J45" i="17"/>
  <c r="K45" i="17" s="1"/>
  <c r="D45" i="17"/>
  <c r="E45" i="17" s="1"/>
  <c r="AG43" i="17"/>
  <c r="U43" i="17"/>
  <c r="O43" i="17"/>
  <c r="I43" i="17"/>
  <c r="BR41" i="17"/>
  <c r="BL77" i="17"/>
  <c r="BF41" i="17"/>
  <c r="BF38" i="17"/>
  <c r="BF37" i="17"/>
  <c r="BU40" i="17"/>
  <c r="BO40" i="17"/>
  <c r="BF40" i="17"/>
  <c r="C40" i="17"/>
  <c r="AH41" i="17"/>
  <c r="AI41" i="17" s="1"/>
  <c r="AJ41" i="17" s="1"/>
  <c r="AJ77" i="17" s="1"/>
  <c r="AH40" i="17"/>
  <c r="AH39" i="17"/>
  <c r="AI39" i="17" s="1"/>
  <c r="AS38" i="17"/>
  <c r="AS37" i="17"/>
  <c r="AT37" i="17" s="1"/>
  <c r="AM38" i="17"/>
  <c r="AN38" i="17" s="1"/>
  <c r="AO38" i="17" s="1"/>
  <c r="AA38" i="17"/>
  <c r="C38" i="17"/>
  <c r="BT39" i="17"/>
  <c r="BS39" i="17"/>
  <c r="BR39" i="17"/>
  <c r="BQ39" i="17"/>
  <c r="AZ41" i="17"/>
  <c r="AZ40" i="17"/>
  <c r="AZ39" i="17"/>
  <c r="AZ38" i="17"/>
  <c r="AY37" i="17"/>
  <c r="AZ37" i="17" s="1"/>
  <c r="AT41" i="17"/>
  <c r="AT77" i="17" s="1"/>
  <c r="AT40" i="17"/>
  <c r="AU40" i="17" s="1"/>
  <c r="AT39" i="17"/>
  <c r="AU39" i="17" s="1"/>
  <c r="AN41" i="17"/>
  <c r="AN77" i="17" s="1"/>
  <c r="AN40" i="17"/>
  <c r="AO40" i="17" s="1"/>
  <c r="AN39" i="17"/>
  <c r="AN37" i="17"/>
  <c r="AJ38" i="17"/>
  <c r="AK38" i="17" s="1"/>
  <c r="AH37" i="17"/>
  <c r="AB41" i="17"/>
  <c r="AB77" i="17" s="1"/>
  <c r="AB40" i="17"/>
  <c r="AC40" i="17" s="1"/>
  <c r="AB39" i="17"/>
  <c r="AC39" i="17" s="1"/>
  <c r="AB37" i="17"/>
  <c r="AC37" i="17" s="1"/>
  <c r="V41" i="17"/>
  <c r="V77" i="17" s="1"/>
  <c r="V40" i="17"/>
  <c r="W40" i="17" s="1"/>
  <c r="V39" i="17"/>
  <c r="V38" i="17"/>
  <c r="W38" i="17" s="1"/>
  <c r="V37" i="17"/>
  <c r="P41" i="17"/>
  <c r="P77" i="17" s="1"/>
  <c r="P40" i="17"/>
  <c r="Q40" i="17" s="1"/>
  <c r="P39" i="17"/>
  <c r="Q39" i="17" s="1"/>
  <c r="P38" i="17"/>
  <c r="Q38" i="17" s="1"/>
  <c r="P37" i="17"/>
  <c r="J41" i="17"/>
  <c r="J40" i="17"/>
  <c r="K40" i="17" s="1"/>
  <c r="J39" i="17"/>
  <c r="K39" i="17" s="1"/>
  <c r="L39" i="17" s="1"/>
  <c r="J38" i="17"/>
  <c r="K38" i="17" s="1"/>
  <c r="J37" i="17"/>
  <c r="D41" i="17"/>
  <c r="D39" i="17"/>
  <c r="E39" i="17" s="1"/>
  <c r="D37" i="17"/>
  <c r="U34" i="17"/>
  <c r="O34" i="17"/>
  <c r="I34" i="17"/>
  <c r="C34" i="17"/>
  <c r="BU33" i="17"/>
  <c r="BO33" i="17"/>
  <c r="BF33" i="17"/>
  <c r="BF32" i="17"/>
  <c r="BF30" i="17"/>
  <c r="BF29" i="17"/>
  <c r="BF94" i="16" s="1"/>
  <c r="AS33" i="17"/>
  <c r="AM33" i="17"/>
  <c r="AA33" i="17"/>
  <c r="BE31" i="17"/>
  <c r="AY31" i="17"/>
  <c r="AY34" i="17" s="1"/>
  <c r="AS31" i="17"/>
  <c r="AT31" i="17" s="1"/>
  <c r="AU31" i="17" s="1"/>
  <c r="AM31" i="17"/>
  <c r="AN31" i="17" s="1"/>
  <c r="AG31" i="17"/>
  <c r="AG34" i="17" s="1"/>
  <c r="BU30" i="17"/>
  <c r="BO30" i="17"/>
  <c r="AZ33" i="17"/>
  <c r="BA33" i="17" s="1"/>
  <c r="AZ32" i="17"/>
  <c r="BA32" i="17" s="1"/>
  <c r="AZ30" i="17"/>
  <c r="BA30" i="17" s="1"/>
  <c r="BB30" i="17" s="1"/>
  <c r="AZ29" i="17"/>
  <c r="AT32" i="17"/>
  <c r="AU32" i="17" s="1"/>
  <c r="AT30" i="17"/>
  <c r="AT29" i="17"/>
  <c r="AT94" i="16" s="1"/>
  <c r="AN32" i="17"/>
  <c r="AO32" i="17" s="1"/>
  <c r="AN30" i="17"/>
  <c r="AO30" i="17" s="1"/>
  <c r="AP30" i="17" s="1"/>
  <c r="AQ30" i="17" s="1"/>
  <c r="AN29" i="17"/>
  <c r="AJ33" i="17"/>
  <c r="AK33" i="17" s="1"/>
  <c r="AH32" i="17"/>
  <c r="AI32" i="17" s="1"/>
  <c r="AH30" i="17"/>
  <c r="AH29" i="17"/>
  <c r="AB32" i="17"/>
  <c r="AC32" i="17" s="1"/>
  <c r="AB31" i="17"/>
  <c r="AC31" i="17" s="1"/>
  <c r="AB30" i="17"/>
  <c r="AC30" i="17" s="1"/>
  <c r="AB29" i="17"/>
  <c r="AB94" i="16" s="1"/>
  <c r="V33" i="17"/>
  <c r="W33" i="17" s="1"/>
  <c r="V32" i="17"/>
  <c r="W32" i="17" s="1"/>
  <c r="V31" i="17"/>
  <c r="W31" i="17" s="1"/>
  <c r="V30" i="17"/>
  <c r="V29" i="17"/>
  <c r="P33" i="17"/>
  <c r="Q33" i="17" s="1"/>
  <c r="P32" i="17"/>
  <c r="Q32" i="17" s="1"/>
  <c r="P31" i="17"/>
  <c r="P30" i="17"/>
  <c r="Q30" i="17" s="1"/>
  <c r="P29" i="17"/>
  <c r="J33" i="17"/>
  <c r="K33" i="17" s="1"/>
  <c r="J32" i="17"/>
  <c r="J31" i="17"/>
  <c r="K31" i="17" s="1"/>
  <c r="L31" i="17" s="1"/>
  <c r="J30" i="17"/>
  <c r="J29" i="17"/>
  <c r="D33" i="17"/>
  <c r="D32" i="17"/>
  <c r="E32" i="17" s="1"/>
  <c r="D31" i="17"/>
  <c r="D30" i="17"/>
  <c r="E30" i="17" s="1"/>
  <c r="D29" i="17"/>
  <c r="D94" i="16" s="1"/>
  <c r="D98" i="16" s="1"/>
  <c r="AY25" i="17"/>
  <c r="AY17" i="17" s="1"/>
  <c r="AS25" i="17"/>
  <c r="AS17" i="17" s="1"/>
  <c r="AM25" i="17"/>
  <c r="AN25" i="17" s="1"/>
  <c r="AG25" i="17"/>
  <c r="AH25" i="17" s="1"/>
  <c r="AI25" i="17" s="1"/>
  <c r="AA25" i="17"/>
  <c r="AB25" i="17" s="1"/>
  <c r="U25" i="17"/>
  <c r="V25" i="17" s="1"/>
  <c r="W25" i="17" s="1"/>
  <c r="I25" i="17"/>
  <c r="AN24" i="17"/>
  <c r="AO24" i="17" s="1"/>
  <c r="AN23" i="17"/>
  <c r="O23" i="17"/>
  <c r="O17" i="17" s="1"/>
  <c r="I23" i="17"/>
  <c r="J23" i="17" s="1"/>
  <c r="AN22" i="17"/>
  <c r="AP22" i="17" s="1"/>
  <c r="AN21" i="17"/>
  <c r="AO21" i="17" s="1"/>
  <c r="AN20" i="17"/>
  <c r="AO20" i="17" s="1"/>
  <c r="AN19" i="17"/>
  <c r="AN18" i="17"/>
  <c r="AO18" i="17" s="1"/>
  <c r="AN15" i="17"/>
  <c r="AO15" i="17" s="1"/>
  <c r="AP15" i="17" s="1"/>
  <c r="AN14" i="17"/>
  <c r="AO14" i="17" s="1"/>
  <c r="AN13" i="17"/>
  <c r="AP13" i="17" s="1"/>
  <c r="AQ13" i="17" s="1"/>
  <c r="AN12" i="17"/>
  <c r="AN11" i="17"/>
  <c r="AG18" i="17"/>
  <c r="AG16" i="17"/>
  <c r="AH16" i="17" s="1"/>
  <c r="BF25" i="17"/>
  <c r="BF24" i="17"/>
  <c r="BF23" i="17"/>
  <c r="BF22" i="17"/>
  <c r="BF21" i="17"/>
  <c r="BF20" i="17"/>
  <c r="BF19" i="17"/>
  <c r="BF18" i="17"/>
  <c r="BE17" i="17"/>
  <c r="AY16" i="17"/>
  <c r="AS16" i="17"/>
  <c r="AT16" i="17" s="1"/>
  <c r="AU16" i="17" s="1"/>
  <c r="AM16" i="17"/>
  <c r="AN16" i="17" s="1"/>
  <c r="AO16" i="17" s="1"/>
  <c r="AA16" i="17"/>
  <c r="AB16" i="17" s="1"/>
  <c r="U16" i="17"/>
  <c r="V16" i="17" s="1"/>
  <c r="O16" i="17"/>
  <c r="P16" i="17" s="1"/>
  <c r="I16" i="17"/>
  <c r="J16" i="17" s="1"/>
  <c r="C17" i="17"/>
  <c r="C16" i="17"/>
  <c r="D16" i="17" s="1"/>
  <c r="BU16" i="17"/>
  <c r="BU13" i="17"/>
  <c r="BO16" i="17"/>
  <c r="BO13" i="17"/>
  <c r="BF14" i="17"/>
  <c r="BF13" i="17"/>
  <c r="BF12" i="17"/>
  <c r="BF114" i="16" s="1"/>
  <c r="BF11" i="17"/>
  <c r="AB24" i="17"/>
  <c r="AB23" i="17"/>
  <c r="AB22" i="17"/>
  <c r="AB21" i="17"/>
  <c r="AB20" i="17"/>
  <c r="AC20" i="17" s="1"/>
  <c r="AB19" i="17"/>
  <c r="AB18" i="17"/>
  <c r="AB15" i="17"/>
  <c r="AC15" i="17" s="1"/>
  <c r="AD15" i="17" s="1"/>
  <c r="AB14" i="17"/>
  <c r="AB13" i="17"/>
  <c r="AC13" i="17" s="1"/>
  <c r="AZ24" i="17"/>
  <c r="AZ23" i="17"/>
  <c r="AZ22" i="17"/>
  <c r="AZ21" i="17"/>
  <c r="AZ20" i="17"/>
  <c r="BA20" i="17" s="1"/>
  <c r="BB20" i="17" s="1"/>
  <c r="BC20" i="17" s="1"/>
  <c r="AZ19" i="17"/>
  <c r="BA19" i="17" s="1"/>
  <c r="AZ18" i="17"/>
  <c r="BA18" i="17" s="1"/>
  <c r="BB18" i="17" s="1"/>
  <c r="AZ15" i="17"/>
  <c r="AZ14" i="17"/>
  <c r="BA14" i="17" s="1"/>
  <c r="AZ13" i="17"/>
  <c r="BA13" i="17" s="1"/>
  <c r="AZ12" i="17"/>
  <c r="AZ11" i="17"/>
  <c r="AT24" i="17"/>
  <c r="AT23" i="17"/>
  <c r="AT22" i="17"/>
  <c r="AT21" i="17"/>
  <c r="AT20" i="17"/>
  <c r="AU20" i="17" s="1"/>
  <c r="AV20" i="17" s="1"/>
  <c r="AT19" i="17"/>
  <c r="AU19" i="17" s="1"/>
  <c r="AT18" i="17"/>
  <c r="AT15" i="17"/>
  <c r="AU15" i="17" s="1"/>
  <c r="AT14" i="17"/>
  <c r="AT13" i="17"/>
  <c r="AT12" i="17"/>
  <c r="AT114" i="16" s="1"/>
  <c r="AT11" i="17"/>
  <c r="AT101" i="16" s="1"/>
  <c r="AH24" i="17"/>
  <c r="AI24" i="17" s="1"/>
  <c r="AH23" i="17"/>
  <c r="AI23" i="17" s="1"/>
  <c r="AJ23" i="17" s="1"/>
  <c r="AK23" i="17" s="1"/>
  <c r="AH22" i="17"/>
  <c r="AH21" i="17"/>
  <c r="AH20" i="17"/>
  <c r="AH19" i="17"/>
  <c r="AI19" i="17" s="1"/>
  <c r="AJ19" i="17" s="1"/>
  <c r="AK19" i="17" s="1"/>
  <c r="AH15" i="17"/>
  <c r="AH14" i="17"/>
  <c r="AH13" i="17"/>
  <c r="AI13" i="17" s="1"/>
  <c r="AJ13" i="17" s="1"/>
  <c r="AK13" i="17" s="1"/>
  <c r="AH12" i="17"/>
  <c r="AH11" i="17"/>
  <c r="AB12" i="17"/>
  <c r="AB11" i="17"/>
  <c r="V24" i="17"/>
  <c r="V23" i="17"/>
  <c r="W23" i="17" s="1"/>
  <c r="V22" i="17"/>
  <c r="V21" i="17"/>
  <c r="W21" i="17" s="1"/>
  <c r="X21" i="17" s="1"/>
  <c r="V20" i="17"/>
  <c r="V19" i="17"/>
  <c r="W19" i="17" s="1"/>
  <c r="X19" i="17" s="1"/>
  <c r="V18" i="17"/>
  <c r="V15" i="17"/>
  <c r="W15" i="17" s="1"/>
  <c r="V14" i="17"/>
  <c r="V13" i="17"/>
  <c r="W13" i="17" s="1"/>
  <c r="V12" i="17"/>
  <c r="V11" i="17"/>
  <c r="V21" i="19" s="1"/>
  <c r="P25" i="17"/>
  <c r="Q25" i="17" s="1"/>
  <c r="R25" i="17" s="1"/>
  <c r="S25" i="17" s="1"/>
  <c r="P24" i="17"/>
  <c r="P22" i="17"/>
  <c r="P21" i="17"/>
  <c r="Q21" i="17" s="1"/>
  <c r="R21" i="17" s="1"/>
  <c r="S21" i="17" s="1"/>
  <c r="P20" i="17"/>
  <c r="P19" i="17"/>
  <c r="Q19" i="17" s="1"/>
  <c r="R19" i="17" s="1"/>
  <c r="S19" i="17" s="1"/>
  <c r="P18" i="17"/>
  <c r="Q18" i="17" s="1"/>
  <c r="P15" i="17"/>
  <c r="Q15" i="17" s="1"/>
  <c r="R15" i="17" s="1"/>
  <c r="S15" i="17" s="1"/>
  <c r="P14" i="17"/>
  <c r="P13" i="17"/>
  <c r="Q13" i="17" s="1"/>
  <c r="R13" i="17" s="1"/>
  <c r="S13" i="17" s="1"/>
  <c r="P12" i="17"/>
  <c r="P11" i="17"/>
  <c r="J24" i="17"/>
  <c r="J22" i="17"/>
  <c r="J21" i="17"/>
  <c r="J20" i="17"/>
  <c r="J19" i="17"/>
  <c r="J18" i="17"/>
  <c r="J15" i="17"/>
  <c r="J14" i="17"/>
  <c r="J13" i="17"/>
  <c r="J12" i="17"/>
  <c r="J114" i="16" s="1"/>
  <c r="J11" i="17"/>
  <c r="J10" i="17"/>
  <c r="D25" i="17"/>
  <c r="E25" i="17" s="1"/>
  <c r="F25" i="17" s="1"/>
  <c r="D24" i="17"/>
  <c r="D23" i="17"/>
  <c r="D22" i="17"/>
  <c r="D21" i="17"/>
  <c r="E21" i="17" s="1"/>
  <c r="D20" i="17"/>
  <c r="D19" i="17"/>
  <c r="D18" i="17"/>
  <c r="D15" i="17"/>
  <c r="D14" i="17"/>
  <c r="D13" i="17"/>
  <c r="D12" i="17"/>
  <c r="D22" i="19" s="1"/>
  <c r="D11" i="17"/>
  <c r="D10" i="17"/>
  <c r="I8" i="17"/>
  <c r="D8" i="17"/>
  <c r="E8" i="17" s="1"/>
  <c r="F8" i="17" s="1"/>
  <c r="M7" i="17"/>
  <c r="S7" i="17" s="1"/>
  <c r="Y7" i="17" s="1"/>
  <c r="AE7" i="17" s="1"/>
  <c r="AK7" i="17" s="1"/>
  <c r="AQ7" i="17" s="1"/>
  <c r="AW7" i="17" s="1"/>
  <c r="BC7" i="17" s="1"/>
  <c r="BI7" i="17" s="1"/>
  <c r="I7" i="17"/>
  <c r="O7" i="17" s="1"/>
  <c r="U7" i="17" s="1"/>
  <c r="AA7" i="17" s="1"/>
  <c r="AG7" i="17" s="1"/>
  <c r="AM7" i="17" s="1"/>
  <c r="AS7" i="17" s="1"/>
  <c r="AY7" i="17" s="1"/>
  <c r="BE7" i="17" s="1"/>
  <c r="A2" i="17"/>
  <c r="BG60" i="48"/>
  <c r="BG62" i="48" s="1"/>
  <c r="AO60" i="48"/>
  <c r="AO62" i="48" s="1"/>
  <c r="AI60" i="48"/>
  <c r="AI61" i="48" s="1"/>
  <c r="AC60" i="48"/>
  <c r="AC61" i="48" s="1"/>
  <c r="BC537" i="18"/>
  <c r="BC540" i="18" s="1"/>
  <c r="BC535" i="18"/>
  <c r="BC539" i="18" s="1"/>
  <c r="BC526" i="18"/>
  <c r="BC527" i="18" s="1"/>
  <c r="BC524" i="18"/>
  <c r="BC515" i="18"/>
  <c r="BC513" i="18"/>
  <c r="BC514" i="18" s="1"/>
  <c r="BC504" i="18"/>
  <c r="BC505" i="18" s="1"/>
  <c r="BC502" i="18"/>
  <c r="BC493" i="18"/>
  <c r="BC496" i="18" s="1"/>
  <c r="BC491" i="18"/>
  <c r="BC495" i="18" s="1"/>
  <c r="BC482" i="18"/>
  <c r="BC483" i="18" s="1"/>
  <c r="BC480" i="18"/>
  <c r="AV467" i="18"/>
  <c r="AU467" i="18"/>
  <c r="AT467" i="18"/>
  <c r="AS467" i="18"/>
  <c r="AP467" i="18"/>
  <c r="AO467" i="18"/>
  <c r="AN467" i="18"/>
  <c r="AM467" i="18"/>
  <c r="A453" i="18"/>
  <c r="A452" i="18"/>
  <c r="A451" i="18"/>
  <c r="A450" i="18"/>
  <c r="A449" i="18"/>
  <c r="A448" i="18"/>
  <c r="A447" i="18"/>
  <c r="AW451" i="18"/>
  <c r="AW450" i="18"/>
  <c r="AQ451" i="18"/>
  <c r="AQ450" i="18"/>
  <c r="AK451" i="18"/>
  <c r="AK450" i="18"/>
  <c r="BT436" i="18"/>
  <c r="BS436" i="18"/>
  <c r="BR436" i="18"/>
  <c r="BQ436" i="18"/>
  <c r="BN436" i="18"/>
  <c r="BM436" i="18"/>
  <c r="BL436" i="18"/>
  <c r="BK436" i="18"/>
  <c r="BH436" i="18"/>
  <c r="BG436" i="18"/>
  <c r="BF436" i="18"/>
  <c r="BE436" i="18"/>
  <c r="BU435" i="18"/>
  <c r="BU425" i="18"/>
  <c r="BO435" i="18"/>
  <c r="BO425" i="18"/>
  <c r="BE427" i="18"/>
  <c r="BB436" i="18"/>
  <c r="BA436" i="18"/>
  <c r="AZ436" i="18"/>
  <c r="AY436" i="18"/>
  <c r="AY427" i="18"/>
  <c r="AV432" i="18"/>
  <c r="AU432" i="18"/>
  <c r="AT432" i="18"/>
  <c r="AS432" i="18"/>
  <c r="AQ432" i="18"/>
  <c r="AP432" i="18"/>
  <c r="AO432" i="18"/>
  <c r="AN432" i="18"/>
  <c r="AM432" i="18"/>
  <c r="AK432" i="18"/>
  <c r="AJ432" i="18"/>
  <c r="AI432" i="18"/>
  <c r="AH432" i="18"/>
  <c r="AG432" i="18"/>
  <c r="BT427" i="18"/>
  <c r="BS427" i="18"/>
  <c r="BR427" i="18"/>
  <c r="BQ427" i="18"/>
  <c r="BN427" i="18"/>
  <c r="BM427" i="18"/>
  <c r="BL427" i="18"/>
  <c r="BK427" i="18"/>
  <c r="BH427" i="18"/>
  <c r="BG427" i="18"/>
  <c r="BF427" i="18"/>
  <c r="BB427" i="18"/>
  <c r="BA427" i="18"/>
  <c r="AZ427" i="18"/>
  <c r="AV422" i="18"/>
  <c r="AU422" i="18"/>
  <c r="AT422" i="18"/>
  <c r="AS422" i="18"/>
  <c r="AQ422" i="18"/>
  <c r="AP422" i="18"/>
  <c r="AO422" i="18"/>
  <c r="AN422" i="18"/>
  <c r="AM422" i="18"/>
  <c r="AK422" i="18"/>
  <c r="AJ422" i="18"/>
  <c r="AI422" i="18"/>
  <c r="AH422" i="18"/>
  <c r="AG422" i="18"/>
  <c r="AG426" i="18" s="1"/>
  <c r="AJ418" i="18"/>
  <c r="AI418" i="18"/>
  <c r="AH418" i="18"/>
  <c r="AG418" i="18"/>
  <c r="BA415" i="18"/>
  <c r="AV418" i="18"/>
  <c r="AU418" i="18"/>
  <c r="AT418" i="18"/>
  <c r="AS418" i="18"/>
  <c r="AP418" i="18"/>
  <c r="AO418" i="18"/>
  <c r="AN418" i="18"/>
  <c r="AM418" i="18"/>
  <c r="AI415" i="18"/>
  <c r="AH415" i="18"/>
  <c r="AG415" i="18"/>
  <c r="AV403" i="18"/>
  <c r="AU403" i="18"/>
  <c r="AT403" i="18"/>
  <c r="AS403" i="18"/>
  <c r="AP403" i="18"/>
  <c r="AO403" i="18"/>
  <c r="AN403" i="18"/>
  <c r="AM403" i="18"/>
  <c r="A389" i="18"/>
  <c r="A446" i="18" s="1"/>
  <c r="A388" i="18"/>
  <c r="A445" i="18" s="1"/>
  <c r="A387" i="18"/>
  <c r="A444" i="18" s="1"/>
  <c r="A386" i="18"/>
  <c r="A385" i="18"/>
  <c r="A384" i="18"/>
  <c r="A383" i="18"/>
  <c r="A382" i="18"/>
  <c r="A381" i="18"/>
  <c r="A380" i="18"/>
  <c r="AW387" i="18"/>
  <c r="AW386" i="18"/>
  <c r="AQ387" i="18"/>
  <c r="AQ386" i="18"/>
  <c r="AK387" i="18"/>
  <c r="AK386" i="18"/>
  <c r="BB372" i="18"/>
  <c r="BA372" i="18"/>
  <c r="AZ372" i="18"/>
  <c r="AY372" i="18"/>
  <c r="BT372" i="18"/>
  <c r="BS372" i="18"/>
  <c r="BR372" i="18"/>
  <c r="BQ372" i="18"/>
  <c r="BN372" i="18"/>
  <c r="BM372" i="18"/>
  <c r="BL372" i="18"/>
  <c r="BK372" i="18"/>
  <c r="BH372" i="18"/>
  <c r="BG372" i="18"/>
  <c r="BF372" i="18"/>
  <c r="BE372" i="18"/>
  <c r="BU369" i="18"/>
  <c r="BU359" i="18"/>
  <c r="BO369" i="18"/>
  <c r="BO359" i="18"/>
  <c r="BE363" i="18"/>
  <c r="AY363" i="18"/>
  <c r="AV368" i="18"/>
  <c r="AU368" i="18"/>
  <c r="AT368" i="18"/>
  <c r="AS368" i="18"/>
  <c r="AQ368" i="18"/>
  <c r="AP368" i="18"/>
  <c r="AO368" i="18"/>
  <c r="AN368" i="18"/>
  <c r="AM368" i="18"/>
  <c r="AK368" i="18"/>
  <c r="AJ368" i="18"/>
  <c r="AI368" i="18"/>
  <c r="AH368" i="18"/>
  <c r="AG368" i="18"/>
  <c r="BT363" i="18"/>
  <c r="BS363" i="18"/>
  <c r="BR363" i="18"/>
  <c r="BQ363" i="18"/>
  <c r="BN363" i="18"/>
  <c r="BM363" i="18"/>
  <c r="BL363" i="18"/>
  <c r="BK363" i="18"/>
  <c r="BH363" i="18"/>
  <c r="BG363" i="18"/>
  <c r="BF363" i="18"/>
  <c r="BB363" i="18"/>
  <c r="BA363" i="18"/>
  <c r="AZ363" i="18"/>
  <c r="AV358" i="18"/>
  <c r="AU358" i="18"/>
  <c r="AT358" i="18"/>
  <c r="AS358" i="18"/>
  <c r="AQ358" i="18"/>
  <c r="AP358" i="18"/>
  <c r="AO358" i="18"/>
  <c r="AN358" i="18"/>
  <c r="AM358" i="18"/>
  <c r="AK358" i="18"/>
  <c r="AJ358" i="18"/>
  <c r="AI358" i="18"/>
  <c r="AH358" i="18"/>
  <c r="AG358" i="18"/>
  <c r="AG362" i="18" s="1"/>
  <c r="AU353" i="18"/>
  <c r="G351" i="18"/>
  <c r="F351" i="18"/>
  <c r="E351" i="18"/>
  <c r="D351" i="18"/>
  <c r="C351" i="18"/>
  <c r="G342" i="18"/>
  <c r="F342" i="18"/>
  <c r="E342" i="18"/>
  <c r="D342" i="18"/>
  <c r="C342" i="18"/>
  <c r="G341" i="18"/>
  <c r="F341" i="18"/>
  <c r="E341" i="18"/>
  <c r="D341" i="18"/>
  <c r="C341" i="18"/>
  <c r="G340" i="18"/>
  <c r="F340" i="18"/>
  <c r="E340" i="18"/>
  <c r="D340" i="18"/>
  <c r="C340" i="18"/>
  <c r="G339" i="18"/>
  <c r="F339" i="18"/>
  <c r="E339" i="18"/>
  <c r="D339" i="18"/>
  <c r="C339" i="18"/>
  <c r="G338" i="18"/>
  <c r="F338" i="18"/>
  <c r="E338" i="18"/>
  <c r="D338" i="18"/>
  <c r="C338" i="18"/>
  <c r="G337" i="18"/>
  <c r="F337" i="18"/>
  <c r="E337" i="18"/>
  <c r="D337" i="18"/>
  <c r="C337" i="18"/>
  <c r="G336" i="18"/>
  <c r="F336" i="18"/>
  <c r="E336" i="18"/>
  <c r="D336" i="18"/>
  <c r="C336" i="18"/>
  <c r="G335" i="18"/>
  <c r="F335" i="18"/>
  <c r="E335" i="18"/>
  <c r="D335" i="18"/>
  <c r="C335" i="18"/>
  <c r="G334" i="18"/>
  <c r="F334" i="18"/>
  <c r="E334" i="18"/>
  <c r="D334" i="18"/>
  <c r="C334" i="18"/>
  <c r="AY329" i="18"/>
  <c r="AY328" i="18"/>
  <c r="AY327" i="18"/>
  <c r="AZ327" i="18" s="1"/>
  <c r="AY326" i="18"/>
  <c r="AZ326" i="18" s="1"/>
  <c r="AY325" i="18"/>
  <c r="AZ325" i="18" s="1"/>
  <c r="BA325" i="18" s="1"/>
  <c r="AY324" i="18"/>
  <c r="AZ324" i="18" s="1"/>
  <c r="AY323" i="18"/>
  <c r="AY322" i="18"/>
  <c r="AY321" i="18"/>
  <c r="AY320" i="18"/>
  <c r="AV329" i="18"/>
  <c r="AU329" i="18" s="1"/>
  <c r="AT329" i="18" s="1"/>
  <c r="AV328" i="18"/>
  <c r="AV327" i="18"/>
  <c r="AV326" i="18"/>
  <c r="AV325" i="18"/>
  <c r="AU325" i="18" s="1"/>
  <c r="AV324" i="18"/>
  <c r="AU324" i="18" s="1"/>
  <c r="AV323" i="18"/>
  <c r="AU323" i="18" s="1"/>
  <c r="AT323" i="18" s="1"/>
  <c r="AV322" i="18"/>
  <c r="AU322" i="18" s="1"/>
  <c r="AV321" i="18"/>
  <c r="AV320" i="18"/>
  <c r="AU320" i="18" s="1"/>
  <c r="AQ329" i="18"/>
  <c r="AQ328" i="18"/>
  <c r="AQ327" i="18"/>
  <c r="AP327" i="18" s="1"/>
  <c r="AP340" i="18" s="1"/>
  <c r="AP451" i="18" s="1"/>
  <c r="AQ326" i="18"/>
  <c r="AP326" i="18" s="1"/>
  <c r="AQ325" i="18"/>
  <c r="AQ324" i="18"/>
  <c r="AQ323" i="18"/>
  <c r="AP323" i="18" s="1"/>
  <c r="AQ322" i="18"/>
  <c r="AP322" i="18" s="1"/>
  <c r="AO322" i="18" s="1"/>
  <c r="AQ321" i="18"/>
  <c r="AK321" i="18" s="1"/>
  <c r="AQ320" i="18"/>
  <c r="AP320" i="18" s="1"/>
  <c r="AO320" i="18" s="1"/>
  <c r="BC314" i="18"/>
  <c r="AW314" i="18"/>
  <c r="AQ314" i="18"/>
  <c r="AK314" i="18"/>
  <c r="DK307" i="18" s="1"/>
  <c r="AE314" i="18"/>
  <c r="Y314" i="18"/>
  <c r="S314" i="18"/>
  <c r="M314" i="18"/>
  <c r="DM311" i="18"/>
  <c r="DL311" i="18"/>
  <c r="DK311" i="18"/>
  <c r="DJ311" i="18"/>
  <c r="DI311" i="18"/>
  <c r="DH311" i="18"/>
  <c r="DG311" i="18"/>
  <c r="BH304" i="18"/>
  <c r="BG304" i="18"/>
  <c r="BF304" i="18"/>
  <c r="BH303" i="18"/>
  <c r="BG303" i="18"/>
  <c r="BF303" i="18"/>
  <c r="BH302" i="18"/>
  <c r="BG302" i="18"/>
  <c r="BF302" i="18"/>
  <c r="BB304" i="18"/>
  <c r="BA304" i="18"/>
  <c r="AZ304" i="18"/>
  <c r="AY304" i="18"/>
  <c r="BB303" i="18"/>
  <c r="BA303" i="18"/>
  <c r="AZ303" i="18"/>
  <c r="AY303" i="18"/>
  <c r="BB302" i="18"/>
  <c r="BA302" i="18"/>
  <c r="AZ302" i="18"/>
  <c r="AY302" i="18"/>
  <c r="AV304" i="18"/>
  <c r="AU304" i="18"/>
  <c r="AT304" i="18"/>
  <c r="AS304" i="18"/>
  <c r="AV303" i="18"/>
  <c r="AU303" i="18"/>
  <c r="AT303" i="18"/>
  <c r="AS303" i="18"/>
  <c r="AV302" i="18"/>
  <c r="AU302" i="18"/>
  <c r="AT302" i="18"/>
  <c r="AS302" i="18"/>
  <c r="AP304" i="18"/>
  <c r="AO304" i="18"/>
  <c r="AN304" i="18"/>
  <c r="AM304" i="18"/>
  <c r="AP303" i="18"/>
  <c r="AO303" i="18"/>
  <c r="AN303" i="18"/>
  <c r="AM303" i="18"/>
  <c r="AP302" i="18"/>
  <c r="AO302" i="18"/>
  <c r="AN302" i="18"/>
  <c r="AM302" i="18"/>
  <c r="BE268" i="18"/>
  <c r="BG267" i="18"/>
  <c r="BF267" i="18"/>
  <c r="BE267" i="18"/>
  <c r="BB268" i="18"/>
  <c r="BA268" i="18"/>
  <c r="AZ268" i="18"/>
  <c r="AY268" i="18"/>
  <c r="BB267" i="18"/>
  <c r="BA267" i="18"/>
  <c r="AZ267" i="18"/>
  <c r="AY267" i="18"/>
  <c r="AV268" i="18"/>
  <c r="AU268" i="18"/>
  <c r="AT268" i="18"/>
  <c r="AS268" i="18"/>
  <c r="AV267" i="18"/>
  <c r="AU267" i="18"/>
  <c r="AT267" i="18"/>
  <c r="AS267" i="18"/>
  <c r="AN268" i="18"/>
  <c r="AM268" i="18"/>
  <c r="AN267" i="18"/>
  <c r="AM267" i="18"/>
  <c r="AJ268" i="18"/>
  <c r="AI268" i="18"/>
  <c r="AH268" i="18"/>
  <c r="AJ267" i="18"/>
  <c r="AI267" i="18"/>
  <c r="AH267" i="18"/>
  <c r="AC268" i="18"/>
  <c r="AB268" i="18"/>
  <c r="AC267" i="18"/>
  <c r="AB267" i="18"/>
  <c r="W268" i="18"/>
  <c r="V268" i="18"/>
  <c r="W267" i="18"/>
  <c r="V267" i="18"/>
  <c r="Q268" i="18"/>
  <c r="P268" i="18"/>
  <c r="Q267" i="18"/>
  <c r="P267" i="18"/>
  <c r="K268" i="18"/>
  <c r="K267" i="18"/>
  <c r="F268" i="18"/>
  <c r="E268" i="18"/>
  <c r="F267" i="18"/>
  <c r="E267" i="18"/>
  <c r="BG238" i="18"/>
  <c r="BE238" i="18"/>
  <c r="BG237" i="18"/>
  <c r="BF237" i="18"/>
  <c r="BE237" i="18"/>
  <c r="BB238" i="18"/>
  <c r="BA238" i="18"/>
  <c r="AZ238" i="18"/>
  <c r="AY238" i="18"/>
  <c r="BB237" i="18"/>
  <c r="BA237" i="18"/>
  <c r="AZ237" i="18"/>
  <c r="AY237" i="18"/>
  <c r="AV238" i="18"/>
  <c r="AT238" i="18"/>
  <c r="AS238" i="18"/>
  <c r="AV237" i="18"/>
  <c r="AT237" i="18"/>
  <c r="AS237" i="18"/>
  <c r="AP238" i="18"/>
  <c r="AN238" i="18"/>
  <c r="AM238" i="18"/>
  <c r="AP237" i="18"/>
  <c r="AN237" i="18"/>
  <c r="AM237" i="18"/>
  <c r="AI238" i="18"/>
  <c r="AH238" i="18"/>
  <c r="AG238" i="18"/>
  <c r="AI237" i="18"/>
  <c r="AH237" i="18"/>
  <c r="AG237" i="18"/>
  <c r="AE238" i="18"/>
  <c r="AC238" i="18"/>
  <c r="AB238" i="18"/>
  <c r="AA238" i="18"/>
  <c r="AE237" i="18"/>
  <c r="AC237" i="18"/>
  <c r="AB237" i="18"/>
  <c r="AA237" i="18"/>
  <c r="Y238" i="18"/>
  <c r="W238" i="18"/>
  <c r="V238" i="18"/>
  <c r="U238" i="18"/>
  <c r="Y237" i="18"/>
  <c r="W237" i="18"/>
  <c r="V237" i="18"/>
  <c r="U237" i="18"/>
  <c r="S238" i="18"/>
  <c r="Q238" i="18"/>
  <c r="P238" i="18"/>
  <c r="S237" i="18"/>
  <c r="Q237" i="18"/>
  <c r="P237" i="18"/>
  <c r="L241" i="18"/>
  <c r="K241" i="18"/>
  <c r="J241" i="18"/>
  <c r="I241" i="18"/>
  <c r="L240" i="18"/>
  <c r="K238" i="18"/>
  <c r="J238" i="18"/>
  <c r="K237" i="18"/>
  <c r="J237" i="18"/>
  <c r="AV230" i="18"/>
  <c r="AV231" i="18" s="1"/>
  <c r="AT223" i="18"/>
  <c r="AT220" i="18" s="1"/>
  <c r="AS223" i="18"/>
  <c r="AS220" i="18" s="1"/>
  <c r="AP223" i="18"/>
  <c r="AO223" i="18"/>
  <c r="AN223" i="18"/>
  <c r="AM223" i="18"/>
  <c r="AQ222" i="18"/>
  <c r="BG223" i="18"/>
  <c r="BM223" i="18" s="1"/>
  <c r="BS223" i="18" s="1"/>
  <c r="BY223" i="18" s="1"/>
  <c r="BF223" i="18"/>
  <c r="BR223" i="18" s="1"/>
  <c r="BX223" i="18" s="1"/>
  <c r="BB223" i="18"/>
  <c r="BA223" i="18"/>
  <c r="AY223" i="18"/>
  <c r="BM217" i="18"/>
  <c r="BL217" i="18"/>
  <c r="BK217" i="18"/>
  <c r="BG217" i="18"/>
  <c r="BE217" i="18"/>
  <c r="BB210" i="18"/>
  <c r="BA210" i="18"/>
  <c r="AZ210" i="18"/>
  <c r="AY210" i="18"/>
  <c r="AV210" i="18"/>
  <c r="AU210" i="18"/>
  <c r="AT210" i="18"/>
  <c r="AS210" i="18"/>
  <c r="AP210" i="18"/>
  <c r="AO210" i="18"/>
  <c r="AN210" i="18"/>
  <c r="AM210" i="18"/>
  <c r="AJ210" i="18"/>
  <c r="AI210" i="18"/>
  <c r="AH210" i="18"/>
  <c r="AG210" i="18"/>
  <c r="AE210" i="18"/>
  <c r="AD210" i="18"/>
  <c r="AC210" i="18"/>
  <c r="AB210" i="18"/>
  <c r="AA210" i="18"/>
  <c r="Y210" i="18"/>
  <c r="X210" i="18"/>
  <c r="W210" i="18"/>
  <c r="V210" i="18"/>
  <c r="U210" i="18"/>
  <c r="S210" i="18"/>
  <c r="R210" i="18"/>
  <c r="Q210" i="18"/>
  <c r="P210" i="18"/>
  <c r="O210" i="18"/>
  <c r="M210" i="18"/>
  <c r="L210" i="18"/>
  <c r="K210" i="18"/>
  <c r="J210" i="18"/>
  <c r="I210" i="18"/>
  <c r="BC209" i="18"/>
  <c r="AW209" i="18"/>
  <c r="AQ209" i="18"/>
  <c r="AK209" i="18"/>
  <c r="AK210" i="18" s="1"/>
  <c r="BH209" i="18"/>
  <c r="BG209" i="18"/>
  <c r="BF209" i="18"/>
  <c r="BL209" i="18" s="1"/>
  <c r="BR209" i="18" s="1"/>
  <c r="BX209" i="18" s="1"/>
  <c r="CD209" i="18" s="1"/>
  <c r="CJ209" i="18" s="1"/>
  <c r="CP209" i="18" s="1"/>
  <c r="BE209" i="18"/>
  <c r="BM203" i="18"/>
  <c r="AF203" i="18"/>
  <c r="Z203" i="18"/>
  <c r="N203" i="18"/>
  <c r="H203" i="18"/>
  <c r="AS198" i="18"/>
  <c r="BF197" i="18"/>
  <c r="BE197" i="18"/>
  <c r="BA197" i="18"/>
  <c r="BG194" i="18"/>
  <c r="AW192" i="18"/>
  <c r="AT194" i="18"/>
  <c r="AT193" i="18"/>
  <c r="AQ194" i="18"/>
  <c r="AQ193" i="18"/>
  <c r="AK194" i="18"/>
  <c r="AK193" i="18"/>
  <c r="AE193" i="18"/>
  <c r="Y193" i="18"/>
  <c r="AQ191" i="18"/>
  <c r="AK191" i="18"/>
  <c r="AE191" i="18"/>
  <c r="BL190" i="18"/>
  <c r="BM190" i="18" s="1"/>
  <c r="BN190" i="18" s="1"/>
  <c r="BF190" i="18"/>
  <c r="BG190" i="18" s="1"/>
  <c r="BL189" i="18"/>
  <c r="BM189" i="18" s="1"/>
  <c r="BN189" i="18" s="1"/>
  <c r="BQ189" i="18" s="1"/>
  <c r="BR189" i="18" s="1"/>
  <c r="BF189" i="18"/>
  <c r="BG189" i="18" s="1"/>
  <c r="BH189" i="18" s="1"/>
  <c r="BA189" i="18"/>
  <c r="AT189" i="18"/>
  <c r="AM189" i="18"/>
  <c r="AI189" i="18"/>
  <c r="AJ189" i="18" s="1"/>
  <c r="AE189" i="18"/>
  <c r="Y189" i="18"/>
  <c r="S189" i="18"/>
  <c r="M189" i="18"/>
  <c r="G189" i="18"/>
  <c r="AS179" i="18"/>
  <c r="AS587" i="18" s="1"/>
  <c r="AO174" i="18"/>
  <c r="AO604" i="18" s="1"/>
  <c r="S169" i="18"/>
  <c r="AW161" i="18"/>
  <c r="AW160" i="18"/>
  <c r="AW159" i="18"/>
  <c r="AW158" i="18"/>
  <c r="AW157" i="18"/>
  <c r="AW156" i="18"/>
  <c r="AS162" i="18"/>
  <c r="AS163" i="18" s="1"/>
  <c r="AG154" i="18"/>
  <c r="AH154" i="18" s="1"/>
  <c r="AI154" i="18" s="1"/>
  <c r="AS150" i="18"/>
  <c r="AT150" i="18" s="1"/>
  <c r="AC148" i="18"/>
  <c r="AC149" i="18" s="1"/>
  <c r="BF146" i="18"/>
  <c r="BF147" i="18" s="1"/>
  <c r="C144" i="18"/>
  <c r="U142" i="18"/>
  <c r="V141" i="18"/>
  <c r="W141" i="18" s="1"/>
  <c r="AE140" i="18"/>
  <c r="Y140" i="18"/>
  <c r="BU110" i="18"/>
  <c r="BU107" i="18"/>
  <c r="BU101" i="18"/>
  <c r="BU93" i="18"/>
  <c r="BO110" i="18"/>
  <c r="BO107" i="18"/>
  <c r="BO101" i="18"/>
  <c r="BO93" i="18"/>
  <c r="BI110" i="18"/>
  <c r="BI107" i="18"/>
  <c r="BI104" i="18"/>
  <c r="BI96" i="18"/>
  <c r="BI93" i="18"/>
  <c r="BI87" i="18"/>
  <c r="AS108" i="18"/>
  <c r="AT110" i="18" s="1"/>
  <c r="BC107" i="18"/>
  <c r="AU107" i="18"/>
  <c r="AT106" i="18"/>
  <c r="BF106" i="18"/>
  <c r="AZ106" i="18"/>
  <c r="AV109" i="18"/>
  <c r="AS105" i="18"/>
  <c r="AY103" i="18"/>
  <c r="BF101" i="18"/>
  <c r="BF97" i="18" s="1"/>
  <c r="BF100" i="18"/>
  <c r="BG100" i="18" s="1"/>
  <c r="BH100" i="18" s="1"/>
  <c r="BC101" i="18"/>
  <c r="AZ100" i="18"/>
  <c r="BA100" i="18" s="1"/>
  <c r="BQ97" i="18"/>
  <c r="BE97" i="18"/>
  <c r="BH97" i="18"/>
  <c r="BG97" i="18"/>
  <c r="BB97" i="18"/>
  <c r="BA97" i="18"/>
  <c r="AZ97" i="18"/>
  <c r="AY97" i="18"/>
  <c r="AT97" i="18"/>
  <c r="AS97" i="18"/>
  <c r="BR100" i="18"/>
  <c r="BT97" i="18"/>
  <c r="BS97" i="18"/>
  <c r="BR97" i="18"/>
  <c r="BR96" i="18"/>
  <c r="BL100" i="18"/>
  <c r="BM100" i="18" s="1"/>
  <c r="BN97" i="18"/>
  <c r="BM97" i="18"/>
  <c r="BL97" i="18"/>
  <c r="BL96" i="18"/>
  <c r="BM96" i="18" s="1"/>
  <c r="BC96" i="18"/>
  <c r="BC93" i="18"/>
  <c r="BA90" i="18"/>
  <c r="BB90" i="18" s="1"/>
  <c r="BF90" i="18"/>
  <c r="BG90" i="18" s="1"/>
  <c r="BH90" i="18" s="1"/>
  <c r="BI90" i="18" s="1"/>
  <c r="BF89" i="18"/>
  <c r="AZ89" i="18"/>
  <c r="BR90" i="18"/>
  <c r="BS90" i="18" s="1"/>
  <c r="BT90" i="18" s="1"/>
  <c r="BR87" i="18"/>
  <c r="BL90" i="18"/>
  <c r="BM87" i="18"/>
  <c r="BA87" i="18"/>
  <c r="BC87" i="18" s="1"/>
  <c r="AY80" i="18"/>
  <c r="AZ80" i="18" s="1"/>
  <c r="AZ79" i="18"/>
  <c r="BF80" i="18"/>
  <c r="BG80" i="18" s="1"/>
  <c r="BH80" i="18" s="1"/>
  <c r="BF79" i="18"/>
  <c r="BB80" i="18"/>
  <c r="BB79" i="18"/>
  <c r="BR77" i="18"/>
  <c r="BL77" i="18"/>
  <c r="BI77" i="18"/>
  <c r="BC77" i="18"/>
  <c r="BC70" i="18" s="1"/>
  <c r="AW77" i="18"/>
  <c r="AQ77" i="18"/>
  <c r="AQ74" i="18"/>
  <c r="AK77" i="18"/>
  <c r="AK74" i="18"/>
  <c r="AK71" i="18"/>
  <c r="AK70" i="18"/>
  <c r="AK68" i="18"/>
  <c r="AO76" i="18"/>
  <c r="AN76" i="18"/>
  <c r="AM76" i="18"/>
  <c r="AJ76" i="18"/>
  <c r="AI76" i="18"/>
  <c r="BR75" i="18"/>
  <c r="BS75" i="18" s="1"/>
  <c r="BT75" i="18" s="1"/>
  <c r="BL75" i="18"/>
  <c r="BM75" i="18" s="1"/>
  <c r="BF75" i="18"/>
  <c r="BG75" i="18" s="1"/>
  <c r="BH75" i="18" s="1"/>
  <c r="AW74" i="18"/>
  <c r="AI73" i="18"/>
  <c r="AP72" i="18"/>
  <c r="AO72" i="18"/>
  <c r="AN72" i="18"/>
  <c r="AM72" i="18"/>
  <c r="AJ72" i="18"/>
  <c r="BC71" i="18"/>
  <c r="AV72" i="18"/>
  <c r="AU72" i="18"/>
  <c r="AT72" i="18"/>
  <c r="AS72" i="18"/>
  <c r="AS71" i="18"/>
  <c r="AT71" i="18" s="1"/>
  <c r="AP71" i="18"/>
  <c r="AP76" i="18" s="1"/>
  <c r="BR70" i="18"/>
  <c r="BL70" i="18"/>
  <c r="BF70" i="18"/>
  <c r="AQ68" i="18"/>
  <c r="AM70" i="18"/>
  <c r="AJ69" i="18"/>
  <c r="AI69" i="18"/>
  <c r="BR68" i="18"/>
  <c r="BL68" i="18"/>
  <c r="BF68" i="18"/>
  <c r="BG68" i="18" s="1"/>
  <c r="AZ68" i="18"/>
  <c r="AW68" i="18"/>
  <c r="AE68" i="18"/>
  <c r="Y68" i="18"/>
  <c r="AV67" i="18"/>
  <c r="AV66" i="18" s="1"/>
  <c r="AV64" i="18" s="1"/>
  <c r="U64" i="18"/>
  <c r="AD64" i="18"/>
  <c r="AC64" i="18"/>
  <c r="AB64" i="18"/>
  <c r="AA64" i="18"/>
  <c r="AM63" i="18"/>
  <c r="AI63" i="18"/>
  <c r="X64" i="18"/>
  <c r="W64" i="18"/>
  <c r="V64" i="18"/>
  <c r="V63" i="18"/>
  <c r="BC63" i="18"/>
  <c r="AZ63" i="18"/>
  <c r="BA63" i="18" s="1"/>
  <c r="AS63" i="18"/>
  <c r="AT63" i="18" s="1"/>
  <c r="AU63" i="18" s="1"/>
  <c r="AB63" i="18"/>
  <c r="BC58" i="18"/>
  <c r="BC55" i="18"/>
  <c r="BC52" i="18"/>
  <c r="BF63" i="18"/>
  <c r="BG63" i="18" s="1"/>
  <c r="BF58" i="18"/>
  <c r="BG58" i="18" s="1"/>
  <c r="AZ57" i="18"/>
  <c r="AY56" i="18"/>
  <c r="BI55" i="18"/>
  <c r="BI49" i="18"/>
  <c r="AW52" i="18"/>
  <c r="AU55" i="18"/>
  <c r="BB54" i="18"/>
  <c r="AT54" i="18"/>
  <c r="AT53" i="18" s="1"/>
  <c r="BA53" i="18"/>
  <c r="AZ53" i="18"/>
  <c r="AY53" i="18"/>
  <c r="AV53" i="18"/>
  <c r="AS53" i="18"/>
  <c r="BG52" i="18"/>
  <c r="DQ51" i="18" s="1"/>
  <c r="AQ52" i="18"/>
  <c r="AK52" i="18"/>
  <c r="AE52" i="18"/>
  <c r="Y52" i="18"/>
  <c r="Y51" i="18"/>
  <c r="Y50" i="18"/>
  <c r="BF51" i="18"/>
  <c r="BB51" i="18"/>
  <c r="AV51" i="18"/>
  <c r="AT51" i="18"/>
  <c r="AI51" i="18"/>
  <c r="AK51" i="18" s="1"/>
  <c r="AD51" i="18"/>
  <c r="AA51" i="18"/>
  <c r="AB51" i="18" s="1"/>
  <c r="AB50" i="18" s="1"/>
  <c r="DM58" i="18"/>
  <c r="DI58" i="18"/>
  <c r="DH58" i="18"/>
  <c r="DG58" i="18"/>
  <c r="DF58" i="18"/>
  <c r="DE58" i="18"/>
  <c r="DD58" i="18"/>
  <c r="DC58" i="18"/>
  <c r="DB58" i="18"/>
  <c r="DA58" i="18"/>
  <c r="CZ58" i="18"/>
  <c r="CY58" i="18"/>
  <c r="DJ57" i="18"/>
  <c r="DI57" i="18"/>
  <c r="DH57" i="18"/>
  <c r="DG57" i="18"/>
  <c r="DF57" i="18"/>
  <c r="DE57" i="18"/>
  <c r="DD57" i="18"/>
  <c r="DC57" i="18"/>
  <c r="DB57" i="18"/>
  <c r="DA57" i="18"/>
  <c r="CZ57" i="18"/>
  <c r="CY57" i="18"/>
  <c r="DJ55" i="18"/>
  <c r="DI55" i="18"/>
  <c r="DH55" i="18"/>
  <c r="DG55" i="18"/>
  <c r="DF55" i="18"/>
  <c r="DE55" i="18"/>
  <c r="DD55" i="18"/>
  <c r="DC55" i="18"/>
  <c r="DB55" i="18"/>
  <c r="DA55" i="18"/>
  <c r="CZ55" i="18"/>
  <c r="CY55" i="18"/>
  <c r="DJ54" i="18"/>
  <c r="DI54" i="18"/>
  <c r="DH54" i="18"/>
  <c r="DG54" i="18"/>
  <c r="DF54" i="18"/>
  <c r="DE54" i="18"/>
  <c r="DD54" i="18"/>
  <c r="DC54" i="18"/>
  <c r="DB54" i="18"/>
  <c r="DA54" i="18"/>
  <c r="CZ54" i="18"/>
  <c r="CY54" i="18"/>
  <c r="DM53" i="18"/>
  <c r="DA53" i="18"/>
  <c r="CZ53" i="18"/>
  <c r="CY53" i="18"/>
  <c r="DS52" i="18"/>
  <c r="DP52" i="18"/>
  <c r="DO52" i="18"/>
  <c r="DN52" i="18"/>
  <c r="DM52" i="18"/>
  <c r="DL52" i="18"/>
  <c r="DK52" i="18"/>
  <c r="DJ52" i="18"/>
  <c r="DH52" i="18"/>
  <c r="DG52" i="18"/>
  <c r="DF52" i="18"/>
  <c r="DE52" i="18"/>
  <c r="DD52" i="18"/>
  <c r="DC52" i="18"/>
  <c r="DB52" i="18"/>
  <c r="DA52" i="18"/>
  <c r="CZ52" i="18"/>
  <c r="CY52" i="18"/>
  <c r="DS51" i="18"/>
  <c r="DP51" i="18"/>
  <c r="DO51" i="18"/>
  <c r="DN51" i="18"/>
  <c r="DM51" i="18"/>
  <c r="DL51" i="18"/>
  <c r="DK51" i="18"/>
  <c r="DJ51" i="18"/>
  <c r="DI51" i="18"/>
  <c r="DH51" i="18"/>
  <c r="DG51" i="18"/>
  <c r="DF51" i="18"/>
  <c r="DE51" i="18"/>
  <c r="DD51" i="18"/>
  <c r="DC51" i="18"/>
  <c r="DB51" i="18"/>
  <c r="DA51" i="18"/>
  <c r="CZ51" i="18"/>
  <c r="CY51" i="18"/>
  <c r="DS50" i="18"/>
  <c r="DP50" i="18"/>
  <c r="DO50" i="18"/>
  <c r="DN50" i="18"/>
  <c r="DM50" i="18"/>
  <c r="DL50" i="18"/>
  <c r="DK50" i="18"/>
  <c r="DJ50" i="18"/>
  <c r="DI50" i="18"/>
  <c r="DH50" i="18"/>
  <c r="DG50" i="18"/>
  <c r="DF50" i="18"/>
  <c r="DE50" i="18"/>
  <c r="DD50" i="18"/>
  <c r="DC50" i="18"/>
  <c r="DB50" i="18"/>
  <c r="DA50" i="18"/>
  <c r="CZ50" i="18"/>
  <c r="CY50" i="18"/>
  <c r="BQ50" i="18"/>
  <c r="BK50" i="18"/>
  <c r="BE50" i="18"/>
  <c r="BA50" i="18"/>
  <c r="AZ50" i="18"/>
  <c r="AY50" i="18"/>
  <c r="AU50" i="18"/>
  <c r="AN51" i="18"/>
  <c r="AM50" i="18"/>
  <c r="AJ50" i="18"/>
  <c r="AH50" i="18"/>
  <c r="AG50" i="18"/>
  <c r="AC50" i="18"/>
  <c r="BR63" i="18"/>
  <c r="BR58" i="18"/>
  <c r="BS58" i="18" s="1"/>
  <c r="BR55" i="18"/>
  <c r="BR51" i="18"/>
  <c r="BL63" i="18"/>
  <c r="BM63" i="18" s="1"/>
  <c r="BL58" i="18"/>
  <c r="BM58" i="18" s="1"/>
  <c r="BL51" i="18"/>
  <c r="BM51" i="18" s="1"/>
  <c r="DU50" i="18"/>
  <c r="DT50" i="18"/>
  <c r="BH48" i="18"/>
  <c r="BH47" i="18" s="1"/>
  <c r="BG48" i="18"/>
  <c r="BG47" i="18" s="1"/>
  <c r="BF48" i="18"/>
  <c r="BF47" i="18" s="1"/>
  <c r="BE47" i="18"/>
  <c r="AE46" i="18"/>
  <c r="Y45" i="18"/>
  <c r="V46" i="18"/>
  <c r="U46" i="18"/>
  <c r="S46" i="18"/>
  <c r="S45" i="18"/>
  <c r="M46" i="18"/>
  <c r="M45" i="18"/>
  <c r="G46" i="18"/>
  <c r="G45" i="18"/>
  <c r="AA44" i="18"/>
  <c r="AB45" i="18"/>
  <c r="AC45" i="18" s="1"/>
  <c r="X44" i="18"/>
  <c r="W44" i="18"/>
  <c r="V44" i="18"/>
  <c r="U44" i="18"/>
  <c r="R44" i="18"/>
  <c r="Q44" i="18"/>
  <c r="P44" i="18"/>
  <c r="O44" i="18"/>
  <c r="O43" i="18" s="1"/>
  <c r="L44" i="18"/>
  <c r="K44" i="18"/>
  <c r="J44" i="18"/>
  <c r="I44" i="18"/>
  <c r="I43" i="18" s="1"/>
  <c r="F44" i="18"/>
  <c r="E44" i="18"/>
  <c r="D44" i="18"/>
  <c r="C44" i="18"/>
  <c r="C43" i="18" s="1"/>
  <c r="C13" i="77" s="1"/>
  <c r="F39" i="18"/>
  <c r="E39" i="18"/>
  <c r="D39" i="18"/>
  <c r="C39" i="18"/>
  <c r="BC27" i="18"/>
  <c r="BC26" i="18"/>
  <c r="AY38" i="18"/>
  <c r="AU38" i="18"/>
  <c r="AT38" i="18"/>
  <c r="AS38" i="18"/>
  <c r="AO38" i="18"/>
  <c r="AN38" i="18"/>
  <c r="AM38" i="18"/>
  <c r="AJ38" i="18"/>
  <c r="AI38" i="18"/>
  <c r="AH38" i="18"/>
  <c r="AG38" i="18"/>
  <c r="AE38" i="18"/>
  <c r="AD38" i="18"/>
  <c r="AC38" i="18"/>
  <c r="AB38" i="18"/>
  <c r="AA38" i="18"/>
  <c r="Y38" i="18"/>
  <c r="X38" i="18"/>
  <c r="W38" i="18"/>
  <c r="V38" i="18"/>
  <c r="U38" i="18"/>
  <c r="S38" i="18"/>
  <c r="R38" i="18"/>
  <c r="Q38" i="18"/>
  <c r="P38" i="18"/>
  <c r="O38" i="18"/>
  <c r="L39" i="18"/>
  <c r="M38" i="18"/>
  <c r="L38" i="18"/>
  <c r="K38" i="18"/>
  <c r="J38" i="18"/>
  <c r="I38" i="18"/>
  <c r="BB37" i="18"/>
  <c r="BA37" i="18"/>
  <c r="AZ37" i="18"/>
  <c r="AW37" i="18"/>
  <c r="AW27" i="18"/>
  <c r="AW26" i="18"/>
  <c r="AP37" i="18"/>
  <c r="AK37" i="18"/>
  <c r="AK38" i="18" s="1"/>
  <c r="AK35" i="18"/>
  <c r="AK33" i="18"/>
  <c r="AK27" i="18"/>
  <c r="AK26" i="18"/>
  <c r="AQ27" i="18"/>
  <c r="AQ26" i="18"/>
  <c r="AJ36" i="18"/>
  <c r="AI36" i="18"/>
  <c r="AH36" i="18"/>
  <c r="AG36" i="18"/>
  <c r="AD36" i="18"/>
  <c r="AC36" i="18"/>
  <c r="AB36" i="18"/>
  <c r="X36" i="18"/>
  <c r="V36" i="18"/>
  <c r="S33" i="18"/>
  <c r="S34" i="18" s="1"/>
  <c r="S27" i="18"/>
  <c r="M34" i="18"/>
  <c r="AP35" i="18"/>
  <c r="AV35" i="18" s="1"/>
  <c r="BB35" i="18" s="1"/>
  <c r="AO35" i="18"/>
  <c r="AN35" i="18"/>
  <c r="AT35" i="18" s="1"/>
  <c r="AZ35" i="18" s="1"/>
  <c r="AM35" i="18"/>
  <c r="AE35" i="18"/>
  <c r="AE33" i="18"/>
  <c r="AE27" i="18"/>
  <c r="AE26" i="18"/>
  <c r="U35" i="18"/>
  <c r="U33" i="18"/>
  <c r="U34" i="18" s="1"/>
  <c r="Q35" i="18"/>
  <c r="AM34" i="18"/>
  <c r="AJ34" i="18"/>
  <c r="AI34" i="18"/>
  <c r="AH34" i="18"/>
  <c r="AG34" i="18"/>
  <c r="AB34" i="18"/>
  <c r="V34" i="18"/>
  <c r="V31" i="18"/>
  <c r="M31" i="18"/>
  <c r="M27" i="18"/>
  <c r="G31" i="18"/>
  <c r="G27" i="18"/>
  <c r="G24" i="18"/>
  <c r="C29" i="18"/>
  <c r="C30" i="18" s="1"/>
  <c r="AS33" i="18"/>
  <c r="AP33" i="18"/>
  <c r="AV33" i="18" s="1"/>
  <c r="AO33" i="18"/>
  <c r="AN33" i="18"/>
  <c r="AT33" i="18" s="1"/>
  <c r="AJ31" i="18"/>
  <c r="AI31" i="18"/>
  <c r="AH31" i="18"/>
  <c r="AG31" i="18"/>
  <c r="AD31" i="18"/>
  <c r="AC31" i="18"/>
  <c r="AB31" i="18"/>
  <c r="AA31" i="18"/>
  <c r="X33" i="18"/>
  <c r="X31" i="18" s="1"/>
  <c r="W33" i="18"/>
  <c r="R31" i="18"/>
  <c r="R32" i="18" s="1"/>
  <c r="P31" i="18"/>
  <c r="P32" i="18" s="1"/>
  <c r="O31" i="18"/>
  <c r="O32" i="18" s="1"/>
  <c r="D28" i="18"/>
  <c r="E28" i="18" s="1"/>
  <c r="BI27" i="18"/>
  <c r="Y27" i="18"/>
  <c r="L26" i="18"/>
  <c r="F26" i="18"/>
  <c r="E26" i="18"/>
  <c r="D26" i="18"/>
  <c r="C26" i="18"/>
  <c r="BR26" i="18"/>
  <c r="BS26" i="18" s="1"/>
  <c r="BT26" i="18" s="1"/>
  <c r="BU26" i="18" s="1"/>
  <c r="BW26" i="18" s="1"/>
  <c r="BX26" i="18" s="1"/>
  <c r="BY26" i="18" s="1"/>
  <c r="BZ26" i="18" s="1"/>
  <c r="CA26" i="18" s="1"/>
  <c r="CC26" i="18" s="1"/>
  <c r="CD26" i="18" s="1"/>
  <c r="CE26" i="18" s="1"/>
  <c r="CF26" i="18" s="1"/>
  <c r="CG26" i="18" s="1"/>
  <c r="CI26" i="18" s="1"/>
  <c r="CJ26" i="18" s="1"/>
  <c r="CK26" i="18" s="1"/>
  <c r="CL26" i="18" s="1"/>
  <c r="CM26" i="18" s="1"/>
  <c r="CO26" i="18" s="1"/>
  <c r="CP26" i="18" s="1"/>
  <c r="CQ26" i="18" s="1"/>
  <c r="CR26" i="18" s="1"/>
  <c r="CS26" i="18" s="1"/>
  <c r="BM26" i="18"/>
  <c r="BN26" i="18" s="1"/>
  <c r="BK24" i="18"/>
  <c r="BF26" i="18"/>
  <c r="BF24" i="18" s="1"/>
  <c r="BE24" i="18"/>
  <c r="BE239" i="18" s="1"/>
  <c r="BB24" i="18"/>
  <c r="BA24" i="18"/>
  <c r="AV24" i="18"/>
  <c r="AU24" i="18"/>
  <c r="AT24" i="18"/>
  <c r="AS24" i="18"/>
  <c r="AP24" i="18"/>
  <c r="AO24" i="18"/>
  <c r="AN24" i="18"/>
  <c r="AM24" i="18"/>
  <c r="AJ24" i="18"/>
  <c r="AI24" i="18"/>
  <c r="AH24" i="18"/>
  <c r="AG24" i="18"/>
  <c r="AD24" i="18"/>
  <c r="AC24" i="18"/>
  <c r="AB24" i="18"/>
  <c r="AA24" i="18"/>
  <c r="X24" i="18"/>
  <c r="W24" i="18"/>
  <c r="V24" i="18"/>
  <c r="U24" i="18"/>
  <c r="R24" i="18"/>
  <c r="Q24" i="18"/>
  <c r="P24" i="18"/>
  <c r="O24" i="18"/>
  <c r="K24" i="18"/>
  <c r="J24" i="18"/>
  <c r="J26" i="18" s="1"/>
  <c r="I24" i="18"/>
  <c r="BC11" i="18"/>
  <c r="BC9" i="18"/>
  <c r="AV16" i="18"/>
  <c r="AW11" i="18"/>
  <c r="AW9" i="18"/>
  <c r="AU15" i="18"/>
  <c r="AT15" i="18"/>
  <c r="AS15" i="18"/>
  <c r="AU14" i="18"/>
  <c r="AU230" i="18" s="1"/>
  <c r="AU231" i="18" s="1"/>
  <c r="AT14" i="18"/>
  <c r="AT13" i="18" s="1"/>
  <c r="AS14" i="18"/>
  <c r="AS230" i="18" s="1"/>
  <c r="AS231" i="18" s="1"/>
  <c r="BG14" i="18"/>
  <c r="BF14" i="18"/>
  <c r="AY15" i="18"/>
  <c r="BB14" i="18"/>
  <c r="BB13" i="18" s="1"/>
  <c r="BA14" i="18"/>
  <c r="AZ14" i="18"/>
  <c r="AY14" i="18"/>
  <c r="AY13" i="18" s="1"/>
  <c r="AV13" i="18"/>
  <c r="AP15" i="18"/>
  <c r="AO15" i="18"/>
  <c r="AN15" i="18"/>
  <c r="AM15" i="18"/>
  <c r="AP14" i="18"/>
  <c r="AP13" i="18" s="1"/>
  <c r="AO14" i="18"/>
  <c r="AN14" i="18"/>
  <c r="AN13" i="18" s="1"/>
  <c r="AM14" i="18"/>
  <c r="AO13" i="18"/>
  <c r="AJ15" i="18"/>
  <c r="AI15" i="18"/>
  <c r="AH15" i="18"/>
  <c r="AG15" i="18"/>
  <c r="AJ14" i="18"/>
  <c r="AI14" i="18"/>
  <c r="AH14" i="18"/>
  <c r="AH13" i="18" s="1"/>
  <c r="AG14" i="18"/>
  <c r="AG13" i="18" s="1"/>
  <c r="AC15" i="18"/>
  <c r="AB15" i="18"/>
  <c r="AA15" i="18"/>
  <c r="AC14" i="18"/>
  <c r="AB14" i="18"/>
  <c r="AB13" i="18" s="1"/>
  <c r="AA14" i="18"/>
  <c r="W15" i="18"/>
  <c r="V15" i="18"/>
  <c r="U15" i="18"/>
  <c r="W14" i="18"/>
  <c r="V14" i="18"/>
  <c r="V13" i="18" s="1"/>
  <c r="U14" i="18"/>
  <c r="Q15" i="18"/>
  <c r="P15" i="18"/>
  <c r="O15" i="18"/>
  <c r="Q14" i="18"/>
  <c r="Q13" i="18" s="1"/>
  <c r="P14" i="18"/>
  <c r="P13" i="18" s="1"/>
  <c r="O14" i="18"/>
  <c r="K15" i="18"/>
  <c r="J15" i="18"/>
  <c r="I15" i="18"/>
  <c r="K14" i="18"/>
  <c r="J14" i="18"/>
  <c r="J13" i="18" s="1"/>
  <c r="I14" i="18"/>
  <c r="I11" i="18" s="1"/>
  <c r="E15" i="18"/>
  <c r="D15" i="18"/>
  <c r="C15" i="18"/>
  <c r="E14" i="18"/>
  <c r="D14" i="18"/>
  <c r="C14" i="18"/>
  <c r="AO9" i="18"/>
  <c r="AK11" i="18"/>
  <c r="AK9" i="18"/>
  <c r="AD11" i="18"/>
  <c r="AD9" i="18"/>
  <c r="X11" i="18"/>
  <c r="X9" i="18"/>
  <c r="R11" i="18"/>
  <c r="R9" i="18"/>
  <c r="I7" i="18"/>
  <c r="D7" i="18"/>
  <c r="E7" i="18" s="1"/>
  <c r="F7" i="18" s="1"/>
  <c r="M6" i="18"/>
  <c r="S6" i="18" s="1"/>
  <c r="Y6" i="18" s="1"/>
  <c r="AE6" i="18" s="1"/>
  <c r="AK6" i="18" s="1"/>
  <c r="I6" i="18"/>
  <c r="O6" i="18" s="1"/>
  <c r="U6" i="18" s="1"/>
  <c r="AA6" i="18" s="1"/>
  <c r="AG6" i="18" s="1"/>
  <c r="AM6" i="18" s="1"/>
  <c r="AS6" i="18" s="1"/>
  <c r="AY6" i="18" s="1"/>
  <c r="A1" i="18"/>
  <c r="BC151" i="19"/>
  <c r="BC150" i="19"/>
  <c r="BC140" i="19"/>
  <c r="BC160" i="19" s="1"/>
  <c r="BC139" i="19"/>
  <c r="BC159" i="19" s="1"/>
  <c r="AW151" i="19"/>
  <c r="AW150" i="19"/>
  <c r="AQ151" i="19"/>
  <c r="AQ150" i="19"/>
  <c r="AK151" i="19"/>
  <c r="AK150" i="19"/>
  <c r="AE151" i="19"/>
  <c r="AE150" i="19"/>
  <c r="Y151" i="19"/>
  <c r="Y150" i="19"/>
  <c r="S151" i="19"/>
  <c r="S150" i="19"/>
  <c r="M151" i="19"/>
  <c r="M150" i="19"/>
  <c r="G151" i="19"/>
  <c r="G150" i="19"/>
  <c r="AW140" i="19"/>
  <c r="AW139" i="19"/>
  <c r="AQ140" i="19"/>
  <c r="AQ139" i="19"/>
  <c r="AK140" i="19"/>
  <c r="AK139" i="19"/>
  <c r="AE140" i="19"/>
  <c r="AE139" i="19"/>
  <c r="Y140" i="19"/>
  <c r="Y139" i="19"/>
  <c r="S140" i="19"/>
  <c r="S139" i="19"/>
  <c r="M140" i="19"/>
  <c r="M139" i="19"/>
  <c r="G139" i="19"/>
  <c r="BQ126" i="19"/>
  <c r="F126" i="19"/>
  <c r="F134" i="16" s="1"/>
  <c r="E126" i="19"/>
  <c r="E134" i="16" s="1"/>
  <c r="D126" i="19"/>
  <c r="D134" i="16" s="1"/>
  <c r="C126" i="19"/>
  <c r="C134" i="16" s="1"/>
  <c r="BU116" i="19"/>
  <c r="BU115" i="19"/>
  <c r="BU114" i="19"/>
  <c r="BU113" i="19"/>
  <c r="BU112" i="19"/>
  <c r="BU111" i="19"/>
  <c r="BU110" i="19"/>
  <c r="BU109" i="19"/>
  <c r="BU108" i="19"/>
  <c r="BU107" i="19"/>
  <c r="BO116" i="19"/>
  <c r="BO115" i="19"/>
  <c r="BO114" i="19"/>
  <c r="BO113" i="19"/>
  <c r="BO112" i="19"/>
  <c r="BO111" i="19"/>
  <c r="BO110" i="19"/>
  <c r="BO109" i="19"/>
  <c r="BO108" i="19"/>
  <c r="BO107" i="19"/>
  <c r="BI116" i="19"/>
  <c r="BI115" i="19"/>
  <c r="BI114" i="19"/>
  <c r="BI113" i="19"/>
  <c r="BI112" i="19"/>
  <c r="BI111" i="19"/>
  <c r="BI109" i="19"/>
  <c r="BI108" i="19"/>
  <c r="BI107" i="19"/>
  <c r="BI106" i="19"/>
  <c r="BC116" i="19"/>
  <c r="BC115" i="19"/>
  <c r="BC113" i="19"/>
  <c r="BC112" i="19"/>
  <c r="BC111" i="19"/>
  <c r="BC110" i="19"/>
  <c r="BC109" i="19"/>
  <c r="BC108" i="19"/>
  <c r="BC107" i="19"/>
  <c r="BC106" i="19"/>
  <c r="AW116" i="19"/>
  <c r="AW115" i="19"/>
  <c r="AW113" i="19"/>
  <c r="AW112" i="19"/>
  <c r="AW111" i="19"/>
  <c r="AW110" i="19"/>
  <c r="AW109" i="19"/>
  <c r="AW108" i="19"/>
  <c r="AW107" i="19"/>
  <c r="AW106" i="19"/>
  <c r="AQ116" i="19"/>
  <c r="AQ115" i="19"/>
  <c r="AQ113" i="19"/>
  <c r="AQ112" i="19"/>
  <c r="AQ111" i="19"/>
  <c r="AQ110" i="19"/>
  <c r="AQ109" i="19"/>
  <c r="AQ108" i="19"/>
  <c r="AQ107" i="19"/>
  <c r="AQ106" i="19"/>
  <c r="AK116" i="19"/>
  <c r="AK115" i="19"/>
  <c r="AK113" i="19"/>
  <c r="AK112" i="19"/>
  <c r="AK111" i="19"/>
  <c r="AK110" i="19"/>
  <c r="AK109" i="19"/>
  <c r="AK108" i="19"/>
  <c r="AK107" i="19"/>
  <c r="AK106" i="19"/>
  <c r="AE116" i="19"/>
  <c r="AE115" i="19"/>
  <c r="AE113" i="19"/>
  <c r="Y116" i="19"/>
  <c r="Y115" i="19"/>
  <c r="Y113" i="19"/>
  <c r="Y109" i="19"/>
  <c r="Y107" i="19"/>
  <c r="S116" i="19"/>
  <c r="S114" i="19"/>
  <c r="S113" i="19"/>
  <c r="S107" i="19"/>
  <c r="G116" i="19"/>
  <c r="G113" i="19"/>
  <c r="G111" i="19"/>
  <c r="G110" i="19"/>
  <c r="G109" i="19"/>
  <c r="G107" i="19"/>
  <c r="G106" i="19"/>
  <c r="R115" i="19"/>
  <c r="S115" i="19" s="1"/>
  <c r="F115" i="19"/>
  <c r="G115" i="19" s="1"/>
  <c r="F114" i="19"/>
  <c r="G114" i="19" s="1"/>
  <c r="BB114" i="19"/>
  <c r="BB31" i="19" s="1"/>
  <c r="BA114" i="19"/>
  <c r="BA31" i="19" s="1"/>
  <c r="AY114" i="19"/>
  <c r="AY31" i="19" s="1"/>
  <c r="AU114" i="19"/>
  <c r="AW114" i="19" s="1"/>
  <c r="AP114" i="19"/>
  <c r="AP31" i="19" s="1"/>
  <c r="AO114" i="19"/>
  <c r="AO31" i="19" s="1"/>
  <c r="AN114" i="19"/>
  <c r="AN31" i="19" s="1"/>
  <c r="AM114" i="19"/>
  <c r="AM31" i="19" s="1"/>
  <c r="AJ114" i="19"/>
  <c r="AJ31" i="19" s="1"/>
  <c r="AI114" i="19"/>
  <c r="AI31" i="19" s="1"/>
  <c r="AH114" i="19"/>
  <c r="AH31" i="19" s="1"/>
  <c r="AG114" i="19"/>
  <c r="AG31" i="19" s="1"/>
  <c r="AD114" i="19"/>
  <c r="AE114" i="19" s="1"/>
  <c r="X114" i="19"/>
  <c r="Y114" i="19" s="1"/>
  <c r="AD112" i="19"/>
  <c r="AE112" i="19" s="1"/>
  <c r="AD111" i="19"/>
  <c r="AE111" i="19" s="1"/>
  <c r="AD110" i="19"/>
  <c r="AE110" i="19" s="1"/>
  <c r="AD109" i="19"/>
  <c r="AD108" i="19"/>
  <c r="AE108" i="19" s="1"/>
  <c r="AD107" i="19"/>
  <c r="AE107" i="19" s="1"/>
  <c r="AD106" i="19"/>
  <c r="AE106" i="19" s="1"/>
  <c r="X112" i="19"/>
  <c r="Y112" i="19" s="1"/>
  <c r="X111" i="19"/>
  <c r="Y111" i="19" s="1"/>
  <c r="X110" i="19"/>
  <c r="Y110" i="19" s="1"/>
  <c r="R112" i="19"/>
  <c r="S112" i="19" s="1"/>
  <c r="R111" i="19"/>
  <c r="S111" i="19" s="1"/>
  <c r="R110" i="19"/>
  <c r="S110" i="19" s="1"/>
  <c r="R109" i="19"/>
  <c r="S109" i="19" s="1"/>
  <c r="R108" i="19"/>
  <c r="S108" i="19" s="1"/>
  <c r="F112" i="19"/>
  <c r="G112" i="19" s="1"/>
  <c r="BE110" i="19"/>
  <c r="BE31" i="19" s="1"/>
  <c r="X108" i="19"/>
  <c r="Y108" i="19" s="1"/>
  <c r="K108" i="19"/>
  <c r="K86" i="19" s="1"/>
  <c r="C108" i="19"/>
  <c r="C100" i="19" s="1"/>
  <c r="X106" i="19"/>
  <c r="Y106" i="19" s="1"/>
  <c r="R106" i="19"/>
  <c r="S106" i="19" s="1"/>
  <c r="L116" i="19"/>
  <c r="M116" i="19" s="1"/>
  <c r="L115" i="19"/>
  <c r="M115" i="19" s="1"/>
  <c r="L114" i="19"/>
  <c r="M114" i="19" s="1"/>
  <c r="L113" i="19"/>
  <c r="M113" i="19" s="1"/>
  <c r="L112" i="19"/>
  <c r="M112" i="19" s="1"/>
  <c r="L111" i="19"/>
  <c r="M111" i="19" s="1"/>
  <c r="L110" i="19"/>
  <c r="M110" i="19" s="1"/>
  <c r="L109" i="19"/>
  <c r="M109" i="19" s="1"/>
  <c r="L107" i="19"/>
  <c r="M107" i="19" s="1"/>
  <c r="L106" i="19"/>
  <c r="M106" i="19" s="1"/>
  <c r="BB102" i="19"/>
  <c r="BA102" i="19"/>
  <c r="AZ102" i="19"/>
  <c r="AV102" i="19"/>
  <c r="AU102" i="19"/>
  <c r="AT102" i="19"/>
  <c r="AS102" i="19"/>
  <c r="AP102" i="19"/>
  <c r="AO102" i="19"/>
  <c r="AN102" i="19"/>
  <c r="AM102" i="19"/>
  <c r="AJ102" i="19"/>
  <c r="AI102" i="19"/>
  <c r="AH102" i="19"/>
  <c r="AG102" i="19"/>
  <c r="K102" i="19"/>
  <c r="J102" i="19"/>
  <c r="E102" i="19"/>
  <c r="D102" i="19"/>
  <c r="C102" i="19"/>
  <c r="BC95" i="19"/>
  <c r="BC94" i="19"/>
  <c r="BC90" i="19"/>
  <c r="BC86" i="19"/>
  <c r="BA101" i="19"/>
  <c r="BC101" i="19" s="1"/>
  <c r="AW101" i="19"/>
  <c r="AW100" i="19"/>
  <c r="AW99" i="19"/>
  <c r="AW95" i="19"/>
  <c r="AW94" i="19"/>
  <c r="AQ101" i="19"/>
  <c r="AQ100" i="19"/>
  <c r="AQ99" i="19"/>
  <c r="AQ95" i="19"/>
  <c r="AQ94" i="19"/>
  <c r="AQ90" i="19"/>
  <c r="AK101" i="19"/>
  <c r="AK100" i="19"/>
  <c r="AK99" i="19"/>
  <c r="AK94" i="19"/>
  <c r="BB100" i="19"/>
  <c r="BC100" i="19" s="1"/>
  <c r="BB99" i="19"/>
  <c r="BC99" i="19" s="1"/>
  <c r="K101" i="19"/>
  <c r="J100" i="19"/>
  <c r="I100" i="19"/>
  <c r="E100" i="19"/>
  <c r="D100" i="19"/>
  <c r="M99" i="19"/>
  <c r="M95" i="19"/>
  <c r="M94" i="19"/>
  <c r="X102" i="19"/>
  <c r="Y102" i="19" s="1"/>
  <c r="X101" i="19"/>
  <c r="Y101" i="19" s="1"/>
  <c r="X100" i="19"/>
  <c r="Y100" i="19" s="1"/>
  <c r="X99" i="19"/>
  <c r="Y99" i="19" s="1"/>
  <c r="R102" i="19"/>
  <c r="S102" i="19" s="1"/>
  <c r="R101" i="19"/>
  <c r="S101" i="19" s="1"/>
  <c r="R100" i="19"/>
  <c r="S100" i="19" s="1"/>
  <c r="R99" i="19"/>
  <c r="S99" i="19" s="1"/>
  <c r="BT102" i="19"/>
  <c r="BS102" i="19"/>
  <c r="BR102" i="19"/>
  <c r="BT101" i="19"/>
  <c r="BS101" i="19"/>
  <c r="BR101" i="19"/>
  <c r="BT100" i="19"/>
  <c r="BS100" i="19"/>
  <c r="BR100" i="19"/>
  <c r="BT99" i="19"/>
  <c r="BS99" i="19"/>
  <c r="BR99" i="19"/>
  <c r="BG102" i="19"/>
  <c r="BF102" i="19"/>
  <c r="BE102" i="19"/>
  <c r="BG101" i="19"/>
  <c r="BF101" i="19"/>
  <c r="BG100" i="19"/>
  <c r="BF100" i="19"/>
  <c r="BE100" i="19"/>
  <c r="BG99" i="19"/>
  <c r="BF99" i="19"/>
  <c r="BE99" i="19"/>
  <c r="Z97" i="19"/>
  <c r="Z103" i="19" s="1"/>
  <c r="T97" i="19"/>
  <c r="T103" i="19" s="1"/>
  <c r="N97" i="19"/>
  <c r="N103" i="19" s="1"/>
  <c r="H97" i="19"/>
  <c r="H103" i="19" s="1"/>
  <c r="BU95" i="19"/>
  <c r="BU94" i="19"/>
  <c r="BU90" i="19"/>
  <c r="BI95" i="19"/>
  <c r="BI94" i="19"/>
  <c r="BI90" i="19"/>
  <c r="AI95" i="19"/>
  <c r="AH95" i="19"/>
  <c r="G95" i="19"/>
  <c r="G94" i="19"/>
  <c r="G90" i="19"/>
  <c r="X95" i="19"/>
  <c r="Y95" i="19" s="1"/>
  <c r="X94" i="19"/>
  <c r="Y94" i="19" s="1"/>
  <c r="R95" i="19"/>
  <c r="S95" i="19" s="1"/>
  <c r="R94" i="19"/>
  <c r="S94" i="19" s="1"/>
  <c r="H92" i="19"/>
  <c r="H96" i="19" s="1"/>
  <c r="Z92" i="19"/>
  <c r="Z96" i="19" s="1"/>
  <c r="T92" i="19"/>
  <c r="T96" i="19" s="1"/>
  <c r="N92" i="19"/>
  <c r="N96" i="19" s="1"/>
  <c r="AV90" i="19"/>
  <c r="AW90" i="19" s="1"/>
  <c r="AH90" i="19"/>
  <c r="AG90" i="19"/>
  <c r="O90" i="19"/>
  <c r="R90" i="19" s="1"/>
  <c r="S90" i="19" s="1"/>
  <c r="AD102" i="19"/>
  <c r="AE102" i="19" s="1"/>
  <c r="AD101" i="19"/>
  <c r="AE101" i="19" s="1"/>
  <c r="AD100" i="19"/>
  <c r="AE100" i="19" s="1"/>
  <c r="AD99" i="19"/>
  <c r="AE99" i="19" s="1"/>
  <c r="AD95" i="19"/>
  <c r="AE95" i="19" s="1"/>
  <c r="AD94" i="19"/>
  <c r="AE94" i="19" s="1"/>
  <c r="AD90" i="19"/>
  <c r="AE90" i="19" s="1"/>
  <c r="X90" i="19"/>
  <c r="Y90" i="19" s="1"/>
  <c r="AF88" i="19"/>
  <c r="Z88" i="19"/>
  <c r="Z91" i="19" s="1"/>
  <c r="T88" i="19"/>
  <c r="T91" i="19" s="1"/>
  <c r="N88" i="19"/>
  <c r="N91" i="19" s="1"/>
  <c r="H88" i="19"/>
  <c r="H91" i="19" s="1"/>
  <c r="AV86" i="19"/>
  <c r="AU86" i="19"/>
  <c r="AT86" i="19"/>
  <c r="AS86" i="19"/>
  <c r="AP86" i="19"/>
  <c r="AO86" i="19"/>
  <c r="AN86" i="19"/>
  <c r="AM86" i="19"/>
  <c r="AJ86" i="19"/>
  <c r="AH86" i="19"/>
  <c r="AG86" i="19"/>
  <c r="AD86" i="19"/>
  <c r="AE86" i="19" s="1"/>
  <c r="X86" i="19"/>
  <c r="Y86" i="19" s="1"/>
  <c r="R86" i="19"/>
  <c r="S86" i="19" s="1"/>
  <c r="BT86" i="19"/>
  <c r="BS86" i="19"/>
  <c r="BR86" i="19"/>
  <c r="BG86" i="19"/>
  <c r="AF84" i="19"/>
  <c r="Z84" i="19"/>
  <c r="Z87" i="19" s="1"/>
  <c r="T84" i="19"/>
  <c r="T87" i="19" s="1"/>
  <c r="N84" i="19"/>
  <c r="N87" i="19" s="1"/>
  <c r="K90" i="19"/>
  <c r="J86" i="19"/>
  <c r="I86" i="19"/>
  <c r="H84" i="19"/>
  <c r="H87" i="19" s="1"/>
  <c r="E86" i="19"/>
  <c r="D86" i="19"/>
  <c r="BG73" i="19"/>
  <c r="BF73" i="19"/>
  <c r="BE73" i="19"/>
  <c r="AP73" i="19"/>
  <c r="AO73" i="19"/>
  <c r="AN73" i="19"/>
  <c r="AM73" i="19"/>
  <c r="AJ73" i="19"/>
  <c r="AI73" i="19"/>
  <c r="AH73" i="19"/>
  <c r="AG73" i="19"/>
  <c r="AC73" i="19"/>
  <c r="AB73" i="19"/>
  <c r="AA73" i="19"/>
  <c r="W73" i="19"/>
  <c r="V73" i="19"/>
  <c r="U73" i="19"/>
  <c r="Q73" i="19"/>
  <c r="P73" i="19"/>
  <c r="O73" i="19"/>
  <c r="K73" i="19"/>
  <c r="J73" i="19"/>
  <c r="I73" i="19"/>
  <c r="E73" i="19"/>
  <c r="D73" i="19"/>
  <c r="C73" i="19"/>
  <c r="BC72" i="19"/>
  <c r="BC71" i="19"/>
  <c r="BC70" i="19"/>
  <c r="BC69" i="19"/>
  <c r="AW72" i="19"/>
  <c r="AW71" i="19"/>
  <c r="AW70" i="19"/>
  <c r="AW69" i="19"/>
  <c r="AQ72" i="19"/>
  <c r="AQ71" i="19"/>
  <c r="AQ70" i="19"/>
  <c r="AQ69" i="19"/>
  <c r="AK72" i="19"/>
  <c r="AK71" i="19"/>
  <c r="AK70" i="19"/>
  <c r="AK69" i="19"/>
  <c r="AD72" i="19"/>
  <c r="AE72" i="19" s="1"/>
  <c r="AD71" i="19"/>
  <c r="AD70" i="19"/>
  <c r="AE70" i="19" s="1"/>
  <c r="AD69" i="19"/>
  <c r="X72" i="19"/>
  <c r="Y72" i="19" s="1"/>
  <c r="X71" i="19"/>
  <c r="Y71" i="19" s="1"/>
  <c r="X70" i="19"/>
  <c r="Y70" i="19" s="1"/>
  <c r="X69" i="19"/>
  <c r="Y69" i="19" s="1"/>
  <c r="R72" i="19"/>
  <c r="S72" i="19" s="1"/>
  <c r="R71" i="19"/>
  <c r="S71" i="19" s="1"/>
  <c r="R70" i="19"/>
  <c r="R69" i="19"/>
  <c r="L72" i="19"/>
  <c r="L71" i="19"/>
  <c r="L70" i="19"/>
  <c r="M70" i="19" s="1"/>
  <c r="L69" i="19"/>
  <c r="F72" i="19"/>
  <c r="F71" i="19"/>
  <c r="F70" i="19"/>
  <c r="F69" i="19"/>
  <c r="G69" i="19" s="1"/>
  <c r="AZ47" i="19"/>
  <c r="BF47" i="19" s="1"/>
  <c r="AY47" i="19"/>
  <c r="BE47" i="19" s="1"/>
  <c r="AW47" i="19"/>
  <c r="AQ47" i="19"/>
  <c r="AK47" i="19"/>
  <c r="AE47" i="19"/>
  <c r="Y47" i="19"/>
  <c r="S47" i="19"/>
  <c r="M47" i="19"/>
  <c r="G47" i="19"/>
  <c r="AW43" i="19"/>
  <c r="AW47" i="16" s="1"/>
  <c r="D43" i="19"/>
  <c r="D47" i="16" s="1"/>
  <c r="C43" i="19"/>
  <c r="C47" i="16" s="1"/>
  <c r="BU15" i="19"/>
  <c r="BO15" i="19"/>
  <c r="BI29" i="19"/>
  <c r="BC35" i="19"/>
  <c r="BC29" i="19"/>
  <c r="BC11" i="19"/>
  <c r="BC10" i="19"/>
  <c r="AW35" i="19"/>
  <c r="AW29" i="19"/>
  <c r="AW11" i="19"/>
  <c r="AW10" i="19"/>
  <c r="AQ35" i="19"/>
  <c r="AQ29" i="19"/>
  <c r="AQ11" i="19"/>
  <c r="AQ10" i="19"/>
  <c r="BG31" i="19"/>
  <c r="AK35" i="19"/>
  <c r="AK29" i="19"/>
  <c r="AK11" i="19"/>
  <c r="AK10" i="19"/>
  <c r="J35" i="19"/>
  <c r="I35" i="19"/>
  <c r="BT31" i="19"/>
  <c r="BS31" i="19"/>
  <c r="BF31" i="19"/>
  <c r="AZ31" i="19"/>
  <c r="AV31" i="19"/>
  <c r="AT31" i="19"/>
  <c r="AS31" i="19"/>
  <c r="AD35" i="19"/>
  <c r="AC31" i="19"/>
  <c r="AB31" i="19"/>
  <c r="AA31" i="19"/>
  <c r="X35" i="19"/>
  <c r="Y35" i="19" s="1"/>
  <c r="W31" i="19"/>
  <c r="V31" i="19"/>
  <c r="U31" i="19"/>
  <c r="R35" i="19"/>
  <c r="Q31" i="19"/>
  <c r="P31" i="19"/>
  <c r="O31" i="19"/>
  <c r="L35" i="19"/>
  <c r="J31" i="19"/>
  <c r="I31" i="19"/>
  <c r="F35" i="19"/>
  <c r="E35" i="19"/>
  <c r="D35" i="19"/>
  <c r="C35" i="19"/>
  <c r="E31" i="19"/>
  <c r="D31" i="19"/>
  <c r="AE29" i="19"/>
  <c r="Y29" i="19"/>
  <c r="S29" i="19"/>
  <c r="M29" i="19"/>
  <c r="G29" i="19"/>
  <c r="K28" i="19"/>
  <c r="J28" i="19"/>
  <c r="I28" i="19"/>
  <c r="H28" i="19"/>
  <c r="E28" i="19"/>
  <c r="D28" i="19"/>
  <c r="C28" i="19"/>
  <c r="F25" i="19"/>
  <c r="F11" i="19"/>
  <c r="F15" i="18" s="1"/>
  <c r="F10" i="19"/>
  <c r="G10" i="19" s="1"/>
  <c r="G14" i="18" s="1"/>
  <c r="BN31" i="19"/>
  <c r="BL31" i="19"/>
  <c r="BG28" i="19"/>
  <c r="BF28" i="19"/>
  <c r="BE28" i="19"/>
  <c r="BG25" i="19"/>
  <c r="BF25" i="19"/>
  <c r="BE22" i="19"/>
  <c r="BE21" i="19"/>
  <c r="BG78" i="19"/>
  <c r="BB28" i="19"/>
  <c r="BA28" i="19"/>
  <c r="AZ28" i="19"/>
  <c r="AY28" i="19"/>
  <c r="BB25" i="19"/>
  <c r="BA25" i="19"/>
  <c r="AZ25" i="19"/>
  <c r="AY25" i="19"/>
  <c r="AY22" i="19"/>
  <c r="AY21" i="19"/>
  <c r="BB15" i="19"/>
  <c r="BB12" i="19" s="1"/>
  <c r="AZ15" i="19"/>
  <c r="AY15" i="19"/>
  <c r="BG49" i="19"/>
  <c r="BG75" i="19"/>
  <c r="AV28" i="19"/>
  <c r="AU28" i="19"/>
  <c r="AT28" i="19"/>
  <c r="AS28" i="19"/>
  <c r="AV25" i="19"/>
  <c r="AU25" i="19"/>
  <c r="AT25" i="19"/>
  <c r="AS25" i="19"/>
  <c r="AS22" i="19"/>
  <c r="AS21" i="19"/>
  <c r="AT19" i="19"/>
  <c r="AV15" i="19"/>
  <c r="AU15" i="19"/>
  <c r="AT15" i="19"/>
  <c r="AT12" i="19" s="1"/>
  <c r="AS15" i="19"/>
  <c r="AS12" i="19" s="1"/>
  <c r="AU75" i="19"/>
  <c r="AP28" i="19"/>
  <c r="AO28" i="19"/>
  <c r="AN28" i="19"/>
  <c r="AM28" i="19"/>
  <c r="AP25" i="19"/>
  <c r="AO25" i="19"/>
  <c r="AN25" i="19"/>
  <c r="AM25" i="19"/>
  <c r="AM22" i="19"/>
  <c r="AM21" i="19"/>
  <c r="AP15" i="19"/>
  <c r="AO15" i="19"/>
  <c r="AN15" i="19"/>
  <c r="AM15" i="19"/>
  <c r="AN76" i="19"/>
  <c r="AJ28" i="19"/>
  <c r="AI28" i="19"/>
  <c r="AH28" i="19"/>
  <c r="AG28" i="19"/>
  <c r="AJ25" i="19"/>
  <c r="AI25" i="19"/>
  <c r="AH25" i="19"/>
  <c r="AG25" i="19"/>
  <c r="AG22" i="19"/>
  <c r="AG21" i="19"/>
  <c r="AH77" i="19"/>
  <c r="AJ15" i="19"/>
  <c r="AJ12" i="19" s="1"/>
  <c r="AI15" i="19"/>
  <c r="AH15" i="19"/>
  <c r="AG15" i="19"/>
  <c r="AC28" i="19"/>
  <c r="AB28" i="19"/>
  <c r="AA28" i="19"/>
  <c r="AC25" i="19"/>
  <c r="AB25" i="19"/>
  <c r="AA25" i="19"/>
  <c r="AA22" i="19"/>
  <c r="AA21" i="19"/>
  <c r="AC15" i="19"/>
  <c r="AA15" i="19"/>
  <c r="AB76" i="19"/>
  <c r="W28" i="19"/>
  <c r="V28" i="19"/>
  <c r="U28" i="19"/>
  <c r="W25" i="19"/>
  <c r="V25" i="19"/>
  <c r="U25" i="19"/>
  <c r="U22" i="19"/>
  <c r="U21" i="19"/>
  <c r="W15" i="19"/>
  <c r="V15" i="19"/>
  <c r="U15" i="19"/>
  <c r="V49" i="19"/>
  <c r="W75" i="19"/>
  <c r="V75" i="19"/>
  <c r="Q28" i="19"/>
  <c r="P28" i="19"/>
  <c r="O28" i="19"/>
  <c r="Q25" i="19"/>
  <c r="P25" i="19"/>
  <c r="O25" i="19"/>
  <c r="O22" i="19"/>
  <c r="O21" i="19"/>
  <c r="P78" i="19"/>
  <c r="Q15" i="19"/>
  <c r="P15" i="19"/>
  <c r="O15" i="19"/>
  <c r="K25" i="19"/>
  <c r="J25" i="19"/>
  <c r="I25" i="19"/>
  <c r="I22" i="19"/>
  <c r="I21" i="19"/>
  <c r="K15" i="19"/>
  <c r="J15" i="19"/>
  <c r="I15" i="19"/>
  <c r="K76" i="19"/>
  <c r="K75" i="19"/>
  <c r="C22" i="19"/>
  <c r="C21" i="19"/>
  <c r="D77" i="19"/>
  <c r="E15" i="19"/>
  <c r="D15" i="19"/>
  <c r="C15" i="19"/>
  <c r="E76" i="19"/>
  <c r="E75" i="19"/>
  <c r="BE11" i="19"/>
  <c r="BE10" i="19"/>
  <c r="AD11" i="19"/>
  <c r="AE11" i="19" s="1"/>
  <c r="AE15" i="18" s="1"/>
  <c r="AD10" i="19"/>
  <c r="AE10" i="19" s="1"/>
  <c r="AE14" i="18" s="1"/>
  <c r="X11" i="19"/>
  <c r="Y11" i="19" s="1"/>
  <c r="Y15" i="18" s="1"/>
  <c r="X10" i="19"/>
  <c r="Y10" i="19" s="1"/>
  <c r="R11" i="19"/>
  <c r="S11" i="19" s="1"/>
  <c r="S15" i="18" s="1"/>
  <c r="R10" i="19"/>
  <c r="S10" i="19" s="1"/>
  <c r="S14" i="18" s="1"/>
  <c r="L11" i="19"/>
  <c r="M11" i="19" s="1"/>
  <c r="M15" i="18" s="1"/>
  <c r="L10" i="19"/>
  <c r="E9" i="19"/>
  <c r="E156" i="16" s="1"/>
  <c r="D9" i="19"/>
  <c r="D156" i="16" s="1"/>
  <c r="C9" i="19"/>
  <c r="C156" i="16" s="1"/>
  <c r="BG9" i="19"/>
  <c r="BG156" i="16" s="1"/>
  <c r="BF9" i="19"/>
  <c r="BB9" i="19"/>
  <c r="BB156" i="16" s="1"/>
  <c r="BA9" i="19"/>
  <c r="BA156" i="16" s="1"/>
  <c r="AZ9" i="19"/>
  <c r="AZ156" i="16" s="1"/>
  <c r="AY9" i="19"/>
  <c r="AY156" i="16" s="1"/>
  <c r="AV9" i="19"/>
  <c r="AV156" i="16" s="1"/>
  <c r="AU9" i="19"/>
  <c r="AU156" i="16" s="1"/>
  <c r="AT9" i="19"/>
  <c r="AT156" i="16" s="1"/>
  <c r="AS9" i="19"/>
  <c r="AS156" i="16" s="1"/>
  <c r="AP9" i="19"/>
  <c r="AP156" i="16" s="1"/>
  <c r="AO9" i="19"/>
  <c r="AO156" i="16" s="1"/>
  <c r="AN9" i="19"/>
  <c r="AN156" i="16" s="1"/>
  <c r="AM9" i="19"/>
  <c r="AM156" i="16" s="1"/>
  <c r="AJ9" i="19"/>
  <c r="AJ156" i="16" s="1"/>
  <c r="AI9" i="19"/>
  <c r="AI156" i="16" s="1"/>
  <c r="AH9" i="19"/>
  <c r="AH156" i="16" s="1"/>
  <c r="AG9" i="19"/>
  <c r="AG156" i="16" s="1"/>
  <c r="AC9" i="19"/>
  <c r="AC156" i="16" s="1"/>
  <c r="AB9" i="19"/>
  <c r="AB156" i="16" s="1"/>
  <c r="AA9" i="19"/>
  <c r="AA156" i="16" s="1"/>
  <c r="W9" i="19"/>
  <c r="W156" i="16" s="1"/>
  <c r="V9" i="19"/>
  <c r="V156" i="16" s="1"/>
  <c r="U9" i="19"/>
  <c r="U156" i="16" s="1"/>
  <c r="Q9" i="19"/>
  <c r="Q156" i="16" s="1"/>
  <c r="P9" i="19"/>
  <c r="P156" i="16" s="1"/>
  <c r="O9" i="19"/>
  <c r="O156" i="16" s="1"/>
  <c r="K9" i="19"/>
  <c r="K156" i="16" s="1"/>
  <c r="J9" i="19"/>
  <c r="J156" i="16" s="1"/>
  <c r="I9" i="19"/>
  <c r="I156" i="16" s="1"/>
  <c r="I8" i="19"/>
  <c r="J8" i="19" s="1"/>
  <c r="K8" i="19" s="1"/>
  <c r="L8" i="19" s="1"/>
  <c r="D8" i="19"/>
  <c r="E8" i="19" s="1"/>
  <c r="F8" i="19" s="1"/>
  <c r="M7" i="19"/>
  <c r="S7" i="19" s="1"/>
  <c r="Y7" i="19" s="1"/>
  <c r="AE7" i="19" s="1"/>
  <c r="AK7" i="19" s="1"/>
  <c r="I7" i="19"/>
  <c r="M7" i="48" s="1"/>
  <c r="BO203" i="18" l="1"/>
  <c r="AI53" i="48"/>
  <c r="BA19" i="77"/>
  <c r="AG53" i="48"/>
  <c r="I17" i="17"/>
  <c r="I26" i="17" s="1"/>
  <c r="I74" i="16" s="1"/>
  <c r="U17" i="17"/>
  <c r="AA17" i="17"/>
  <c r="AJ53" i="48"/>
  <c r="AJ54" i="48" s="1"/>
  <c r="AS34" i="17"/>
  <c r="AP115" i="77"/>
  <c r="AZ31" i="17"/>
  <c r="BA31" i="17" s="1"/>
  <c r="J25" i="17"/>
  <c r="K25" i="17" s="1"/>
  <c r="AM17" i="17"/>
  <c r="AT25" i="17"/>
  <c r="AU25" i="17" s="1"/>
  <c r="AV25" i="17" s="1"/>
  <c r="AM43" i="17"/>
  <c r="AP28" i="48"/>
  <c r="AP57" i="48" s="1"/>
  <c r="AZ25" i="17"/>
  <c r="AZ17" i="17" s="1"/>
  <c r="BI47" i="48"/>
  <c r="BO7" i="17"/>
  <c r="BU7" i="17" s="1"/>
  <c r="CA7" i="17" s="1"/>
  <c r="CG7" i="17" s="1"/>
  <c r="CM7" i="17" s="1"/>
  <c r="CS7" i="17" s="1"/>
  <c r="BK7" i="17"/>
  <c r="BQ7" i="17" s="1"/>
  <c r="BW7" i="17" s="1"/>
  <c r="CC7" i="17" s="1"/>
  <c r="CI7" i="17" s="1"/>
  <c r="CO7" i="17" s="1"/>
  <c r="AY19" i="77"/>
  <c r="DJ58" i="18"/>
  <c r="DJ59" i="18" s="1"/>
  <c r="BK239" i="18"/>
  <c r="BF239" i="18"/>
  <c r="BL239" i="18"/>
  <c r="DN307" i="18"/>
  <c r="DO308" i="18" s="1"/>
  <c r="AJ76" i="17"/>
  <c r="BB19" i="77"/>
  <c r="AY43" i="17"/>
  <c r="C36" i="16"/>
  <c r="C85" i="16" s="1"/>
  <c r="AT19" i="77"/>
  <c r="BL74" i="77"/>
  <c r="BR74" i="77" s="1"/>
  <c r="BX74" i="77" s="1"/>
  <c r="CD74" i="77" s="1"/>
  <c r="CJ74" i="77" s="1"/>
  <c r="CP74" i="77" s="1"/>
  <c r="AG17" i="17"/>
  <c r="AB38" i="17"/>
  <c r="AC38" i="17" s="1"/>
  <c r="AV223" i="18"/>
  <c r="AV220" i="18" s="1"/>
  <c r="AV207" i="18" s="1"/>
  <c r="AO53" i="48"/>
  <c r="AV68" i="77"/>
  <c r="AV19" i="77" s="1"/>
  <c r="AD53" i="48"/>
  <c r="P23" i="17"/>
  <c r="Q23" i="17" s="1"/>
  <c r="R23" i="17" s="1"/>
  <c r="AH18" i="17"/>
  <c r="AI18" i="17" s="1"/>
  <c r="AA43" i="17"/>
  <c r="BE68" i="77"/>
  <c r="BE72" i="77" s="1"/>
  <c r="AZ223" i="18"/>
  <c r="BC223" i="18" s="1"/>
  <c r="AM115" i="77"/>
  <c r="AN75" i="77"/>
  <c r="AN73" i="77" s="1"/>
  <c r="AZ68" i="77"/>
  <c r="AZ19" i="77" s="1"/>
  <c r="AP19" i="77"/>
  <c r="BF156" i="16"/>
  <c r="AW37" i="48"/>
  <c r="AW39" i="48" s="1"/>
  <c r="AW46" i="48"/>
  <c r="BR134" i="16"/>
  <c r="BR158" i="16"/>
  <c r="AM25" i="18"/>
  <c r="AO25" i="18"/>
  <c r="AS25" i="18"/>
  <c r="AY25" i="18"/>
  <c r="AU25" i="18"/>
  <c r="BA25" i="18"/>
  <c r="AN25" i="18"/>
  <c r="AP25" i="18"/>
  <c r="AT25" i="18"/>
  <c r="AZ25" i="18"/>
  <c r="AV25" i="18"/>
  <c r="BB25" i="18"/>
  <c r="AJ32" i="18"/>
  <c r="M32" i="18"/>
  <c r="V412" i="18"/>
  <c r="X412" i="18"/>
  <c r="AV415" i="18"/>
  <c r="AA14" i="77"/>
  <c r="AA18" i="77" s="1"/>
  <c r="AC60" i="18"/>
  <c r="DG53" i="18"/>
  <c r="DG56" i="18" s="1"/>
  <c r="DC53" i="18"/>
  <c r="DC56" i="18" s="1"/>
  <c r="DE53" i="18"/>
  <c r="DE56" i="18" s="1"/>
  <c r="X32" i="18"/>
  <c r="AB32" i="18"/>
  <c r="V32" i="18"/>
  <c r="BK25" i="18"/>
  <c r="BE25" i="18"/>
  <c r="BL25" i="18"/>
  <c r="BF25" i="18"/>
  <c r="AD32" i="18"/>
  <c r="AG32" i="18"/>
  <c r="AH32" i="18"/>
  <c r="AI32" i="18"/>
  <c r="AC178" i="18"/>
  <c r="AU97" i="18"/>
  <c r="BM60" i="19"/>
  <c r="J7" i="77"/>
  <c r="K7" i="77" s="1"/>
  <c r="L7" i="77" s="1"/>
  <c r="AS72" i="77"/>
  <c r="AY69" i="77" s="1"/>
  <c r="AH115" i="77"/>
  <c r="U7" i="77"/>
  <c r="AA7" i="77" s="1"/>
  <c r="AB7" i="77" s="1"/>
  <c r="AC7" i="77" s="1"/>
  <c r="AD7" i="77" s="1"/>
  <c r="BY74" i="77"/>
  <c r="CE74" i="77" s="1"/>
  <c r="CK74" i="77" s="1"/>
  <c r="CQ74" i="77" s="1"/>
  <c r="AM57" i="48"/>
  <c r="BC37" i="48"/>
  <c r="BC39" i="48" s="1"/>
  <c r="BU37" i="48"/>
  <c r="BU39" i="48" s="1"/>
  <c r="AJ58" i="48"/>
  <c r="J21" i="19"/>
  <c r="J101" i="16"/>
  <c r="Q12" i="17"/>
  <c r="Q114" i="16" s="1"/>
  <c r="P114" i="16"/>
  <c r="V114" i="16"/>
  <c r="AB101" i="16"/>
  <c r="AI11" i="17"/>
  <c r="AI101" i="16" s="1"/>
  <c r="AH101" i="16"/>
  <c r="AT115" i="16"/>
  <c r="AT116" i="16"/>
  <c r="BA11" i="17"/>
  <c r="BA21" i="19" s="1"/>
  <c r="AZ101" i="16"/>
  <c r="BF116" i="16"/>
  <c r="BF115" i="16"/>
  <c r="AN114" i="16"/>
  <c r="K29" i="17"/>
  <c r="K94" i="16" s="1"/>
  <c r="K95" i="16" s="1"/>
  <c r="J94" i="16"/>
  <c r="J95" i="16" s="1"/>
  <c r="W29" i="17"/>
  <c r="W94" i="16" s="1"/>
  <c r="W95" i="16" s="1"/>
  <c r="V94" i="16"/>
  <c r="V95" i="16" s="1"/>
  <c r="E37" i="17"/>
  <c r="F37" i="17" s="1"/>
  <c r="G37" i="17" s="1"/>
  <c r="D77" i="17"/>
  <c r="D76" i="17" s="1"/>
  <c r="D39" i="16"/>
  <c r="AT22" i="19"/>
  <c r="D21" i="19"/>
  <c r="D101" i="16"/>
  <c r="J116" i="16"/>
  <c r="J115" i="16"/>
  <c r="Q11" i="17"/>
  <c r="Q101" i="16" s="1"/>
  <c r="P101" i="16"/>
  <c r="W11" i="17"/>
  <c r="X11" i="17" s="1"/>
  <c r="V101" i="16"/>
  <c r="AC12" i="17"/>
  <c r="AC114" i="16" s="1"/>
  <c r="AB114" i="16"/>
  <c r="AH22" i="19"/>
  <c r="AH114" i="16"/>
  <c r="BA12" i="17"/>
  <c r="BA114" i="16" s="1"/>
  <c r="AZ114" i="16"/>
  <c r="BF101" i="16"/>
  <c r="AO11" i="17"/>
  <c r="AO101" i="16" s="1"/>
  <c r="AN101" i="16"/>
  <c r="E93" i="16"/>
  <c r="D104" i="16"/>
  <c r="Q29" i="17"/>
  <c r="Q94" i="16" s="1"/>
  <c r="Q95" i="16" s="1"/>
  <c r="P94" i="16"/>
  <c r="P95" i="16" s="1"/>
  <c r="AI29" i="17"/>
  <c r="AI94" i="16" s="1"/>
  <c r="AI95" i="16" s="1"/>
  <c r="AH94" i="16"/>
  <c r="AO29" i="17"/>
  <c r="AO94" i="16" s="1"/>
  <c r="AO95" i="16" s="1"/>
  <c r="AN94" i="16"/>
  <c r="AN95" i="16" s="1"/>
  <c r="BA29" i="17"/>
  <c r="BA94" i="16" s="1"/>
  <c r="BA95" i="16" s="1"/>
  <c r="AZ94" i="16"/>
  <c r="AZ95" i="16" s="1"/>
  <c r="J36" i="16"/>
  <c r="J77" i="17"/>
  <c r="J76" i="17" s="1"/>
  <c r="J39" i="16"/>
  <c r="AZ161" i="19"/>
  <c r="AT132" i="16"/>
  <c r="AT153" i="16" s="1"/>
  <c r="AT81" i="16"/>
  <c r="AT67" i="16"/>
  <c r="AT95" i="16"/>
  <c r="AA161" i="19"/>
  <c r="U132" i="16"/>
  <c r="U153" i="16" s="1"/>
  <c r="U67" i="16"/>
  <c r="U81" i="16"/>
  <c r="U95" i="16"/>
  <c r="C67" i="16"/>
  <c r="C132" i="16"/>
  <c r="C81" i="16"/>
  <c r="C95" i="16"/>
  <c r="AS69" i="16"/>
  <c r="AS68" i="16"/>
  <c r="AB161" i="19"/>
  <c r="V67" i="16"/>
  <c r="V132" i="16"/>
  <c r="V153" i="16" s="1"/>
  <c r="V81" i="16"/>
  <c r="D132" i="16"/>
  <c r="D81" i="16"/>
  <c r="D67" i="16"/>
  <c r="D95" i="16"/>
  <c r="O161" i="19"/>
  <c r="I67" i="16"/>
  <c r="I132" i="16"/>
  <c r="I153" i="16" s="1"/>
  <c r="I81" i="16"/>
  <c r="I95" i="16"/>
  <c r="E132" i="16"/>
  <c r="E81" i="16"/>
  <c r="E67" i="16"/>
  <c r="P161" i="19"/>
  <c r="J67" i="16"/>
  <c r="J132" i="16"/>
  <c r="J153" i="16" s="1"/>
  <c r="J81" i="16"/>
  <c r="AG161" i="19"/>
  <c r="AA95" i="16"/>
  <c r="AA67" i="16"/>
  <c r="AA132" i="16"/>
  <c r="AA153" i="16" s="1"/>
  <c r="AA81" i="16"/>
  <c r="AT161" i="19"/>
  <c r="AN81" i="16"/>
  <c r="AN132" i="16"/>
  <c r="AN153" i="16" s="1"/>
  <c r="AN67" i="16"/>
  <c r="BF161" i="19"/>
  <c r="AZ81" i="16"/>
  <c r="AZ67" i="16"/>
  <c r="AZ132" i="16"/>
  <c r="AZ153" i="16" s="1"/>
  <c r="BM161" i="19"/>
  <c r="BG132" i="16"/>
  <c r="BG153" i="16" s="1"/>
  <c r="BG67" i="16"/>
  <c r="BG81" i="16"/>
  <c r="AP161" i="19"/>
  <c r="AJ132" i="16"/>
  <c r="AJ153" i="16" s="1"/>
  <c r="AJ67" i="16"/>
  <c r="AJ81" i="16"/>
  <c r="AT68" i="16"/>
  <c r="AT69" i="16"/>
  <c r="AS161" i="19"/>
  <c r="AM81" i="16"/>
  <c r="AM132" i="16"/>
  <c r="AM153" i="16" s="1"/>
  <c r="AM67" i="16"/>
  <c r="AM95" i="16"/>
  <c r="Q161" i="19"/>
  <c r="K132" i="16"/>
  <c r="K153" i="16" s="1"/>
  <c r="K67" i="16"/>
  <c r="K81" i="16"/>
  <c r="AH161" i="19"/>
  <c r="AB67" i="16"/>
  <c r="AB95" i="16"/>
  <c r="AB132" i="16"/>
  <c r="AB153" i="16" s="1"/>
  <c r="AB81" i="16"/>
  <c r="AU161" i="19"/>
  <c r="AO81" i="16"/>
  <c r="AO132" i="16"/>
  <c r="AO153" i="16" s="1"/>
  <c r="AO67" i="16"/>
  <c r="BG161" i="19"/>
  <c r="BA81" i="16"/>
  <c r="BA67" i="16"/>
  <c r="BA132" i="16"/>
  <c r="BA153" i="16" s="1"/>
  <c r="AT80" i="16"/>
  <c r="AT79" i="16"/>
  <c r="BB69" i="16"/>
  <c r="BB68" i="16"/>
  <c r="W161" i="19"/>
  <c r="Q132" i="16"/>
  <c r="Q153" i="16" s="1"/>
  <c r="Q67" i="16"/>
  <c r="Q81" i="16"/>
  <c r="AO161" i="19"/>
  <c r="AI67" i="16"/>
  <c r="AI132" i="16"/>
  <c r="AI153" i="16" s="1"/>
  <c r="AI81" i="16"/>
  <c r="AJ68" i="16"/>
  <c r="AJ69" i="16"/>
  <c r="AC161" i="19"/>
  <c r="W67" i="16"/>
  <c r="W132" i="16"/>
  <c r="W153" i="16" s="1"/>
  <c r="W81" i="16"/>
  <c r="BE161" i="19"/>
  <c r="AY95" i="16"/>
  <c r="AY81" i="16"/>
  <c r="AY132" i="16"/>
  <c r="AY153" i="16" s="1"/>
  <c r="AY67" i="16"/>
  <c r="U161" i="19"/>
  <c r="O81" i="16"/>
  <c r="O132" i="16"/>
  <c r="O153" i="16" s="1"/>
  <c r="O95" i="16"/>
  <c r="O67" i="16"/>
  <c r="AI161" i="19"/>
  <c r="AC81" i="16"/>
  <c r="AC132" i="16"/>
  <c r="AC153" i="16" s="1"/>
  <c r="AC67" i="16"/>
  <c r="AV161" i="19"/>
  <c r="AP132" i="16"/>
  <c r="AP153" i="16" s="1"/>
  <c r="AP67" i="16"/>
  <c r="AP81" i="16"/>
  <c r="BH161" i="19"/>
  <c r="BB67" i="16"/>
  <c r="BB132" i="16"/>
  <c r="BB153" i="16" s="1"/>
  <c r="BB81" i="16"/>
  <c r="AN161" i="19"/>
  <c r="AH67" i="16"/>
  <c r="AH132" i="16"/>
  <c r="AH153" i="16" s="1"/>
  <c r="AH81" i="16"/>
  <c r="BA161" i="19"/>
  <c r="AU132" i="16"/>
  <c r="AU153" i="16" s="1"/>
  <c r="AU81" i="16"/>
  <c r="AU67" i="16"/>
  <c r="BB161" i="19"/>
  <c r="AV132" i="16"/>
  <c r="AV153" i="16" s="1"/>
  <c r="AV81" i="16"/>
  <c r="AV67" i="16"/>
  <c r="V161" i="19"/>
  <c r="P132" i="16"/>
  <c r="P153" i="16" s="1"/>
  <c r="P67" i="16"/>
  <c r="P81" i="16"/>
  <c r="AM161" i="19"/>
  <c r="AG67" i="16"/>
  <c r="AG132" i="16"/>
  <c r="AG153" i="16" s="1"/>
  <c r="AG81" i="16"/>
  <c r="AG95" i="16"/>
  <c r="AY161" i="19"/>
  <c r="AS67" i="16"/>
  <c r="AS132" i="16"/>
  <c r="AS153" i="16" s="1"/>
  <c r="AS81" i="16"/>
  <c r="AS95" i="16"/>
  <c r="BF67" i="16"/>
  <c r="BF132" i="16"/>
  <c r="BF153" i="16" s="1"/>
  <c r="BF81" i="16"/>
  <c r="BF95" i="16"/>
  <c r="BL161" i="19"/>
  <c r="AA53" i="48"/>
  <c r="AW47" i="48"/>
  <c r="AH21" i="19"/>
  <c r="AN21" i="19"/>
  <c r="BR126" i="19"/>
  <c r="AQ7" i="19"/>
  <c r="AK155" i="19"/>
  <c r="L14" i="18"/>
  <c r="L167" i="19"/>
  <c r="K31" i="19"/>
  <c r="AK86" i="19"/>
  <c r="AK102" i="19"/>
  <c r="X15" i="19"/>
  <c r="Y15" i="19" s="1"/>
  <c r="C31" i="19"/>
  <c r="AC12" i="77"/>
  <c r="AC134" i="19"/>
  <c r="AC136" i="19"/>
  <c r="AG136" i="19"/>
  <c r="AG134" i="19"/>
  <c r="AT12" i="77"/>
  <c r="AT134" i="19"/>
  <c r="AT136" i="19"/>
  <c r="V136" i="19"/>
  <c r="V134" i="19"/>
  <c r="AJ136" i="19"/>
  <c r="AJ134" i="19"/>
  <c r="AV12" i="77"/>
  <c r="AV134" i="19"/>
  <c r="AV136" i="19"/>
  <c r="D136" i="19"/>
  <c r="D134" i="19"/>
  <c r="O136" i="19"/>
  <c r="O134" i="19"/>
  <c r="AP134" i="19"/>
  <c r="AP136" i="19"/>
  <c r="AS134" i="19"/>
  <c r="AS136" i="19"/>
  <c r="Q136" i="19"/>
  <c r="Q134" i="19"/>
  <c r="U136" i="19"/>
  <c r="U134" i="19"/>
  <c r="C134" i="19"/>
  <c r="C136" i="19"/>
  <c r="I134" i="19"/>
  <c r="I136" i="19"/>
  <c r="W134" i="19"/>
  <c r="W136" i="19"/>
  <c r="AM134" i="19"/>
  <c r="AM136" i="19"/>
  <c r="AY136" i="19"/>
  <c r="AY134" i="19"/>
  <c r="E134" i="19"/>
  <c r="E136" i="19"/>
  <c r="BB12" i="77"/>
  <c r="BB134" i="19"/>
  <c r="BB136" i="19"/>
  <c r="AH136" i="19"/>
  <c r="AH134" i="19"/>
  <c r="AI136" i="19"/>
  <c r="AI134" i="19"/>
  <c r="J134" i="19"/>
  <c r="J136" i="19"/>
  <c r="AA12" i="77"/>
  <c r="AA134" i="19"/>
  <c r="AA136" i="19"/>
  <c r="AN136" i="19"/>
  <c r="AN134" i="19"/>
  <c r="AZ12" i="77"/>
  <c r="AZ136" i="19"/>
  <c r="AZ134" i="19"/>
  <c r="BI10" i="19"/>
  <c r="P136" i="19"/>
  <c r="P134" i="19"/>
  <c r="BF136" i="19"/>
  <c r="BF134" i="19"/>
  <c r="BG134" i="19"/>
  <c r="BG136" i="19"/>
  <c r="AU134" i="19"/>
  <c r="AU136" i="19"/>
  <c r="K134" i="19"/>
  <c r="K136" i="19"/>
  <c r="AB136" i="19"/>
  <c r="AB134" i="19"/>
  <c r="AO136" i="19"/>
  <c r="AO134" i="19"/>
  <c r="BA134" i="19"/>
  <c r="BA136" i="19"/>
  <c r="BI11" i="19"/>
  <c r="BW47" i="19"/>
  <c r="CC47" i="19" s="1"/>
  <c r="CI47" i="19" s="1"/>
  <c r="AZ22" i="19"/>
  <c r="BF21" i="19"/>
  <c r="AQ22" i="17"/>
  <c r="V22" i="19"/>
  <c r="AO12" i="17"/>
  <c r="BE14" i="18"/>
  <c r="BE13" i="18" s="1"/>
  <c r="BE15" i="18"/>
  <c r="AK90" i="19"/>
  <c r="W12" i="19"/>
  <c r="AI12" i="19"/>
  <c r="F108" i="19"/>
  <c r="F100" i="19" s="1"/>
  <c r="G100" i="19" s="1"/>
  <c r="AB76" i="17"/>
  <c r="AB21" i="19"/>
  <c r="BE76" i="17"/>
  <c r="BG11" i="17"/>
  <c r="BG101" i="16" s="1"/>
  <c r="BI16" i="17"/>
  <c r="BG18" i="17"/>
  <c r="BH18" i="17" s="1"/>
  <c r="BG20" i="17"/>
  <c r="BH20" i="17" s="1"/>
  <c r="BG22" i="17"/>
  <c r="BH22" i="17" s="1"/>
  <c r="BG24" i="17"/>
  <c r="BH24" i="17" s="1"/>
  <c r="BG29" i="17"/>
  <c r="BG94" i="16" s="1"/>
  <c r="BG95" i="16" s="1"/>
  <c r="BG32" i="17"/>
  <c r="BH32" i="17" s="1"/>
  <c r="BG37" i="17"/>
  <c r="BH37" i="17" s="1"/>
  <c r="BG12" i="17"/>
  <c r="BG114" i="16" s="1"/>
  <c r="BG14" i="17"/>
  <c r="BH14" i="17" s="1"/>
  <c r="BG19" i="17"/>
  <c r="BH19" i="17" s="1"/>
  <c r="BG21" i="17"/>
  <c r="BH21" i="17" s="1"/>
  <c r="BG23" i="17"/>
  <c r="BH23" i="17" s="1"/>
  <c r="BG25" i="17"/>
  <c r="BH25" i="17" s="1"/>
  <c r="BG30" i="17"/>
  <c r="BH30" i="17" s="1"/>
  <c r="BI30" i="17" s="1"/>
  <c r="BG33" i="17"/>
  <c r="BH33" i="17" s="1"/>
  <c r="BG40" i="17"/>
  <c r="BH40" i="17" s="1"/>
  <c r="BG38" i="17"/>
  <c r="BH38" i="17" s="1"/>
  <c r="BG45" i="17"/>
  <c r="BH45" i="17" s="1"/>
  <c r="CD77" i="77"/>
  <c r="BX76" i="77"/>
  <c r="CE77" i="77"/>
  <c r="BY76" i="77"/>
  <c r="CC74" i="77"/>
  <c r="CI74" i="77" s="1"/>
  <c r="CF74" i="77"/>
  <c r="CL74" i="77" s="1"/>
  <c r="CR74" i="77" s="1"/>
  <c r="BZ77" i="77"/>
  <c r="AQ81" i="77"/>
  <c r="BE6" i="18"/>
  <c r="BK6" i="18" s="1"/>
  <c r="BQ6" i="18" s="1"/>
  <c r="BW6" i="18" s="1"/>
  <c r="CC6" i="18" s="1"/>
  <c r="CI6" i="18" s="1"/>
  <c r="CO6" i="18" s="1"/>
  <c r="Y13" i="19"/>
  <c r="AK95" i="19"/>
  <c r="BC15" i="19"/>
  <c r="BN209" i="18"/>
  <c r="BT209" i="18" s="1"/>
  <c r="BZ209" i="18" s="1"/>
  <c r="CF209" i="18" s="1"/>
  <c r="CL209" i="18" s="1"/>
  <c r="CR209" i="18" s="1"/>
  <c r="BZ47" i="19"/>
  <c r="CF47" i="19" s="1"/>
  <c r="CL47" i="19" s="1"/>
  <c r="CR47" i="19" s="1"/>
  <c r="BX47" i="19"/>
  <c r="CD47" i="19" s="1"/>
  <c r="CJ47" i="19" s="1"/>
  <c r="CP47" i="19" s="1"/>
  <c r="BK209" i="18"/>
  <c r="BQ209" i="18" s="1"/>
  <c r="BI209" i="18"/>
  <c r="AA34" i="18"/>
  <c r="AV362" i="18"/>
  <c r="AQ437" i="18"/>
  <c r="X34" i="18"/>
  <c r="BC97" i="18"/>
  <c r="DX51" i="18"/>
  <c r="DX52" i="18"/>
  <c r="AS185" i="18"/>
  <c r="BO97" i="18"/>
  <c r="AH373" i="18"/>
  <c r="DV50" i="18"/>
  <c r="DW50" i="18"/>
  <c r="AS426" i="18"/>
  <c r="AI426" i="18"/>
  <c r="Y33" i="18"/>
  <c r="Y34" i="18" s="1"/>
  <c r="AU207" i="18"/>
  <c r="AS207" i="18"/>
  <c r="E43" i="18"/>
  <c r="AS69" i="18"/>
  <c r="AS85" i="77" s="1"/>
  <c r="AS87" i="77" s="1"/>
  <c r="AA50" i="18"/>
  <c r="DF59" i="18"/>
  <c r="AN220" i="18"/>
  <c r="AO220" i="18"/>
  <c r="AP220" i="18"/>
  <c r="I240" i="18"/>
  <c r="I26" i="18"/>
  <c r="J43" i="18"/>
  <c r="J10" i="18" s="1"/>
  <c r="Q43" i="18"/>
  <c r="AK322" i="18"/>
  <c r="AE322" i="18" s="1"/>
  <c r="W31" i="18"/>
  <c r="W34" i="18"/>
  <c r="D43" i="18"/>
  <c r="D13" i="77" s="1"/>
  <c r="D16" i="77" s="1"/>
  <c r="K43" i="18"/>
  <c r="K10" i="18" s="1"/>
  <c r="Y46" i="18"/>
  <c r="BK48" i="18"/>
  <c r="BK47" i="18" s="1"/>
  <c r="J240" i="18"/>
  <c r="DJ53" i="18"/>
  <c r="DJ56" i="18" s="1"/>
  <c r="AT426" i="18"/>
  <c r="CY59" i="18"/>
  <c r="DG59" i="18"/>
  <c r="DI307" i="18"/>
  <c r="P43" i="18"/>
  <c r="CZ59" i="18"/>
  <c r="DH59" i="18"/>
  <c r="F43" i="18"/>
  <c r="F13" i="77" s="1"/>
  <c r="F16" i="77" s="1"/>
  <c r="L43" i="18"/>
  <c r="R43" i="18"/>
  <c r="R10" i="18" s="1"/>
  <c r="CY56" i="18"/>
  <c r="DA59" i="18"/>
  <c r="DI59" i="18"/>
  <c r="AE31" i="18"/>
  <c r="AQ76" i="18"/>
  <c r="CZ56" i="18"/>
  <c r="DB59" i="18"/>
  <c r="BU97" i="18"/>
  <c r="CD223" i="18"/>
  <c r="CJ223" i="18" s="1"/>
  <c r="BR27" i="18"/>
  <c r="BS27" i="18" s="1"/>
  <c r="BC427" i="18"/>
  <c r="BS51" i="18"/>
  <c r="BS68" i="18"/>
  <c r="AQ426" i="18"/>
  <c r="BW245" i="18"/>
  <c r="DA56" i="18"/>
  <c r="DC59" i="18"/>
  <c r="BF177" i="18"/>
  <c r="BF585" i="18" s="1"/>
  <c r="CE223" i="18"/>
  <c r="CK223" i="18" s="1"/>
  <c r="V60" i="18"/>
  <c r="DD59" i="18"/>
  <c r="CF223" i="18"/>
  <c r="CL223" i="18" s="1"/>
  <c r="AJ92" i="19"/>
  <c r="AJ96" i="19" s="1"/>
  <c r="AJ122" i="19" s="1"/>
  <c r="AQ28" i="19"/>
  <c r="BI110" i="19"/>
  <c r="BI31" i="19" s="1"/>
  <c r="AG12" i="19"/>
  <c r="AW15" i="19"/>
  <c r="E49" i="19"/>
  <c r="BE101" i="19"/>
  <c r="BI101" i="19" s="1"/>
  <c r="R28" i="19"/>
  <c r="U12" i="19"/>
  <c r="AH12" i="19"/>
  <c r="AZ12" i="19"/>
  <c r="BE49" i="19"/>
  <c r="M13" i="19"/>
  <c r="BH80" i="77"/>
  <c r="BH78" i="77" s="1"/>
  <c r="BH76" i="77" s="1"/>
  <c r="AQ82" i="77"/>
  <c r="BC82" i="77"/>
  <c r="BC79" i="77"/>
  <c r="AH58" i="48"/>
  <c r="BC46" i="48"/>
  <c r="AH53" i="48"/>
  <c r="BO29" i="48"/>
  <c r="BO31" i="48" s="1"/>
  <c r="AE48" i="48"/>
  <c r="AI58" i="48"/>
  <c r="AD58" i="48"/>
  <c r="CC52" i="19"/>
  <c r="BG75" i="77"/>
  <c r="BN80" i="77"/>
  <c r="BN78" i="77" s="1"/>
  <c r="BN76" i="77" s="1"/>
  <c r="R18" i="77"/>
  <c r="AU13" i="18"/>
  <c r="AW18" i="19"/>
  <c r="AD76" i="19"/>
  <c r="AD143" i="19"/>
  <c r="AM63" i="19"/>
  <c r="AK25" i="19"/>
  <c r="G35" i="19"/>
  <c r="K19" i="19"/>
  <c r="AB12" i="19"/>
  <c r="AK15" i="19"/>
  <c r="AQ15" i="19"/>
  <c r="BB19" i="19"/>
  <c r="S35" i="19"/>
  <c r="AO77" i="19"/>
  <c r="AV12" i="19"/>
  <c r="AP19" i="19"/>
  <c r="R25" i="19"/>
  <c r="C19" i="19"/>
  <c r="L25" i="19"/>
  <c r="R15" i="19"/>
  <c r="S15" i="19" s="1"/>
  <c r="AD15" i="19"/>
  <c r="AE15" i="19" s="1"/>
  <c r="AU12" i="19"/>
  <c r="BA19" i="19"/>
  <c r="AE35" i="19"/>
  <c r="C86" i="19"/>
  <c r="AG16" i="18"/>
  <c r="AQ114" i="19"/>
  <c r="AQ31" i="19" s="1"/>
  <c r="AZ78" i="19"/>
  <c r="AD28" i="19"/>
  <c r="AE28" i="19" s="1"/>
  <c r="V19" i="19"/>
  <c r="X25" i="19"/>
  <c r="AJ19" i="19"/>
  <c r="AP12" i="19"/>
  <c r="BG12" i="19"/>
  <c r="F9" i="19"/>
  <c r="F156" i="16" s="1"/>
  <c r="S13" i="19"/>
  <c r="Q19" i="19"/>
  <c r="AQ14" i="19"/>
  <c r="AQ49" i="19" s="1"/>
  <c r="BE12" i="19"/>
  <c r="BC25" i="19"/>
  <c r="M35" i="19"/>
  <c r="AU31" i="19"/>
  <c r="AS13" i="18"/>
  <c r="AI16" i="18"/>
  <c r="BG80" i="77"/>
  <c r="BG78" i="77" s="1"/>
  <c r="BG76" i="77" s="1"/>
  <c r="AZ80" i="77"/>
  <c r="AZ78" i="77" s="1"/>
  <c r="AZ76" i="77" s="1"/>
  <c r="AW79" i="77"/>
  <c r="AW82" i="77"/>
  <c r="AQ79" i="77"/>
  <c r="BO82" i="77"/>
  <c r="AM80" i="77"/>
  <c r="AM78" i="77" s="1"/>
  <c r="AM66" i="77" s="1"/>
  <c r="AN31" i="18"/>
  <c r="DU52" i="18"/>
  <c r="AP321" i="18"/>
  <c r="AP334" i="18" s="1"/>
  <c r="V13" i="77"/>
  <c r="O10" i="18"/>
  <c r="J16" i="77"/>
  <c r="J17" i="77" s="1"/>
  <c r="BQ24" i="18"/>
  <c r="C16" i="77"/>
  <c r="X60" i="18"/>
  <c r="AN63" i="18"/>
  <c r="AK76" i="18"/>
  <c r="AW210" i="18"/>
  <c r="AK326" i="18"/>
  <c r="AE326" i="18" s="1"/>
  <c r="AP362" i="18"/>
  <c r="AI373" i="18"/>
  <c r="AK373" i="18"/>
  <c r="AN373" i="18"/>
  <c r="AP373" i="18"/>
  <c r="BI372" i="18"/>
  <c r="BC372" i="18"/>
  <c r="BC492" i="18"/>
  <c r="BC494" i="18"/>
  <c r="V48" i="19"/>
  <c r="L90" i="19"/>
  <c r="M90" i="19" s="1"/>
  <c r="P48" i="19"/>
  <c r="X31" i="19"/>
  <c r="F102" i="19"/>
  <c r="G102" i="19" s="1"/>
  <c r="AA16" i="18"/>
  <c r="AC16" i="18"/>
  <c r="AD9" i="19"/>
  <c r="AD156" i="16" s="1"/>
  <c r="AW31" i="19"/>
  <c r="AN80" i="77"/>
  <c r="AN78" i="77" s="1"/>
  <c r="AY80" i="77"/>
  <c r="AY78" i="77" s="1"/>
  <c r="BF80" i="77"/>
  <c r="BF78" i="77" s="1"/>
  <c r="BI82" i="77"/>
  <c r="BQ80" i="77"/>
  <c r="BQ78" i="77" s="1"/>
  <c r="BO79" i="77"/>
  <c r="BU81" i="77"/>
  <c r="AB22" i="19"/>
  <c r="AN22" i="19"/>
  <c r="AZ21" i="19"/>
  <c r="AP20" i="17"/>
  <c r="AQ20" i="17" s="1"/>
  <c r="P43" i="17"/>
  <c r="C76" i="17"/>
  <c r="AS76" i="17"/>
  <c r="AG76" i="17"/>
  <c r="J22" i="19"/>
  <c r="P21" i="19"/>
  <c r="P22" i="19"/>
  <c r="BF22" i="19"/>
  <c r="Y21" i="17"/>
  <c r="AP16" i="17"/>
  <c r="AQ16" i="17" s="1"/>
  <c r="J43" i="17"/>
  <c r="AT76" i="17"/>
  <c r="BU39" i="17"/>
  <c r="AE13" i="17"/>
  <c r="C26" i="17"/>
  <c r="E41" i="17"/>
  <c r="F41" i="17" s="1"/>
  <c r="F77" i="17" s="1"/>
  <c r="F76" i="17" s="1"/>
  <c r="K37" i="17"/>
  <c r="L37" i="17" s="1"/>
  <c r="V43" i="17"/>
  <c r="BG41" i="17"/>
  <c r="BG77" i="17" s="1"/>
  <c r="BM77" i="17"/>
  <c r="F21" i="17"/>
  <c r="G21" i="17" s="1"/>
  <c r="K21" i="17"/>
  <c r="L21" i="17" s="1"/>
  <c r="M21" i="17" s="1"/>
  <c r="AI15" i="17"/>
  <c r="AJ15" i="17" s="1"/>
  <c r="AI21" i="17"/>
  <c r="AJ21" i="17" s="1"/>
  <c r="AE15" i="17"/>
  <c r="AJ25" i="17"/>
  <c r="AK25" i="17" s="1"/>
  <c r="BC30" i="17"/>
  <c r="M39" i="17"/>
  <c r="AU41" i="17"/>
  <c r="AU77" i="17" s="1"/>
  <c r="AU76" i="17" s="1"/>
  <c r="BA39" i="17"/>
  <c r="BB39" i="17" s="1"/>
  <c r="BC39" i="17" s="1"/>
  <c r="I76" i="17"/>
  <c r="O76" i="17"/>
  <c r="U76" i="17"/>
  <c r="AM76" i="17"/>
  <c r="AY76" i="17"/>
  <c r="I23" i="19"/>
  <c r="O23" i="19"/>
  <c r="U23" i="19"/>
  <c r="K13" i="17"/>
  <c r="L13" i="17" s="1"/>
  <c r="M13" i="17" s="1"/>
  <c r="Y19" i="17"/>
  <c r="AQ15" i="17"/>
  <c r="AP21" i="17"/>
  <c r="AQ21" i="17" s="1"/>
  <c r="AU12" i="17"/>
  <c r="AV19" i="17"/>
  <c r="AW19" i="17" s="1"/>
  <c r="BA22" i="17"/>
  <c r="BB22" i="17" s="1"/>
  <c r="BA24" i="17"/>
  <c r="BB24" i="17" s="1"/>
  <c r="AC19" i="17"/>
  <c r="AC21" i="17"/>
  <c r="AD21" i="17" s="1"/>
  <c r="AC23" i="17"/>
  <c r="AD23" i="17" s="1"/>
  <c r="AE23" i="17" s="1"/>
  <c r="BG13" i="17"/>
  <c r="BH13" i="17" s="1"/>
  <c r="AO23" i="17"/>
  <c r="AP23" i="17" s="1"/>
  <c r="X25" i="17"/>
  <c r="Y25" i="17" s="1"/>
  <c r="F32" i="17"/>
  <c r="G32" i="17" s="1"/>
  <c r="W30" i="17"/>
  <c r="X30" i="17" s="1"/>
  <c r="Y30" i="17" s="1"/>
  <c r="X31" i="17"/>
  <c r="Y31" i="17" s="1"/>
  <c r="X32" i="17"/>
  <c r="Y32" i="17" s="1"/>
  <c r="AC29" i="17"/>
  <c r="AI30" i="17"/>
  <c r="AJ30" i="17" s="1"/>
  <c r="AK30" i="17" s="1"/>
  <c r="AU30" i="17"/>
  <c r="AV30" i="17" s="1"/>
  <c r="AV32" i="17"/>
  <c r="AW32" i="17" s="1"/>
  <c r="F39" i="17"/>
  <c r="G39" i="17" s="1"/>
  <c r="K41" i="17"/>
  <c r="L41" i="17" s="1"/>
  <c r="L77" i="17" s="1"/>
  <c r="L76" i="17" s="1"/>
  <c r="Q37" i="17"/>
  <c r="R37" i="17" s="1"/>
  <c r="S37" i="17" s="1"/>
  <c r="Q41" i="17"/>
  <c r="Q77" i="17" s="1"/>
  <c r="Q76" i="17" s="1"/>
  <c r="W37" i="17"/>
  <c r="X37" i="17" s="1"/>
  <c r="Y37" i="17" s="1"/>
  <c r="W39" i="17"/>
  <c r="X39" i="17" s="1"/>
  <c r="Y39" i="17" s="1"/>
  <c r="W41" i="17"/>
  <c r="W77" i="17" s="1"/>
  <c r="W76" i="17" s="1"/>
  <c r="AD40" i="17"/>
  <c r="AC41" i="17"/>
  <c r="AC77" i="17" s="1"/>
  <c r="AC76" i="17" s="1"/>
  <c r="AI37" i="17"/>
  <c r="AJ37" i="17" s="1"/>
  <c r="AO37" i="17"/>
  <c r="AO39" i="17"/>
  <c r="AP39" i="17" s="1"/>
  <c r="AO41" i="17"/>
  <c r="AO77" i="17" s="1"/>
  <c r="AO76" i="17" s="1"/>
  <c r="AV40" i="17"/>
  <c r="AW40" i="17" s="1"/>
  <c r="BA41" i="17"/>
  <c r="BA77" i="17" s="1"/>
  <c r="BA76" i="17" s="1"/>
  <c r="BO39" i="17"/>
  <c r="AK41" i="17"/>
  <c r="AK77" i="17" s="1"/>
  <c r="AK76" i="17" s="1"/>
  <c r="L45" i="17"/>
  <c r="M45" i="17" s="1"/>
  <c r="AC45" i="17"/>
  <c r="AD45" i="17" s="1"/>
  <c r="AE45" i="17" s="1"/>
  <c r="P76" i="17"/>
  <c r="AW78" i="17"/>
  <c r="AW41" i="19" s="1"/>
  <c r="AZ77" i="17"/>
  <c r="AZ76" i="17" s="1"/>
  <c r="AA23" i="19"/>
  <c r="AY23" i="19"/>
  <c r="BE23" i="19"/>
  <c r="BB14" i="17"/>
  <c r="BF17" i="17"/>
  <c r="AD30" i="17"/>
  <c r="AE30" i="17" s="1"/>
  <c r="AJ32" i="17"/>
  <c r="AP32" i="17"/>
  <c r="BB32" i="17"/>
  <c r="BG78" i="17"/>
  <c r="BG41" i="19" s="1"/>
  <c r="BC78" i="17"/>
  <c r="BC41" i="19" s="1"/>
  <c r="AQ43" i="48"/>
  <c r="BC17" i="48"/>
  <c r="BE17" i="48"/>
  <c r="BF17" i="48" s="1"/>
  <c r="BG17" i="48" s="1"/>
  <c r="AB53" i="48"/>
  <c r="AN53" i="48"/>
  <c r="AY49" i="48"/>
  <c r="BC49" i="48" s="1"/>
  <c r="BE49" i="48"/>
  <c r="BI49" i="48" s="1"/>
  <c r="AN58" i="48"/>
  <c r="AS53" i="48"/>
  <c r="AQ33" i="48"/>
  <c r="BU29" i="48"/>
  <c r="BU31" i="48" s="1"/>
  <c r="AG57" i="48"/>
  <c r="AK57" i="48" s="1"/>
  <c r="AK37" i="48"/>
  <c r="AK39" i="48" s="1"/>
  <c r="BO37" i="48"/>
  <c r="BO39" i="48" s="1"/>
  <c r="BC48" i="48"/>
  <c r="AO58" i="48"/>
  <c r="AY56" i="48"/>
  <c r="BC56" i="48" s="1"/>
  <c r="BQ11" i="77"/>
  <c r="BS11" i="77"/>
  <c r="BN11" i="77"/>
  <c r="BR11" i="77"/>
  <c r="BT11" i="77"/>
  <c r="AB60" i="48"/>
  <c r="AB61" i="48" s="1"/>
  <c r="AD60" i="48"/>
  <c r="AD61" i="48" s="1"/>
  <c r="AH60" i="48"/>
  <c r="AH61" i="48" s="1"/>
  <c r="AJ60" i="48"/>
  <c r="AJ61" i="48" s="1"/>
  <c r="AN60" i="48"/>
  <c r="AN62" i="48" s="1"/>
  <c r="AP60" i="48"/>
  <c r="AP62" i="48" s="1"/>
  <c r="AT60" i="48"/>
  <c r="AT62" i="48" s="1"/>
  <c r="AV60" i="48"/>
  <c r="AV62" i="48" s="1"/>
  <c r="AZ60" i="48"/>
  <c r="AZ62" i="48" s="1"/>
  <c r="BB60" i="48"/>
  <c r="BB62" i="48" s="1"/>
  <c r="BF60" i="48"/>
  <c r="BF62" i="48" s="1"/>
  <c r="AA60" i="48"/>
  <c r="BQ12" i="17"/>
  <c r="AU60" i="48"/>
  <c r="AU62" i="48" s="1"/>
  <c r="BA60" i="48"/>
  <c r="BA62" i="48" s="1"/>
  <c r="BS203" i="18"/>
  <c r="BT203" i="18" s="1"/>
  <c r="BR13" i="18"/>
  <c r="AQ33" i="18"/>
  <c r="AQ34" i="18" s="1"/>
  <c r="AK34" i="18"/>
  <c r="DT52" i="18"/>
  <c r="AI155" i="18"/>
  <c r="AM362" i="18"/>
  <c r="AH426" i="18"/>
  <c r="AP13" i="77"/>
  <c r="AN50" i="18"/>
  <c r="AO51" i="18"/>
  <c r="AP51" i="18" s="1"/>
  <c r="AQ51" i="18" s="1"/>
  <c r="BB53" i="18"/>
  <c r="BG146" i="18"/>
  <c r="BG147" i="18" s="1"/>
  <c r="AG155" i="18"/>
  <c r="DJ312" i="18"/>
  <c r="DK312" i="18"/>
  <c r="AK323" i="18"/>
  <c r="AE323" i="18" s="1"/>
  <c r="Y323" i="18" s="1"/>
  <c r="AK327" i="18"/>
  <c r="AJ327" i="18" s="1"/>
  <c r="AJ362" i="18"/>
  <c r="AN362" i="18"/>
  <c r="AT437" i="18"/>
  <c r="AV437" i="18"/>
  <c r="BI436" i="18"/>
  <c r="BO436" i="18"/>
  <c r="BC507" i="18"/>
  <c r="BC536" i="18"/>
  <c r="BC538" i="18"/>
  <c r="Q13" i="77"/>
  <c r="Q16" i="77" s="1"/>
  <c r="Q17" i="77" s="1"/>
  <c r="BN51" i="18"/>
  <c r="AQ9" i="18"/>
  <c r="AQ237" i="18" s="1"/>
  <c r="AO13" i="77"/>
  <c r="Y24" i="18"/>
  <c r="AA39" i="18"/>
  <c r="AQ24" i="18"/>
  <c r="AB271" i="18"/>
  <c r="AQ35" i="18"/>
  <c r="AQ36" i="18" s="1"/>
  <c r="S24" i="18"/>
  <c r="S26" i="18" s="1"/>
  <c r="X39" i="18"/>
  <c r="AB39" i="18"/>
  <c r="G44" i="18"/>
  <c r="M44" i="18"/>
  <c r="S44" i="18"/>
  <c r="AB44" i="18"/>
  <c r="G14" i="77"/>
  <c r="M14" i="77"/>
  <c r="M18" i="77" s="1"/>
  <c r="S14" i="77"/>
  <c r="BN63" i="18"/>
  <c r="BO63" i="18" s="1"/>
  <c r="BR50" i="18"/>
  <c r="BS52" i="18"/>
  <c r="DY51" i="18" s="1"/>
  <c r="BS55" i="18"/>
  <c r="BS63" i="18"/>
  <c r="DT51" i="18"/>
  <c r="AD50" i="18"/>
  <c r="AJ245" i="18" s="1"/>
  <c r="AY276" i="18"/>
  <c r="AY246" i="18"/>
  <c r="BB63" i="18"/>
  <c r="W412" i="18"/>
  <c r="W14" i="77"/>
  <c r="W94" i="77" s="1"/>
  <c r="W60" i="18"/>
  <c r="AB412" i="18"/>
  <c r="AB14" i="77"/>
  <c r="AB94" i="77" s="1"/>
  <c r="AB60" i="18"/>
  <c r="AD412" i="18"/>
  <c r="AD14" i="77"/>
  <c r="AD60" i="18"/>
  <c r="BM68" i="18"/>
  <c r="BG70" i="18"/>
  <c r="AN415" i="18"/>
  <c r="DD53" i="18"/>
  <c r="DD56" i="18" s="1"/>
  <c r="DF53" i="18"/>
  <c r="DF56" i="18" s="1"/>
  <c r="BM77" i="18"/>
  <c r="BC79" i="18"/>
  <c r="BC80" i="18" s="1"/>
  <c r="BM90" i="18"/>
  <c r="BN90" i="18" s="1"/>
  <c r="AW109" i="18"/>
  <c r="AV14" i="77"/>
  <c r="AV31" i="77" s="1"/>
  <c r="BG106" i="18"/>
  <c r="BH106" i="18" s="1"/>
  <c r="AT151" i="18"/>
  <c r="AY160" i="18"/>
  <c r="AY161" i="18" s="1"/>
  <c r="BG195" i="18"/>
  <c r="AT207" i="18"/>
  <c r="DL312" i="18"/>
  <c r="AK325" i="18"/>
  <c r="AJ325" i="18" s="1"/>
  <c r="AP325" i="18"/>
  <c r="AO325" i="18" s="1"/>
  <c r="AP328" i="18"/>
  <c r="AK328" i="18"/>
  <c r="AJ328" i="18" s="1"/>
  <c r="AV341" i="18"/>
  <c r="AV388" i="18" s="1"/>
  <c r="AU328" i="18"/>
  <c r="AU341" i="18" s="1"/>
  <c r="BC363" i="18"/>
  <c r="AP387" i="18"/>
  <c r="AM426" i="18"/>
  <c r="AJ426" i="18"/>
  <c r="AW467" i="18"/>
  <c r="BC484" i="18"/>
  <c r="BC481" i="18"/>
  <c r="BC485" i="18"/>
  <c r="BC528" i="18"/>
  <c r="BC525" i="18"/>
  <c r="BC529" i="18"/>
  <c r="R241" i="18"/>
  <c r="AG39" i="18"/>
  <c r="AU33" i="18"/>
  <c r="AW33" i="18" s="1"/>
  <c r="V39" i="18"/>
  <c r="AE24" i="18"/>
  <c r="R39" i="18"/>
  <c r="R239" i="18" s="1"/>
  <c r="AD39" i="18"/>
  <c r="AH39" i="18"/>
  <c r="Y44" i="18"/>
  <c r="BL50" i="18"/>
  <c r="BL275" i="18" s="1"/>
  <c r="AV50" i="18"/>
  <c r="AY275" i="18" s="1"/>
  <c r="BA57" i="18"/>
  <c r="BB57" i="18" s="1"/>
  <c r="BE57" i="18" s="1"/>
  <c r="AZ56" i="18"/>
  <c r="Y64" i="18"/>
  <c r="Y60" i="18" s="1"/>
  <c r="U14" i="77"/>
  <c r="U18" i="77" s="1"/>
  <c r="U60" i="18"/>
  <c r="BA68" i="18"/>
  <c r="BH68" i="18"/>
  <c r="AN70" i="18"/>
  <c r="AN69" i="18" s="1"/>
  <c r="AM69" i="18"/>
  <c r="BM70" i="18"/>
  <c r="BN70" i="18" s="1"/>
  <c r="BO70" i="18" s="1"/>
  <c r="AS415" i="18"/>
  <c r="AY71" i="18"/>
  <c r="AZ71" i="18" s="1"/>
  <c r="BA71" i="18" s="1"/>
  <c r="BB71" i="18" s="1"/>
  <c r="BI71" i="18"/>
  <c r="BE71" i="18" s="1"/>
  <c r="BF71" i="18" s="1"/>
  <c r="BG71" i="18" s="1"/>
  <c r="BH71" i="18" s="1"/>
  <c r="BF374" i="18"/>
  <c r="BG89" i="18"/>
  <c r="BG374" i="18" s="1"/>
  <c r="BA106" i="18"/>
  <c r="BB106" i="18" s="1"/>
  <c r="AV107" i="18"/>
  <c r="AT108" i="18"/>
  <c r="AU108" i="18" s="1"/>
  <c r="AV110" i="18" s="1"/>
  <c r="AS98" i="18"/>
  <c r="AK140" i="18"/>
  <c r="AQ258" i="18" s="1"/>
  <c r="AD148" i="18"/>
  <c r="AE148" i="18" s="1"/>
  <c r="AG148" i="18" s="1"/>
  <c r="AH148" i="18" s="1"/>
  <c r="AC271" i="18"/>
  <c r="DI312" i="18"/>
  <c r="DJ307" i="18"/>
  <c r="DK308" i="18" s="1"/>
  <c r="AP336" i="18"/>
  <c r="AP383" i="18" s="1"/>
  <c r="AO323" i="18"/>
  <c r="AO336" i="18" s="1"/>
  <c r="AP339" i="18"/>
  <c r="AP450" i="18" s="1"/>
  <c r="AO326" i="18"/>
  <c r="AN326" i="18" s="1"/>
  <c r="AV334" i="18"/>
  <c r="AU321" i="18"/>
  <c r="V14" i="77"/>
  <c r="AG13" i="77"/>
  <c r="AS13" i="77"/>
  <c r="AI50" i="18"/>
  <c r="BB50" i="18"/>
  <c r="BB275" i="18" s="1"/>
  <c r="AT276" i="18"/>
  <c r="BH63" i="18"/>
  <c r="BC51" i="18"/>
  <c r="AC412" i="18"/>
  <c r="AE64" i="18"/>
  <c r="AE60" i="18" s="1"/>
  <c r="AW72" i="18"/>
  <c r="AM415" i="18"/>
  <c r="AO415" i="18"/>
  <c r="AK69" i="18"/>
  <c r="BS77" i="18"/>
  <c r="BU90" i="18"/>
  <c r="AT105" i="18"/>
  <c r="AU106" i="18"/>
  <c r="V142" i="18"/>
  <c r="V139" i="18" s="1"/>
  <c r="BE177" i="18"/>
  <c r="BE585" i="18" s="1"/>
  <c r="AH155" i="18"/>
  <c r="BC210" i="18"/>
  <c r="DH312" i="18"/>
  <c r="AH362" i="18"/>
  <c r="AK362" i="18"/>
  <c r="AO362" i="18"/>
  <c r="AQ362" i="18"/>
  <c r="AU362" i="18"/>
  <c r="BI363" i="18"/>
  <c r="BU363" i="18"/>
  <c r="AQ373" i="18"/>
  <c r="AK426" i="18"/>
  <c r="AN426" i="18"/>
  <c r="AU426" i="18"/>
  <c r="BI427" i="18"/>
  <c r="AK437" i="18"/>
  <c r="BC517" i="18"/>
  <c r="X14" i="77"/>
  <c r="X45" i="77" s="1"/>
  <c r="AD19" i="77"/>
  <c r="AC14" i="77"/>
  <c r="AC45" i="77" s="1"/>
  <c r="BA13" i="77"/>
  <c r="K16" i="77"/>
  <c r="K17" i="77" s="1"/>
  <c r="AY72" i="77"/>
  <c r="AY220" i="18" s="1"/>
  <c r="S13" i="77"/>
  <c r="X19" i="77"/>
  <c r="AC13" i="77"/>
  <c r="AA19" i="77"/>
  <c r="AH13" i="77"/>
  <c r="S31" i="19"/>
  <c r="L9" i="19"/>
  <c r="L156" i="16" s="1"/>
  <c r="R31" i="19"/>
  <c r="G72" i="19"/>
  <c r="BI99" i="19"/>
  <c r="BU99" i="19"/>
  <c r="I16" i="18"/>
  <c r="K16" i="18"/>
  <c r="R9" i="19"/>
  <c r="R156" i="16" s="1"/>
  <c r="AA79" i="19"/>
  <c r="L101" i="19"/>
  <c r="M101" i="19" s="1"/>
  <c r="L102" i="19"/>
  <c r="M102" i="19" s="1"/>
  <c r="I9" i="18"/>
  <c r="L9" i="18" s="1"/>
  <c r="L18" i="77" s="1"/>
  <c r="E16" i="18"/>
  <c r="P16" i="18"/>
  <c r="U16" i="18"/>
  <c r="Y9" i="19"/>
  <c r="Y156" i="16" s="1"/>
  <c r="Y14" i="18"/>
  <c r="Y236" i="18" s="1"/>
  <c r="O7" i="19"/>
  <c r="AM53" i="19"/>
  <c r="AJ53" i="19"/>
  <c r="G11" i="19"/>
  <c r="G15" i="18" s="1"/>
  <c r="M263" i="18" s="1"/>
  <c r="M10" i="19"/>
  <c r="BA47" i="19"/>
  <c r="BG47" i="19" s="1"/>
  <c r="BS57" i="19"/>
  <c r="Q60" i="19"/>
  <c r="O79" i="19"/>
  <c r="X73" i="19"/>
  <c r="Y31" i="19"/>
  <c r="J203" i="18"/>
  <c r="Q203" i="18"/>
  <c r="R15" i="18"/>
  <c r="R292" i="18" s="1"/>
  <c r="Q16" i="18"/>
  <c r="X14" i="18"/>
  <c r="X13" i="18" s="1"/>
  <c r="AD15" i="18"/>
  <c r="AD292" i="18" s="1"/>
  <c r="AH203" i="18"/>
  <c r="AH16" i="18"/>
  <c r="AO16" i="18"/>
  <c r="AS16" i="18"/>
  <c r="V203" i="18"/>
  <c r="U207" i="18"/>
  <c r="P12" i="77"/>
  <c r="U12" i="77"/>
  <c r="W12" i="77"/>
  <c r="AG12" i="77"/>
  <c r="AI12" i="77"/>
  <c r="AM12" i="77"/>
  <c r="AO12" i="77"/>
  <c r="BF12" i="77"/>
  <c r="C12" i="77"/>
  <c r="E12" i="77"/>
  <c r="I12" i="77"/>
  <c r="K12" i="77"/>
  <c r="J60" i="19"/>
  <c r="V60" i="19"/>
  <c r="AN79" i="19"/>
  <c r="AP60" i="19"/>
  <c r="AZ60" i="19"/>
  <c r="BB60" i="19"/>
  <c r="S9" i="19"/>
  <c r="S156" i="16" s="1"/>
  <c r="X9" i="19"/>
  <c r="X156" i="16" s="1"/>
  <c r="AE9" i="19"/>
  <c r="Q53" i="19"/>
  <c r="AA53" i="19"/>
  <c r="G25" i="19"/>
  <c r="BU52" i="19"/>
  <c r="AU60" i="19"/>
  <c r="G71" i="19"/>
  <c r="BI102" i="19"/>
  <c r="BF11" i="18"/>
  <c r="BF238" i="18" s="1"/>
  <c r="F14" i="18"/>
  <c r="J16" i="18"/>
  <c r="L15" i="18"/>
  <c r="O292" i="18" s="1"/>
  <c r="P203" i="18"/>
  <c r="R14" i="18"/>
  <c r="R13" i="18" s="1"/>
  <c r="X15" i="18"/>
  <c r="AB203" i="18"/>
  <c r="AD14" i="18"/>
  <c r="AJ236" i="18" s="1"/>
  <c r="AK15" i="18"/>
  <c r="AK263" i="18" s="1"/>
  <c r="AN203" i="18"/>
  <c r="AP203" i="18"/>
  <c r="AY16" i="18"/>
  <c r="W207" i="18"/>
  <c r="BB230" i="18"/>
  <c r="BB231" i="18" s="1"/>
  <c r="O12" i="77"/>
  <c r="Q12" i="77"/>
  <c r="O19" i="77"/>
  <c r="V12" i="77"/>
  <c r="AB12" i="77"/>
  <c r="AH12" i="77"/>
  <c r="AJ12" i="77"/>
  <c r="AN12" i="77"/>
  <c r="AP12" i="77"/>
  <c r="AS12" i="77"/>
  <c r="AU12" i="77"/>
  <c r="AY12" i="77"/>
  <c r="BA12" i="77"/>
  <c r="BG12" i="77"/>
  <c r="D12" i="77"/>
  <c r="J12" i="77"/>
  <c r="AW67" i="17"/>
  <c r="BG43" i="48"/>
  <c r="P94" i="77"/>
  <c r="P45" i="77"/>
  <c r="P18" i="77"/>
  <c r="AU101" i="77"/>
  <c r="BA99" i="77" s="1"/>
  <c r="BA54" i="77" s="1"/>
  <c r="AU13" i="77"/>
  <c r="AJ13" i="77"/>
  <c r="AJ19" i="77"/>
  <c r="BN85" i="77"/>
  <c r="BL96" i="77"/>
  <c r="BL115" i="77"/>
  <c r="BM115" i="77"/>
  <c r="BM96" i="77"/>
  <c r="BN32" i="77"/>
  <c r="U13" i="77"/>
  <c r="AZ13" i="77"/>
  <c r="AZ101" i="77"/>
  <c r="BF98" i="77" s="1"/>
  <c r="AB19" i="77"/>
  <c r="AB13" i="77"/>
  <c r="AM72" i="77"/>
  <c r="AS69" i="77" s="1"/>
  <c r="AM13" i="77"/>
  <c r="AM19" i="77"/>
  <c r="W19" i="77"/>
  <c r="P13" i="77"/>
  <c r="P16" i="77" s="1"/>
  <c r="P17" i="77" s="1"/>
  <c r="X13" i="77"/>
  <c r="AD13" i="77"/>
  <c r="AI13" i="77"/>
  <c r="F18" i="77"/>
  <c r="AT72" i="77"/>
  <c r="AM73" i="77"/>
  <c r="O94" i="77"/>
  <c r="O45" i="77"/>
  <c r="AT101" i="77"/>
  <c r="AZ99" i="77" s="1"/>
  <c r="AZ54" i="77" s="1"/>
  <c r="AT13" i="77"/>
  <c r="AY13" i="77"/>
  <c r="BO77" i="77"/>
  <c r="BQ77" i="77"/>
  <c r="BU82" i="77"/>
  <c r="Q94" i="77"/>
  <c r="Q45" i="77"/>
  <c r="AN115" i="77"/>
  <c r="BA80" i="77"/>
  <c r="BA78" i="77" s="1"/>
  <c r="BC81" i="77"/>
  <c r="AI115" i="77"/>
  <c r="R94" i="77"/>
  <c r="R45" i="77"/>
  <c r="BB101" i="77"/>
  <c r="BH98" i="77" s="1"/>
  <c r="BB13" i="77"/>
  <c r="AO115" i="77"/>
  <c r="BA102" i="77"/>
  <c r="BA101" i="77"/>
  <c r="BG98" i="77" s="1"/>
  <c r="AW81" i="77"/>
  <c r="AS80" i="77"/>
  <c r="AN101" i="77"/>
  <c r="AT99" i="77" s="1"/>
  <c r="AN13" i="77"/>
  <c r="AG115" i="77"/>
  <c r="AN72" i="77"/>
  <c r="AT69" i="77" s="1"/>
  <c r="BI79" i="77"/>
  <c r="AS19" i="77"/>
  <c r="AJ115" i="77"/>
  <c r="BK71" i="77"/>
  <c r="BL80" i="77"/>
  <c r="BL78" i="77" s="1"/>
  <c r="BL76" i="77" s="1"/>
  <c r="AV101" i="77"/>
  <c r="BB99" i="77" s="1"/>
  <c r="AU75" i="77"/>
  <c r="AU68" i="77"/>
  <c r="AW71" i="77"/>
  <c r="BI81" i="77"/>
  <c r="BE80" i="77"/>
  <c r="BB72" i="77"/>
  <c r="BB220" i="18" s="1"/>
  <c r="BF68" i="77"/>
  <c r="BG70" i="77"/>
  <c r="AO72" i="77"/>
  <c r="BI77" i="77"/>
  <c r="BO81" i="77"/>
  <c r="BS83" i="77"/>
  <c r="BR80" i="77"/>
  <c r="BR78" i="77" s="1"/>
  <c r="AP72" i="77"/>
  <c r="BK80" i="77"/>
  <c r="BK78" i="77" s="1"/>
  <c r="BU79" i="77"/>
  <c r="AS73" i="77"/>
  <c r="BA72" i="77"/>
  <c r="BA220" i="18" s="1"/>
  <c r="BM80" i="77"/>
  <c r="BM78" i="77" s="1"/>
  <c r="BM76" i="77" s="1"/>
  <c r="AQ68" i="77"/>
  <c r="BI74" i="77"/>
  <c r="AV75" i="77"/>
  <c r="AU80" i="77"/>
  <c r="AU78" i="77" s="1"/>
  <c r="AU76" i="77" s="1"/>
  <c r="AV80" i="77"/>
  <c r="AV78" i="77" s="1"/>
  <c r="AV76" i="77" s="1"/>
  <c r="AZ75" i="77"/>
  <c r="AO80" i="77"/>
  <c r="AO78" i="77" s="1"/>
  <c r="AO76" i="77" s="1"/>
  <c r="BB80" i="77"/>
  <c r="BB78" i="77" s="1"/>
  <c r="BR85" i="77"/>
  <c r="BX85" i="77" s="1"/>
  <c r="BI71" i="77"/>
  <c r="AP80" i="77"/>
  <c r="AP78" i="77" s="1"/>
  <c r="AP76" i="77" s="1"/>
  <c r="AT80" i="77"/>
  <c r="AT78" i="77" s="1"/>
  <c r="BS85" i="77"/>
  <c r="BY85" i="77" s="1"/>
  <c r="AP101" i="77"/>
  <c r="AV99" i="77" s="1"/>
  <c r="AO101" i="77"/>
  <c r="AU99" i="77" s="1"/>
  <c r="BE25" i="48"/>
  <c r="BF25" i="48" s="1"/>
  <c r="BG25" i="48" s="1"/>
  <c r="BC25" i="48"/>
  <c r="AS48" i="48"/>
  <c r="AW48" i="48" s="1"/>
  <c r="AM56" i="48"/>
  <c r="AK29" i="48"/>
  <c r="AK31" i="48" s="1"/>
  <c r="AY33" i="48"/>
  <c r="AZ33" i="48" s="1"/>
  <c r="BA33" i="48" s="1"/>
  <c r="BB33" i="48" s="1"/>
  <c r="AW33" i="48"/>
  <c r="BC47" i="48"/>
  <c r="AM48" i="48"/>
  <c r="BE56" i="48"/>
  <c r="BE46" i="48"/>
  <c r="BI46" i="48" s="1"/>
  <c r="AE37" i="48"/>
  <c r="AE39" i="48" s="1"/>
  <c r="AG49" i="48"/>
  <c r="AK49" i="48" s="1"/>
  <c r="AG56" i="48"/>
  <c r="AG48" i="48"/>
  <c r="AK48" i="48" s="1"/>
  <c r="AE29" i="48"/>
  <c r="AE31" i="48" s="1"/>
  <c r="AC53" i="48"/>
  <c r="AK52" i="48"/>
  <c r="AP48" i="48"/>
  <c r="BE48" i="48"/>
  <c r="BI48" i="48" s="1"/>
  <c r="AM53" i="48"/>
  <c r="AP35" i="48"/>
  <c r="AP56" i="48" s="1"/>
  <c r="BG56" i="48"/>
  <c r="BC61" i="48"/>
  <c r="E14" i="17"/>
  <c r="K32" i="17"/>
  <c r="J34" i="17"/>
  <c r="R40" i="17"/>
  <c r="J8" i="17"/>
  <c r="K8" i="17" s="1"/>
  <c r="L8" i="17" s="1"/>
  <c r="O8" i="17"/>
  <c r="E11" i="17"/>
  <c r="E101" i="16" s="1"/>
  <c r="K19" i="17"/>
  <c r="L19" i="17" s="1"/>
  <c r="M19" i="17" s="1"/>
  <c r="Q20" i="17"/>
  <c r="Q24" i="17"/>
  <c r="R24" i="17" s="1"/>
  <c r="S24" i="17" s="1"/>
  <c r="AI20" i="17"/>
  <c r="AJ20" i="17" s="1"/>
  <c r="AP14" i="17"/>
  <c r="E33" i="17"/>
  <c r="F33" i="17" s="1"/>
  <c r="E19" i="17"/>
  <c r="D17" i="17"/>
  <c r="D26" i="17" s="1"/>
  <c r="D74" i="16" s="1"/>
  <c r="AI22" i="17"/>
  <c r="AU11" i="17"/>
  <c r="AU101" i="16" s="1"/>
  <c r="X15" i="17"/>
  <c r="Y15" i="17" s="1"/>
  <c r="BA23" i="17"/>
  <c r="AJ39" i="17"/>
  <c r="AK39" i="17" s="1"/>
  <c r="BR77" i="17"/>
  <c r="BS41" i="17"/>
  <c r="AT21" i="19"/>
  <c r="Q16" i="17"/>
  <c r="R16" i="17" s="1"/>
  <c r="AC11" i="17"/>
  <c r="AU18" i="17"/>
  <c r="AC24" i="17"/>
  <c r="K15" i="17"/>
  <c r="L15" i="17" s="1"/>
  <c r="AU13" i="17"/>
  <c r="AV13" i="17" s="1"/>
  <c r="AW13" i="17" s="1"/>
  <c r="BA21" i="17"/>
  <c r="AB17" i="17"/>
  <c r="AC18" i="17"/>
  <c r="AZ43" i="17"/>
  <c r="BA37" i="17"/>
  <c r="BB37" i="17" s="1"/>
  <c r="D40" i="17"/>
  <c r="K11" i="17"/>
  <c r="K101" i="16" s="1"/>
  <c r="Q22" i="17"/>
  <c r="R22" i="17" s="1"/>
  <c r="S22" i="17" s="1"/>
  <c r="X23" i="17"/>
  <c r="Y23" i="17" s="1"/>
  <c r="AI12" i="17"/>
  <c r="AI16" i="17"/>
  <c r="AJ16" i="17" s="1"/>
  <c r="AK16" i="17" s="1"/>
  <c r="AU14" i="17"/>
  <c r="AU24" i="17"/>
  <c r="E23" i="17"/>
  <c r="F23" i="17" s="1"/>
  <c r="X13" i="17"/>
  <c r="Y13" i="17" s="1"/>
  <c r="W24" i="17"/>
  <c r="AC14" i="17"/>
  <c r="AC22" i="17"/>
  <c r="AD22" i="17" s="1"/>
  <c r="BF31" i="17"/>
  <c r="BE34" i="17"/>
  <c r="W14" i="17"/>
  <c r="Q14" i="17"/>
  <c r="W20" i="17"/>
  <c r="AI14" i="17"/>
  <c r="AJ14" i="17" s="1"/>
  <c r="AK14" i="17" s="1"/>
  <c r="E15" i="17"/>
  <c r="F15" i="17" s="1"/>
  <c r="K23" i="17"/>
  <c r="L23" i="17" s="1"/>
  <c r="W16" i="17"/>
  <c r="X16" i="17" s="1"/>
  <c r="AO25" i="17"/>
  <c r="AP25" i="17" s="1"/>
  <c r="E16" i="17"/>
  <c r="E20" i="17"/>
  <c r="F20" i="17" s="1"/>
  <c r="E24" i="17"/>
  <c r="F24" i="17" s="1"/>
  <c r="G24" i="17" s="1"/>
  <c r="K12" i="17"/>
  <c r="K16" i="17"/>
  <c r="L16" i="17" s="1"/>
  <c r="K20" i="17"/>
  <c r="L20" i="17" s="1"/>
  <c r="K24" i="17"/>
  <c r="L24" i="17" s="1"/>
  <c r="M24" i="17" s="1"/>
  <c r="W12" i="17"/>
  <c r="W114" i="16" s="1"/>
  <c r="W22" i="17"/>
  <c r="X22" i="17" s="1"/>
  <c r="AU22" i="17"/>
  <c r="AV22" i="17" s="1"/>
  <c r="AA34" i="17"/>
  <c r="AB33" i="17"/>
  <c r="AB34" i="17" s="1"/>
  <c r="AH43" i="17"/>
  <c r="AI40" i="17"/>
  <c r="E10" i="17"/>
  <c r="E13" i="17"/>
  <c r="F13" i="17" s="1"/>
  <c r="G25" i="17"/>
  <c r="R18" i="17"/>
  <c r="AJ24" i="17"/>
  <c r="AK24" i="17" s="1"/>
  <c r="AV15" i="17"/>
  <c r="AW15" i="17" s="1"/>
  <c r="BC18" i="17"/>
  <c r="AC16" i="17"/>
  <c r="R38" i="17"/>
  <c r="E18" i="17"/>
  <c r="F18" i="17" s="1"/>
  <c r="E22" i="17"/>
  <c r="F22" i="17" s="1"/>
  <c r="G22" i="17" s="1"/>
  <c r="K10" i="17"/>
  <c r="K14" i="17"/>
  <c r="L14" i="17" s="1"/>
  <c r="K18" i="17"/>
  <c r="K22" i="17"/>
  <c r="L22" i="17" s="1"/>
  <c r="M22" i="17" s="1"/>
  <c r="AV16" i="17"/>
  <c r="AW16" i="17" s="1"/>
  <c r="AW20" i="17"/>
  <c r="BA15" i="17"/>
  <c r="D34" i="17"/>
  <c r="E29" i="17"/>
  <c r="E94" i="16" s="1"/>
  <c r="E95" i="16" s="1"/>
  <c r="R45" i="17"/>
  <c r="S45" i="17" s="1"/>
  <c r="E12" i="17"/>
  <c r="V17" i="17"/>
  <c r="W18" i="17"/>
  <c r="AO19" i="17"/>
  <c r="R33" i="17"/>
  <c r="S33" i="17" s="1"/>
  <c r="AO31" i="17"/>
  <c r="AU23" i="17"/>
  <c r="AV23" i="17" s="1"/>
  <c r="AW23" i="17" s="1"/>
  <c r="M31" i="17"/>
  <c r="AD31" i="17"/>
  <c r="AE31" i="17" s="1"/>
  <c r="AT38" i="17"/>
  <c r="AU21" i="17"/>
  <c r="AV21" i="17" s="1"/>
  <c r="AD20" i="17"/>
  <c r="AE20" i="17" s="1"/>
  <c r="AP18" i="17"/>
  <c r="AN17" i="17"/>
  <c r="L33" i="17"/>
  <c r="M33" i="17" s="1"/>
  <c r="Q31" i="17"/>
  <c r="R31" i="17" s="1"/>
  <c r="AV31" i="17"/>
  <c r="AW31" i="17" s="1"/>
  <c r="BA45" i="17"/>
  <c r="F30" i="17"/>
  <c r="G30" i="17" s="1"/>
  <c r="AN33" i="17"/>
  <c r="AN34" i="17" s="1"/>
  <c r="AU37" i="17"/>
  <c r="AV37" i="17" s="1"/>
  <c r="BE43" i="17"/>
  <c r="BF77" i="17"/>
  <c r="BF76" i="17" s="1"/>
  <c r="AS43" i="17"/>
  <c r="BB13" i="17"/>
  <c r="BC13" i="17" s="1"/>
  <c r="BB19" i="17"/>
  <c r="BC19" i="17" s="1"/>
  <c r="AZ16" i="17"/>
  <c r="BA16" i="17" s="1"/>
  <c r="BB16" i="17" s="1"/>
  <c r="E31" i="17"/>
  <c r="F31" i="17" s="1"/>
  <c r="K30" i="17"/>
  <c r="L30" i="17" s="1"/>
  <c r="M30" i="17" s="1"/>
  <c r="AU29" i="17"/>
  <c r="AU94" i="16" s="1"/>
  <c r="AH31" i="17"/>
  <c r="AH34" i="17" s="1"/>
  <c r="P34" i="17"/>
  <c r="AV39" i="17"/>
  <c r="AW39" i="17" s="1"/>
  <c r="R30" i="17"/>
  <c r="S30" i="17" s="1"/>
  <c r="AD32" i="17"/>
  <c r="AT33" i="17"/>
  <c r="AP38" i="17"/>
  <c r="AI45" i="17"/>
  <c r="AJ45" i="17" s="1"/>
  <c r="X33" i="17"/>
  <c r="Y33" i="17" s="1"/>
  <c r="BB33" i="17"/>
  <c r="BC33" i="17" s="1"/>
  <c r="L40" i="17"/>
  <c r="V76" i="17"/>
  <c r="BA40" i="17"/>
  <c r="W45" i="17"/>
  <c r="X45" i="17" s="1"/>
  <c r="Y45" i="17" s="1"/>
  <c r="AP24" i="17"/>
  <c r="AQ24" i="17" s="1"/>
  <c r="AC25" i="17"/>
  <c r="V34" i="17"/>
  <c r="AM34" i="17"/>
  <c r="L38" i="17"/>
  <c r="AP40" i="17"/>
  <c r="BA38" i="17"/>
  <c r="C43" i="17"/>
  <c r="D38" i="17"/>
  <c r="BI67" i="17"/>
  <c r="R32" i="17"/>
  <c r="AI77" i="17"/>
  <c r="AI76" i="17" s="1"/>
  <c r="BC67" i="17"/>
  <c r="AA76" i="17"/>
  <c r="AH77" i="17"/>
  <c r="AH76" i="17" s="1"/>
  <c r="R39" i="17"/>
  <c r="S39" i="17" s="1"/>
  <c r="X38" i="17"/>
  <c r="X40" i="17"/>
  <c r="AD37" i="17"/>
  <c r="AD39" i="17"/>
  <c r="AE39" i="17" s="1"/>
  <c r="AN43" i="17"/>
  <c r="AN76" i="17"/>
  <c r="F45" i="17"/>
  <c r="G45" i="17" s="1"/>
  <c r="AP45" i="17"/>
  <c r="AQ45" i="17" s="1"/>
  <c r="M69" i="17"/>
  <c r="M70" i="17"/>
  <c r="AU45" i="17"/>
  <c r="AV45" i="17" s="1"/>
  <c r="M65" i="17"/>
  <c r="S61" i="17" s="1"/>
  <c r="BO26" i="18"/>
  <c r="BC37" i="18"/>
  <c r="BC38" i="18" s="1"/>
  <c r="W236" i="18"/>
  <c r="W16" i="18"/>
  <c r="W13" i="18"/>
  <c r="W230" i="18"/>
  <c r="W231" i="18" s="1"/>
  <c r="AV38" i="18"/>
  <c r="AQ37" i="18"/>
  <c r="AQ38" i="18" s="1"/>
  <c r="AP38" i="18"/>
  <c r="AP31" i="18"/>
  <c r="AP32" i="18" s="1"/>
  <c r="AM275" i="18"/>
  <c r="AM245" i="18"/>
  <c r="AY33" i="18"/>
  <c r="AK173" i="18"/>
  <c r="AQ6" i="18"/>
  <c r="BF230" i="18"/>
  <c r="BF231" i="18" s="1"/>
  <c r="BF236" i="18"/>
  <c r="G26" i="18"/>
  <c r="G39" i="18"/>
  <c r="BI58" i="18"/>
  <c r="BN24" i="18"/>
  <c r="AV412" i="18"/>
  <c r="AV60" i="18"/>
  <c r="AA267" i="18"/>
  <c r="X267" i="18"/>
  <c r="X237" i="18"/>
  <c r="AJ230" i="18"/>
  <c r="AJ231" i="18" s="1"/>
  <c r="AJ13" i="18"/>
  <c r="AY203" i="18"/>
  <c r="BN75" i="18"/>
  <c r="BN100" i="18"/>
  <c r="BO100" i="18" s="1"/>
  <c r="C11" i="18"/>
  <c r="I238" i="18" s="1"/>
  <c r="C16" i="18"/>
  <c r="C9" i="18"/>
  <c r="F28" i="18"/>
  <c r="AK238" i="18"/>
  <c r="AS51" i="18"/>
  <c r="AT50" i="18"/>
  <c r="AU275" i="18" s="1"/>
  <c r="F292" i="18"/>
  <c r="F207" i="18"/>
  <c r="O7" i="18"/>
  <c r="J7" i="18"/>
  <c r="K7" i="18" s="1"/>
  <c r="L7" i="18" s="1"/>
  <c r="AU292" i="18"/>
  <c r="AV292" i="18"/>
  <c r="AU263" i="18"/>
  <c r="AU16" i="18"/>
  <c r="AW15" i="18"/>
  <c r="AT69" i="18"/>
  <c r="AU71" i="18"/>
  <c r="AJ415" i="18"/>
  <c r="AK415" i="18" s="1"/>
  <c r="AK72" i="18"/>
  <c r="AJ73" i="18"/>
  <c r="AK73" i="18" s="1"/>
  <c r="AM73" i="18" s="1"/>
  <c r="AN73" i="18" s="1"/>
  <c r="AO73" i="18" s="1"/>
  <c r="AP73" i="18" s="1"/>
  <c r="AQ73" i="18" s="1"/>
  <c r="AS73" i="18" s="1"/>
  <c r="AT73" i="18" s="1"/>
  <c r="DB53" i="18"/>
  <c r="DB56" i="18" s="1"/>
  <c r="AW432" i="18"/>
  <c r="AW368" i="18"/>
  <c r="D230" i="18"/>
  <c r="D231" i="18" s="1"/>
  <c r="O236" i="18"/>
  <c r="O230" i="18"/>
  <c r="O231" i="18" s="1"/>
  <c r="O16" i="18"/>
  <c r="O13" i="18"/>
  <c r="O48" i="19" s="1"/>
  <c r="AP292" i="18"/>
  <c r="AP263" i="18"/>
  <c r="AV263" i="18"/>
  <c r="AI270" i="18"/>
  <c r="AI240" i="18"/>
  <c r="AV339" i="18"/>
  <c r="AU326" i="18"/>
  <c r="AB236" i="18"/>
  <c r="AB230" i="18"/>
  <c r="AB231" i="18" s="1"/>
  <c r="AB16" i="18"/>
  <c r="V292" i="18"/>
  <c r="V207" i="18"/>
  <c r="V263" i="18"/>
  <c r="DE59" i="18"/>
  <c r="BF50" i="18"/>
  <c r="AZ246" i="18"/>
  <c r="AZ276" i="18"/>
  <c r="U268" i="18"/>
  <c r="R268" i="18"/>
  <c r="E292" i="18"/>
  <c r="E207" i="18"/>
  <c r="P292" i="18"/>
  <c r="P263" i="18"/>
  <c r="P207" i="18"/>
  <c r="AI236" i="18"/>
  <c r="AI230" i="18"/>
  <c r="AI231" i="18" s="1"/>
  <c r="AI13" i="18"/>
  <c r="AN292" i="18"/>
  <c r="AN16" i="18"/>
  <c r="AT292" i="18"/>
  <c r="AT263" i="18"/>
  <c r="AT16" i="18"/>
  <c r="BC237" i="18"/>
  <c r="E29" i="18"/>
  <c r="E30" i="18" s="1"/>
  <c r="D29" i="18"/>
  <c r="P271" i="18"/>
  <c r="P241" i="18"/>
  <c r="P39" i="18"/>
  <c r="X241" i="18"/>
  <c r="BB33" i="18"/>
  <c r="AV31" i="18"/>
  <c r="AS35" i="18"/>
  <c r="AS31" i="18" s="1"/>
  <c r="AM31" i="18"/>
  <c r="AM32" i="18" s="1"/>
  <c r="AK24" i="18"/>
  <c r="BI47" i="18"/>
  <c r="BG51" i="18"/>
  <c r="AY102" i="18"/>
  <c r="AZ103" i="18" s="1"/>
  <c r="DK57" i="18"/>
  <c r="AY99" i="18"/>
  <c r="AN263" i="18"/>
  <c r="AP267" i="18"/>
  <c r="AO230" i="18"/>
  <c r="AO231" i="18" s="1"/>
  <c r="AO237" i="18"/>
  <c r="AO267" i="18"/>
  <c r="AU237" i="18"/>
  <c r="W270" i="18"/>
  <c r="W240" i="18"/>
  <c r="W36" i="18"/>
  <c r="Q31" i="18"/>
  <c r="Q32" i="18" s="1"/>
  <c r="AZ275" i="18"/>
  <c r="BS96" i="18"/>
  <c r="AZ230" i="18"/>
  <c r="AZ231" i="18" s="1"/>
  <c r="AZ236" i="18"/>
  <c r="AZ13" i="18"/>
  <c r="AZ48" i="19" s="1"/>
  <c r="K240" i="18"/>
  <c r="K39" i="18"/>
  <c r="K26" i="18"/>
  <c r="X240" i="18"/>
  <c r="X270" i="18"/>
  <c r="AJ270" i="18"/>
  <c r="AJ240" i="18"/>
  <c r="AV240" i="18"/>
  <c r="AV270" i="18"/>
  <c r="BG26" i="18"/>
  <c r="BH26" i="18" s="1"/>
  <c r="BH24" i="18" s="1"/>
  <c r="AD241" i="18"/>
  <c r="AD271" i="18"/>
  <c r="S35" i="18"/>
  <c r="AU53" i="18"/>
  <c r="DI52" i="18"/>
  <c r="W63" i="18"/>
  <c r="BA89" i="18"/>
  <c r="BN96" i="18"/>
  <c r="BO96" i="18" s="1"/>
  <c r="BR190" i="18"/>
  <c r="AG267" i="18"/>
  <c r="AD267" i="18"/>
  <c r="AD237" i="18"/>
  <c r="AJ237" i="18"/>
  <c r="AO11" i="18"/>
  <c r="D16" i="18"/>
  <c r="AC236" i="18"/>
  <c r="AC230" i="18"/>
  <c r="AC231" i="18" s="1"/>
  <c r="AC13" i="18"/>
  <c r="AC48" i="19" s="1"/>
  <c r="AH263" i="18"/>
  <c r="AH292" i="18"/>
  <c r="AH207" i="18"/>
  <c r="AP16" i="18"/>
  <c r="BA236" i="18"/>
  <c r="BA230" i="18"/>
  <c r="BA231" i="18" s="1"/>
  <c r="BA13" i="18"/>
  <c r="AS236" i="18"/>
  <c r="O270" i="18"/>
  <c r="O240" i="18"/>
  <c r="AA270" i="18"/>
  <c r="AA240" i="18"/>
  <c r="AM270" i="18"/>
  <c r="AM240" i="18"/>
  <c r="AY270" i="18"/>
  <c r="AY240" i="18"/>
  <c r="BC24" i="18"/>
  <c r="V241" i="18"/>
  <c r="AU35" i="18"/>
  <c r="BA35" i="18" s="1"/>
  <c r="BT58" i="18"/>
  <c r="BU58" i="18" s="1"/>
  <c r="AC63" i="18"/>
  <c r="BS87" i="18"/>
  <c r="U139" i="18"/>
  <c r="AK189" i="18"/>
  <c r="AQ223" i="18"/>
  <c r="AM220" i="18"/>
  <c r="I268" i="18"/>
  <c r="J268" i="18"/>
  <c r="O238" i="18"/>
  <c r="AA236" i="18"/>
  <c r="AA230" i="18"/>
  <c r="AA231" i="18" s="1"/>
  <c r="AA13" i="18"/>
  <c r="AA48" i="19" s="1"/>
  <c r="AM236" i="18"/>
  <c r="AM230" i="18"/>
  <c r="AM231" i="18" s="1"/>
  <c r="AM13" i="18"/>
  <c r="BG236" i="18"/>
  <c r="BG230" i="18"/>
  <c r="BG231" i="18" s="1"/>
  <c r="BG13" i="18"/>
  <c r="AU270" i="18"/>
  <c r="AU240" i="18"/>
  <c r="AZ33" i="18"/>
  <c r="AT31" i="18"/>
  <c r="J39" i="18"/>
  <c r="BN58" i="18"/>
  <c r="BO58" i="18" s="1"/>
  <c r="AT322" i="18"/>
  <c r="AA268" i="18"/>
  <c r="X268" i="18"/>
  <c r="X238" i="18"/>
  <c r="E230" i="18"/>
  <c r="E231" i="18" s="1"/>
  <c r="J292" i="18"/>
  <c r="J263" i="18"/>
  <c r="J207" i="18"/>
  <c r="AE263" i="18"/>
  <c r="L11" i="18"/>
  <c r="L19" i="77" s="1"/>
  <c r="D269" i="18"/>
  <c r="AY48" i="19"/>
  <c r="U267" i="18"/>
  <c r="R267" i="18"/>
  <c r="AG268" i="18"/>
  <c r="AD268" i="18"/>
  <c r="AJ238" i="18"/>
  <c r="D13" i="18"/>
  <c r="D48" i="19" s="1"/>
  <c r="C207" i="18"/>
  <c r="S230" i="18"/>
  <c r="S231" i="18" s="1"/>
  <c r="S13" i="18"/>
  <c r="S16" i="18"/>
  <c r="DH313" i="18" s="1"/>
  <c r="DG314" i="18" s="1"/>
  <c r="W263" i="18"/>
  <c r="W292" i="18"/>
  <c r="AE230" i="18"/>
  <c r="AE231" i="18" s="1"/>
  <c r="AE16" i="18"/>
  <c r="AE13" i="18"/>
  <c r="AJ16" i="18"/>
  <c r="AY292" i="18"/>
  <c r="AY263" i="18"/>
  <c r="Q270" i="18"/>
  <c r="Q240" i="18"/>
  <c r="AC270" i="18"/>
  <c r="AC240" i="18"/>
  <c r="AO270" i="18"/>
  <c r="AO240" i="18"/>
  <c r="BA240" i="18"/>
  <c r="BA270" i="18"/>
  <c r="AJ241" i="18"/>
  <c r="AJ271" i="18"/>
  <c r="AJ39" i="18"/>
  <c r="U31" i="18"/>
  <c r="AA32" i="18" s="1"/>
  <c r="U36" i="18"/>
  <c r="Y35" i="18"/>
  <c r="E269" i="18"/>
  <c r="BQ245" i="18"/>
  <c r="AA412" i="18"/>
  <c r="AA60" i="18"/>
  <c r="BF364" i="18"/>
  <c r="BG79" i="18"/>
  <c r="BM209" i="18"/>
  <c r="BS209" i="18" s="1"/>
  <c r="BY209" i="18" s="1"/>
  <c r="CE209" i="18" s="1"/>
  <c r="CK209" i="18" s="1"/>
  <c r="CQ209" i="18" s="1"/>
  <c r="AD238" i="18"/>
  <c r="AY236" i="18"/>
  <c r="AY230" i="18"/>
  <c r="AY231" i="18" s="1"/>
  <c r="BF240" i="18"/>
  <c r="BF270" i="18"/>
  <c r="BB100" i="18"/>
  <c r="AG203" i="18"/>
  <c r="BO49" i="18"/>
  <c r="AW55" i="18"/>
  <c r="AP415" i="18"/>
  <c r="AQ72" i="18"/>
  <c r="AJ154" i="18"/>
  <c r="AK154" i="18" s="1"/>
  <c r="AM154" i="18" s="1"/>
  <c r="AN189" i="18"/>
  <c r="AK237" i="18"/>
  <c r="E13" i="18"/>
  <c r="K236" i="18"/>
  <c r="K230" i="18"/>
  <c r="K231" i="18" s="1"/>
  <c r="K13" i="18"/>
  <c r="K48" i="19" s="1"/>
  <c r="O263" i="18"/>
  <c r="O207" i="18"/>
  <c r="U236" i="18"/>
  <c r="U230" i="18"/>
  <c r="U231" i="18" s="1"/>
  <c r="U13" i="18"/>
  <c r="AM292" i="18"/>
  <c r="AM263" i="18"/>
  <c r="AM16" i="18"/>
  <c r="AQ15" i="18"/>
  <c r="AO31" i="18"/>
  <c r="AO32" i="18" s="1"/>
  <c r="AA36" i="18"/>
  <c r="AK36" i="18"/>
  <c r="AV63" i="18"/>
  <c r="BN87" i="18"/>
  <c r="P270" i="18"/>
  <c r="J236" i="18"/>
  <c r="J230" i="18"/>
  <c r="J231" i="18" s="1"/>
  <c r="U263" i="18"/>
  <c r="AC292" i="18"/>
  <c r="AC207" i="18"/>
  <c r="AC263" i="18"/>
  <c r="AH236" i="18"/>
  <c r="AH230" i="18"/>
  <c r="AH231" i="18" s="1"/>
  <c r="AP236" i="18"/>
  <c r="AV236" i="18"/>
  <c r="AP230" i="18"/>
  <c r="AP231" i="18" s="1"/>
  <c r="AS292" i="18"/>
  <c r="AS263" i="18"/>
  <c r="V270" i="18"/>
  <c r="V240" i="18"/>
  <c r="AH240" i="18"/>
  <c r="AH270" i="18"/>
  <c r="AT270" i="18"/>
  <c r="AT240" i="18"/>
  <c r="AI271" i="18"/>
  <c r="AI241" i="18"/>
  <c r="M24" i="18"/>
  <c r="I256" i="18"/>
  <c r="O256" i="18"/>
  <c r="AD45" i="18"/>
  <c r="AD44" i="18" s="1"/>
  <c r="AH275" i="18"/>
  <c r="BK245" i="18"/>
  <c r="AE258" i="18"/>
  <c r="AJ278" i="18"/>
  <c r="D144" i="18"/>
  <c r="C145" i="18"/>
  <c r="AU150" i="18"/>
  <c r="D292" i="18"/>
  <c r="I292" i="18"/>
  <c r="I263" i="18"/>
  <c r="I207" i="18"/>
  <c r="Q263" i="18"/>
  <c r="Q292" i="18"/>
  <c r="Q207" i="18"/>
  <c r="V236" i="18"/>
  <c r="V230" i="18"/>
  <c r="V231" i="18" s="1"/>
  <c r="Y263" i="18"/>
  <c r="AG263" i="18"/>
  <c r="AG207" i="18"/>
  <c r="AO292" i="18"/>
  <c r="AO263" i="18"/>
  <c r="BB236" i="18"/>
  <c r="BC238" i="18"/>
  <c r="P240" i="18"/>
  <c r="AB270" i="18"/>
  <c r="AB240" i="18"/>
  <c r="AN270" i="18"/>
  <c r="AN240" i="18"/>
  <c r="AZ270" i="18"/>
  <c r="AZ240" i="18"/>
  <c r="BK240" i="18"/>
  <c r="O271" i="18"/>
  <c r="O241" i="18"/>
  <c r="I39" i="18"/>
  <c r="AC39" i="18"/>
  <c r="F269" i="18"/>
  <c r="AC44" i="18"/>
  <c r="BS100" i="18"/>
  <c r="W142" i="18"/>
  <c r="X141" i="18"/>
  <c r="AO353" i="18"/>
  <c r="AU260" i="18"/>
  <c r="AU602" i="18" s="1"/>
  <c r="AU189" i="18"/>
  <c r="BS189" i="18"/>
  <c r="K292" i="18"/>
  <c r="K263" i="18"/>
  <c r="K207" i="18"/>
  <c r="K208" i="18" s="1"/>
  <c r="P236" i="18"/>
  <c r="P230" i="18"/>
  <c r="P231" i="18" s="1"/>
  <c r="S263" i="18"/>
  <c r="V16" i="18"/>
  <c r="AA263" i="18"/>
  <c r="AA207" i="18"/>
  <c r="AI292" i="18"/>
  <c r="AI263" i="18"/>
  <c r="AI207" i="18"/>
  <c r="AN236" i="18"/>
  <c r="AN230" i="18"/>
  <c r="AN231" i="18" s="1"/>
  <c r="AT236" i="18"/>
  <c r="AT230" i="18"/>
  <c r="AT231" i="18" s="1"/>
  <c r="AV466" i="18"/>
  <c r="AV402" i="18"/>
  <c r="AV404" i="18" s="1"/>
  <c r="AV229" i="18"/>
  <c r="AV232" i="18"/>
  <c r="R270" i="18"/>
  <c r="R240" i="18"/>
  <c r="AD270" i="18"/>
  <c r="AD240" i="18"/>
  <c r="AP270" i="18"/>
  <c r="AP240" i="18"/>
  <c r="BB240" i="18"/>
  <c r="BB270" i="18"/>
  <c r="AA271" i="18"/>
  <c r="AG271" i="18"/>
  <c r="AG241" i="18"/>
  <c r="M241" i="18"/>
  <c r="O39" i="18"/>
  <c r="AI39" i="18"/>
  <c r="BA275" i="18"/>
  <c r="BA245" i="18"/>
  <c r="BI52" i="18"/>
  <c r="BS70" i="18"/>
  <c r="AT415" i="18"/>
  <c r="DH53" i="18"/>
  <c r="DH56" i="18" s="1"/>
  <c r="D207" i="18"/>
  <c r="I236" i="18"/>
  <c r="Q236" i="18"/>
  <c r="Q230" i="18"/>
  <c r="Q231" i="18" s="1"/>
  <c r="AB292" i="18"/>
  <c r="AB263" i="18"/>
  <c r="AB207" i="18"/>
  <c r="AG236" i="18"/>
  <c r="AG230" i="18"/>
  <c r="AG231" i="18" s="1"/>
  <c r="AJ292" i="18"/>
  <c r="AJ207" i="18"/>
  <c r="AO236" i="18"/>
  <c r="AU236" i="18"/>
  <c r="U270" i="18"/>
  <c r="U240" i="18"/>
  <c r="AG270" i="18"/>
  <c r="AG240" i="18"/>
  <c r="AS270" i="18"/>
  <c r="AS240" i="18"/>
  <c r="BE270" i="18"/>
  <c r="BE240" i="18"/>
  <c r="AB241" i="18"/>
  <c r="AH271" i="18"/>
  <c r="AH241" i="18"/>
  <c r="M35" i="18"/>
  <c r="M36" i="18" s="1"/>
  <c r="AK31" i="18"/>
  <c r="AW24" i="18"/>
  <c r="L239" i="18"/>
  <c r="BE245" i="18"/>
  <c r="AU415" i="18"/>
  <c r="DI53" i="18"/>
  <c r="DI56" i="18" s="1"/>
  <c r="AT162" i="18"/>
  <c r="U65" i="18"/>
  <c r="V65" i="18" s="1"/>
  <c r="W65" i="18" s="1"/>
  <c r="X65" i="18" s="1"/>
  <c r="BI101" i="18"/>
  <c r="BI97" i="18" s="1"/>
  <c r="U152" i="18"/>
  <c r="DM312" i="18"/>
  <c r="DN312" i="18"/>
  <c r="AY334" i="18"/>
  <c r="AZ321" i="18"/>
  <c r="AE51" i="18"/>
  <c r="BA276" i="18"/>
  <c r="BK223" i="18"/>
  <c r="BI223" i="18"/>
  <c r="AQ210" i="18"/>
  <c r="AZ329" i="18"/>
  <c r="AW422" i="18"/>
  <c r="AW426" i="18" s="1"/>
  <c r="AW358" i="18"/>
  <c r="AW362" i="18" s="1"/>
  <c r="BB189" i="18"/>
  <c r="DL307" i="18"/>
  <c r="DL308" i="18" s="1"/>
  <c r="BB325" i="18"/>
  <c r="AT320" i="18"/>
  <c r="BW191" i="18"/>
  <c r="AN320" i="18"/>
  <c r="AK324" i="18"/>
  <c r="AP324" i="18"/>
  <c r="AS329" i="18"/>
  <c r="AS342" i="18" s="1"/>
  <c r="AN322" i="18"/>
  <c r="AP329" i="18"/>
  <c r="AK329" i="18"/>
  <c r="AS323" i="18"/>
  <c r="AV340" i="18"/>
  <c r="AU327" i="18"/>
  <c r="BA327" i="18"/>
  <c r="AZ328" i="18"/>
  <c r="AT324" i="18"/>
  <c r="BA326" i="18"/>
  <c r="AW418" i="18"/>
  <c r="DG307" i="18"/>
  <c r="AZ323" i="18"/>
  <c r="AQ403" i="18"/>
  <c r="AJ321" i="18"/>
  <c r="AE321" i="18"/>
  <c r="AT325" i="18"/>
  <c r="AZ322" i="18"/>
  <c r="DM307" i="18"/>
  <c r="AK320" i="18"/>
  <c r="AZ320" i="18"/>
  <c r="BO372" i="18"/>
  <c r="DH307" i="18"/>
  <c r="BA324" i="18"/>
  <c r="AQ418" i="18"/>
  <c r="AO327" i="18"/>
  <c r="BU372" i="18"/>
  <c r="AU373" i="18"/>
  <c r="AV373" i="18"/>
  <c r="AS362" i="18"/>
  <c r="BO363" i="18"/>
  <c r="AJ373" i="18"/>
  <c r="AT373" i="18"/>
  <c r="AU437" i="18"/>
  <c r="AM373" i="18"/>
  <c r="BC518" i="18"/>
  <c r="BC516" i="18"/>
  <c r="AW403" i="18"/>
  <c r="AT362" i="18"/>
  <c r="BC436" i="18"/>
  <c r="AI362" i="18"/>
  <c r="AG373" i="18"/>
  <c r="BU427" i="18"/>
  <c r="AO373" i="18"/>
  <c r="AM437" i="18"/>
  <c r="AJ437" i="18"/>
  <c r="AS373" i="18"/>
  <c r="AK418" i="18"/>
  <c r="AV426" i="18"/>
  <c r="BO427" i="18"/>
  <c r="AO426" i="18"/>
  <c r="AP426" i="18"/>
  <c r="AQ467" i="18"/>
  <c r="AH437" i="18"/>
  <c r="AN437" i="18"/>
  <c r="AO437" i="18"/>
  <c r="AP437" i="18"/>
  <c r="BU436" i="18"/>
  <c r="BC506" i="18"/>
  <c r="BC503" i="18"/>
  <c r="AI437" i="18"/>
  <c r="AG437" i="18"/>
  <c r="AS437" i="18"/>
  <c r="U79" i="19"/>
  <c r="U60" i="19"/>
  <c r="W143" i="19"/>
  <c r="W144" i="19" s="1"/>
  <c r="W92" i="19"/>
  <c r="W96" i="19" s="1"/>
  <c r="W122" i="19" s="1"/>
  <c r="W53" i="19"/>
  <c r="W78" i="19"/>
  <c r="J76" i="19"/>
  <c r="J49" i="19"/>
  <c r="AH143" i="19"/>
  <c r="AH144" i="19" s="1"/>
  <c r="AH78" i="19"/>
  <c r="AH92" i="19"/>
  <c r="AH96" i="19" s="1"/>
  <c r="AH122" i="19" s="1"/>
  <c r="AH63" i="19"/>
  <c r="AH53" i="19"/>
  <c r="AV141" i="19"/>
  <c r="AV142" i="19" s="1"/>
  <c r="AV88" i="19"/>
  <c r="AV91" i="19" s="1"/>
  <c r="AV121" i="19" s="1"/>
  <c r="AV62" i="19"/>
  <c r="I60" i="19"/>
  <c r="BG139" i="19"/>
  <c r="BG159" i="19" s="1"/>
  <c r="BG140" i="19"/>
  <c r="BG160" i="19" s="1"/>
  <c r="BG79" i="19"/>
  <c r="BG60" i="19"/>
  <c r="AA19" i="19"/>
  <c r="AM23" i="19"/>
  <c r="AU76" i="19"/>
  <c r="AU49" i="19"/>
  <c r="AU143" i="19"/>
  <c r="AU144" i="19" s="1"/>
  <c r="AU78" i="19"/>
  <c r="AU92" i="19"/>
  <c r="AU96" i="19" s="1"/>
  <c r="AU122" i="19" s="1"/>
  <c r="AU63" i="19"/>
  <c r="AU53" i="19"/>
  <c r="AY76" i="19"/>
  <c r="AY49" i="19"/>
  <c r="BC14" i="19"/>
  <c r="BC76" i="19" s="1"/>
  <c r="BC13" i="19"/>
  <c r="AV48" i="19"/>
  <c r="AU62" i="19"/>
  <c r="AV75" i="19"/>
  <c r="AG60" i="19"/>
  <c r="AK9" i="19"/>
  <c r="AS60" i="19"/>
  <c r="AW9" i="19"/>
  <c r="AY60" i="19"/>
  <c r="AY79" i="19"/>
  <c r="BC9" i="19"/>
  <c r="D141" i="19"/>
  <c r="D142" i="19" s="1"/>
  <c r="D52" i="19"/>
  <c r="D88" i="19"/>
  <c r="D91" i="19" s="1"/>
  <c r="D121" i="19" s="1"/>
  <c r="J75" i="19"/>
  <c r="J48" i="19"/>
  <c r="K79" i="19"/>
  <c r="K60" i="19"/>
  <c r="AH60" i="19"/>
  <c r="AH79" i="19"/>
  <c r="AT60" i="19"/>
  <c r="E141" i="19"/>
  <c r="E142" i="19" s="1"/>
  <c r="E88" i="19"/>
  <c r="E91" i="19" s="1"/>
  <c r="E121" i="19" s="1"/>
  <c r="E52" i="19"/>
  <c r="E77" i="19"/>
  <c r="E19" i="19"/>
  <c r="K12" i="19"/>
  <c r="U76" i="19"/>
  <c r="U49" i="19"/>
  <c r="AA75" i="19"/>
  <c r="AA12" i="19"/>
  <c r="O8" i="19"/>
  <c r="AB60" i="19"/>
  <c r="AI60" i="19"/>
  <c r="AI79" i="19"/>
  <c r="AO60" i="19"/>
  <c r="BA60" i="19"/>
  <c r="BA79" i="19"/>
  <c r="E12" i="19"/>
  <c r="C144" i="19"/>
  <c r="C92" i="19"/>
  <c r="C96" i="19" s="1"/>
  <c r="C122" i="19" s="1"/>
  <c r="C78" i="19"/>
  <c r="C53" i="19"/>
  <c r="C23" i="19"/>
  <c r="L15" i="19"/>
  <c r="M15" i="19" s="1"/>
  <c r="J143" i="19"/>
  <c r="J144" i="19" s="1"/>
  <c r="J92" i="19"/>
  <c r="J96" i="19" s="1"/>
  <c r="J122" i="19" s="1"/>
  <c r="J53" i="19"/>
  <c r="J78" i="19"/>
  <c r="P143" i="19"/>
  <c r="P144" i="19" s="1"/>
  <c r="P92" i="19"/>
  <c r="P96" i="19" s="1"/>
  <c r="P122" i="19" s="1"/>
  <c r="P53" i="19"/>
  <c r="V12" i="19"/>
  <c r="V143" i="19"/>
  <c r="V144" i="19" s="1"/>
  <c r="V78" i="19"/>
  <c r="V92" i="19"/>
  <c r="V96" i="19" s="1"/>
  <c r="V122" i="19" s="1"/>
  <c r="V53" i="19"/>
  <c r="AB75" i="19"/>
  <c r="AB48" i="19"/>
  <c r="AJ75" i="19"/>
  <c r="AJ141" i="19"/>
  <c r="AJ142" i="19" s="1"/>
  <c r="AJ88" i="19"/>
  <c r="AJ91" i="19" s="1"/>
  <c r="AJ121" i="19" s="1"/>
  <c r="AJ77" i="19"/>
  <c r="AJ52" i="19"/>
  <c r="AP76" i="19"/>
  <c r="AP49" i="19"/>
  <c r="AN88" i="19"/>
  <c r="AN91" i="19" s="1"/>
  <c r="AN121" i="19" s="1"/>
  <c r="AN141" i="19"/>
  <c r="AN142" i="19" s="1"/>
  <c r="AN62" i="19"/>
  <c r="AN77" i="19"/>
  <c r="AN52" i="19"/>
  <c r="AN19" i="19"/>
  <c r="AT75" i="19"/>
  <c r="AT48" i="19"/>
  <c r="AT88" i="19"/>
  <c r="AT91" i="19" s="1"/>
  <c r="AT121" i="19" s="1"/>
  <c r="AT141" i="19"/>
  <c r="AT142" i="19" s="1"/>
  <c r="AT77" i="19"/>
  <c r="AT52" i="19"/>
  <c r="AT62" i="19"/>
  <c r="AV19" i="19"/>
  <c r="BG76" i="19"/>
  <c r="AZ88" i="19"/>
  <c r="AZ91" i="19" s="1"/>
  <c r="AZ121" i="19" s="1"/>
  <c r="AZ62" i="19"/>
  <c r="AZ77" i="19"/>
  <c r="AZ141" i="19"/>
  <c r="AZ142" i="19" s="1"/>
  <c r="AZ52" i="19"/>
  <c r="AZ19" i="19"/>
  <c r="AV52" i="19"/>
  <c r="AY53" i="19"/>
  <c r="AJ79" i="19"/>
  <c r="BR31" i="19"/>
  <c r="BU106" i="19"/>
  <c r="AG143" i="19"/>
  <c r="AG144" i="19" s="1"/>
  <c r="AG92" i="19"/>
  <c r="AG96" i="19" s="1"/>
  <c r="AG122" i="19" s="1"/>
  <c r="AG78" i="19"/>
  <c r="AG53" i="19"/>
  <c r="AG63" i="19"/>
  <c r="AM75" i="19"/>
  <c r="AQ13" i="19"/>
  <c r="AM12" i="19"/>
  <c r="AO19" i="19"/>
  <c r="BB46" i="19"/>
  <c r="E143" i="19"/>
  <c r="E144" i="19" s="1"/>
  <c r="E92" i="19"/>
  <c r="E96" i="19" s="1"/>
  <c r="E122" i="19" s="1"/>
  <c r="E53" i="19"/>
  <c r="E78" i="19"/>
  <c r="P49" i="19"/>
  <c r="P76" i="19"/>
  <c r="S69" i="19"/>
  <c r="R73" i="19"/>
  <c r="AE71" i="19"/>
  <c r="AZ79" i="19"/>
  <c r="O60" i="19"/>
  <c r="W60" i="19"/>
  <c r="W79" i="19"/>
  <c r="J12" i="19"/>
  <c r="I141" i="19"/>
  <c r="I142" i="19" s="1"/>
  <c r="I77" i="19"/>
  <c r="I88" i="19"/>
  <c r="I91" i="19" s="1"/>
  <c r="I121" i="19" s="1"/>
  <c r="I19" i="19"/>
  <c r="P12" i="19"/>
  <c r="O141" i="19"/>
  <c r="O142" i="19" s="1"/>
  <c r="O88" i="19"/>
  <c r="O91" i="19" s="1"/>
  <c r="O121" i="19" s="1"/>
  <c r="O77" i="19"/>
  <c r="O19" i="19"/>
  <c r="AI76" i="19"/>
  <c r="AI49" i="19"/>
  <c r="AI143" i="19"/>
  <c r="AI144" i="19" s="1"/>
  <c r="AI78" i="19"/>
  <c r="AI53" i="19"/>
  <c r="AI63" i="19"/>
  <c r="AI92" i="19"/>
  <c r="AI96" i="19" s="1"/>
  <c r="AI122" i="19" s="1"/>
  <c r="AK28" i="19"/>
  <c r="AO12" i="19"/>
  <c r="AO75" i="19"/>
  <c r="AQ25" i="19"/>
  <c r="AS46" i="19"/>
  <c r="AS76" i="19"/>
  <c r="AS49" i="19"/>
  <c r="AW14" i="19"/>
  <c r="AW76" i="19" s="1"/>
  <c r="AS16" i="19"/>
  <c r="AS143" i="19"/>
  <c r="AS144" i="19" s="1"/>
  <c r="AS92" i="19"/>
  <c r="AS96" i="19" s="1"/>
  <c r="AS122" i="19" s="1"/>
  <c r="AS78" i="19"/>
  <c r="AS63" i="19"/>
  <c r="AS53" i="19"/>
  <c r="AZ75" i="19"/>
  <c r="BE75" i="19"/>
  <c r="BB76" i="19"/>
  <c r="BB49" i="19"/>
  <c r="AY63" i="19"/>
  <c r="BG88" i="19"/>
  <c r="BG91" i="19" s="1"/>
  <c r="BG121" i="19" s="1"/>
  <c r="BG77" i="19"/>
  <c r="BG52" i="19"/>
  <c r="BG62" i="19"/>
  <c r="F28" i="19"/>
  <c r="O52" i="19"/>
  <c r="AA60" i="19"/>
  <c r="AG79" i="19"/>
  <c r="P60" i="19"/>
  <c r="BF139" i="19"/>
  <c r="BF159" i="19" s="1"/>
  <c r="BF140" i="19"/>
  <c r="BF79" i="19"/>
  <c r="C76" i="19"/>
  <c r="C49" i="19"/>
  <c r="F49" i="19"/>
  <c r="D19" i="19"/>
  <c r="J141" i="19"/>
  <c r="J142" i="19" s="1"/>
  <c r="J88" i="19"/>
  <c r="J91" i="19" s="1"/>
  <c r="J121" i="19" s="1"/>
  <c r="J77" i="19"/>
  <c r="J52" i="19"/>
  <c r="J19" i="19"/>
  <c r="R49" i="19"/>
  <c r="P77" i="19"/>
  <c r="P88" i="19"/>
  <c r="P91" i="19" s="1"/>
  <c r="P121" i="19" s="1"/>
  <c r="P141" i="19"/>
  <c r="P142" i="19" s="1"/>
  <c r="P52" i="19"/>
  <c r="P19" i="19"/>
  <c r="V141" i="19"/>
  <c r="V142" i="19" s="1"/>
  <c r="V52" i="19"/>
  <c r="V88" i="19"/>
  <c r="V91" i="19" s="1"/>
  <c r="V121" i="19" s="1"/>
  <c r="X28" i="19"/>
  <c r="AD25" i="19"/>
  <c r="AJ46" i="19"/>
  <c r="AJ76" i="19"/>
  <c r="AJ49" i="19"/>
  <c r="AJ16" i="19"/>
  <c r="AJ143" i="19"/>
  <c r="AJ144" i="19" s="1"/>
  <c r="AJ78" i="19"/>
  <c r="AP75" i="19"/>
  <c r="AP48" i="19"/>
  <c r="AN143" i="19"/>
  <c r="AN144" i="19" s="1"/>
  <c r="AN92" i="19"/>
  <c r="AN96" i="19" s="1"/>
  <c r="AN122" i="19" s="1"/>
  <c r="AN63" i="19"/>
  <c r="AN53" i="19"/>
  <c r="AN78" i="19"/>
  <c r="AT46" i="19"/>
  <c r="AT76" i="19"/>
  <c r="AT49" i="19"/>
  <c r="AT16" i="19"/>
  <c r="AT143" i="19"/>
  <c r="AT144" i="19" s="1"/>
  <c r="AT78" i="19"/>
  <c r="AT92" i="19"/>
  <c r="AT96" i="19" s="1"/>
  <c r="AT122" i="19" s="1"/>
  <c r="AT63" i="19"/>
  <c r="AT53" i="19"/>
  <c r="BA75" i="19"/>
  <c r="BA12" i="19"/>
  <c r="BF75" i="19"/>
  <c r="BF12" i="19"/>
  <c r="AZ143" i="19"/>
  <c r="AZ144" i="19" s="1"/>
  <c r="AZ92" i="19"/>
  <c r="AZ96" i="19" s="1"/>
  <c r="AZ122" i="19" s="1"/>
  <c r="AZ63" i="19"/>
  <c r="AZ53" i="19"/>
  <c r="AN49" i="19"/>
  <c r="BF60" i="19"/>
  <c r="P75" i="19"/>
  <c r="AC60" i="19"/>
  <c r="AV60" i="19"/>
  <c r="D143" i="19"/>
  <c r="D144" i="19" s="1"/>
  <c r="D92" i="19"/>
  <c r="D96" i="19" s="1"/>
  <c r="D122" i="19" s="1"/>
  <c r="D78" i="19"/>
  <c r="D53" i="19"/>
  <c r="W49" i="19"/>
  <c r="W76" i="19"/>
  <c r="AC75" i="19"/>
  <c r="AC12" i="19"/>
  <c r="AO141" i="19"/>
  <c r="AO142" i="19" s="1"/>
  <c r="AO88" i="19"/>
  <c r="AO91" i="19" s="1"/>
  <c r="AO121" i="19" s="1"/>
  <c r="AO62" i="19"/>
  <c r="AO52" i="19"/>
  <c r="BE88" i="19"/>
  <c r="BE91" i="19" s="1"/>
  <c r="BE62" i="19"/>
  <c r="BE19" i="19"/>
  <c r="BE77" i="19"/>
  <c r="D75" i="19"/>
  <c r="AB143" i="19"/>
  <c r="AB144" i="19" s="1"/>
  <c r="AB78" i="19"/>
  <c r="AB53" i="19"/>
  <c r="AB92" i="19"/>
  <c r="AB96" i="19" s="1"/>
  <c r="AB122" i="19" s="1"/>
  <c r="AH76" i="19"/>
  <c r="AH49" i="19"/>
  <c r="AN75" i="19"/>
  <c r="AN48" i="19"/>
  <c r="BB48" i="19"/>
  <c r="BB75" i="19"/>
  <c r="Q79" i="19"/>
  <c r="K141" i="19"/>
  <c r="K142" i="19" s="1"/>
  <c r="K77" i="19"/>
  <c r="K88" i="19"/>
  <c r="K91" i="19" s="1"/>
  <c r="K121" i="19" s="1"/>
  <c r="K52" i="19"/>
  <c r="AA141" i="19"/>
  <c r="AA142" i="19" s="1"/>
  <c r="AA88" i="19"/>
  <c r="AA91" i="19" s="1"/>
  <c r="AA121" i="19" s="1"/>
  <c r="AA77" i="19"/>
  <c r="AA52" i="19"/>
  <c r="BF92" i="19"/>
  <c r="BF96" i="19" s="1"/>
  <c r="BF122" i="19" s="1"/>
  <c r="BF78" i="19"/>
  <c r="BF63" i="19"/>
  <c r="BF53" i="19"/>
  <c r="BF19" i="19"/>
  <c r="C12" i="19"/>
  <c r="AB88" i="19"/>
  <c r="AB91" i="19" s="1"/>
  <c r="AB121" i="19" s="1"/>
  <c r="AB141" i="19"/>
  <c r="AB142" i="19" s="1"/>
  <c r="AB77" i="19"/>
  <c r="AB52" i="19"/>
  <c r="AB19" i="19"/>
  <c r="AH48" i="19"/>
  <c r="AH75" i="19"/>
  <c r="AH141" i="19"/>
  <c r="AH142" i="19" s="1"/>
  <c r="AH52" i="19"/>
  <c r="AH62" i="19"/>
  <c r="AH88" i="19"/>
  <c r="AH91" i="19" s="1"/>
  <c r="AH121" i="19" s="1"/>
  <c r="AP143" i="19"/>
  <c r="AP144" i="19" s="1"/>
  <c r="AP92" i="19"/>
  <c r="AP96" i="19" s="1"/>
  <c r="AP122" i="19" s="1"/>
  <c r="AP78" i="19"/>
  <c r="AP63" i="19"/>
  <c r="AP53" i="19"/>
  <c r="AV76" i="19"/>
  <c r="AV49" i="19"/>
  <c r="AV143" i="19"/>
  <c r="AV144" i="19" s="1"/>
  <c r="AV78" i="19"/>
  <c r="AV92" i="19"/>
  <c r="AV96" i="19" s="1"/>
  <c r="AV122" i="19" s="1"/>
  <c r="AV63" i="19"/>
  <c r="AZ76" i="19"/>
  <c r="AZ49" i="19"/>
  <c r="BE76" i="19"/>
  <c r="BB16" i="19"/>
  <c r="BH51" i="19" s="1"/>
  <c r="BB143" i="19"/>
  <c r="BB144" i="19" s="1"/>
  <c r="BB92" i="19"/>
  <c r="BB96" i="19" s="1"/>
  <c r="BB122" i="19" s="1"/>
  <c r="BB78" i="19"/>
  <c r="BB63" i="19"/>
  <c r="BB53" i="19"/>
  <c r="BG92" i="19"/>
  <c r="BG96" i="19" s="1"/>
  <c r="BG122" i="19" s="1"/>
  <c r="BG53" i="19"/>
  <c r="BG63" i="19"/>
  <c r="F15" i="19"/>
  <c r="G15" i="19" s="1"/>
  <c r="L28" i="19"/>
  <c r="M28" i="19" s="1"/>
  <c r="AN60" i="19"/>
  <c r="V76" i="19"/>
  <c r="AV77" i="19"/>
  <c r="C75" i="19"/>
  <c r="AG49" i="19"/>
  <c r="AG76" i="19"/>
  <c r="AK14" i="19"/>
  <c r="AK49" i="19" s="1"/>
  <c r="BA141" i="19"/>
  <c r="BA142" i="19" s="1"/>
  <c r="BA77" i="19"/>
  <c r="BA52" i="19"/>
  <c r="BA88" i="19"/>
  <c r="BA91" i="19" s="1"/>
  <c r="BA121" i="19" s="1"/>
  <c r="BA62" i="19"/>
  <c r="AV53" i="19"/>
  <c r="AE13" i="19"/>
  <c r="AP141" i="19"/>
  <c r="AP142" i="19" s="1"/>
  <c r="AP88" i="19"/>
  <c r="AP91" i="19" s="1"/>
  <c r="AP121" i="19" s="1"/>
  <c r="AP77" i="19"/>
  <c r="AP52" i="19"/>
  <c r="AP62" i="19"/>
  <c r="AY75" i="19"/>
  <c r="AY12" i="19"/>
  <c r="BB77" i="19"/>
  <c r="BB62" i="19"/>
  <c r="BB52" i="19"/>
  <c r="BB141" i="19"/>
  <c r="BB142" i="19" s="1"/>
  <c r="BB88" i="19"/>
  <c r="BB91" i="19" s="1"/>
  <c r="BB121" i="19" s="1"/>
  <c r="I75" i="19"/>
  <c r="I12" i="19"/>
  <c r="O75" i="19"/>
  <c r="O12" i="19"/>
  <c r="Q141" i="19"/>
  <c r="Q142" i="19" s="1"/>
  <c r="Q88" i="19"/>
  <c r="Q91" i="19" s="1"/>
  <c r="Q121" i="19" s="1"/>
  <c r="Q52" i="19"/>
  <c r="Q77" i="19"/>
  <c r="AH19" i="19"/>
  <c r="AW28" i="19"/>
  <c r="AM60" i="19"/>
  <c r="AQ9" i="19"/>
  <c r="BE9" i="19"/>
  <c r="BE156" i="16" s="1"/>
  <c r="D12" i="19"/>
  <c r="Q75" i="19"/>
  <c r="Q12" i="19"/>
  <c r="Q48" i="19"/>
  <c r="U143" i="19"/>
  <c r="U144" i="19" s="1"/>
  <c r="U78" i="19"/>
  <c r="U53" i="19"/>
  <c r="U92" i="19"/>
  <c r="U96" i="19" s="1"/>
  <c r="U122" i="19" s="1"/>
  <c r="AC141" i="19"/>
  <c r="AC142" i="19" s="1"/>
  <c r="AC88" i="19"/>
  <c r="AC91" i="19" s="1"/>
  <c r="AC121" i="19" s="1"/>
  <c r="AC77" i="19"/>
  <c r="AC52" i="19"/>
  <c r="AC19" i="19"/>
  <c r="AN12" i="19"/>
  <c r="AM141" i="19"/>
  <c r="AM142" i="19" s="1"/>
  <c r="AM88" i="19"/>
  <c r="AM91" i="19" s="1"/>
  <c r="AM121" i="19" s="1"/>
  <c r="AM77" i="19"/>
  <c r="AQ17" i="19"/>
  <c r="AM62" i="19"/>
  <c r="AM19" i="19"/>
  <c r="AS52" i="19"/>
  <c r="AY141" i="19"/>
  <c r="AY142" i="19" s="1"/>
  <c r="AY88" i="19"/>
  <c r="AY91" i="19" s="1"/>
  <c r="AY121" i="19" s="1"/>
  <c r="AY77" i="19"/>
  <c r="BC17" i="19"/>
  <c r="AY62" i="19"/>
  <c r="AY52" i="19"/>
  <c r="AY19" i="19"/>
  <c r="BG19" i="19"/>
  <c r="G17" i="19"/>
  <c r="AK18" i="19"/>
  <c r="AB49" i="19"/>
  <c r="AM52" i="19"/>
  <c r="I52" i="19"/>
  <c r="AD73" i="19"/>
  <c r="AE69" i="19"/>
  <c r="V77" i="19"/>
  <c r="AV79" i="19"/>
  <c r="D76" i="19"/>
  <c r="D49" i="19"/>
  <c r="C142" i="19"/>
  <c r="C77" i="19"/>
  <c r="C88" i="19"/>
  <c r="C91" i="19" s="1"/>
  <c r="C121" i="19" s="1"/>
  <c r="I49" i="19"/>
  <c r="I76" i="19"/>
  <c r="I143" i="19"/>
  <c r="I144" i="19" s="1"/>
  <c r="I92" i="19"/>
  <c r="I96" i="19" s="1"/>
  <c r="I122" i="19" s="1"/>
  <c r="I53" i="19"/>
  <c r="I78" i="19"/>
  <c r="O76" i="19"/>
  <c r="O143" i="19"/>
  <c r="O144" i="19" s="1"/>
  <c r="O92" i="19"/>
  <c r="O96" i="19" s="1"/>
  <c r="O122" i="19" s="1"/>
  <c r="O53" i="19"/>
  <c r="O78" i="19"/>
  <c r="U75" i="19"/>
  <c r="U141" i="19"/>
  <c r="U142" i="19" s="1"/>
  <c r="U77" i="19"/>
  <c r="U88" i="19"/>
  <c r="U91" i="19" s="1"/>
  <c r="U121" i="19" s="1"/>
  <c r="U52" i="19"/>
  <c r="U19" i="19"/>
  <c r="AA76" i="19"/>
  <c r="AA49" i="19"/>
  <c r="AA143" i="19"/>
  <c r="AA144" i="19" s="1"/>
  <c r="AA92" i="19"/>
  <c r="AA96" i="19" s="1"/>
  <c r="AA122" i="19" s="1"/>
  <c r="AA78" i="19"/>
  <c r="AG75" i="19"/>
  <c r="AG48" i="19"/>
  <c r="AG141" i="19"/>
  <c r="AG142" i="19" s="1"/>
  <c r="AG77" i="19"/>
  <c r="AG88" i="19"/>
  <c r="AG91" i="19" s="1"/>
  <c r="AG121" i="19" s="1"/>
  <c r="AG62" i="19"/>
  <c r="AG52" i="19"/>
  <c r="AG19" i="19"/>
  <c r="AG23" i="19"/>
  <c r="AM76" i="19"/>
  <c r="AM49" i="19"/>
  <c r="AM143" i="19"/>
  <c r="AM144" i="19" s="1"/>
  <c r="AM92" i="19"/>
  <c r="AM96" i="19" s="1"/>
  <c r="AM122" i="19" s="1"/>
  <c r="AM78" i="19"/>
  <c r="AS75" i="19"/>
  <c r="AW13" i="19"/>
  <c r="AS141" i="19"/>
  <c r="AS142" i="19" s="1"/>
  <c r="AS77" i="19"/>
  <c r="AS88" i="19"/>
  <c r="AS91" i="19" s="1"/>
  <c r="AS121" i="19" s="1"/>
  <c r="AS62" i="19"/>
  <c r="AW17" i="19"/>
  <c r="AS19" i="19"/>
  <c r="AS23" i="19"/>
  <c r="AW25" i="19"/>
  <c r="BA76" i="19"/>
  <c r="BA49" i="19"/>
  <c r="AY143" i="19"/>
  <c r="AY144" i="19" s="1"/>
  <c r="AY92" i="19"/>
  <c r="AY96" i="19" s="1"/>
  <c r="AY122" i="19" s="1"/>
  <c r="AY78" i="19"/>
  <c r="BC18" i="19"/>
  <c r="BC28" i="19"/>
  <c r="BF62" i="19"/>
  <c r="BF88" i="19"/>
  <c r="BF91" i="19" s="1"/>
  <c r="BF121" i="19" s="1"/>
  <c r="BF77" i="19"/>
  <c r="BF52" i="19"/>
  <c r="AK17" i="19"/>
  <c r="AQ18" i="19"/>
  <c r="O49" i="19"/>
  <c r="C52" i="19"/>
  <c r="K143" i="19"/>
  <c r="K144" i="19" s="1"/>
  <c r="K78" i="19"/>
  <c r="K92" i="19"/>
  <c r="K96" i="19" s="1"/>
  <c r="K122" i="19" s="1"/>
  <c r="K53" i="19"/>
  <c r="Q76" i="19"/>
  <c r="Q49" i="19"/>
  <c r="Q143" i="19"/>
  <c r="Q144" i="19" s="1"/>
  <c r="Q92" i="19"/>
  <c r="Q96" i="19" s="1"/>
  <c r="Q122" i="19" s="1"/>
  <c r="Q78" i="19"/>
  <c r="W141" i="19"/>
  <c r="W142" i="19" s="1"/>
  <c r="W77" i="19"/>
  <c r="W88" i="19"/>
  <c r="W91" i="19" s="1"/>
  <c r="W121" i="19" s="1"/>
  <c r="W19" i="19"/>
  <c r="AC76" i="19"/>
  <c r="AC49" i="19"/>
  <c r="AC143" i="19"/>
  <c r="AC144" i="19" s="1"/>
  <c r="AC78" i="19"/>
  <c r="AC92" i="19"/>
  <c r="AC96" i="19" s="1"/>
  <c r="AC122" i="19" s="1"/>
  <c r="AC53" i="19"/>
  <c r="AI75" i="19"/>
  <c r="AI141" i="19"/>
  <c r="AI142" i="19" s="1"/>
  <c r="AI88" i="19"/>
  <c r="AI91" i="19" s="1"/>
  <c r="AI121" i="19" s="1"/>
  <c r="AI62" i="19"/>
  <c r="AI77" i="19"/>
  <c r="AI52" i="19"/>
  <c r="AI19" i="19"/>
  <c r="AO76" i="19"/>
  <c r="AO49" i="19"/>
  <c r="AO143" i="19"/>
  <c r="AO144" i="19" s="1"/>
  <c r="AO78" i="19"/>
  <c r="AO92" i="19"/>
  <c r="AO96" i="19" s="1"/>
  <c r="AO122" i="19" s="1"/>
  <c r="AO53" i="19"/>
  <c r="AO63" i="19"/>
  <c r="AU141" i="19"/>
  <c r="AU142" i="19" s="1"/>
  <c r="AU88" i="19"/>
  <c r="AU91" i="19" s="1"/>
  <c r="AU121" i="19" s="1"/>
  <c r="AU52" i="19"/>
  <c r="AU77" i="19"/>
  <c r="AU19" i="19"/>
  <c r="BF49" i="19"/>
  <c r="BF76" i="19"/>
  <c r="BA143" i="19"/>
  <c r="BA144" i="19" s="1"/>
  <c r="BA78" i="19"/>
  <c r="BA63" i="19"/>
  <c r="BA92" i="19"/>
  <c r="BA96" i="19" s="1"/>
  <c r="BA122" i="19" s="1"/>
  <c r="BA53" i="19"/>
  <c r="BE92" i="19"/>
  <c r="BE96" i="19" s="1"/>
  <c r="BE78" i="19"/>
  <c r="BE63" i="19"/>
  <c r="K49" i="19"/>
  <c r="G70" i="19"/>
  <c r="AK13" i="19"/>
  <c r="W52" i="19"/>
  <c r="I79" i="19"/>
  <c r="AE109" i="19"/>
  <c r="AE31" i="19" s="1"/>
  <c r="AD31" i="19"/>
  <c r="M72" i="19"/>
  <c r="AM79" i="19"/>
  <c r="AQ73" i="19"/>
  <c r="E79" i="19"/>
  <c r="AC79" i="19"/>
  <c r="AO79" i="19"/>
  <c r="M71" i="19"/>
  <c r="AT79" i="19"/>
  <c r="M69" i="19"/>
  <c r="L73" i="19"/>
  <c r="M73" i="19" s="1"/>
  <c r="V79" i="19"/>
  <c r="AK73" i="19"/>
  <c r="AS79" i="19"/>
  <c r="D79" i="19"/>
  <c r="AB79" i="19"/>
  <c r="L108" i="19"/>
  <c r="M108" i="19" s="1"/>
  <c r="M31" i="19" s="1"/>
  <c r="K100" i="19"/>
  <c r="S70" i="19"/>
  <c r="J79" i="19"/>
  <c r="BB79" i="19"/>
  <c r="AU79" i="19"/>
  <c r="AQ86" i="19"/>
  <c r="AW86" i="19"/>
  <c r="AQ102" i="19"/>
  <c r="BC102" i="19"/>
  <c r="BC114" i="19"/>
  <c r="BC31" i="19" s="1"/>
  <c r="AP79" i="19"/>
  <c r="C79" i="19"/>
  <c r="BU101" i="19"/>
  <c r="F73" i="19"/>
  <c r="P79" i="19"/>
  <c r="BI100" i="19"/>
  <c r="BO106" i="19"/>
  <c r="BU86" i="19"/>
  <c r="BI86" i="19"/>
  <c r="BU100" i="19"/>
  <c r="AW102" i="19"/>
  <c r="BU102" i="19"/>
  <c r="AK114" i="19"/>
  <c r="AK31" i="19" s="1"/>
  <c r="BW209" i="18" l="1"/>
  <c r="BU209" i="18"/>
  <c r="AW207" i="18"/>
  <c r="BQ239" i="18"/>
  <c r="AN66" i="77"/>
  <c r="AH54" i="48"/>
  <c r="AC54" i="48"/>
  <c r="AV72" i="77"/>
  <c r="BB69" i="77" s="1"/>
  <c r="BB31" i="17"/>
  <c r="BC31" i="17" s="1"/>
  <c r="D36" i="16"/>
  <c r="D37" i="16" s="1"/>
  <c r="X29" i="17"/>
  <c r="X94" i="16" s="1"/>
  <c r="X95" i="16" s="1"/>
  <c r="AD38" i="17"/>
  <c r="AE38" i="17" s="1"/>
  <c r="AB43" i="17"/>
  <c r="AW68" i="77"/>
  <c r="AZ34" i="17"/>
  <c r="AH17" i="17"/>
  <c r="AV69" i="77"/>
  <c r="L25" i="17"/>
  <c r="M25" i="17" s="1"/>
  <c r="AT17" i="17"/>
  <c r="AB54" i="48"/>
  <c r="AQ57" i="48"/>
  <c r="J17" i="17"/>
  <c r="J26" i="17" s="1"/>
  <c r="J74" i="16" s="1"/>
  <c r="BU74" i="77"/>
  <c r="AA54" i="48"/>
  <c r="BO74" i="77"/>
  <c r="AP29" i="48"/>
  <c r="AP31" i="48" s="1"/>
  <c r="AQ28" i="48"/>
  <c r="AS57" i="48" s="1"/>
  <c r="BA25" i="17"/>
  <c r="BB25" i="17" s="1"/>
  <c r="BC25" i="17" s="1"/>
  <c r="AZ69" i="77"/>
  <c r="CO74" i="77"/>
  <c r="CS74" i="77" s="1"/>
  <c r="CM74" i="77"/>
  <c r="BE19" i="77"/>
  <c r="AO54" i="48"/>
  <c r="CE76" i="77"/>
  <c r="CK77" i="77"/>
  <c r="BI56" i="48"/>
  <c r="CD76" i="77"/>
  <c r="CJ77" i="77"/>
  <c r="CP223" i="18"/>
  <c r="CO47" i="19"/>
  <c r="CI52" i="19"/>
  <c r="D23" i="19"/>
  <c r="CQ223" i="18"/>
  <c r="CR223" i="18"/>
  <c r="DJ313" i="18"/>
  <c r="DI314" i="18" s="1"/>
  <c r="AJ29" i="17"/>
  <c r="AJ94" i="16" s="1"/>
  <c r="AJ95" i="16" s="1"/>
  <c r="AS593" i="18"/>
  <c r="BH25" i="18"/>
  <c r="BH239" i="18"/>
  <c r="BN239" i="18"/>
  <c r="AB208" i="18"/>
  <c r="I208" i="18"/>
  <c r="AA208" i="18"/>
  <c r="J208" i="18"/>
  <c r="W208" i="18"/>
  <c r="AW25" i="18"/>
  <c r="AG208" i="18"/>
  <c r="AI208" i="18"/>
  <c r="O208" i="18"/>
  <c r="AH208" i="18"/>
  <c r="P208" i="18"/>
  <c r="Q208" i="18"/>
  <c r="V208" i="18"/>
  <c r="U208" i="18"/>
  <c r="AC208" i="18"/>
  <c r="BU31" i="19"/>
  <c r="AK25" i="18"/>
  <c r="BB11" i="17"/>
  <c r="BB101" i="16" s="1"/>
  <c r="AW220" i="18"/>
  <c r="S23" i="17"/>
  <c r="I47" i="17"/>
  <c r="I73" i="16" s="1"/>
  <c r="Q21" i="19"/>
  <c r="V7" i="77"/>
  <c r="W7" i="77" s="1"/>
  <c r="X7" i="77" s="1"/>
  <c r="I54" i="17"/>
  <c r="I75" i="16" s="1"/>
  <c r="Q22" i="19"/>
  <c r="P17" i="17"/>
  <c r="AV221" i="18"/>
  <c r="BB12" i="17"/>
  <c r="BB114" i="16" s="1"/>
  <c r="BB115" i="16" s="1"/>
  <c r="AW223" i="18"/>
  <c r="AW222" i="18" s="1"/>
  <c r="Y412" i="18"/>
  <c r="V413" i="18"/>
  <c r="AZ72" i="77"/>
  <c r="AZ220" i="18" s="1"/>
  <c r="BC220" i="18" s="1"/>
  <c r="BC68" i="77"/>
  <c r="AA94" i="77"/>
  <c r="AG7" i="77"/>
  <c r="AM7" i="77" s="1"/>
  <c r="BC156" i="16"/>
  <c r="AW156" i="16"/>
  <c r="AQ156" i="16"/>
  <c r="AK156" i="16"/>
  <c r="AE156" i="16"/>
  <c r="AD54" i="48"/>
  <c r="D232" i="18"/>
  <c r="J232" i="18"/>
  <c r="S232" i="18"/>
  <c r="AN232" i="18"/>
  <c r="C232" i="18"/>
  <c r="AO402" i="18"/>
  <c r="AO404" i="18" s="1"/>
  <c r="BS134" i="16"/>
  <c r="BS158" i="16"/>
  <c r="AI229" i="18"/>
  <c r="BA22" i="19"/>
  <c r="AD12" i="17"/>
  <c r="AD114" i="16" s="1"/>
  <c r="AD115" i="16" s="1"/>
  <c r="R11" i="17"/>
  <c r="R21" i="19" s="1"/>
  <c r="AC22" i="19"/>
  <c r="AA45" i="77"/>
  <c r="AA16" i="77"/>
  <c r="AQ25" i="18"/>
  <c r="BQ240" i="18"/>
  <c r="BQ25" i="18"/>
  <c r="BN25" i="18"/>
  <c r="BC25" i="18"/>
  <c r="AK32" i="18"/>
  <c r="AA241" i="18"/>
  <c r="U32" i="18"/>
  <c r="AT32" i="18"/>
  <c r="AZ32" i="18"/>
  <c r="AN241" i="18"/>
  <c r="AN32" i="18"/>
  <c r="AS32" i="18"/>
  <c r="AY32" i="18"/>
  <c r="AC241" i="18"/>
  <c r="W32" i="18"/>
  <c r="BB32" i="18"/>
  <c r="AV32" i="18"/>
  <c r="AC32" i="18"/>
  <c r="AC586" i="18"/>
  <c r="AT179" i="18"/>
  <c r="AT587" i="18" s="1"/>
  <c r="AH181" i="18"/>
  <c r="AH589" i="18" s="1"/>
  <c r="AG181" i="18"/>
  <c r="AG589" i="18" s="1"/>
  <c r="BG177" i="18"/>
  <c r="BG585" i="18" s="1"/>
  <c r="AI181" i="18"/>
  <c r="AI589" i="18" s="1"/>
  <c r="AY341" i="18"/>
  <c r="AY452" i="18" s="1"/>
  <c r="AV97" i="18"/>
  <c r="BM61" i="19"/>
  <c r="BG167" i="19"/>
  <c r="AI21" i="19"/>
  <c r="AJ11" i="17"/>
  <c r="AJ21" i="19" s="1"/>
  <c r="AT23" i="19"/>
  <c r="BB29" i="17"/>
  <c r="BB94" i="16" s="1"/>
  <c r="BB95" i="16" s="1"/>
  <c r="X41" i="17"/>
  <c r="X77" i="17" s="1"/>
  <c r="X76" i="17" s="1"/>
  <c r="AO21" i="19"/>
  <c r="AP29" i="17"/>
  <c r="AP94" i="16" s="1"/>
  <c r="AP95" i="16" s="1"/>
  <c r="E102" i="16"/>
  <c r="AP11" i="17"/>
  <c r="AP101" i="16" s="1"/>
  <c r="AQ101" i="16" s="1"/>
  <c r="AZ167" i="19"/>
  <c r="BH167" i="19"/>
  <c r="AU19" i="77"/>
  <c r="BQ76" i="77"/>
  <c r="AN54" i="48"/>
  <c r="AI54" i="48"/>
  <c r="AD11" i="17"/>
  <c r="AD101" i="16" s="1"/>
  <c r="AC101" i="16"/>
  <c r="Y11" i="17"/>
  <c r="X101" i="16"/>
  <c r="AD29" i="17"/>
  <c r="AC94" i="16"/>
  <c r="C74" i="16"/>
  <c r="BG115" i="16"/>
  <c r="BG116" i="16"/>
  <c r="D103" i="16"/>
  <c r="D109" i="16"/>
  <c r="E100" i="16"/>
  <c r="AZ115" i="16"/>
  <c r="AZ116" i="16"/>
  <c r="AH115" i="16"/>
  <c r="AH116" i="16"/>
  <c r="AB116" i="16"/>
  <c r="AB115" i="16"/>
  <c r="D102" i="16"/>
  <c r="Q116" i="16"/>
  <c r="Q115" i="16"/>
  <c r="R29" i="17"/>
  <c r="R94" i="16" s="1"/>
  <c r="R95" i="16" s="1"/>
  <c r="L29" i="17"/>
  <c r="L94" i="16" s="1"/>
  <c r="L95" i="16" s="1"/>
  <c r="BA34" i="17"/>
  <c r="R12" i="17"/>
  <c r="W115" i="16"/>
  <c r="W116" i="16"/>
  <c r="L12" i="17"/>
  <c r="L114" i="16" s="1"/>
  <c r="K114" i="16"/>
  <c r="AJ12" i="17"/>
  <c r="AJ114" i="16" s="1"/>
  <c r="AI114" i="16"/>
  <c r="AV12" i="17"/>
  <c r="AV114" i="16" s="1"/>
  <c r="AU114" i="16"/>
  <c r="AP12" i="17"/>
  <c r="AQ12" i="17" s="1"/>
  <c r="AO114" i="16"/>
  <c r="AU95" i="16"/>
  <c r="AH95" i="16"/>
  <c r="K39" i="16"/>
  <c r="K36" i="16"/>
  <c r="J37" i="16"/>
  <c r="J88" i="16" s="1"/>
  <c r="J85" i="16"/>
  <c r="D108" i="16"/>
  <c r="E98" i="16"/>
  <c r="BA115" i="16"/>
  <c r="BA116" i="16"/>
  <c r="AC115" i="16"/>
  <c r="AC116" i="16"/>
  <c r="W21" i="19"/>
  <c r="W101" i="16"/>
  <c r="E39" i="16"/>
  <c r="AN115" i="16"/>
  <c r="AN116" i="16"/>
  <c r="BA101" i="16"/>
  <c r="V116" i="16"/>
  <c r="V115" i="16"/>
  <c r="P115" i="16"/>
  <c r="P116" i="16"/>
  <c r="AB167" i="19"/>
  <c r="W167" i="19"/>
  <c r="BE167" i="19"/>
  <c r="AH167" i="19"/>
  <c r="BC161" i="19"/>
  <c r="BI161" i="19"/>
  <c r="BA167" i="19"/>
  <c r="BF167" i="19"/>
  <c r="V167" i="19"/>
  <c r="U167" i="19"/>
  <c r="BB70" i="16"/>
  <c r="AS70" i="16"/>
  <c r="AY79" i="16"/>
  <c r="AY80" i="16"/>
  <c r="AH80" i="16"/>
  <c r="AH79" i="16"/>
  <c r="X161" i="19"/>
  <c r="R132" i="16"/>
  <c r="R153" i="16" s="1"/>
  <c r="R67" i="16"/>
  <c r="R81" i="16"/>
  <c r="P79" i="16"/>
  <c r="P80" i="16"/>
  <c r="K69" i="16"/>
  <c r="K68" i="16"/>
  <c r="AJ161" i="19"/>
  <c r="AD81" i="16"/>
  <c r="AD67" i="16"/>
  <c r="AD132" i="16"/>
  <c r="AD153" i="16" s="1"/>
  <c r="AG69" i="16"/>
  <c r="AG68" i="16"/>
  <c r="AB79" i="16"/>
  <c r="AB80" i="16"/>
  <c r="BK64" i="19"/>
  <c r="BE79" i="16"/>
  <c r="BE80" i="16"/>
  <c r="R161" i="19"/>
  <c r="L132" i="16"/>
  <c r="L153" i="16" s="1"/>
  <c r="L81" i="16"/>
  <c r="L67" i="16"/>
  <c r="BK161" i="19"/>
  <c r="BE67" i="16"/>
  <c r="BE132" i="16"/>
  <c r="BE153" i="16" s="1"/>
  <c r="BE81" i="16"/>
  <c r="BE95" i="16"/>
  <c r="BA16" i="19"/>
  <c r="BA131" i="19" s="1"/>
  <c r="BA69" i="16"/>
  <c r="BA68" i="16"/>
  <c r="D80" i="16"/>
  <c r="D79" i="16"/>
  <c r="AZ79" i="16"/>
  <c r="AZ80" i="16"/>
  <c r="AV79" i="16"/>
  <c r="AV80" i="16"/>
  <c r="AN79" i="16"/>
  <c r="AN80" i="16"/>
  <c r="AW132" i="16"/>
  <c r="AW153" i="16" s="1"/>
  <c r="AW81" i="16"/>
  <c r="AW67" i="16"/>
  <c r="F132" i="16"/>
  <c r="F81" i="16"/>
  <c r="F67" i="16"/>
  <c r="AP69" i="16"/>
  <c r="AP68" i="16"/>
  <c r="BB80" i="16"/>
  <c r="BB79" i="16"/>
  <c r="AC167" i="19"/>
  <c r="Q167" i="19"/>
  <c r="AT70" i="16"/>
  <c r="BF80" i="16"/>
  <c r="BF79" i="16"/>
  <c r="AE81" i="16"/>
  <c r="AE132" i="16"/>
  <c r="AE153" i="16" s="1"/>
  <c r="AE67" i="16"/>
  <c r="V79" i="16"/>
  <c r="V80" i="16"/>
  <c r="Q68" i="16"/>
  <c r="Q69" i="16"/>
  <c r="AD161" i="19"/>
  <c r="X81" i="16"/>
  <c r="X132" i="16"/>
  <c r="X153" i="16" s="1"/>
  <c r="X67" i="16"/>
  <c r="P68" i="16"/>
  <c r="P69" i="16"/>
  <c r="C80" i="16"/>
  <c r="C79" i="16"/>
  <c r="U69" i="16"/>
  <c r="U68" i="16"/>
  <c r="D68" i="16"/>
  <c r="D69" i="16"/>
  <c r="AB68" i="16"/>
  <c r="AB69" i="16"/>
  <c r="AI68" i="16"/>
  <c r="AI69" i="16"/>
  <c r="AA167" i="19"/>
  <c r="AS80" i="16"/>
  <c r="AS79" i="16"/>
  <c r="AQ132" i="16"/>
  <c r="AQ153" i="16" s="1"/>
  <c r="AQ81" i="16"/>
  <c r="AQ67" i="16"/>
  <c r="O68" i="16"/>
  <c r="O69" i="16"/>
  <c r="AO69" i="16"/>
  <c r="AO68" i="16"/>
  <c r="E68" i="16"/>
  <c r="E69" i="16"/>
  <c r="AA68" i="16"/>
  <c r="AA69" i="16"/>
  <c r="BK61" i="19"/>
  <c r="BE68" i="16"/>
  <c r="BE69" i="16"/>
  <c r="Q79" i="16"/>
  <c r="Q80" i="16"/>
  <c r="BG68" i="16"/>
  <c r="BG69" i="16"/>
  <c r="AJ80" i="16"/>
  <c r="AJ79" i="16"/>
  <c r="W69" i="16"/>
  <c r="W68" i="16"/>
  <c r="P167" i="19"/>
  <c r="U80" i="16"/>
  <c r="U79" i="16"/>
  <c r="Y132" i="16"/>
  <c r="Y153" i="16" s="1"/>
  <c r="Y81" i="16"/>
  <c r="Y67" i="16"/>
  <c r="AU16" i="19"/>
  <c r="AU68" i="16"/>
  <c r="AU69" i="16"/>
  <c r="AC68" i="16"/>
  <c r="AC69" i="16"/>
  <c r="BC132" i="16"/>
  <c r="BC153" i="16" s="1"/>
  <c r="BC67" i="16"/>
  <c r="BC81" i="16"/>
  <c r="AI80" i="16"/>
  <c r="AI79" i="16"/>
  <c r="E80" i="16"/>
  <c r="E79" i="16"/>
  <c r="S132" i="16"/>
  <c r="S153" i="16" s="1"/>
  <c r="S67" i="16"/>
  <c r="S81" i="16"/>
  <c r="AG80" i="16"/>
  <c r="AG79" i="16"/>
  <c r="I79" i="16"/>
  <c r="I80" i="16"/>
  <c r="AV16" i="19"/>
  <c r="AV50" i="19" s="1"/>
  <c r="AV68" i="16"/>
  <c r="AV69" i="16"/>
  <c r="AU80" i="16"/>
  <c r="AU79" i="16"/>
  <c r="AN68" i="16"/>
  <c r="AN69" i="16"/>
  <c r="AY68" i="16"/>
  <c r="AY69" i="16"/>
  <c r="O79" i="16"/>
  <c r="O80" i="16"/>
  <c r="AO79" i="16"/>
  <c r="AO80" i="16"/>
  <c r="AK132" i="16"/>
  <c r="AK153" i="16" s="1"/>
  <c r="AK67" i="16"/>
  <c r="AK81" i="16"/>
  <c r="K79" i="16"/>
  <c r="K80" i="16"/>
  <c r="AG167" i="19"/>
  <c r="O167" i="19"/>
  <c r="AM80" i="16"/>
  <c r="AM79" i="16"/>
  <c r="AH69" i="16"/>
  <c r="AH68" i="16"/>
  <c r="BA79" i="16"/>
  <c r="BA80" i="16"/>
  <c r="AI167" i="19"/>
  <c r="BF68" i="16"/>
  <c r="BF69" i="16"/>
  <c r="W79" i="16"/>
  <c r="W80" i="16"/>
  <c r="BG80" i="16"/>
  <c r="BG79" i="16"/>
  <c r="AC79" i="16"/>
  <c r="AC80" i="16"/>
  <c r="I68" i="16"/>
  <c r="I69" i="16"/>
  <c r="C69" i="16"/>
  <c r="C68" i="16"/>
  <c r="J79" i="16"/>
  <c r="J80" i="16"/>
  <c r="J69" i="16"/>
  <c r="J68" i="16"/>
  <c r="AM68" i="16"/>
  <c r="AM69" i="16"/>
  <c r="V69" i="16"/>
  <c r="V68" i="16"/>
  <c r="AA79" i="16"/>
  <c r="AA80" i="16"/>
  <c r="AP79" i="16"/>
  <c r="AP80" i="16"/>
  <c r="AZ61" i="19"/>
  <c r="AZ69" i="16"/>
  <c r="AZ68" i="16"/>
  <c r="BB167" i="19"/>
  <c r="AJ70" i="16"/>
  <c r="BL167" i="19"/>
  <c r="AH23" i="19"/>
  <c r="AC43" i="17"/>
  <c r="BH25" i="48"/>
  <c r="BH17" i="48"/>
  <c r="BF16" i="19"/>
  <c r="C47" i="17"/>
  <c r="AK161" i="19"/>
  <c r="BF143" i="19"/>
  <c r="BF144" i="19" s="1"/>
  <c r="BF160" i="19"/>
  <c r="BC135" i="19"/>
  <c r="BC136" i="19" s="1"/>
  <c r="AQ135" i="19"/>
  <c r="AQ136" i="19" s="1"/>
  <c r="AW135" i="19"/>
  <c r="AW136" i="19" s="1"/>
  <c r="L236" i="18"/>
  <c r="M14" i="18"/>
  <c r="M230" i="18" s="1"/>
  <c r="M231" i="18" s="1"/>
  <c r="M167" i="19"/>
  <c r="AW7" i="19"/>
  <c r="AQ155" i="19"/>
  <c r="W16" i="19"/>
  <c r="W84" i="19" s="1"/>
  <c r="W87" i="19" s="1"/>
  <c r="W120" i="19" s="1"/>
  <c r="AD144" i="19"/>
  <c r="AQ161" i="19"/>
  <c r="L144" i="19"/>
  <c r="L142" i="19"/>
  <c r="Y161" i="19"/>
  <c r="AE161" i="19"/>
  <c r="AW161" i="19"/>
  <c r="AS229" i="18"/>
  <c r="AY60" i="48"/>
  <c r="BC60" i="48" s="1"/>
  <c r="BC62" i="48" s="1"/>
  <c r="BC133" i="19"/>
  <c r="BC134" i="19" s="1"/>
  <c r="R136" i="19"/>
  <c r="R134" i="19"/>
  <c r="F136" i="19"/>
  <c r="F134" i="19"/>
  <c r="BI9" i="19"/>
  <c r="BE136" i="19"/>
  <c r="BE134" i="19"/>
  <c r="AD134" i="19"/>
  <c r="AD136" i="19"/>
  <c r="X134" i="19"/>
  <c r="X136" i="19"/>
  <c r="G141" i="19"/>
  <c r="G133" i="19"/>
  <c r="L136" i="19"/>
  <c r="L134" i="19"/>
  <c r="AK135" i="19"/>
  <c r="AK136" i="19" s="1"/>
  <c r="AW133" i="19"/>
  <c r="AW134" i="19" s="1"/>
  <c r="AK133" i="19"/>
  <c r="AK134" i="19" s="1"/>
  <c r="AQ133" i="19"/>
  <c r="AQ134" i="19" s="1"/>
  <c r="BE236" i="18"/>
  <c r="S28" i="19"/>
  <c r="BI63" i="19"/>
  <c r="AW92" i="19"/>
  <c r="AW96" i="19" s="1"/>
  <c r="AW122" i="19" s="1"/>
  <c r="AQ143" i="19"/>
  <c r="AQ144" i="19" s="1"/>
  <c r="W46" i="19"/>
  <c r="BK60" i="19"/>
  <c r="AI46" i="19"/>
  <c r="AO43" i="17"/>
  <c r="V23" i="19"/>
  <c r="AO22" i="19"/>
  <c r="AZ23" i="19"/>
  <c r="L12" i="77"/>
  <c r="M12" i="77" s="1"/>
  <c r="R41" i="17"/>
  <c r="R77" i="17" s="1"/>
  <c r="R76" i="17" s="1"/>
  <c r="W43" i="17"/>
  <c r="K43" i="17"/>
  <c r="AI43" i="17"/>
  <c r="C54" i="17"/>
  <c r="BG17" i="17"/>
  <c r="AQ76" i="19"/>
  <c r="BE230" i="18"/>
  <c r="BE231" i="18" s="1"/>
  <c r="BE203" i="18"/>
  <c r="F31" i="19"/>
  <c r="J23" i="19"/>
  <c r="P256" i="18"/>
  <c r="W232" i="18"/>
  <c r="AC20" i="18"/>
  <c r="G108" i="19"/>
  <c r="G31" i="19" s="1"/>
  <c r="X75" i="19"/>
  <c r="BE263" i="18"/>
  <c r="F86" i="19"/>
  <c r="G86" i="19" s="1"/>
  <c r="AI16" i="19"/>
  <c r="AI131" i="19" s="1"/>
  <c r="BE16" i="18"/>
  <c r="AK78" i="19"/>
  <c r="AK143" i="19"/>
  <c r="AK144" i="19" s="1"/>
  <c r="AK77" i="19"/>
  <c r="AK141" i="19"/>
  <c r="AK142" i="19" s="1"/>
  <c r="M25" i="19"/>
  <c r="AQ77" i="19"/>
  <c r="AQ141" i="19"/>
  <c r="AQ142" i="19" s="1"/>
  <c r="BI62" i="19"/>
  <c r="BC141" i="19"/>
  <c r="BC142" i="19" s="1"/>
  <c r="AW77" i="19"/>
  <c r="AW141" i="19"/>
  <c r="AW142" i="19" s="1"/>
  <c r="BB61" i="19"/>
  <c r="AW143" i="19"/>
  <c r="AW144" i="19" s="1"/>
  <c r="BH75" i="77"/>
  <c r="BH29" i="17"/>
  <c r="BH94" i="16" s="1"/>
  <c r="BI37" i="17"/>
  <c r="BI45" i="17"/>
  <c r="BI33" i="17"/>
  <c r="BG31" i="17"/>
  <c r="BH31" i="17" s="1"/>
  <c r="BH12" i="17"/>
  <c r="BH114" i="16" s="1"/>
  <c r="BI114" i="16" s="1"/>
  <c r="BH41" i="17"/>
  <c r="BI32" i="17"/>
  <c r="BH11" i="17"/>
  <c r="BH101" i="16" s="1"/>
  <c r="CE85" i="77"/>
  <c r="BY87" i="77"/>
  <c r="CD85" i="77"/>
  <c r="BX87" i="77"/>
  <c r="AW75" i="77"/>
  <c r="CF77" i="77"/>
  <c r="BZ76" i="77"/>
  <c r="CG74" i="77"/>
  <c r="BU77" i="77"/>
  <c r="BW77" i="77"/>
  <c r="CA74" i="77"/>
  <c r="U16" i="19"/>
  <c r="U131" i="19" s="1"/>
  <c r="AP16" i="19"/>
  <c r="AY466" i="18"/>
  <c r="AV275" i="18"/>
  <c r="AD239" i="18"/>
  <c r="X239" i="18"/>
  <c r="AB239" i="18"/>
  <c r="S18" i="19"/>
  <c r="S135" i="19" s="1"/>
  <c r="S136" i="19" s="1"/>
  <c r="AW78" i="19"/>
  <c r="S25" i="19"/>
  <c r="Y17" i="19"/>
  <c r="L75" i="19"/>
  <c r="AB46" i="19"/>
  <c r="AV46" i="19"/>
  <c r="X77" i="19"/>
  <c r="X88" i="19"/>
  <c r="X91" i="19" s="1"/>
  <c r="X121" i="19" s="1"/>
  <c r="Y25" i="19"/>
  <c r="AZ46" i="19"/>
  <c r="AZ16" i="19"/>
  <c r="AS248" i="18"/>
  <c r="BF141" i="19"/>
  <c r="BF142" i="19" s="1"/>
  <c r="BG141" i="19"/>
  <c r="BG142" i="19" s="1"/>
  <c r="BY47" i="19"/>
  <c r="CE47" i="19" s="1"/>
  <c r="CK47" i="19" s="1"/>
  <c r="CQ47" i="19" s="1"/>
  <c r="AU73" i="18"/>
  <c r="AV73" i="18" s="1"/>
  <c r="AW73" i="18" s="1"/>
  <c r="AO50" i="18"/>
  <c r="AU245" i="18" s="1"/>
  <c r="AZ245" i="18"/>
  <c r="AE327" i="18"/>
  <c r="Y327" i="18" s="1"/>
  <c r="AO339" i="18"/>
  <c r="AO450" i="18" s="1"/>
  <c r="BL48" i="18"/>
  <c r="BL47" i="18" s="1"/>
  <c r="Q256" i="18"/>
  <c r="AG275" i="18"/>
  <c r="AE34" i="18"/>
  <c r="K256" i="18"/>
  <c r="E13" i="77"/>
  <c r="E16" i="77" s="1"/>
  <c r="D10" i="18"/>
  <c r="E10" i="18"/>
  <c r="AO321" i="18"/>
  <c r="AN321" i="18" s="1"/>
  <c r="BO209" i="18"/>
  <c r="AG149" i="18"/>
  <c r="BT68" i="18"/>
  <c r="DY52" i="18"/>
  <c r="DX50" i="18"/>
  <c r="DY50" i="18"/>
  <c r="BO31" i="19"/>
  <c r="AV452" i="18"/>
  <c r="AM278" i="18"/>
  <c r="AN323" i="18"/>
  <c r="AN336" i="18" s="1"/>
  <c r="AP447" i="18"/>
  <c r="AE50" i="18"/>
  <c r="BA33" i="18"/>
  <c r="F10" i="18"/>
  <c r="BO13" i="18"/>
  <c r="X271" i="18"/>
  <c r="BA246" i="18"/>
  <c r="BA222" i="18"/>
  <c r="BB221" i="18"/>
  <c r="AP207" i="18"/>
  <c r="AO207" i="18"/>
  <c r="AN207" i="18"/>
  <c r="AY221" i="18"/>
  <c r="AU221" i="18"/>
  <c r="AT221" i="18"/>
  <c r="AN20" i="18"/>
  <c r="AN39" i="18"/>
  <c r="Q10" i="18"/>
  <c r="AH239" i="18"/>
  <c r="J256" i="18"/>
  <c r="L256" i="18"/>
  <c r="AJ322" i="18"/>
  <c r="AI322" i="18" s="1"/>
  <c r="AE328" i="18"/>
  <c r="Y328" i="18" s="1"/>
  <c r="BB245" i="18"/>
  <c r="BT51" i="18"/>
  <c r="AI327" i="18"/>
  <c r="AI340" i="18" s="1"/>
  <c r="AJ340" i="18"/>
  <c r="AJ451" i="18" s="1"/>
  <c r="BM50" i="18"/>
  <c r="BM275" i="18" s="1"/>
  <c r="AK258" i="18"/>
  <c r="W271" i="18"/>
  <c r="AW258" i="18"/>
  <c r="P10" i="18"/>
  <c r="BA56" i="18"/>
  <c r="AB45" i="77"/>
  <c r="AG269" i="18"/>
  <c r="AT328" i="18"/>
  <c r="AS328" i="18" s="1"/>
  <c r="BH146" i="18"/>
  <c r="DU51" i="18"/>
  <c r="AB269" i="18"/>
  <c r="W39" i="18"/>
  <c r="AO63" i="18"/>
  <c r="BR24" i="18"/>
  <c r="BR239" i="18" s="1"/>
  <c r="BB276" i="18"/>
  <c r="AE39" i="18"/>
  <c r="W241" i="18"/>
  <c r="AI245" i="18"/>
  <c r="BA221" i="18"/>
  <c r="BO71" i="18"/>
  <c r="BU71" i="18" s="1"/>
  <c r="Y240" i="18"/>
  <c r="BH89" i="18"/>
  <c r="BH374" i="18" s="1"/>
  <c r="BT55" i="18"/>
  <c r="BW55" i="18" s="1"/>
  <c r="X94" i="77"/>
  <c r="AE325" i="18"/>
  <c r="Y325" i="18" s="1"/>
  <c r="R256" i="18"/>
  <c r="AJ323" i="18"/>
  <c r="AJ336" i="18" s="1"/>
  <c r="AD323" i="18"/>
  <c r="AC323" i="18" s="1"/>
  <c r="BX191" i="18"/>
  <c r="CC191" i="18"/>
  <c r="CI191" i="18" s="1"/>
  <c r="AW53" i="18"/>
  <c r="AH269" i="18"/>
  <c r="AA269" i="18"/>
  <c r="AP386" i="18"/>
  <c r="AJ326" i="18"/>
  <c r="AJ339" i="18" s="1"/>
  <c r="AT98" i="18"/>
  <c r="AN275" i="18"/>
  <c r="AO70" i="18"/>
  <c r="AP70" i="18" s="1"/>
  <c r="Y26" i="18"/>
  <c r="AV45" i="77"/>
  <c r="AG239" i="18"/>
  <c r="AD16" i="77"/>
  <c r="BX245" i="18"/>
  <c r="AU110" i="18"/>
  <c r="BA105" i="18"/>
  <c r="BB56" i="18"/>
  <c r="AV114" i="77"/>
  <c r="AN76" i="77"/>
  <c r="AN84" i="77" s="1"/>
  <c r="BG73" i="77"/>
  <c r="AU46" i="19"/>
  <c r="AG46" i="19"/>
  <c r="AD19" i="19"/>
  <c r="BG46" i="19"/>
  <c r="AH16" i="19"/>
  <c r="AH84" i="19" s="1"/>
  <c r="AH87" i="19" s="1"/>
  <c r="AH120" i="19" s="1"/>
  <c r="AH46" i="19"/>
  <c r="U46" i="19"/>
  <c r="AG16" i="19"/>
  <c r="AG131" i="19" s="1"/>
  <c r="Y60" i="19"/>
  <c r="AJ63" i="19"/>
  <c r="AE17" i="19"/>
  <c r="AE53" i="48"/>
  <c r="AG54" i="48" s="1"/>
  <c r="L78" i="19"/>
  <c r="AD49" i="19"/>
  <c r="AJ60" i="19"/>
  <c r="R78" i="19"/>
  <c r="X52" i="19"/>
  <c r="AB16" i="19"/>
  <c r="AJ62" i="19"/>
  <c r="AD53" i="19"/>
  <c r="AD52" i="19"/>
  <c r="CF52" i="19"/>
  <c r="AD88" i="19"/>
  <c r="AD91" i="19" s="1"/>
  <c r="AD121" i="19" s="1"/>
  <c r="M18" i="19"/>
  <c r="M135" i="19" s="1"/>
  <c r="AE14" i="19"/>
  <c r="AE49" i="19" s="1"/>
  <c r="AD77" i="19"/>
  <c r="AD78" i="19"/>
  <c r="AD12" i="77"/>
  <c r="AE12" i="77" s="1"/>
  <c r="CA52" i="19"/>
  <c r="X141" i="19"/>
  <c r="X142" i="19" s="1"/>
  <c r="R92" i="19"/>
  <c r="R96" i="19" s="1"/>
  <c r="R122" i="19" s="1"/>
  <c r="AD92" i="19"/>
  <c r="AD96" i="19" s="1"/>
  <c r="AD122" i="19" s="1"/>
  <c r="AE18" i="19"/>
  <c r="L92" i="19"/>
  <c r="L96" i="19" s="1"/>
  <c r="L122" i="19" s="1"/>
  <c r="S14" i="19"/>
  <c r="S49" i="19" s="1"/>
  <c r="AH61" i="19"/>
  <c r="R143" i="19"/>
  <c r="R144" i="19" s="1"/>
  <c r="R60" i="19"/>
  <c r="CD52" i="19"/>
  <c r="BI80" i="77"/>
  <c r="BG66" i="77"/>
  <c r="AB23" i="19"/>
  <c r="AN23" i="19"/>
  <c r="W16" i="77"/>
  <c r="W17" i="77" s="1"/>
  <c r="S16" i="77"/>
  <c r="S17" i="77" s="1"/>
  <c r="AU48" i="19"/>
  <c r="Q43" i="77"/>
  <c r="Q44" i="77" s="1"/>
  <c r="W45" i="77"/>
  <c r="BO55" i="18"/>
  <c r="W18" i="77"/>
  <c r="X18" i="77"/>
  <c r="BE69" i="77"/>
  <c r="U94" i="77"/>
  <c r="V16" i="77"/>
  <c r="V17" i="77" s="1"/>
  <c r="U45" i="77"/>
  <c r="BR245" i="18"/>
  <c r="BS50" i="18"/>
  <c r="O267" i="18"/>
  <c r="AD230" i="18"/>
  <c r="AD231" i="18" s="1"/>
  <c r="V45" i="77"/>
  <c r="BR275" i="18"/>
  <c r="U16" i="77"/>
  <c r="U17" i="77" s="1"/>
  <c r="BT52" i="18"/>
  <c r="DZ51" i="18" s="1"/>
  <c r="AC18" i="77"/>
  <c r="AI232" i="18"/>
  <c r="AW13" i="18"/>
  <c r="AB16" i="77"/>
  <c r="AB18" i="77"/>
  <c r="U232" i="18"/>
  <c r="AO235" i="18"/>
  <c r="AO466" i="18"/>
  <c r="AO468" i="18" s="1"/>
  <c r="P23" i="19"/>
  <c r="BG268" i="18"/>
  <c r="R207" i="18"/>
  <c r="AG235" i="18"/>
  <c r="F12" i="77"/>
  <c r="G12" i="77" s="1"/>
  <c r="BG16" i="19"/>
  <c r="AD141" i="19"/>
  <c r="AD142" i="19" s="1"/>
  <c r="AG232" i="18"/>
  <c r="AI235" i="18"/>
  <c r="AO20" i="18"/>
  <c r="F101" i="19"/>
  <c r="G101" i="19" s="1"/>
  <c r="R75" i="19"/>
  <c r="AM20" i="18"/>
  <c r="AS203" i="18"/>
  <c r="AT203" i="18" s="1"/>
  <c r="AU203" i="18" s="1"/>
  <c r="AV203" i="18" s="1"/>
  <c r="AV61" i="19"/>
  <c r="F99" i="19"/>
  <c r="G99" i="19" s="1"/>
  <c r="AS48" i="19"/>
  <c r="AP46" i="19"/>
  <c r="R236" i="18"/>
  <c r="AO229" i="18"/>
  <c r="F13" i="18"/>
  <c r="F203" i="18" s="1"/>
  <c r="AA17" i="18"/>
  <c r="G14" i="19"/>
  <c r="G76" i="19" s="1"/>
  <c r="AP61" i="19"/>
  <c r="AG229" i="18"/>
  <c r="AA229" i="18"/>
  <c r="AP64" i="19"/>
  <c r="AH232" i="18"/>
  <c r="O237" i="18"/>
  <c r="R13" i="77"/>
  <c r="R16" i="77" s="1"/>
  <c r="R17" i="77" s="1"/>
  <c r="L16" i="18"/>
  <c r="L263" i="18"/>
  <c r="K235" i="18"/>
  <c r="BF23" i="19"/>
  <c r="AY76" i="77"/>
  <c r="AY84" i="77" s="1"/>
  <c r="AY66" i="77"/>
  <c r="BL245" i="18"/>
  <c r="DJ308" i="18"/>
  <c r="AT336" i="18"/>
  <c r="AT383" i="18" s="1"/>
  <c r="AV276" i="18"/>
  <c r="BE275" i="18"/>
  <c r="AW415" i="18"/>
  <c r="BC50" i="18"/>
  <c r="BT63" i="18"/>
  <c r="AH149" i="18"/>
  <c r="AN245" i="18"/>
  <c r="AY229" i="18"/>
  <c r="AC232" i="18"/>
  <c r="BC53" i="18"/>
  <c r="BC54" i="18" s="1"/>
  <c r="BE54" i="18" s="1"/>
  <c r="AQ31" i="18"/>
  <c r="AC229" i="18"/>
  <c r="AI275" i="18"/>
  <c r="AJ275" i="18"/>
  <c r="AW38" i="18"/>
  <c r="AY402" i="18"/>
  <c r="BH70" i="18"/>
  <c r="BB246" i="18"/>
  <c r="AV16" i="77"/>
  <c r="AC94" i="77"/>
  <c r="X16" i="77"/>
  <c r="X17" i="77" s="1"/>
  <c r="AV18" i="77"/>
  <c r="V18" i="77"/>
  <c r="V94" i="77"/>
  <c r="AC16" i="77"/>
  <c r="Y14" i="77"/>
  <c r="Y45" i="77" s="1"/>
  <c r="AD149" i="18"/>
  <c r="BO90" i="18"/>
  <c r="R53" i="19"/>
  <c r="AE60" i="19"/>
  <c r="AJ263" i="18"/>
  <c r="Y230" i="18"/>
  <c r="Y231" i="18" s="1"/>
  <c r="AI20" i="18"/>
  <c r="L230" i="18"/>
  <c r="L231" i="18" s="1"/>
  <c r="AC235" i="18"/>
  <c r="AS466" i="18"/>
  <c r="AS468" i="18" s="1"/>
  <c r="L10" i="18"/>
  <c r="P235" i="18"/>
  <c r="P232" i="18"/>
  <c r="I267" i="18"/>
  <c r="AI17" i="18"/>
  <c r="F16" i="18"/>
  <c r="X230" i="18"/>
  <c r="X231" i="18" s="1"/>
  <c r="X263" i="18"/>
  <c r="Y73" i="19"/>
  <c r="Y79" i="19" s="1"/>
  <c r="L207" i="18"/>
  <c r="I229" i="18"/>
  <c r="AN229" i="18"/>
  <c r="AA232" i="18"/>
  <c r="AA292" i="18"/>
  <c r="P229" i="18"/>
  <c r="J229" i="18"/>
  <c r="AS235" i="18"/>
  <c r="AG17" i="18"/>
  <c r="X292" i="18"/>
  <c r="I235" i="18"/>
  <c r="L237" i="18"/>
  <c r="L267" i="18"/>
  <c r="AY232" i="18"/>
  <c r="R237" i="18"/>
  <c r="I230" i="18"/>
  <c r="I231" i="18" s="1"/>
  <c r="J267" i="18"/>
  <c r="BF13" i="18"/>
  <c r="BF268" i="18"/>
  <c r="I18" i="77"/>
  <c r="I13" i="18"/>
  <c r="I203" i="18" s="1"/>
  <c r="R12" i="77"/>
  <c r="S12" i="77" s="1"/>
  <c r="O13" i="77"/>
  <c r="O16" i="77" s="1"/>
  <c r="I232" i="18"/>
  <c r="L13" i="77"/>
  <c r="L16" i="77" s="1"/>
  <c r="L17" i="77" s="1"/>
  <c r="BC12" i="77"/>
  <c r="AQ12" i="77"/>
  <c r="R263" i="18"/>
  <c r="AQ80" i="77"/>
  <c r="BC80" i="77"/>
  <c r="AU66" i="77"/>
  <c r="BE78" i="77"/>
  <c r="BE66" i="77" s="1"/>
  <c r="BG76" i="17"/>
  <c r="G23" i="17"/>
  <c r="Q43" i="17"/>
  <c r="AK15" i="17"/>
  <c r="AW21" i="17"/>
  <c r="G15" i="17"/>
  <c r="AD41" i="17"/>
  <c r="AD77" i="17" s="1"/>
  <c r="AD76" i="17" s="1"/>
  <c r="W34" i="17"/>
  <c r="AV41" i="17"/>
  <c r="AV77" i="17" s="1"/>
  <c r="AV76" i="17" s="1"/>
  <c r="AO33" i="17"/>
  <c r="AO34" i="17" s="1"/>
  <c r="E77" i="17"/>
  <c r="E76" i="17" s="1"/>
  <c r="M14" i="17"/>
  <c r="AP41" i="17"/>
  <c r="AP77" i="17" s="1"/>
  <c r="AP76" i="17" s="1"/>
  <c r="BO39" i="16"/>
  <c r="BQ39" i="16" s="1"/>
  <c r="BR39" i="16" s="1"/>
  <c r="BS39" i="16" s="1"/>
  <c r="BG43" i="17"/>
  <c r="AK21" i="17"/>
  <c r="S32" i="17"/>
  <c r="BB40" i="17"/>
  <c r="BC40" i="17" s="1"/>
  <c r="G41" i="17"/>
  <c r="G77" i="17" s="1"/>
  <c r="G76" i="17" s="1"/>
  <c r="M40" i="17"/>
  <c r="AJ40" i="17"/>
  <c r="AK40" i="17" s="1"/>
  <c r="E40" i="17"/>
  <c r="F40" i="17" s="1"/>
  <c r="BB21" i="17"/>
  <c r="BC21" i="17" s="1"/>
  <c r="L32" i="17"/>
  <c r="M32" i="17" s="1"/>
  <c r="AQ32" i="17"/>
  <c r="AE40" i="17"/>
  <c r="M41" i="17"/>
  <c r="M77" i="17" s="1"/>
  <c r="M76" i="17" s="1"/>
  <c r="AD19" i="17"/>
  <c r="AE19" i="17" s="1"/>
  <c r="AP37" i="17"/>
  <c r="AQ37" i="17" s="1"/>
  <c r="AK32" i="17"/>
  <c r="BC24" i="17"/>
  <c r="Y40" i="17"/>
  <c r="M38" i="17"/>
  <c r="D43" i="17"/>
  <c r="D47" i="17" s="1"/>
  <c r="D73" i="16" s="1"/>
  <c r="BB38" i="17"/>
  <c r="AQ40" i="17"/>
  <c r="AQ38" i="17"/>
  <c r="AE37" i="17"/>
  <c r="AI31" i="17"/>
  <c r="AI34" i="17" s="1"/>
  <c r="S31" i="17"/>
  <c r="AU38" i="17"/>
  <c r="AV38" i="17" s="1"/>
  <c r="AW38" i="17" s="1"/>
  <c r="Q34" i="17"/>
  <c r="AW25" i="17"/>
  <c r="AE32" i="17"/>
  <c r="K17" i="17"/>
  <c r="K26" i="17" s="1"/>
  <c r="K74" i="16" s="1"/>
  <c r="S38" i="17"/>
  <c r="AW22" i="17"/>
  <c r="M16" i="17"/>
  <c r="F16" i="17"/>
  <c r="G16" i="17" s="1"/>
  <c r="X20" i="17"/>
  <c r="Y20" i="17" s="1"/>
  <c r="R14" i="17"/>
  <c r="S14" i="17" s="1"/>
  <c r="AD14" i="17"/>
  <c r="BC37" i="17"/>
  <c r="AV14" i="17"/>
  <c r="AW14" i="17" s="1"/>
  <c r="BB23" i="17"/>
  <c r="BC23" i="17" s="1"/>
  <c r="AQ14" i="17"/>
  <c r="S40" i="17"/>
  <c r="F14" i="17"/>
  <c r="BI40" i="17"/>
  <c r="BC32" i="17"/>
  <c r="BC14" i="17"/>
  <c r="AQ39" i="17"/>
  <c r="AK37" i="17"/>
  <c r="K77" i="17"/>
  <c r="K76" i="17" s="1"/>
  <c r="AQ23" i="17"/>
  <c r="BI13" i="17"/>
  <c r="AU22" i="19"/>
  <c r="BB41" i="17"/>
  <c r="AE21" i="17"/>
  <c r="AW30" i="17"/>
  <c r="BC22" i="17"/>
  <c r="AQ48" i="48"/>
  <c r="AS60" i="48"/>
  <c r="BI22" i="17"/>
  <c r="BS12" i="17"/>
  <c r="BE60" i="48"/>
  <c r="BI60" i="48" s="1"/>
  <c r="BI62" i="48" s="1"/>
  <c r="AG60" i="48"/>
  <c r="BI24" i="17"/>
  <c r="BR12" i="17"/>
  <c r="AA61" i="48"/>
  <c r="AE61" i="48" s="1"/>
  <c r="AE60" i="48"/>
  <c r="AM60" i="48"/>
  <c r="AE14" i="77"/>
  <c r="BT13" i="18"/>
  <c r="BS13" i="18"/>
  <c r="AW240" i="18"/>
  <c r="AU351" i="18"/>
  <c r="BC240" i="18"/>
  <c r="L269" i="18"/>
  <c r="AK240" i="18"/>
  <c r="AT85" i="77"/>
  <c r="AS50" i="18"/>
  <c r="AT275" i="18" s="1"/>
  <c r="AV106" i="18"/>
  <c r="AU105" i="18"/>
  <c r="AT282" i="18"/>
  <c r="AT321" i="18"/>
  <c r="AU334" i="18"/>
  <c r="AK50" i="18"/>
  <c r="BN68" i="18"/>
  <c r="S43" i="18"/>
  <c r="M43" i="18"/>
  <c r="M10" i="18" s="1"/>
  <c r="G43" i="18"/>
  <c r="G13" i="77" s="1"/>
  <c r="G16" i="77" s="1"/>
  <c r="BO51" i="18"/>
  <c r="AM416" i="18"/>
  <c r="BT70" i="18"/>
  <c r="AP50" i="18"/>
  <c r="AP245" i="18" s="1"/>
  <c r="AV62" i="18"/>
  <c r="AE45" i="18"/>
  <c r="AE44" i="18"/>
  <c r="V271" i="18"/>
  <c r="R271" i="18"/>
  <c r="BH51" i="18"/>
  <c r="BI51" i="18" s="1"/>
  <c r="V239" i="18"/>
  <c r="P17" i="18"/>
  <c r="I10" i="18"/>
  <c r="AY222" i="18"/>
  <c r="AY207" i="18"/>
  <c r="BT77" i="18"/>
  <c r="BI63" i="18"/>
  <c r="AV445" i="18"/>
  <c r="AV381" i="18"/>
  <c r="AJ140" i="18"/>
  <c r="AH140" i="18"/>
  <c r="AI140" i="18"/>
  <c r="AG140" i="18"/>
  <c r="AV108" i="18"/>
  <c r="AU98" i="18"/>
  <c r="AW107" i="18"/>
  <c r="BB68" i="18"/>
  <c r="AE240" i="18"/>
  <c r="AP341" i="18"/>
  <c r="AO328" i="18"/>
  <c r="BG196" i="18"/>
  <c r="BN77" i="18"/>
  <c r="AD94" i="77"/>
  <c r="AD45" i="77"/>
  <c r="S45" i="77"/>
  <c r="S18" i="77"/>
  <c r="AW237" i="18"/>
  <c r="AD18" i="77"/>
  <c r="L60" i="19"/>
  <c r="L53" i="19"/>
  <c r="M9" i="19"/>
  <c r="M156" i="16" s="1"/>
  <c r="AO48" i="19"/>
  <c r="L292" i="18"/>
  <c r="X236" i="18"/>
  <c r="K232" i="18"/>
  <c r="AO232" i="18"/>
  <c r="AD236" i="18"/>
  <c r="AH229" i="18"/>
  <c r="U292" i="18"/>
  <c r="U229" i="18"/>
  <c r="I17" i="18"/>
  <c r="K229" i="18"/>
  <c r="E229" i="18"/>
  <c r="Q17" i="18"/>
  <c r="E232" i="18"/>
  <c r="AO17" i="18"/>
  <c r="U17" i="18"/>
  <c r="K17" i="18"/>
  <c r="AA235" i="18"/>
  <c r="AK76" i="19"/>
  <c r="R19" i="77"/>
  <c r="F76" i="19"/>
  <c r="AO19" i="77"/>
  <c r="AK12" i="77"/>
  <c r="AW63" i="19"/>
  <c r="AS64" i="19"/>
  <c r="L77" i="19"/>
  <c r="X19" i="19"/>
  <c r="V46" i="19"/>
  <c r="V16" i="19"/>
  <c r="V50" i="19" s="1"/>
  <c r="E46" i="19"/>
  <c r="E16" i="19"/>
  <c r="E20" i="19" s="1"/>
  <c r="E157" i="16" s="1"/>
  <c r="G13" i="19"/>
  <c r="G75" i="19" s="1"/>
  <c r="F75" i="19"/>
  <c r="V229" i="18"/>
  <c r="K203" i="18"/>
  <c r="AJ232" i="18"/>
  <c r="S203" i="18"/>
  <c r="AH17" i="18"/>
  <c r="AB232" i="18"/>
  <c r="C13" i="18"/>
  <c r="C48" i="19" s="1"/>
  <c r="C18" i="77"/>
  <c r="I13" i="77"/>
  <c r="I16" i="77" s="1"/>
  <c r="I237" i="18"/>
  <c r="C19" i="77"/>
  <c r="I19" i="77"/>
  <c r="AJ203" i="18"/>
  <c r="AJ229" i="18"/>
  <c r="AH235" i="18"/>
  <c r="M75" i="19"/>
  <c r="F77" i="19"/>
  <c r="BC77" i="19"/>
  <c r="Q46" i="19"/>
  <c r="O46" i="19"/>
  <c r="I46" i="19"/>
  <c r="BG61" i="19"/>
  <c r="AW49" i="19"/>
  <c r="G77" i="19"/>
  <c r="AO64" i="19"/>
  <c r="AQ12" i="19"/>
  <c r="AQ75" i="19"/>
  <c r="G18" i="19"/>
  <c r="G135" i="19" s="1"/>
  <c r="U203" i="18"/>
  <c r="AT229" i="18"/>
  <c r="AI203" i="18"/>
  <c r="U235" i="18"/>
  <c r="O232" i="18"/>
  <c r="AU232" i="18"/>
  <c r="AU229" i="18"/>
  <c r="X203" i="18"/>
  <c r="W229" i="18"/>
  <c r="AC17" i="18"/>
  <c r="R203" i="18"/>
  <c r="X12" i="77"/>
  <c r="Y12" i="77" s="1"/>
  <c r="AD60" i="19"/>
  <c r="BC47" i="19"/>
  <c r="Q229" i="18"/>
  <c r="Y16" i="18"/>
  <c r="Y13" i="18"/>
  <c r="BG64" i="19"/>
  <c r="AM64" i="19"/>
  <c r="BE53" i="19"/>
  <c r="BI53" i="19" s="1"/>
  <c r="BE12" i="77"/>
  <c r="R77" i="19"/>
  <c r="BF64" i="19"/>
  <c r="BE64" i="19"/>
  <c r="AC46" i="19"/>
  <c r="BA48" i="19"/>
  <c r="BC48" i="19" s="1"/>
  <c r="AE25" i="19"/>
  <c r="L12" i="19"/>
  <c r="BI47" i="19"/>
  <c r="BG48" i="19"/>
  <c r="G28" i="19"/>
  <c r="AU61" i="19"/>
  <c r="AM16" i="19"/>
  <c r="AM50" i="19" s="1"/>
  <c r="X79" i="19"/>
  <c r="BC53" i="19"/>
  <c r="AZ64" i="19"/>
  <c r="AV64" i="19"/>
  <c r="AA46" i="19"/>
  <c r="K46" i="19"/>
  <c r="X60" i="19"/>
  <c r="BA64" i="19"/>
  <c r="AD16" i="18"/>
  <c r="AG292" i="18"/>
  <c r="Q232" i="18"/>
  <c r="AS232" i="18"/>
  <c r="F230" i="18"/>
  <c r="F231" i="18" s="1"/>
  <c r="AM232" i="18"/>
  <c r="G16" i="18"/>
  <c r="AD207" i="18"/>
  <c r="AJ208" i="18" s="1"/>
  <c r="AD263" i="18"/>
  <c r="AE236" i="18"/>
  <c r="AE203" i="18"/>
  <c r="D203" i="18"/>
  <c r="R230" i="18"/>
  <c r="R231" i="18" s="1"/>
  <c r="AS17" i="18"/>
  <c r="AS402" i="18"/>
  <c r="AS404" i="18" s="1"/>
  <c r="BG203" i="18"/>
  <c r="BH203" i="18" s="1"/>
  <c r="AA203" i="18"/>
  <c r="AC203" i="18"/>
  <c r="Q235" i="18"/>
  <c r="J17" i="18"/>
  <c r="AD13" i="18"/>
  <c r="AZ203" i="18"/>
  <c r="BA203" i="18" s="1"/>
  <c r="BB203" i="18" s="1"/>
  <c r="O203" i="18"/>
  <c r="AM229" i="18"/>
  <c r="C229" i="18"/>
  <c r="AY17" i="18"/>
  <c r="AY235" i="18"/>
  <c r="BC13" i="18"/>
  <c r="J235" i="18"/>
  <c r="AW12" i="77"/>
  <c r="X207" i="18"/>
  <c r="G9" i="19"/>
  <c r="G156" i="16" s="1"/>
  <c r="X16" i="18"/>
  <c r="R16" i="18"/>
  <c r="BS126" i="19"/>
  <c r="BT57" i="19"/>
  <c r="U7" i="19"/>
  <c r="S7" i="48"/>
  <c r="BB76" i="77"/>
  <c r="BB66" i="77"/>
  <c r="BR76" i="77"/>
  <c r="BK76" i="77"/>
  <c r="BO78" i="77"/>
  <c r="BO83" i="77" s="1"/>
  <c r="BG68" i="77"/>
  <c r="BH70" i="77"/>
  <c r="BI70" i="77" s="1"/>
  <c r="BF76" i="77"/>
  <c r="BF84" i="77" s="1"/>
  <c r="BF66" i="77"/>
  <c r="AU72" i="77"/>
  <c r="AU69" i="77"/>
  <c r="P43" i="77"/>
  <c r="BA207" i="18"/>
  <c r="BS87" i="77"/>
  <c r="BY86" i="77" s="1"/>
  <c r="AQ78" i="77"/>
  <c r="AQ83" i="77" s="1"/>
  <c r="AM76" i="77"/>
  <c r="AO75" i="77"/>
  <c r="AU73" i="77"/>
  <c r="AQ72" i="77"/>
  <c r="BE220" i="18"/>
  <c r="BA66" i="77"/>
  <c r="BA76" i="77"/>
  <c r="BR87" i="77"/>
  <c r="BX86" i="77" s="1"/>
  <c r="AZ73" i="77"/>
  <c r="BC75" i="77"/>
  <c r="AZ66" i="77"/>
  <c r="BC78" i="77"/>
  <c r="BC83" i="77" s="1"/>
  <c r="AT76" i="77"/>
  <c r="AT66" i="77"/>
  <c r="BO80" i="77"/>
  <c r="AW80" i="77"/>
  <c r="AS78" i="77"/>
  <c r="O48" i="77"/>
  <c r="BB222" i="18"/>
  <c r="BB207" i="18"/>
  <c r="BL71" i="77"/>
  <c r="S94" i="77"/>
  <c r="BN96" i="77"/>
  <c r="BN115" i="77"/>
  <c r="BQ32" i="77"/>
  <c r="BN87" i="77"/>
  <c r="BT85" i="77"/>
  <c r="AP75" i="77"/>
  <c r="AV66" i="77"/>
  <c r="AV73" i="77"/>
  <c r="AV84" i="77" s="1"/>
  <c r="BT83" i="77"/>
  <c r="BT80" i="77" s="1"/>
  <c r="BS80" i="77"/>
  <c r="BS78" i="77" s="1"/>
  <c r="BS76" i="77" s="1"/>
  <c r="AP58" i="48"/>
  <c r="AK56" i="48"/>
  <c r="AG58" i="48"/>
  <c r="BE33" i="48"/>
  <c r="BC33" i="48"/>
  <c r="AK53" i="48"/>
  <c r="AM54" i="48" s="1"/>
  <c r="AQ35" i="48"/>
  <c r="AP49" i="48"/>
  <c r="AQ49" i="48" s="1"/>
  <c r="AP37" i="48"/>
  <c r="AM58" i="48"/>
  <c r="AQ56" i="48"/>
  <c r="L18" i="17"/>
  <c r="AK45" i="17"/>
  <c r="AT43" i="17"/>
  <c r="BF43" i="17"/>
  <c r="AP19" i="17"/>
  <c r="AQ19" i="17" s="1"/>
  <c r="AQ25" i="17"/>
  <c r="M20" i="17"/>
  <c r="F19" i="17"/>
  <c r="F17" i="17" s="1"/>
  <c r="X14" i="17"/>
  <c r="X24" i="17"/>
  <c r="Y24" i="17" s="1"/>
  <c r="K34" i="17"/>
  <c r="AU17" i="17"/>
  <c r="S16" i="17"/>
  <c r="AV11" i="17"/>
  <c r="S18" i="17"/>
  <c r="Y22" i="17"/>
  <c r="G13" i="17"/>
  <c r="AD24" i="17"/>
  <c r="AE24" i="17" s="1"/>
  <c r="E21" i="19"/>
  <c r="S65" i="17"/>
  <c r="Y61" i="17" s="1"/>
  <c r="S69" i="17"/>
  <c r="S70" i="17"/>
  <c r="BO67" i="17"/>
  <c r="AT34" i="17"/>
  <c r="W17" i="17"/>
  <c r="X18" i="17"/>
  <c r="F10" i="17"/>
  <c r="W22" i="19"/>
  <c r="AD25" i="17"/>
  <c r="AE25" i="17" s="1"/>
  <c r="AE22" i="17"/>
  <c r="AV24" i="17"/>
  <c r="AW24" i="17" s="1"/>
  <c r="F11" i="17"/>
  <c r="AJ22" i="17"/>
  <c r="AK22" i="17" s="1"/>
  <c r="R20" i="17"/>
  <c r="R17" i="17" s="1"/>
  <c r="AW45" i="17"/>
  <c r="AU33" i="17"/>
  <c r="AV33" i="17" s="1"/>
  <c r="G31" i="17"/>
  <c r="BF34" i="17"/>
  <c r="AP31" i="17"/>
  <c r="AQ31" i="17" s="1"/>
  <c r="G18" i="17"/>
  <c r="D54" i="17"/>
  <c r="D75" i="16" s="1"/>
  <c r="AC33" i="17"/>
  <c r="G20" i="17"/>
  <c r="Y16" i="17"/>
  <c r="AI17" i="17"/>
  <c r="K21" i="19"/>
  <c r="BA43" i="17"/>
  <c r="AC17" i="17"/>
  <c r="M15" i="17"/>
  <c r="AC21" i="19"/>
  <c r="G33" i="17"/>
  <c r="P8" i="17"/>
  <c r="Q8" i="17" s="1"/>
  <c r="R8" i="17" s="1"/>
  <c r="U8" i="17"/>
  <c r="AD16" i="17"/>
  <c r="AE16" i="17" s="1"/>
  <c r="AI22" i="19"/>
  <c r="AK20" i="17"/>
  <c r="E34" i="17"/>
  <c r="Q17" i="17"/>
  <c r="Y38" i="17"/>
  <c r="AV29" i="17"/>
  <c r="AV94" i="16" s="1"/>
  <c r="AV95" i="16" s="1"/>
  <c r="BB45" i="17"/>
  <c r="BC45" i="17" s="1"/>
  <c r="AQ18" i="17"/>
  <c r="F29" i="17"/>
  <c r="F94" i="16" s="1"/>
  <c r="BB15" i="17"/>
  <c r="BC15" i="17" s="1"/>
  <c r="AJ18" i="17"/>
  <c r="AD18" i="17"/>
  <c r="AV18" i="17"/>
  <c r="X21" i="19"/>
  <c r="AU21" i="19"/>
  <c r="BK43" i="48"/>
  <c r="BI57" i="17"/>
  <c r="BI43" i="48" s="1"/>
  <c r="BH78" i="17"/>
  <c r="BH41" i="19" s="1"/>
  <c r="L43" i="17"/>
  <c r="M37" i="17"/>
  <c r="BS77" i="17"/>
  <c r="BT41" i="17"/>
  <c r="BT77" i="17" s="1"/>
  <c r="E38" i="17"/>
  <c r="F38" i="17" s="1"/>
  <c r="E17" i="17"/>
  <c r="BC16" i="17"/>
  <c r="AW37" i="17"/>
  <c r="AO17" i="17"/>
  <c r="E22" i="19"/>
  <c r="F12" i="17"/>
  <c r="L10" i="17"/>
  <c r="X12" i="17"/>
  <c r="K22" i="19"/>
  <c r="M23" i="17"/>
  <c r="L11" i="17"/>
  <c r="L101" i="16" s="1"/>
  <c r="BI25" i="17"/>
  <c r="BQ270" i="18"/>
  <c r="AZ334" i="18"/>
  <c r="BA321" i="18"/>
  <c r="AC269" i="18"/>
  <c r="C333" i="18"/>
  <c r="C345" i="18" s="1"/>
  <c r="C176" i="18"/>
  <c r="C584" i="18" s="1"/>
  <c r="BT96" i="18"/>
  <c r="BU96" i="18" s="1"/>
  <c r="AS453" i="18"/>
  <c r="AS389" i="18"/>
  <c r="AN416" i="18"/>
  <c r="BA329" i="18"/>
  <c r="E144" i="18"/>
  <c r="E145" i="18" s="1"/>
  <c r="D145" i="18"/>
  <c r="M240" i="18"/>
  <c r="M26" i="18"/>
  <c r="S31" i="18"/>
  <c r="S32" i="18" s="1"/>
  <c r="S36" i="18"/>
  <c r="G28" i="18"/>
  <c r="I28" i="18"/>
  <c r="AQ173" i="18"/>
  <c r="AW6" i="18"/>
  <c r="AU340" i="18"/>
  <c r="AT327" i="18"/>
  <c r="BK274" i="18"/>
  <c r="BK244" i="18"/>
  <c r="BF275" i="18"/>
  <c r="BF245" i="18"/>
  <c r="AS325" i="18"/>
  <c r="AS324" i="18"/>
  <c r="AJ329" i="18"/>
  <c r="AE329" i="18"/>
  <c r="AI48" i="19"/>
  <c r="U48" i="19"/>
  <c r="AJ48" i="19"/>
  <c r="BB324" i="18"/>
  <c r="AM326" i="18"/>
  <c r="AN339" i="18"/>
  <c r="DM308" i="18"/>
  <c r="DN308" i="18"/>
  <c r="AJ334" i="18"/>
  <c r="AI321" i="18"/>
  <c r="BC325" i="18"/>
  <c r="BE325" i="18" s="1"/>
  <c r="AD326" i="18"/>
  <c r="Y326" i="18"/>
  <c r="AJ155" i="18"/>
  <c r="AV468" i="18"/>
  <c r="BT189" i="18"/>
  <c r="BW189" i="18" s="1"/>
  <c r="BX189" i="18" s="1"/>
  <c r="BY189" i="18" s="1"/>
  <c r="BZ189" i="18" s="1"/>
  <c r="CC189" i="18" s="1"/>
  <c r="CD189" i="18" s="1"/>
  <c r="CE189" i="18" s="1"/>
  <c r="CF189" i="18" s="1"/>
  <c r="CI189" i="18" s="1"/>
  <c r="AK207" i="18"/>
  <c r="AV150" i="18"/>
  <c r="AW150" i="18" s="1"/>
  <c r="AU151" i="18"/>
  <c r="AJ269" i="18"/>
  <c r="AJ239" i="18"/>
  <c r="AP20" i="18"/>
  <c r="S229" i="18"/>
  <c r="BS190" i="18"/>
  <c r="AI148" i="18"/>
  <c r="AI149" i="18" s="1"/>
  <c r="AV241" i="18"/>
  <c r="AV39" i="18"/>
  <c r="AB235" i="18"/>
  <c r="AB17" i="18"/>
  <c r="AU69" i="18"/>
  <c r="AV71" i="18"/>
  <c r="AV69" i="18" s="1"/>
  <c r="BL270" i="18"/>
  <c r="BL240" i="18"/>
  <c r="W203" i="18"/>
  <c r="W48" i="19"/>
  <c r="BA322" i="18"/>
  <c r="BR191" i="18"/>
  <c r="AV189" i="18"/>
  <c r="AM155" i="18"/>
  <c r="AN154" i="18"/>
  <c r="AN155" i="18" s="1"/>
  <c r="BA328" i="18"/>
  <c r="BB327" i="18"/>
  <c r="AS320" i="18"/>
  <c r="AI269" i="18"/>
  <c r="AI239" i="18"/>
  <c r="I269" i="18"/>
  <c r="I239" i="18"/>
  <c r="S240" i="18"/>
  <c r="BT27" i="18"/>
  <c r="BW27" i="18" s="1"/>
  <c r="CC27" i="18" s="1"/>
  <c r="BS24" i="18"/>
  <c r="AV451" i="18"/>
  <c r="AV387" i="18"/>
  <c r="AE412" i="18"/>
  <c r="AM271" i="18"/>
  <c r="AM241" i="18"/>
  <c r="AM39" i="18"/>
  <c r="AM40" i="18" s="1"/>
  <c r="M39" i="18"/>
  <c r="AW437" i="18"/>
  <c r="AU452" i="18"/>
  <c r="AU388" i="18"/>
  <c r="AO340" i="18"/>
  <c r="AN327" i="18"/>
  <c r="DH308" i="18"/>
  <c r="BA320" i="18"/>
  <c r="AD322" i="18"/>
  <c r="Y322" i="18"/>
  <c r="BB326" i="18"/>
  <c r="S323" i="18"/>
  <c r="X323" i="18"/>
  <c r="AO447" i="18"/>
  <c r="AO383" i="18"/>
  <c r="AQ415" i="18"/>
  <c r="AO271" i="18"/>
  <c r="AO241" i="18"/>
  <c r="AO39" i="18"/>
  <c r="AO40" i="18" s="1"/>
  <c r="AO12" i="18"/>
  <c r="E203" i="18"/>
  <c r="E48" i="19"/>
  <c r="AO189" i="18"/>
  <c r="U62" i="18"/>
  <c r="AN271" i="18"/>
  <c r="AU238" i="18"/>
  <c r="AO238" i="18"/>
  <c r="AP268" i="18"/>
  <c r="AQ11" i="18"/>
  <c r="AO268" i="18"/>
  <c r="AU276" i="18"/>
  <c r="AN466" i="18"/>
  <c r="AN402" i="18"/>
  <c r="AN235" i="18"/>
  <c r="AN17" i="18"/>
  <c r="AB229" i="18"/>
  <c r="D229" i="18"/>
  <c r="AT278" i="18"/>
  <c r="AT248" i="18"/>
  <c r="P7" i="18"/>
  <c r="Q7" i="18" s="1"/>
  <c r="R7" i="18" s="1"/>
  <c r="U7" i="18"/>
  <c r="BF57" i="18"/>
  <c r="BE56" i="18"/>
  <c r="BO27" i="18"/>
  <c r="AW34" i="18"/>
  <c r="W17" i="18"/>
  <c r="W235" i="18"/>
  <c r="U153" i="18"/>
  <c r="V235" i="18"/>
  <c r="V17" i="18"/>
  <c r="X142" i="18"/>
  <c r="X139" i="18" s="1"/>
  <c r="AA141" i="18"/>
  <c r="Y141" i="18"/>
  <c r="AP466" i="18"/>
  <c r="AV471" i="18" s="1"/>
  <c r="AP402" i="18"/>
  <c r="AV406" i="18" s="1"/>
  <c r="AP235" i="18"/>
  <c r="AP17" i="18"/>
  <c r="AV17" i="18"/>
  <c r="AY445" i="18"/>
  <c r="AY381" i="18"/>
  <c r="W139" i="18"/>
  <c r="BN191" i="18"/>
  <c r="BG24" i="18"/>
  <c r="BG239" i="18" s="1"/>
  <c r="AP241" i="18"/>
  <c r="AP271" i="18"/>
  <c r="AP39" i="18"/>
  <c r="AP40" i="18" s="1"/>
  <c r="O269" i="18"/>
  <c r="O239" i="18"/>
  <c r="AV235" i="18"/>
  <c r="BT100" i="18"/>
  <c r="BU100" i="18" s="1"/>
  <c r="BM24" i="18"/>
  <c r="P239" i="18"/>
  <c r="P269" i="18"/>
  <c r="AD269" i="18"/>
  <c r="AW373" i="18"/>
  <c r="F29" i="18"/>
  <c r="F30" i="18" s="1"/>
  <c r="AO324" i="18"/>
  <c r="AT466" i="18"/>
  <c r="AT402" i="18"/>
  <c r="AT235" i="18"/>
  <c r="AT17" i="18"/>
  <c r="AT326" i="18"/>
  <c r="AU339" i="18"/>
  <c r="O17" i="18"/>
  <c r="O235" i="18"/>
  <c r="D267" i="18"/>
  <c r="C230" i="18"/>
  <c r="C231" i="18" s="1"/>
  <c r="G9" i="18"/>
  <c r="C10" i="18"/>
  <c r="BA323" i="18"/>
  <c r="DI308" i="18"/>
  <c r="AI325" i="18"/>
  <c r="AS336" i="18"/>
  <c r="AP342" i="18"/>
  <c r="AO329" i="18"/>
  <c r="AJ324" i="18"/>
  <c r="AE324" i="18"/>
  <c r="V414" i="18"/>
  <c r="Y65" i="18"/>
  <c r="AA65" i="18"/>
  <c r="AB65" i="18" s="1"/>
  <c r="AC65" i="18" s="1"/>
  <c r="AD65" i="18" s="1"/>
  <c r="AK241" i="18"/>
  <c r="AK39" i="18"/>
  <c r="AP229" i="18"/>
  <c r="AY184" i="18"/>
  <c r="AY592" i="18" s="1"/>
  <c r="AQ263" i="18"/>
  <c r="U271" i="18"/>
  <c r="U241" i="18"/>
  <c r="U39" i="18"/>
  <c r="O268" i="18"/>
  <c r="L268" i="18"/>
  <c r="L238" i="18"/>
  <c r="R238" i="18"/>
  <c r="J239" i="18"/>
  <c r="J269" i="18"/>
  <c r="BI48" i="18"/>
  <c r="AW35" i="18"/>
  <c r="AW36" i="18" s="1"/>
  <c r="AY35" i="18"/>
  <c r="AT232" i="18"/>
  <c r="AV386" i="18"/>
  <c r="AV450" i="18"/>
  <c r="AP232" i="18"/>
  <c r="O229" i="18"/>
  <c r="AU466" i="18"/>
  <c r="AU402" i="18"/>
  <c r="AU235" i="18"/>
  <c r="AU17" i="18"/>
  <c r="L13" i="18"/>
  <c r="AT245" i="18"/>
  <c r="AQ240" i="18"/>
  <c r="BQ223" i="18"/>
  <c r="BO223" i="18"/>
  <c r="BG364" i="18"/>
  <c r="BH79" i="18"/>
  <c r="BI79" i="18" s="1"/>
  <c r="AK20" i="18"/>
  <c r="AS322" i="18"/>
  <c r="Q271" i="18"/>
  <c r="Q241" i="18"/>
  <c r="Q39" i="18"/>
  <c r="AE229" i="18"/>
  <c r="AM203" i="18"/>
  <c r="AQ203" i="18" s="1"/>
  <c r="AQ13" i="18"/>
  <c r="BT87" i="18"/>
  <c r="X63" i="18"/>
  <c r="K269" i="18"/>
  <c r="K239" i="18"/>
  <c r="AN278" i="18"/>
  <c r="Y36" i="18"/>
  <c r="AE36" i="18"/>
  <c r="G207" i="18"/>
  <c r="AU31" i="18"/>
  <c r="AN325" i="18"/>
  <c r="BG50" i="18"/>
  <c r="AM48" i="19"/>
  <c r="AP445" i="18"/>
  <c r="AP381" i="18"/>
  <c r="AE320" i="18"/>
  <c r="AJ320" i="18"/>
  <c r="Y321" i="18"/>
  <c r="AD321" i="18"/>
  <c r="AJ341" i="18"/>
  <c r="AI328" i="18"/>
  <c r="AM322" i="18"/>
  <c r="AM320" i="18"/>
  <c r="AU162" i="18"/>
  <c r="AU163" i="18" s="1"/>
  <c r="AT163" i="18"/>
  <c r="AM466" i="18"/>
  <c r="AM402" i="18"/>
  <c r="AM235" i="18"/>
  <c r="AM17" i="18"/>
  <c r="AS20" i="18"/>
  <c r="AK13" i="18"/>
  <c r="BI210" i="18"/>
  <c r="BO87" i="18"/>
  <c r="AE232" i="18"/>
  <c r="AT271" i="18"/>
  <c r="AT241" i="18"/>
  <c r="AT39" i="18"/>
  <c r="AQ220" i="18"/>
  <c r="AQ207" i="18" s="1"/>
  <c r="AW263" i="18" s="1"/>
  <c r="AM207" i="18"/>
  <c r="AS221" i="18"/>
  <c r="AD63" i="18"/>
  <c r="AE63" i="18" s="1"/>
  <c r="BB89" i="18"/>
  <c r="Y31" i="18"/>
  <c r="D30" i="18"/>
  <c r="V232" i="18"/>
  <c r="AJ416" i="18"/>
  <c r="AK416" i="18" s="1"/>
  <c r="D268" i="18"/>
  <c r="G11" i="18"/>
  <c r="AS271" i="18"/>
  <c r="AS241" i="18"/>
  <c r="AS39" i="18"/>
  <c r="F79" i="19"/>
  <c r="X78" i="19"/>
  <c r="AU64" i="19"/>
  <c r="BE52" i="19"/>
  <c r="BI52" i="19" s="1"/>
  <c r="K16" i="19"/>
  <c r="AW79" i="19"/>
  <c r="R76" i="19"/>
  <c r="AK79" i="19"/>
  <c r="AD79" i="19"/>
  <c r="AE73" i="19"/>
  <c r="F141" i="19"/>
  <c r="F142" i="19" s="1"/>
  <c r="F52" i="19"/>
  <c r="F88" i="19"/>
  <c r="F91" i="19" s="1"/>
  <c r="F121" i="19" s="1"/>
  <c r="F19" i="19"/>
  <c r="BE79" i="19"/>
  <c r="Y75" i="19"/>
  <c r="BC143" i="19"/>
  <c r="BC144" i="19" s="1"/>
  <c r="BC92" i="19"/>
  <c r="BC96" i="19" s="1"/>
  <c r="BC122" i="19" s="1"/>
  <c r="BC78" i="19"/>
  <c r="BC63" i="19"/>
  <c r="AD75" i="19"/>
  <c r="BC88" i="19"/>
  <c r="BC91" i="19" s="1"/>
  <c r="BC121" i="19" s="1"/>
  <c r="BC62" i="19"/>
  <c r="BC19" i="19"/>
  <c r="AA16" i="19"/>
  <c r="BG143" i="19"/>
  <c r="BG144" i="19" s="1"/>
  <c r="BB131" i="19"/>
  <c r="BB50" i="19"/>
  <c r="BB84" i="19"/>
  <c r="BB87" i="19" s="1"/>
  <c r="BB120" i="19" s="1"/>
  <c r="BB20" i="19"/>
  <c r="BB157" i="16" s="1"/>
  <c r="Y28" i="19"/>
  <c r="BF46" i="19"/>
  <c r="BF61" i="19"/>
  <c r="AS61" i="19"/>
  <c r="S75" i="19"/>
  <c r="P8" i="19"/>
  <c r="Q8" i="19" s="1"/>
  <c r="R8" i="19" s="1"/>
  <c r="U8" i="19"/>
  <c r="BC60" i="19"/>
  <c r="X49" i="19"/>
  <c r="X76" i="19"/>
  <c r="X12" i="19"/>
  <c r="AG61" i="19"/>
  <c r="Y14" i="19"/>
  <c r="Y12" i="19" s="1"/>
  <c r="BE139" i="19"/>
  <c r="BE159" i="19" s="1"/>
  <c r="BE140" i="19"/>
  <c r="BE60" i="19"/>
  <c r="BE16" i="19"/>
  <c r="AD12" i="19"/>
  <c r="AQ79" i="19"/>
  <c r="AW88" i="19"/>
  <c r="AW91" i="19" s="1"/>
  <c r="AW121" i="19" s="1"/>
  <c r="AW62" i="19"/>
  <c r="AW19" i="19"/>
  <c r="AY61" i="19"/>
  <c r="AY46" i="19"/>
  <c r="AK92" i="19"/>
  <c r="AK96" i="19" s="1"/>
  <c r="AK122" i="19" s="1"/>
  <c r="AK53" i="19"/>
  <c r="AQ88" i="19"/>
  <c r="AQ91" i="19" s="1"/>
  <c r="AQ121" i="19" s="1"/>
  <c r="AQ52" i="19"/>
  <c r="AQ62" i="19"/>
  <c r="AQ19" i="19"/>
  <c r="Q16" i="19"/>
  <c r="AT84" i="19"/>
  <c r="AT87" i="19" s="1"/>
  <c r="AT120" i="19" s="1"/>
  <c r="AT131" i="19"/>
  <c r="AT50" i="19"/>
  <c r="AT20" i="19"/>
  <c r="AT157" i="16" s="1"/>
  <c r="AJ131" i="19"/>
  <c r="AJ84" i="19"/>
  <c r="AJ87" i="19" s="1"/>
  <c r="AJ120" i="19" s="1"/>
  <c r="AJ50" i="19"/>
  <c r="AJ20" i="19"/>
  <c r="AJ157" i="16" s="1"/>
  <c r="L49" i="19"/>
  <c r="L76" i="19"/>
  <c r="AS131" i="19"/>
  <c r="AS84" i="19"/>
  <c r="AS87" i="19" s="1"/>
  <c r="AS120" i="19" s="1"/>
  <c r="AS50" i="19"/>
  <c r="AS20" i="19"/>
  <c r="AS157" i="16" s="1"/>
  <c r="AO61" i="19"/>
  <c r="AO46" i="19"/>
  <c r="J46" i="19"/>
  <c r="J16" i="19"/>
  <c r="AO16" i="19"/>
  <c r="AW60" i="19"/>
  <c r="BC12" i="19"/>
  <c r="BC75" i="19"/>
  <c r="AK75" i="19"/>
  <c r="AK12" i="19"/>
  <c r="BE122" i="19"/>
  <c r="BR78" i="19"/>
  <c r="BA61" i="19"/>
  <c r="BA46" i="19"/>
  <c r="F12" i="19"/>
  <c r="I16" i="19"/>
  <c r="BC79" i="19"/>
  <c r="X143" i="19"/>
  <c r="X144" i="19" s="1"/>
  <c r="X53" i="19"/>
  <c r="X92" i="19"/>
  <c r="X96" i="19" s="1"/>
  <c r="X122" i="19" s="1"/>
  <c r="AM61" i="19"/>
  <c r="AM46" i="19"/>
  <c r="AN64" i="19"/>
  <c r="AQ92" i="19"/>
  <c r="AQ96" i="19" s="1"/>
  <c r="AQ122" i="19" s="1"/>
  <c r="AQ53" i="19"/>
  <c r="AQ78" i="19"/>
  <c r="AQ63" i="19"/>
  <c r="AY64" i="19"/>
  <c r="AK88" i="19"/>
  <c r="AK91" i="19" s="1"/>
  <c r="AK121" i="19" s="1"/>
  <c r="AK52" i="19"/>
  <c r="AK19" i="19"/>
  <c r="AE75" i="19"/>
  <c r="BC52" i="19"/>
  <c r="AT64" i="19"/>
  <c r="Y18" i="19"/>
  <c r="G88" i="19"/>
  <c r="G91" i="19" s="1"/>
  <c r="L88" i="19"/>
  <c r="L91" i="19" s="1"/>
  <c r="L121" i="19" s="1"/>
  <c r="L52" i="19"/>
  <c r="M17" i="19"/>
  <c r="L19" i="19"/>
  <c r="BU29" i="19"/>
  <c r="BE121" i="19"/>
  <c r="AW53" i="19"/>
  <c r="P46" i="19"/>
  <c r="P16" i="19"/>
  <c r="O16" i="19"/>
  <c r="BC49" i="19"/>
  <c r="M14" i="19"/>
  <c r="M12" i="19" s="1"/>
  <c r="BE61" i="19"/>
  <c r="R12" i="19"/>
  <c r="BR77" i="19"/>
  <c r="L100" i="19"/>
  <c r="M100" i="19" s="1"/>
  <c r="L31" i="19"/>
  <c r="L86" i="19"/>
  <c r="M86" i="19" s="1"/>
  <c r="L79" i="19"/>
  <c r="AQ60" i="19"/>
  <c r="R141" i="19"/>
  <c r="R142" i="19" s="1"/>
  <c r="R88" i="19"/>
  <c r="R91" i="19" s="1"/>
  <c r="R121" i="19" s="1"/>
  <c r="R52" i="19"/>
  <c r="R19" i="19"/>
  <c r="S17" i="19"/>
  <c r="AK60" i="19"/>
  <c r="G73" i="19"/>
  <c r="AW12" i="19"/>
  <c r="AW75" i="19"/>
  <c r="AW52" i="19"/>
  <c r="AN46" i="19"/>
  <c r="AN61" i="19"/>
  <c r="AN16" i="19"/>
  <c r="AT51" i="19" s="1"/>
  <c r="D46" i="19"/>
  <c r="D16" i="19"/>
  <c r="C46" i="19"/>
  <c r="C16" i="19"/>
  <c r="AC16" i="19"/>
  <c r="AT61" i="19"/>
  <c r="AI61" i="19"/>
  <c r="R79" i="19"/>
  <c r="S73" i="19"/>
  <c r="F143" i="19"/>
  <c r="F144" i="19" s="1"/>
  <c r="F92" i="19"/>
  <c r="F96" i="19" s="1"/>
  <c r="F122" i="19" s="1"/>
  <c r="F78" i="19"/>
  <c r="F53" i="19"/>
  <c r="AY16" i="19"/>
  <c r="BB64" i="19"/>
  <c r="BE46" i="19"/>
  <c r="BI49" i="19"/>
  <c r="BU210" i="18" l="1"/>
  <c r="CC209" i="18"/>
  <c r="CA209" i="18"/>
  <c r="CA210" i="18" s="1"/>
  <c r="D85" i="16"/>
  <c r="Y29" i="17"/>
  <c r="Y94" i="16" s="1"/>
  <c r="Y95" i="16" s="1"/>
  <c r="BA23" i="19"/>
  <c r="X34" i="17"/>
  <c r="L17" i="17"/>
  <c r="AW69" i="77"/>
  <c r="AP208" i="18"/>
  <c r="AY208" i="18"/>
  <c r="AU208" i="18"/>
  <c r="BA17" i="17"/>
  <c r="J47" i="17"/>
  <c r="J73" i="16" s="1"/>
  <c r="J54" i="17"/>
  <c r="J75" i="16" s="1"/>
  <c r="AK54" i="48"/>
  <c r="AJ22" i="19"/>
  <c r="BC11" i="17"/>
  <c r="AK29" i="17"/>
  <c r="AK94" i="16"/>
  <c r="AK95" i="16" s="1"/>
  <c r="AW12" i="17"/>
  <c r="I55" i="17"/>
  <c r="I76" i="16" s="1"/>
  <c r="BW24" i="18"/>
  <c r="BW239" i="18" s="1"/>
  <c r="AQ29" i="48"/>
  <c r="AQ31" i="48" s="1"/>
  <c r="AK12" i="17"/>
  <c r="AK114" i="16" s="1"/>
  <c r="CJ191" i="18"/>
  <c r="CO191" i="18"/>
  <c r="CQ77" i="77"/>
  <c r="CQ76" i="77" s="1"/>
  <c r="CK76" i="77"/>
  <c r="BM239" i="18"/>
  <c r="CD87" i="77"/>
  <c r="CJ85" i="77"/>
  <c r="CE87" i="77"/>
  <c r="CK85" i="77"/>
  <c r="BC29" i="17"/>
  <c r="CP77" i="77"/>
  <c r="CP76" i="77" s="1"/>
  <c r="CJ76" i="77"/>
  <c r="CF76" i="77"/>
  <c r="CL77" i="77"/>
  <c r="CD27" i="18"/>
  <c r="CE27" i="18" s="1"/>
  <c r="CF27" i="18" s="1"/>
  <c r="CI27" i="18"/>
  <c r="BX27" i="18"/>
  <c r="BX24" i="18" s="1"/>
  <c r="BX239" i="18" s="1"/>
  <c r="CS47" i="19"/>
  <c r="CM47" i="19"/>
  <c r="CJ52" i="19"/>
  <c r="CP52" i="19" s="1"/>
  <c r="CL52" i="19"/>
  <c r="CR52" i="19" s="1"/>
  <c r="CO52" i="19"/>
  <c r="BC114" i="16"/>
  <c r="S21" i="19"/>
  <c r="CJ189" i="18"/>
  <c r="DI313" i="18"/>
  <c r="DH314" i="18" s="1"/>
  <c r="AD116" i="16"/>
  <c r="BB116" i="16"/>
  <c r="BC12" i="17"/>
  <c r="BB22" i="19"/>
  <c r="BC22" i="19" s="1"/>
  <c r="X43" i="17"/>
  <c r="BB21" i="19"/>
  <c r="Y41" i="17"/>
  <c r="Y77" i="17" s="1"/>
  <c r="Y76" i="17" s="1"/>
  <c r="Q23" i="19"/>
  <c r="BS239" i="18"/>
  <c r="AZ207" i="18"/>
  <c r="BC207" i="18" s="1"/>
  <c r="AS208" i="18"/>
  <c r="AM208" i="18"/>
  <c r="AN208" i="18"/>
  <c r="AV208" i="18"/>
  <c r="AT208" i="18"/>
  <c r="BA213" i="18"/>
  <c r="BA208" i="18"/>
  <c r="BB213" i="18"/>
  <c r="BB208" i="18"/>
  <c r="AW208" i="18"/>
  <c r="AO208" i="18"/>
  <c r="M207" i="18"/>
  <c r="M208" i="18" s="1"/>
  <c r="L208" i="18"/>
  <c r="S207" i="18"/>
  <c r="R208" i="18"/>
  <c r="Y207" i="18"/>
  <c r="X208" i="18"/>
  <c r="AQ208" i="18"/>
  <c r="AE207" i="18"/>
  <c r="AK208" i="18" s="1"/>
  <c r="AD208" i="18"/>
  <c r="BF69" i="77"/>
  <c r="AK21" i="19"/>
  <c r="Y32" i="18"/>
  <c r="S11" i="17"/>
  <c r="AE12" i="17"/>
  <c r="AE114" i="16" s="1"/>
  <c r="AD22" i="19"/>
  <c r="AE22" i="19" s="1"/>
  <c r="R101" i="16"/>
  <c r="R108" i="16" s="1"/>
  <c r="AJ101" i="16"/>
  <c r="AS40" i="18"/>
  <c r="AZ221" i="18"/>
  <c r="AZ222" i="18"/>
  <c r="BC222" i="18" s="1"/>
  <c r="BC72" i="77"/>
  <c r="AH7" i="77"/>
  <c r="AI7" i="77" s="1"/>
  <c r="AJ7" i="77" s="1"/>
  <c r="AA43" i="77"/>
  <c r="AA44" i="77" s="1"/>
  <c r="AA17" i="77"/>
  <c r="AU408" i="18"/>
  <c r="AV84" i="19"/>
  <c r="AV87" i="19" s="1"/>
  <c r="AV120" i="19" s="1"/>
  <c r="BK167" i="19"/>
  <c r="AU50" i="19"/>
  <c r="BI156" i="16"/>
  <c r="R229" i="18"/>
  <c r="AJ235" i="18"/>
  <c r="F229" i="18"/>
  <c r="L232" i="18"/>
  <c r="AU20" i="19"/>
  <c r="AU157" i="16" s="1"/>
  <c r="AU131" i="19"/>
  <c r="AU132" i="19" s="1"/>
  <c r="BB51" i="19"/>
  <c r="O21" i="18"/>
  <c r="V21" i="18"/>
  <c r="BT134" i="16"/>
  <c r="BT158" i="16"/>
  <c r="AD20" i="18"/>
  <c r="G232" i="18"/>
  <c r="AG21" i="18"/>
  <c r="AI9" i="77"/>
  <c r="AI10" i="77" s="1"/>
  <c r="AN70" i="16"/>
  <c r="AO70" i="16"/>
  <c r="K70" i="16"/>
  <c r="AQ29" i="17"/>
  <c r="AD21" i="19"/>
  <c r="AE29" i="17"/>
  <c r="AQ94" i="16"/>
  <c r="AQ95" i="16" s="1"/>
  <c r="BB34" i="17"/>
  <c r="M29" i="17"/>
  <c r="M94" i="16" s="1"/>
  <c r="M95" i="16" s="1"/>
  <c r="AK11" i="17"/>
  <c r="AO23" i="19"/>
  <c r="BC94" i="16"/>
  <c r="BC95" i="16" s="1"/>
  <c r="AU84" i="19"/>
  <c r="AU87" i="19" s="1"/>
  <c r="AU120" i="19" s="1"/>
  <c r="AU51" i="19"/>
  <c r="BS25" i="18"/>
  <c r="AY216" i="18"/>
  <c r="AY213" i="18"/>
  <c r="BB15" i="18"/>
  <c r="BB216" i="18"/>
  <c r="BA15" i="18"/>
  <c r="BA216" i="18"/>
  <c r="AT40" i="18"/>
  <c r="AK40" i="18"/>
  <c r="AV40" i="18"/>
  <c r="AN40" i="18"/>
  <c r="AE32" i="18"/>
  <c r="BR25" i="18"/>
  <c r="BM25" i="18"/>
  <c r="BG25" i="18"/>
  <c r="BA32" i="18"/>
  <c r="AU32" i="18"/>
  <c r="AQ39" i="18"/>
  <c r="AQ40" i="18" s="1"/>
  <c r="AQ32" i="18"/>
  <c r="AY388" i="18"/>
  <c r="C596" i="18"/>
  <c r="G596" i="18" s="1"/>
  <c r="G584" i="18"/>
  <c r="AU342" i="18"/>
  <c r="AU453" i="18" s="1"/>
  <c r="AN181" i="18"/>
  <c r="AI178" i="18"/>
  <c r="U180" i="18"/>
  <c r="AJ338" i="18"/>
  <c r="AJ449" i="18" s="1"/>
  <c r="AH178" i="18"/>
  <c r="AG178" i="18"/>
  <c r="BM51" i="19"/>
  <c r="BK164" i="19"/>
  <c r="R34" i="17"/>
  <c r="L22" i="19"/>
  <c r="M22" i="19" s="1"/>
  <c r="M12" i="17"/>
  <c r="M114" i="16" s="1"/>
  <c r="C49" i="17"/>
  <c r="C51" i="17" s="1"/>
  <c r="AQ11" i="17"/>
  <c r="S29" i="17"/>
  <c r="AE11" i="17"/>
  <c r="AP21" i="19"/>
  <c r="E36" i="16"/>
  <c r="E37" i="16" s="1"/>
  <c r="AJ167" i="19"/>
  <c r="AP70" i="16"/>
  <c r="AV70" i="16"/>
  <c r="AW73" i="77"/>
  <c r="AU84" i="77"/>
  <c r="AW11" i="17"/>
  <c r="AV101" i="16"/>
  <c r="BH95" i="16"/>
  <c r="BI94" i="16"/>
  <c r="BI95" i="16" s="1"/>
  <c r="L85" i="16"/>
  <c r="K37" i="16"/>
  <c r="K85" i="16"/>
  <c r="AP114" i="16"/>
  <c r="AV115" i="16"/>
  <c r="AV116" i="16"/>
  <c r="AI116" i="16"/>
  <c r="AI115" i="16"/>
  <c r="K115" i="16"/>
  <c r="K116" i="16"/>
  <c r="S12" i="17"/>
  <c r="R114" i="16"/>
  <c r="BI101" i="16"/>
  <c r="AC95" i="16"/>
  <c r="X109" i="16"/>
  <c r="X108" i="16"/>
  <c r="L108" i="16"/>
  <c r="L109" i="16"/>
  <c r="Y12" i="17"/>
  <c r="X114" i="16"/>
  <c r="R22" i="19"/>
  <c r="S22" i="19" s="1"/>
  <c r="G11" i="17"/>
  <c r="F101" i="16"/>
  <c r="AV22" i="19"/>
  <c r="AW22" i="19" s="1"/>
  <c r="BT39" i="16"/>
  <c r="BU39" i="16" s="1"/>
  <c r="BW39" i="16" s="1"/>
  <c r="BX39" i="16" s="1"/>
  <c r="BY39" i="16" s="1"/>
  <c r="BZ39" i="16" s="1"/>
  <c r="CA39" i="16" s="1"/>
  <c r="CC39" i="16" s="1"/>
  <c r="CD39" i="16" s="1"/>
  <c r="CE39" i="16" s="1"/>
  <c r="CF39" i="16" s="1"/>
  <c r="CG39" i="16" s="1"/>
  <c r="CI39" i="16" s="1"/>
  <c r="CJ39" i="16" s="1"/>
  <c r="CK39" i="16" s="1"/>
  <c r="CL39" i="16" s="1"/>
  <c r="CM39" i="16" s="1"/>
  <c r="CO39" i="16" s="1"/>
  <c r="CP39" i="16" s="1"/>
  <c r="CQ39" i="16" s="1"/>
  <c r="CR39" i="16" s="1"/>
  <c r="CS39" i="16" s="1"/>
  <c r="BH115" i="16"/>
  <c r="BH116" i="16"/>
  <c r="C75" i="16"/>
  <c r="AP22" i="19"/>
  <c r="AQ22" i="19" s="1"/>
  <c r="C73" i="16"/>
  <c r="F95" i="16"/>
  <c r="M101" i="16"/>
  <c r="AE101" i="16"/>
  <c r="E108" i="16"/>
  <c r="E104" i="16"/>
  <c r="F93" i="16"/>
  <c r="F97" i="16" s="1"/>
  <c r="G97" i="16" s="1"/>
  <c r="AO116" i="16"/>
  <c r="AO115" i="16"/>
  <c r="AU116" i="16"/>
  <c r="AU115" i="16"/>
  <c r="AW114" i="16"/>
  <c r="AJ116" i="16"/>
  <c r="AJ115" i="16"/>
  <c r="L115" i="16"/>
  <c r="L116" i="16"/>
  <c r="BC101" i="16"/>
  <c r="Y101" i="16"/>
  <c r="AD94" i="16"/>
  <c r="AD109" i="16"/>
  <c r="AD108" i="16"/>
  <c r="AW94" i="16"/>
  <c r="AW95" i="16" s="1"/>
  <c r="AC70" i="16"/>
  <c r="E70" i="16"/>
  <c r="BL39" i="18"/>
  <c r="BO161" i="19"/>
  <c r="V70" i="16"/>
  <c r="AM70" i="16"/>
  <c r="J70" i="16"/>
  <c r="C70" i="16"/>
  <c r="AY70" i="16"/>
  <c r="AG70" i="16"/>
  <c r="BI167" i="19"/>
  <c r="BA50" i="19"/>
  <c r="AD167" i="19"/>
  <c r="AH70" i="16"/>
  <c r="AI70" i="16"/>
  <c r="D70" i="16"/>
  <c r="U70" i="16"/>
  <c r="P70" i="16"/>
  <c r="BA70" i="16"/>
  <c r="AZ70" i="16"/>
  <c r="I70" i="16"/>
  <c r="BF70" i="16"/>
  <c r="AU70" i="16"/>
  <c r="W70" i="16"/>
  <c r="BE70" i="16"/>
  <c r="AB70" i="16"/>
  <c r="Y69" i="16"/>
  <c r="Y68" i="16"/>
  <c r="F68" i="16"/>
  <c r="F69" i="16"/>
  <c r="E137" i="19"/>
  <c r="E156" i="19" s="1"/>
  <c r="E133" i="16"/>
  <c r="AW69" i="16"/>
  <c r="AW68" i="16"/>
  <c r="AD69" i="16"/>
  <c r="AD68" i="16"/>
  <c r="BA51" i="19"/>
  <c r="AS137" i="19"/>
  <c r="AS156" i="19" s="1"/>
  <c r="AS133" i="16"/>
  <c r="AK80" i="16"/>
  <c r="AK79" i="16"/>
  <c r="R69" i="16"/>
  <c r="R68" i="16"/>
  <c r="AT137" i="19"/>
  <c r="AT138" i="19" s="1"/>
  <c r="AT133" i="16"/>
  <c r="AT56" i="16"/>
  <c r="BA20" i="19"/>
  <c r="L16" i="19"/>
  <c r="L20" i="19" s="1"/>
  <c r="L157" i="16" s="1"/>
  <c r="L69" i="16"/>
  <c r="L68" i="16"/>
  <c r="X79" i="16"/>
  <c r="X80" i="16"/>
  <c r="BI132" i="16"/>
  <c r="BI153" i="16" s="1"/>
  <c r="BI67" i="16"/>
  <c r="BI70" i="16" s="1"/>
  <c r="BI81" i="16"/>
  <c r="L79" i="16"/>
  <c r="L80" i="16"/>
  <c r="BC80" i="16"/>
  <c r="BC79" i="16"/>
  <c r="BA84" i="19"/>
  <c r="BA87" i="19" s="1"/>
  <c r="BA120" i="19" s="1"/>
  <c r="S161" i="19"/>
  <c r="Y167" i="19" s="1"/>
  <c r="M132" i="16"/>
  <c r="M153" i="16" s="1"/>
  <c r="M81" i="16"/>
  <c r="M67" i="16"/>
  <c r="G52" i="19"/>
  <c r="G132" i="16"/>
  <c r="G81" i="16"/>
  <c r="G67" i="16"/>
  <c r="AQ46" i="19"/>
  <c r="AQ68" i="16"/>
  <c r="AQ69" i="16"/>
  <c r="O70" i="16"/>
  <c r="R167" i="19"/>
  <c r="X69" i="16"/>
  <c r="X68" i="16"/>
  <c r="BB137" i="19"/>
  <c r="BB138" i="19" s="1"/>
  <c r="BB56" i="16"/>
  <c r="BB133" i="16"/>
  <c r="AK69" i="16"/>
  <c r="AK68" i="16"/>
  <c r="AJ137" i="19"/>
  <c r="AJ138" i="19" s="1"/>
  <c r="AJ133" i="16"/>
  <c r="AJ56" i="16"/>
  <c r="F80" i="16"/>
  <c r="F79" i="16"/>
  <c r="AV131" i="19"/>
  <c r="AV132" i="19" s="1"/>
  <c r="BG20" i="19"/>
  <c r="BG157" i="16" s="1"/>
  <c r="BG70" i="16"/>
  <c r="AD80" i="16"/>
  <c r="AD79" i="16"/>
  <c r="BC68" i="16"/>
  <c r="BC69" i="16"/>
  <c r="X167" i="19"/>
  <c r="M69" i="16"/>
  <c r="M68" i="16"/>
  <c r="AV20" i="19"/>
  <c r="AV27" i="19" s="1"/>
  <c r="R80" i="16"/>
  <c r="R79" i="16"/>
  <c r="AQ79" i="16"/>
  <c r="AQ80" i="16"/>
  <c r="AW80" i="16"/>
  <c r="AW79" i="16"/>
  <c r="AA70" i="16"/>
  <c r="Q70" i="16"/>
  <c r="BL51" i="19"/>
  <c r="S41" i="17"/>
  <c r="S77" i="17" s="1"/>
  <c r="S76" i="17" s="1"/>
  <c r="AU43" i="17"/>
  <c r="AJ31" i="17"/>
  <c r="AK31" i="17" s="1"/>
  <c r="BF20" i="19"/>
  <c r="BF157" i="16" s="1"/>
  <c r="BF84" i="19"/>
  <c r="BF87" i="19" s="1"/>
  <c r="BF120" i="19" s="1"/>
  <c r="BF50" i="19"/>
  <c r="BF131" i="19"/>
  <c r="BF145" i="19" s="1"/>
  <c r="BK17" i="48"/>
  <c r="BI17" i="48"/>
  <c r="BI25" i="48"/>
  <c r="BK25" i="48"/>
  <c r="AY62" i="48"/>
  <c r="M43" i="17"/>
  <c r="R43" i="17"/>
  <c r="AP33" i="17"/>
  <c r="AQ33" i="17" s="1"/>
  <c r="C55" i="17"/>
  <c r="C76" i="16" s="1"/>
  <c r="AQ41" i="17"/>
  <c r="AQ77" i="17" s="1"/>
  <c r="AQ76" i="17" s="1"/>
  <c r="M236" i="18"/>
  <c r="S236" i="18"/>
  <c r="M13" i="18"/>
  <c r="M203" i="18" s="1"/>
  <c r="AE133" i="19"/>
  <c r="AE134" i="19" s="1"/>
  <c r="W131" i="19"/>
  <c r="W145" i="19" s="1"/>
  <c r="M16" i="18"/>
  <c r="DG313" i="18" s="1"/>
  <c r="BE143" i="19"/>
  <c r="BE144" i="19" s="1"/>
  <c r="BE160" i="19"/>
  <c r="BC7" i="19"/>
  <c r="AW155" i="19"/>
  <c r="AE167" i="19"/>
  <c r="AK167" i="19"/>
  <c r="BH55" i="19"/>
  <c r="BA145" i="19"/>
  <c r="U145" i="19"/>
  <c r="AG145" i="19"/>
  <c r="W20" i="19"/>
  <c r="AJ145" i="19"/>
  <c r="BB145" i="19"/>
  <c r="AS145" i="19"/>
  <c r="G142" i="19"/>
  <c r="W50" i="19"/>
  <c r="AI145" i="19"/>
  <c r="AT145" i="19"/>
  <c r="G134" i="19"/>
  <c r="S141" i="19"/>
  <c r="S142" i="19" s="1"/>
  <c r="S133" i="19"/>
  <c r="S134" i="19" s="1"/>
  <c r="Y143" i="19"/>
  <c r="Y144" i="19" s="1"/>
  <c r="Y135" i="19"/>
  <c r="Y136" i="19" s="1"/>
  <c r="G136" i="19"/>
  <c r="M141" i="19"/>
  <c r="M142" i="19" s="1"/>
  <c r="M133" i="19"/>
  <c r="M134" i="19" s="1"/>
  <c r="M136" i="19"/>
  <c r="Y133" i="19"/>
  <c r="Y134" i="19" s="1"/>
  <c r="BI187" i="19"/>
  <c r="BI136" i="19"/>
  <c r="BI16" i="19"/>
  <c r="BI134" i="19"/>
  <c r="BI189" i="19"/>
  <c r="AE135" i="19"/>
  <c r="AE136" i="19" s="1"/>
  <c r="BG50" i="19"/>
  <c r="BK17" i="18"/>
  <c r="AE77" i="19"/>
  <c r="BK51" i="19"/>
  <c r="AP43" i="17"/>
  <c r="L34" i="17"/>
  <c r="AW41" i="17"/>
  <c r="AW77" i="17" s="1"/>
  <c r="AW76" i="17" s="1"/>
  <c r="AD43" i="17"/>
  <c r="Y88" i="19"/>
  <c r="Y91" i="19" s="1"/>
  <c r="Y121" i="19" s="1"/>
  <c r="BG84" i="19"/>
  <c r="BG87" i="19" s="1"/>
  <c r="BG120" i="19" s="1"/>
  <c r="BG131" i="19"/>
  <c r="BG145" i="19" s="1"/>
  <c r="BE235" i="18"/>
  <c r="BE232" i="18"/>
  <c r="BE311" i="18"/>
  <c r="I21" i="18"/>
  <c r="BE229" i="18"/>
  <c r="P21" i="18"/>
  <c r="BE17" i="18"/>
  <c r="K9" i="77"/>
  <c r="K21" i="18"/>
  <c r="AP131" i="19"/>
  <c r="AP145" i="19" s="1"/>
  <c r="AA21" i="18"/>
  <c r="AI20" i="19"/>
  <c r="AI157" i="16" s="1"/>
  <c r="Q21" i="18"/>
  <c r="AB21" i="18"/>
  <c r="AI50" i="19"/>
  <c r="BE466" i="18"/>
  <c r="BE471" i="18" s="1"/>
  <c r="AI84" i="19"/>
  <c r="AI87" i="19" s="1"/>
  <c r="AI120" i="19" s="1"/>
  <c r="W21" i="18"/>
  <c r="AC21" i="18"/>
  <c r="U21" i="18"/>
  <c r="BE402" i="18"/>
  <c r="BE407" i="18" s="1"/>
  <c r="AE235" i="18"/>
  <c r="AE20" i="18"/>
  <c r="J21" i="18"/>
  <c r="U20" i="19"/>
  <c r="U157" i="16" s="1"/>
  <c r="AP20" i="19"/>
  <c r="AP157" i="16" s="1"/>
  <c r="Y77" i="19"/>
  <c r="Y141" i="19"/>
  <c r="Y142" i="19" s="1"/>
  <c r="AE141" i="19"/>
  <c r="AE142" i="19" s="1"/>
  <c r="AP84" i="19"/>
  <c r="AP87" i="19" s="1"/>
  <c r="AP120" i="19" s="1"/>
  <c r="AE143" i="19"/>
  <c r="AE144" i="19" s="1"/>
  <c r="M143" i="19"/>
  <c r="M144" i="19" s="1"/>
  <c r="U84" i="19"/>
  <c r="U87" i="19" s="1"/>
  <c r="U120" i="19" s="1"/>
  <c r="AP50" i="19"/>
  <c r="AK62" i="19"/>
  <c r="U50" i="19"/>
  <c r="AV51" i="19"/>
  <c r="S92" i="19"/>
  <c r="S96" i="19" s="1"/>
  <c r="S122" i="19" s="1"/>
  <c r="S143" i="19"/>
  <c r="S144" i="19" s="1"/>
  <c r="AP51" i="19"/>
  <c r="G92" i="19"/>
  <c r="G96" i="19" s="1"/>
  <c r="G122" i="19" s="1"/>
  <c r="G143" i="19"/>
  <c r="G144" i="19" s="1"/>
  <c r="BK75" i="77"/>
  <c r="BH66" i="77"/>
  <c r="BI75" i="77"/>
  <c r="BH73" i="77"/>
  <c r="BH84" i="77" s="1"/>
  <c r="BH21" i="19"/>
  <c r="BH24" i="19" s="1"/>
  <c r="BH22" i="19"/>
  <c r="CA67" i="17"/>
  <c r="BH77" i="17"/>
  <c r="BH76" i="17" s="1"/>
  <c r="BI36" i="19" s="1"/>
  <c r="BI41" i="17"/>
  <c r="BI77" i="17" s="1"/>
  <c r="S43" i="17"/>
  <c r="CC77" i="77"/>
  <c r="CI77" i="77" s="1"/>
  <c r="CA77" i="77"/>
  <c r="BW76" i="77"/>
  <c r="CA76" i="77" s="1"/>
  <c r="CD86" i="77"/>
  <c r="CE86" i="77"/>
  <c r="BZ85" i="77"/>
  <c r="AE52" i="19"/>
  <c r="AE88" i="19"/>
  <c r="AE91" i="19" s="1"/>
  <c r="AE121" i="19" s="1"/>
  <c r="Y52" i="19"/>
  <c r="S53" i="19"/>
  <c r="G121" i="19"/>
  <c r="AB84" i="19"/>
  <c r="AB87" i="19" s="1"/>
  <c r="AB120" i="19" s="1"/>
  <c r="S78" i="19"/>
  <c r="AH131" i="19"/>
  <c r="AH145" i="19" s="1"/>
  <c r="G49" i="19"/>
  <c r="AE12" i="19"/>
  <c r="AZ131" i="19"/>
  <c r="AZ145" i="19" s="1"/>
  <c r="BF51" i="19"/>
  <c r="AG20" i="19"/>
  <c r="AG157" i="16" s="1"/>
  <c r="AZ20" i="19"/>
  <c r="AZ157" i="16" s="1"/>
  <c r="M78" i="19"/>
  <c r="AZ51" i="19"/>
  <c r="S76" i="19"/>
  <c r="AZ50" i="19"/>
  <c r="V84" i="19"/>
  <c r="V87" i="19" s="1"/>
  <c r="V120" i="19" s="1"/>
  <c r="AH50" i="19"/>
  <c r="AE53" i="19"/>
  <c r="AZ84" i="19"/>
  <c r="AZ87" i="19" s="1"/>
  <c r="AZ120" i="19" s="1"/>
  <c r="BO47" i="19"/>
  <c r="S12" i="19"/>
  <c r="AH20" i="19"/>
  <c r="AH157" i="16" s="1"/>
  <c r="V131" i="19"/>
  <c r="V145" i="19" s="1"/>
  <c r="M92" i="19"/>
  <c r="M96" i="19" s="1"/>
  <c r="M122" i="19" s="1"/>
  <c r="BU47" i="19"/>
  <c r="AD327" i="18"/>
  <c r="AD340" i="18" s="1"/>
  <c r="BR270" i="18"/>
  <c r="AO275" i="18"/>
  <c r="BE141" i="19"/>
  <c r="BE142" i="19" s="1"/>
  <c r="BH139" i="19"/>
  <c r="BH159" i="19" s="1"/>
  <c r="BH140" i="19"/>
  <c r="BH160" i="19" s="1"/>
  <c r="AW97" i="18"/>
  <c r="BO210" i="18"/>
  <c r="AO245" i="18"/>
  <c r="AM323" i="18"/>
  <c r="AM336" i="18" s="1"/>
  <c r="AO386" i="18"/>
  <c r="BM47" i="18"/>
  <c r="BC56" i="18"/>
  <c r="BC57" i="18" s="1"/>
  <c r="AN269" i="18"/>
  <c r="AO334" i="18"/>
  <c r="AO445" i="18" s="1"/>
  <c r="EA52" i="18"/>
  <c r="BX55" i="18"/>
  <c r="BK71" i="18"/>
  <c r="BL71" i="18" s="1"/>
  <c r="BM71" i="18" s="1"/>
  <c r="BN71" i="18" s="1"/>
  <c r="AP63" i="18"/>
  <c r="BR240" i="18"/>
  <c r="BW49" i="18"/>
  <c r="EA50" i="18" s="1"/>
  <c r="DZ50" i="18"/>
  <c r="DZ52" i="18"/>
  <c r="AW50" i="18"/>
  <c r="BU49" i="18"/>
  <c r="BG84" i="77"/>
  <c r="CG52" i="19"/>
  <c r="AI323" i="18"/>
  <c r="AH323" i="18" s="1"/>
  <c r="AI326" i="18"/>
  <c r="AH326" i="18" s="1"/>
  <c r="AH327" i="18"/>
  <c r="AH340" i="18" s="1"/>
  <c r="AD43" i="77"/>
  <c r="AD44" i="77" s="1"/>
  <c r="BI80" i="18"/>
  <c r="BK80" i="18" s="1"/>
  <c r="BL80" i="18" s="1"/>
  <c r="BM80" i="18" s="1"/>
  <c r="BN80" i="18" s="1"/>
  <c r="BK79" i="18"/>
  <c r="BI146" i="18"/>
  <c r="BK146" i="18" s="1"/>
  <c r="BL146" i="18" s="1"/>
  <c r="AN239" i="18"/>
  <c r="AT341" i="18"/>
  <c r="AT452" i="18" s="1"/>
  <c r="AJ387" i="18"/>
  <c r="BA39" i="18"/>
  <c r="BC33" i="18"/>
  <c r="BC34" i="18" s="1"/>
  <c r="AD328" i="18"/>
  <c r="AD341" i="18" s="1"/>
  <c r="BU51" i="18"/>
  <c r="AO69" i="18"/>
  <c r="AD336" i="18"/>
  <c r="BT50" i="18"/>
  <c r="BC246" i="18"/>
  <c r="AQ241" i="18"/>
  <c r="BS245" i="18"/>
  <c r="BI89" i="18"/>
  <c r="BK89" i="18" s="1"/>
  <c r="BK374" i="18" s="1"/>
  <c r="AD17" i="77"/>
  <c r="AD325" i="18"/>
  <c r="AC325" i="18" s="1"/>
  <c r="AW54" i="18"/>
  <c r="W269" i="18"/>
  <c r="AC239" i="18"/>
  <c r="BH147" i="18"/>
  <c r="X269" i="18"/>
  <c r="BU55" i="18"/>
  <c r="DV52" i="18"/>
  <c r="BI70" i="18"/>
  <c r="Y94" i="77"/>
  <c r="AV43" i="77"/>
  <c r="AV44" i="77" s="1"/>
  <c r="BQ71" i="18"/>
  <c r="BR71" i="18" s="1"/>
  <c r="BS71" i="18" s="1"/>
  <c r="BT71" i="18" s="1"/>
  <c r="CA71" i="18"/>
  <c r="AS245" i="18"/>
  <c r="AT447" i="18"/>
  <c r="AQ50" i="18"/>
  <c r="AQ245" i="18" s="1"/>
  <c r="AB43" i="77"/>
  <c r="AB44" i="77" s="1"/>
  <c r="BY191" i="18"/>
  <c r="BU63" i="18"/>
  <c r="AP275" i="18"/>
  <c r="AB17" i="77"/>
  <c r="CD191" i="18"/>
  <c r="BY245" i="18"/>
  <c r="BU52" i="18"/>
  <c r="AS275" i="18"/>
  <c r="BU223" i="18"/>
  <c r="BW223" i="18"/>
  <c r="BS275" i="18"/>
  <c r="BA252" i="18"/>
  <c r="BE76" i="77"/>
  <c r="BI76" i="77" s="1"/>
  <c r="AE92" i="19"/>
  <c r="AE96" i="19" s="1"/>
  <c r="AE122" i="19" s="1"/>
  <c r="AB20" i="19"/>
  <c r="AB157" i="16" s="1"/>
  <c r="AW48" i="19"/>
  <c r="AG84" i="19"/>
  <c r="AG87" i="19" s="1"/>
  <c r="AG120" i="19" s="1"/>
  <c r="AG50" i="19"/>
  <c r="AK63" i="19"/>
  <c r="AE19" i="19"/>
  <c r="AQ16" i="19"/>
  <c r="AB50" i="19"/>
  <c r="AE78" i="19"/>
  <c r="AE76" i="19"/>
  <c r="AB131" i="19"/>
  <c r="AB145" i="19" s="1"/>
  <c r="BG51" i="19"/>
  <c r="CA49" i="19"/>
  <c r="G12" i="19"/>
  <c r="G19" i="19"/>
  <c r="W43" i="77"/>
  <c r="W44" i="77" s="1"/>
  <c r="BI12" i="17"/>
  <c r="AS470" i="18"/>
  <c r="DV51" i="18"/>
  <c r="V43" i="77"/>
  <c r="V44" i="77" s="1"/>
  <c r="BN50" i="18"/>
  <c r="AE94" i="77"/>
  <c r="U43" i="77"/>
  <c r="U44" i="77" s="1"/>
  <c r="BO52" i="18"/>
  <c r="Y18" i="77"/>
  <c r="J9" i="77"/>
  <c r="AW14" i="18"/>
  <c r="AW16" i="18" s="1"/>
  <c r="AO21" i="18"/>
  <c r="AV29" i="77"/>
  <c r="X43" i="77"/>
  <c r="X44" i="77" s="1"/>
  <c r="AU472" i="18"/>
  <c r="L229" i="18"/>
  <c r="R43" i="77"/>
  <c r="R44" i="77" s="1"/>
  <c r="AG9" i="77"/>
  <c r="AG10" i="77" s="1"/>
  <c r="L235" i="18"/>
  <c r="O17" i="77"/>
  <c r="AY471" i="18"/>
  <c r="AQ48" i="19"/>
  <c r="AO9" i="77"/>
  <c r="AO10" i="77" s="1"/>
  <c r="S60" i="19"/>
  <c r="AA9" i="77"/>
  <c r="AA10" i="77" s="1"/>
  <c r="M53" i="19"/>
  <c r="V20" i="19"/>
  <c r="V157" i="16" s="1"/>
  <c r="AY407" i="18"/>
  <c r="M79" i="19"/>
  <c r="E84" i="19"/>
  <c r="E87" i="19" s="1"/>
  <c r="E120" i="19" s="1"/>
  <c r="AM84" i="19"/>
  <c r="AM87" i="19" s="1"/>
  <c r="AM120" i="19" s="1"/>
  <c r="AE17" i="18"/>
  <c r="Q9" i="77"/>
  <c r="F232" i="18"/>
  <c r="L17" i="18"/>
  <c r="BI13" i="18"/>
  <c r="I9" i="77"/>
  <c r="O43" i="77"/>
  <c r="O44" i="77" s="1"/>
  <c r="U9" i="77"/>
  <c r="U10" i="77" s="1"/>
  <c r="BI78" i="77"/>
  <c r="BI83" i="77" s="1"/>
  <c r="AW69" i="18"/>
  <c r="AK203" i="18"/>
  <c r="AD178" i="18"/>
  <c r="AD586" i="18" s="1"/>
  <c r="AE586" i="18" s="1"/>
  <c r="AE149" i="18"/>
  <c r="G30" i="18"/>
  <c r="R235" i="18"/>
  <c r="BC203" i="18"/>
  <c r="R17" i="18"/>
  <c r="AD17" i="18"/>
  <c r="AI21" i="18"/>
  <c r="M256" i="18"/>
  <c r="AC17" i="77"/>
  <c r="AC43" i="77"/>
  <c r="M60" i="19"/>
  <c r="BF203" i="18"/>
  <c r="BI203" i="18" s="1"/>
  <c r="I48" i="19"/>
  <c r="BT78" i="77"/>
  <c r="BT76" i="77" s="1"/>
  <c r="BU76" i="77" s="1"/>
  <c r="F43" i="17"/>
  <c r="X17" i="17"/>
  <c r="AE41" i="17"/>
  <c r="AE77" i="17" s="1"/>
  <c r="AE76" i="17" s="1"/>
  <c r="BB43" i="17"/>
  <c r="BN77" i="17"/>
  <c r="BO77" i="17"/>
  <c r="E43" i="17"/>
  <c r="Y18" i="17"/>
  <c r="Y17" i="17" s="1"/>
  <c r="BC17" i="17"/>
  <c r="BB17" i="17"/>
  <c r="G40" i="17"/>
  <c r="S20" i="17"/>
  <c r="S17" i="17" s="1"/>
  <c r="AV43" i="17"/>
  <c r="Y14" i="17"/>
  <c r="AJ43" i="17"/>
  <c r="E26" i="17"/>
  <c r="G38" i="17"/>
  <c r="G29" i="17"/>
  <c r="AK43" i="17"/>
  <c r="G19" i="17"/>
  <c r="G17" i="17" s="1"/>
  <c r="BB77" i="17"/>
  <c r="BB76" i="17" s="1"/>
  <c r="BC41" i="17"/>
  <c r="BC77" i="17" s="1"/>
  <c r="BC76" i="17" s="1"/>
  <c r="G14" i="17"/>
  <c r="AE14" i="17"/>
  <c r="BC38" i="17"/>
  <c r="AE62" i="48"/>
  <c r="BT12" i="17"/>
  <c r="BU12" i="17" s="1"/>
  <c r="AM62" i="48"/>
  <c r="AQ60" i="48"/>
  <c r="AQ62" i="48" s="1"/>
  <c r="AK60" i="48"/>
  <c r="AG61" i="48"/>
  <c r="AK61" i="48" s="1"/>
  <c r="BE62" i="48"/>
  <c r="AW60" i="48"/>
  <c r="AW62" i="48" s="1"/>
  <c r="AS62" i="48"/>
  <c r="BU13" i="18"/>
  <c r="AE18" i="77"/>
  <c r="AE45" i="77"/>
  <c r="AW221" i="18"/>
  <c r="Y139" i="18"/>
  <c r="AU85" i="77"/>
  <c r="BC221" i="18"/>
  <c r="P9" i="77"/>
  <c r="BO77" i="18"/>
  <c r="AP388" i="18"/>
  <c r="AP452" i="18"/>
  <c r="AY109" i="18"/>
  <c r="AW108" i="18"/>
  <c r="AW98" i="18" s="1"/>
  <c r="AV98" i="18"/>
  <c r="AI64" i="18"/>
  <c r="AV245" i="18"/>
  <c r="AU381" i="18"/>
  <c r="AU445" i="18"/>
  <c r="AU282" i="18"/>
  <c r="BO24" i="18"/>
  <c r="AV85" i="77"/>
  <c r="AV61" i="77" s="1"/>
  <c r="AV65" i="77" s="1"/>
  <c r="AP69" i="18"/>
  <c r="AP248" i="18" s="1"/>
  <c r="AO341" i="18"/>
  <c r="AN328" i="18"/>
  <c r="AG64" i="18"/>
  <c r="AH64" i="18"/>
  <c r="AJ64" i="18"/>
  <c r="S327" i="18"/>
  <c r="X327" i="18"/>
  <c r="BU77" i="18"/>
  <c r="BH50" i="18"/>
  <c r="BU70" i="18"/>
  <c r="S10" i="18"/>
  <c r="S256" i="18"/>
  <c r="AK245" i="18"/>
  <c r="AT334" i="18"/>
  <c r="AS321" i="18"/>
  <c r="AV105" i="18"/>
  <c r="AV59" i="18" s="1"/>
  <c r="AY245" i="18"/>
  <c r="AT87" i="77"/>
  <c r="Y229" i="18"/>
  <c r="AW466" i="18"/>
  <c r="AW468" i="18" s="1"/>
  <c r="W9" i="77"/>
  <c r="W10" i="77" s="1"/>
  <c r="AP9" i="77"/>
  <c r="AP10" i="77" s="1"/>
  <c r="AB9" i="77"/>
  <c r="AB10" i="77" s="1"/>
  <c r="M77" i="19"/>
  <c r="Y19" i="19"/>
  <c r="M46" i="19"/>
  <c r="AK16" i="19"/>
  <c r="AQ64" i="19"/>
  <c r="AM9" i="77"/>
  <c r="L203" i="18"/>
  <c r="AU9" i="77"/>
  <c r="O9" i="77"/>
  <c r="V9" i="77"/>
  <c r="AA7" i="19"/>
  <c r="Y7" i="48"/>
  <c r="BT126" i="19"/>
  <c r="X232" i="18"/>
  <c r="X229" i="18"/>
  <c r="X235" i="18"/>
  <c r="X17" i="18"/>
  <c r="BC14" i="18"/>
  <c r="AD203" i="18"/>
  <c r="G229" i="18"/>
  <c r="AS9" i="77"/>
  <c r="AD232" i="18"/>
  <c r="Y203" i="18"/>
  <c r="BU53" i="19"/>
  <c r="G53" i="19"/>
  <c r="AQ61" i="19"/>
  <c r="BC16" i="19"/>
  <c r="AS51" i="19"/>
  <c r="E50" i="19"/>
  <c r="E131" i="19"/>
  <c r="E145" i="19" s="1"/>
  <c r="BC64" i="19"/>
  <c r="L46" i="19"/>
  <c r="AM20" i="19"/>
  <c r="AM157" i="16" s="1"/>
  <c r="AM51" i="19"/>
  <c r="AM131" i="19"/>
  <c r="AM145" i="19" s="1"/>
  <c r="M238" i="18"/>
  <c r="G19" i="77"/>
  <c r="M19" i="77"/>
  <c r="AW203" i="18"/>
  <c r="AK14" i="18"/>
  <c r="AK16" i="18" s="1"/>
  <c r="M13" i="77"/>
  <c r="M16" i="77" s="1"/>
  <c r="G18" i="77"/>
  <c r="AW402" i="18"/>
  <c r="AW404" i="18" s="1"/>
  <c r="AY21" i="18"/>
  <c r="AS21" i="18"/>
  <c r="AD235" i="18"/>
  <c r="AJ20" i="18"/>
  <c r="AJ17" i="18"/>
  <c r="R232" i="18"/>
  <c r="AN9" i="77"/>
  <c r="AY9" i="77"/>
  <c r="AT9" i="77"/>
  <c r="AV9" i="77"/>
  <c r="AD229" i="18"/>
  <c r="Y17" i="18"/>
  <c r="Y232" i="18"/>
  <c r="Y235" i="18"/>
  <c r="AC9" i="77"/>
  <c r="AC10" i="77" s="1"/>
  <c r="G78" i="19"/>
  <c r="I17" i="77"/>
  <c r="C203" i="18"/>
  <c r="AH21" i="18"/>
  <c r="AH9" i="77"/>
  <c r="BI78" i="17"/>
  <c r="BI41" i="19" s="1"/>
  <c r="BA84" i="77"/>
  <c r="BU80" i="77"/>
  <c r="AQ76" i="77"/>
  <c r="AM84" i="77"/>
  <c r="BT87" i="77"/>
  <c r="BT86" i="77"/>
  <c r="BC66" i="77"/>
  <c r="AN7" i="77"/>
  <c r="AO7" i="77" s="1"/>
  <c r="AP7" i="77" s="1"/>
  <c r="AS7" i="77"/>
  <c r="BQ115" i="77"/>
  <c r="BQ96" i="77"/>
  <c r="BR32" i="77"/>
  <c r="BM71" i="77"/>
  <c r="P48" i="77"/>
  <c r="AZ84" i="77"/>
  <c r="BC73" i="77"/>
  <c r="AW72" i="77"/>
  <c r="BC69" i="77" s="1"/>
  <c r="BA69" i="77"/>
  <c r="AP73" i="77"/>
  <c r="AP66" i="77"/>
  <c r="BK70" i="77"/>
  <c r="BH68" i="77"/>
  <c r="AW78" i="77"/>
  <c r="AS76" i="77"/>
  <c r="AS66" i="77"/>
  <c r="BF61" i="77"/>
  <c r="BG69" i="77"/>
  <c r="BG61" i="77"/>
  <c r="BO76" i="77"/>
  <c r="BE207" i="18"/>
  <c r="BE221" i="18"/>
  <c r="BE222" i="18"/>
  <c r="BC76" i="77"/>
  <c r="AO73" i="77"/>
  <c r="AO66" i="77"/>
  <c r="AQ75" i="77"/>
  <c r="AQ66" i="77" s="1"/>
  <c r="BB84" i="77"/>
  <c r="AT84" i="77"/>
  <c r="AT61" i="77"/>
  <c r="P44" i="77"/>
  <c r="AQ58" i="48"/>
  <c r="AK58" i="48"/>
  <c r="AP38" i="48"/>
  <c r="AP39" i="48" s="1"/>
  <c r="AP53" i="48" s="1"/>
  <c r="BO11" i="48"/>
  <c r="AQ37" i="48"/>
  <c r="AS49" i="48"/>
  <c r="AW49" i="48" s="1"/>
  <c r="AS56" i="48"/>
  <c r="AS56" i="16" s="1"/>
  <c r="AD17" i="17"/>
  <c r="AE18" i="17"/>
  <c r="AE17" i="17" s="1"/>
  <c r="AA8" i="17"/>
  <c r="V8" i="17"/>
  <c r="W8" i="17" s="1"/>
  <c r="X8" i="17" s="1"/>
  <c r="AW33" i="17"/>
  <c r="BK78" i="17"/>
  <c r="BK41" i="19" s="1"/>
  <c r="AJ17" i="17"/>
  <c r="AK18" i="17"/>
  <c r="AK17" i="17" s="1"/>
  <c r="K47" i="17"/>
  <c r="K73" i="16" s="1"/>
  <c r="K54" i="17"/>
  <c r="K75" i="16" s="1"/>
  <c r="AV34" i="17"/>
  <c r="AV21" i="19"/>
  <c r="AW21" i="19" s="1"/>
  <c r="AI23" i="19"/>
  <c r="Y65" i="17"/>
  <c r="AE61" i="17" s="1"/>
  <c r="Y69" i="17"/>
  <c r="Y70" i="17"/>
  <c r="AP17" i="17"/>
  <c r="K23" i="19"/>
  <c r="E23" i="19"/>
  <c r="BU41" i="17"/>
  <c r="BU77" i="17" s="1"/>
  <c r="L21" i="19"/>
  <c r="M11" i="17"/>
  <c r="Y21" i="19"/>
  <c r="AQ17" i="17"/>
  <c r="W23" i="19"/>
  <c r="F22" i="19"/>
  <c r="G22" i="19" s="1"/>
  <c r="G12" i="17"/>
  <c r="F34" i="17"/>
  <c r="AC34" i="17"/>
  <c r="D55" i="17"/>
  <c r="D76" i="16" s="1"/>
  <c r="X22" i="19"/>
  <c r="AD33" i="17"/>
  <c r="AD34" i="17" s="1"/>
  <c r="AW29" i="17"/>
  <c r="F21" i="19"/>
  <c r="BU67" i="17"/>
  <c r="M10" i="17"/>
  <c r="AU23" i="19"/>
  <c r="AV17" i="17"/>
  <c r="AW18" i="17"/>
  <c r="AW17" i="17" s="1"/>
  <c r="AU34" i="17"/>
  <c r="AC23" i="19"/>
  <c r="F26" i="17"/>
  <c r="F74" i="16" s="1"/>
  <c r="G10" i="17"/>
  <c r="M18" i="17"/>
  <c r="M17" i="17" s="1"/>
  <c r="AY271" i="18"/>
  <c r="AY241" i="18"/>
  <c r="AY39" i="18"/>
  <c r="E333" i="18"/>
  <c r="E345" i="18" s="1"/>
  <c r="E176" i="18"/>
  <c r="AS269" i="18"/>
  <c r="AS239" i="18"/>
  <c r="AN450" i="18"/>
  <c r="AN386" i="18"/>
  <c r="X325" i="18"/>
  <c r="S325" i="18"/>
  <c r="AT21" i="18"/>
  <c r="AA142" i="18"/>
  <c r="AA139" i="18" s="1"/>
  <c r="AB141" i="18"/>
  <c r="AO451" i="18"/>
  <c r="AO387" i="18"/>
  <c r="AU179" i="18"/>
  <c r="AU587" i="18" s="1"/>
  <c r="AU336" i="18"/>
  <c r="X328" i="18"/>
  <c r="S328" i="18"/>
  <c r="AN338" i="18"/>
  <c r="AM325" i="18"/>
  <c r="AU471" i="18"/>
  <c r="AU468" i="18"/>
  <c r="AP468" i="18"/>
  <c r="AV469" i="18" s="1"/>
  <c r="AV472" i="18"/>
  <c r="AC322" i="18"/>
  <c r="AD335" i="18"/>
  <c r="BF54" i="18"/>
  <c r="BE53" i="18"/>
  <c r="M239" i="18"/>
  <c r="AV151" i="18"/>
  <c r="BN270" i="18"/>
  <c r="G29" i="18"/>
  <c r="BC89" i="18"/>
  <c r="AJ450" i="18"/>
  <c r="AJ386" i="18"/>
  <c r="AI341" i="18"/>
  <c r="AH328" i="18"/>
  <c r="AD334" i="18"/>
  <c r="AC321" i="18"/>
  <c r="BG275" i="18"/>
  <c r="BG245" i="18"/>
  <c r="BM245" i="18"/>
  <c r="AU21" i="18"/>
  <c r="BB323" i="18"/>
  <c r="AP269" i="18"/>
  <c r="AP239" i="18"/>
  <c r="BI26" i="18"/>
  <c r="BB241" i="18"/>
  <c r="BB39" i="18"/>
  <c r="BB40" i="18" s="1"/>
  <c r="AQ238" i="18"/>
  <c r="AQ14" i="18"/>
  <c r="AW238" i="18"/>
  <c r="U59" i="18"/>
  <c r="AP189" i="18"/>
  <c r="M323" i="18"/>
  <c r="L323" i="18" s="1"/>
  <c r="R323" i="18"/>
  <c r="AM269" i="18"/>
  <c r="AM239" i="18"/>
  <c r="AJ148" i="18"/>
  <c r="AK148" i="18" s="1"/>
  <c r="AJ181" i="18"/>
  <c r="AK155" i="18"/>
  <c r="BB329" i="18"/>
  <c r="AI335" i="18"/>
  <c r="AH322" i="18"/>
  <c r="Y142" i="18"/>
  <c r="AS326" i="18"/>
  <c r="AT339" i="18"/>
  <c r="AV470" i="18"/>
  <c r="AQ402" i="18"/>
  <c r="AM404" i="18"/>
  <c r="AS405" i="18" s="1"/>
  <c r="AS408" i="18"/>
  <c r="Y320" i="18"/>
  <c r="AD320" i="18"/>
  <c r="AI338" i="18"/>
  <c r="AH325" i="18"/>
  <c r="AV408" i="18"/>
  <c r="AP404" i="18"/>
  <c r="AV405" i="18" s="1"/>
  <c r="X326" i="18"/>
  <c r="S326" i="18"/>
  <c r="AZ445" i="18"/>
  <c r="AZ381" i="18"/>
  <c r="Q239" i="18"/>
  <c r="Q269" i="18"/>
  <c r="W239" i="18"/>
  <c r="R269" i="18"/>
  <c r="AN21" i="18"/>
  <c r="DL57" i="18"/>
  <c r="AZ99" i="18"/>
  <c r="AZ160" i="18"/>
  <c r="S241" i="18"/>
  <c r="S39" i="18"/>
  <c r="BC327" i="18"/>
  <c r="BE327" i="18" s="1"/>
  <c r="Y39" i="18"/>
  <c r="Y241" i="18"/>
  <c r="AE241" i="18"/>
  <c r="AM21" i="18"/>
  <c r="AJ452" i="18"/>
  <c r="AJ388" i="18"/>
  <c r="X321" i="18"/>
  <c r="S321" i="18"/>
  <c r="AU450" i="18"/>
  <c r="AU386" i="18"/>
  <c r="BL244" i="18"/>
  <c r="BL274" i="18"/>
  <c r="AP21" i="18"/>
  <c r="AW31" i="18"/>
  <c r="V7" i="18"/>
  <c r="W7" i="18" s="1"/>
  <c r="X7" i="18" s="1"/>
  <c r="AA7" i="18"/>
  <c r="BC326" i="18"/>
  <c r="BE326" i="18" s="1"/>
  <c r="BS270" i="18"/>
  <c r="BS240" i="18"/>
  <c r="AM181" i="18"/>
  <c r="BB322" i="18"/>
  <c r="AN447" i="18"/>
  <c r="AN383" i="18"/>
  <c r="I29" i="18"/>
  <c r="J28" i="18"/>
  <c r="J29" i="18" s="1"/>
  <c r="J30" i="18" s="1"/>
  <c r="Y63" i="18"/>
  <c r="AT269" i="18"/>
  <c r="AT239" i="18"/>
  <c r="AI320" i="18"/>
  <c r="AM327" i="18"/>
  <c r="AN340" i="18"/>
  <c r="AU407" i="18"/>
  <c r="AU404" i="18"/>
  <c r="AN334" i="18"/>
  <c r="AM321" i="18"/>
  <c r="S322" i="18"/>
  <c r="X322" i="18"/>
  <c r="AM339" i="18"/>
  <c r="AQ339" i="18"/>
  <c r="AY150" i="18"/>
  <c r="BC324" i="18"/>
  <c r="BE324" i="18" s="1"/>
  <c r="C174" i="18"/>
  <c r="C604" i="18" s="1"/>
  <c r="AV407" i="18"/>
  <c r="AN329" i="18"/>
  <c r="AO342" i="18"/>
  <c r="BB320" i="18"/>
  <c r="AT340" i="18"/>
  <c r="AS327" i="18"/>
  <c r="AU271" i="18"/>
  <c r="AU241" i="18"/>
  <c r="AU39" i="18"/>
  <c r="AU40" i="18" s="1"/>
  <c r="AU12" i="18"/>
  <c r="U269" i="18"/>
  <c r="U239" i="18"/>
  <c r="AA239" i="18"/>
  <c r="V269" i="18"/>
  <c r="AE65" i="18"/>
  <c r="AP453" i="18"/>
  <c r="AP389" i="18"/>
  <c r="AI451" i="18"/>
  <c r="AI387" i="18"/>
  <c r="M237" i="18"/>
  <c r="G230" i="18"/>
  <c r="G231" i="18" s="1"/>
  <c r="G13" i="18"/>
  <c r="G10" i="18"/>
  <c r="AT407" i="18"/>
  <c r="AT404" i="18"/>
  <c r="AN324" i="18"/>
  <c r="BG57" i="18"/>
  <c r="BF56" i="18"/>
  <c r="AT408" i="18"/>
  <c r="AN404" i="18"/>
  <c r="AJ447" i="18"/>
  <c r="AJ383" i="18"/>
  <c r="AS406" i="18"/>
  <c r="AZ102" i="18"/>
  <c r="BS191" i="18"/>
  <c r="AV278" i="18"/>
  <c r="AV271" i="18"/>
  <c r="AZ39" i="18"/>
  <c r="AZ40" i="18" s="1"/>
  <c r="AZ241" i="18"/>
  <c r="AZ271" i="18"/>
  <c r="AH321" i="18"/>
  <c r="AI334" i="18"/>
  <c r="Y329" i="18"/>
  <c r="AD329" i="18"/>
  <c r="AU451" i="18"/>
  <c r="AU387" i="18"/>
  <c r="AC336" i="18"/>
  <c r="AB323" i="18"/>
  <c r="AT185" i="18"/>
  <c r="AT342" i="18"/>
  <c r="AK239" i="18"/>
  <c r="BT24" i="18"/>
  <c r="BU27" i="18"/>
  <c r="BT190" i="18"/>
  <c r="BW190" i="18" s="1"/>
  <c r="BX190" i="18" s="1"/>
  <c r="BB321" i="18"/>
  <c r="BC334" i="18" s="1"/>
  <c r="BA334" i="18"/>
  <c r="BC35" i="18"/>
  <c r="BC36" i="18" s="1"/>
  <c r="AD324" i="18"/>
  <c r="Y324" i="18"/>
  <c r="AV239" i="18"/>
  <c r="AQ466" i="18"/>
  <c r="AS472" i="18"/>
  <c r="AM468" i="18"/>
  <c r="AS469" i="18" s="1"/>
  <c r="BH364" i="18"/>
  <c r="AI324" i="18"/>
  <c r="AD339" i="18"/>
  <c r="AC326" i="18"/>
  <c r="AS471" i="18"/>
  <c r="BM270" i="18"/>
  <c r="BM240" i="18"/>
  <c r="AO269" i="18"/>
  <c r="AO239" i="18"/>
  <c r="D333" i="18"/>
  <c r="D345" i="18" s="1"/>
  <c r="D176" i="18"/>
  <c r="AV162" i="18"/>
  <c r="AW162" i="18" s="1"/>
  <c r="AS447" i="18"/>
  <c r="AS383" i="18"/>
  <c r="AT471" i="18"/>
  <c r="AT468" i="18"/>
  <c r="BG240" i="18"/>
  <c r="BG270" i="18"/>
  <c r="BI24" i="18"/>
  <c r="BI239" i="18" s="1"/>
  <c r="AV21" i="18"/>
  <c r="AT472" i="18"/>
  <c r="AN468" i="18"/>
  <c r="X336" i="18"/>
  <c r="W323" i="18"/>
  <c r="AS407" i="18"/>
  <c r="BB328" i="18"/>
  <c r="AO154" i="18"/>
  <c r="AO155" i="18" s="1"/>
  <c r="AO416" i="18"/>
  <c r="AU278" i="18"/>
  <c r="BF325" i="18"/>
  <c r="AJ445" i="18"/>
  <c r="AJ381" i="18"/>
  <c r="AW341" i="18"/>
  <c r="AS341" i="18"/>
  <c r="AI329" i="18"/>
  <c r="AJ342" i="18"/>
  <c r="AW173" i="18"/>
  <c r="BC6" i="18"/>
  <c r="BI6" i="18" s="1"/>
  <c r="F144" i="18"/>
  <c r="F145" i="18" s="1"/>
  <c r="BU87" i="18"/>
  <c r="Y46" i="19"/>
  <c r="Y16" i="19"/>
  <c r="S79" i="19"/>
  <c r="D131" i="19"/>
  <c r="D50" i="19"/>
  <c r="D84" i="19"/>
  <c r="D87" i="19" s="1"/>
  <c r="D120" i="19" s="1"/>
  <c r="D20" i="19"/>
  <c r="D157" i="16" s="1"/>
  <c r="S88" i="19"/>
  <c r="S91" i="19" s="1"/>
  <c r="S121" i="19" s="1"/>
  <c r="S52" i="19"/>
  <c r="S19" i="19"/>
  <c r="S77" i="19"/>
  <c r="BU49" i="19"/>
  <c r="F46" i="19"/>
  <c r="F16" i="19"/>
  <c r="AT132" i="19"/>
  <c r="BB97" i="19"/>
  <c r="BB103" i="19" s="1"/>
  <c r="BB123" i="19" s="1"/>
  <c r="BB54" i="19"/>
  <c r="BB27" i="19"/>
  <c r="R46" i="19"/>
  <c r="R16" i="19"/>
  <c r="AJ97" i="19"/>
  <c r="AJ103" i="19" s="1"/>
  <c r="AJ123" i="19" s="1"/>
  <c r="AJ54" i="19"/>
  <c r="AJ27" i="19"/>
  <c r="AJ24" i="19"/>
  <c r="AY131" i="19"/>
  <c r="AY51" i="19"/>
  <c r="AY84" i="19"/>
  <c r="AY87" i="19" s="1"/>
  <c r="AY120" i="19" s="1"/>
  <c r="AY50" i="19"/>
  <c r="AY20" i="19"/>
  <c r="AY157" i="16" s="1"/>
  <c r="C131" i="19"/>
  <c r="C84" i="19"/>
  <c r="C87" i="19" s="1"/>
  <c r="C120" i="19" s="1"/>
  <c r="C50" i="19"/>
  <c r="C20" i="19"/>
  <c r="C157" i="16" s="1"/>
  <c r="G79" i="19"/>
  <c r="Q131" i="19"/>
  <c r="Q84" i="19"/>
  <c r="Q87" i="19" s="1"/>
  <c r="Q120" i="19" s="1"/>
  <c r="Q50" i="19"/>
  <c r="Q20" i="19"/>
  <c r="Q157" i="16" s="1"/>
  <c r="E97" i="19"/>
  <c r="E103" i="19" s="1"/>
  <c r="E123" i="19" s="1"/>
  <c r="E54" i="19"/>
  <c r="E27" i="19"/>
  <c r="E24" i="19"/>
  <c r="E57" i="16" s="1"/>
  <c r="BE131" i="19"/>
  <c r="BE84" i="19"/>
  <c r="BE87" i="19" s="1"/>
  <c r="BE120" i="19" s="1"/>
  <c r="BE50" i="19"/>
  <c r="BE20" i="19"/>
  <c r="BE157" i="16" s="1"/>
  <c r="BE51" i="19"/>
  <c r="M49" i="19"/>
  <c r="M76" i="19"/>
  <c r="AO131" i="19"/>
  <c r="AO84" i="19"/>
  <c r="AO87" i="19" s="1"/>
  <c r="AO120" i="19" s="1"/>
  <c r="AO50" i="19"/>
  <c r="AO51" i="19"/>
  <c r="AO20" i="19"/>
  <c r="AO157" i="16" s="1"/>
  <c r="AA8" i="19"/>
  <c r="AA8" i="48" s="1"/>
  <c r="V8" i="19"/>
  <c r="W8" i="19" s="1"/>
  <c r="X8" i="19" s="1"/>
  <c r="BB132" i="19"/>
  <c r="AW46" i="19"/>
  <c r="AW61" i="19"/>
  <c r="BC46" i="19"/>
  <c r="BC61" i="19"/>
  <c r="AN131" i="19"/>
  <c r="AN84" i="19"/>
  <c r="AN87" i="19" s="1"/>
  <c r="AN120" i="19" s="1"/>
  <c r="AN50" i="19"/>
  <c r="AN51" i="19"/>
  <c r="AN20" i="19"/>
  <c r="AN157" i="16" s="1"/>
  <c r="AW16" i="19"/>
  <c r="AS97" i="19"/>
  <c r="AS103" i="19" s="1"/>
  <c r="AS123" i="19" s="1"/>
  <c r="AS54" i="19"/>
  <c r="AS27" i="19"/>
  <c r="AS24" i="19"/>
  <c r="Y49" i="19"/>
  <c r="Y76" i="19"/>
  <c r="AJ132" i="19"/>
  <c r="X46" i="19"/>
  <c r="X16" i="19"/>
  <c r="BS77" i="19"/>
  <c r="O131" i="19"/>
  <c r="O84" i="19"/>
  <c r="O87" i="19" s="1"/>
  <c r="O120" i="19" s="1"/>
  <c r="O50" i="19"/>
  <c r="O20" i="19"/>
  <c r="O157" i="16" s="1"/>
  <c r="M52" i="19"/>
  <c r="M88" i="19"/>
  <c r="M91" i="19" s="1"/>
  <c r="M121" i="19" s="1"/>
  <c r="M19" i="19"/>
  <c r="I131" i="19"/>
  <c r="I84" i="19"/>
  <c r="I87" i="19" s="1"/>
  <c r="I120" i="19" s="1"/>
  <c r="I50" i="19"/>
  <c r="I20" i="19"/>
  <c r="I157" i="16" s="1"/>
  <c r="AK46" i="19"/>
  <c r="J131" i="19"/>
  <c r="J84" i="19"/>
  <c r="J87" i="19" s="1"/>
  <c r="J120" i="19" s="1"/>
  <c r="J50" i="19"/>
  <c r="J20" i="19"/>
  <c r="J157" i="16" s="1"/>
  <c r="AS132" i="19"/>
  <c r="AT54" i="19"/>
  <c r="AT97" i="19"/>
  <c r="AT103" i="19" s="1"/>
  <c r="AT123" i="19" s="1"/>
  <c r="AT27" i="19"/>
  <c r="AT24" i="19"/>
  <c r="AW64" i="19"/>
  <c r="M16" i="19"/>
  <c r="AD46" i="19"/>
  <c r="AJ61" i="19"/>
  <c r="AD16" i="19"/>
  <c r="AC131" i="19"/>
  <c r="AC20" i="19"/>
  <c r="AC157" i="16" s="1"/>
  <c r="AC50" i="19"/>
  <c r="AC84" i="19"/>
  <c r="AC87" i="19" s="1"/>
  <c r="AC120" i="19" s="1"/>
  <c r="Y92" i="19"/>
  <c r="Y96" i="19" s="1"/>
  <c r="Y122" i="19" s="1"/>
  <c r="Y53" i="19"/>
  <c r="Y78" i="19"/>
  <c r="U132" i="19"/>
  <c r="AG132" i="19"/>
  <c r="K131" i="19"/>
  <c r="K84" i="19"/>
  <c r="K87" i="19" s="1"/>
  <c r="K120" i="19" s="1"/>
  <c r="K50" i="19"/>
  <c r="K20" i="19"/>
  <c r="K157" i="16" s="1"/>
  <c r="BA132" i="19"/>
  <c r="P131" i="19"/>
  <c r="P84" i="19"/>
  <c r="P87" i="19" s="1"/>
  <c r="P120" i="19" s="1"/>
  <c r="P50" i="19"/>
  <c r="P20" i="19"/>
  <c r="P157" i="16" s="1"/>
  <c r="AI132" i="19"/>
  <c r="BS78" i="19"/>
  <c r="AA131" i="19"/>
  <c r="AA84" i="19"/>
  <c r="AA87" i="19" s="1"/>
  <c r="AA120" i="19" s="1"/>
  <c r="AA50" i="19"/>
  <c r="AA20" i="19"/>
  <c r="AA157" i="16" s="1"/>
  <c r="AE79" i="19"/>
  <c r="BC208" i="18" l="1"/>
  <c r="BC216" i="18"/>
  <c r="BC213" i="18"/>
  <c r="BE208" i="18"/>
  <c r="CI209" i="18"/>
  <c r="CG209" i="18"/>
  <c r="CG210" i="18" s="1"/>
  <c r="L26" i="17"/>
  <c r="L74" i="16" s="1"/>
  <c r="Y34" i="17"/>
  <c r="AK22" i="19"/>
  <c r="I56" i="17"/>
  <c r="AJ23" i="19"/>
  <c r="BY27" i="18"/>
  <c r="BY24" i="18" s="1"/>
  <c r="BY239" i="18" s="1"/>
  <c r="CJ86" i="77"/>
  <c r="AK34" i="17"/>
  <c r="J55" i="17"/>
  <c r="J76" i="16" s="1"/>
  <c r="AQ34" i="17"/>
  <c r="BW25" i="18"/>
  <c r="AZ213" i="18"/>
  <c r="BC34" i="17"/>
  <c r="S101" i="16"/>
  <c r="D48" i="17"/>
  <c r="D49" i="17" s="1"/>
  <c r="E48" i="17" s="1"/>
  <c r="BW240" i="18"/>
  <c r="BB23" i="19"/>
  <c r="AW43" i="17"/>
  <c r="CQ85" i="77"/>
  <c r="CK87" i="77"/>
  <c r="CK86" i="77"/>
  <c r="CO77" i="77"/>
  <c r="CO76" i="77" s="1"/>
  <c r="CM77" i="77"/>
  <c r="CI76" i="77"/>
  <c r="Y43" i="17"/>
  <c r="CP85" i="77"/>
  <c r="CP87" i="77" s="1"/>
  <c r="CJ87" i="77"/>
  <c r="CP191" i="18"/>
  <c r="CK191" i="18"/>
  <c r="CR77" i="77"/>
  <c r="CL76" i="77"/>
  <c r="BZ86" i="77"/>
  <c r="CM52" i="19"/>
  <c r="AY108" i="18"/>
  <c r="AY98" i="18" s="1"/>
  <c r="CG27" i="18"/>
  <c r="CO27" i="18"/>
  <c r="CJ27" i="18"/>
  <c r="CK27" i="18" s="1"/>
  <c r="CL27" i="18" s="1"/>
  <c r="AU133" i="16"/>
  <c r="CS52" i="19"/>
  <c r="CM67" i="17"/>
  <c r="CS67" i="17"/>
  <c r="R109" i="16"/>
  <c r="CG67" i="17"/>
  <c r="BC21" i="19"/>
  <c r="BB24" i="19"/>
  <c r="BB57" i="16" s="1"/>
  <c r="CK189" i="18"/>
  <c r="AZ208" i="18"/>
  <c r="AZ216" i="18"/>
  <c r="AU137" i="19"/>
  <c r="AU138" i="19" s="1"/>
  <c r="AU54" i="19"/>
  <c r="AD23" i="19"/>
  <c r="M34" i="17"/>
  <c r="AN589" i="18"/>
  <c r="AM589" i="18"/>
  <c r="AT593" i="18"/>
  <c r="U588" i="18"/>
  <c r="BT25" i="18"/>
  <c r="AZ15" i="18"/>
  <c r="Y208" i="18"/>
  <c r="S208" i="18"/>
  <c r="AE208" i="18"/>
  <c r="M85" i="16"/>
  <c r="BB55" i="19"/>
  <c r="AJ109" i="16"/>
  <c r="AK101" i="16"/>
  <c r="AE21" i="19"/>
  <c r="AJ108" i="16"/>
  <c r="R23" i="19"/>
  <c r="BK73" i="77"/>
  <c r="BK84" i="77" s="1"/>
  <c r="BB263" i="18"/>
  <c r="BE292" i="18"/>
  <c r="BC84" i="77"/>
  <c r="BB16" i="18"/>
  <c r="BA263" i="18"/>
  <c r="AS138" i="19"/>
  <c r="AU145" i="19"/>
  <c r="AU146" i="19" s="1"/>
  <c r="AU24" i="19"/>
  <c r="AU27" i="19"/>
  <c r="AU30" i="19" s="1"/>
  <c r="AU97" i="19"/>
  <c r="AU103" i="19" s="1"/>
  <c r="AU123" i="19" s="1"/>
  <c r="AU56" i="16"/>
  <c r="BC19" i="18"/>
  <c r="M229" i="18"/>
  <c r="AV157" i="16"/>
  <c r="AV97" i="19"/>
  <c r="AV103" i="19" s="1"/>
  <c r="AV123" i="19" s="1"/>
  <c r="BE9" i="77"/>
  <c r="BE10" i="77" s="1"/>
  <c r="W133" i="16"/>
  <c r="W157" i="16"/>
  <c r="BB156" i="19"/>
  <c r="BA24" i="19"/>
  <c r="BA157" i="16"/>
  <c r="AW70" i="16"/>
  <c r="BA97" i="19"/>
  <c r="BA103" i="19" s="1"/>
  <c r="BA123" i="19" s="1"/>
  <c r="AV145" i="19"/>
  <c r="AV146" i="19" s="1"/>
  <c r="AH14" i="77"/>
  <c r="AH31" i="77" s="1"/>
  <c r="AJ14" i="77"/>
  <c r="AJ45" i="77" s="1"/>
  <c r="AG14" i="77"/>
  <c r="AG18" i="77" s="1"/>
  <c r="BE216" i="18"/>
  <c r="BE213" i="18"/>
  <c r="BB292" i="18"/>
  <c r="BA16" i="18"/>
  <c r="AQ239" i="18"/>
  <c r="BA40" i="18"/>
  <c r="BX25" i="18"/>
  <c r="BO25" i="18"/>
  <c r="BI25" i="18"/>
  <c r="AY40" i="18"/>
  <c r="AW32" i="18"/>
  <c r="BC32" i="18"/>
  <c r="BA27" i="19"/>
  <c r="BA57" i="19" s="1"/>
  <c r="BA158" i="16" s="1"/>
  <c r="BA54" i="19"/>
  <c r="E138" i="19"/>
  <c r="BA65" i="19"/>
  <c r="AK181" i="18"/>
  <c r="AJ589" i="18"/>
  <c r="AK589" i="18" s="1"/>
  <c r="E174" i="18"/>
  <c r="E604" i="18" s="1"/>
  <c r="E584" i="18"/>
  <c r="E596" i="18" s="1"/>
  <c r="AH586" i="18"/>
  <c r="D174" i="18"/>
  <c r="D604" i="18" s="1"/>
  <c r="D584" i="18"/>
  <c r="D596" i="18" s="1"/>
  <c r="AJ385" i="18"/>
  <c r="AU389" i="18"/>
  <c r="AG586" i="18"/>
  <c r="AI586" i="18"/>
  <c r="G333" i="18"/>
  <c r="G345" i="18" s="1"/>
  <c r="BI147" i="18"/>
  <c r="AW336" i="18"/>
  <c r="AW383" i="18" s="1"/>
  <c r="Y70" i="16"/>
  <c r="AQ70" i="16"/>
  <c r="E85" i="16"/>
  <c r="AJ34" i="17"/>
  <c r="F85" i="16"/>
  <c r="AQ21" i="19"/>
  <c r="S94" i="16"/>
  <c r="S95" i="16" s="1"/>
  <c r="S34" i="17"/>
  <c r="R70" i="16"/>
  <c r="BL25" i="48"/>
  <c r="BM25" i="48" s="1"/>
  <c r="BL17" i="48"/>
  <c r="BM17" i="48" s="1"/>
  <c r="M116" i="16"/>
  <c r="M115" i="16"/>
  <c r="Y114" i="16"/>
  <c r="F88" i="16"/>
  <c r="E88" i="16"/>
  <c r="R115" i="16"/>
  <c r="R116" i="16"/>
  <c r="S116" i="16" s="1"/>
  <c r="K88" i="16"/>
  <c r="L88" i="16"/>
  <c r="G114" i="16"/>
  <c r="AP23" i="19"/>
  <c r="G94" i="16"/>
  <c r="G95" i="16" s="1"/>
  <c r="E47" i="17"/>
  <c r="E73" i="16" s="1"/>
  <c r="E74" i="16"/>
  <c r="AD95" i="16"/>
  <c r="E103" i="16"/>
  <c r="E109" i="16"/>
  <c r="F100" i="16"/>
  <c r="F103" i="16" s="1"/>
  <c r="F109" i="16"/>
  <c r="F108" i="16"/>
  <c r="F102" i="16"/>
  <c r="G101" i="16"/>
  <c r="G102" i="16" s="1"/>
  <c r="X115" i="16"/>
  <c r="X116" i="16"/>
  <c r="AE94" i="16"/>
  <c r="AE95" i="16" s="1"/>
  <c r="S114" i="16"/>
  <c r="S115" i="16" s="1"/>
  <c r="AP115" i="16"/>
  <c r="AP116" i="16"/>
  <c r="AQ114" i="16"/>
  <c r="AW101" i="16"/>
  <c r="L84" i="19"/>
  <c r="L87" i="19" s="1"/>
  <c r="L120" i="19" s="1"/>
  <c r="AV54" i="19"/>
  <c r="BB65" i="19"/>
  <c r="AJ156" i="19"/>
  <c r="AJ164" i="19" s="1"/>
  <c r="AT156" i="19"/>
  <c r="L50" i="19"/>
  <c r="BG27" i="19"/>
  <c r="AK70" i="16"/>
  <c r="X70" i="16"/>
  <c r="L70" i="16"/>
  <c r="BC70" i="16"/>
  <c r="AD70" i="16"/>
  <c r="F70" i="16"/>
  <c r="L137" i="19"/>
  <c r="L156" i="19" s="1"/>
  <c r="L133" i="16"/>
  <c r="AE79" i="16"/>
  <c r="AE80" i="16"/>
  <c r="S68" i="16"/>
  <c r="S69" i="16"/>
  <c r="AA137" i="19"/>
  <c r="AA156" i="19" s="1"/>
  <c r="AA133" i="16"/>
  <c r="AA56" i="16"/>
  <c r="AT55" i="16"/>
  <c r="AT57" i="16"/>
  <c r="AS55" i="16"/>
  <c r="AS57" i="16"/>
  <c r="AB137" i="19"/>
  <c r="AB138" i="19" s="1"/>
  <c r="AB133" i="16"/>
  <c r="AB56" i="16"/>
  <c r="AG137" i="19"/>
  <c r="AG156" i="19" s="1"/>
  <c r="AG56" i="16"/>
  <c r="AG133" i="16"/>
  <c r="AE46" i="19"/>
  <c r="AE68" i="16"/>
  <c r="AE69" i="16"/>
  <c r="P137" i="19"/>
  <c r="P138" i="19" s="1"/>
  <c r="P133" i="16"/>
  <c r="AC137" i="19"/>
  <c r="AC156" i="19" s="1"/>
  <c r="AC133" i="16"/>
  <c r="AC56" i="16"/>
  <c r="O137" i="19"/>
  <c r="O138" i="19" s="1"/>
  <c r="O133" i="16"/>
  <c r="L131" i="19"/>
  <c r="L145" i="19" s="1"/>
  <c r="L146" i="19" s="1"/>
  <c r="AO137" i="19"/>
  <c r="AO138" i="19" s="1"/>
  <c r="AO56" i="16"/>
  <c r="AO133" i="16"/>
  <c r="BE137" i="19"/>
  <c r="BE138" i="19" s="1"/>
  <c r="BE133" i="16"/>
  <c r="BE56" i="16"/>
  <c r="Q137" i="19"/>
  <c r="Q138" i="19" s="1"/>
  <c r="Q133" i="16"/>
  <c r="AM137" i="19"/>
  <c r="AM156" i="19" s="1"/>
  <c r="AM133" i="16"/>
  <c r="AM56" i="16"/>
  <c r="Y79" i="16"/>
  <c r="Y80" i="16"/>
  <c r="AH137" i="19"/>
  <c r="AH138" i="19" s="1"/>
  <c r="AH56" i="16"/>
  <c r="AH133" i="16"/>
  <c r="S80" i="16"/>
  <c r="S79" i="16"/>
  <c r="J137" i="19"/>
  <c r="J138" i="19" s="1"/>
  <c r="J133" i="16"/>
  <c r="AN137" i="19"/>
  <c r="AN138" i="19" s="1"/>
  <c r="AN133" i="16"/>
  <c r="AN56" i="16"/>
  <c r="AJ55" i="16"/>
  <c r="AJ57" i="16"/>
  <c r="BG54" i="19"/>
  <c r="BH55" i="16"/>
  <c r="BH57" i="16"/>
  <c r="U137" i="19"/>
  <c r="U138" i="19" s="1"/>
  <c r="U133" i="16"/>
  <c r="E135" i="16"/>
  <c r="E136" i="16" s="1"/>
  <c r="E137" i="16" s="1"/>
  <c r="AY137" i="19"/>
  <c r="AY156" i="19" s="1"/>
  <c r="AY133" i="16"/>
  <c r="AY56" i="16"/>
  <c r="S167" i="19"/>
  <c r="BG137" i="19"/>
  <c r="BG133" i="16"/>
  <c r="BG56" i="16"/>
  <c r="K137" i="19"/>
  <c r="K156" i="19" s="1"/>
  <c r="K133" i="16"/>
  <c r="M79" i="16"/>
  <c r="M80" i="16"/>
  <c r="C137" i="19"/>
  <c r="C156" i="19" s="1"/>
  <c r="C133" i="16"/>
  <c r="BG65" i="19"/>
  <c r="D137" i="19"/>
  <c r="D156" i="19" s="1"/>
  <c r="D133" i="16"/>
  <c r="D135" i="16" s="1"/>
  <c r="D136" i="16" s="1"/>
  <c r="D137" i="16" s="1"/>
  <c r="G80" i="16"/>
  <c r="G79" i="16"/>
  <c r="AI137" i="19"/>
  <c r="AI156" i="19" s="1"/>
  <c r="AI56" i="16"/>
  <c r="AI133" i="16"/>
  <c r="M70" i="16"/>
  <c r="I137" i="19"/>
  <c r="I138" i="19" s="1"/>
  <c r="I133" i="16"/>
  <c r="BF133" i="16"/>
  <c r="BF56" i="16"/>
  <c r="BG55" i="19"/>
  <c r="V137" i="19"/>
  <c r="V156" i="19" s="1"/>
  <c r="V133" i="16"/>
  <c r="AP137" i="19"/>
  <c r="AP138" i="19" s="1"/>
  <c r="AP56" i="16"/>
  <c r="AP133" i="16"/>
  <c r="BA137" i="19"/>
  <c r="BA133" i="16"/>
  <c r="BA56" i="16"/>
  <c r="BA55" i="19"/>
  <c r="BG97" i="19"/>
  <c r="BG103" i="19" s="1"/>
  <c r="BG123" i="19" s="1"/>
  <c r="G69" i="16"/>
  <c r="G68" i="16"/>
  <c r="AZ137" i="19"/>
  <c r="AZ138" i="19" s="1"/>
  <c r="AZ133" i="16"/>
  <c r="AZ56" i="16"/>
  <c r="E164" i="19"/>
  <c r="AV137" i="19"/>
  <c r="AV56" i="16"/>
  <c r="AV133" i="16"/>
  <c r="BF132" i="19"/>
  <c r="BF24" i="19"/>
  <c r="BF137" i="19"/>
  <c r="BF156" i="19" s="1"/>
  <c r="C56" i="17"/>
  <c r="BF54" i="19"/>
  <c r="BF27" i="19"/>
  <c r="BF97" i="19"/>
  <c r="BF103" i="19" s="1"/>
  <c r="BF123" i="19" s="1"/>
  <c r="AQ43" i="17"/>
  <c r="AP34" i="17"/>
  <c r="W132" i="19"/>
  <c r="S17" i="18"/>
  <c r="M232" i="18"/>
  <c r="M17" i="18"/>
  <c r="BH164" i="19"/>
  <c r="M235" i="18"/>
  <c r="S235" i="18"/>
  <c r="BI76" i="17"/>
  <c r="W137" i="19"/>
  <c r="BC155" i="19"/>
  <c r="BI7" i="19"/>
  <c r="AS146" i="19"/>
  <c r="AG146" i="19"/>
  <c r="BB146" i="19"/>
  <c r="BB147" i="19" s="1"/>
  <c r="W97" i="19"/>
  <c r="W103" i="19" s="1"/>
  <c r="W123" i="19" s="1"/>
  <c r="W146" i="19"/>
  <c r="BA146" i="19"/>
  <c r="AP146" i="19"/>
  <c r="AZ146" i="19"/>
  <c r="E146" i="19"/>
  <c r="AH146" i="19"/>
  <c r="AJ146" i="19"/>
  <c r="AJ147" i="19" s="1"/>
  <c r="AM146" i="19"/>
  <c r="V146" i="19"/>
  <c r="BG146" i="19"/>
  <c r="W24" i="19"/>
  <c r="W57" i="16" s="1"/>
  <c r="AI146" i="19"/>
  <c r="C145" i="19"/>
  <c r="BF146" i="19"/>
  <c r="AB146" i="19"/>
  <c r="U146" i="19"/>
  <c r="AT146" i="19"/>
  <c r="AT147" i="19" s="1"/>
  <c r="W27" i="19"/>
  <c r="AO145" i="19"/>
  <c r="J145" i="19"/>
  <c r="O145" i="19"/>
  <c r="D145" i="19"/>
  <c r="AA145" i="19"/>
  <c r="BE145" i="19"/>
  <c r="AY145" i="19"/>
  <c r="AS55" i="19"/>
  <c r="K145" i="19"/>
  <c r="W54" i="19"/>
  <c r="Q145" i="19"/>
  <c r="AB24" i="19"/>
  <c r="AC145" i="19"/>
  <c r="AN145" i="19"/>
  <c r="P145" i="19"/>
  <c r="I145" i="19"/>
  <c r="E157" i="19"/>
  <c r="AH132" i="19"/>
  <c r="AZ132" i="19"/>
  <c r="BG132" i="19"/>
  <c r="AP27" i="19"/>
  <c r="AP57" i="19" s="1"/>
  <c r="AP158" i="16" s="1"/>
  <c r="AP159" i="16" s="1"/>
  <c r="AP160" i="16" s="1"/>
  <c r="BC131" i="19"/>
  <c r="BC145" i="19" s="1"/>
  <c r="AP132" i="19"/>
  <c r="AK131" i="19"/>
  <c r="AK145" i="19" s="1"/>
  <c r="BK65" i="19"/>
  <c r="BK55" i="19"/>
  <c r="AQ131" i="19"/>
  <c r="E54" i="17"/>
  <c r="G34" i="17"/>
  <c r="BH23" i="19"/>
  <c r="AP24" i="19"/>
  <c r="AP65" i="19"/>
  <c r="AP55" i="19"/>
  <c r="AP54" i="19"/>
  <c r="AP97" i="19"/>
  <c r="AP103" i="19" s="1"/>
  <c r="AP123" i="19" s="1"/>
  <c r="AI24" i="19"/>
  <c r="AV55" i="19"/>
  <c r="AV65" i="19"/>
  <c r="AK62" i="48"/>
  <c r="BE21" i="18"/>
  <c r="BL75" i="77"/>
  <c r="U27" i="19"/>
  <c r="X21" i="18"/>
  <c r="AD21" i="18"/>
  <c r="AI55" i="19"/>
  <c r="U24" i="19"/>
  <c r="Y21" i="18"/>
  <c r="U54" i="19"/>
  <c r="AI54" i="19"/>
  <c r="U97" i="19"/>
  <c r="U103" i="19" s="1"/>
  <c r="U123" i="19" s="1"/>
  <c r="AE21" i="18"/>
  <c r="R21" i="18"/>
  <c r="L21" i="18"/>
  <c r="AI27" i="19"/>
  <c r="Q10" i="77"/>
  <c r="AI97" i="19"/>
  <c r="AI103" i="19" s="1"/>
  <c r="AI123" i="19" s="1"/>
  <c r="BK66" i="77"/>
  <c r="BF65" i="19"/>
  <c r="AB54" i="19"/>
  <c r="BF55" i="19"/>
  <c r="AZ55" i="19"/>
  <c r="BI73" i="77"/>
  <c r="BI84" i="77" s="1"/>
  <c r="CG77" i="77"/>
  <c r="CC76" i="77"/>
  <c r="CG76" i="77" s="1"/>
  <c r="CF85" i="77"/>
  <c r="BZ87" i="77"/>
  <c r="AC327" i="18"/>
  <c r="AC340" i="18" s="1"/>
  <c r="AB65" i="19"/>
  <c r="AB97" i="19"/>
  <c r="AB103" i="19" s="1"/>
  <c r="AB123" i="19" s="1"/>
  <c r="AB27" i="19"/>
  <c r="G46" i="19"/>
  <c r="BC20" i="19"/>
  <c r="BC50" i="19"/>
  <c r="E132" i="19"/>
  <c r="BE84" i="77"/>
  <c r="BH39" i="18"/>
  <c r="AE16" i="19"/>
  <c r="AK61" i="19"/>
  <c r="AH54" i="19"/>
  <c r="AQ84" i="19"/>
  <c r="AQ87" i="19" s="1"/>
  <c r="AQ120" i="19" s="1"/>
  <c r="G16" i="19"/>
  <c r="G20" i="19" s="1"/>
  <c r="G157" i="16" s="1"/>
  <c r="AH24" i="19"/>
  <c r="AG27" i="19"/>
  <c r="AG30" i="19" s="1"/>
  <c r="S16" i="19"/>
  <c r="S84" i="19" s="1"/>
  <c r="S87" i="19" s="1"/>
  <c r="S120" i="19" s="1"/>
  <c r="AH65" i="19"/>
  <c r="AG54" i="19"/>
  <c r="S46" i="19"/>
  <c r="AH27" i="19"/>
  <c r="AG97" i="19"/>
  <c r="AG103" i="19" s="1"/>
  <c r="AG123" i="19" s="1"/>
  <c r="AG24" i="19"/>
  <c r="V132" i="19"/>
  <c r="AH55" i="19"/>
  <c r="AH97" i="19"/>
  <c r="AH103" i="19" s="1"/>
  <c r="AH123" i="19" s="1"/>
  <c r="AZ27" i="19"/>
  <c r="AZ30" i="19" s="1"/>
  <c r="AZ65" i="19"/>
  <c r="V97" i="19"/>
  <c r="V103" i="19" s="1"/>
  <c r="V123" i="19" s="1"/>
  <c r="AZ97" i="19"/>
  <c r="AZ103" i="19" s="1"/>
  <c r="AZ123" i="19" s="1"/>
  <c r="AK64" i="19"/>
  <c r="BN48" i="18"/>
  <c r="BN47" i="18" s="1"/>
  <c r="AZ54" i="19"/>
  <c r="AM132" i="19"/>
  <c r="AB55" i="19"/>
  <c r="V54" i="19"/>
  <c r="V24" i="19"/>
  <c r="V57" i="16" s="1"/>
  <c r="AZ24" i="19"/>
  <c r="V27" i="19"/>
  <c r="CA47" i="19"/>
  <c r="CG47" i="19"/>
  <c r="AQ336" i="18"/>
  <c r="AQ383" i="18" s="1"/>
  <c r="AQ20" i="19"/>
  <c r="AG327" i="18"/>
  <c r="AK340" i="18" s="1"/>
  <c r="AU248" i="18"/>
  <c r="AO278" i="18"/>
  <c r="AO381" i="18"/>
  <c r="BY55" i="18"/>
  <c r="EB52" i="18"/>
  <c r="AT388" i="18"/>
  <c r="BC245" i="18"/>
  <c r="AI339" i="18"/>
  <c r="AI450" i="18" s="1"/>
  <c r="AW51" i="18"/>
  <c r="BZ49" i="18"/>
  <c r="CC49" i="18" s="1"/>
  <c r="BY49" i="18"/>
  <c r="EC50" i="18" s="1"/>
  <c r="BX49" i="18"/>
  <c r="AI336" i="18"/>
  <c r="AI447" i="18" s="1"/>
  <c r="BB271" i="18"/>
  <c r="BM146" i="18"/>
  <c r="BN146" i="18" s="1"/>
  <c r="AC328" i="18"/>
  <c r="AC341" i="18" s="1"/>
  <c r="AD338" i="18"/>
  <c r="BT275" i="18"/>
  <c r="BU50" i="18"/>
  <c r="BK147" i="18"/>
  <c r="BL147" i="18"/>
  <c r="AO248" i="18"/>
  <c r="BA241" i="18"/>
  <c r="BH177" i="18"/>
  <c r="BH585" i="18" s="1"/>
  <c r="BI585" i="18" s="1"/>
  <c r="BA271" i="18"/>
  <c r="BW275" i="18"/>
  <c r="AW245" i="18"/>
  <c r="BZ245" i="18"/>
  <c r="BL89" i="18"/>
  <c r="BL374" i="18" s="1"/>
  <c r="AV112" i="77"/>
  <c r="AV113" i="77" s="1"/>
  <c r="BN245" i="18"/>
  <c r="AS278" i="18"/>
  <c r="AV248" i="18"/>
  <c r="BO50" i="18"/>
  <c r="AW229" i="18"/>
  <c r="AV30" i="77"/>
  <c r="BZ191" i="18"/>
  <c r="CC223" i="18"/>
  <c r="CI223" i="18" s="1"/>
  <c r="CO223" i="18" s="1"/>
  <c r="CA223" i="18"/>
  <c r="AP278" i="18"/>
  <c r="BQ275" i="18"/>
  <c r="BW270" i="18"/>
  <c r="CE191" i="18"/>
  <c r="BY190" i="18"/>
  <c r="BN275" i="18"/>
  <c r="AG65" i="18"/>
  <c r="AH65" i="18" s="1"/>
  <c r="AI65" i="18" s="1"/>
  <c r="AJ65" i="18" s="1"/>
  <c r="AK65" i="18" s="1"/>
  <c r="BT245" i="18"/>
  <c r="Y43" i="77"/>
  <c r="BW71" i="18"/>
  <c r="BX71" i="18" s="1"/>
  <c r="BY71" i="18" s="1"/>
  <c r="BZ71" i="18" s="1"/>
  <c r="CG71" i="18"/>
  <c r="BX240" i="18"/>
  <c r="BX270" i="18"/>
  <c r="R9" i="77"/>
  <c r="S9" i="77" s="1"/>
  <c r="AQ50" i="19"/>
  <c r="AW230" i="18"/>
  <c r="AW231" i="18" s="1"/>
  <c r="BC84" i="19"/>
  <c r="BC87" i="19" s="1"/>
  <c r="BC120" i="19" s="1"/>
  <c r="CA53" i="19"/>
  <c r="CG49" i="19"/>
  <c r="AB132" i="19"/>
  <c r="AK50" i="19"/>
  <c r="BI66" i="77"/>
  <c r="AW232" i="18"/>
  <c r="BI50" i="18"/>
  <c r="BI245" i="18" s="1"/>
  <c r="AW85" i="77"/>
  <c r="P10" i="77"/>
  <c r="S43" i="77"/>
  <c r="S44" i="77" s="1"/>
  <c r="AM65" i="19"/>
  <c r="L9" i="77"/>
  <c r="AK230" i="18"/>
  <c r="AK231" i="18" s="1"/>
  <c r="AM54" i="19"/>
  <c r="AM97" i="19"/>
  <c r="AM103" i="19" s="1"/>
  <c r="AM123" i="19" s="1"/>
  <c r="AO100" i="77"/>
  <c r="AK236" i="18"/>
  <c r="BU78" i="77"/>
  <c r="BU83" i="77" s="1"/>
  <c r="AV67" i="77"/>
  <c r="X9" i="77"/>
  <c r="X10" i="77" s="1"/>
  <c r="AP100" i="77"/>
  <c r="AD9" i="77"/>
  <c r="AD10" i="77" s="1"/>
  <c r="AE43" i="77"/>
  <c r="AC44" i="77"/>
  <c r="AE178" i="18"/>
  <c r="AQ51" i="19"/>
  <c r="AW471" i="18"/>
  <c r="AW407" i="18"/>
  <c r="AE43" i="17"/>
  <c r="G26" i="17"/>
  <c r="G21" i="19"/>
  <c r="AW34" i="17"/>
  <c r="Y22" i="19"/>
  <c r="X23" i="19"/>
  <c r="L23" i="19"/>
  <c r="AV23" i="19"/>
  <c r="BC43" i="17"/>
  <c r="G43" i="17"/>
  <c r="AV282" i="18"/>
  <c r="AT381" i="18"/>
  <c r="AT445" i="18"/>
  <c r="BH245" i="18"/>
  <c r="BK275" i="18"/>
  <c r="BH275" i="18"/>
  <c r="W327" i="18"/>
  <c r="X340" i="18"/>
  <c r="AN341" i="18"/>
  <c r="AM328" i="18"/>
  <c r="AQ69" i="18"/>
  <c r="AW105" i="18"/>
  <c r="AI412" i="18"/>
  <c r="AI60" i="18"/>
  <c r="BU24" i="18"/>
  <c r="AV269" i="18"/>
  <c r="U43" i="18"/>
  <c r="BI240" i="18"/>
  <c r="AJ149" i="18"/>
  <c r="AW151" i="18"/>
  <c r="AS334" i="18"/>
  <c r="AW334" i="18"/>
  <c r="R327" i="18"/>
  <c r="M327" i="18"/>
  <c r="L327" i="18" s="1"/>
  <c r="AJ60" i="18"/>
  <c r="AJ412" i="18"/>
  <c r="AH60" i="18"/>
  <c r="AH412" i="18"/>
  <c r="AG412" i="18"/>
  <c r="AG60" i="18"/>
  <c r="AK64" i="18"/>
  <c r="AO388" i="18"/>
  <c r="AO452" i="18"/>
  <c r="BB85" i="77"/>
  <c r="AV87" i="77"/>
  <c r="AI14" i="77"/>
  <c r="DK58" i="18"/>
  <c r="DK59" i="18" s="1"/>
  <c r="AY105" i="18"/>
  <c r="BA85" i="77"/>
  <c r="AU87" i="77"/>
  <c r="AU61" i="77"/>
  <c r="AG55" i="19"/>
  <c r="U65" i="19"/>
  <c r="Y64" i="19"/>
  <c r="G203" i="18"/>
  <c r="AV10" i="77"/>
  <c r="AV100" i="77"/>
  <c r="AN10" i="77"/>
  <c r="AN100" i="77"/>
  <c r="AW9" i="77"/>
  <c r="AS10" i="77"/>
  <c r="BC230" i="18"/>
  <c r="BC231" i="18" s="1"/>
  <c r="BC236" i="18"/>
  <c r="AG7" i="19"/>
  <c r="AA7" i="48"/>
  <c r="AE7" i="48"/>
  <c r="V10" i="77"/>
  <c r="V65" i="19"/>
  <c r="AE64" i="19"/>
  <c r="AT55" i="19"/>
  <c r="AU65" i="19"/>
  <c r="AS65" i="19"/>
  <c r="AG65" i="19"/>
  <c r="AM27" i="19"/>
  <c r="AM57" i="19" s="1"/>
  <c r="AM158" i="16" s="1"/>
  <c r="AM159" i="16" s="1"/>
  <c r="AM160" i="16" s="1"/>
  <c r="AM24" i="19"/>
  <c r="AM55" i="19"/>
  <c r="AK20" i="19"/>
  <c r="AK84" i="19"/>
  <c r="AK87" i="19" s="1"/>
  <c r="AK120" i="19" s="1"/>
  <c r="AW23" i="19"/>
  <c r="S23" i="19"/>
  <c r="AV64" i="77"/>
  <c r="AH10" i="77"/>
  <c r="AT100" i="77"/>
  <c r="AT10" i="77"/>
  <c r="AY10" i="77"/>
  <c r="AJ21" i="18"/>
  <c r="M17" i="77"/>
  <c r="AJ9" i="77"/>
  <c r="AJ10" i="77" s="1"/>
  <c r="O10" i="77"/>
  <c r="AU100" i="77"/>
  <c r="AU53" i="77"/>
  <c r="AU10" i="77"/>
  <c r="AQ9" i="77"/>
  <c r="AM10" i="77"/>
  <c r="BR115" i="77"/>
  <c r="BR96" i="77"/>
  <c r="BS32" i="77"/>
  <c r="AT67" i="77"/>
  <c r="AT64" i="77"/>
  <c r="AT65" i="77"/>
  <c r="BG65" i="77"/>
  <c r="AY7" i="77"/>
  <c r="AT7" i="77"/>
  <c r="AU7" i="77" s="1"/>
  <c r="AV7" i="77" s="1"/>
  <c r="AS84" i="77"/>
  <c r="AW76" i="77"/>
  <c r="AW84" i="77" s="1"/>
  <c r="AS61" i="77"/>
  <c r="BH61" i="77"/>
  <c r="BH69" i="77"/>
  <c r="BI68" i="77"/>
  <c r="Q48" i="77"/>
  <c r="AW83" i="77"/>
  <c r="AW66" i="77"/>
  <c r="BK68" i="77"/>
  <c r="AP84" i="77"/>
  <c r="BN71" i="77"/>
  <c r="AO84" i="77"/>
  <c r="AQ73" i="77"/>
  <c r="AQ84" i="77" s="1"/>
  <c r="BF65" i="77"/>
  <c r="AP52" i="48"/>
  <c r="AP54" i="48" s="1"/>
  <c r="AQ54" i="48" s="1"/>
  <c r="AQ38" i="48"/>
  <c r="AQ52" i="48" s="1"/>
  <c r="BQ11" i="48"/>
  <c r="BM56" i="48"/>
  <c r="AS58" i="48"/>
  <c r="AW56" i="48"/>
  <c r="D56" i="17"/>
  <c r="F47" i="17"/>
  <c r="F73" i="16" s="1"/>
  <c r="F54" i="17"/>
  <c r="F75" i="16" s="1"/>
  <c r="M21" i="19"/>
  <c r="AV24" i="19"/>
  <c r="M26" i="17"/>
  <c r="M74" i="16" s="1"/>
  <c r="BL78" i="17"/>
  <c r="BL41" i="19" s="1"/>
  <c r="BM43" i="48"/>
  <c r="AE33" i="17"/>
  <c r="AE34" i="17" s="1"/>
  <c r="F23" i="19"/>
  <c r="BI35" i="19"/>
  <c r="AE70" i="17"/>
  <c r="AE65" i="17"/>
  <c r="AK61" i="17" s="1"/>
  <c r="AE69" i="17"/>
  <c r="K55" i="17"/>
  <c r="K76" i="16" s="1"/>
  <c r="BK76" i="17"/>
  <c r="AB8" i="17"/>
  <c r="AC8" i="17" s="1"/>
  <c r="AD8" i="17" s="1"/>
  <c r="AG8" i="17"/>
  <c r="AO181" i="18"/>
  <c r="AO338" i="18"/>
  <c r="BC445" i="18"/>
  <c r="BC381" i="18"/>
  <c r="AY162" i="18"/>
  <c r="AZ150" i="18"/>
  <c r="AZ151" i="18" s="1"/>
  <c r="X320" i="18"/>
  <c r="S320" i="18"/>
  <c r="AW406" i="18"/>
  <c r="AN445" i="18"/>
  <c r="AN381" i="18"/>
  <c r="BH271" i="18"/>
  <c r="BH241" i="18"/>
  <c r="AH339" i="18"/>
  <c r="AG326" i="18"/>
  <c r="BC328" i="18"/>
  <c r="BE328" i="18" s="1"/>
  <c r="F333" i="18"/>
  <c r="F345" i="18" s="1"/>
  <c r="F176" i="18"/>
  <c r="G145" i="18"/>
  <c r="W336" i="18"/>
  <c r="V323" i="18"/>
  <c r="X324" i="18"/>
  <c r="S324" i="18"/>
  <c r="AV43" i="18"/>
  <c r="AM324" i="18"/>
  <c r="AS340" i="18"/>
  <c r="AW340" i="18"/>
  <c r="AO453" i="18"/>
  <c r="AO389" i="18"/>
  <c r="BF324" i="18"/>
  <c r="AM450" i="18"/>
  <c r="AM386" i="18"/>
  <c r="AQ340" i="18"/>
  <c r="AM340" i="18"/>
  <c r="X334" i="18"/>
  <c r="W321" i="18"/>
  <c r="AI449" i="18"/>
  <c r="AI385" i="18"/>
  <c r="BH240" i="18"/>
  <c r="BH270" i="18"/>
  <c r="BK270" i="18"/>
  <c r="BN240" i="18"/>
  <c r="AM338" i="18"/>
  <c r="BO240" i="18"/>
  <c r="R322" i="18"/>
  <c r="M322" i="18"/>
  <c r="L322" i="18" s="1"/>
  <c r="AW470" i="18"/>
  <c r="BG271" i="18"/>
  <c r="BG241" i="18"/>
  <c r="BG39" i="18"/>
  <c r="AJ453" i="18"/>
  <c r="AJ389" i="18"/>
  <c r="BM274" i="18"/>
  <c r="BM244" i="18"/>
  <c r="AD342" i="18"/>
  <c r="AC329" i="18"/>
  <c r="BT191" i="18"/>
  <c r="AB7" i="18"/>
  <c r="AC7" i="18" s="1"/>
  <c r="AD7" i="18" s="1"/>
  <c r="AG7" i="18"/>
  <c r="AK235" i="18"/>
  <c r="AQ20" i="18"/>
  <c r="AK17" i="18"/>
  <c r="AK232" i="18"/>
  <c r="AW408" i="18"/>
  <c r="AQ404" i="18"/>
  <c r="AW405" i="18" s="1"/>
  <c r="AM447" i="18"/>
  <c r="AM383" i="18"/>
  <c r="I144" i="18"/>
  <c r="G144" i="18"/>
  <c r="G15" i="77" s="1"/>
  <c r="AV163" i="18"/>
  <c r="AH324" i="18"/>
  <c r="AC324" i="18"/>
  <c r="AT453" i="18"/>
  <c r="AT389" i="18"/>
  <c r="AI445" i="18"/>
  <c r="AI381" i="18"/>
  <c r="AT451" i="18"/>
  <c r="AT387" i="18"/>
  <c r="AN342" i="18"/>
  <c r="AM329" i="18"/>
  <c r="X335" i="18"/>
  <c r="W322" i="18"/>
  <c r="AH320" i="18"/>
  <c r="Y239" i="18"/>
  <c r="AE239" i="18"/>
  <c r="AC320" i="18"/>
  <c r="AM148" i="18"/>
  <c r="AK149" i="18"/>
  <c r="AB322" i="18"/>
  <c r="AC335" i="18"/>
  <c r="AN449" i="18"/>
  <c r="AN385" i="18"/>
  <c r="BG325" i="18"/>
  <c r="AH451" i="18"/>
  <c r="AH387" i="18"/>
  <c r="AY151" i="18"/>
  <c r="S239" i="18"/>
  <c r="X339" i="18"/>
  <c r="W326" i="18"/>
  <c r="AB325" i="18"/>
  <c r="AC338" i="18"/>
  <c r="BF271" i="18"/>
  <c r="BC322" i="18"/>
  <c r="BE322" i="18" s="1"/>
  <c r="AQ236" i="18"/>
  <c r="AQ230" i="18"/>
  <c r="AQ231" i="18" s="1"/>
  <c r="AQ16" i="18"/>
  <c r="AW236" i="18"/>
  <c r="AH329" i="18"/>
  <c r="AI342" i="18"/>
  <c r="BA445" i="18"/>
  <c r="BA381" i="18"/>
  <c r="AB336" i="18"/>
  <c r="AA323" i="18"/>
  <c r="AU269" i="18"/>
  <c r="AU239" i="18"/>
  <c r="BC320" i="18"/>
  <c r="BE320" i="18" s="1"/>
  <c r="AU406" i="18"/>
  <c r="AU405" i="18"/>
  <c r="AG323" i="18"/>
  <c r="AH336" i="18"/>
  <c r="AH335" i="18"/>
  <c r="AG322" i="18"/>
  <c r="R336" i="18"/>
  <c r="Q323" i="18"/>
  <c r="AH341" i="18"/>
  <c r="AG328" i="18"/>
  <c r="AY269" i="18"/>
  <c r="AY239" i="18"/>
  <c r="AS452" i="18"/>
  <c r="AS388" i="18"/>
  <c r="AT469" i="18"/>
  <c r="AT470" i="18"/>
  <c r="AW472" i="18"/>
  <c r="AQ468" i="18"/>
  <c r="AW469" i="18" s="1"/>
  <c r="BB334" i="18"/>
  <c r="BC321" i="18"/>
  <c r="BE321" i="18" s="1"/>
  <c r="S329" i="18"/>
  <c r="X329" i="18"/>
  <c r="AZ239" i="18"/>
  <c r="AZ269" i="18"/>
  <c r="BH57" i="18"/>
  <c r="BG56" i="18"/>
  <c r="C353" i="18"/>
  <c r="C12" i="18"/>
  <c r="C201" i="18"/>
  <c r="I30" i="18"/>
  <c r="AZ161" i="18"/>
  <c r="AK229" i="18"/>
  <c r="AT450" i="18"/>
  <c r="AT386" i="18"/>
  <c r="AI446" i="18"/>
  <c r="AI382" i="18"/>
  <c r="L336" i="18"/>
  <c r="K323" i="18"/>
  <c r="BB269" i="18"/>
  <c r="BB239" i="18"/>
  <c r="AI452" i="18"/>
  <c r="AI388" i="18"/>
  <c r="BE276" i="18"/>
  <c r="BE246" i="18"/>
  <c r="AU469" i="18"/>
  <c r="AU470" i="18"/>
  <c r="BC173" i="18"/>
  <c r="AP154" i="18"/>
  <c r="AP416" i="18"/>
  <c r="AQ416" i="18" s="1"/>
  <c r="BT240" i="18"/>
  <c r="BT270" i="18"/>
  <c r="AH334" i="18"/>
  <c r="AG321" i="18"/>
  <c r="AT406" i="18"/>
  <c r="AT405" i="18"/>
  <c r="BF327" i="18"/>
  <c r="R326" i="18"/>
  <c r="M326" i="18"/>
  <c r="L326" i="18" s="1"/>
  <c r="R328" i="18"/>
  <c r="M328" i="18"/>
  <c r="L328" i="18" s="1"/>
  <c r="AC339" i="18"/>
  <c r="AB326" i="18"/>
  <c r="AQ334" i="18"/>
  <c r="AM334" i="18"/>
  <c r="AC334" i="18"/>
  <c r="AB321" i="18"/>
  <c r="X341" i="18"/>
  <c r="W328" i="18"/>
  <c r="M325" i="18"/>
  <c r="L325" i="18" s="1"/>
  <c r="R325" i="18"/>
  <c r="BA269" i="18"/>
  <c r="BA239" i="18"/>
  <c r="K28" i="18"/>
  <c r="K29" i="18" s="1"/>
  <c r="BF326" i="18"/>
  <c r="AU447" i="18"/>
  <c r="AU383" i="18"/>
  <c r="AB142" i="18"/>
  <c r="AC141" i="18"/>
  <c r="X338" i="18"/>
  <c r="W325" i="18"/>
  <c r="AW452" i="18"/>
  <c r="AW388" i="18"/>
  <c r="BF241" i="18"/>
  <c r="BF39" i="18"/>
  <c r="BA103" i="18"/>
  <c r="AN451" i="18"/>
  <c r="AN387" i="18"/>
  <c r="AW241" i="18"/>
  <c r="AW39" i="18"/>
  <c r="AW40" i="18" s="1"/>
  <c r="M321" i="18"/>
  <c r="L321" i="18" s="1"/>
  <c r="R321" i="18"/>
  <c r="AH338" i="18"/>
  <c r="AG325" i="18"/>
  <c r="AW339" i="18"/>
  <c r="AS339" i="18"/>
  <c r="BC329" i="18"/>
  <c r="BE329" i="18" s="1"/>
  <c r="BC323" i="18"/>
  <c r="BE323" i="18" s="1"/>
  <c r="AV179" i="18"/>
  <c r="AV336" i="18"/>
  <c r="BG54" i="18"/>
  <c r="BF53" i="18"/>
  <c r="BK364" i="18"/>
  <c r="BL79" i="18"/>
  <c r="P132" i="19"/>
  <c r="AC132" i="19"/>
  <c r="I97" i="19"/>
  <c r="I103" i="19" s="1"/>
  <c r="I123" i="19" s="1"/>
  <c r="I54" i="19"/>
  <c r="I55" i="19"/>
  <c r="I24" i="19"/>
  <c r="I57" i="16" s="1"/>
  <c r="I65" i="19"/>
  <c r="I27" i="19"/>
  <c r="O97" i="19"/>
  <c r="O103" i="19" s="1"/>
  <c r="O123" i="19" s="1"/>
  <c r="O65" i="19"/>
  <c r="O55" i="19"/>
  <c r="O24" i="19"/>
  <c r="O57" i="16" s="1"/>
  <c r="O54" i="19"/>
  <c r="O27" i="19"/>
  <c r="AN97" i="19"/>
  <c r="AN103" i="19" s="1"/>
  <c r="AN123" i="19" s="1"/>
  <c r="AN54" i="19"/>
  <c r="AN65" i="19"/>
  <c r="AN24" i="19"/>
  <c r="AN27" i="19"/>
  <c r="AN55" i="19"/>
  <c r="AV30" i="19"/>
  <c r="AV57" i="19"/>
  <c r="AV158" i="16" s="1"/>
  <c r="AO132" i="19"/>
  <c r="Q97" i="19"/>
  <c r="Q103" i="19" s="1"/>
  <c r="Q123" i="19" s="1"/>
  <c r="Q55" i="19"/>
  <c r="Q54" i="19"/>
  <c r="Q24" i="19"/>
  <c r="Q57" i="16" s="1"/>
  <c r="Q65" i="19"/>
  <c r="Q27" i="19"/>
  <c r="C97" i="19"/>
  <c r="C103" i="19" s="1"/>
  <c r="C123" i="19" s="1"/>
  <c r="C54" i="19"/>
  <c r="C27" i="19"/>
  <c r="C24" i="19"/>
  <c r="C57" i="16" s="1"/>
  <c r="AY132" i="19"/>
  <c r="AJ30" i="19"/>
  <c r="AJ57" i="19"/>
  <c r="AJ158" i="16" s="1"/>
  <c r="AJ159" i="16" s="1"/>
  <c r="AJ160" i="16" s="1"/>
  <c r="U55" i="19"/>
  <c r="BB30" i="19"/>
  <c r="BB57" i="19"/>
  <c r="BB158" i="16" s="1"/>
  <c r="BB159" i="16" s="1"/>
  <c r="BB160" i="16" s="1"/>
  <c r="K97" i="19"/>
  <c r="K103" i="19" s="1"/>
  <c r="K123" i="19" s="1"/>
  <c r="K65" i="19"/>
  <c r="K24" i="19"/>
  <c r="K57" i="16" s="1"/>
  <c r="K55" i="19"/>
  <c r="K54" i="19"/>
  <c r="K27" i="19"/>
  <c r="AD131" i="19"/>
  <c r="AD84" i="19"/>
  <c r="AD87" i="19" s="1"/>
  <c r="AD120" i="19" s="1"/>
  <c r="AD50" i="19"/>
  <c r="AD20" i="19"/>
  <c r="AD157" i="16" s="1"/>
  <c r="AT30" i="19"/>
  <c r="AT57" i="19"/>
  <c r="AT158" i="16" s="1"/>
  <c r="AT159" i="16" s="1"/>
  <c r="AT160" i="16" s="1"/>
  <c r="I132" i="19"/>
  <c r="O132" i="19"/>
  <c r="L54" i="19"/>
  <c r="L97" i="19"/>
  <c r="L103" i="19" s="1"/>
  <c r="L123" i="19" s="1"/>
  <c r="L27" i="19"/>
  <c r="L24" i="19"/>
  <c r="L57" i="16" s="1"/>
  <c r="AB8" i="19"/>
  <c r="AG8" i="19"/>
  <c r="AG8" i="48" s="1"/>
  <c r="BE97" i="19"/>
  <c r="BE103" i="19" s="1"/>
  <c r="BE123" i="19" s="1"/>
  <c r="BE65" i="19"/>
  <c r="BE55" i="19"/>
  <c r="BE27" i="19"/>
  <c r="BE54" i="19"/>
  <c r="BE24" i="19"/>
  <c r="Q132" i="19"/>
  <c r="C132" i="19"/>
  <c r="R131" i="19"/>
  <c r="R84" i="19"/>
  <c r="R87" i="19" s="1"/>
  <c r="R120" i="19" s="1"/>
  <c r="R50" i="19"/>
  <c r="R20" i="19"/>
  <c r="R157" i="16" s="1"/>
  <c r="M131" i="19"/>
  <c r="M84" i="19"/>
  <c r="M87" i="19" s="1"/>
  <c r="M120" i="19" s="1"/>
  <c r="M50" i="19"/>
  <c r="M20" i="19"/>
  <c r="M157" i="16" s="1"/>
  <c r="J132" i="19"/>
  <c r="W65" i="19"/>
  <c r="AN132" i="19"/>
  <c r="AO97" i="19"/>
  <c r="AO103" i="19" s="1"/>
  <c r="AO123" i="19" s="1"/>
  <c r="AO65" i="19"/>
  <c r="AO55" i="19"/>
  <c r="AO24" i="19"/>
  <c r="AO27" i="19"/>
  <c r="AO54" i="19"/>
  <c r="E30" i="19"/>
  <c r="E57" i="19"/>
  <c r="AY97" i="19"/>
  <c r="AY103" i="19" s="1"/>
  <c r="AY123" i="19" s="1"/>
  <c r="AY54" i="19"/>
  <c r="AY55" i="19"/>
  <c r="AY65" i="19"/>
  <c r="AY24" i="19"/>
  <c r="AY27" i="19"/>
  <c r="J65" i="19"/>
  <c r="J54" i="19"/>
  <c r="J97" i="19"/>
  <c r="J103" i="19" s="1"/>
  <c r="J123" i="19" s="1"/>
  <c r="J55" i="19"/>
  <c r="J27" i="19"/>
  <c r="J24" i="19"/>
  <c r="J57" i="16" s="1"/>
  <c r="AW131" i="19"/>
  <c r="AW145" i="19" s="1"/>
  <c r="AW84" i="19"/>
  <c r="AW87" i="19" s="1"/>
  <c r="AW120" i="19" s="1"/>
  <c r="AW20" i="19"/>
  <c r="AW51" i="19"/>
  <c r="AW50" i="19"/>
  <c r="F131" i="19"/>
  <c r="F84" i="19"/>
  <c r="F87" i="19" s="1"/>
  <c r="F120" i="19" s="1"/>
  <c r="F50" i="19"/>
  <c r="F20" i="19"/>
  <c r="F157" i="16" s="1"/>
  <c r="D97" i="19"/>
  <c r="D103" i="19" s="1"/>
  <c r="D123" i="19" s="1"/>
  <c r="D54" i="19"/>
  <c r="D24" i="19"/>
  <c r="D57" i="16" s="1"/>
  <c r="D27" i="19"/>
  <c r="P97" i="19"/>
  <c r="P103" i="19" s="1"/>
  <c r="P123" i="19" s="1"/>
  <c r="P65" i="19"/>
  <c r="P54" i="19"/>
  <c r="P27" i="19"/>
  <c r="P55" i="19"/>
  <c r="P24" i="19"/>
  <c r="P57" i="16" s="1"/>
  <c r="BT77" i="19"/>
  <c r="BW77" i="19" s="1"/>
  <c r="AS30" i="19"/>
  <c r="AS57" i="19"/>
  <c r="AS158" i="16" s="1"/>
  <c r="AS159" i="16" s="1"/>
  <c r="AS160" i="16" s="1"/>
  <c r="AA97" i="19"/>
  <c r="AA103" i="19" s="1"/>
  <c r="AA123" i="19" s="1"/>
  <c r="AA55" i="19"/>
  <c r="AA24" i="19"/>
  <c r="AA54" i="19"/>
  <c r="AA27" i="19"/>
  <c r="AA65" i="19"/>
  <c r="K132" i="19"/>
  <c r="AT65" i="19"/>
  <c r="AU55" i="19"/>
  <c r="V55" i="19"/>
  <c r="BE132" i="19"/>
  <c r="Y131" i="19"/>
  <c r="Y84" i="19"/>
  <c r="Y87" i="19" s="1"/>
  <c r="Y120" i="19" s="1"/>
  <c r="Y20" i="19"/>
  <c r="Y157" i="16" s="1"/>
  <c r="Y50" i="19"/>
  <c r="AA132" i="19"/>
  <c r="D132" i="19"/>
  <c r="BC51" i="19"/>
  <c r="BT78" i="19"/>
  <c r="BW78" i="19" s="1"/>
  <c r="AC55" i="19"/>
  <c r="AC97" i="19"/>
  <c r="AC103" i="19" s="1"/>
  <c r="AC123" i="19" s="1"/>
  <c r="AC54" i="19"/>
  <c r="AC65" i="19"/>
  <c r="AC24" i="19"/>
  <c r="AC27" i="19"/>
  <c r="W55" i="19"/>
  <c r="X131" i="19"/>
  <c r="X84" i="19"/>
  <c r="X87" i="19" s="1"/>
  <c r="X120" i="19" s="1"/>
  <c r="X50" i="19"/>
  <c r="X20" i="19"/>
  <c r="X157" i="16" s="1"/>
  <c r="AI65" i="19"/>
  <c r="CO209" i="18" l="1"/>
  <c r="CS209" i="18" s="1"/>
  <c r="CM209" i="18"/>
  <c r="CM210" i="18" s="1"/>
  <c r="L54" i="17"/>
  <c r="L75" i="16" s="1"/>
  <c r="L47" i="17"/>
  <c r="L73" i="16" s="1"/>
  <c r="AK23" i="19"/>
  <c r="E49" i="17"/>
  <c r="E51" i="17" s="1"/>
  <c r="D51" i="17"/>
  <c r="BZ27" i="18"/>
  <c r="BZ24" i="18" s="1"/>
  <c r="AU156" i="19"/>
  <c r="J56" i="17"/>
  <c r="CP86" i="77"/>
  <c r="BH173" i="19"/>
  <c r="AU147" i="19"/>
  <c r="BN17" i="48"/>
  <c r="BO17" i="48" s="1"/>
  <c r="BQ17" i="48" s="1"/>
  <c r="BR17" i="48" s="1"/>
  <c r="BS17" i="48" s="1"/>
  <c r="BT17" i="48" s="1"/>
  <c r="BU17" i="48" s="1"/>
  <c r="BW17" i="48" s="1"/>
  <c r="BX17" i="48" s="1"/>
  <c r="BY17" i="48" s="1"/>
  <c r="BZ17" i="48" s="1"/>
  <c r="CA17" i="48" s="1"/>
  <c r="CC17" i="48" s="1"/>
  <c r="CD17" i="48" s="1"/>
  <c r="CE17" i="48" s="1"/>
  <c r="CF17" i="48" s="1"/>
  <c r="CG17" i="48" s="1"/>
  <c r="CI17" i="48" s="1"/>
  <c r="CJ17" i="48" s="1"/>
  <c r="CK17" i="48" s="1"/>
  <c r="CL17" i="48" s="1"/>
  <c r="CM17" i="48" s="1"/>
  <c r="CO17" i="48" s="1"/>
  <c r="CP17" i="48" s="1"/>
  <c r="CQ17" i="48" s="1"/>
  <c r="CR17" i="48" s="1"/>
  <c r="CS17" i="48" s="1"/>
  <c r="CS77" i="77"/>
  <c r="CR76" i="77"/>
  <c r="CS76" i="77" s="1"/>
  <c r="CM76" i="77"/>
  <c r="BN25" i="48"/>
  <c r="BO25" i="48" s="1"/>
  <c r="BQ25" i="48" s="1"/>
  <c r="BR25" i="48" s="1"/>
  <c r="BS25" i="48" s="1"/>
  <c r="BT25" i="48" s="1"/>
  <c r="BU25" i="48" s="1"/>
  <c r="BW25" i="48" s="1"/>
  <c r="BX25" i="48" s="1"/>
  <c r="BY25" i="48" s="1"/>
  <c r="BZ25" i="48" s="1"/>
  <c r="CA25" i="48" s="1"/>
  <c r="CC25" i="48" s="1"/>
  <c r="CD25" i="48" s="1"/>
  <c r="CE25" i="48" s="1"/>
  <c r="CF25" i="48" s="1"/>
  <c r="CG25" i="48" s="1"/>
  <c r="CI25" i="48" s="1"/>
  <c r="CJ25" i="48" s="1"/>
  <c r="CK25" i="48" s="1"/>
  <c r="CL25" i="48" s="1"/>
  <c r="CM25" i="48" s="1"/>
  <c r="CO25" i="48" s="1"/>
  <c r="CP25" i="48" s="1"/>
  <c r="CQ25" i="48" s="1"/>
  <c r="CR25" i="48" s="1"/>
  <c r="CS25" i="48" s="1"/>
  <c r="CF87" i="77"/>
  <c r="CL85" i="77"/>
  <c r="CL191" i="18"/>
  <c r="CQ191" i="18"/>
  <c r="CQ86" i="77"/>
  <c r="CQ87" i="77"/>
  <c r="AZ109" i="18"/>
  <c r="DL58" i="18" s="1"/>
  <c r="DL59" i="18" s="1"/>
  <c r="CC71" i="18"/>
  <c r="CD71" i="18" s="1"/>
  <c r="CE71" i="18" s="1"/>
  <c r="CF71" i="18" s="1"/>
  <c r="CM71" i="18"/>
  <c r="CM27" i="18"/>
  <c r="CP27" i="18"/>
  <c r="CQ27" i="18" s="1"/>
  <c r="CR27" i="18" s="1"/>
  <c r="BG30" i="19"/>
  <c r="BC23" i="19"/>
  <c r="BB55" i="16"/>
  <c r="AE23" i="19"/>
  <c r="AZ292" i="18"/>
  <c r="BC15" i="18"/>
  <c r="CS223" i="18"/>
  <c r="AZ263" i="18"/>
  <c r="BA292" i="18"/>
  <c r="CL189" i="18"/>
  <c r="CM223" i="18"/>
  <c r="AO589" i="18"/>
  <c r="BU25" i="18"/>
  <c r="AZ16" i="18"/>
  <c r="BB235" i="18"/>
  <c r="E147" i="19"/>
  <c r="AU57" i="16"/>
  <c r="C138" i="19"/>
  <c r="BB232" i="18"/>
  <c r="AG31" i="77"/>
  <c r="BA159" i="16"/>
  <c r="BA160" i="16" s="1"/>
  <c r="BA180" i="16" s="1"/>
  <c r="BB466" i="18"/>
  <c r="BB471" i="18" s="1"/>
  <c r="BB17" i="18"/>
  <c r="BB229" i="18"/>
  <c r="BB402" i="18"/>
  <c r="BB407" i="18" s="1"/>
  <c r="BL66" i="77"/>
  <c r="D201" i="18"/>
  <c r="D205" i="18" s="1"/>
  <c r="D225" i="18" s="1"/>
  <c r="E353" i="18"/>
  <c r="AJ31" i="77"/>
  <c r="AH45" i="77"/>
  <c r="AH94" i="77"/>
  <c r="AS147" i="19"/>
  <c r="BA402" i="18"/>
  <c r="BA407" i="18" s="1"/>
  <c r="AU55" i="16"/>
  <c r="AQ157" i="16"/>
  <c r="AK157" i="16"/>
  <c r="BA57" i="16"/>
  <c r="BA55" i="16"/>
  <c r="AU57" i="19"/>
  <c r="AU158" i="16" s="1"/>
  <c r="AU159" i="16" s="1"/>
  <c r="AU160" i="16" s="1"/>
  <c r="AU181" i="16" s="1"/>
  <c r="AU52" i="16" s="1"/>
  <c r="AV159" i="16"/>
  <c r="AV160" i="16" s="1"/>
  <c r="BA17" i="18"/>
  <c r="BA21" i="18" s="1"/>
  <c r="AH156" i="19"/>
  <c r="AW157" i="16"/>
  <c r="BC157" i="16"/>
  <c r="BA466" i="18"/>
  <c r="BA471" i="18" s="1"/>
  <c r="BA229" i="18"/>
  <c r="BA232" i="18"/>
  <c r="AG16" i="77"/>
  <c r="AG94" i="77"/>
  <c r="AH114" i="77"/>
  <c r="AJ114" i="77"/>
  <c r="AJ18" i="77"/>
  <c r="BB164" i="19"/>
  <c r="AG138" i="19"/>
  <c r="AG147" i="19" s="1"/>
  <c r="AM161" i="16"/>
  <c r="AM180" i="16"/>
  <c r="AM181" i="16"/>
  <c r="AM52" i="16" s="1"/>
  <c r="AP181" i="16"/>
  <c r="AP52" i="16" s="1"/>
  <c r="AP180" i="16"/>
  <c r="AP161" i="16"/>
  <c r="AS180" i="16"/>
  <c r="AS161" i="16"/>
  <c r="AS181" i="16"/>
  <c r="AS52" i="16" s="1"/>
  <c r="AJ161" i="16"/>
  <c r="AJ181" i="16"/>
  <c r="AJ52" i="16" s="1"/>
  <c r="AJ180" i="16"/>
  <c r="S21" i="18"/>
  <c r="BA235" i="18"/>
  <c r="E148" i="19"/>
  <c r="E149" i="19" s="1"/>
  <c r="E158" i="16"/>
  <c r="E159" i="16" s="1"/>
  <c r="E160" i="16" s="1"/>
  <c r="AT161" i="16"/>
  <c r="AT180" i="16"/>
  <c r="AT181" i="16"/>
  <c r="AT52" i="16" s="1"/>
  <c r="BB181" i="16"/>
  <c r="BB52" i="16" s="1"/>
  <c r="BB180" i="16"/>
  <c r="BB161" i="16"/>
  <c r="AP156" i="19"/>
  <c r="J156" i="19"/>
  <c r="M9" i="77"/>
  <c r="S10" i="77" s="1"/>
  <c r="BA30" i="19"/>
  <c r="BA33" i="19" s="1"/>
  <c r="AY138" i="19"/>
  <c r="AC138" i="19"/>
  <c r="K138" i="19"/>
  <c r="AG114" i="77"/>
  <c r="AG45" i="77"/>
  <c r="AH16" i="77"/>
  <c r="AH18" i="77"/>
  <c r="AJ16" i="77"/>
  <c r="AJ43" i="77" s="1"/>
  <c r="AJ44" i="77" s="1"/>
  <c r="AJ94" i="77"/>
  <c r="BY25" i="18"/>
  <c r="BH40" i="18"/>
  <c r="BG40" i="18"/>
  <c r="BF40" i="18"/>
  <c r="BL40" i="18"/>
  <c r="P156" i="19"/>
  <c r="P164" i="19" s="1"/>
  <c r="AM138" i="19"/>
  <c r="AM147" i="19" s="1"/>
  <c r="BF138" i="19"/>
  <c r="AB156" i="19"/>
  <c r="AO156" i="19"/>
  <c r="V138" i="19"/>
  <c r="V147" i="19" s="1"/>
  <c r="L138" i="19"/>
  <c r="L147" i="19" s="1"/>
  <c r="O156" i="19"/>
  <c r="O164" i="19" s="1"/>
  <c r="E12" i="18"/>
  <c r="AW447" i="18"/>
  <c r="D12" i="18"/>
  <c r="E201" i="18"/>
  <c r="E205" i="18" s="1"/>
  <c r="E225" i="18" s="1"/>
  <c r="D353" i="18"/>
  <c r="AW179" i="18"/>
  <c r="AV587" i="18"/>
  <c r="AW587" i="18" s="1"/>
  <c r="F174" i="18"/>
  <c r="F604" i="18" s="1"/>
  <c r="F584" i="18"/>
  <c r="F596" i="18" s="1"/>
  <c r="BK177" i="18"/>
  <c r="BK585" i="18" s="1"/>
  <c r="AZ341" i="18"/>
  <c r="AJ178" i="18"/>
  <c r="AJ586" i="18" s="1"/>
  <c r="AK586" i="18" s="1"/>
  <c r="BL177" i="18"/>
  <c r="BL585" i="18" s="1"/>
  <c r="D138" i="19"/>
  <c r="BF147" i="19"/>
  <c r="AI138" i="19"/>
  <c r="AI147" i="19" s="1"/>
  <c r="BE156" i="19"/>
  <c r="AQ23" i="19"/>
  <c r="S117" i="16"/>
  <c r="U112" i="16" s="1"/>
  <c r="G98" i="16"/>
  <c r="M93" i="16" s="1"/>
  <c r="M102" i="16" s="1"/>
  <c r="G85" i="16"/>
  <c r="M88" i="16"/>
  <c r="G54" i="17"/>
  <c r="G75" i="16" s="1"/>
  <c r="G74" i="16"/>
  <c r="BO32" i="17"/>
  <c r="BQ120" i="16"/>
  <c r="BO96" i="16"/>
  <c r="E75" i="16"/>
  <c r="G103" i="16"/>
  <c r="G104" i="16" s="1"/>
  <c r="G115" i="16"/>
  <c r="G116" i="16"/>
  <c r="BG57" i="19"/>
  <c r="AA138" i="19"/>
  <c r="AT164" i="19"/>
  <c r="AZ156" i="19"/>
  <c r="G70" i="16"/>
  <c r="BF57" i="19"/>
  <c r="E165" i="19"/>
  <c r="AE70" i="16"/>
  <c r="K164" i="19"/>
  <c r="D164" i="19"/>
  <c r="C164" i="19"/>
  <c r="AA164" i="19"/>
  <c r="AT148" i="19"/>
  <c r="AT134" i="16"/>
  <c r="AT135" i="16" s="1"/>
  <c r="AT136" i="16" s="1"/>
  <c r="AT137" i="16" s="1"/>
  <c r="AT131" i="16" s="1"/>
  <c r="AC55" i="16"/>
  <c r="AC57" i="16"/>
  <c r="AA55" i="16"/>
  <c r="AA57" i="16"/>
  <c r="AV148" i="19"/>
  <c r="AV134" i="16"/>
  <c r="AV135" i="16" s="1"/>
  <c r="AV136" i="16" s="1"/>
  <c r="AV137" i="16" s="1"/>
  <c r="AV131" i="16" s="1"/>
  <c r="AV55" i="16"/>
  <c r="AV57" i="16"/>
  <c r="BC56" i="16"/>
  <c r="BC133" i="16"/>
  <c r="V164" i="19"/>
  <c r="AN156" i="19"/>
  <c r="AG164" i="19"/>
  <c r="BG156" i="19"/>
  <c r="BG138" i="19"/>
  <c r="BG147" i="19" s="1"/>
  <c r="AW56" i="16"/>
  <c r="AW133" i="16"/>
  <c r="AM55" i="16"/>
  <c r="AM57" i="16"/>
  <c r="AZ55" i="16"/>
  <c r="AZ57" i="16"/>
  <c r="X137" i="19"/>
  <c r="X138" i="19" s="1"/>
  <c r="X133" i="16"/>
  <c r="AJ148" i="19"/>
  <c r="AJ149" i="19" s="1"/>
  <c r="AJ134" i="16"/>
  <c r="AJ135" i="16" s="1"/>
  <c r="AJ136" i="16" s="1"/>
  <c r="AJ137" i="16" s="1"/>
  <c r="AJ131" i="16" s="1"/>
  <c r="AM148" i="19"/>
  <c r="AM134" i="16"/>
  <c r="AM135" i="16" s="1"/>
  <c r="AM136" i="16" s="1"/>
  <c r="AM137" i="16" s="1"/>
  <c r="AM131" i="16" s="1"/>
  <c r="AC164" i="19"/>
  <c r="AY55" i="16"/>
  <c r="AY57" i="16"/>
  <c r="Y137" i="19"/>
  <c r="Y138" i="19" s="1"/>
  <c r="Y133" i="16"/>
  <c r="Q156" i="19"/>
  <c r="AV138" i="19"/>
  <c r="AV147" i="19" s="1"/>
  <c r="AV156" i="19"/>
  <c r="BA138" i="19"/>
  <c r="BA147" i="19" s="1"/>
  <c r="BA156" i="19"/>
  <c r="BE55" i="16"/>
  <c r="BE57" i="16"/>
  <c r="AD137" i="19"/>
  <c r="AD156" i="19" s="1"/>
  <c r="AD133" i="16"/>
  <c r="AD56" i="16"/>
  <c r="AP162" i="19"/>
  <c r="AP134" i="16"/>
  <c r="AP135" i="16" s="1"/>
  <c r="AP136" i="16" s="1"/>
  <c r="AP137" i="16" s="1"/>
  <c r="AP131" i="16" s="1"/>
  <c r="BF164" i="19"/>
  <c r="I156" i="19"/>
  <c r="AP55" i="16"/>
  <c r="AP57" i="16"/>
  <c r="AI164" i="19"/>
  <c r="F137" i="19"/>
  <c r="F156" i="19" s="1"/>
  <c r="F133" i="16"/>
  <c r="M137" i="19"/>
  <c r="M156" i="19" s="1"/>
  <c r="M133" i="16"/>
  <c r="AQ133" i="16"/>
  <c r="AQ56" i="16"/>
  <c r="AI55" i="16"/>
  <c r="AI57" i="16"/>
  <c r="BA148" i="19"/>
  <c r="BA134" i="16"/>
  <c r="BA135" i="16" s="1"/>
  <c r="BA136" i="16" s="1"/>
  <c r="BA137" i="16" s="1"/>
  <c r="BA131" i="16" s="1"/>
  <c r="AB55" i="16"/>
  <c r="AB57" i="16"/>
  <c r="U156" i="19"/>
  <c r="U157" i="19" s="1"/>
  <c r="BF55" i="16"/>
  <c r="BF57" i="16"/>
  <c r="AH55" i="16"/>
  <c r="AH57" i="16"/>
  <c r="U57" i="16"/>
  <c r="L132" i="19"/>
  <c r="L164" i="19"/>
  <c r="AS148" i="19"/>
  <c r="AS134" i="16"/>
  <c r="AS135" i="16" s="1"/>
  <c r="AS136" i="16" s="1"/>
  <c r="AS137" i="16" s="1"/>
  <c r="AS131" i="16" s="1"/>
  <c r="AO55" i="16"/>
  <c r="AO57" i="16"/>
  <c r="AN55" i="16"/>
  <c r="AN57" i="16"/>
  <c r="R137" i="19"/>
  <c r="R138" i="19" s="1"/>
  <c r="R133" i="16"/>
  <c r="BB148" i="19"/>
  <c r="BB134" i="16"/>
  <c r="BB135" i="16" s="1"/>
  <c r="BB136" i="16" s="1"/>
  <c r="BB137" i="16" s="1"/>
  <c r="BB131" i="16" s="1"/>
  <c r="AK133" i="16"/>
  <c r="AK56" i="16"/>
  <c r="AG55" i="16"/>
  <c r="AG57" i="16"/>
  <c r="G137" i="19"/>
  <c r="G138" i="19" s="1"/>
  <c r="G133" i="16"/>
  <c r="G135" i="16" s="1"/>
  <c r="G136" i="16" s="1"/>
  <c r="G137" i="16" s="1"/>
  <c r="C135" i="16"/>
  <c r="C136" i="16" s="1"/>
  <c r="C137" i="16" s="1"/>
  <c r="S70" i="16"/>
  <c r="BL172" i="19"/>
  <c r="BF30" i="19"/>
  <c r="BF128" i="19" s="1"/>
  <c r="E55" i="17"/>
  <c r="E76" i="16" s="1"/>
  <c r="AP147" i="19"/>
  <c r="U147" i="19"/>
  <c r="M21" i="18"/>
  <c r="AQ137" i="19"/>
  <c r="AQ138" i="19" s="1"/>
  <c r="AK137" i="19"/>
  <c r="AK138" i="19" s="1"/>
  <c r="W57" i="19"/>
  <c r="BC137" i="19"/>
  <c r="BC138" i="19" s="1"/>
  <c r="AW137" i="19"/>
  <c r="AW138" i="19" s="1"/>
  <c r="V157" i="19"/>
  <c r="C157" i="19"/>
  <c r="AY164" i="19"/>
  <c r="AP148" i="19"/>
  <c r="AZ147" i="19"/>
  <c r="BO7" i="19"/>
  <c r="BI155" i="19"/>
  <c r="AH147" i="19"/>
  <c r="AB147" i="19"/>
  <c r="W156" i="19"/>
  <c r="W138" i="19"/>
  <c r="W147" i="19" s="1"/>
  <c r="AK132" i="19"/>
  <c r="O146" i="19"/>
  <c r="O147" i="19" s="1"/>
  <c r="BE146" i="19"/>
  <c r="BE147" i="19" s="1"/>
  <c r="BF157" i="19"/>
  <c r="J146" i="19"/>
  <c r="J147" i="19" s="1"/>
  <c r="BB157" i="19"/>
  <c r="AK146" i="19"/>
  <c r="AA146" i="19"/>
  <c r="AT157" i="19"/>
  <c r="I146" i="19"/>
  <c r="I147" i="19" s="1"/>
  <c r="AC146" i="19"/>
  <c r="K146" i="19"/>
  <c r="C146" i="19"/>
  <c r="AN146" i="19"/>
  <c r="AN147" i="19" s="1"/>
  <c r="AW146" i="19"/>
  <c r="L157" i="19"/>
  <c r="P146" i="19"/>
  <c r="P147" i="19" s="1"/>
  <c r="D146" i="19"/>
  <c r="AS157" i="19"/>
  <c r="AJ157" i="19"/>
  <c r="AO146" i="19"/>
  <c r="AO147" i="19" s="1"/>
  <c r="BC146" i="19"/>
  <c r="Q146" i="19"/>
  <c r="Q147" i="19" s="1"/>
  <c r="AY146" i="19"/>
  <c r="F145" i="19"/>
  <c r="AG157" i="19"/>
  <c r="M145" i="19"/>
  <c r="W30" i="19"/>
  <c r="AQ132" i="19"/>
  <c r="AQ145" i="19"/>
  <c r="X145" i="19"/>
  <c r="AI157" i="19"/>
  <c r="AD145" i="19"/>
  <c r="AJ168" i="19" s="1"/>
  <c r="Y145" i="19"/>
  <c r="R145" i="19"/>
  <c r="AM157" i="19"/>
  <c r="AM162" i="19"/>
  <c r="AS162" i="19"/>
  <c r="BL73" i="77"/>
  <c r="BL84" i="77" s="1"/>
  <c r="AP30" i="19"/>
  <c r="AP33" i="19" s="1"/>
  <c r="BM75" i="77"/>
  <c r="AI30" i="19"/>
  <c r="AI33" i="19" s="1"/>
  <c r="BC132" i="19"/>
  <c r="U30" i="19"/>
  <c r="AB57" i="19"/>
  <c r="AB30" i="19"/>
  <c r="AB128" i="19" s="1"/>
  <c r="AE84" i="19"/>
  <c r="AE87" i="19" s="1"/>
  <c r="AE120" i="19" s="1"/>
  <c r="AK97" i="19"/>
  <c r="AK103" i="19" s="1"/>
  <c r="AK123" i="19" s="1"/>
  <c r="BC97" i="19"/>
  <c r="BC103" i="19" s="1"/>
  <c r="BC123" i="19" s="1"/>
  <c r="U57" i="19"/>
  <c r="AB327" i="18"/>
  <c r="AA327" i="18" s="1"/>
  <c r="AG57" i="19"/>
  <c r="BC54" i="19"/>
  <c r="G84" i="19"/>
  <c r="G87" i="19" s="1"/>
  <c r="G120" i="19" s="1"/>
  <c r="AI57" i="19"/>
  <c r="G131" i="19"/>
  <c r="G145" i="19" s="1"/>
  <c r="AH30" i="19"/>
  <c r="BC24" i="19"/>
  <c r="BC55" i="19"/>
  <c r="G50" i="19"/>
  <c r="BC27" i="19"/>
  <c r="BC30" i="19" s="1"/>
  <c r="G47" i="17"/>
  <c r="BI69" i="77"/>
  <c r="CF86" i="77"/>
  <c r="AE20" i="19"/>
  <c r="AE131" i="19"/>
  <c r="AE145" i="19" s="1"/>
  <c r="AZ57" i="19"/>
  <c r="AE50" i="19"/>
  <c r="S131" i="19"/>
  <c r="S145" i="19" s="1"/>
  <c r="AG340" i="18"/>
  <c r="AG451" i="18" s="1"/>
  <c r="BQ48" i="18"/>
  <c r="BR48" i="18" s="1"/>
  <c r="AQ447" i="18"/>
  <c r="V30" i="19"/>
  <c r="V105" i="19" s="1"/>
  <c r="V117" i="19" s="1"/>
  <c r="AQ97" i="19"/>
  <c r="AQ103" i="19" s="1"/>
  <c r="AQ123" i="19" s="1"/>
  <c r="S50" i="19"/>
  <c r="AH57" i="19"/>
  <c r="AQ27" i="19"/>
  <c r="AQ30" i="19" s="1"/>
  <c r="S20" i="19"/>
  <c r="S157" i="16" s="1"/>
  <c r="AQ54" i="19"/>
  <c r="V57" i="19"/>
  <c r="AQ24" i="19"/>
  <c r="BI42" i="19"/>
  <c r="AI386" i="18"/>
  <c r="AB328" i="18"/>
  <c r="AB341" i="18" s="1"/>
  <c r="EC52" i="18"/>
  <c r="BZ55" i="18"/>
  <c r="BN147" i="18"/>
  <c r="AI383" i="18"/>
  <c r="CA49" i="18"/>
  <c r="EB50" i="18"/>
  <c r="ED50" i="18"/>
  <c r="CA245" i="18"/>
  <c r="BO146" i="18"/>
  <c r="BQ146" i="18"/>
  <c r="BM147" i="18"/>
  <c r="BI177" i="18"/>
  <c r="BI190" i="18" s="1"/>
  <c r="AJ335" i="18"/>
  <c r="AJ446" i="18" s="1"/>
  <c r="BM89" i="18"/>
  <c r="BM374" i="18" s="1"/>
  <c r="BO245" i="18"/>
  <c r="BU245" i="18"/>
  <c r="U256" i="18"/>
  <c r="R10" i="77"/>
  <c r="BY240" i="18"/>
  <c r="BY270" i="18"/>
  <c r="BS39" i="18"/>
  <c r="BZ190" i="18"/>
  <c r="CF191" i="18"/>
  <c r="CG223" i="18"/>
  <c r="BX77" i="19"/>
  <c r="BX78" i="19"/>
  <c r="AW87" i="77"/>
  <c r="AE9" i="77"/>
  <c r="AE10" i="77" s="1"/>
  <c r="AK48" i="19"/>
  <c r="AQ55" i="19"/>
  <c r="Y9" i="77"/>
  <c r="Y10" i="77" s="1"/>
  <c r="G176" i="18"/>
  <c r="G174" i="18" s="1"/>
  <c r="U10" i="18"/>
  <c r="AK412" i="18"/>
  <c r="AK27" i="19"/>
  <c r="AK30" i="19" s="1"/>
  <c r="Y23" i="19"/>
  <c r="G23" i="19"/>
  <c r="BA102" i="18"/>
  <c r="BB103" i="18" s="1"/>
  <c r="BB102" i="18" s="1"/>
  <c r="C205" i="18"/>
  <c r="C225" i="18" s="1"/>
  <c r="AI94" i="77"/>
  <c r="AI31" i="77"/>
  <c r="AI18" i="77"/>
  <c r="AI45" i="77"/>
  <c r="AI114" i="77"/>
  <c r="AI16" i="77"/>
  <c r="BB86" i="77"/>
  <c r="BB87" i="77"/>
  <c r="BH86" i="77" s="1"/>
  <c r="BB61" i="77"/>
  <c r="R340" i="18"/>
  <c r="Q327" i="18"/>
  <c r="AW381" i="18"/>
  <c r="AW445" i="18"/>
  <c r="BU240" i="18"/>
  <c r="AQ248" i="18"/>
  <c r="AW248" i="18"/>
  <c r="AN452" i="18"/>
  <c r="AN388" i="18"/>
  <c r="V327" i="18"/>
  <c r="W340" i="18"/>
  <c r="I15" i="77"/>
  <c r="I20" i="77" s="1"/>
  <c r="AU64" i="77"/>
  <c r="AU65" i="77"/>
  <c r="AU67" i="77"/>
  <c r="BA86" i="77"/>
  <c r="BA87" i="77"/>
  <c r="BG86" i="77" s="1"/>
  <c r="BA61" i="77"/>
  <c r="AY252" i="18"/>
  <c r="AY282" i="18"/>
  <c r="AK60" i="18"/>
  <c r="AK14" i="77"/>
  <c r="AK18" i="77" s="1"/>
  <c r="K327" i="18"/>
  <c r="L340" i="18"/>
  <c r="AS445" i="18"/>
  <c r="AS381" i="18"/>
  <c r="AW106" i="18"/>
  <c r="AQ341" i="18"/>
  <c r="AM341" i="18"/>
  <c r="AM126" i="19"/>
  <c r="BC65" i="19"/>
  <c r="L55" i="19"/>
  <c r="AT126" i="19"/>
  <c r="AP126" i="19"/>
  <c r="BB126" i="19"/>
  <c r="AK21" i="18"/>
  <c r="M23" i="19"/>
  <c r="AU57" i="77"/>
  <c r="AO53" i="77"/>
  <c r="AU103" i="77"/>
  <c r="AU56" i="77"/>
  <c r="AW10" i="77"/>
  <c r="AM30" i="19"/>
  <c r="AQ65" i="19"/>
  <c r="AS126" i="19"/>
  <c r="AC8" i="19"/>
  <c r="AB8" i="48"/>
  <c r="L65" i="19"/>
  <c r="AJ126" i="19"/>
  <c r="AV126" i="19"/>
  <c r="AK24" i="19"/>
  <c r="AK54" i="19"/>
  <c r="BA126" i="19"/>
  <c r="AQ10" i="77"/>
  <c r="AK9" i="77"/>
  <c r="AM7" i="19"/>
  <c r="AG7" i="48"/>
  <c r="AK7" i="48"/>
  <c r="BS96" i="77"/>
  <c r="BS115" i="77"/>
  <c r="BT32" i="77"/>
  <c r="BW32" i="77" s="1"/>
  <c r="BK69" i="77"/>
  <c r="BH65" i="77"/>
  <c r="AZ7" i="77"/>
  <c r="BA7" i="77" s="1"/>
  <c r="BB7" i="77" s="1"/>
  <c r="BE7" i="77"/>
  <c r="BQ71" i="77"/>
  <c r="BM70" i="77"/>
  <c r="BL68" i="77"/>
  <c r="AS65" i="77"/>
  <c r="AW61" i="77"/>
  <c r="AS67" i="77"/>
  <c r="AS64" i="77"/>
  <c r="BO71" i="77"/>
  <c r="R48" i="77"/>
  <c r="BR11" i="48"/>
  <c r="AQ39" i="48"/>
  <c r="AQ53" i="48" s="1"/>
  <c r="AS54" i="48" s="1"/>
  <c r="AK65" i="17"/>
  <c r="AQ61" i="17" s="1"/>
  <c r="AK69" i="17"/>
  <c r="AK70" i="17"/>
  <c r="M47" i="17"/>
  <c r="M73" i="16" s="1"/>
  <c r="M54" i="17"/>
  <c r="M75" i="16" s="1"/>
  <c r="BI43" i="19"/>
  <c r="BI47" i="16" s="1"/>
  <c r="K56" i="17"/>
  <c r="BM78" i="17"/>
  <c r="BM41" i="19" s="1"/>
  <c r="AH8" i="17"/>
  <c r="AI8" i="17" s="1"/>
  <c r="AJ8" i="17" s="1"/>
  <c r="AM8" i="17"/>
  <c r="BL76" i="17"/>
  <c r="F55" i="17"/>
  <c r="F76" i="16" s="1"/>
  <c r="K30" i="18"/>
  <c r="AK338" i="18"/>
  <c r="AG338" i="18"/>
  <c r="AQ445" i="18"/>
  <c r="AQ381" i="18"/>
  <c r="L341" i="18"/>
  <c r="K328" i="18"/>
  <c r="BE334" i="18"/>
  <c r="BF321" i="18"/>
  <c r="AK341" i="18"/>
  <c r="AG341" i="18"/>
  <c r="AH447" i="18"/>
  <c r="AH383" i="18"/>
  <c r="AI453" i="18"/>
  <c r="AI389" i="18"/>
  <c r="W335" i="18"/>
  <c r="V322" i="18"/>
  <c r="BK271" i="18"/>
  <c r="BK241" i="18"/>
  <c r="BK39" i="18"/>
  <c r="V336" i="18"/>
  <c r="U323" i="18"/>
  <c r="AZ179" i="18"/>
  <c r="AZ587" i="18" s="1"/>
  <c r="AZ336" i="18"/>
  <c r="BF276" i="18"/>
  <c r="BF246" i="18"/>
  <c r="BF329" i="18"/>
  <c r="AH449" i="18"/>
  <c r="AH385" i="18"/>
  <c r="AB334" i="18"/>
  <c r="AA321" i="18"/>
  <c r="Q328" i="18"/>
  <c r="R341" i="18"/>
  <c r="BB445" i="18"/>
  <c r="BB381" i="18"/>
  <c r="AH452" i="18"/>
  <c r="AH388" i="18"/>
  <c r="AK336" i="18"/>
  <c r="AG336" i="18"/>
  <c r="AA336" i="18"/>
  <c r="AE336" i="18"/>
  <c r="AH342" i="18"/>
  <c r="AG329" i="18"/>
  <c r="BF322" i="18"/>
  <c r="AB320" i="18"/>
  <c r="AV185" i="18"/>
  <c r="AV342" i="18"/>
  <c r="AW163" i="18"/>
  <c r="AW342" i="18"/>
  <c r="BA150" i="18"/>
  <c r="BH54" i="18"/>
  <c r="BG53" i="18"/>
  <c r="K326" i="18"/>
  <c r="L339" i="18"/>
  <c r="K336" i="18"/>
  <c r="J323" i="18"/>
  <c r="AZ184" i="18"/>
  <c r="AZ592" i="18" s="1"/>
  <c r="BK57" i="18"/>
  <c r="BH56" i="18"/>
  <c r="BI56" i="18" s="1"/>
  <c r="BI57" i="18" s="1"/>
  <c r="AA322" i="18"/>
  <c r="AB335" i="18"/>
  <c r="AQ342" i="18"/>
  <c r="AM342" i="18"/>
  <c r="AM451" i="18"/>
  <c r="AM387" i="18"/>
  <c r="AK339" i="18"/>
  <c r="AG339" i="18"/>
  <c r="AV447" i="18"/>
  <c r="AV383" i="18"/>
  <c r="AS450" i="18"/>
  <c r="AS386" i="18"/>
  <c r="R334" i="18"/>
  <c r="Q321" i="18"/>
  <c r="W338" i="18"/>
  <c r="V325" i="18"/>
  <c r="BG326" i="18"/>
  <c r="R339" i="18"/>
  <c r="Q326" i="18"/>
  <c r="BN274" i="18"/>
  <c r="BN244" i="18"/>
  <c r="BO47" i="18"/>
  <c r="AQ235" i="18"/>
  <c r="AQ17" i="18"/>
  <c r="AW20" i="18"/>
  <c r="AQ232" i="18"/>
  <c r="AW235" i="18"/>
  <c r="AW17" i="18"/>
  <c r="BE271" i="18"/>
  <c r="BE241" i="18"/>
  <c r="BE39" i="18"/>
  <c r="AN453" i="18"/>
  <c r="AN389" i="18"/>
  <c r="AB324" i="18"/>
  <c r="M324" i="18"/>
  <c r="L324" i="18" s="1"/>
  <c r="R324" i="18"/>
  <c r="AH450" i="18"/>
  <c r="AH386" i="18"/>
  <c r="AO449" i="18"/>
  <c r="AO385" i="18"/>
  <c r="K321" i="18"/>
  <c r="L334" i="18"/>
  <c r="DM57" i="18"/>
  <c r="DM59" i="18" s="1"/>
  <c r="BA99" i="18"/>
  <c r="AQ154" i="18"/>
  <c r="AS154" i="18" s="1"/>
  <c r="AS416" i="18"/>
  <c r="BA160" i="18"/>
  <c r="Q336" i="18"/>
  <c r="P323" i="18"/>
  <c r="AY179" i="18"/>
  <c r="AY587" i="18" s="1"/>
  <c r="AY336" i="18"/>
  <c r="J144" i="18"/>
  <c r="J145" i="18" s="1"/>
  <c r="I145" i="18"/>
  <c r="AM385" i="18"/>
  <c r="AM449" i="18"/>
  <c r="AS451" i="18"/>
  <c r="AS387" i="18"/>
  <c r="W324" i="18"/>
  <c r="R320" i="18"/>
  <c r="M320" i="18"/>
  <c r="L320" i="18" s="1"/>
  <c r="AW239" i="18"/>
  <c r="AD141" i="18"/>
  <c r="AC142" i="18"/>
  <c r="R338" i="18"/>
  <c r="Q325" i="18"/>
  <c r="BG327" i="18"/>
  <c r="AG334" i="18"/>
  <c r="AK334" i="18"/>
  <c r="AP155" i="18"/>
  <c r="BF320" i="18"/>
  <c r="AQ229" i="18"/>
  <c r="AB338" i="18"/>
  <c r="AA325" i="18"/>
  <c r="BH325" i="18"/>
  <c r="AN148" i="18"/>
  <c r="AN149" i="18" s="1"/>
  <c r="AM149" i="18"/>
  <c r="AG324" i="18"/>
  <c r="BG269" i="18"/>
  <c r="L335" i="18"/>
  <c r="K322" i="18"/>
  <c r="BH269" i="18"/>
  <c r="W320" i="18"/>
  <c r="AY163" i="18"/>
  <c r="BL364" i="18"/>
  <c r="BM79" i="18"/>
  <c r="AC139" i="18"/>
  <c r="AD139" i="18" s="1"/>
  <c r="AB139" i="18"/>
  <c r="L28" i="18"/>
  <c r="L29" i="18" s="1"/>
  <c r="L30" i="18" s="1"/>
  <c r="L338" i="18"/>
  <c r="K325" i="18"/>
  <c r="AB339" i="18"/>
  <c r="AA326" i="18"/>
  <c r="AH445" i="18"/>
  <c r="AH381" i="18"/>
  <c r="BI173" i="18"/>
  <c r="BO6" i="18"/>
  <c r="X342" i="18"/>
  <c r="W329" i="18"/>
  <c r="BL241" i="18"/>
  <c r="BL271" i="18"/>
  <c r="AG335" i="18"/>
  <c r="AK335" i="18"/>
  <c r="W339" i="18"/>
  <c r="V326" i="18"/>
  <c r="AG320" i="18"/>
  <c r="AC342" i="18"/>
  <c r="AB329" i="18"/>
  <c r="R335" i="18"/>
  <c r="Q322" i="18"/>
  <c r="BG324" i="18"/>
  <c r="BF328" i="18"/>
  <c r="BC39" i="18"/>
  <c r="BC241" i="18"/>
  <c r="BF323" i="18"/>
  <c r="W341" i="18"/>
  <c r="V328" i="18"/>
  <c r="AM445" i="18"/>
  <c r="AM381" i="18"/>
  <c r="M329" i="18"/>
  <c r="L329" i="18" s="1"/>
  <c r="R329" i="18"/>
  <c r="AH446" i="18"/>
  <c r="AH382" i="18"/>
  <c r="BM271" i="18"/>
  <c r="BM241" i="18"/>
  <c r="BM39" i="18"/>
  <c r="AG173" i="18"/>
  <c r="AM7" i="18"/>
  <c r="AH7" i="18"/>
  <c r="W334" i="18"/>
  <c r="V321" i="18"/>
  <c r="AY288" i="18"/>
  <c r="AV10" i="18"/>
  <c r="AC30" i="19"/>
  <c r="AC57" i="19"/>
  <c r="AC158" i="16" s="1"/>
  <c r="AC159" i="16" s="1"/>
  <c r="AC160" i="16" s="1"/>
  <c r="F132" i="19"/>
  <c r="L30" i="19"/>
  <c r="L57" i="19"/>
  <c r="AD97" i="19"/>
  <c r="AD103" i="19" s="1"/>
  <c r="AD123" i="19" s="1"/>
  <c r="AD65" i="19"/>
  <c r="AD55" i="19"/>
  <c r="AD54" i="19"/>
  <c r="AD27" i="19"/>
  <c r="AD24" i="19"/>
  <c r="AJ65" i="19"/>
  <c r="AJ55" i="19"/>
  <c r="BB128" i="19"/>
  <c r="BB105" i="19"/>
  <c r="BB117" i="19" s="1"/>
  <c r="BB58" i="19"/>
  <c r="BB32" i="19"/>
  <c r="BB33" i="19"/>
  <c r="I30" i="19"/>
  <c r="I57" i="19"/>
  <c r="M97" i="19"/>
  <c r="M103" i="19" s="1"/>
  <c r="M123" i="19" s="1"/>
  <c r="M55" i="19"/>
  <c r="M54" i="19"/>
  <c r="M65" i="19"/>
  <c r="M27" i="19"/>
  <c r="M24" i="19"/>
  <c r="M57" i="16" s="1"/>
  <c r="AS128" i="19"/>
  <c r="AS105" i="19"/>
  <c r="AS117" i="19" s="1"/>
  <c r="AS58" i="19"/>
  <c r="AS32" i="19"/>
  <c r="AS33" i="19"/>
  <c r="R132" i="19"/>
  <c r="X97" i="19"/>
  <c r="X103" i="19" s="1"/>
  <c r="X123" i="19" s="1"/>
  <c r="X55" i="19"/>
  <c r="X65" i="19"/>
  <c r="X54" i="19"/>
  <c r="X24" i="19"/>
  <c r="X57" i="16" s="1"/>
  <c r="X27" i="19"/>
  <c r="AZ128" i="19"/>
  <c r="AZ105" i="19"/>
  <c r="AZ117" i="19" s="1"/>
  <c r="AZ58" i="19"/>
  <c r="AZ32" i="19"/>
  <c r="AZ33" i="19"/>
  <c r="AY30" i="19"/>
  <c r="AY57" i="19"/>
  <c r="AY158" i="16" s="1"/>
  <c r="AY159" i="16" s="1"/>
  <c r="AY160" i="16" s="1"/>
  <c r="M132" i="19"/>
  <c r="AV128" i="19"/>
  <c r="AV58" i="19"/>
  <c r="AV105" i="19"/>
  <c r="AV117" i="19" s="1"/>
  <c r="AV33" i="19"/>
  <c r="AV32" i="19"/>
  <c r="Y97" i="19"/>
  <c r="Y103" i="19" s="1"/>
  <c r="Y123" i="19" s="1"/>
  <c r="Y54" i="19"/>
  <c r="Y27" i="19"/>
  <c r="Y24" i="19"/>
  <c r="Y57" i="16" s="1"/>
  <c r="AW132" i="19"/>
  <c r="AO30" i="19"/>
  <c r="AO57" i="19"/>
  <c r="AO158" i="16" s="1"/>
  <c r="AO159" i="16" s="1"/>
  <c r="AO160" i="16" s="1"/>
  <c r="AH8" i="19"/>
  <c r="AM8" i="19"/>
  <c r="AT128" i="19"/>
  <c r="AT105" i="19"/>
  <c r="AT117" i="19" s="1"/>
  <c r="AT58" i="19"/>
  <c r="AT32" i="19"/>
  <c r="AT33" i="19"/>
  <c r="X132" i="19"/>
  <c r="BE30" i="19"/>
  <c r="BE57" i="19"/>
  <c r="Q30" i="19"/>
  <c r="Q57" i="19"/>
  <c r="P30" i="19"/>
  <c r="P57" i="19"/>
  <c r="AW97" i="19"/>
  <c r="AW103" i="19" s="1"/>
  <c r="AW123" i="19" s="1"/>
  <c r="AW65" i="19"/>
  <c r="AW54" i="19"/>
  <c r="AW27" i="19"/>
  <c r="AW24" i="19"/>
  <c r="AW55" i="19"/>
  <c r="E105" i="19"/>
  <c r="E117" i="19" s="1"/>
  <c r="E128" i="19"/>
  <c r="E58" i="19"/>
  <c r="E32" i="19"/>
  <c r="E33" i="19"/>
  <c r="AD132" i="19"/>
  <c r="AJ128" i="19"/>
  <c r="AJ105" i="19"/>
  <c r="AJ117" i="19" s="1"/>
  <c r="AJ58" i="19"/>
  <c r="AJ33" i="19"/>
  <c r="AJ32" i="19"/>
  <c r="O30" i="19"/>
  <c r="O57" i="19"/>
  <c r="AU128" i="19"/>
  <c r="AU105" i="19"/>
  <c r="AU117" i="19" s="1"/>
  <c r="AU33" i="19"/>
  <c r="AU58" i="19"/>
  <c r="AU32" i="19"/>
  <c r="AN30" i="19"/>
  <c r="AN57" i="19"/>
  <c r="AN158" i="16" s="1"/>
  <c r="AN159" i="16" s="1"/>
  <c r="AN160" i="16" s="1"/>
  <c r="F97" i="19"/>
  <c r="F103" i="19" s="1"/>
  <c r="F123" i="19" s="1"/>
  <c r="F24" i="19"/>
  <c r="F57" i="16" s="1"/>
  <c r="F27" i="19"/>
  <c r="F54" i="19"/>
  <c r="AG128" i="19"/>
  <c r="AG105" i="19"/>
  <c r="AG117" i="19" s="1"/>
  <c r="AG58" i="19"/>
  <c r="AG32" i="19"/>
  <c r="AG33" i="19"/>
  <c r="G97" i="19"/>
  <c r="G103" i="19" s="1"/>
  <c r="G123" i="19" s="1"/>
  <c r="G54" i="19"/>
  <c r="G24" i="19"/>
  <c r="G57" i="16" s="1"/>
  <c r="G27" i="19"/>
  <c r="Y132" i="19"/>
  <c r="AA30" i="19"/>
  <c r="AA57" i="19"/>
  <c r="AA158" i="16" s="1"/>
  <c r="AA159" i="16" s="1"/>
  <c r="AA160" i="16" s="1"/>
  <c r="D30" i="19"/>
  <c r="D57" i="19"/>
  <c r="J30" i="19"/>
  <c r="J57" i="19"/>
  <c r="R54" i="19"/>
  <c r="R65" i="19"/>
  <c r="R97" i="19"/>
  <c r="R103" i="19" s="1"/>
  <c r="R123" i="19" s="1"/>
  <c r="R55" i="19"/>
  <c r="R24" i="19"/>
  <c r="R57" i="16" s="1"/>
  <c r="R27" i="19"/>
  <c r="K30" i="19"/>
  <c r="K57" i="19"/>
  <c r="C30" i="19"/>
  <c r="C38" i="16" s="1"/>
  <c r="C57" i="19"/>
  <c r="CS210" i="18" l="1"/>
  <c r="L55" i="17"/>
  <c r="L76" i="16" s="1"/>
  <c r="F48" i="17"/>
  <c r="F49" i="17" s="1"/>
  <c r="F51" i="17" s="1"/>
  <c r="AU164" i="19"/>
  <c r="CA27" i="18"/>
  <c r="BA32" i="19"/>
  <c r="BA86" i="16" s="1"/>
  <c r="BA89" i="16" s="1"/>
  <c r="BG105" i="19"/>
  <c r="BG117" i="19" s="1"/>
  <c r="AZ105" i="18"/>
  <c r="AU157" i="19"/>
  <c r="AZ162" i="18"/>
  <c r="BA162" i="18" s="1"/>
  <c r="BA105" i="19"/>
  <c r="BA117" i="19" s="1"/>
  <c r="BG32" i="19"/>
  <c r="BG51" i="16" s="1"/>
  <c r="BG58" i="19"/>
  <c r="BA58" i="19"/>
  <c r="BG33" i="19"/>
  <c r="BG128" i="19"/>
  <c r="CL86" i="77"/>
  <c r="BZ240" i="18"/>
  <c r="CS27" i="18"/>
  <c r="CR85" i="77"/>
  <c r="CR87" i="77" s="1"/>
  <c r="CL87" i="77"/>
  <c r="CR191" i="18"/>
  <c r="BZ270" i="18"/>
  <c r="BZ25" i="18"/>
  <c r="CI71" i="18"/>
  <c r="CJ71" i="18" s="1"/>
  <c r="CK71" i="18" s="1"/>
  <c r="CL71" i="18" s="1"/>
  <c r="CS71" i="18"/>
  <c r="CO71" i="18" s="1"/>
  <c r="CP71" i="18" s="1"/>
  <c r="CQ71" i="18" s="1"/>
  <c r="CR71" i="18" s="1"/>
  <c r="AZ108" i="18"/>
  <c r="CA24" i="18"/>
  <c r="CA240" i="18" s="1"/>
  <c r="AZ164" i="19"/>
  <c r="CC24" i="18"/>
  <c r="BC263" i="18"/>
  <c r="BC16" i="18"/>
  <c r="CO189" i="18"/>
  <c r="BA128" i="19"/>
  <c r="C147" i="19"/>
  <c r="AZ232" i="18"/>
  <c r="BA181" i="16"/>
  <c r="BA52" i="16" s="1"/>
  <c r="AZ17" i="18"/>
  <c r="AZ235" i="18"/>
  <c r="AZ466" i="18"/>
  <c r="AZ471" i="18" s="1"/>
  <c r="AZ229" i="18"/>
  <c r="AV593" i="18"/>
  <c r="AZ402" i="18"/>
  <c r="AZ407" i="18" s="1"/>
  <c r="BB21" i="18"/>
  <c r="BB9" i="77"/>
  <c r="BB64" i="77" s="1"/>
  <c r="BF173" i="19"/>
  <c r="AK31" i="77"/>
  <c r="AK32" i="77" s="1"/>
  <c r="AU134" i="16"/>
  <c r="AU135" i="16" s="1"/>
  <c r="AU136" i="16" s="1"/>
  <c r="AU137" i="16" s="1"/>
  <c r="AU131" i="16" s="1"/>
  <c r="AU148" i="19"/>
  <c r="AW148" i="19" s="1"/>
  <c r="C165" i="19"/>
  <c r="AU180" i="16"/>
  <c r="AB164" i="19"/>
  <c r="AB165" i="19" s="1"/>
  <c r="AB166" i="19" s="1"/>
  <c r="J164" i="19"/>
  <c r="BA161" i="16"/>
  <c r="BK172" i="19"/>
  <c r="E56" i="19"/>
  <c r="AU161" i="16"/>
  <c r="BN75" i="77"/>
  <c r="F201" i="18"/>
  <c r="F205" i="18" s="1"/>
  <c r="F225" i="18" s="1"/>
  <c r="F265" i="18" s="1"/>
  <c r="F12" i="18"/>
  <c r="AK178" i="18"/>
  <c r="AG17" i="77"/>
  <c r="AH43" i="77"/>
  <c r="AH44" i="77" s="1"/>
  <c r="AG29" i="77"/>
  <c r="AG30" i="77" s="1"/>
  <c r="AG43" i="77"/>
  <c r="AG44" i="77" s="1"/>
  <c r="AJ29" i="77"/>
  <c r="AJ30" i="77" s="1"/>
  <c r="BA9" i="77"/>
  <c r="BA10" i="77" s="1"/>
  <c r="AH29" i="77"/>
  <c r="AH30" i="77" s="1"/>
  <c r="AJ17" i="77"/>
  <c r="AH17" i="77"/>
  <c r="AB157" i="19"/>
  <c r="BE173" i="19"/>
  <c r="AY147" i="19"/>
  <c r="AP157" i="19"/>
  <c r="AU126" i="19"/>
  <c r="K147" i="19"/>
  <c r="BE164" i="19"/>
  <c r="AD138" i="19"/>
  <c r="BK173" i="19"/>
  <c r="AZ157" i="19"/>
  <c r="AV167" i="19"/>
  <c r="AC147" i="19"/>
  <c r="AH164" i="19"/>
  <c r="AH157" i="19"/>
  <c r="AV157" i="19"/>
  <c r="AE157" i="16"/>
  <c r="BA157" i="19"/>
  <c r="I93" i="16"/>
  <c r="I98" i="16" s="1"/>
  <c r="AK114" i="77"/>
  <c r="AK94" i="77"/>
  <c r="M138" i="19"/>
  <c r="C148" i="19"/>
  <c r="C149" i="19" s="1"/>
  <c r="C158" i="16"/>
  <c r="C159" i="16" s="1"/>
  <c r="C160" i="16" s="1"/>
  <c r="K148" i="19"/>
  <c r="K149" i="19" s="1"/>
  <c r="K158" i="16"/>
  <c r="K159" i="16" s="1"/>
  <c r="K160" i="16" s="1"/>
  <c r="J148" i="19"/>
  <c r="J149" i="19" s="1"/>
  <c r="J158" i="16"/>
  <c r="J159" i="16" s="1"/>
  <c r="J160" i="16" s="1"/>
  <c r="D148" i="19"/>
  <c r="D149" i="19" s="1"/>
  <c r="D158" i="16"/>
  <c r="D159" i="16" s="1"/>
  <c r="D160" i="16" s="1"/>
  <c r="AA180" i="16"/>
  <c r="AA161" i="16"/>
  <c r="AA181" i="16"/>
  <c r="AA52" i="16" s="1"/>
  <c r="O148" i="19"/>
  <c r="O149" i="19" s="1"/>
  <c r="O158" i="16"/>
  <c r="O159" i="16" s="1"/>
  <c r="O160" i="16" s="1"/>
  <c r="P148" i="19"/>
  <c r="P149" i="19" s="1"/>
  <c r="P158" i="16"/>
  <c r="P159" i="16" s="1"/>
  <c r="P160" i="16" s="1"/>
  <c r="AO180" i="16"/>
  <c r="AO161" i="16"/>
  <c r="AO181" i="16"/>
  <c r="AO52" i="16" s="1"/>
  <c r="I148" i="19"/>
  <c r="I149" i="19" s="1"/>
  <c r="I158" i="16"/>
  <c r="I159" i="16" s="1"/>
  <c r="I160" i="16" s="1"/>
  <c r="L148" i="19"/>
  <c r="L149" i="19" s="1"/>
  <c r="L158" i="16"/>
  <c r="L159" i="16" s="1"/>
  <c r="L160" i="16" s="1"/>
  <c r="V148" i="19"/>
  <c r="V149" i="19" s="1"/>
  <c r="V158" i="16"/>
  <c r="V159" i="16" s="1"/>
  <c r="V160" i="16" s="1"/>
  <c r="AH134" i="16"/>
  <c r="AH135" i="16" s="1"/>
  <c r="AH136" i="16" s="1"/>
  <c r="AH137" i="16" s="1"/>
  <c r="AH131" i="16" s="1"/>
  <c r="AH158" i="16"/>
  <c r="AH159" i="16" s="1"/>
  <c r="AH160" i="16" s="1"/>
  <c r="AG134" i="16"/>
  <c r="AG135" i="16" s="1"/>
  <c r="AG136" i="16" s="1"/>
  <c r="AG137" i="16" s="1"/>
  <c r="AG131" i="16" s="1"/>
  <c r="AG158" i="16"/>
  <c r="AG159" i="16" s="1"/>
  <c r="AG160" i="16" s="1"/>
  <c r="U148" i="19"/>
  <c r="U149" i="19" s="1"/>
  <c r="U158" i="16"/>
  <c r="U159" i="16" s="1"/>
  <c r="U160" i="16" s="1"/>
  <c r="AB134" i="16"/>
  <c r="AB135" i="16" s="1"/>
  <c r="AB136" i="16" s="1"/>
  <c r="AB137" i="16" s="1"/>
  <c r="AB131" i="16" s="1"/>
  <c r="AB158" i="16"/>
  <c r="AB159" i="16" s="1"/>
  <c r="AB160" i="16" s="1"/>
  <c r="W148" i="19"/>
  <c r="W149" i="19" s="1"/>
  <c r="W158" i="16"/>
  <c r="W159" i="16" s="1"/>
  <c r="W160" i="16" s="1"/>
  <c r="BG158" i="16"/>
  <c r="BG159" i="16" s="1"/>
  <c r="BG160" i="16" s="1"/>
  <c r="E181" i="16"/>
  <c r="E52" i="16" s="1"/>
  <c r="E180" i="16"/>
  <c r="E161" i="16"/>
  <c r="AV181" i="16"/>
  <c r="AV52" i="16" s="1"/>
  <c r="AV180" i="16"/>
  <c r="AV161" i="16"/>
  <c r="AN180" i="16"/>
  <c r="AN161" i="16"/>
  <c r="AN181" i="16"/>
  <c r="AN52" i="16" s="1"/>
  <c r="Q148" i="19"/>
  <c r="Q149" i="19" s="1"/>
  <c r="Q158" i="16"/>
  <c r="Q159" i="16" s="1"/>
  <c r="Q160" i="16" s="1"/>
  <c r="BE134" i="16"/>
  <c r="BE135" i="16" s="1"/>
  <c r="BE136" i="16" s="1"/>
  <c r="BE137" i="16" s="1"/>
  <c r="BE131" i="16" s="1"/>
  <c r="BE158" i="16"/>
  <c r="BE159" i="16" s="1"/>
  <c r="BE160" i="16" s="1"/>
  <c r="AY180" i="16"/>
  <c r="AY161" i="16"/>
  <c r="AY181" i="16"/>
  <c r="AY52" i="16" s="1"/>
  <c r="AC180" i="16"/>
  <c r="AC181" i="16"/>
  <c r="AC52" i="16" s="1"/>
  <c r="AC161" i="16"/>
  <c r="AZ134" i="16"/>
  <c r="AZ135" i="16" s="1"/>
  <c r="AZ136" i="16" s="1"/>
  <c r="AZ137" i="16" s="1"/>
  <c r="AZ131" i="16" s="1"/>
  <c r="AZ158" i="16"/>
  <c r="AZ159" i="16" s="1"/>
  <c r="AZ160" i="16" s="1"/>
  <c r="AI134" i="16"/>
  <c r="AI135" i="16" s="1"/>
  <c r="AI136" i="16" s="1"/>
  <c r="AI137" i="16" s="1"/>
  <c r="AI131" i="16" s="1"/>
  <c r="AI158" i="16"/>
  <c r="AI159" i="16" s="1"/>
  <c r="AI160" i="16" s="1"/>
  <c r="BF134" i="16"/>
  <c r="BF135" i="16" s="1"/>
  <c r="BF136" i="16" s="1"/>
  <c r="BF137" i="16" s="1"/>
  <c r="BF131" i="16" s="1"/>
  <c r="BF158" i="16"/>
  <c r="BF159" i="16" s="1"/>
  <c r="BF160" i="16" s="1"/>
  <c r="BG126" i="19"/>
  <c r="BG148" i="19"/>
  <c r="BG152" i="19" s="1"/>
  <c r="Y156" i="19"/>
  <c r="BS40" i="18"/>
  <c r="BM40" i="18"/>
  <c r="BK40" i="18"/>
  <c r="BE40" i="18"/>
  <c r="BC40" i="18"/>
  <c r="F353" i="18"/>
  <c r="BF148" i="19"/>
  <c r="BG134" i="16"/>
  <c r="BG135" i="16" s="1"/>
  <c r="BG136" i="16" s="1"/>
  <c r="BG137" i="16" s="1"/>
  <c r="BG131" i="16" s="1"/>
  <c r="F138" i="19"/>
  <c r="G156" i="19"/>
  <c r="BN177" i="18"/>
  <c r="BN585" i="18" s="1"/>
  <c r="I176" i="18"/>
  <c r="I584" i="18" s="1"/>
  <c r="J176" i="18"/>
  <c r="G604" i="18"/>
  <c r="BM177" i="18"/>
  <c r="BM585" i="18" s="1"/>
  <c r="AP167" i="19"/>
  <c r="D147" i="19"/>
  <c r="AA147" i="19"/>
  <c r="CA55" i="18"/>
  <c r="CC55" i="18"/>
  <c r="G108" i="16"/>
  <c r="Y112" i="16"/>
  <c r="Y115" i="16" s="1"/>
  <c r="G55" i="17"/>
  <c r="G76" i="16" s="1"/>
  <c r="L165" i="19"/>
  <c r="AI168" i="19"/>
  <c r="V165" i="19"/>
  <c r="AI165" i="19"/>
  <c r="P168" i="19"/>
  <c r="AT168" i="19"/>
  <c r="G73" i="16"/>
  <c r="U115" i="16"/>
  <c r="U116" i="16"/>
  <c r="Y116" i="16" s="1"/>
  <c r="BQ121" i="16"/>
  <c r="BQ113" i="16"/>
  <c r="BQ96" i="16"/>
  <c r="BM176" i="16"/>
  <c r="G109" i="16"/>
  <c r="M100" i="16"/>
  <c r="I100" i="16"/>
  <c r="BM144" i="16"/>
  <c r="BF126" i="19"/>
  <c r="L168" i="19"/>
  <c r="X156" i="19"/>
  <c r="X164" i="19" s="1"/>
  <c r="AP164" i="19"/>
  <c r="AG168" i="19"/>
  <c r="O168" i="19"/>
  <c r="AK55" i="16"/>
  <c r="AK57" i="16"/>
  <c r="AA134" i="16"/>
  <c r="AA135" i="16" s="1"/>
  <c r="AA136" i="16" s="1"/>
  <c r="AA137" i="16" s="1"/>
  <c r="AA131" i="16" s="1"/>
  <c r="AJ86" i="16"/>
  <c r="AJ89" i="16" s="1"/>
  <c r="AJ50" i="16"/>
  <c r="AJ51" i="16"/>
  <c r="R156" i="19"/>
  <c r="F135" i="16"/>
  <c r="F136" i="16" s="1"/>
  <c r="F137" i="16" s="1"/>
  <c r="Q164" i="19"/>
  <c r="AC168" i="19"/>
  <c r="BG164" i="19"/>
  <c r="BM172" i="19"/>
  <c r="BG157" i="19"/>
  <c r="BG173" i="19"/>
  <c r="C37" i="16"/>
  <c r="AS86" i="16"/>
  <c r="AS50" i="16"/>
  <c r="AS51" i="16"/>
  <c r="AE56" i="16"/>
  <c r="AE133" i="16"/>
  <c r="F164" i="19"/>
  <c r="AA168" i="19"/>
  <c r="S137" i="19"/>
  <c r="S138" i="19" s="1"/>
  <c r="S133" i="16"/>
  <c r="AW55" i="16"/>
  <c r="AW57" i="16"/>
  <c r="AV86" i="16"/>
  <c r="AV89" i="16" s="1"/>
  <c r="AV50" i="16"/>
  <c r="AV51" i="16"/>
  <c r="U164" i="19"/>
  <c r="AV164" i="19"/>
  <c r="AY148" i="19"/>
  <c r="AY134" i="16"/>
  <c r="AY135" i="16" s="1"/>
  <c r="AY136" i="16" s="1"/>
  <c r="AY137" i="16" s="1"/>
  <c r="AY131" i="16" s="1"/>
  <c r="BA164" i="19"/>
  <c r="M164" i="19"/>
  <c r="AN148" i="19"/>
  <c r="AN134" i="16"/>
  <c r="AN135" i="16" s="1"/>
  <c r="AN136" i="16" s="1"/>
  <c r="AN137" i="16" s="1"/>
  <c r="AN131" i="16" s="1"/>
  <c r="AO148" i="19"/>
  <c r="AO134" i="16"/>
  <c r="AO135" i="16" s="1"/>
  <c r="AO136" i="16" s="1"/>
  <c r="AO137" i="16" s="1"/>
  <c r="AO131" i="16" s="1"/>
  <c r="AZ86" i="16"/>
  <c r="AZ89" i="16" s="1"/>
  <c r="AZ50" i="16"/>
  <c r="AZ51" i="16"/>
  <c r="AD55" i="16"/>
  <c r="AD57" i="16"/>
  <c r="AQ55" i="16"/>
  <c r="AQ57" i="16"/>
  <c r="I164" i="19"/>
  <c r="AG86" i="16"/>
  <c r="AG50" i="16"/>
  <c r="AG51" i="16"/>
  <c r="E86" i="16"/>
  <c r="E89" i="16" s="1"/>
  <c r="E50" i="16"/>
  <c r="E51" i="16"/>
  <c r="AC134" i="16"/>
  <c r="AC135" i="16" s="1"/>
  <c r="AC136" i="16" s="1"/>
  <c r="AC137" i="16" s="1"/>
  <c r="AC131" i="16" s="1"/>
  <c r="BC55" i="16"/>
  <c r="BC57" i="16"/>
  <c r="AU86" i="16"/>
  <c r="AU89" i="16" s="1"/>
  <c r="AU50" i="16"/>
  <c r="AU51" i="16"/>
  <c r="AT86" i="16"/>
  <c r="AT89" i="16" s="1"/>
  <c r="AT50" i="16"/>
  <c r="AT51" i="16"/>
  <c r="BB86" i="16"/>
  <c r="BB89" i="16" s="1"/>
  <c r="BB50" i="16"/>
  <c r="BB51" i="16"/>
  <c r="AG165" i="19"/>
  <c r="AD164" i="19"/>
  <c r="V168" i="19"/>
  <c r="K168" i="19"/>
  <c r="BF33" i="19"/>
  <c r="BF58" i="19"/>
  <c r="E56" i="17"/>
  <c r="BF32" i="19"/>
  <c r="BF105" i="19"/>
  <c r="BF117" i="19" s="1"/>
  <c r="G49" i="17"/>
  <c r="I48" i="17" s="1"/>
  <c r="AW156" i="19"/>
  <c r="AQ156" i="19"/>
  <c r="W33" i="19"/>
  <c r="AM164" i="19"/>
  <c r="AK156" i="19"/>
  <c r="AY168" i="19"/>
  <c r="AE137" i="19"/>
  <c r="AE138" i="19" s="1"/>
  <c r="BC156" i="19"/>
  <c r="AH148" i="19"/>
  <c r="AH149" i="19" s="1"/>
  <c r="AZ126" i="19"/>
  <c r="AZ148" i="19"/>
  <c r="AW147" i="19"/>
  <c r="AC148" i="19"/>
  <c r="AC149" i="19" s="1"/>
  <c r="BC147" i="19"/>
  <c r="AM167" i="19"/>
  <c r="BE148" i="19"/>
  <c r="AG148" i="19"/>
  <c r="BU7" i="19"/>
  <c r="BO155" i="19"/>
  <c r="AM8" i="48"/>
  <c r="AM155" i="19"/>
  <c r="AI148" i="19"/>
  <c r="AI149" i="19" s="1"/>
  <c r="AK147" i="19"/>
  <c r="W164" i="19"/>
  <c r="W157" i="19"/>
  <c r="AB148" i="19"/>
  <c r="AB149" i="19" s="1"/>
  <c r="AY167" i="19"/>
  <c r="AS167" i="19"/>
  <c r="AS164" i="19"/>
  <c r="AA148" i="19"/>
  <c r="AA149" i="19" s="1"/>
  <c r="AM158" i="19"/>
  <c r="AS158" i="19"/>
  <c r="AJ165" i="19"/>
  <c r="BF165" i="19"/>
  <c r="AV152" i="19"/>
  <c r="AT152" i="19"/>
  <c r="AT149" i="19"/>
  <c r="R146" i="19"/>
  <c r="R147" i="19" s="1"/>
  <c r="G146" i="19"/>
  <c r="G147" i="19" s="1"/>
  <c r="BE157" i="19"/>
  <c r="Y146" i="19"/>
  <c r="Y147" i="19" s="1"/>
  <c r="D165" i="19"/>
  <c r="D157" i="19"/>
  <c r="AA157" i="19"/>
  <c r="X146" i="19"/>
  <c r="X147" i="19" s="1"/>
  <c r="AP105" i="19"/>
  <c r="AP117" i="19" s="1"/>
  <c r="S146" i="19"/>
  <c r="P157" i="19"/>
  <c r="BB165" i="19"/>
  <c r="F146" i="19"/>
  <c r="AE146" i="19"/>
  <c r="I157" i="19"/>
  <c r="AV149" i="19"/>
  <c r="AD146" i="19"/>
  <c r="AO157" i="19"/>
  <c r="AN157" i="19"/>
  <c r="M146" i="19"/>
  <c r="Q157" i="19"/>
  <c r="O157" i="19"/>
  <c r="AQ146" i="19"/>
  <c r="AQ147" i="19" s="1"/>
  <c r="AC157" i="19"/>
  <c r="AT165" i="19"/>
  <c r="J157" i="19"/>
  <c r="AP58" i="19"/>
  <c r="AY157" i="19"/>
  <c r="K157" i="19"/>
  <c r="AP152" i="19"/>
  <c r="AM152" i="19"/>
  <c r="AI105" i="19"/>
  <c r="AI117" i="19" s="1"/>
  <c r="AW162" i="19"/>
  <c r="W105" i="19"/>
  <c r="W117" i="19" s="1"/>
  <c r="AI58" i="19"/>
  <c r="W128" i="19"/>
  <c r="AI66" i="19"/>
  <c r="W58" i="19"/>
  <c r="W32" i="19"/>
  <c r="AP128" i="19"/>
  <c r="U128" i="19"/>
  <c r="AB105" i="19"/>
  <c r="AB117" i="19" s="1"/>
  <c r="AN162" i="19"/>
  <c r="AP32" i="19"/>
  <c r="AO162" i="19"/>
  <c r="BM66" i="77"/>
  <c r="BM73" i="77"/>
  <c r="BM84" i="77" s="1"/>
  <c r="AI128" i="19"/>
  <c r="S132" i="19"/>
  <c r="AI32" i="19"/>
  <c r="U58" i="19"/>
  <c r="U32" i="19"/>
  <c r="U33" i="19"/>
  <c r="U152" i="19" s="1"/>
  <c r="U105" i="19"/>
  <c r="U117" i="19" s="1"/>
  <c r="AB32" i="19"/>
  <c r="AB33" i="19"/>
  <c r="AB58" i="19"/>
  <c r="AB340" i="18"/>
  <c r="AH33" i="19"/>
  <c r="AH128" i="19"/>
  <c r="BC57" i="19"/>
  <c r="BC158" i="16" s="1"/>
  <c r="BC159" i="16" s="1"/>
  <c r="BC160" i="16" s="1"/>
  <c r="G132" i="19"/>
  <c r="AH58" i="19"/>
  <c r="AH32" i="19"/>
  <c r="AH105" i="19"/>
  <c r="AH117" i="19" s="1"/>
  <c r="AE97" i="19"/>
  <c r="AE103" i="19" s="1"/>
  <c r="AE123" i="19" s="1"/>
  <c r="AK55" i="19"/>
  <c r="S24" i="19"/>
  <c r="S27" i="19"/>
  <c r="S126" i="19" s="1"/>
  <c r="S134" i="16" s="1"/>
  <c r="S55" i="19"/>
  <c r="S97" i="19"/>
  <c r="S103" i="19" s="1"/>
  <c r="S123" i="19" s="1"/>
  <c r="S54" i="19"/>
  <c r="S65" i="19"/>
  <c r="Y55" i="19"/>
  <c r="Y65" i="19"/>
  <c r="V128" i="19"/>
  <c r="BR32" i="17"/>
  <c r="AE27" i="19"/>
  <c r="AE126" i="19" s="1"/>
  <c r="AD126" i="19" s="1"/>
  <c r="AG387" i="18"/>
  <c r="BQ47" i="18"/>
  <c r="BQ274" i="18" s="1"/>
  <c r="AE54" i="19"/>
  <c r="AE65" i="19"/>
  <c r="AE132" i="19"/>
  <c r="AE55" i="19"/>
  <c r="AE24" i="19"/>
  <c r="AK65" i="19"/>
  <c r="V33" i="19"/>
  <c r="V32" i="19"/>
  <c r="V58" i="19"/>
  <c r="AQ57" i="19"/>
  <c r="AQ158" i="16" s="1"/>
  <c r="AQ159" i="16" s="1"/>
  <c r="AQ160" i="16" s="1"/>
  <c r="AM58" i="19"/>
  <c r="AM33" i="19"/>
  <c r="AK57" i="19"/>
  <c r="AK158" i="16" s="1"/>
  <c r="AK159" i="16" s="1"/>
  <c r="AK160" i="16" s="1"/>
  <c r="BW115" i="77"/>
  <c r="BW96" i="77"/>
  <c r="BX32" i="77"/>
  <c r="AA328" i="18"/>
  <c r="AA341" i="18" s="1"/>
  <c r="ED52" i="18"/>
  <c r="AJ382" i="18"/>
  <c r="BO147" i="18"/>
  <c r="EE50" i="18"/>
  <c r="CE49" i="18"/>
  <c r="EG50" i="18" s="1"/>
  <c r="CF49" i="18"/>
  <c r="CD49" i="18"/>
  <c r="BQ147" i="18"/>
  <c r="BR146" i="18"/>
  <c r="BI39" i="18"/>
  <c r="BN89" i="18"/>
  <c r="BN374" i="18" s="1"/>
  <c r="BO374" i="18" s="1"/>
  <c r="BI241" i="18"/>
  <c r="G201" i="18"/>
  <c r="G205" i="18" s="1"/>
  <c r="G225" i="18" s="1"/>
  <c r="BS241" i="18"/>
  <c r="BR241" i="18"/>
  <c r="CC190" i="18"/>
  <c r="CD190" i="18" s="1"/>
  <c r="BS271" i="18"/>
  <c r="BR39" i="18"/>
  <c r="AE11" i="77"/>
  <c r="AE19" i="77" s="1"/>
  <c r="BY78" i="19"/>
  <c r="BY77" i="19"/>
  <c r="Y11" i="77"/>
  <c r="Y19" i="77" s="1"/>
  <c r="AM105" i="19"/>
  <c r="AM117" i="19" s="1"/>
  <c r="AM32" i="19"/>
  <c r="AM128" i="19"/>
  <c r="G353" i="18"/>
  <c r="M30" i="18"/>
  <c r="G12" i="18"/>
  <c r="E265" i="18"/>
  <c r="D265" i="18"/>
  <c r="BO57" i="17"/>
  <c r="BO78" i="17" s="1"/>
  <c r="BF269" i="18"/>
  <c r="AE139" i="18"/>
  <c r="BC103" i="18"/>
  <c r="BH53" i="18"/>
  <c r="AQ388" i="18"/>
  <c r="AQ452" i="18"/>
  <c r="J327" i="18"/>
  <c r="K340" i="18"/>
  <c r="BA67" i="77"/>
  <c r="BG62" i="77" s="1"/>
  <c r="BA62" i="77"/>
  <c r="BA65" i="77"/>
  <c r="I22" i="77"/>
  <c r="J15" i="77"/>
  <c r="J20" i="77" s="1"/>
  <c r="AI17" i="77"/>
  <c r="AI43" i="77"/>
  <c r="AI29" i="77"/>
  <c r="AM452" i="18"/>
  <c r="AM388" i="18"/>
  <c r="AA340" i="18"/>
  <c r="AE340" i="18"/>
  <c r="U327" i="18"/>
  <c r="V340" i="18"/>
  <c r="Q340" i="18"/>
  <c r="P327" i="18"/>
  <c r="BB65" i="77"/>
  <c r="BB67" i="77"/>
  <c r="BH62" i="77" s="1"/>
  <c r="BB62" i="77"/>
  <c r="AN126" i="19"/>
  <c r="AU34" i="19"/>
  <c r="AU10" i="17"/>
  <c r="AU26" i="17" s="1"/>
  <c r="AU74" i="16" s="1"/>
  <c r="AJ34" i="19"/>
  <c r="AJ10" i="17"/>
  <c r="AJ26" i="17" s="1"/>
  <c r="AJ74" i="16" s="1"/>
  <c r="E152" i="19"/>
  <c r="AO126" i="19"/>
  <c r="AV34" i="19"/>
  <c r="AV10" i="17"/>
  <c r="AV26" i="17" s="1"/>
  <c r="AV74" i="16" s="1"/>
  <c r="AY126" i="19"/>
  <c r="BB34" i="19"/>
  <c r="BB10" i="17"/>
  <c r="BB26" i="17" s="1"/>
  <c r="BB74" i="16" s="1"/>
  <c r="AQ21" i="18"/>
  <c r="AK10" i="77"/>
  <c r="AK11" i="77"/>
  <c r="AD8" i="19"/>
  <c r="AD8" i="48" s="1"/>
  <c r="AC8" i="48"/>
  <c r="AW11" i="77"/>
  <c r="BA53" i="77"/>
  <c r="AU58" i="77"/>
  <c r="AG34" i="19"/>
  <c r="AG10" i="17"/>
  <c r="E34" i="19"/>
  <c r="BE126" i="19"/>
  <c r="AT34" i="19"/>
  <c r="AT10" i="17"/>
  <c r="AT26" i="17" s="1"/>
  <c r="AT74" i="16" s="1"/>
  <c r="AI8" i="19"/>
  <c r="AH8" i="48"/>
  <c r="AZ34" i="19"/>
  <c r="AZ10" i="17"/>
  <c r="AZ26" i="17" s="1"/>
  <c r="AZ74" i="16" s="1"/>
  <c r="AS34" i="19"/>
  <c r="AS10" i="17"/>
  <c r="AS7" i="19"/>
  <c r="AM7" i="48"/>
  <c r="AQ7" i="48"/>
  <c r="AQ11" i="77"/>
  <c r="AO103" i="77"/>
  <c r="AO56" i="77"/>
  <c r="AO57" i="77"/>
  <c r="AU54" i="77" s="1"/>
  <c r="BK7" i="77"/>
  <c r="BF7" i="77"/>
  <c r="BG7" i="77" s="1"/>
  <c r="BH7" i="77" s="1"/>
  <c r="AW64" i="77"/>
  <c r="AW65" i="77"/>
  <c r="BT115" i="77"/>
  <c r="BT96" i="77"/>
  <c r="S48" i="77"/>
  <c r="U48" i="77" s="1"/>
  <c r="BR71" i="77"/>
  <c r="BL61" i="77"/>
  <c r="BN70" i="77"/>
  <c r="BO70" i="77" s="1"/>
  <c r="BM68" i="77"/>
  <c r="AW67" i="77"/>
  <c r="BO56" i="48"/>
  <c r="BS11" i="48"/>
  <c r="BO19" i="48"/>
  <c r="M55" i="17"/>
  <c r="M76" i="16" s="1"/>
  <c r="F56" i="17"/>
  <c r="AN8" i="17"/>
  <c r="AO8" i="17" s="1"/>
  <c r="AP8" i="17" s="1"/>
  <c r="AS8" i="17"/>
  <c r="BN78" i="17"/>
  <c r="BN41" i="19" s="1"/>
  <c r="BQ43" i="48"/>
  <c r="BM76" i="17"/>
  <c r="AQ70" i="17"/>
  <c r="AQ69" i="17"/>
  <c r="AQ65" i="17"/>
  <c r="AW61" i="17" s="1"/>
  <c r="BO22" i="17"/>
  <c r="AN178" i="18"/>
  <c r="AN335" i="18"/>
  <c r="BE103" i="18"/>
  <c r="BE102" i="18" s="1"/>
  <c r="BC102" i="18"/>
  <c r="R342" i="18"/>
  <c r="Q329" i="18"/>
  <c r="AB342" i="18"/>
  <c r="AA329" i="18"/>
  <c r="V320" i="18"/>
  <c r="BB150" i="18"/>
  <c r="V334" i="18"/>
  <c r="U321" i="18"/>
  <c r="K329" i="18"/>
  <c r="L342" i="18"/>
  <c r="BG328" i="18"/>
  <c r="AA338" i="18"/>
  <c r="AE338" i="18"/>
  <c r="U326" i="18"/>
  <c r="V339" i="18"/>
  <c r="AY185" i="18"/>
  <c r="AY342" i="18"/>
  <c r="BI325" i="18"/>
  <c r="BK325" i="18" s="1"/>
  <c r="AP181" i="18"/>
  <c r="AP338" i="18"/>
  <c r="AQ338" i="18"/>
  <c r="AQ155" i="18"/>
  <c r="AA324" i="18"/>
  <c r="AW21" i="18"/>
  <c r="BA151" i="18"/>
  <c r="V335" i="18"/>
  <c r="U322" i="18"/>
  <c r="AK445" i="18"/>
  <c r="AK381" i="18"/>
  <c r="K335" i="18"/>
  <c r="J322" i="18"/>
  <c r="AG445" i="18"/>
  <c r="AG381" i="18"/>
  <c r="Q320" i="18"/>
  <c r="Q339" i="18"/>
  <c r="P326" i="18"/>
  <c r="AG447" i="18"/>
  <c r="AG383" i="18"/>
  <c r="BK269" i="18"/>
  <c r="AG382" i="18"/>
  <c r="AG446" i="18"/>
  <c r="AA339" i="18"/>
  <c r="AE339" i="18"/>
  <c r="BH327" i="18"/>
  <c r="V324" i="18"/>
  <c r="BB160" i="18"/>
  <c r="BA161" i="18"/>
  <c r="AG450" i="18"/>
  <c r="AG386" i="18"/>
  <c r="AM453" i="18"/>
  <c r="AM389" i="18"/>
  <c r="BR47" i="18"/>
  <c r="BS48" i="18"/>
  <c r="BG322" i="18"/>
  <c r="AK447" i="18"/>
  <c r="AK383" i="18"/>
  <c r="AK452" i="18"/>
  <c r="AK388" i="18"/>
  <c r="AG449" i="18"/>
  <c r="AG385" i="18"/>
  <c r="AH173" i="18"/>
  <c r="AI7" i="18"/>
  <c r="O28" i="18"/>
  <c r="M28" i="18"/>
  <c r="AM178" i="18"/>
  <c r="AM335" i="18"/>
  <c r="AD142" i="18"/>
  <c r="AG141" i="18"/>
  <c r="AH141" i="18"/>
  <c r="AE141" i="18"/>
  <c r="K144" i="18"/>
  <c r="K145" i="18" s="1"/>
  <c r="K334" i="18"/>
  <c r="J321" i="18"/>
  <c r="Q324" i="18"/>
  <c r="R337" i="18"/>
  <c r="AQ453" i="18"/>
  <c r="AQ389" i="18"/>
  <c r="Q341" i="18"/>
  <c r="P328" i="18"/>
  <c r="BG329" i="18"/>
  <c r="AZ447" i="18"/>
  <c r="AZ383" i="18"/>
  <c r="BG321" i="18"/>
  <c r="BF334" i="18"/>
  <c r="AK449" i="18"/>
  <c r="AK385" i="18"/>
  <c r="V341" i="18"/>
  <c r="U328" i="18"/>
  <c r="K320" i="18"/>
  <c r="BA281" i="18"/>
  <c r="AA320" i="18"/>
  <c r="AY447" i="18"/>
  <c r="AY383" i="18"/>
  <c r="L337" i="18"/>
  <c r="K324" i="18"/>
  <c r="BE269" i="18"/>
  <c r="BH326" i="18"/>
  <c r="BK56" i="18"/>
  <c r="BL57" i="18"/>
  <c r="J326" i="18"/>
  <c r="K339" i="18"/>
  <c r="AW453" i="18"/>
  <c r="AW389" i="18"/>
  <c r="AE334" i="18"/>
  <c r="AA334" i="18"/>
  <c r="M29" i="18"/>
  <c r="BG323" i="18"/>
  <c r="BL269" i="18"/>
  <c r="BM364" i="18"/>
  <c r="BN79" i="18"/>
  <c r="BO79" i="18" s="1"/>
  <c r="BG320" i="18"/>
  <c r="AE335" i="18"/>
  <c r="AA335" i="18"/>
  <c r="BG246" i="18"/>
  <c r="BG276" i="18"/>
  <c r="AG342" i="18"/>
  <c r="AK342" i="18"/>
  <c r="Y336" i="18"/>
  <c r="U336" i="18"/>
  <c r="BE445" i="18"/>
  <c r="BE381" i="18"/>
  <c r="BC239" i="18"/>
  <c r="V329" i="18"/>
  <c r="W342" i="18"/>
  <c r="K338" i="18"/>
  <c r="J325" i="18"/>
  <c r="P325" i="18"/>
  <c r="Q338" i="18"/>
  <c r="P336" i="18"/>
  <c r="O323" i="18"/>
  <c r="P321" i="18"/>
  <c r="Q334" i="18"/>
  <c r="AK446" i="18"/>
  <c r="AK382" i="18"/>
  <c r="J336" i="18"/>
  <c r="I323" i="18"/>
  <c r="AG452" i="18"/>
  <c r="AG388" i="18"/>
  <c r="AM173" i="18"/>
  <c r="AN7" i="18"/>
  <c r="AS7" i="18"/>
  <c r="BH324" i="18"/>
  <c r="BM269" i="18"/>
  <c r="Q335" i="18"/>
  <c r="P322" i="18"/>
  <c r="BO173" i="18"/>
  <c r="BU6" i="18"/>
  <c r="AO148" i="18"/>
  <c r="AS155" i="18"/>
  <c r="AT154" i="18"/>
  <c r="AT416" i="18"/>
  <c r="BO274" i="18"/>
  <c r="BO244" i="18"/>
  <c r="BO48" i="18"/>
  <c r="V338" i="18"/>
  <c r="U325" i="18"/>
  <c r="AZ452" i="18"/>
  <c r="AZ388" i="18"/>
  <c r="AV453" i="18"/>
  <c r="AV389" i="18"/>
  <c r="AH453" i="18"/>
  <c r="AH389" i="18"/>
  <c r="K341" i="18"/>
  <c r="J328" i="18"/>
  <c r="DN57" i="18"/>
  <c r="BB99" i="18"/>
  <c r="BB281" i="18" s="1"/>
  <c r="K128" i="19"/>
  <c r="K58" i="19"/>
  <c r="K105" i="19"/>
  <c r="K117" i="19" s="1"/>
  <c r="K33" i="19"/>
  <c r="K32" i="19"/>
  <c r="Q128" i="19"/>
  <c r="Q105" i="19"/>
  <c r="Q117" i="19" s="1"/>
  <c r="Q58" i="19"/>
  <c r="Q33" i="19"/>
  <c r="Q32" i="19"/>
  <c r="AK105" i="19"/>
  <c r="AK117" i="19" s="1"/>
  <c r="AK32" i="19"/>
  <c r="AK58" i="19"/>
  <c r="AK33" i="19"/>
  <c r="AK128" i="19"/>
  <c r="M126" i="19"/>
  <c r="M30" i="19"/>
  <c r="M57" i="19"/>
  <c r="M158" i="16" s="1"/>
  <c r="M159" i="16" s="1"/>
  <c r="M160" i="16" s="1"/>
  <c r="AY128" i="19"/>
  <c r="AY58" i="19"/>
  <c r="AY33" i="19"/>
  <c r="BC33" i="19" s="1"/>
  <c r="AY32" i="19"/>
  <c r="AY105" i="19"/>
  <c r="AY117" i="19" s="1"/>
  <c r="AZ67" i="19"/>
  <c r="I128" i="19"/>
  <c r="I105" i="19"/>
  <c r="I117" i="19" s="1"/>
  <c r="I58" i="19"/>
  <c r="I32" i="19"/>
  <c r="I33" i="19"/>
  <c r="AG152" i="19"/>
  <c r="AP67" i="19"/>
  <c r="AA128" i="19"/>
  <c r="AA105" i="19"/>
  <c r="AA117" i="19" s="1"/>
  <c r="AA58" i="19"/>
  <c r="AA33" i="19"/>
  <c r="AA32" i="19"/>
  <c r="AJ152" i="19"/>
  <c r="R30" i="19"/>
  <c r="R57" i="19"/>
  <c r="AO128" i="19"/>
  <c r="AO105" i="19"/>
  <c r="AO117" i="19" s="1"/>
  <c r="AO58" i="19"/>
  <c r="AO32" i="19"/>
  <c r="AO33" i="19"/>
  <c r="AU67" i="19" s="1"/>
  <c r="X30" i="19"/>
  <c r="X57" i="19"/>
  <c r="AD30" i="19"/>
  <c r="AD57" i="19"/>
  <c r="AD158" i="16" s="1"/>
  <c r="AD159" i="16" s="1"/>
  <c r="AD160" i="16" s="1"/>
  <c r="D128" i="19"/>
  <c r="D105" i="19"/>
  <c r="D117" i="19" s="1"/>
  <c r="D58" i="19"/>
  <c r="D33" i="19"/>
  <c r="D32" i="19"/>
  <c r="F30" i="19"/>
  <c r="F57" i="19"/>
  <c r="AN105" i="19"/>
  <c r="AN117" i="19" s="1"/>
  <c r="AN128" i="19"/>
  <c r="AN58" i="19"/>
  <c r="AN32" i="19"/>
  <c r="AN33" i="19"/>
  <c r="AT67" i="19" s="1"/>
  <c r="AW30" i="19"/>
  <c r="AW57" i="19"/>
  <c r="AW158" i="16" s="1"/>
  <c r="AW159" i="16" s="1"/>
  <c r="AW160" i="16" s="1"/>
  <c r="AV67" i="19"/>
  <c r="BA67" i="19"/>
  <c r="O105" i="19"/>
  <c r="O117" i="19" s="1"/>
  <c r="O128" i="19"/>
  <c r="O32" i="19"/>
  <c r="O58" i="19"/>
  <c r="O33" i="19"/>
  <c r="O1" i="19"/>
  <c r="AC105" i="19"/>
  <c r="AC117" i="19" s="1"/>
  <c r="AC128" i="19"/>
  <c r="AC58" i="19"/>
  <c r="AC33" i="19"/>
  <c r="AC32" i="19"/>
  <c r="AS8" i="19"/>
  <c r="AN8" i="19"/>
  <c r="AN155" i="19" s="1"/>
  <c r="Y126" i="19"/>
  <c r="Y30" i="19"/>
  <c r="Y57" i="19"/>
  <c r="Y158" i="16" s="1"/>
  <c r="Y159" i="16" s="1"/>
  <c r="Y160" i="16" s="1"/>
  <c r="BB67" i="19"/>
  <c r="L128" i="19"/>
  <c r="L105" i="19"/>
  <c r="L117" i="19" s="1"/>
  <c r="L58" i="19"/>
  <c r="L32" i="19"/>
  <c r="L33" i="19"/>
  <c r="C128" i="19"/>
  <c r="C105" i="19"/>
  <c r="C117" i="19" s="1"/>
  <c r="C33" i="19"/>
  <c r="C32" i="19"/>
  <c r="C86" i="16" s="1"/>
  <c r="C89" i="16" s="1"/>
  <c r="C58" i="19"/>
  <c r="J128" i="19"/>
  <c r="J105" i="19"/>
  <c r="J117" i="19" s="1"/>
  <c r="J32" i="19"/>
  <c r="J33" i="19"/>
  <c r="J58" i="19"/>
  <c r="AQ128" i="19"/>
  <c r="AQ105" i="19"/>
  <c r="AQ117" i="19" s="1"/>
  <c r="AQ32" i="19"/>
  <c r="AQ58" i="19"/>
  <c r="AQ33" i="19"/>
  <c r="G30" i="19"/>
  <c r="G57" i="19"/>
  <c r="G158" i="16" s="1"/>
  <c r="G159" i="16" s="1"/>
  <c r="G160" i="16" s="1"/>
  <c r="P128" i="19"/>
  <c r="P105" i="19"/>
  <c r="P117" i="19" s="1"/>
  <c r="P58" i="19"/>
  <c r="P33" i="19"/>
  <c r="P32" i="19"/>
  <c r="BE105" i="19"/>
  <c r="BE117" i="19" s="1"/>
  <c r="BE128" i="19"/>
  <c r="BE58" i="19"/>
  <c r="BE33" i="19"/>
  <c r="BE32" i="19"/>
  <c r="AI152" i="19"/>
  <c r="BC128" i="19"/>
  <c r="BC105" i="19"/>
  <c r="BC117" i="19" s="1"/>
  <c r="BC32" i="19"/>
  <c r="BC58" i="19"/>
  <c r="C56" i="19" l="1"/>
  <c r="L56" i="17"/>
  <c r="AU165" i="19"/>
  <c r="AZ282" i="18"/>
  <c r="BA282" i="18"/>
  <c r="AU168" i="19"/>
  <c r="BA10" i="17"/>
  <c r="BA26" i="17" s="1"/>
  <c r="BA74" i="16" s="1"/>
  <c r="BA50" i="16"/>
  <c r="BA34" i="19"/>
  <c r="BA51" i="16"/>
  <c r="BG86" i="16"/>
  <c r="BG89" i="16" s="1"/>
  <c r="BG34" i="19"/>
  <c r="BG50" i="16"/>
  <c r="BG10" i="17"/>
  <c r="BG26" i="17" s="1"/>
  <c r="BG74" i="16" s="1"/>
  <c r="AZ252" i="18"/>
  <c r="BF66" i="19"/>
  <c r="AZ163" i="18"/>
  <c r="AZ185" i="18" s="1"/>
  <c r="BG67" i="19"/>
  <c r="AZ66" i="19"/>
  <c r="AZ165" i="19"/>
  <c r="AD147" i="19"/>
  <c r="CR86" i="77"/>
  <c r="CA25" i="18"/>
  <c r="EH50" i="18"/>
  <c r="CI49" i="18"/>
  <c r="AZ98" i="18"/>
  <c r="BA110" i="18"/>
  <c r="BA108" i="18"/>
  <c r="M147" i="19"/>
  <c r="CC239" i="18"/>
  <c r="CC240" i="18"/>
  <c r="CC25" i="18"/>
  <c r="CC270" i="18"/>
  <c r="CD24" i="18"/>
  <c r="CD39" i="18" s="1"/>
  <c r="BC17" i="18"/>
  <c r="BI19" i="18"/>
  <c r="BC229" i="18"/>
  <c r="BC232" i="18"/>
  <c r="BC235" i="18"/>
  <c r="CP189" i="18"/>
  <c r="AZ21" i="18"/>
  <c r="AZ168" i="19" s="1"/>
  <c r="BB168" i="19"/>
  <c r="AZ9" i="77"/>
  <c r="AZ100" i="77" s="1"/>
  <c r="BC466" i="18"/>
  <c r="BC471" i="18" s="1"/>
  <c r="I102" i="16"/>
  <c r="AY593" i="18"/>
  <c r="BC402" i="18"/>
  <c r="BC407" i="18" s="1"/>
  <c r="BB100" i="77"/>
  <c r="AB56" i="19"/>
  <c r="BB10" i="77"/>
  <c r="BA158" i="19"/>
  <c r="AH66" i="19"/>
  <c r="AB168" i="19"/>
  <c r="F147" i="19"/>
  <c r="J168" i="19"/>
  <c r="AH158" i="19"/>
  <c r="BK166" i="19"/>
  <c r="AB66" i="19"/>
  <c r="G164" i="19"/>
  <c r="AB158" i="19"/>
  <c r="AG166" i="19"/>
  <c r="BO75" i="77"/>
  <c r="BO66" i="77" s="1"/>
  <c r="BQ75" i="77"/>
  <c r="BQ66" i="77" s="1"/>
  <c r="BN73" i="77"/>
  <c r="BN84" i="77" s="1"/>
  <c r="BN66" i="77"/>
  <c r="AG112" i="77"/>
  <c r="AG113" i="77" s="1"/>
  <c r="AI166" i="19"/>
  <c r="AH165" i="19"/>
  <c r="AH56" i="19" s="1"/>
  <c r="BB166" i="19"/>
  <c r="AH168" i="19"/>
  <c r="L56" i="19"/>
  <c r="BF166" i="19"/>
  <c r="AT166" i="19"/>
  <c r="V166" i="19"/>
  <c r="AJ112" i="77"/>
  <c r="AJ113" i="77" s="1"/>
  <c r="BA64" i="77"/>
  <c r="BA100" i="77"/>
  <c r="AH112" i="77"/>
  <c r="AH113" i="77" s="1"/>
  <c r="AK29" i="77"/>
  <c r="AP158" i="19"/>
  <c r="M148" i="19"/>
  <c r="M149" i="19" s="1"/>
  <c r="AV158" i="19"/>
  <c r="BE168" i="19"/>
  <c r="Y164" i="19"/>
  <c r="BF158" i="19"/>
  <c r="BA165" i="19"/>
  <c r="AV165" i="19"/>
  <c r="BB158" i="19"/>
  <c r="BG158" i="19"/>
  <c r="AZ158" i="19"/>
  <c r="G181" i="16"/>
  <c r="G52" i="16" s="1"/>
  <c r="G180" i="16"/>
  <c r="G161" i="16"/>
  <c r="Y180" i="16"/>
  <c r="Y161" i="16"/>
  <c r="Y181" i="16"/>
  <c r="Y52" i="16" s="1"/>
  <c r="F148" i="19"/>
  <c r="G148" i="19" s="1"/>
  <c r="G149" i="19" s="1"/>
  <c r="F158" i="16"/>
  <c r="F159" i="16" s="1"/>
  <c r="F160" i="16" s="1"/>
  <c r="AD181" i="16"/>
  <c r="AD52" i="16" s="1"/>
  <c r="AD180" i="16"/>
  <c r="AD161" i="16"/>
  <c r="X148" i="19"/>
  <c r="Y148" i="19" s="1"/>
  <c r="Y149" i="19" s="1"/>
  <c r="X158" i="16"/>
  <c r="X159" i="16" s="1"/>
  <c r="X160" i="16" s="1"/>
  <c r="R148" i="19"/>
  <c r="S148" i="19" s="1"/>
  <c r="R158" i="16"/>
  <c r="R159" i="16" s="1"/>
  <c r="R160" i="16" s="1"/>
  <c r="M180" i="16"/>
  <c r="M161" i="16"/>
  <c r="M181" i="16"/>
  <c r="M52" i="16" s="1"/>
  <c r="AQ161" i="16"/>
  <c r="AQ181" i="16"/>
  <c r="AQ52" i="16" s="1"/>
  <c r="AQ180" i="16"/>
  <c r="BF180" i="16"/>
  <c r="BF181" i="16"/>
  <c r="BF52" i="16" s="1"/>
  <c r="BF161" i="16"/>
  <c r="AI181" i="16"/>
  <c r="AI52" i="16" s="1"/>
  <c r="AI180" i="16"/>
  <c r="AI161" i="16"/>
  <c r="BG181" i="16"/>
  <c r="BG52" i="16" s="1"/>
  <c r="BG180" i="16"/>
  <c r="BG161" i="16"/>
  <c r="V181" i="16"/>
  <c r="V52" i="16" s="1"/>
  <c r="V180" i="16"/>
  <c r="V161" i="16"/>
  <c r="L180" i="16"/>
  <c r="L181" i="16"/>
  <c r="L52" i="16" s="1"/>
  <c r="L161" i="16"/>
  <c r="I161" i="16"/>
  <c r="I181" i="16"/>
  <c r="I52" i="16" s="1"/>
  <c r="I180" i="16"/>
  <c r="D181" i="16"/>
  <c r="D52" i="16" s="1"/>
  <c r="D180" i="16"/>
  <c r="D161" i="16"/>
  <c r="J181" i="16"/>
  <c r="J52" i="16" s="1"/>
  <c r="J180" i="16"/>
  <c r="J161" i="16"/>
  <c r="K161" i="16"/>
  <c r="K180" i="16"/>
  <c r="K181" i="16"/>
  <c r="K52" i="16" s="1"/>
  <c r="C180" i="16"/>
  <c r="C161" i="16"/>
  <c r="C181" i="16"/>
  <c r="C52" i="16" s="1"/>
  <c r="AW180" i="16"/>
  <c r="AW161" i="16"/>
  <c r="AW181" i="16"/>
  <c r="AW52" i="16" s="1"/>
  <c r="AK161" i="16"/>
  <c r="AK180" i="16"/>
  <c r="AK181" i="16"/>
  <c r="AK52" i="16" s="1"/>
  <c r="BC180" i="16"/>
  <c r="BC161" i="16"/>
  <c r="BC181" i="16"/>
  <c r="BC52" i="16" s="1"/>
  <c r="AZ181" i="16"/>
  <c r="AZ52" i="16" s="1"/>
  <c r="AZ180" i="16"/>
  <c r="AZ161" i="16"/>
  <c r="BE181" i="16"/>
  <c r="BE52" i="16" s="1"/>
  <c r="BE161" i="16"/>
  <c r="BE180" i="16"/>
  <c r="Q181" i="16"/>
  <c r="Q52" i="16" s="1"/>
  <c r="Q180" i="16"/>
  <c r="Q161" i="16"/>
  <c r="W181" i="16"/>
  <c r="W52" i="16" s="1"/>
  <c r="W180" i="16"/>
  <c r="W161" i="16"/>
  <c r="AB161" i="16"/>
  <c r="AB181" i="16"/>
  <c r="AB52" i="16" s="1"/>
  <c r="AB180" i="16"/>
  <c r="U181" i="16"/>
  <c r="U52" i="16" s="1"/>
  <c r="U180" i="16"/>
  <c r="U161" i="16"/>
  <c r="AG181" i="16"/>
  <c r="AG52" i="16" s="1"/>
  <c r="AG180" i="16"/>
  <c r="AG161" i="16"/>
  <c r="AH161" i="16"/>
  <c r="AH181" i="16"/>
  <c r="AH52" i="16" s="1"/>
  <c r="AH180" i="16"/>
  <c r="P180" i="16"/>
  <c r="P161" i="16"/>
  <c r="P181" i="16"/>
  <c r="P52" i="16" s="1"/>
  <c r="O181" i="16"/>
  <c r="O52" i="16" s="1"/>
  <c r="O161" i="16"/>
  <c r="O180" i="16"/>
  <c r="Y117" i="16"/>
  <c r="AE112" i="16" s="1"/>
  <c r="AE115" i="16" s="1"/>
  <c r="BG149" i="19"/>
  <c r="G56" i="17"/>
  <c r="BR40" i="18"/>
  <c r="BI40" i="18"/>
  <c r="I174" i="18"/>
  <c r="I604" i="18" s="1"/>
  <c r="BO177" i="18"/>
  <c r="BO190" i="18" s="1"/>
  <c r="S156" i="19"/>
  <c r="S164" i="19" s="1"/>
  <c r="S165" i="19" s="1"/>
  <c r="V56" i="19"/>
  <c r="BO585" i="18"/>
  <c r="AN586" i="18"/>
  <c r="AQ181" i="18"/>
  <c r="AP589" i="18"/>
  <c r="AQ589" i="18" s="1"/>
  <c r="I596" i="18"/>
  <c r="I598" i="18" s="1"/>
  <c r="J174" i="18"/>
  <c r="J584" i="18"/>
  <c r="J596" i="18" s="1"/>
  <c r="AM586" i="18"/>
  <c r="BQ177" i="18"/>
  <c r="BQ585" i="18" s="1"/>
  <c r="K176" i="18"/>
  <c r="AI56" i="19"/>
  <c r="X168" i="19"/>
  <c r="G51" i="17"/>
  <c r="BF67" i="19"/>
  <c r="BG66" i="19"/>
  <c r="BR121" i="16"/>
  <c r="BR113" i="16"/>
  <c r="BR96" i="16"/>
  <c r="BO21" i="16"/>
  <c r="I108" i="16"/>
  <c r="I104" i="16"/>
  <c r="J93" i="16"/>
  <c r="BU120" i="16"/>
  <c r="BN176" i="16"/>
  <c r="BQ123" i="16"/>
  <c r="AP66" i="19"/>
  <c r="BA66" i="19"/>
  <c r="BB66" i="19"/>
  <c r="AP165" i="19"/>
  <c r="AV66" i="19"/>
  <c r="AP168" i="19"/>
  <c r="AQ148" i="19"/>
  <c r="AO86" i="16"/>
  <c r="AO89" i="16" s="1"/>
  <c r="AO50" i="16"/>
  <c r="AO51" i="16"/>
  <c r="AY86" i="16"/>
  <c r="AY50" i="16"/>
  <c r="AY51" i="16"/>
  <c r="AQ50" i="16"/>
  <c r="AQ51" i="16"/>
  <c r="L86" i="16"/>
  <c r="L89" i="16" s="1"/>
  <c r="L50" i="16"/>
  <c r="L51" i="16"/>
  <c r="Y134" i="16"/>
  <c r="Y135" i="16" s="1"/>
  <c r="Y136" i="16" s="1"/>
  <c r="Y137" i="16" s="1"/>
  <c r="Y131" i="16" s="1"/>
  <c r="AA86" i="16"/>
  <c r="AA89" i="16" s="1"/>
  <c r="AA50" i="16"/>
  <c r="AA51" i="16"/>
  <c r="I86" i="16"/>
  <c r="I51" i="16"/>
  <c r="I50" i="16"/>
  <c r="AM34" i="19"/>
  <c r="AM86" i="16"/>
  <c r="AM89" i="16" s="1"/>
  <c r="AM50" i="16"/>
  <c r="AM51" i="16"/>
  <c r="V86" i="16"/>
  <c r="V89" i="16" s="1"/>
  <c r="V50" i="16"/>
  <c r="V51" i="16"/>
  <c r="AE55" i="16"/>
  <c r="AE57" i="16"/>
  <c r="BC134" i="16"/>
  <c r="BC135" i="16" s="1"/>
  <c r="BC136" i="16" s="1"/>
  <c r="BC137" i="16" s="1"/>
  <c r="BC131" i="16" s="1"/>
  <c r="AI10" i="17"/>
  <c r="AI26" i="17" s="1"/>
  <c r="AI74" i="16" s="1"/>
  <c r="AI86" i="16"/>
  <c r="AI89" i="16" s="1"/>
  <c r="AI50" i="16"/>
  <c r="AI51" i="16"/>
  <c r="BG165" i="19"/>
  <c r="BE86" i="16"/>
  <c r="BE50" i="16"/>
  <c r="BE51" i="16"/>
  <c r="K86" i="16"/>
  <c r="K89" i="16" s="1"/>
  <c r="K50" i="16"/>
  <c r="K51" i="16"/>
  <c r="S57" i="16"/>
  <c r="AB86" i="16"/>
  <c r="AB89" i="16" s="1"/>
  <c r="AB50" i="16"/>
  <c r="AB51" i="16"/>
  <c r="AJ56" i="19"/>
  <c r="AD134" i="16"/>
  <c r="AD135" i="16" s="1"/>
  <c r="AD136" i="16" s="1"/>
  <c r="AD137" i="16" s="1"/>
  <c r="AD131" i="16" s="1"/>
  <c r="AD168" i="19"/>
  <c r="BF34" i="19"/>
  <c r="BF86" i="16"/>
  <c r="BF89" i="16" s="1"/>
  <c r="BF50" i="16"/>
  <c r="BF51" i="16"/>
  <c r="BA168" i="19"/>
  <c r="S135" i="16"/>
  <c r="S136" i="16" s="1"/>
  <c r="S137" i="16" s="1"/>
  <c r="S131" i="16" s="1"/>
  <c r="C88" i="16"/>
  <c r="C90" i="16" s="1"/>
  <c r="D84" i="16" s="1"/>
  <c r="D88" i="16"/>
  <c r="AC86" i="16"/>
  <c r="AC89" i="16" s="1"/>
  <c r="AC50" i="16"/>
  <c r="AC51" i="16"/>
  <c r="AW134" i="16"/>
  <c r="AW135" i="16" s="1"/>
  <c r="AW136" i="16" s="1"/>
  <c r="AW137" i="16" s="1"/>
  <c r="AW131" i="16" s="1"/>
  <c r="Q86" i="16"/>
  <c r="Q89" i="16" s="1"/>
  <c r="Q50" i="16"/>
  <c r="Q51" i="16"/>
  <c r="AG89" i="16"/>
  <c r="AW86" i="16"/>
  <c r="AS89" i="16"/>
  <c r="AW89" i="16" s="1"/>
  <c r="O86" i="16"/>
  <c r="O50" i="16"/>
  <c r="O51" i="16"/>
  <c r="W168" i="19"/>
  <c r="AG56" i="19"/>
  <c r="U168" i="19"/>
  <c r="U165" i="19"/>
  <c r="U166" i="19" s="1"/>
  <c r="BC50" i="16"/>
  <c r="BC51" i="16"/>
  <c r="J50" i="16"/>
  <c r="J86" i="16"/>
  <c r="J89" i="16" s="1"/>
  <c r="J51" i="16"/>
  <c r="M134" i="16"/>
  <c r="M135" i="16" s="1"/>
  <c r="M136" i="16" s="1"/>
  <c r="M137" i="16" s="1"/>
  <c r="M131" i="16" s="1"/>
  <c r="AH86" i="16"/>
  <c r="AH89" i="16" s="1"/>
  <c r="AH50" i="16"/>
  <c r="AH51" i="16"/>
  <c r="U86" i="16"/>
  <c r="U50" i="16"/>
  <c r="U51" i="16"/>
  <c r="W86" i="16"/>
  <c r="W89" i="16" s="1"/>
  <c r="W50" i="16"/>
  <c r="W51" i="16"/>
  <c r="M168" i="19"/>
  <c r="I168" i="19"/>
  <c r="AV168" i="19"/>
  <c r="R164" i="19"/>
  <c r="AK50" i="16"/>
  <c r="AK51" i="16"/>
  <c r="AQ134" i="16"/>
  <c r="AQ135" i="16" s="1"/>
  <c r="AQ136" i="16" s="1"/>
  <c r="AQ137" i="16" s="1"/>
  <c r="AQ131" i="16" s="1"/>
  <c r="D86" i="16"/>
  <c r="D89" i="16" s="1"/>
  <c r="D50" i="16"/>
  <c r="D51" i="16"/>
  <c r="AK134" i="16"/>
  <c r="AK135" i="16" s="1"/>
  <c r="AK136" i="16" s="1"/>
  <c r="AK137" i="16" s="1"/>
  <c r="AK131" i="16" s="1"/>
  <c r="AA158" i="19"/>
  <c r="P86" i="16"/>
  <c r="P89" i="16" s="1"/>
  <c r="P50" i="16"/>
  <c r="P51" i="16"/>
  <c r="AN86" i="16"/>
  <c r="AN89" i="16" s="1"/>
  <c r="AN50" i="16"/>
  <c r="AN51" i="16"/>
  <c r="AP34" i="19"/>
  <c r="AP86" i="16"/>
  <c r="AP50" i="16"/>
  <c r="AP51" i="16"/>
  <c r="K158" i="19"/>
  <c r="O158" i="19"/>
  <c r="I158" i="19"/>
  <c r="D56" i="19"/>
  <c r="BC148" i="19"/>
  <c r="BC149" i="19" s="1"/>
  <c r="Q168" i="19"/>
  <c r="BF10" i="17"/>
  <c r="BF26" i="17" s="1"/>
  <c r="AW157" i="19"/>
  <c r="W152" i="19"/>
  <c r="W67" i="19"/>
  <c r="BC173" i="19"/>
  <c r="AQ173" i="19"/>
  <c r="AW173" i="19"/>
  <c r="BC157" i="19"/>
  <c r="AV153" i="19"/>
  <c r="AM66" i="19"/>
  <c r="AE156" i="19"/>
  <c r="AM165" i="19"/>
  <c r="AS168" i="19"/>
  <c r="S147" i="19"/>
  <c r="AK164" i="19"/>
  <c r="AK157" i="19"/>
  <c r="AT158" i="19"/>
  <c r="AW164" i="19"/>
  <c r="AM168" i="19"/>
  <c r="AD148" i="19"/>
  <c r="AE148" i="19" s="1"/>
  <c r="BC164" i="19"/>
  <c r="AE147" i="19"/>
  <c r="AO167" i="19"/>
  <c r="AU167" i="19"/>
  <c r="AO164" i="19"/>
  <c r="AK148" i="19"/>
  <c r="AK149" i="19" s="1"/>
  <c r="AG149" i="19"/>
  <c r="W34" i="19"/>
  <c r="AT167" i="19"/>
  <c r="AN167" i="19"/>
  <c r="AN164" i="19"/>
  <c r="BC167" i="19"/>
  <c r="AC158" i="19"/>
  <c r="CA7" i="19"/>
  <c r="BU155" i="19"/>
  <c r="J158" i="19"/>
  <c r="W165" i="19"/>
  <c r="W166" i="19" s="1"/>
  <c r="AS8" i="48"/>
  <c r="AS155" i="19"/>
  <c r="AO158" i="19"/>
  <c r="U158" i="19"/>
  <c r="Q158" i="19"/>
  <c r="W158" i="19"/>
  <c r="BE158" i="19"/>
  <c r="AU158" i="19"/>
  <c r="AY158" i="19"/>
  <c r="P158" i="19"/>
  <c r="V158" i="19"/>
  <c r="AG158" i="19"/>
  <c r="AN158" i="19"/>
  <c r="AI158" i="19"/>
  <c r="AY165" i="19"/>
  <c r="AT56" i="19"/>
  <c r="BF56" i="19"/>
  <c r="U66" i="19"/>
  <c r="BF152" i="19"/>
  <c r="BF149" i="19"/>
  <c r="BE66" i="19"/>
  <c r="BE165" i="19"/>
  <c r="BA152" i="19"/>
  <c r="BA149" i="19"/>
  <c r="F157" i="19"/>
  <c r="L166" i="19" s="1"/>
  <c r="BB152" i="19"/>
  <c r="BB153" i="19" s="1"/>
  <c r="BB149" i="19"/>
  <c r="AA66" i="19"/>
  <c r="AA165" i="19"/>
  <c r="AG66" i="19"/>
  <c r="G157" i="19"/>
  <c r="R157" i="19"/>
  <c r="AP10" i="17"/>
  <c r="AP26" i="17" s="1"/>
  <c r="W66" i="19"/>
  <c r="Q66" i="19"/>
  <c r="Q165" i="19"/>
  <c r="BB56" i="19"/>
  <c r="AN152" i="19"/>
  <c r="AT153" i="19" s="1"/>
  <c r="J165" i="19"/>
  <c r="J66" i="19"/>
  <c r="P66" i="19"/>
  <c r="V66" i="19"/>
  <c r="P165" i="19"/>
  <c r="K165" i="19"/>
  <c r="K66" i="19"/>
  <c r="AC66" i="19"/>
  <c r="AC165" i="19"/>
  <c r="M157" i="19"/>
  <c r="AU152" i="19"/>
  <c r="AU149" i="19"/>
  <c r="Y157" i="19"/>
  <c r="O66" i="19"/>
  <c r="O165" i="19"/>
  <c r="I165" i="19"/>
  <c r="I66" i="19"/>
  <c r="BE149" i="19"/>
  <c r="AQ157" i="19"/>
  <c r="AD157" i="19"/>
  <c r="X157" i="19"/>
  <c r="AP149" i="19"/>
  <c r="AM149" i="19"/>
  <c r="W10" i="17"/>
  <c r="W26" i="17" s="1"/>
  <c r="AY66" i="19"/>
  <c r="AS165" i="19"/>
  <c r="AS66" i="19"/>
  <c r="AO152" i="19"/>
  <c r="AI34" i="19"/>
  <c r="AQ162" i="19"/>
  <c r="U34" i="19"/>
  <c r="AB34" i="19"/>
  <c r="U10" i="17"/>
  <c r="U26" i="17" s="1"/>
  <c r="U74" i="16" s="1"/>
  <c r="AB10" i="17"/>
  <c r="AB26" i="17" s="1"/>
  <c r="U67" i="19"/>
  <c r="AB152" i="19"/>
  <c r="AH67" i="19"/>
  <c r="AH152" i="19"/>
  <c r="AS67" i="19"/>
  <c r="AH34" i="19"/>
  <c r="V10" i="17"/>
  <c r="V26" i="17" s="1"/>
  <c r="AH10" i="17"/>
  <c r="AH26" i="17" s="1"/>
  <c r="AH74" i="16" s="1"/>
  <c r="AM67" i="19"/>
  <c r="AP153" i="19"/>
  <c r="S57" i="19"/>
  <c r="S158" i="16" s="1"/>
  <c r="S159" i="16" s="1"/>
  <c r="S160" i="16" s="1"/>
  <c r="BC126" i="19"/>
  <c r="AZ152" i="19"/>
  <c r="AZ149" i="19"/>
  <c r="S30" i="19"/>
  <c r="S128" i="19" s="1"/>
  <c r="V34" i="19"/>
  <c r="AM153" i="19"/>
  <c r="V152" i="19"/>
  <c r="AG126" i="19"/>
  <c r="AH126" i="19" s="1"/>
  <c r="AI126" i="19" s="1"/>
  <c r="AE30" i="19"/>
  <c r="AB126" i="19"/>
  <c r="AC126" i="19"/>
  <c r="AA126" i="19"/>
  <c r="AB67" i="19"/>
  <c r="AE57" i="19"/>
  <c r="AE158" i="16" s="1"/>
  <c r="AE159" i="16" s="1"/>
  <c r="AE160" i="16" s="1"/>
  <c r="BQ244" i="18"/>
  <c r="BS32" i="17"/>
  <c r="AQ126" i="19"/>
  <c r="AT155" i="18"/>
  <c r="AE341" i="18"/>
  <c r="AK126" i="19"/>
  <c r="BX115" i="77"/>
  <c r="BY32" i="77"/>
  <c r="BX96" i="77"/>
  <c r="EE52" i="18"/>
  <c r="CD55" i="18"/>
  <c r="BC150" i="18"/>
  <c r="BE150" i="18"/>
  <c r="BE151" i="18" s="1"/>
  <c r="EF50" i="18"/>
  <c r="CG49" i="18"/>
  <c r="BC160" i="18"/>
  <c r="BE160" i="18"/>
  <c r="BE161" i="18" s="1"/>
  <c r="BR147" i="18"/>
  <c r="BS146" i="18"/>
  <c r="BT146" i="18" s="1"/>
  <c r="BQ39" i="18"/>
  <c r="BO89" i="18"/>
  <c r="BQ89" i="18" s="1"/>
  <c r="BR89" i="18" s="1"/>
  <c r="BS89" i="18" s="1"/>
  <c r="AE13" i="77"/>
  <c r="AE16" i="77" s="1"/>
  <c r="AE17" i="77" s="1"/>
  <c r="BS269" i="18"/>
  <c r="CE190" i="18"/>
  <c r="BX241" i="18"/>
  <c r="BX39" i="18"/>
  <c r="BY241" i="18"/>
  <c r="BY271" i="18"/>
  <c r="BY39" i="18"/>
  <c r="BY40" i="18" s="1"/>
  <c r="CA6" i="18"/>
  <c r="CE271" i="18"/>
  <c r="CE241" i="18"/>
  <c r="Y13" i="77"/>
  <c r="Y16" i="77" s="1"/>
  <c r="Y17" i="77" s="1"/>
  <c r="CD241" i="18"/>
  <c r="AM10" i="17"/>
  <c r="AM26" i="17" s="1"/>
  <c r="AM74" i="16" s="1"/>
  <c r="BZ77" i="19"/>
  <c r="BZ78" i="19"/>
  <c r="J22" i="77"/>
  <c r="BH246" i="18"/>
  <c r="BH276" i="18"/>
  <c r="BI53" i="18"/>
  <c r="BI54" i="18" s="1"/>
  <c r="BK54" i="18" s="1"/>
  <c r="BO76" i="17"/>
  <c r="BO41" i="19"/>
  <c r="BO43" i="48"/>
  <c r="BR271" i="18"/>
  <c r="BQ241" i="18"/>
  <c r="BA163" i="18"/>
  <c r="BO24" i="17"/>
  <c r="Y340" i="18"/>
  <c r="U340" i="18"/>
  <c r="AK43" i="77"/>
  <c r="AI44" i="77"/>
  <c r="AK96" i="77"/>
  <c r="AK46" i="77" s="1"/>
  <c r="AK45" i="77" s="1"/>
  <c r="K15" i="77"/>
  <c r="K22" i="77" s="1"/>
  <c r="BB161" i="18"/>
  <c r="P340" i="18"/>
  <c r="O327" i="18"/>
  <c r="AI30" i="77"/>
  <c r="AI112" i="77"/>
  <c r="AI113" i="77" s="1"/>
  <c r="I327" i="18"/>
  <c r="J340" i="18"/>
  <c r="BE34" i="19"/>
  <c r="BE10" i="17"/>
  <c r="BE26" i="17" s="1"/>
  <c r="BE74" i="16" s="1"/>
  <c r="P34" i="19"/>
  <c r="P10" i="17"/>
  <c r="AQ34" i="19"/>
  <c r="J34" i="19"/>
  <c r="C152" i="19"/>
  <c r="AC34" i="19"/>
  <c r="AC10" i="17"/>
  <c r="AC26" i="17" s="1"/>
  <c r="AC74" i="16" s="1"/>
  <c r="AN34" i="19"/>
  <c r="AN10" i="17"/>
  <c r="AN26" i="17" s="1"/>
  <c r="AN74" i="16" s="1"/>
  <c r="D152" i="19"/>
  <c r="AO34" i="19"/>
  <c r="AO10" i="17"/>
  <c r="AO26" i="17" s="1"/>
  <c r="AO74" i="16" s="1"/>
  <c r="AG67" i="19"/>
  <c r="Q34" i="19"/>
  <c r="Q10" i="17"/>
  <c r="Q26" i="17" s="1"/>
  <c r="Q74" i="16" s="1"/>
  <c r="K34" i="19"/>
  <c r="AQ13" i="77"/>
  <c r="AQ19" i="77"/>
  <c r="AY7" i="19"/>
  <c r="BE7" i="19" s="1"/>
  <c r="AS7" i="48"/>
  <c r="AW7" i="48"/>
  <c r="AS26" i="17"/>
  <c r="AS74" i="16" s="1"/>
  <c r="AW10" i="17"/>
  <c r="AW26" i="17" s="1"/>
  <c r="AW74" i="16" s="1"/>
  <c r="AG26" i="17"/>
  <c r="AG74" i="16" s="1"/>
  <c r="BA103" i="77"/>
  <c r="BA57" i="77"/>
  <c r="BA56" i="77"/>
  <c r="AW13" i="77"/>
  <c r="AW19" i="77"/>
  <c r="C34" i="19"/>
  <c r="L34" i="19"/>
  <c r="AO8" i="19"/>
  <c r="AO155" i="19" s="1"/>
  <c r="AN8" i="48"/>
  <c r="AI67" i="19"/>
  <c r="O34" i="19"/>
  <c r="O10" i="17"/>
  <c r="O26" i="17" s="1"/>
  <c r="O74" i="16" s="1"/>
  <c r="AW126" i="19"/>
  <c r="D34" i="19"/>
  <c r="AA34" i="19"/>
  <c r="AA10" i="17"/>
  <c r="I34" i="19"/>
  <c r="AY34" i="19"/>
  <c r="AY10" i="17"/>
  <c r="AK34" i="19"/>
  <c r="AZ54" i="17"/>
  <c r="AZ75" i="16" s="1"/>
  <c r="AZ47" i="17"/>
  <c r="AZ73" i="16" s="1"/>
  <c r="AJ8" i="19"/>
  <c r="AJ8" i="48" s="1"/>
  <c r="AI8" i="48"/>
  <c r="AT47" i="17"/>
  <c r="AT73" i="16" s="1"/>
  <c r="AT54" i="17"/>
  <c r="AT75" i="16" s="1"/>
  <c r="AK19" i="77"/>
  <c r="AK13" i="77"/>
  <c r="BB47" i="17"/>
  <c r="BB73" i="16" s="1"/>
  <c r="BB54" i="17"/>
  <c r="BB75" i="16" s="1"/>
  <c r="AV47" i="17"/>
  <c r="AV73" i="16" s="1"/>
  <c r="AV54" i="17"/>
  <c r="AV75" i="16" s="1"/>
  <c r="AJ54" i="17"/>
  <c r="AJ75" i="16" s="1"/>
  <c r="AJ47" i="17"/>
  <c r="AJ73" i="16" s="1"/>
  <c r="AU54" i="17"/>
  <c r="AU75" i="16" s="1"/>
  <c r="AU47" i="17"/>
  <c r="AU73" i="16" s="1"/>
  <c r="BM61" i="77"/>
  <c r="V48" i="77"/>
  <c r="BL7" i="77"/>
  <c r="BM7" i="77" s="1"/>
  <c r="BN7" i="77" s="1"/>
  <c r="BQ7" i="77"/>
  <c r="BQ70" i="77"/>
  <c r="BN68" i="77"/>
  <c r="BO68" i="77" s="1"/>
  <c r="BS71" i="77"/>
  <c r="BL65" i="77"/>
  <c r="BQ19" i="48"/>
  <c r="BQ56" i="48" s="1"/>
  <c r="BT11" i="48"/>
  <c r="M56" i="17"/>
  <c r="I49" i="17"/>
  <c r="M48" i="17"/>
  <c r="M49" i="17" s="1"/>
  <c r="AW63" i="17"/>
  <c r="AW73" i="17" s="1"/>
  <c r="AW64" i="17"/>
  <c r="AY8" i="17"/>
  <c r="AT8" i="17"/>
  <c r="AU8" i="17" s="1"/>
  <c r="AV8" i="17" s="1"/>
  <c r="BR43" i="48"/>
  <c r="BQ78" i="17"/>
  <c r="BQ41" i="19" s="1"/>
  <c r="BN76" i="17"/>
  <c r="BO36" i="19" s="1"/>
  <c r="BO25" i="17"/>
  <c r="P341" i="18"/>
  <c r="O328" i="18"/>
  <c r="AP148" i="18"/>
  <c r="AP149" i="18" s="1"/>
  <c r="Y338" i="18"/>
  <c r="U338" i="18"/>
  <c r="AN173" i="18"/>
  <c r="AO7" i="18"/>
  <c r="BH329" i="18"/>
  <c r="AG142" i="18"/>
  <c r="AJ7" i="18"/>
  <c r="AJ173" i="18" s="1"/>
  <c r="AI173" i="18"/>
  <c r="AQ449" i="18"/>
  <c r="AQ385" i="18"/>
  <c r="BH328" i="18"/>
  <c r="BI326" i="18"/>
  <c r="BK326" i="18" s="1"/>
  <c r="Q337" i="18"/>
  <c r="P324" i="18"/>
  <c r="AP449" i="18"/>
  <c r="AP385" i="18"/>
  <c r="I328" i="18"/>
  <c r="J341" i="18"/>
  <c r="P338" i="18"/>
  <c r="O325" i="18"/>
  <c r="J334" i="18"/>
  <c r="I321" i="18"/>
  <c r="AE142" i="18"/>
  <c r="J335" i="18"/>
  <c r="I322" i="18"/>
  <c r="Y339" i="18"/>
  <c r="U339" i="18"/>
  <c r="U320" i="18"/>
  <c r="BE99" i="18"/>
  <c r="DO57" i="18"/>
  <c r="AO149" i="18"/>
  <c r="BI324" i="18"/>
  <c r="BK324" i="18" s="1"/>
  <c r="J338" i="18"/>
  <c r="I325" i="18"/>
  <c r="BN364" i="18"/>
  <c r="BO364" i="18" s="1"/>
  <c r="BC99" i="18"/>
  <c r="BF445" i="18"/>
  <c r="BF381" i="18"/>
  <c r="AM446" i="18"/>
  <c r="AM382" i="18"/>
  <c r="U335" i="18"/>
  <c r="Y335" i="18"/>
  <c r="BL325" i="18"/>
  <c r="K342" i="18"/>
  <c r="J329" i="18"/>
  <c r="M336" i="18"/>
  <c r="I336" i="18"/>
  <c r="BH321" i="18"/>
  <c r="BI334" i="18" s="1"/>
  <c r="BG334" i="18"/>
  <c r="L144" i="18"/>
  <c r="L145" i="18" s="1"/>
  <c r="BA184" i="18"/>
  <c r="BA592" i="18" s="1"/>
  <c r="BA341" i="18"/>
  <c r="BI327" i="18"/>
  <c r="BK327" i="18" s="1"/>
  <c r="O326" i="18"/>
  <c r="P339" i="18"/>
  <c r="U334" i="18"/>
  <c r="Y334" i="18"/>
  <c r="AE342" i="18"/>
  <c r="AA342" i="18"/>
  <c r="AN446" i="18"/>
  <c r="AN382" i="18"/>
  <c r="BF103" i="18"/>
  <c r="BF102" i="18" s="1"/>
  <c r="AK453" i="18"/>
  <c r="AK389" i="18"/>
  <c r="J339" i="18"/>
  <c r="I326" i="18"/>
  <c r="K337" i="18"/>
  <c r="J324" i="18"/>
  <c r="K333" i="18"/>
  <c r="J320" i="18"/>
  <c r="BH322" i="18"/>
  <c r="BA179" i="18"/>
  <c r="BA587" i="18" s="1"/>
  <c r="BA336" i="18"/>
  <c r="AY453" i="18"/>
  <c r="AY389" i="18"/>
  <c r="P334" i="18"/>
  <c r="O321" i="18"/>
  <c r="V342" i="18"/>
  <c r="U329" i="18"/>
  <c r="AG453" i="18"/>
  <c r="AG389" i="18"/>
  <c r="BH320" i="18"/>
  <c r="BH323" i="18"/>
  <c r="BL56" i="18"/>
  <c r="BM57" i="18"/>
  <c r="O29" i="18"/>
  <c r="P28" i="18"/>
  <c r="P29" i="18" s="1"/>
  <c r="P30" i="18" s="1"/>
  <c r="BS47" i="18"/>
  <c r="BT48" i="18"/>
  <c r="BB151" i="18"/>
  <c r="P329" i="18"/>
  <c r="Q342" i="18"/>
  <c r="O322" i="18"/>
  <c r="P335" i="18"/>
  <c r="U324" i="18"/>
  <c r="AU154" i="18"/>
  <c r="AU155" i="18" s="1"/>
  <c r="AU416" i="18"/>
  <c r="AS181" i="18"/>
  <c r="AS338" i="18"/>
  <c r="AS173" i="18"/>
  <c r="AY7" i="18"/>
  <c r="AT7" i="18"/>
  <c r="O336" i="18"/>
  <c r="S336" i="18"/>
  <c r="Y341" i="18"/>
  <c r="U341" i="18"/>
  <c r="AI141" i="18"/>
  <c r="AH142" i="18"/>
  <c r="BR244" i="18"/>
  <c r="BR274" i="18"/>
  <c r="P320" i="18"/>
  <c r="R105" i="19"/>
  <c r="R117" i="19" s="1"/>
  <c r="R128" i="19"/>
  <c r="R32" i="19"/>
  <c r="R58" i="19"/>
  <c r="R33" i="19"/>
  <c r="F128" i="19"/>
  <c r="F105" i="19"/>
  <c r="F117" i="19" s="1"/>
  <c r="F58" i="19"/>
  <c r="F33" i="19"/>
  <c r="F32" i="19"/>
  <c r="AY67" i="19"/>
  <c r="J152" i="19"/>
  <c r="J67" i="19"/>
  <c r="U126" i="19"/>
  <c r="W126" i="19"/>
  <c r="V126" i="19"/>
  <c r="X126" i="19"/>
  <c r="P152" i="19"/>
  <c r="P67" i="19"/>
  <c r="L152" i="19"/>
  <c r="AT8" i="19"/>
  <c r="AT155" i="19" s="1"/>
  <c r="AY8" i="19"/>
  <c r="BE67" i="19"/>
  <c r="V67" i="19"/>
  <c r="O152" i="19"/>
  <c r="U153" i="19" s="1"/>
  <c r="O67" i="19"/>
  <c r="I152" i="19"/>
  <c r="I67" i="19"/>
  <c r="Q126" i="19"/>
  <c r="P126" i="19"/>
  <c r="R126" i="19"/>
  <c r="O126" i="19"/>
  <c r="AW105" i="19"/>
  <c r="AW117" i="19" s="1"/>
  <c r="AW128" i="19"/>
  <c r="AW58" i="19"/>
  <c r="AW33" i="19"/>
  <c r="AW32" i="19"/>
  <c r="AD105" i="19"/>
  <c r="AD117" i="19" s="1"/>
  <c r="AD128" i="19"/>
  <c r="AD33" i="19"/>
  <c r="AD32" i="19"/>
  <c r="AD58" i="19"/>
  <c r="AN67" i="19"/>
  <c r="Y128" i="19"/>
  <c r="Y105" i="19"/>
  <c r="Y117" i="19" s="1"/>
  <c r="Y32" i="19"/>
  <c r="Y33" i="19"/>
  <c r="Y58" i="19"/>
  <c r="M128" i="19"/>
  <c r="M105" i="19"/>
  <c r="M117" i="19" s="1"/>
  <c r="M58" i="19"/>
  <c r="M33" i="19"/>
  <c r="M32" i="19"/>
  <c r="K126" i="19"/>
  <c r="J126" i="19"/>
  <c r="L126" i="19"/>
  <c r="I126" i="19"/>
  <c r="Q152" i="19"/>
  <c r="Q67" i="19"/>
  <c r="AA152" i="19"/>
  <c r="AA153" i="19" s="1"/>
  <c r="AA67" i="19"/>
  <c r="AC152" i="19"/>
  <c r="AC67" i="19"/>
  <c r="K152" i="19"/>
  <c r="K153" i="19" s="1"/>
  <c r="K67" i="19"/>
  <c r="G105" i="19"/>
  <c r="G117" i="19" s="1"/>
  <c r="G128" i="19"/>
  <c r="G58" i="19"/>
  <c r="G33" i="19"/>
  <c r="G32" i="19"/>
  <c r="AQ67" i="19"/>
  <c r="X128" i="19"/>
  <c r="X105" i="19"/>
  <c r="X117" i="19" s="1"/>
  <c r="X58" i="19"/>
  <c r="X33" i="19"/>
  <c r="X32" i="19"/>
  <c r="AO67" i="19"/>
  <c r="AK152" i="19"/>
  <c r="AU56" i="19" l="1"/>
  <c r="AU166" i="19"/>
  <c r="AZ166" i="19"/>
  <c r="BA54" i="17"/>
  <c r="BA75" i="16" s="1"/>
  <c r="BA47" i="17"/>
  <c r="BA73" i="16" s="1"/>
  <c r="G165" i="19"/>
  <c r="G56" i="19" s="1"/>
  <c r="AZ342" i="18"/>
  <c r="AZ453" i="18" s="1"/>
  <c r="AZ56" i="19"/>
  <c r="CK49" i="18"/>
  <c r="CL49" i="18"/>
  <c r="CJ49" i="18"/>
  <c r="BB109" i="18"/>
  <c r="BB108" i="18" s="1"/>
  <c r="BA98" i="18"/>
  <c r="CE24" i="18"/>
  <c r="CD239" i="18"/>
  <c r="CD240" i="18"/>
  <c r="CD25" i="18"/>
  <c r="CD270" i="18"/>
  <c r="CQ189" i="18"/>
  <c r="AZ10" i="77"/>
  <c r="AV56" i="19"/>
  <c r="BC9" i="77"/>
  <c r="BC10" i="77" s="1"/>
  <c r="BO73" i="77"/>
  <c r="BO84" i="77" s="1"/>
  <c r="AZ593" i="18"/>
  <c r="I260" i="18"/>
  <c r="I602" i="18" s="1"/>
  <c r="AS589" i="18"/>
  <c r="I353" i="18"/>
  <c r="AA112" i="16"/>
  <c r="AA116" i="16" s="1"/>
  <c r="AE116" i="16" s="1"/>
  <c r="AE117" i="16" s="1"/>
  <c r="S157" i="19"/>
  <c r="S166" i="19"/>
  <c r="X149" i="19"/>
  <c r="AJ166" i="19"/>
  <c r="BQ73" i="77"/>
  <c r="BQ84" i="77" s="1"/>
  <c r="BR75" i="77"/>
  <c r="Y168" i="19"/>
  <c r="J166" i="19"/>
  <c r="BE166" i="19"/>
  <c r="I201" i="18"/>
  <c r="O166" i="19"/>
  <c r="AA166" i="19"/>
  <c r="AY166" i="19"/>
  <c r="BA166" i="19"/>
  <c r="AC166" i="19"/>
  <c r="I166" i="19"/>
  <c r="I12" i="18"/>
  <c r="K166" i="19"/>
  <c r="Q166" i="19"/>
  <c r="AM166" i="19"/>
  <c r="AH166" i="19"/>
  <c r="AS166" i="19"/>
  <c r="P166" i="19"/>
  <c r="BG166" i="19"/>
  <c r="AP166" i="19"/>
  <c r="AV166" i="19"/>
  <c r="F149" i="19"/>
  <c r="R149" i="19"/>
  <c r="BA56" i="19"/>
  <c r="S180" i="16"/>
  <c r="S181" i="16"/>
  <c r="S52" i="16" s="1"/>
  <c r="S161" i="16"/>
  <c r="F181" i="16"/>
  <c r="F52" i="16" s="1"/>
  <c r="F180" i="16"/>
  <c r="F161" i="16"/>
  <c r="AE180" i="16"/>
  <c r="AE181" i="16"/>
  <c r="AE52" i="16" s="1"/>
  <c r="AE161" i="16"/>
  <c r="R161" i="16"/>
  <c r="R180" i="16"/>
  <c r="R181" i="16"/>
  <c r="R52" i="16" s="1"/>
  <c r="X180" i="16"/>
  <c r="X161" i="16"/>
  <c r="X181" i="16"/>
  <c r="X52" i="16" s="1"/>
  <c r="CD40" i="18"/>
  <c r="BX40" i="18"/>
  <c r="BQ40" i="18"/>
  <c r="J598" i="18"/>
  <c r="I599" i="18"/>
  <c r="J604" i="18"/>
  <c r="J260" i="18"/>
  <c r="J12" i="18"/>
  <c r="J353" i="18"/>
  <c r="J201" i="18"/>
  <c r="K174" i="18"/>
  <c r="K584" i="18"/>
  <c r="I597" i="18"/>
  <c r="J599" i="18"/>
  <c r="J597" i="18"/>
  <c r="AT181" i="18"/>
  <c r="BR177" i="18"/>
  <c r="BR585" i="18" s="1"/>
  <c r="BC161" i="18"/>
  <c r="BA185" i="18"/>
  <c r="BC151" i="18"/>
  <c r="BQ20" i="16"/>
  <c r="BQ176" i="16" s="1"/>
  <c r="BR120" i="16"/>
  <c r="BR123" i="16" s="1"/>
  <c r="J100" i="16"/>
  <c r="I109" i="16"/>
  <c r="I103" i="16"/>
  <c r="BS121" i="16"/>
  <c r="BS113" i="16"/>
  <c r="BS96" i="16"/>
  <c r="BO20" i="16"/>
  <c r="BN144" i="16"/>
  <c r="J98" i="16"/>
  <c r="J102" i="16"/>
  <c r="G88" i="16"/>
  <c r="AI47" i="17"/>
  <c r="AI73" i="16" s="1"/>
  <c r="AP56" i="19"/>
  <c r="AI54" i="17"/>
  <c r="AI75" i="16" s="1"/>
  <c r="D90" i="16"/>
  <c r="E84" i="16" s="1"/>
  <c r="E90" i="16" s="1"/>
  <c r="F84" i="16" s="1"/>
  <c r="L134" i="16"/>
  <c r="L135" i="16" s="1"/>
  <c r="L136" i="16" s="1"/>
  <c r="L137" i="16" s="1"/>
  <c r="L131" i="16" s="1"/>
  <c r="W74" i="16"/>
  <c r="AP74" i="16"/>
  <c r="BG56" i="19"/>
  <c r="J134" i="16"/>
  <c r="J135" i="16" s="1"/>
  <c r="J136" i="16" s="1"/>
  <c r="J137" i="16" s="1"/>
  <c r="J131" i="16" s="1"/>
  <c r="AD86" i="16"/>
  <c r="AD50" i="16"/>
  <c r="AD51" i="16"/>
  <c r="F86" i="16"/>
  <c r="F89" i="16" s="1"/>
  <c r="G89" i="16" s="1"/>
  <c r="F50" i="16"/>
  <c r="F51" i="16"/>
  <c r="R86" i="16"/>
  <c r="R89" i="16" s="1"/>
  <c r="R50" i="16"/>
  <c r="R51" i="16"/>
  <c r="R158" i="19"/>
  <c r="L158" i="19"/>
  <c r="U89" i="16"/>
  <c r="AY89" i="16"/>
  <c r="BC89" i="16" s="1"/>
  <c r="BC86" i="16"/>
  <c r="K134" i="16"/>
  <c r="K135" i="16" s="1"/>
  <c r="K136" i="16" s="1"/>
  <c r="K137" i="16" s="1"/>
  <c r="K131" i="16" s="1"/>
  <c r="S56" i="19"/>
  <c r="Y50" i="16"/>
  <c r="Y51" i="16"/>
  <c r="P134" i="16"/>
  <c r="P135" i="16" s="1"/>
  <c r="P136" i="16" s="1"/>
  <c r="P137" i="16" s="1"/>
  <c r="P131" i="16" s="1"/>
  <c r="W134" i="16"/>
  <c r="W135" i="16" s="1"/>
  <c r="W136" i="16" s="1"/>
  <c r="W137" i="16" s="1"/>
  <c r="W131" i="16" s="1"/>
  <c r="V54" i="17"/>
  <c r="V75" i="16" s="1"/>
  <c r="V74" i="16"/>
  <c r="AQ86" i="16"/>
  <c r="AP89" i="16"/>
  <c r="AQ89" i="16" s="1"/>
  <c r="S168" i="19"/>
  <c r="X134" i="16"/>
  <c r="X135" i="16" s="1"/>
  <c r="X136" i="16" s="1"/>
  <c r="X137" i="16" s="1"/>
  <c r="X131" i="16" s="1"/>
  <c r="BF74" i="16"/>
  <c r="R134" i="16"/>
  <c r="R135" i="16" s="1"/>
  <c r="R136" i="16" s="1"/>
  <c r="R137" i="16" s="1"/>
  <c r="R131" i="16" s="1"/>
  <c r="V134" i="16"/>
  <c r="V135" i="16" s="1"/>
  <c r="V136" i="16" s="1"/>
  <c r="V137" i="16" s="1"/>
  <c r="V131" i="16" s="1"/>
  <c r="AW50" i="16"/>
  <c r="AW51" i="16"/>
  <c r="Q134" i="16"/>
  <c r="Q135" i="16" s="1"/>
  <c r="Q136" i="16" s="1"/>
  <c r="Q137" i="16" s="1"/>
  <c r="Q131" i="16" s="1"/>
  <c r="U134" i="16"/>
  <c r="U135" i="16" s="1"/>
  <c r="U136" i="16" s="1"/>
  <c r="U137" i="16" s="1"/>
  <c r="U131" i="16" s="1"/>
  <c r="AB54" i="17"/>
  <c r="AB75" i="16" s="1"/>
  <c r="AB74" i="16"/>
  <c r="R168" i="19"/>
  <c r="U56" i="19"/>
  <c r="AK89" i="16"/>
  <c r="M86" i="16"/>
  <c r="I89" i="16"/>
  <c r="M89" i="16" s="1"/>
  <c r="X86" i="16"/>
  <c r="X89" i="16" s="1"/>
  <c r="X50" i="16"/>
  <c r="X51" i="16"/>
  <c r="O134" i="16"/>
  <c r="O135" i="16" s="1"/>
  <c r="O136" i="16" s="1"/>
  <c r="O137" i="16" s="1"/>
  <c r="O131" i="16" s="1"/>
  <c r="AE164" i="19"/>
  <c r="AK66" i="19" s="1"/>
  <c r="M50" i="16"/>
  <c r="M51" i="16"/>
  <c r="I134" i="16"/>
  <c r="I135" i="16" s="1"/>
  <c r="I136" i="16" s="1"/>
  <c r="I137" i="16" s="1"/>
  <c r="I131" i="16" s="1"/>
  <c r="AE134" i="16"/>
  <c r="AE135" i="16" s="1"/>
  <c r="AE136" i="16" s="1"/>
  <c r="AE137" i="16" s="1"/>
  <c r="AE131" i="16" s="1"/>
  <c r="W56" i="19"/>
  <c r="O89" i="16"/>
  <c r="AK86" i="16"/>
  <c r="BE89" i="16"/>
  <c r="BF47" i="17"/>
  <c r="BF73" i="16" s="1"/>
  <c r="BF54" i="17"/>
  <c r="BC158" i="19"/>
  <c r="AC153" i="19"/>
  <c r="W153" i="19"/>
  <c r="AK173" i="19"/>
  <c r="AD149" i="19"/>
  <c r="AE157" i="19"/>
  <c r="AM56" i="19"/>
  <c r="AW165" i="19"/>
  <c r="BC165" i="19"/>
  <c r="BC66" i="19"/>
  <c r="AN168" i="19"/>
  <c r="AW167" i="19"/>
  <c r="AW158" i="19"/>
  <c r="AK168" i="19"/>
  <c r="AK165" i="19"/>
  <c r="AW168" i="19"/>
  <c r="AT66" i="19"/>
  <c r="X158" i="19"/>
  <c r="AO66" i="19"/>
  <c r="AO168" i="19"/>
  <c r="AN165" i="19"/>
  <c r="AN66" i="19"/>
  <c r="AY8" i="48"/>
  <c r="AY13" i="48" s="1"/>
  <c r="AY155" i="19"/>
  <c r="AO165" i="19"/>
  <c r="AQ167" i="19"/>
  <c r="AQ164" i="19"/>
  <c r="AU66" i="19"/>
  <c r="CG7" i="19"/>
  <c r="CA155" i="19"/>
  <c r="AD158" i="19"/>
  <c r="AJ158" i="19"/>
  <c r="M158" i="19"/>
  <c r="AQ158" i="19"/>
  <c r="M165" i="19"/>
  <c r="M166" i="19" s="1"/>
  <c r="AY56" i="19"/>
  <c r="AN153" i="19"/>
  <c r="S66" i="19"/>
  <c r="BE152" i="19"/>
  <c r="M66" i="19"/>
  <c r="AY149" i="19"/>
  <c r="AY152" i="19"/>
  <c r="BC152" i="19" s="1"/>
  <c r="BA153" i="19"/>
  <c r="BG153" i="19"/>
  <c r="X66" i="19"/>
  <c r="X165" i="19"/>
  <c r="F165" i="19"/>
  <c r="L66" i="19"/>
  <c r="AC56" i="19"/>
  <c r="P56" i="19"/>
  <c r="AA56" i="19"/>
  <c r="AD66" i="19"/>
  <c r="AJ66" i="19"/>
  <c r="AD165" i="19"/>
  <c r="BE56" i="19"/>
  <c r="AP54" i="17"/>
  <c r="R66" i="19"/>
  <c r="R165" i="19"/>
  <c r="I56" i="19"/>
  <c r="AP47" i="17"/>
  <c r="AP73" i="16" s="1"/>
  <c r="K56" i="19"/>
  <c r="Q56" i="19"/>
  <c r="Y165" i="19"/>
  <c r="Y66" i="19"/>
  <c r="AN149" i="19"/>
  <c r="AU153" i="19"/>
  <c r="O56" i="19"/>
  <c r="J56" i="19"/>
  <c r="AQ152" i="19"/>
  <c r="AQ153" i="19" s="1"/>
  <c r="AO153" i="19"/>
  <c r="AQ149" i="19"/>
  <c r="W47" i="17"/>
  <c r="W54" i="17"/>
  <c r="AS149" i="19"/>
  <c r="AS152" i="19"/>
  <c r="AW149" i="19"/>
  <c r="AS56" i="19"/>
  <c r="AO149" i="19"/>
  <c r="AB47" i="17"/>
  <c r="AH153" i="19"/>
  <c r="V47" i="17"/>
  <c r="S149" i="19"/>
  <c r="AE105" i="19"/>
  <c r="AE117" i="19" s="1"/>
  <c r="J153" i="19"/>
  <c r="AH54" i="17"/>
  <c r="AK10" i="17"/>
  <c r="AK26" i="17" s="1"/>
  <c r="AE58" i="19"/>
  <c r="AH47" i="17"/>
  <c r="AE32" i="19"/>
  <c r="AE128" i="19"/>
  <c r="AE149" i="19"/>
  <c r="V153" i="19"/>
  <c r="AZ153" i="19"/>
  <c r="BF153" i="19"/>
  <c r="I153" i="19"/>
  <c r="S32" i="19"/>
  <c r="O153" i="19"/>
  <c r="P153" i="19"/>
  <c r="AG153" i="19"/>
  <c r="S105" i="19"/>
  <c r="S117" i="19" s="1"/>
  <c r="AI153" i="19"/>
  <c r="S58" i="19"/>
  <c r="AE33" i="19"/>
  <c r="S33" i="19"/>
  <c r="Y67" i="19" s="1"/>
  <c r="Q153" i="19"/>
  <c r="AB153" i="19"/>
  <c r="BT32" i="17"/>
  <c r="BU32" i="17" s="1"/>
  <c r="BR7" i="77"/>
  <c r="BS7" i="77" s="1"/>
  <c r="BT7" i="77" s="1"/>
  <c r="BW7" i="77"/>
  <c r="AT338" i="18"/>
  <c r="BY96" i="77"/>
  <c r="BZ32" i="77"/>
  <c r="BY115" i="77"/>
  <c r="BT147" i="18"/>
  <c r="CE55" i="18"/>
  <c r="EF52" i="18"/>
  <c r="BR269" i="18"/>
  <c r="BU146" i="18"/>
  <c r="BW146" i="18"/>
  <c r="BS147" i="18"/>
  <c r="BR374" i="18"/>
  <c r="BQ374" i="18"/>
  <c r="AE44" i="77"/>
  <c r="BB184" i="18"/>
  <c r="Y44" i="77"/>
  <c r="BA342" i="18"/>
  <c r="BA453" i="18" s="1"/>
  <c r="BW241" i="18"/>
  <c r="BW39" i="18"/>
  <c r="BW40" i="18" s="1"/>
  <c r="BY269" i="18"/>
  <c r="BI246" i="18"/>
  <c r="CF190" i="18"/>
  <c r="CI190" i="18" s="1"/>
  <c r="CG6" i="18"/>
  <c r="CA173" i="18"/>
  <c r="BT47" i="18"/>
  <c r="BU47" i="18" s="1"/>
  <c r="BW48" i="18"/>
  <c r="BX271" i="18"/>
  <c r="CC77" i="19"/>
  <c r="CC78" i="19"/>
  <c r="K20" i="77"/>
  <c r="BC341" i="18"/>
  <c r="BC388" i="18" s="1"/>
  <c r="AW65" i="17"/>
  <c r="BC61" i="17" s="1"/>
  <c r="BC63" i="17" s="1"/>
  <c r="BC73" i="17" s="1"/>
  <c r="AI139" i="18"/>
  <c r="BB341" i="18"/>
  <c r="BB388" i="18" s="1"/>
  <c r="AK115" i="77"/>
  <c r="AY98" i="77"/>
  <c r="AK112" i="77"/>
  <c r="AK113" i="77" s="1"/>
  <c r="L15" i="77"/>
  <c r="M15" i="77" s="1"/>
  <c r="I340" i="18"/>
  <c r="M340" i="18"/>
  <c r="O340" i="18"/>
  <c r="S340" i="18"/>
  <c r="G152" i="19"/>
  <c r="Y34" i="19"/>
  <c r="AD34" i="19"/>
  <c r="AD10" i="17"/>
  <c r="AD26" i="17" s="1"/>
  <c r="AD74" i="16" s="1"/>
  <c r="AU8" i="19"/>
  <c r="AU155" i="19" s="1"/>
  <c r="AT8" i="48"/>
  <c r="F152" i="19"/>
  <c r="L153" i="19" s="1"/>
  <c r="AM54" i="17"/>
  <c r="AM75" i="16" s="1"/>
  <c r="AM47" i="17"/>
  <c r="AM73" i="16" s="1"/>
  <c r="AK16" i="77"/>
  <c r="AK17" i="77" s="1"/>
  <c r="AK44" i="77"/>
  <c r="AK30" i="77"/>
  <c r="BC21" i="18"/>
  <c r="AT55" i="17"/>
  <c r="AT76" i="16" s="1"/>
  <c r="AY26" i="17"/>
  <c r="AY74" i="16" s="1"/>
  <c r="BC10" i="17"/>
  <c r="BC26" i="17" s="1"/>
  <c r="BC74" i="16" s="1"/>
  <c r="BC34" i="19"/>
  <c r="AW47" i="17"/>
  <c r="AW73" i="16" s="1"/>
  <c r="AW54" i="17"/>
  <c r="AY7" i="48"/>
  <c r="BC7" i="48"/>
  <c r="AN54" i="17"/>
  <c r="AN75" i="16" s="1"/>
  <c r="AN47" i="17"/>
  <c r="AN73" i="16" s="1"/>
  <c r="P26" i="17"/>
  <c r="P74" i="16" s="1"/>
  <c r="X34" i="19"/>
  <c r="X10" i="17"/>
  <c r="G34" i="19"/>
  <c r="M34" i="19"/>
  <c r="AW34" i="19"/>
  <c r="F34" i="19"/>
  <c r="R34" i="19"/>
  <c r="R10" i="17"/>
  <c r="R26" i="17" s="1"/>
  <c r="R74" i="16" s="1"/>
  <c r="AU55" i="17"/>
  <c r="AU76" i="16" s="1"/>
  <c r="AJ55" i="17"/>
  <c r="AJ76" i="16" s="1"/>
  <c r="AV55" i="17"/>
  <c r="AV76" i="16" s="1"/>
  <c r="AQ10" i="17"/>
  <c r="AQ26" i="17" s="1"/>
  <c r="AQ74" i="16" s="1"/>
  <c r="BB55" i="17"/>
  <c r="BB76" i="16" s="1"/>
  <c r="AZ55" i="17"/>
  <c r="AZ76" i="16" s="1"/>
  <c r="AA26" i="17"/>
  <c r="AA74" i="16" s="1"/>
  <c r="O54" i="17"/>
  <c r="O75" i="16" s="1"/>
  <c r="O47" i="17"/>
  <c r="O73" i="16" s="1"/>
  <c r="AP8" i="19"/>
  <c r="AO8" i="48"/>
  <c r="BA58" i="77"/>
  <c r="BG53" i="77"/>
  <c r="AG47" i="17"/>
  <c r="AG73" i="16" s="1"/>
  <c r="AG54" i="17"/>
  <c r="AG75" i="16" s="1"/>
  <c r="U54" i="17"/>
  <c r="U75" i="16" s="1"/>
  <c r="U47" i="17"/>
  <c r="U73" i="16" s="1"/>
  <c r="AS54" i="17"/>
  <c r="AS75" i="16" s="1"/>
  <c r="AS47" i="17"/>
  <c r="AS73" i="16" s="1"/>
  <c r="Q54" i="17"/>
  <c r="Q75" i="16" s="1"/>
  <c r="Q47" i="17"/>
  <c r="Q73" i="16" s="1"/>
  <c r="AO54" i="17"/>
  <c r="AO75" i="16" s="1"/>
  <c r="AO47" i="17"/>
  <c r="AO73" i="16" s="1"/>
  <c r="AC54" i="17"/>
  <c r="AC75" i="16" s="1"/>
  <c r="AC47" i="17"/>
  <c r="AC73" i="16" s="1"/>
  <c r="BE47" i="17"/>
  <c r="BE73" i="16" s="1"/>
  <c r="BE54" i="17"/>
  <c r="BE75" i="16" s="1"/>
  <c r="BT71" i="77"/>
  <c r="BW71" i="77" s="1"/>
  <c r="BN61" i="77"/>
  <c r="BN72" i="77"/>
  <c r="BR70" i="77"/>
  <c r="BQ68" i="77"/>
  <c r="W48" i="77"/>
  <c r="BM65" i="77"/>
  <c r="BR19" i="48"/>
  <c r="BR56" i="48" s="1"/>
  <c r="BU11" i="48"/>
  <c r="BQ76" i="17"/>
  <c r="O48" i="17"/>
  <c r="M51" i="17"/>
  <c r="BR78" i="17"/>
  <c r="BR41" i="19" s="1"/>
  <c r="BS43" i="48"/>
  <c r="J48" i="17"/>
  <c r="J49" i="17" s="1"/>
  <c r="I51" i="17"/>
  <c r="AZ8" i="17"/>
  <c r="BA8" i="17" s="1"/>
  <c r="BB8" i="17" s="1"/>
  <c r="BE8" i="17"/>
  <c r="BQ24" i="17"/>
  <c r="BQ22" i="17"/>
  <c r="BG103" i="18"/>
  <c r="DQ57" i="18" s="1"/>
  <c r="BE179" i="18"/>
  <c r="BE587" i="18" s="1"/>
  <c r="BE336" i="18"/>
  <c r="BE184" i="18"/>
  <c r="BE592" i="18" s="1"/>
  <c r="BE341" i="18"/>
  <c r="AH139" i="18"/>
  <c r="BB179" i="18"/>
  <c r="BB336" i="18"/>
  <c r="BN57" i="18"/>
  <c r="BO57" i="18" s="1"/>
  <c r="BM56" i="18"/>
  <c r="O338" i="18"/>
  <c r="S338" i="18"/>
  <c r="O341" i="18"/>
  <c r="S341" i="18"/>
  <c r="AT173" i="18"/>
  <c r="AU7" i="18"/>
  <c r="BC336" i="18"/>
  <c r="M339" i="18"/>
  <c r="I339" i="18"/>
  <c r="O339" i="18"/>
  <c r="S339" i="18"/>
  <c r="M144" i="18"/>
  <c r="M145" i="18" s="1"/>
  <c r="O144" i="18"/>
  <c r="AO178" i="18"/>
  <c r="AO335" i="18"/>
  <c r="AQ335" i="18"/>
  <c r="BL326" i="18"/>
  <c r="AU181" i="18"/>
  <c r="AU338" i="18"/>
  <c r="BF160" i="18"/>
  <c r="BF161" i="18" s="1"/>
  <c r="L176" i="18"/>
  <c r="L584" i="18" s="1"/>
  <c r="L596" i="18" s="1"/>
  <c r="L597" i="18" s="1"/>
  <c r="L333" i="18"/>
  <c r="L345" i="18" s="1"/>
  <c r="L346" i="18" s="1"/>
  <c r="AJ141" i="18"/>
  <c r="AJ142" i="18" s="1"/>
  <c r="AI142" i="18"/>
  <c r="AJ139" i="18" s="1"/>
  <c r="BI323" i="18"/>
  <c r="BK323" i="18" s="1"/>
  <c r="BA383" i="18"/>
  <c r="BA447" i="18"/>
  <c r="I320" i="18"/>
  <c r="J333" i="18"/>
  <c r="BL327" i="18"/>
  <c r="I335" i="18"/>
  <c r="M335" i="18"/>
  <c r="S335" i="18"/>
  <c r="O335" i="18"/>
  <c r="BS274" i="18"/>
  <c r="BS244" i="18"/>
  <c r="BI320" i="18"/>
  <c r="BK320" i="18" s="1"/>
  <c r="BI322" i="18"/>
  <c r="BK322" i="18" s="1"/>
  <c r="K345" i="18"/>
  <c r="K346" i="18" s="1"/>
  <c r="BI445" i="18"/>
  <c r="BI381" i="18"/>
  <c r="BM325" i="18"/>
  <c r="BE281" i="18"/>
  <c r="BI328" i="18"/>
  <c r="BK328" i="18" s="1"/>
  <c r="AS449" i="18"/>
  <c r="AS385" i="18"/>
  <c r="U337" i="18"/>
  <c r="BQ79" i="18"/>
  <c r="BO80" i="18"/>
  <c r="BQ80" i="18" s="1"/>
  <c r="BR80" i="18" s="1"/>
  <c r="BS80" i="18" s="1"/>
  <c r="BT80" i="18" s="1"/>
  <c r="Q28" i="18"/>
  <c r="BG445" i="18"/>
  <c r="BG381" i="18"/>
  <c r="M338" i="18"/>
  <c r="I338" i="18"/>
  <c r="BK53" i="18"/>
  <c r="BL54" i="18"/>
  <c r="AQ148" i="18"/>
  <c r="BF150" i="18"/>
  <c r="BF151" i="18" s="1"/>
  <c r="BI329" i="18"/>
  <c r="BK329" i="18" s="1"/>
  <c r="AV154" i="18"/>
  <c r="AV155" i="18" s="1"/>
  <c r="AU152" i="18"/>
  <c r="AU398" i="18" s="1"/>
  <c r="AV416" i="18"/>
  <c r="AW416" i="18" s="1"/>
  <c r="M341" i="18"/>
  <c r="I341" i="18"/>
  <c r="BA452" i="18"/>
  <c r="BA388" i="18"/>
  <c r="BH334" i="18"/>
  <c r="BI321" i="18"/>
  <c r="BK321" i="18" s="1"/>
  <c r="BS374" i="18"/>
  <c r="BT89" i="18"/>
  <c r="I334" i="18"/>
  <c r="M334" i="18"/>
  <c r="P337" i="18"/>
  <c r="O324" i="18"/>
  <c r="AG139" i="18"/>
  <c r="O320" i="18"/>
  <c r="P342" i="18"/>
  <c r="O329" i="18"/>
  <c r="O30" i="18"/>
  <c r="J337" i="18"/>
  <c r="I324" i="18"/>
  <c r="DP57" i="18"/>
  <c r="BF99" i="18"/>
  <c r="AO173" i="18"/>
  <c r="AP7" i="18"/>
  <c r="AP173" i="18" s="1"/>
  <c r="AP178" i="18"/>
  <c r="AP335" i="18"/>
  <c r="AZ7" i="18"/>
  <c r="AY173" i="18"/>
  <c r="BE7" i="18"/>
  <c r="S334" i="18"/>
  <c r="O334" i="18"/>
  <c r="J342" i="18"/>
  <c r="I329" i="18"/>
  <c r="U342" i="18"/>
  <c r="Y342" i="18"/>
  <c r="BL324" i="18"/>
  <c r="BC67" i="19"/>
  <c r="X152" i="19"/>
  <c r="X67" i="19"/>
  <c r="Y152" i="19"/>
  <c r="AD152" i="19"/>
  <c r="AD67" i="19"/>
  <c r="AJ67" i="19"/>
  <c r="BE8" i="19"/>
  <c r="AZ8" i="19"/>
  <c r="AZ155" i="19" s="1"/>
  <c r="M152" i="19"/>
  <c r="M67" i="19"/>
  <c r="R152" i="19"/>
  <c r="R153" i="19" s="1"/>
  <c r="R67" i="19"/>
  <c r="AW67" i="19"/>
  <c r="L67" i="19"/>
  <c r="BA55" i="17" l="1"/>
  <c r="BA76" i="16" s="1"/>
  <c r="S158" i="19"/>
  <c r="AZ389" i="18"/>
  <c r="CM49" i="18"/>
  <c r="CG173" i="18"/>
  <c r="CM6" i="18"/>
  <c r="CO49" i="18"/>
  <c r="BB98" i="18"/>
  <c r="BE109" i="18"/>
  <c r="BC108" i="18"/>
  <c r="BC98" i="18" s="1"/>
  <c r="DN58" i="18"/>
  <c r="DN59" i="18" s="1"/>
  <c r="BB105" i="18"/>
  <c r="BC109" i="18"/>
  <c r="BC258" i="18" s="1"/>
  <c r="BB162" i="18"/>
  <c r="CG155" i="19"/>
  <c r="CM7" i="19"/>
  <c r="CE239" i="18"/>
  <c r="CE270" i="18"/>
  <c r="CE25" i="18"/>
  <c r="CE240" i="18"/>
  <c r="CE39" i="18"/>
  <c r="CF24" i="18"/>
  <c r="CR189" i="18"/>
  <c r="CJ190" i="18"/>
  <c r="I351" i="18"/>
  <c r="Y158" i="19"/>
  <c r="BC11" i="77"/>
  <c r="Y166" i="19"/>
  <c r="AA115" i="16"/>
  <c r="AU589" i="18"/>
  <c r="AT589" i="18"/>
  <c r="BA593" i="18"/>
  <c r="S86" i="16"/>
  <c r="BS75" i="77"/>
  <c r="BS73" i="77" s="1"/>
  <c r="BS84" i="77" s="1"/>
  <c r="BR66" i="77"/>
  <c r="BR73" i="77"/>
  <c r="BR84" i="77" s="1"/>
  <c r="I205" i="18"/>
  <c r="I225" i="18" s="1"/>
  <c r="I265" i="18" s="1"/>
  <c r="I243" i="18"/>
  <c r="AD166" i="19"/>
  <c r="AK166" i="19"/>
  <c r="AW166" i="19"/>
  <c r="R166" i="19"/>
  <c r="AN166" i="19"/>
  <c r="BC166" i="19"/>
  <c r="X166" i="19"/>
  <c r="AO166" i="19"/>
  <c r="BO144" i="16"/>
  <c r="BO176" i="16"/>
  <c r="AI55" i="17"/>
  <c r="AI76" i="16" s="1"/>
  <c r="L599" i="18"/>
  <c r="K596" i="18"/>
  <c r="M584" i="18"/>
  <c r="AP586" i="18"/>
  <c r="BC184" i="18"/>
  <c r="BC197" i="18" s="1"/>
  <c r="BB592" i="18"/>
  <c r="BC592" i="18" s="1"/>
  <c r="K604" i="18"/>
  <c r="K201" i="18"/>
  <c r="K353" i="18"/>
  <c r="K12" i="18"/>
  <c r="K260" i="18"/>
  <c r="BC179" i="18"/>
  <c r="BC192" i="18" s="1"/>
  <c r="BB587" i="18"/>
  <c r="BC587" i="18" s="1"/>
  <c r="AO586" i="18"/>
  <c r="J243" i="18"/>
  <c r="J205" i="18"/>
  <c r="J225" i="18" s="1"/>
  <c r="J602" i="18"/>
  <c r="J351" i="18"/>
  <c r="BT177" i="18"/>
  <c r="BT585" i="18" s="1"/>
  <c r="BS177" i="18"/>
  <c r="BS585" i="18" s="1"/>
  <c r="G86" i="16"/>
  <c r="G90" i="16" s="1"/>
  <c r="BX71" i="77"/>
  <c r="BY71" i="77" s="1"/>
  <c r="BZ71" i="77" s="1"/>
  <c r="CC71" i="77" s="1"/>
  <c r="CD71" i="77" s="1"/>
  <c r="CE71" i="77" s="1"/>
  <c r="CF71" i="77" s="1"/>
  <c r="CI71" i="77" s="1"/>
  <c r="K93" i="16"/>
  <c r="J108" i="16"/>
  <c r="J104" i="16"/>
  <c r="BR20" i="16"/>
  <c r="BR176" i="16" s="1"/>
  <c r="BS120" i="16"/>
  <c r="BS123" i="16" s="1"/>
  <c r="BT121" i="16"/>
  <c r="BU121" i="16" s="1"/>
  <c r="BU123" i="16" s="1"/>
  <c r="BW120" i="16" s="1"/>
  <c r="BT113" i="16"/>
  <c r="BU113" i="16" s="1"/>
  <c r="BT96" i="16"/>
  <c r="BU96" i="16" s="1"/>
  <c r="AG112" i="16"/>
  <c r="AK112" i="16"/>
  <c r="AK115" i="16" s="1"/>
  <c r="AE165" i="19"/>
  <c r="V55" i="17"/>
  <c r="V76" i="16" s="1"/>
  <c r="BF55" i="17"/>
  <c r="BF76" i="16" s="1"/>
  <c r="AE66" i="19"/>
  <c r="AW75" i="16"/>
  <c r="AK54" i="17"/>
  <c r="AK74" i="16"/>
  <c r="AK158" i="19"/>
  <c r="Y89" i="16"/>
  <c r="F90" i="16"/>
  <c r="AE168" i="19"/>
  <c r="Y86" i="16"/>
  <c r="AH75" i="16"/>
  <c r="Y56" i="19"/>
  <c r="AE50" i="16"/>
  <c r="AE51" i="16"/>
  <c r="AB73" i="16"/>
  <c r="M56" i="19"/>
  <c r="AB55" i="17"/>
  <c r="AB76" i="16" s="1"/>
  <c r="S34" i="19"/>
  <c r="S50" i="16"/>
  <c r="S51" i="16"/>
  <c r="AH73" i="16"/>
  <c r="V73" i="16"/>
  <c r="W75" i="16"/>
  <c r="AP75" i="16"/>
  <c r="AE86" i="16"/>
  <c r="AD89" i="16"/>
  <c r="AE89" i="16" s="1"/>
  <c r="W73" i="16"/>
  <c r="BF75" i="16"/>
  <c r="S89" i="16"/>
  <c r="AE158" i="19"/>
  <c r="AY14" i="48"/>
  <c r="AY15" i="48" s="1"/>
  <c r="AW56" i="19"/>
  <c r="BC56" i="19"/>
  <c r="AY21" i="48"/>
  <c r="AY20" i="48" s="1"/>
  <c r="AP55" i="17"/>
  <c r="AP76" i="16" s="1"/>
  <c r="AQ66" i="19"/>
  <c r="AY22" i="48"/>
  <c r="AK56" i="19"/>
  <c r="AY29" i="48"/>
  <c r="AY31" i="48" s="1"/>
  <c r="AQ165" i="19"/>
  <c r="AN56" i="19"/>
  <c r="AQ168" i="19"/>
  <c r="BC168" i="19"/>
  <c r="BE8" i="48"/>
  <c r="BE21" i="48" s="1"/>
  <c r="BE155" i="19"/>
  <c r="AP8" i="48"/>
  <c r="AP155" i="19"/>
  <c r="AO56" i="19"/>
  <c r="AW66" i="19"/>
  <c r="BE153" i="19"/>
  <c r="X56" i="19"/>
  <c r="F56" i="19"/>
  <c r="W55" i="17"/>
  <c r="W76" i="16" s="1"/>
  <c r="R56" i="19"/>
  <c r="AD56" i="19"/>
  <c r="AS153" i="19"/>
  <c r="AW152" i="19"/>
  <c r="AW153" i="19" s="1"/>
  <c r="AY153" i="19"/>
  <c r="AH55" i="17"/>
  <c r="AE152" i="19"/>
  <c r="AK153" i="19" s="1"/>
  <c r="BC64" i="17"/>
  <c r="BC65" i="17" s="1"/>
  <c r="BI61" i="17" s="1"/>
  <c r="AE34" i="19"/>
  <c r="AE67" i="19"/>
  <c r="S67" i="19"/>
  <c r="S152" i="19"/>
  <c r="S153" i="19" s="1"/>
  <c r="X153" i="19"/>
  <c r="AT385" i="18"/>
  <c r="M153" i="19"/>
  <c r="AD153" i="19"/>
  <c r="AJ153" i="19"/>
  <c r="AK67" i="19"/>
  <c r="AT449" i="18"/>
  <c r="BX269" i="18"/>
  <c r="BW11" i="48"/>
  <c r="BW32" i="17"/>
  <c r="CC7" i="77"/>
  <c r="BX7" i="77"/>
  <c r="BY7" i="77" s="1"/>
  <c r="BZ7" i="77" s="1"/>
  <c r="CC32" i="77"/>
  <c r="BZ96" i="77"/>
  <c r="BZ115" i="77"/>
  <c r="BU147" i="18"/>
  <c r="EG52" i="18"/>
  <c r="CF55" i="18"/>
  <c r="BW147" i="18"/>
  <c r="BX146" i="18"/>
  <c r="BX147" i="18" s="1"/>
  <c r="BT244" i="18"/>
  <c r="BT274" i="18"/>
  <c r="BU274" i="18"/>
  <c r="BU244" i="18"/>
  <c r="BA389" i="18"/>
  <c r="AU462" i="18"/>
  <c r="BC452" i="18"/>
  <c r="CC241" i="18"/>
  <c r="CC39" i="18"/>
  <c r="CD271" i="18"/>
  <c r="BU48" i="18"/>
  <c r="BX48" i="18"/>
  <c r="BW47" i="18"/>
  <c r="BB452" i="18"/>
  <c r="BR37" i="19"/>
  <c r="CD77" i="19"/>
  <c r="CE77" i="19" s="1"/>
  <c r="CD78" i="19"/>
  <c r="CE78" i="19" s="1"/>
  <c r="L22" i="77"/>
  <c r="L20" i="77"/>
  <c r="AK142" i="18"/>
  <c r="AK141" i="18"/>
  <c r="M22" i="77"/>
  <c r="O15" i="77"/>
  <c r="O22" i="77" s="1"/>
  <c r="M20" i="77"/>
  <c r="AS98" i="77"/>
  <c r="BC98" i="77"/>
  <c r="AY101" i="77"/>
  <c r="AY100" i="77"/>
  <c r="AE10" i="17"/>
  <c r="AE26" i="17" s="1"/>
  <c r="BA8" i="19"/>
  <c r="BA155" i="19" s="1"/>
  <c r="AZ8" i="48"/>
  <c r="AS55" i="17"/>
  <c r="AS76" i="16" s="1"/>
  <c r="AK47" i="17"/>
  <c r="AK73" i="16" s="1"/>
  <c r="O55" i="17"/>
  <c r="O76" i="16" s="1"/>
  <c r="R54" i="17"/>
  <c r="R75" i="16" s="1"/>
  <c r="R47" i="17"/>
  <c r="R73" i="16" s="1"/>
  <c r="AY12" i="48"/>
  <c r="P54" i="17"/>
  <c r="P75" i="16" s="1"/>
  <c r="P47" i="17"/>
  <c r="P73" i="16" s="1"/>
  <c r="AN55" i="17"/>
  <c r="AN76" i="16" s="1"/>
  <c r="AY54" i="17"/>
  <c r="AY75" i="16" s="1"/>
  <c r="AY47" i="17"/>
  <c r="AY73" i="16" s="1"/>
  <c r="AT56" i="17"/>
  <c r="AV8" i="19"/>
  <c r="AU8" i="48"/>
  <c r="BO118" i="19"/>
  <c r="BO35" i="19"/>
  <c r="BE55" i="17"/>
  <c r="BE76" i="16" s="1"/>
  <c r="AC55" i="17"/>
  <c r="AC76" i="16" s="1"/>
  <c r="AO55" i="17"/>
  <c r="AO76" i="16" s="1"/>
  <c r="Q55" i="17"/>
  <c r="Q76" i="16" s="1"/>
  <c r="U55" i="17"/>
  <c r="U76" i="16" s="1"/>
  <c r="AG55" i="17"/>
  <c r="AG76" i="16" s="1"/>
  <c r="BG103" i="77"/>
  <c r="AA47" i="17"/>
  <c r="AA73" i="16" s="1"/>
  <c r="AA54" i="17"/>
  <c r="AA75" i="16" s="1"/>
  <c r="AZ56" i="17"/>
  <c r="BB56" i="17"/>
  <c r="AQ54" i="17"/>
  <c r="AQ47" i="17"/>
  <c r="AQ73" i="16" s="1"/>
  <c r="AV56" i="17"/>
  <c r="AJ56" i="17"/>
  <c r="AU56" i="17"/>
  <c r="X26" i="17"/>
  <c r="X74" i="16" s="1"/>
  <c r="Y10" i="17"/>
  <c r="Y26" i="17" s="1"/>
  <c r="Y74" i="16" s="1"/>
  <c r="S10" i="17"/>
  <c r="S26" i="17" s="1"/>
  <c r="S74" i="16" s="1"/>
  <c r="BK7" i="19"/>
  <c r="BE7" i="48"/>
  <c r="BI7" i="48"/>
  <c r="AW55" i="17"/>
  <c r="AW76" i="16" s="1"/>
  <c r="BC54" i="17"/>
  <c r="BC47" i="17"/>
  <c r="BC73" i="16" s="1"/>
  <c r="AM55" i="17"/>
  <c r="AM76" i="16" s="1"/>
  <c r="AT14" i="48"/>
  <c r="AT21" i="48"/>
  <c r="AT29" i="48"/>
  <c r="AT13" i="48"/>
  <c r="AT22" i="48"/>
  <c r="AD54" i="17"/>
  <c r="AD75" i="16" s="1"/>
  <c r="AD47" i="17"/>
  <c r="AD73" i="16" s="1"/>
  <c r="BS70" i="77"/>
  <c r="BR68" i="77"/>
  <c r="BN65" i="77"/>
  <c r="BN67" i="77"/>
  <c r="X48" i="77"/>
  <c r="BU71" i="77"/>
  <c r="BQ72" i="77"/>
  <c r="BS19" i="48"/>
  <c r="BS56" i="48" s="1"/>
  <c r="S48" i="17"/>
  <c r="O49" i="17"/>
  <c r="BK8" i="17"/>
  <c r="BL8" i="17" s="1"/>
  <c r="BF8" i="17"/>
  <c r="BG8" i="17" s="1"/>
  <c r="BH8" i="17" s="1"/>
  <c r="K48" i="17"/>
  <c r="K49" i="17" s="1"/>
  <c r="J51" i="17"/>
  <c r="BS78" i="17"/>
  <c r="BS41" i="19" s="1"/>
  <c r="BS37" i="19" s="1"/>
  <c r="BR76" i="17"/>
  <c r="BR36" i="19" s="1"/>
  <c r="BQ25" i="17"/>
  <c r="AV181" i="18"/>
  <c r="AV338" i="18"/>
  <c r="AW155" i="18"/>
  <c r="AW338" i="18"/>
  <c r="BF184" i="18"/>
  <c r="BF592" i="18" s="1"/>
  <c r="BF341" i="18"/>
  <c r="I337" i="18"/>
  <c r="M337" i="18"/>
  <c r="BF179" i="18"/>
  <c r="BF587" i="18" s="1"/>
  <c r="BF336" i="18"/>
  <c r="AQ446" i="18"/>
  <c r="AQ382" i="18"/>
  <c r="BL320" i="18"/>
  <c r="BG99" i="18"/>
  <c r="BG150" i="18"/>
  <c r="BG151" i="18" s="1"/>
  <c r="AO446" i="18"/>
  <c r="AO382" i="18"/>
  <c r="BE173" i="18"/>
  <c r="BK7" i="18"/>
  <c r="BF7" i="18"/>
  <c r="AK139" i="18"/>
  <c r="BE383" i="18"/>
  <c r="BE447" i="18"/>
  <c r="BL321" i="18"/>
  <c r="BK334" i="18"/>
  <c r="AV419" i="18"/>
  <c r="AV152" i="18"/>
  <c r="AV398" i="18" s="1"/>
  <c r="AW398" i="18" s="1"/>
  <c r="AU169" i="18"/>
  <c r="AU172" i="18" s="1"/>
  <c r="AU111" i="18" s="1"/>
  <c r="AV417" i="18"/>
  <c r="AV413" i="18"/>
  <c r="AV414" i="18"/>
  <c r="BL53" i="18"/>
  <c r="BM54" i="18"/>
  <c r="BQ364" i="18"/>
  <c r="BR79" i="18"/>
  <c r="BL328" i="18"/>
  <c r="J345" i="18"/>
  <c r="J346" i="18" s="1"/>
  <c r="L174" i="18"/>
  <c r="L604" i="18" s="1"/>
  <c r="M176" i="18"/>
  <c r="M174" i="18" s="1"/>
  <c r="M604" i="18" s="1"/>
  <c r="O145" i="18"/>
  <c r="P144" i="18"/>
  <c r="AU173" i="18"/>
  <c r="AV7" i="18"/>
  <c r="AV173" i="18" s="1"/>
  <c r="I342" i="18"/>
  <c r="M342" i="18"/>
  <c r="AZ173" i="18"/>
  <c r="BA7" i="18"/>
  <c r="BH445" i="18"/>
  <c r="BH381" i="18"/>
  <c r="AW154" i="18"/>
  <c r="BK276" i="18"/>
  <c r="BK246" i="18"/>
  <c r="BL322" i="18"/>
  <c r="M333" i="18"/>
  <c r="I333" i="18"/>
  <c r="BM326" i="18"/>
  <c r="BE452" i="18"/>
  <c r="BE388" i="18"/>
  <c r="BF281" i="18"/>
  <c r="BF251" i="18"/>
  <c r="S342" i="18"/>
  <c r="O342" i="18"/>
  <c r="S337" i="18"/>
  <c r="O337" i="18"/>
  <c r="BQ57" i="18"/>
  <c r="BN56" i="18"/>
  <c r="BO56" i="18" s="1"/>
  <c r="BG102" i="18"/>
  <c r="BL329" i="18"/>
  <c r="BB447" i="18"/>
  <c r="BB383" i="18"/>
  <c r="AP446" i="18"/>
  <c r="AP382" i="18"/>
  <c r="BN325" i="18"/>
  <c r="BL323" i="18"/>
  <c r="BG160" i="18"/>
  <c r="BG161" i="18" s="1"/>
  <c r="BM324" i="18"/>
  <c r="R28" i="18"/>
  <c r="AU449" i="18"/>
  <c r="AU385" i="18"/>
  <c r="BT374" i="18"/>
  <c r="BU374" i="18" s="1"/>
  <c r="BU89" i="18"/>
  <c r="BW89" i="18" s="1"/>
  <c r="AS148" i="18"/>
  <c r="AQ149" i="18"/>
  <c r="Q29" i="18"/>
  <c r="BM327" i="18"/>
  <c r="AQ178" i="18"/>
  <c r="BC447" i="18"/>
  <c r="BC383" i="18"/>
  <c r="BF8" i="19"/>
  <c r="BF155" i="19" s="1"/>
  <c r="BK8" i="19"/>
  <c r="BK155" i="19" s="1"/>
  <c r="BA56" i="17" l="1"/>
  <c r="CM173" i="18"/>
  <c r="CS6" i="18"/>
  <c r="CS173" i="18" s="1"/>
  <c r="CD7" i="77"/>
  <c r="CE7" i="77" s="1"/>
  <c r="CF7" i="77" s="1"/>
  <c r="CI7" i="77"/>
  <c r="CJ71" i="77"/>
  <c r="CP49" i="18"/>
  <c r="CR49" i="18"/>
  <c r="CQ49" i="18"/>
  <c r="BB252" i="18"/>
  <c r="BB282" i="18"/>
  <c r="BC105" i="18"/>
  <c r="CI94" i="18"/>
  <c r="CI91" i="18" s="1"/>
  <c r="CJ94" i="18"/>
  <c r="CJ91" i="18" s="1"/>
  <c r="CK94" i="18"/>
  <c r="CK91" i="18" s="1"/>
  <c r="CL94" i="18"/>
  <c r="CO94" i="18"/>
  <c r="CP94" i="18"/>
  <c r="CP91" i="18" s="1"/>
  <c r="CQ94" i="18"/>
  <c r="CQ91" i="18" s="1"/>
  <c r="CR94" i="18"/>
  <c r="CR91" i="18" s="1"/>
  <c r="BE108" i="18"/>
  <c r="BE105" i="18"/>
  <c r="DO58" i="18"/>
  <c r="DO59" i="18" s="1"/>
  <c r="BE162" i="18"/>
  <c r="BB163" i="18"/>
  <c r="BC162" i="18"/>
  <c r="CM155" i="19"/>
  <c r="CS7" i="19"/>
  <c r="CS155" i="19" s="1"/>
  <c r="CI24" i="18"/>
  <c r="CE40" i="18"/>
  <c r="CE269" i="18"/>
  <c r="CF270" i="18"/>
  <c r="CF240" i="18"/>
  <c r="CF25" i="18"/>
  <c r="CG24" i="18"/>
  <c r="CG55" i="18"/>
  <c r="CI55" i="18"/>
  <c r="CK190" i="18"/>
  <c r="BC13" i="77"/>
  <c r="BC19" i="77"/>
  <c r="AI56" i="17"/>
  <c r="BT75" i="77"/>
  <c r="BT66" i="77" s="1"/>
  <c r="BS66" i="77"/>
  <c r="BR61" i="77"/>
  <c r="J265" i="18"/>
  <c r="AQ166" i="19"/>
  <c r="AE166" i="19"/>
  <c r="AB56" i="17"/>
  <c r="V56" i="17"/>
  <c r="BF56" i="17"/>
  <c r="CC40" i="18"/>
  <c r="AQ586" i="18"/>
  <c r="BU177" i="18"/>
  <c r="BU190" i="18" s="1"/>
  <c r="BU585" i="18"/>
  <c r="AW181" i="18"/>
  <c r="AW194" i="18" s="1"/>
  <c r="AV589" i="18"/>
  <c r="AW589" i="18" s="1"/>
  <c r="K602" i="18"/>
  <c r="K351" i="18"/>
  <c r="K205" i="18"/>
  <c r="K225" i="18" s="1"/>
  <c r="K265" i="18" s="1"/>
  <c r="K243" i="18"/>
  <c r="K597" i="18"/>
  <c r="K599" i="18"/>
  <c r="K598" i="18"/>
  <c r="L598" i="18"/>
  <c r="M596" i="18"/>
  <c r="BW177" i="18"/>
  <c r="BW585" i="18" s="1"/>
  <c r="AE56" i="19"/>
  <c r="O176" i="18"/>
  <c r="O584" i="18" s="1"/>
  <c r="BX177" i="18"/>
  <c r="BX585" i="18" s="1"/>
  <c r="BS20" i="16"/>
  <c r="BS176" i="16" s="1"/>
  <c r="BT120" i="16"/>
  <c r="BT123" i="16" s="1"/>
  <c r="J109" i="16"/>
  <c r="J103" i="16"/>
  <c r="K100" i="16"/>
  <c r="K98" i="16"/>
  <c r="K102" i="16"/>
  <c r="BW121" i="16"/>
  <c r="BW123" i="16" s="1"/>
  <c r="BW113" i="16"/>
  <c r="BW96" i="16"/>
  <c r="AG115" i="16"/>
  <c r="AG116" i="16"/>
  <c r="AK116" i="16" s="1"/>
  <c r="AK117" i="16" s="1"/>
  <c r="AK55" i="17"/>
  <c r="AK76" i="16" s="1"/>
  <c r="BC75" i="16"/>
  <c r="AQ75" i="16"/>
  <c r="AH56" i="17"/>
  <c r="AH76" i="16"/>
  <c r="I84" i="16"/>
  <c r="I90" i="16" s="1"/>
  <c r="J84" i="16" s="1"/>
  <c r="J90" i="16" s="1"/>
  <c r="K84" i="16" s="1"/>
  <c r="K90" i="16" s="1"/>
  <c r="L84" i="16" s="1"/>
  <c r="L90" i="16" s="1"/>
  <c r="M84" i="16"/>
  <c r="M90" i="16" s="1"/>
  <c r="AK75" i="16"/>
  <c r="AE74" i="16"/>
  <c r="AY28" i="48"/>
  <c r="AY52" i="48"/>
  <c r="AP56" i="17"/>
  <c r="AY23" i="48"/>
  <c r="AY53" i="48" s="1"/>
  <c r="BE14" i="48"/>
  <c r="AQ56" i="19"/>
  <c r="BE13" i="48"/>
  <c r="BE12" i="48" s="1"/>
  <c r="BE29" i="48"/>
  <c r="BE28" i="48" s="1"/>
  <c r="BE22" i="48"/>
  <c r="BE23" i="48" s="1"/>
  <c r="AV8" i="48"/>
  <c r="AV13" i="48" s="1"/>
  <c r="AV155" i="19"/>
  <c r="BC153" i="19"/>
  <c r="W56" i="17"/>
  <c r="AE153" i="19"/>
  <c r="Y153" i="19"/>
  <c r="BX11" i="48"/>
  <c r="BY11" i="48" s="1"/>
  <c r="BX32" i="17"/>
  <c r="CC115" i="77"/>
  <c r="CD32" i="77"/>
  <c r="CC96" i="77"/>
  <c r="EH52" i="18"/>
  <c r="BY146" i="18"/>
  <c r="BY147" i="18" s="1"/>
  <c r="BW78" i="17"/>
  <c r="BW43" i="48"/>
  <c r="AV462" i="18"/>
  <c r="AW462" i="18" s="1"/>
  <c r="BY48" i="18"/>
  <c r="BX47" i="18"/>
  <c r="BX89" i="18"/>
  <c r="BW374" i="18"/>
  <c r="AV153" i="18"/>
  <c r="CD269" i="18"/>
  <c r="CC94" i="18"/>
  <c r="CE94" i="18"/>
  <c r="CF94" i="18"/>
  <c r="BW94" i="18"/>
  <c r="BY94" i="18"/>
  <c r="BZ94" i="18"/>
  <c r="CD94" i="18"/>
  <c r="BX94" i="18"/>
  <c r="BX91" i="18" s="1"/>
  <c r="EB55" i="18" s="1"/>
  <c r="BW274" i="18"/>
  <c r="BW244" i="18"/>
  <c r="O333" i="18"/>
  <c r="O345" i="18" s="1"/>
  <c r="BR43" i="19"/>
  <c r="AE54" i="17"/>
  <c r="BR22" i="17"/>
  <c r="BR24" i="17"/>
  <c r="DM168" i="18"/>
  <c r="BE98" i="77"/>
  <c r="BC101" i="77"/>
  <c r="AM98" i="77"/>
  <c r="AS101" i="77"/>
  <c r="AW98" i="77"/>
  <c r="BC102" i="77" s="1"/>
  <c r="AS100" i="77"/>
  <c r="O20" i="77"/>
  <c r="BC100" i="77"/>
  <c r="P15" i="77"/>
  <c r="P20" i="77" s="1"/>
  <c r="AE47" i="17"/>
  <c r="AE73" i="16" s="1"/>
  <c r="BG8" i="19"/>
  <c r="BF8" i="48"/>
  <c r="AD55" i="17"/>
  <c r="AD76" i="16" s="1"/>
  <c r="AT31" i="48"/>
  <c r="AT28" i="48"/>
  <c r="AT57" i="48" s="1"/>
  <c r="AT52" i="48"/>
  <c r="AM56" i="17"/>
  <c r="BQ7" i="19"/>
  <c r="BW7" i="19" s="1"/>
  <c r="Y47" i="17"/>
  <c r="Y73" i="16" s="1"/>
  <c r="Y54" i="17"/>
  <c r="Y75" i="16" s="1"/>
  <c r="AC56" i="17"/>
  <c r="BE20" i="48"/>
  <c r="AN56" i="17"/>
  <c r="BB8" i="19"/>
  <c r="BA8" i="48"/>
  <c r="AT15" i="48"/>
  <c r="AT12" i="48"/>
  <c r="AT20" i="48"/>
  <c r="AT23" i="48"/>
  <c r="BC55" i="17"/>
  <c r="BC76" i="16" s="1"/>
  <c r="AW56" i="17"/>
  <c r="S47" i="17"/>
  <c r="S73" i="16" s="1"/>
  <c r="S54" i="17"/>
  <c r="S75" i="16" s="1"/>
  <c r="X47" i="17"/>
  <c r="X73" i="16" s="1"/>
  <c r="X54" i="17"/>
  <c r="X75" i="16" s="1"/>
  <c r="AQ55" i="17"/>
  <c r="AQ76" i="16" s="1"/>
  <c r="AA55" i="17"/>
  <c r="AA76" i="16" s="1"/>
  <c r="AG56" i="17"/>
  <c r="U56" i="17"/>
  <c r="Q56" i="17"/>
  <c r="AO56" i="17"/>
  <c r="BE56" i="17"/>
  <c r="AU22" i="48"/>
  <c r="AU14" i="48"/>
  <c r="AU21" i="48"/>
  <c r="AU29" i="48"/>
  <c r="AU13" i="48"/>
  <c r="AY55" i="17"/>
  <c r="AY76" i="16" s="1"/>
  <c r="BF11" i="77"/>
  <c r="P55" i="17"/>
  <c r="P76" i="16" s="1"/>
  <c r="R55" i="17"/>
  <c r="R76" i="16" s="1"/>
  <c r="O56" i="17"/>
  <c r="AS56" i="17"/>
  <c r="AZ29" i="48"/>
  <c r="AZ14" i="48"/>
  <c r="AZ13" i="48"/>
  <c r="AZ21" i="48"/>
  <c r="AZ22" i="48"/>
  <c r="BT78" i="17"/>
  <c r="BT41" i="19" s="1"/>
  <c r="BT43" i="48"/>
  <c r="Y48" i="77"/>
  <c r="AA48" i="77" s="1"/>
  <c r="BR72" i="77"/>
  <c r="BT70" i="77"/>
  <c r="BW70" i="77" s="1"/>
  <c r="BS68" i="77"/>
  <c r="BS61" i="77" s="1"/>
  <c r="BT19" i="48"/>
  <c r="BT56" i="48" s="1"/>
  <c r="BS76" i="17"/>
  <c r="BS36" i="19" s="1"/>
  <c r="BR35" i="19"/>
  <c r="BM8" i="17"/>
  <c r="BN8" i="17" s="1"/>
  <c r="BQ8" i="17"/>
  <c r="BI63" i="17"/>
  <c r="BI73" i="17" s="1"/>
  <c r="BI64" i="17"/>
  <c r="L48" i="17"/>
  <c r="L49" i="17" s="1"/>
  <c r="L51" i="17" s="1"/>
  <c r="K51" i="17"/>
  <c r="P48" i="17"/>
  <c r="P49" i="17" s="1"/>
  <c r="O51" i="17"/>
  <c r="BU57" i="17"/>
  <c r="BS24" i="17"/>
  <c r="BR25" i="17"/>
  <c r="BS22" i="17"/>
  <c r="BG184" i="18"/>
  <c r="BG592" i="18" s="1"/>
  <c r="BG341" i="18"/>
  <c r="BM329" i="18"/>
  <c r="AV420" i="18"/>
  <c r="BH150" i="18"/>
  <c r="BM320" i="18"/>
  <c r="Q144" i="18"/>
  <c r="Q145" i="18" s="1"/>
  <c r="BK445" i="18"/>
  <c r="BK381" i="18"/>
  <c r="BG179" i="18"/>
  <c r="BG587" i="18" s="1"/>
  <c r="BG336" i="18"/>
  <c r="BF452" i="18"/>
  <c r="BF388" i="18"/>
  <c r="BN327" i="18"/>
  <c r="BN324" i="18"/>
  <c r="BN326" i="18"/>
  <c r="P145" i="18"/>
  <c r="BR364" i="18"/>
  <c r="BS79" i="18"/>
  <c r="AV461" i="18"/>
  <c r="AV397" i="18"/>
  <c r="BF173" i="18"/>
  <c r="BG7" i="18"/>
  <c r="BH7" i="18" s="1"/>
  <c r="Q30" i="18"/>
  <c r="M353" i="18"/>
  <c r="M260" i="18"/>
  <c r="M602" i="18" s="1"/>
  <c r="M201" i="18"/>
  <c r="M12" i="18"/>
  <c r="BK173" i="18"/>
  <c r="BL7" i="18"/>
  <c r="BQ7" i="18"/>
  <c r="BW7" i="18" s="1"/>
  <c r="BF447" i="18"/>
  <c r="BF383" i="18"/>
  <c r="AW449" i="18"/>
  <c r="AW385" i="18"/>
  <c r="BO325" i="18"/>
  <c r="BQ325" i="18" s="1"/>
  <c r="BL334" i="18"/>
  <c r="BM321" i="18"/>
  <c r="BG281" i="18"/>
  <c r="BG251" i="18"/>
  <c r="AS149" i="18"/>
  <c r="AT148" i="18"/>
  <c r="S28" i="18"/>
  <c r="U28" i="18"/>
  <c r="BM323" i="18"/>
  <c r="M345" i="18"/>
  <c r="M346" i="18" s="1"/>
  <c r="BN54" i="18"/>
  <c r="BM53" i="18"/>
  <c r="AV449" i="18"/>
  <c r="AV385" i="18"/>
  <c r="BH103" i="18"/>
  <c r="I345" i="18"/>
  <c r="I346" i="18" s="1"/>
  <c r="L353" i="18"/>
  <c r="L260" i="18"/>
  <c r="L602" i="18" s="1"/>
  <c r="L12" i="18"/>
  <c r="L201" i="18"/>
  <c r="R29" i="18"/>
  <c r="R30" i="18" s="1"/>
  <c r="BQ56" i="18"/>
  <c r="BR57" i="18"/>
  <c r="BM322" i="18"/>
  <c r="BT94" i="18"/>
  <c r="BH94" i="18"/>
  <c r="BF83" i="18"/>
  <c r="AY83" i="18"/>
  <c r="BS94" i="18"/>
  <c r="BS91" i="18" s="1"/>
  <c r="DY55" i="18" s="1"/>
  <c r="BG94" i="18"/>
  <c r="BE83" i="18"/>
  <c r="BM94" i="18"/>
  <c r="BA94" i="18"/>
  <c r="BB83" i="18"/>
  <c r="BK94" i="18"/>
  <c r="AY94" i="18"/>
  <c r="BG83" i="18"/>
  <c r="AZ83" i="18"/>
  <c r="BB94" i="18"/>
  <c r="AZ94" i="18"/>
  <c r="BH83" i="18"/>
  <c r="BA83" i="18"/>
  <c r="BQ94" i="18"/>
  <c r="BQ91" i="18" s="1"/>
  <c r="DW55" i="18" s="1"/>
  <c r="BE94" i="18"/>
  <c r="BR94" i="18"/>
  <c r="BR91" i="18" s="1"/>
  <c r="DX55" i="18" s="1"/>
  <c r="BL94" i="18"/>
  <c r="BL91" i="18" s="1"/>
  <c r="BN94" i="18"/>
  <c r="BF94" i="18"/>
  <c r="BA173" i="18"/>
  <c r="BB7" i="18"/>
  <c r="BB173" i="18" s="1"/>
  <c r="BM328" i="18"/>
  <c r="BL276" i="18"/>
  <c r="BL246" i="18"/>
  <c r="AY74" i="18"/>
  <c r="AW152" i="18"/>
  <c r="AV169" i="18"/>
  <c r="AV172" i="18" s="1"/>
  <c r="BQ8" i="19"/>
  <c r="BL8" i="19"/>
  <c r="BU70" i="77" l="1"/>
  <c r="CS49" i="18"/>
  <c r="CK71" i="77"/>
  <c r="CO7" i="77"/>
  <c r="CP7" i="77" s="1"/>
  <c r="CQ7" i="77" s="1"/>
  <c r="CR7" i="77" s="1"/>
  <c r="CJ7" i="77"/>
  <c r="CK7" i="77" s="1"/>
  <c r="CL7" i="77" s="1"/>
  <c r="CO91" i="18"/>
  <c r="CS91" i="18" s="1"/>
  <c r="CS94" i="18"/>
  <c r="BB185" i="18"/>
  <c r="BC163" i="18"/>
  <c r="BB342" i="18"/>
  <c r="BC342" i="18"/>
  <c r="BE252" i="18"/>
  <c r="BE282" i="18"/>
  <c r="CM94" i="18"/>
  <c r="CL91" i="18"/>
  <c r="CM91" i="18" s="1"/>
  <c r="BE163" i="18"/>
  <c r="BC106" i="18"/>
  <c r="BC252" i="18"/>
  <c r="CR85" i="18"/>
  <c r="CK85" i="18"/>
  <c r="CQ85" i="18"/>
  <c r="CJ85" i="18"/>
  <c r="CP85" i="18"/>
  <c r="CO85" i="18"/>
  <c r="CL85" i="18"/>
  <c r="CI85" i="18"/>
  <c r="BF109" i="18"/>
  <c r="BF162" i="18" s="1"/>
  <c r="BE98" i="18"/>
  <c r="BU75" i="77"/>
  <c r="BU66" i="77" s="1"/>
  <c r="BT73" i="77"/>
  <c r="BT84" i="77" s="1"/>
  <c r="BW75" i="77"/>
  <c r="BW73" i="77" s="1"/>
  <c r="BW84" i="77" s="1"/>
  <c r="CG25" i="18"/>
  <c r="CG240" i="18"/>
  <c r="CI39" i="18"/>
  <c r="CI239" i="18"/>
  <c r="CI240" i="18"/>
  <c r="CI25" i="18"/>
  <c r="CI270" i="18"/>
  <c r="CJ24" i="18"/>
  <c r="CL190" i="18"/>
  <c r="CJ55" i="18"/>
  <c r="O174" i="18"/>
  <c r="O604" i="18" s="1"/>
  <c r="O596" i="18"/>
  <c r="O598" i="18" s="1"/>
  <c r="M599" i="18"/>
  <c r="M597" i="18"/>
  <c r="AV180" i="18"/>
  <c r="AV61" i="18"/>
  <c r="AV111" i="18"/>
  <c r="BX70" i="77"/>
  <c r="BY70" i="77" s="1"/>
  <c r="BZ70" i="77" s="1"/>
  <c r="CC70" i="77" s="1"/>
  <c r="CD70" i="77" s="1"/>
  <c r="CE70" i="77" s="1"/>
  <c r="CF70" i="77" s="1"/>
  <c r="CI70" i="77" s="1"/>
  <c r="BW68" i="77"/>
  <c r="BX120" i="16"/>
  <c r="BW20" i="16"/>
  <c r="BW176" i="16" s="1"/>
  <c r="BX121" i="16"/>
  <c r="BX113" i="16"/>
  <c r="BX96" i="16"/>
  <c r="AM112" i="16"/>
  <c r="AQ112" i="16"/>
  <c r="AQ115" i="16" s="1"/>
  <c r="K108" i="16"/>
  <c r="K104" i="16"/>
  <c r="L93" i="16"/>
  <c r="CA120" i="16"/>
  <c r="BT20" i="16"/>
  <c r="BT176" i="16" s="1"/>
  <c r="AK56" i="17"/>
  <c r="S84" i="16"/>
  <c r="S90" i="16" s="1"/>
  <c r="O84" i="16"/>
  <c r="O90" i="16" s="1"/>
  <c r="P84" i="16" s="1"/>
  <c r="P90" i="16" s="1"/>
  <c r="Q84" i="16" s="1"/>
  <c r="Q90" i="16" s="1"/>
  <c r="R84" i="16" s="1"/>
  <c r="R90" i="16" s="1"/>
  <c r="AE75" i="16"/>
  <c r="BL155" i="19"/>
  <c r="BR42" i="19"/>
  <c r="BR150" i="19" s="1"/>
  <c r="BK21" i="48"/>
  <c r="BK14" i="48"/>
  <c r="BK22" i="48"/>
  <c r="BK13" i="48"/>
  <c r="AV14" i="48"/>
  <c r="AW14" i="48" s="1"/>
  <c r="AV21" i="48"/>
  <c r="AV20" i="48" s="1"/>
  <c r="AW20" i="48" s="1"/>
  <c r="AW21" i="48" s="1"/>
  <c r="BE31" i="48"/>
  <c r="AV29" i="48"/>
  <c r="AV31" i="48" s="1"/>
  <c r="AV22" i="48"/>
  <c r="AW22" i="48" s="1"/>
  <c r="BE15" i="48"/>
  <c r="BE52" i="48"/>
  <c r="BB8" i="48"/>
  <c r="BB13" i="48" s="1"/>
  <c r="BB155" i="19"/>
  <c r="BW8" i="19"/>
  <c r="BX8" i="19" s="1"/>
  <c r="BX155" i="19" s="1"/>
  <c r="BQ155" i="19"/>
  <c r="BH8" i="19"/>
  <c r="BH155" i="19" s="1"/>
  <c r="BG155" i="19"/>
  <c r="BK91" i="18"/>
  <c r="BK88" i="18"/>
  <c r="BT37" i="19"/>
  <c r="BZ11" i="48"/>
  <c r="CA11" i="48" s="1"/>
  <c r="BY32" i="17"/>
  <c r="BR8" i="17"/>
  <c r="BS8" i="17" s="1"/>
  <c r="BT8" i="17" s="1"/>
  <c r="BW8" i="17"/>
  <c r="BT68" i="77"/>
  <c r="BT72" i="77" s="1"/>
  <c r="BH102" i="18"/>
  <c r="BI102" i="18" s="1"/>
  <c r="DR57" i="18"/>
  <c r="CD115" i="77"/>
  <c r="CD96" i="77"/>
  <c r="CE32" i="77"/>
  <c r="BY177" i="18"/>
  <c r="BY585" i="18" s="1"/>
  <c r="BZ146" i="18"/>
  <c r="BZ147" i="18" s="1"/>
  <c r="BW76" i="17"/>
  <c r="BW41" i="19"/>
  <c r="BX43" i="48"/>
  <c r="BX78" i="17"/>
  <c r="BH91" i="18"/>
  <c r="DR55" i="18" s="1"/>
  <c r="BH88" i="18"/>
  <c r="BI150" i="18"/>
  <c r="BK150" i="18" s="1"/>
  <c r="BL113" i="18"/>
  <c r="AV337" i="18"/>
  <c r="AV448" i="18" s="1"/>
  <c r="BW88" i="18"/>
  <c r="CA94" i="18"/>
  <c r="BW91" i="18"/>
  <c r="EA55" i="18" s="1"/>
  <c r="CF91" i="18"/>
  <c r="EH55" i="18" s="1"/>
  <c r="BZ91" i="18"/>
  <c r="ED55" i="18" s="1"/>
  <c r="BX88" i="18"/>
  <c r="BX374" i="18"/>
  <c r="BY89" i="18"/>
  <c r="BY88" i="18" s="1"/>
  <c r="CC85" i="18"/>
  <c r="CE85" i="18"/>
  <c r="BX85" i="18"/>
  <c r="BW85" i="18"/>
  <c r="BZ85" i="18"/>
  <c r="CF85" i="18"/>
  <c r="BY85" i="18"/>
  <c r="CD85" i="18"/>
  <c r="BY91" i="18"/>
  <c r="EC55" i="18" s="1"/>
  <c r="BW173" i="18"/>
  <c r="BX7" i="18"/>
  <c r="CC7" i="18"/>
  <c r="CI7" i="18" s="1"/>
  <c r="CE91" i="18"/>
  <c r="EG55" i="18" s="1"/>
  <c r="BY47" i="18"/>
  <c r="BZ48" i="18"/>
  <c r="CC91" i="18"/>
  <c r="EE55" i="18" s="1"/>
  <c r="CG94" i="18"/>
  <c r="BX274" i="18"/>
  <c r="BX244" i="18"/>
  <c r="CD91" i="18"/>
  <c r="EF55" i="18" s="1"/>
  <c r="CC7" i="19"/>
  <c r="CA7" i="48"/>
  <c r="BW7" i="48"/>
  <c r="CF77" i="19"/>
  <c r="CI77" i="19" s="1"/>
  <c r="CF78" i="19"/>
  <c r="CI78" i="19" s="1"/>
  <c r="AE55" i="17"/>
  <c r="AE76" i="16" s="1"/>
  <c r="P22" i="77"/>
  <c r="BS43" i="19"/>
  <c r="BS42" i="19" s="1"/>
  <c r="BI65" i="17"/>
  <c r="BO61" i="17" s="1"/>
  <c r="BO63" i="17" s="1"/>
  <c r="BO73" i="17" s="1"/>
  <c r="BT76" i="17"/>
  <c r="BT36" i="19" s="1"/>
  <c r="M351" i="18"/>
  <c r="DN168" i="18"/>
  <c r="L351" i="18"/>
  <c r="BN53" i="18"/>
  <c r="BH160" i="18"/>
  <c r="BI160" i="18" s="1"/>
  <c r="S29" i="18"/>
  <c r="Q15" i="77"/>
  <c r="Q20" i="77" s="1"/>
  <c r="AW100" i="77"/>
  <c r="AQ98" i="77"/>
  <c r="AW102" i="77" s="1"/>
  <c r="AM101" i="77"/>
  <c r="AM100" i="77"/>
  <c r="P49" i="77"/>
  <c r="P21" i="77"/>
  <c r="O21" i="77"/>
  <c r="O49" i="77"/>
  <c r="AW101" i="77"/>
  <c r="BC99" i="77" s="1"/>
  <c r="AY99" i="77"/>
  <c r="BE101" i="77"/>
  <c r="BK98" i="77" s="1"/>
  <c r="BE100" i="77"/>
  <c r="BI98" i="77"/>
  <c r="BM8" i="19"/>
  <c r="AZ15" i="48"/>
  <c r="AZ12" i="48"/>
  <c r="AZ31" i="48"/>
  <c r="AZ28" i="48"/>
  <c r="AZ57" i="48" s="1"/>
  <c r="AZ58" i="48" s="1"/>
  <c r="R56" i="17"/>
  <c r="BF13" i="77"/>
  <c r="BF19" i="77"/>
  <c r="BF72" i="77"/>
  <c r="BL69" i="77" s="1"/>
  <c r="BF87" i="77"/>
  <c r="BF101" i="77"/>
  <c r="BF67" i="77"/>
  <c r="BL62" i="77" s="1"/>
  <c r="AU28" i="48"/>
  <c r="AU57" i="48" s="1"/>
  <c r="AU58" i="48" s="1"/>
  <c r="AU31" i="48"/>
  <c r="S55" i="17"/>
  <c r="S76" i="16" s="1"/>
  <c r="BG11" i="77"/>
  <c r="BC56" i="17"/>
  <c r="BA29" i="48"/>
  <c r="BA22" i="48"/>
  <c r="BA21" i="48"/>
  <c r="BA14" i="48"/>
  <c r="BA13" i="48"/>
  <c r="AV12" i="48"/>
  <c r="Y55" i="17"/>
  <c r="Y76" i="16" s="1"/>
  <c r="BQ7" i="48"/>
  <c r="BU7" i="48"/>
  <c r="AT58" i="48"/>
  <c r="AD56" i="17"/>
  <c r="BF13" i="48"/>
  <c r="BF14" i="48"/>
  <c r="BF21" i="48"/>
  <c r="BF22" i="48"/>
  <c r="BR8" i="19"/>
  <c r="BR155" i="19" s="1"/>
  <c r="BQ8" i="48"/>
  <c r="AZ23" i="48"/>
  <c r="AZ20" i="48"/>
  <c r="AZ52" i="48"/>
  <c r="P56" i="17"/>
  <c r="AY56" i="17"/>
  <c r="AU15" i="48"/>
  <c r="AU12" i="48"/>
  <c r="AU20" i="48"/>
  <c r="AU23" i="48"/>
  <c r="AU52" i="48"/>
  <c r="AA56" i="17"/>
  <c r="AQ56" i="17"/>
  <c r="X55" i="17"/>
  <c r="X76" i="16" s="1"/>
  <c r="AT53" i="48"/>
  <c r="AT54" i="48" s="1"/>
  <c r="S49" i="17"/>
  <c r="BG8" i="48"/>
  <c r="BU78" i="17"/>
  <c r="BU41" i="19" s="1"/>
  <c r="BU43" i="48"/>
  <c r="BR67" i="77"/>
  <c r="BR65" i="77"/>
  <c r="BS72" i="77"/>
  <c r="AB48" i="77"/>
  <c r="BU19" i="48"/>
  <c r="BU56" i="48"/>
  <c r="BS35" i="19"/>
  <c r="P51" i="17"/>
  <c r="Q48" i="17"/>
  <c r="Q49" i="17" s="1"/>
  <c r="BT22" i="17"/>
  <c r="BU22" i="17" s="1"/>
  <c r="BT24" i="17"/>
  <c r="BU24" i="17" s="1"/>
  <c r="BS25" i="17"/>
  <c r="BM91" i="18"/>
  <c r="DU55" i="18" s="1"/>
  <c r="BM88" i="18"/>
  <c r="BN328" i="18"/>
  <c r="AU148" i="18"/>
  <c r="AU149" i="18" s="1"/>
  <c r="BQ173" i="18"/>
  <c r="BR7" i="18"/>
  <c r="BG452" i="18"/>
  <c r="BG388" i="18"/>
  <c r="BE433" i="18"/>
  <c r="BE369" i="18"/>
  <c r="BE91" i="18"/>
  <c r="BE88" i="18"/>
  <c r="BI94" i="18"/>
  <c r="BL173" i="18"/>
  <c r="BM7" i="18"/>
  <c r="BM85" i="18"/>
  <c r="BL85" i="18"/>
  <c r="BB85" i="18"/>
  <c r="BB81" i="18" s="1"/>
  <c r="BR85" i="18"/>
  <c r="BG85" i="18"/>
  <c r="BG418" i="18" s="1"/>
  <c r="BN85" i="18"/>
  <c r="BE85" i="18"/>
  <c r="BS85" i="18"/>
  <c r="AY85" i="18"/>
  <c r="AY418" i="18" s="1"/>
  <c r="AW169" i="18"/>
  <c r="BQ85" i="18"/>
  <c r="BT85" i="18"/>
  <c r="AZ85" i="18"/>
  <c r="AZ78" i="18" s="1"/>
  <c r="BF85" i="18"/>
  <c r="BF418" i="18" s="1"/>
  <c r="BK85" i="18"/>
  <c r="BH85" i="18"/>
  <c r="BH81" i="18" s="1"/>
  <c r="BA85" i="18"/>
  <c r="BA78" i="18" s="1"/>
  <c r="BN323" i="18"/>
  <c r="BR325" i="18"/>
  <c r="BN329" i="18"/>
  <c r="BM334" i="18"/>
  <c r="BN321" i="18"/>
  <c r="BO334" i="18" s="1"/>
  <c r="BG447" i="18"/>
  <c r="BG383" i="18"/>
  <c r="O348" i="18"/>
  <c r="AT149" i="18"/>
  <c r="AY72" i="18"/>
  <c r="AY69" i="18"/>
  <c r="BA369" i="18"/>
  <c r="BA433" i="18"/>
  <c r="BA91" i="18"/>
  <c r="BA88" i="18"/>
  <c r="BT91" i="18"/>
  <c r="DZ55" i="18" s="1"/>
  <c r="BT88" i="18"/>
  <c r="L243" i="18"/>
  <c r="L205" i="18"/>
  <c r="L225" i="18" s="1"/>
  <c r="L265" i="18" s="1"/>
  <c r="BM276" i="18"/>
  <c r="BM246" i="18"/>
  <c r="BO327" i="18"/>
  <c r="BQ327" i="18" s="1"/>
  <c r="R144" i="18"/>
  <c r="R145" i="18" s="1"/>
  <c r="BF88" i="18"/>
  <c r="BF91" i="18"/>
  <c r="V28" i="18"/>
  <c r="V29" i="18" s="1"/>
  <c r="V30" i="18" s="1"/>
  <c r="U29" i="18"/>
  <c r="Q176" i="18"/>
  <c r="Q333" i="18"/>
  <c r="Q345" i="18" s="1"/>
  <c r="BN91" i="18"/>
  <c r="DV55" i="18" s="1"/>
  <c r="BN88" i="18"/>
  <c r="BB433" i="18"/>
  <c r="BB369" i="18"/>
  <c r="BB91" i="18"/>
  <c r="BB88" i="18"/>
  <c r="BI83" i="18"/>
  <c r="BN322" i="18"/>
  <c r="BN320" i="18"/>
  <c r="DT55" i="18"/>
  <c r="BL88" i="18"/>
  <c r="BG91" i="18"/>
  <c r="DQ55" i="18" s="1"/>
  <c r="BG88" i="18"/>
  <c r="BR56" i="18"/>
  <c r="BS57" i="18"/>
  <c r="M243" i="18"/>
  <c r="M205" i="18"/>
  <c r="M225" i="18" s="1"/>
  <c r="BS364" i="18"/>
  <c r="BT79" i="18"/>
  <c r="AZ433" i="18"/>
  <c r="AZ369" i="18"/>
  <c r="AZ91" i="18"/>
  <c r="AZ88" i="18"/>
  <c r="BR88" i="18"/>
  <c r="BS88" i="18"/>
  <c r="O346" i="18"/>
  <c r="AY433" i="18"/>
  <c r="AY369" i="18"/>
  <c r="AY88" i="18"/>
  <c r="AY91" i="18"/>
  <c r="BC94" i="18"/>
  <c r="BC95" i="18" s="1"/>
  <c r="BC83" i="18"/>
  <c r="BL445" i="18"/>
  <c r="BL381" i="18"/>
  <c r="S30" i="18"/>
  <c r="P176" i="18"/>
  <c r="P584" i="18" s="1"/>
  <c r="P596" i="18" s="1"/>
  <c r="P597" i="18" s="1"/>
  <c r="P333" i="18"/>
  <c r="P345" i="18" s="1"/>
  <c r="BO324" i="18"/>
  <c r="BQ324" i="18" s="1"/>
  <c r="BH151" i="18"/>
  <c r="BU94" i="18"/>
  <c r="BQ88" i="18"/>
  <c r="BO94" i="18"/>
  <c r="BH99" i="18"/>
  <c r="BI103" i="18"/>
  <c r="AS178" i="18"/>
  <c r="AS335" i="18"/>
  <c r="BG173" i="18"/>
  <c r="BH173" i="18"/>
  <c r="BO326" i="18"/>
  <c r="BQ326" i="18" s="1"/>
  <c r="BG78" i="18" l="1"/>
  <c r="BG249" i="18" s="1"/>
  <c r="CO7" i="18"/>
  <c r="CJ7" i="18"/>
  <c r="CI173" i="18"/>
  <c r="CJ70" i="77"/>
  <c r="CI68" i="77"/>
  <c r="CL71" i="77"/>
  <c r="CM71" i="77" s="1"/>
  <c r="BB453" i="18"/>
  <c r="BB389" i="18"/>
  <c r="BF108" i="18"/>
  <c r="BF105" i="18"/>
  <c r="DP58" i="18"/>
  <c r="DP59" i="18" s="1"/>
  <c r="CS85" i="18"/>
  <c r="BF163" i="18"/>
  <c r="BE185" i="18"/>
  <c r="BE342" i="18"/>
  <c r="CM85" i="18"/>
  <c r="BC185" i="18"/>
  <c r="BC198" i="18" s="1"/>
  <c r="BB593" i="18"/>
  <c r="BC593" i="18" s="1"/>
  <c r="BC453" i="18"/>
  <c r="BC389" i="18"/>
  <c r="CK55" i="18"/>
  <c r="CI7" i="19"/>
  <c r="CC7" i="48"/>
  <c r="CG7" i="48"/>
  <c r="BW66" i="77"/>
  <c r="BX75" i="77"/>
  <c r="BY75" i="77" s="1"/>
  <c r="BY73" i="77" s="1"/>
  <c r="BY84" i="77" s="1"/>
  <c r="BU73" i="77"/>
  <c r="BU84" i="77" s="1"/>
  <c r="CJ39" i="18"/>
  <c r="CJ270" i="18"/>
  <c r="CJ25" i="18"/>
  <c r="CJ239" i="18"/>
  <c r="CJ240" i="18"/>
  <c r="CI40" i="18"/>
  <c r="CK24" i="18"/>
  <c r="CC11" i="48"/>
  <c r="CJ78" i="19"/>
  <c r="CJ77" i="19"/>
  <c r="CO190" i="18"/>
  <c r="O12" i="18"/>
  <c r="O353" i="18"/>
  <c r="O260" i="18"/>
  <c r="O602" i="18" s="1"/>
  <c r="O201" i="18"/>
  <c r="BO64" i="17"/>
  <c r="BO65" i="17" s="1"/>
  <c r="BU61" i="17" s="1"/>
  <c r="BU64" i="17" s="1"/>
  <c r="DR54" i="18"/>
  <c r="O597" i="18"/>
  <c r="O599" i="18"/>
  <c r="CY590" i="18" s="1"/>
  <c r="P599" i="18"/>
  <c r="CZ590" i="18" s="1"/>
  <c r="Q174" i="18"/>
  <c r="Q604" i="18" s="1"/>
  <c r="Q584" i="18"/>
  <c r="Q596" i="18" s="1"/>
  <c r="P598" i="18"/>
  <c r="AS586" i="18"/>
  <c r="AV588" i="18"/>
  <c r="BH336" i="18"/>
  <c r="BZ177" i="18"/>
  <c r="BT69" i="77"/>
  <c r="BT61" i="77"/>
  <c r="BT67" i="77" s="1"/>
  <c r="BU68" i="77"/>
  <c r="L102" i="16"/>
  <c r="L97" i="16"/>
  <c r="M97" i="16" s="1"/>
  <c r="M98" i="16" s="1"/>
  <c r="BX123" i="16"/>
  <c r="BY121" i="16"/>
  <c r="BY113" i="16"/>
  <c r="BY96" i="16"/>
  <c r="BU20" i="16"/>
  <c r="BU176" i="16" s="1"/>
  <c r="K109" i="16"/>
  <c r="K103" i="16"/>
  <c r="L100" i="16"/>
  <c r="L103" i="16" s="1"/>
  <c r="AM115" i="16"/>
  <c r="AM116" i="16"/>
  <c r="AQ116" i="16" s="1"/>
  <c r="AQ117" i="16" s="1"/>
  <c r="BM155" i="19"/>
  <c r="U84" i="16"/>
  <c r="U90" i="16" s="1"/>
  <c r="V84" i="16" s="1"/>
  <c r="V90" i="16" s="1"/>
  <c r="W84" i="16" s="1"/>
  <c r="W90" i="16" s="1"/>
  <c r="X84" i="16" s="1"/>
  <c r="X90" i="16" s="1"/>
  <c r="Y84" i="16"/>
  <c r="Y90" i="16" s="1"/>
  <c r="BL21" i="48"/>
  <c r="BL20" i="48" s="1"/>
  <c r="BL13" i="48"/>
  <c r="BL14" i="48" s="1"/>
  <c r="BE53" i="48"/>
  <c r="AV15" i="48"/>
  <c r="AV52" i="48"/>
  <c r="BK12" i="48"/>
  <c r="BK15" i="48"/>
  <c r="BK52" i="48"/>
  <c r="BK23" i="48"/>
  <c r="BK20" i="48"/>
  <c r="BH8" i="48"/>
  <c r="BH13" i="48" s="1"/>
  <c r="AW52" i="48"/>
  <c r="AV28" i="48"/>
  <c r="AW28" i="48" s="1"/>
  <c r="AW29" i="48" s="1"/>
  <c r="AW31" i="48" s="1"/>
  <c r="AW23" i="48"/>
  <c r="AV23" i="48"/>
  <c r="BB14" i="48"/>
  <c r="BC14" i="48" s="1"/>
  <c r="BB21" i="48"/>
  <c r="BB20" i="48" s="1"/>
  <c r="BC20" i="48" s="1"/>
  <c r="BC21" i="48" s="1"/>
  <c r="BB29" i="48"/>
  <c r="BB31" i="48" s="1"/>
  <c r="BB22" i="48"/>
  <c r="BC22" i="48" s="1"/>
  <c r="BS150" i="19"/>
  <c r="BW8" i="48"/>
  <c r="BW155" i="19"/>
  <c r="CC8" i="19"/>
  <c r="BK103" i="18"/>
  <c r="BK102" i="18" s="1"/>
  <c r="BL103" i="18" s="1"/>
  <c r="BL102" i="18" s="1"/>
  <c r="BW36" i="19"/>
  <c r="BW35" i="19" s="1"/>
  <c r="BW19" i="48"/>
  <c r="BW56" i="48" s="1"/>
  <c r="BU37" i="19"/>
  <c r="BZ32" i="17"/>
  <c r="CA32" i="17" s="1"/>
  <c r="CC8" i="17"/>
  <c r="BX8" i="17"/>
  <c r="BY8" i="17" s="1"/>
  <c r="BZ8" i="17" s="1"/>
  <c r="CF32" i="77"/>
  <c r="CI32" i="77" s="1"/>
  <c r="CE96" i="77"/>
  <c r="CE115" i="77"/>
  <c r="AW172" i="18"/>
  <c r="BN280" i="18"/>
  <c r="AV384" i="18"/>
  <c r="AZ418" i="18"/>
  <c r="AZ81" i="18"/>
  <c r="CA146" i="18"/>
  <c r="CC146" i="18"/>
  <c r="CA147" i="18"/>
  <c r="BY43" i="48"/>
  <c r="BY78" i="17"/>
  <c r="CA57" i="17"/>
  <c r="BX41" i="19"/>
  <c r="BX76" i="17"/>
  <c r="BL280" i="18"/>
  <c r="BT280" i="18"/>
  <c r="BT250" i="18"/>
  <c r="BY250" i="18"/>
  <c r="BY280" i="18"/>
  <c r="BQ280" i="18"/>
  <c r="BQ250" i="18"/>
  <c r="BM280" i="18"/>
  <c r="BW280" i="18"/>
  <c r="BW250" i="18"/>
  <c r="BS280" i="18"/>
  <c r="BS250" i="18"/>
  <c r="BX250" i="18"/>
  <c r="BX280" i="18"/>
  <c r="BR250" i="18"/>
  <c r="BR280" i="18"/>
  <c r="BK113" i="18"/>
  <c r="BO113" i="18"/>
  <c r="AY81" i="18"/>
  <c r="BA81" i="18"/>
  <c r="AY78" i="18"/>
  <c r="AZ279" i="18" s="1"/>
  <c r="BG81" i="18"/>
  <c r="BA418" i="18"/>
  <c r="BH161" i="18"/>
  <c r="CG91" i="18"/>
  <c r="BB78" i="18"/>
  <c r="BB279" i="18" s="1"/>
  <c r="CG85" i="18"/>
  <c r="BB418" i="18"/>
  <c r="CC173" i="18"/>
  <c r="CD7" i="18"/>
  <c r="BZ89" i="18"/>
  <c r="BY374" i="18"/>
  <c r="BY274" i="18"/>
  <c r="BY244" i="18"/>
  <c r="CA85" i="18"/>
  <c r="CA91" i="18"/>
  <c r="BX173" i="18"/>
  <c r="BY7" i="18"/>
  <c r="BZ47" i="18"/>
  <c r="CA47" i="18" s="1"/>
  <c r="CC48" i="18"/>
  <c r="BY8" i="19"/>
  <c r="BY155" i="19" s="1"/>
  <c r="BX8" i="48"/>
  <c r="BN276" i="18"/>
  <c r="BO53" i="18"/>
  <c r="AE56" i="17"/>
  <c r="BA52" i="48"/>
  <c r="BT43" i="19"/>
  <c r="BT42" i="19" s="1"/>
  <c r="BU36" i="19"/>
  <c r="BF78" i="18"/>
  <c r="BU91" i="18"/>
  <c r="BN246" i="18"/>
  <c r="BH418" i="18"/>
  <c r="Q22" i="77"/>
  <c r="DL55" i="18"/>
  <c r="BH78" i="18"/>
  <c r="AY85" i="77"/>
  <c r="BI85" i="18"/>
  <c r="BI99" i="77"/>
  <c r="O50" i="77"/>
  <c r="O39" i="77"/>
  <c r="AQ100" i="77"/>
  <c r="R15" i="77"/>
  <c r="S15" i="77" s="1"/>
  <c r="DN55" i="18"/>
  <c r="DP55" i="18"/>
  <c r="DM55" i="18"/>
  <c r="P39" i="77"/>
  <c r="P50" i="77"/>
  <c r="AQ101" i="77"/>
  <c r="AW99" i="77" s="1"/>
  <c r="AS99" i="77"/>
  <c r="Q21" i="77"/>
  <c r="Q49" i="77"/>
  <c r="U48" i="17"/>
  <c r="S51" i="17"/>
  <c r="BQ13" i="48"/>
  <c r="BQ14" i="48"/>
  <c r="BQ22" i="48"/>
  <c r="BQ21" i="48"/>
  <c r="BF52" i="48"/>
  <c r="AW12" i="48"/>
  <c r="BL86" i="77"/>
  <c r="AZ53" i="48"/>
  <c r="AZ54" i="48" s="1"/>
  <c r="BG21" i="48"/>
  <c r="BG20" i="48" s="1"/>
  <c r="BG13" i="48"/>
  <c r="BG22" i="48"/>
  <c r="BG14" i="48"/>
  <c r="BB12" i="48"/>
  <c r="X56" i="17"/>
  <c r="AU53" i="48"/>
  <c r="BS8" i="19"/>
  <c r="BS155" i="19" s="1"/>
  <c r="BR8" i="48"/>
  <c r="BF23" i="48"/>
  <c r="BF20" i="48"/>
  <c r="BF12" i="48"/>
  <c r="BF15" i="48"/>
  <c r="Y56" i="17"/>
  <c r="BA15" i="48"/>
  <c r="BA12" i="48"/>
  <c r="BA23" i="48"/>
  <c r="BA20" i="48"/>
  <c r="BA28" i="48"/>
  <c r="BA57" i="48" s="1"/>
  <c r="BA58" i="48" s="1"/>
  <c r="BA31" i="48"/>
  <c r="BG87" i="77"/>
  <c r="BM86" i="77" s="1"/>
  <c r="BG13" i="77"/>
  <c r="BG101" i="77"/>
  <c r="BM98" i="77" s="1"/>
  <c r="BG72" i="77"/>
  <c r="BM69" i="77" s="1"/>
  <c r="BG19" i="77"/>
  <c r="BG67" i="77"/>
  <c r="BM62" i="77" s="1"/>
  <c r="BG57" i="77"/>
  <c r="S56" i="17"/>
  <c r="BL98" i="77"/>
  <c r="BN8" i="19"/>
  <c r="BU76" i="17"/>
  <c r="BS67" i="77"/>
  <c r="BS65" i="77"/>
  <c r="AC48" i="77"/>
  <c r="BU72" i="77"/>
  <c r="R48" i="17"/>
  <c r="R49" i="17" s="1"/>
  <c r="R51" i="17" s="1"/>
  <c r="Q51" i="17"/>
  <c r="BT35" i="19"/>
  <c r="BT25" i="17"/>
  <c r="BU25" i="17" s="1"/>
  <c r="BB423" i="18"/>
  <c r="BB460" i="18" s="1"/>
  <c r="BB359" i="18"/>
  <c r="BB396" i="18" s="1"/>
  <c r="DN54" i="18"/>
  <c r="BH396" i="18"/>
  <c r="AU178" i="18"/>
  <c r="AU335" i="18"/>
  <c r="BG280" i="18"/>
  <c r="BG250" i="18"/>
  <c r="R176" i="18"/>
  <c r="R333" i="18"/>
  <c r="R345" i="18" s="1"/>
  <c r="DS55" i="18"/>
  <c r="BO91" i="18"/>
  <c r="AY435" i="18"/>
  <c r="AY438" i="18"/>
  <c r="BC433" i="18"/>
  <c r="AY432" i="18"/>
  <c r="AZ434" i="18" s="1"/>
  <c r="BU85" i="18"/>
  <c r="BH251" i="18"/>
  <c r="BH281" i="18"/>
  <c r="BI99" i="18"/>
  <c r="BU88" i="18"/>
  <c r="P174" i="18"/>
  <c r="P604" i="18" s="1"/>
  <c r="BL150" i="18"/>
  <c r="BT57" i="18"/>
  <c r="BU57" i="18" s="1"/>
  <c r="BS56" i="18"/>
  <c r="BN334" i="18"/>
  <c r="BO321" i="18"/>
  <c r="BQ321" i="18" s="1"/>
  <c r="BC85" i="18"/>
  <c r="BE280" i="18"/>
  <c r="BE250" i="18"/>
  <c r="BI88" i="18"/>
  <c r="BO322" i="18"/>
  <c r="BQ322" i="18" s="1"/>
  <c r="BA280" i="18"/>
  <c r="AS446" i="18"/>
  <c r="AS382" i="18"/>
  <c r="Q346" i="18"/>
  <c r="Q348" i="18"/>
  <c r="BA374" i="18"/>
  <c r="BM250" i="18"/>
  <c r="BR326" i="18"/>
  <c r="AY419" i="18"/>
  <c r="AZ280" i="18"/>
  <c r="BT364" i="18"/>
  <c r="BU364" i="18" s="1"/>
  <c r="BU79" i="18"/>
  <c r="BO320" i="18"/>
  <c r="BQ320" i="18" s="1"/>
  <c r="BB374" i="18"/>
  <c r="W28" i="18"/>
  <c r="W29" i="18" s="1"/>
  <c r="W30" i="18" s="1"/>
  <c r="BM445" i="18"/>
  <c r="BM381" i="18"/>
  <c r="BO329" i="18"/>
  <c r="BQ329" i="18" s="1"/>
  <c r="BO85" i="18"/>
  <c r="BM173" i="18"/>
  <c r="BN7" i="18"/>
  <c r="BN173" i="18" s="1"/>
  <c r="BI91" i="18"/>
  <c r="DO55" i="18"/>
  <c r="AY278" i="18"/>
  <c r="AY248" i="18"/>
  <c r="AV148" i="18"/>
  <c r="AU171" i="18"/>
  <c r="BF81" i="18"/>
  <c r="BH179" i="18"/>
  <c r="BH587" i="18" s="1"/>
  <c r="BI587" i="18" s="1"/>
  <c r="BI151" i="18"/>
  <c r="BI336" i="18"/>
  <c r="DK55" i="18"/>
  <c r="BC91" i="18"/>
  <c r="AY92" i="18"/>
  <c r="AZ92" i="18" s="1"/>
  <c r="BA92" i="18" s="1"/>
  <c r="BB92" i="18" s="1"/>
  <c r="BC92" i="18" s="1"/>
  <c r="BE92" i="18" s="1"/>
  <c r="BF92" i="18" s="1"/>
  <c r="BG92" i="18" s="1"/>
  <c r="BH92" i="18" s="1"/>
  <c r="BI92" i="18" s="1"/>
  <c r="AY158" i="18"/>
  <c r="AZ374" i="18"/>
  <c r="BE81" i="18"/>
  <c r="BN250" i="18"/>
  <c r="BF280" i="18"/>
  <c r="BF250" i="18"/>
  <c r="AY415" i="18"/>
  <c r="DK53" i="18"/>
  <c r="AY73" i="18"/>
  <c r="AY154" i="18"/>
  <c r="BS325" i="18"/>
  <c r="BE438" i="18"/>
  <c r="BO328" i="18"/>
  <c r="BQ328" i="18" s="1"/>
  <c r="BR324" i="18"/>
  <c r="BC88" i="18"/>
  <c r="AZ438" i="18"/>
  <c r="BE78" i="18"/>
  <c r="U144" i="18"/>
  <c r="S144" i="18"/>
  <c r="S145" i="18" s="1"/>
  <c r="S168" i="18" s="1"/>
  <c r="BA438" i="18"/>
  <c r="AT178" i="18"/>
  <c r="AT335" i="18"/>
  <c r="BA279" i="18"/>
  <c r="BR173" i="18"/>
  <c r="BS7" i="18"/>
  <c r="BB438" i="18"/>
  <c r="BI369" i="18"/>
  <c r="BE374" i="18"/>
  <c r="BI374" i="18" s="1"/>
  <c r="AY374" i="18"/>
  <c r="BC369" i="18"/>
  <c r="AY371" i="18"/>
  <c r="AY368" i="18"/>
  <c r="AZ370" i="18" s="1"/>
  <c r="BO323" i="18"/>
  <c r="BQ323" i="18" s="1"/>
  <c r="BR323" i="18" s="1"/>
  <c r="BS323" i="18" s="1"/>
  <c r="BT323" i="18" s="1"/>
  <c r="S333" i="18"/>
  <c r="S345" i="18" s="1"/>
  <c r="BE418" i="18"/>
  <c r="BR327" i="18"/>
  <c r="BO445" i="18"/>
  <c r="BO381" i="18"/>
  <c r="BK280" i="18"/>
  <c r="BK250" i="18"/>
  <c r="BO88" i="18"/>
  <c r="P348" i="18"/>
  <c r="P346" i="18"/>
  <c r="BK151" i="18"/>
  <c r="BL250" i="18"/>
  <c r="BB280" i="18"/>
  <c r="U30" i="18"/>
  <c r="BH250" i="18"/>
  <c r="BH280" i="18"/>
  <c r="BG279" i="18" l="1"/>
  <c r="CI72" i="77"/>
  <c r="CK70" i="77"/>
  <c r="CJ68" i="77"/>
  <c r="CJ72" i="77" s="1"/>
  <c r="CJ220" i="18" s="1"/>
  <c r="CJ222" i="18" s="1"/>
  <c r="CD8" i="17"/>
  <c r="CE8" i="17" s="1"/>
  <c r="CF8" i="17" s="1"/>
  <c r="CI8" i="17"/>
  <c r="CK7" i="18"/>
  <c r="CJ173" i="18"/>
  <c r="CJ32" i="77"/>
  <c r="CI96" i="77"/>
  <c r="CI115" i="77"/>
  <c r="CO71" i="77"/>
  <c r="CO173" i="18"/>
  <c r="CP7" i="18"/>
  <c r="BX73" i="77"/>
  <c r="BX84" i="77" s="1"/>
  <c r="BE453" i="18"/>
  <c r="BE389" i="18"/>
  <c r="BF282" i="18"/>
  <c r="BF252" i="18"/>
  <c r="BE593" i="18"/>
  <c r="BF98" i="18"/>
  <c r="BG109" i="18"/>
  <c r="BG108" i="18" s="1"/>
  <c r="BF185" i="18"/>
  <c r="BF342" i="18"/>
  <c r="CL55" i="18"/>
  <c r="CR66" i="18"/>
  <c r="CQ66" i="18"/>
  <c r="CP66" i="18"/>
  <c r="CL66" i="18"/>
  <c r="CI66" i="18"/>
  <c r="CO66" i="18"/>
  <c r="CK66" i="18"/>
  <c r="CJ66" i="18"/>
  <c r="CC155" i="19"/>
  <c r="CC8" i="48"/>
  <c r="CC13" i="48" s="1"/>
  <c r="CI8" i="19"/>
  <c r="CO7" i="19"/>
  <c r="CM7" i="48"/>
  <c r="CI7" i="48"/>
  <c r="BZ75" i="77"/>
  <c r="CA75" i="77" s="1"/>
  <c r="BX66" i="77"/>
  <c r="BY66" i="77"/>
  <c r="CK39" i="18"/>
  <c r="CK270" i="18"/>
  <c r="CK239" i="18"/>
  <c r="CK240" i="18"/>
  <c r="CK25" i="18"/>
  <c r="CJ269" i="18"/>
  <c r="CJ40" i="18"/>
  <c r="CL24" i="18"/>
  <c r="CD11" i="48"/>
  <c r="CK77" i="19"/>
  <c r="CK78" i="19"/>
  <c r="CP190" i="18"/>
  <c r="O351" i="18"/>
  <c r="O205" i="18"/>
  <c r="O225" i="18" s="1"/>
  <c r="O265" i="18" s="1"/>
  <c r="O243" i="18"/>
  <c r="DQ54" i="18"/>
  <c r="BA359" i="18"/>
  <c r="BA396" i="18" s="1"/>
  <c r="AY359" i="18"/>
  <c r="AY364" i="18" s="1"/>
  <c r="DL54" i="18"/>
  <c r="Q201" i="18"/>
  <c r="BL22" i="48"/>
  <c r="BL23" i="48" s="1"/>
  <c r="BT65" i="77"/>
  <c r="BT62" i="77"/>
  <c r="AT586" i="18"/>
  <c r="Q353" i="18"/>
  <c r="Q598" i="18"/>
  <c r="Q599" i="18"/>
  <c r="DA590" i="18" s="1"/>
  <c r="Q597" i="18"/>
  <c r="Q12" i="18"/>
  <c r="CA177" i="18"/>
  <c r="CA190" i="18" s="1"/>
  <c r="BZ585" i="18"/>
  <c r="CA585" i="18" s="1"/>
  <c r="Q260" i="18"/>
  <c r="Q602" i="18" s="1"/>
  <c r="R174" i="18"/>
  <c r="R604" i="18" s="1"/>
  <c r="R584" i="18"/>
  <c r="AU586" i="18"/>
  <c r="BI341" i="18"/>
  <c r="BI388" i="18" s="1"/>
  <c r="AS112" i="16"/>
  <c r="AW112" i="16"/>
  <c r="BZ121" i="16"/>
  <c r="CA121" i="16" s="1"/>
  <c r="CA123" i="16" s="1"/>
  <c r="CC120" i="16" s="1"/>
  <c r="BZ113" i="16"/>
  <c r="CA113" i="16" s="1"/>
  <c r="BZ96" i="16"/>
  <c r="CA96" i="16" s="1"/>
  <c r="M103" i="16"/>
  <c r="M104" i="16" s="1"/>
  <c r="BY120" i="16"/>
  <c r="BY123" i="16" s="1"/>
  <c r="BX20" i="16"/>
  <c r="BX176" i="16" s="1"/>
  <c r="M108" i="16"/>
  <c r="S93" i="16"/>
  <c r="S102" i="16" s="1"/>
  <c r="O93" i="16"/>
  <c r="AE84" i="16"/>
  <c r="AE90" i="16" s="1"/>
  <c r="AA84" i="16"/>
  <c r="AA90" i="16" s="1"/>
  <c r="AB84" i="16" s="1"/>
  <c r="AB90" i="16" s="1"/>
  <c r="AC84" i="16" s="1"/>
  <c r="AC90" i="16" s="1"/>
  <c r="AD84" i="16" s="1"/>
  <c r="AD90" i="16" s="1"/>
  <c r="BL12" i="48"/>
  <c r="BL57" i="48" s="1"/>
  <c r="BL58" i="48" s="1"/>
  <c r="BL15" i="48"/>
  <c r="BH22" i="48"/>
  <c r="BI22" i="48" s="1"/>
  <c r="BH21" i="48"/>
  <c r="BH20" i="48" s="1"/>
  <c r="BI20" i="48" s="1"/>
  <c r="BI21" i="48" s="1"/>
  <c r="AV53" i="48"/>
  <c r="AV54" i="48" s="1"/>
  <c r="BK53" i="48"/>
  <c r="BW37" i="19"/>
  <c r="BW43" i="19" s="1"/>
  <c r="BW42" i="19" s="1"/>
  <c r="AV57" i="48"/>
  <c r="AW57" i="48" s="1"/>
  <c r="AW58" i="48" s="1"/>
  <c r="BH14" i="48"/>
  <c r="BB15" i="48"/>
  <c r="BB23" i="48"/>
  <c r="BB28" i="48"/>
  <c r="BC28" i="48" s="1"/>
  <c r="BC29" i="48" s="1"/>
  <c r="BC31" i="48" s="1"/>
  <c r="BC52" i="48"/>
  <c r="BB52" i="48"/>
  <c r="BC23" i="48"/>
  <c r="CD8" i="19"/>
  <c r="BN155" i="19"/>
  <c r="BW13" i="48"/>
  <c r="BW14" i="48"/>
  <c r="BK99" i="18"/>
  <c r="BK281" i="18" s="1"/>
  <c r="BU63" i="17"/>
  <c r="BU73" i="17" s="1"/>
  <c r="BU37" i="17" s="1"/>
  <c r="BX36" i="19"/>
  <c r="BX35" i="19" s="1"/>
  <c r="BK160" i="18"/>
  <c r="BK161" i="18" s="1"/>
  <c r="DS57" i="18"/>
  <c r="BU42" i="19"/>
  <c r="BT150" i="19"/>
  <c r="BU150" i="19" s="1"/>
  <c r="BO246" i="18"/>
  <c r="BH12" i="48"/>
  <c r="BI12" i="48" s="1"/>
  <c r="BI13" i="48" s="1"/>
  <c r="BX19" i="48"/>
  <c r="BY19" i="48" s="1"/>
  <c r="BW21" i="48"/>
  <c r="CC32" i="17"/>
  <c r="BW72" i="77"/>
  <c r="BW69" i="77"/>
  <c r="BX68" i="77"/>
  <c r="CA71" i="77"/>
  <c r="BQ52" i="48"/>
  <c r="BQ29" i="16" s="1"/>
  <c r="CF115" i="77"/>
  <c r="CF96" i="77"/>
  <c r="AY423" i="18"/>
  <c r="AY460" i="18" s="1"/>
  <c r="AY156" i="18"/>
  <c r="AY157" i="18" s="1"/>
  <c r="DK54" i="18"/>
  <c r="DK56" i="18" s="1"/>
  <c r="BC81" i="18"/>
  <c r="AZ423" i="18"/>
  <c r="AZ460" i="18" s="1"/>
  <c r="AZ359" i="18"/>
  <c r="AZ396" i="18" s="1"/>
  <c r="DM54" i="18"/>
  <c r="DM56" i="18" s="1"/>
  <c r="BC78" i="18"/>
  <c r="BA423" i="18"/>
  <c r="BA460" i="18" s="1"/>
  <c r="BH249" i="18"/>
  <c r="AY82" i="18"/>
  <c r="AZ82" i="18" s="1"/>
  <c r="BA82" i="18" s="1"/>
  <c r="BB82" i="18" s="1"/>
  <c r="BC82" i="18" s="1"/>
  <c r="BE82" i="18" s="1"/>
  <c r="BF82" i="18" s="1"/>
  <c r="BG82" i="18" s="1"/>
  <c r="BH82" i="18" s="1"/>
  <c r="BI82" i="18" s="1"/>
  <c r="CC147" i="18"/>
  <c r="CD146" i="18"/>
  <c r="CA78" i="17"/>
  <c r="CA43" i="48"/>
  <c r="BZ78" i="17"/>
  <c r="BZ43" i="48"/>
  <c r="CC43" i="48"/>
  <c r="BY76" i="17"/>
  <c r="BY41" i="19"/>
  <c r="BU250" i="18"/>
  <c r="BI161" i="18"/>
  <c r="BH341" i="18"/>
  <c r="BH388" i="18" s="1"/>
  <c r="BI179" i="18"/>
  <c r="BH184" i="18"/>
  <c r="BL151" i="18"/>
  <c r="BO54" i="18"/>
  <c r="BQ54" i="18" s="1"/>
  <c r="BC418" i="18"/>
  <c r="BG396" i="18"/>
  <c r="BT56" i="18"/>
  <c r="BU56" i="18" s="1"/>
  <c r="BW57" i="18"/>
  <c r="BZ244" i="18"/>
  <c r="BZ274" i="18"/>
  <c r="CD173" i="18"/>
  <c r="CE7" i="18"/>
  <c r="CD66" i="18"/>
  <c r="CC66" i="18"/>
  <c r="CF66" i="18"/>
  <c r="BX66" i="18"/>
  <c r="BZ66" i="18"/>
  <c r="CE66" i="18"/>
  <c r="BW66" i="18"/>
  <c r="BY66" i="18"/>
  <c r="BF249" i="18"/>
  <c r="BY173" i="18"/>
  <c r="BZ7" i="18"/>
  <c r="BZ173" i="18" s="1"/>
  <c r="CA48" i="18"/>
  <c r="CA274" i="18"/>
  <c r="CA244" i="18"/>
  <c r="BU80" i="18"/>
  <c r="BW80" i="18" s="1"/>
  <c r="BX80" i="18" s="1"/>
  <c r="BY80" i="18" s="1"/>
  <c r="BZ80" i="18" s="1"/>
  <c r="BW79" i="18"/>
  <c r="CC47" i="18"/>
  <c r="CD48" i="18"/>
  <c r="BZ374" i="18"/>
  <c r="CA374" i="18" s="1"/>
  <c r="BZ88" i="18"/>
  <c r="CA89" i="18"/>
  <c r="CC89" i="18" s="1"/>
  <c r="BX13" i="48"/>
  <c r="BX14" i="48"/>
  <c r="BZ8" i="19"/>
  <c r="BY8" i="48"/>
  <c r="BW22" i="17"/>
  <c r="BG23" i="48"/>
  <c r="BH279" i="18"/>
  <c r="R20" i="77"/>
  <c r="R21" i="77" s="1"/>
  <c r="BC438" i="18"/>
  <c r="Q50" i="77"/>
  <c r="Q39" i="77"/>
  <c r="P42" i="77"/>
  <c r="P41" i="77"/>
  <c r="S22" i="77"/>
  <c r="U15" i="77"/>
  <c r="U22" i="77" s="1"/>
  <c r="S20" i="77"/>
  <c r="S21" i="77" s="1"/>
  <c r="R22" i="77"/>
  <c r="O41" i="77"/>
  <c r="O42" i="77"/>
  <c r="BE85" i="77"/>
  <c r="AY87" i="77"/>
  <c r="AY86" i="77"/>
  <c r="AY61" i="77"/>
  <c r="BF53" i="48"/>
  <c r="BF54" i="48" s="1"/>
  <c r="BG52" i="48"/>
  <c r="BM13" i="48"/>
  <c r="BM14" i="48"/>
  <c r="BM22" i="48"/>
  <c r="BM21" i="48"/>
  <c r="BG58" i="77"/>
  <c r="BM53" i="77"/>
  <c r="BA53" i="48"/>
  <c r="BA54" i="48" s="1"/>
  <c r="BR13" i="48"/>
  <c r="BR14" i="48"/>
  <c r="BR21" i="48"/>
  <c r="BR22" i="48" s="1"/>
  <c r="AU54" i="48"/>
  <c r="BC12" i="48"/>
  <c r="BG12" i="48"/>
  <c r="BG57" i="48" s="1"/>
  <c r="BG15" i="48"/>
  <c r="BQ20" i="48"/>
  <c r="BQ23" i="48"/>
  <c r="U49" i="17"/>
  <c r="Y48" i="17"/>
  <c r="Y49" i="17" s="1"/>
  <c r="BU35" i="19"/>
  <c r="BF57" i="48"/>
  <c r="BF58" i="48" s="1"/>
  <c r="BT8" i="19"/>
  <c r="BS8" i="48"/>
  <c r="AW13" i="48"/>
  <c r="AW15" i="48" s="1"/>
  <c r="AW53" i="48" s="1"/>
  <c r="AY54" i="48" s="1"/>
  <c r="AY57" i="48"/>
  <c r="BQ12" i="48"/>
  <c r="BQ15" i="48"/>
  <c r="AD48" i="77"/>
  <c r="BU43" i="19"/>
  <c r="BH447" i="18"/>
  <c r="BH383" i="18"/>
  <c r="BK179" i="18"/>
  <c r="BK587" i="18" s="1"/>
  <c r="BK336" i="18"/>
  <c r="BT325" i="18"/>
  <c r="BL99" i="18"/>
  <c r="DT57" i="18"/>
  <c r="AY155" i="18"/>
  <c r="BI447" i="18"/>
  <c r="BI383" i="18"/>
  <c r="BN445" i="18"/>
  <c r="BN381" i="18"/>
  <c r="P353" i="18"/>
  <c r="P260" i="18"/>
  <c r="P602" i="18" s="1"/>
  <c r="P12" i="18"/>
  <c r="P201" i="18"/>
  <c r="BH66" i="18"/>
  <c r="BA66" i="18"/>
  <c r="AN66" i="18"/>
  <c r="AD66" i="18"/>
  <c r="AD62" i="18" s="1"/>
  <c r="BN66" i="18"/>
  <c r="BG66" i="18"/>
  <c r="AZ66" i="18"/>
  <c r="AM66" i="18"/>
  <c r="AC66" i="18"/>
  <c r="AC62" i="18" s="1"/>
  <c r="X66" i="18"/>
  <c r="X62" i="18" s="1"/>
  <c r="BQ66" i="18"/>
  <c r="AI66" i="18"/>
  <c r="AI62" i="18" s="1"/>
  <c r="AU66" i="18"/>
  <c r="U145" i="18"/>
  <c r="BB66" i="18"/>
  <c r="AO66" i="18"/>
  <c r="AG66" i="18"/>
  <c r="AS66" i="18"/>
  <c r="AA66" i="18"/>
  <c r="AJ66" i="18"/>
  <c r="AJ62" i="18" s="1"/>
  <c r="BT66" i="18"/>
  <c r="BM66" i="18"/>
  <c r="BF66" i="18"/>
  <c r="AY66" i="18"/>
  <c r="W66" i="18"/>
  <c r="W62" i="18" s="1"/>
  <c r="AB66" i="18"/>
  <c r="AB62" i="18" s="1"/>
  <c r="AH66" i="18"/>
  <c r="AH62" i="18" s="1"/>
  <c r="BK66" i="18"/>
  <c r="AT66" i="18"/>
  <c r="BR66" i="18"/>
  <c r="BL66" i="18"/>
  <c r="AP66" i="18"/>
  <c r="V66" i="18"/>
  <c r="V144" i="18" s="1"/>
  <c r="BS66" i="18"/>
  <c r="BE66" i="18"/>
  <c r="BI418" i="18"/>
  <c r="BS327" i="18"/>
  <c r="AY373" i="18"/>
  <c r="AZ368" i="18"/>
  <c r="BR320" i="18"/>
  <c r="BI250" i="18"/>
  <c r="BS326" i="18"/>
  <c r="BS173" i="18"/>
  <c r="BT7" i="18"/>
  <c r="BT173" i="18" s="1"/>
  <c r="AT446" i="18"/>
  <c r="AT382" i="18"/>
  <c r="BE279" i="18"/>
  <c r="BE249" i="18"/>
  <c r="BI78" i="18"/>
  <c r="X28" i="18"/>
  <c r="AA28" i="18" s="1"/>
  <c r="R346" i="18"/>
  <c r="R348" i="18"/>
  <c r="BO250" i="18"/>
  <c r="BC374" i="18"/>
  <c r="BS324" i="18"/>
  <c r="AY417" i="18"/>
  <c r="AY416" i="18"/>
  <c r="AZ158" i="18"/>
  <c r="AZ159" i="18" s="1"/>
  <c r="AY159" i="18"/>
  <c r="DP54" i="18"/>
  <c r="BF396" i="18"/>
  <c r="BF279" i="18"/>
  <c r="BR329" i="18"/>
  <c r="AY437" i="18"/>
  <c r="AZ432" i="18"/>
  <c r="AU446" i="18"/>
  <c r="AU382" i="18"/>
  <c r="BB428" i="18"/>
  <c r="S348" i="18"/>
  <c r="S346" i="18"/>
  <c r="BE423" i="18"/>
  <c r="BE359" i="18"/>
  <c r="BI81" i="18"/>
  <c r="DO54" i="18"/>
  <c r="BB364" i="18"/>
  <c r="AW148" i="18"/>
  <c r="AV171" i="18"/>
  <c r="BM150" i="18"/>
  <c r="BI251" i="18"/>
  <c r="BI100" i="18"/>
  <c r="BM103" i="18"/>
  <c r="BR328" i="18"/>
  <c r="AV149" i="18"/>
  <c r="BR322" i="18"/>
  <c r="BQ334" i="18"/>
  <c r="BR321" i="18"/>
  <c r="S176" i="18"/>
  <c r="S174" i="18" s="1"/>
  <c r="S604" i="18" s="1"/>
  <c r="BZ73" i="77" l="1"/>
  <c r="BZ84" i="77" s="1"/>
  <c r="CC75" i="77"/>
  <c r="CC73" i="77" s="1"/>
  <c r="CC84" i="77" s="1"/>
  <c r="CP71" i="77"/>
  <c r="BY37" i="19"/>
  <c r="CL70" i="77"/>
  <c r="CM70" i="77" s="1"/>
  <c r="CK68" i="77"/>
  <c r="CO8" i="17"/>
  <c r="CP8" i="17" s="1"/>
  <c r="CQ8" i="17" s="1"/>
  <c r="CR8" i="17" s="1"/>
  <c r="CJ8" i="17"/>
  <c r="CK8" i="17" s="1"/>
  <c r="CL8" i="17" s="1"/>
  <c r="CC14" i="48"/>
  <c r="CC15" i="48" s="1"/>
  <c r="CK32" i="77"/>
  <c r="CJ115" i="77"/>
  <c r="CJ96" i="77"/>
  <c r="CI220" i="18"/>
  <c r="CI222" i="18" s="1"/>
  <c r="CP173" i="18"/>
  <c r="CQ7" i="18"/>
  <c r="CK173" i="18"/>
  <c r="CL7" i="18"/>
  <c r="CL173" i="18" s="1"/>
  <c r="BZ66" i="77"/>
  <c r="BF593" i="18"/>
  <c r="DQ58" i="18"/>
  <c r="DQ59" i="18" s="1"/>
  <c r="BG105" i="18"/>
  <c r="BG162" i="18"/>
  <c r="BF389" i="18"/>
  <c r="BF453" i="18"/>
  <c r="BH109" i="18"/>
  <c r="BH108" i="18" s="1"/>
  <c r="BG98" i="18"/>
  <c r="CO55" i="18"/>
  <c r="CM55" i="18"/>
  <c r="CO62" i="18"/>
  <c r="CO64" i="18"/>
  <c r="CS66" i="18"/>
  <c r="CI64" i="18"/>
  <c r="CI62" i="18"/>
  <c r="CM66" i="18"/>
  <c r="CJ64" i="18"/>
  <c r="CJ62" i="18"/>
  <c r="CL64" i="18"/>
  <c r="CL62" i="18"/>
  <c r="CP64" i="18"/>
  <c r="CP62" i="18"/>
  <c r="CQ64" i="18"/>
  <c r="CQ62" i="18"/>
  <c r="CK64" i="18"/>
  <c r="CK62" i="18"/>
  <c r="CR64" i="18"/>
  <c r="CR62" i="18"/>
  <c r="CJ8" i="19"/>
  <c r="CI8" i="48"/>
  <c r="CI155" i="19"/>
  <c r="CO8" i="19"/>
  <c r="CD155" i="19"/>
  <c r="CD8" i="48"/>
  <c r="CD13" i="48" s="1"/>
  <c r="CS7" i="48"/>
  <c r="CO7" i="48"/>
  <c r="CO24" i="18"/>
  <c r="CK269" i="18"/>
  <c r="CK40" i="18"/>
  <c r="CL270" i="18"/>
  <c r="CL240" i="18"/>
  <c r="CL25" i="18"/>
  <c r="CM24" i="18"/>
  <c r="CC12" i="48"/>
  <c r="CE11" i="48"/>
  <c r="CL78" i="19"/>
  <c r="CL77" i="19"/>
  <c r="CQ190" i="18"/>
  <c r="Q205" i="18"/>
  <c r="Q225" i="18" s="1"/>
  <c r="Q243" i="18"/>
  <c r="BA364" i="18"/>
  <c r="AY358" i="18"/>
  <c r="AY362" i="18" s="1"/>
  <c r="AY367" i="18" s="1"/>
  <c r="AY386" i="18" s="1"/>
  <c r="AY361" i="18"/>
  <c r="AY396" i="18"/>
  <c r="BL53" i="48"/>
  <c r="BL52" i="48"/>
  <c r="R201" i="18"/>
  <c r="Q351" i="18"/>
  <c r="R12" i="18"/>
  <c r="R260" i="18"/>
  <c r="R602" i="18" s="1"/>
  <c r="R353" i="18"/>
  <c r="R596" i="18"/>
  <c r="S584" i="18"/>
  <c r="BI184" i="18"/>
  <c r="BI197" i="18" s="1"/>
  <c r="BH592" i="18"/>
  <c r="BI592" i="18" s="1"/>
  <c r="BI452" i="18"/>
  <c r="BK341" i="18"/>
  <c r="BK388" i="18" s="1"/>
  <c r="BL336" i="18"/>
  <c r="BL447" i="18" s="1"/>
  <c r="CC177" i="18"/>
  <c r="CC585" i="18" s="1"/>
  <c r="BH52" i="48"/>
  <c r="O102" i="16"/>
  <c r="O98" i="16"/>
  <c r="BY20" i="16"/>
  <c r="BY176" i="16" s="1"/>
  <c r="BZ120" i="16"/>
  <c r="BZ123" i="16" s="1"/>
  <c r="AS116" i="16"/>
  <c r="AW116" i="16" s="1"/>
  <c r="AW117" i="16" s="1"/>
  <c r="AS115" i="16"/>
  <c r="CC121" i="16"/>
  <c r="CC113" i="16"/>
  <c r="CC96" i="16"/>
  <c r="M109" i="16"/>
  <c r="O100" i="16"/>
  <c r="S100" i="16"/>
  <c r="AW115" i="16"/>
  <c r="AK84" i="16"/>
  <c r="AK90" i="16" s="1"/>
  <c r="AG84" i="16"/>
  <c r="AG90" i="16" s="1"/>
  <c r="AH84" i="16" s="1"/>
  <c r="AH90" i="16" s="1"/>
  <c r="AI84" i="16" s="1"/>
  <c r="AI90" i="16" s="1"/>
  <c r="AJ84" i="16" s="1"/>
  <c r="AJ90" i="16" s="1"/>
  <c r="BH23" i="48"/>
  <c r="BI23" i="48"/>
  <c r="BX21" i="48"/>
  <c r="BX20" i="48" s="1"/>
  <c r="BU65" i="17"/>
  <c r="CA61" i="17" s="1"/>
  <c r="CA64" i="17" s="1"/>
  <c r="BI14" i="48"/>
  <c r="BI52" i="48" s="1"/>
  <c r="BB53" i="48"/>
  <c r="BB54" i="48" s="1"/>
  <c r="BC54" i="48" s="1"/>
  <c r="AV58" i="48"/>
  <c r="BH15" i="48"/>
  <c r="BK57" i="48"/>
  <c r="BK58" i="48" s="1"/>
  <c r="BB57" i="48"/>
  <c r="BB58" i="48" s="1"/>
  <c r="BO22" i="48"/>
  <c r="CE8" i="19"/>
  <c r="BW15" i="48"/>
  <c r="BW12" i="48"/>
  <c r="BT8" i="48"/>
  <c r="BT13" i="48" s="1"/>
  <c r="BT155" i="19"/>
  <c r="BZ8" i="48"/>
  <c r="BZ13" i="48" s="1"/>
  <c r="BZ155" i="19"/>
  <c r="BK184" i="18"/>
  <c r="BK592" i="18" s="1"/>
  <c r="BL160" i="18"/>
  <c r="BL161" i="18" s="1"/>
  <c r="BK251" i="18"/>
  <c r="BY36" i="19"/>
  <c r="BW150" i="19"/>
  <c r="BH57" i="48"/>
  <c r="BH58" i="48" s="1"/>
  <c r="BG58" i="48"/>
  <c r="BX56" i="48"/>
  <c r="BX37" i="19"/>
  <c r="BX43" i="19" s="1"/>
  <c r="BX42" i="19" s="1"/>
  <c r="BW22" i="48"/>
  <c r="BW52" i="48" s="1"/>
  <c r="BW20" i="48"/>
  <c r="BY56" i="48"/>
  <c r="BZ19" i="48"/>
  <c r="CA19" i="48" s="1"/>
  <c r="BX24" i="17"/>
  <c r="BW24" i="17"/>
  <c r="CD32" i="17"/>
  <c r="BW25" i="17"/>
  <c r="CA66" i="77"/>
  <c r="BY68" i="77"/>
  <c r="CA70" i="77"/>
  <c r="BX72" i="77"/>
  <c r="BX69" i="77"/>
  <c r="BX61" i="77"/>
  <c r="BW220" i="18"/>
  <c r="BR52" i="48"/>
  <c r="BR29" i="16" s="1"/>
  <c r="AZ428" i="18"/>
  <c r="AY425" i="18"/>
  <c r="AY428" i="18"/>
  <c r="AZ364" i="18"/>
  <c r="AZ156" i="18"/>
  <c r="BA156" i="18" s="1"/>
  <c r="AY422" i="18"/>
  <c r="AY426" i="18" s="1"/>
  <c r="AY431" i="18" s="1"/>
  <c r="AY450" i="18" s="1"/>
  <c r="BC359" i="18"/>
  <c r="BC396" i="18" s="1"/>
  <c r="BA428" i="18"/>
  <c r="BC423" i="18"/>
  <c r="BC460" i="18" s="1"/>
  <c r="CD147" i="18"/>
  <c r="CE146" i="18"/>
  <c r="CD43" i="48"/>
  <c r="CC78" i="17"/>
  <c r="BZ76" i="17"/>
  <c r="BZ41" i="19"/>
  <c r="CA41" i="19"/>
  <c r="CA37" i="19" s="1"/>
  <c r="CA76" i="17"/>
  <c r="BZ250" i="18"/>
  <c r="BZ280" i="18"/>
  <c r="BL179" i="18"/>
  <c r="BL587" i="18" s="1"/>
  <c r="BH452" i="18"/>
  <c r="BI192" i="18"/>
  <c r="BR54" i="18"/>
  <c r="BQ53" i="18"/>
  <c r="CE173" i="18"/>
  <c r="CF7" i="18"/>
  <c r="CF173" i="18" s="1"/>
  <c r="BX79" i="18"/>
  <c r="BW364" i="18"/>
  <c r="CG66" i="18"/>
  <c r="CC64" i="18"/>
  <c r="CC62" i="18"/>
  <c r="CD89" i="18"/>
  <c r="CC374" i="18"/>
  <c r="CC88" i="18"/>
  <c r="CD64" i="18"/>
  <c r="CD62" i="18"/>
  <c r="BY64" i="18"/>
  <c r="BY62" i="18"/>
  <c r="CE48" i="18"/>
  <c r="CD47" i="18"/>
  <c r="CE62" i="18"/>
  <c r="CE64" i="18"/>
  <c r="CC244" i="18"/>
  <c r="CC274" i="18"/>
  <c r="BZ62" i="18"/>
  <c r="BZ64" i="18"/>
  <c r="CA88" i="18"/>
  <c r="CA250" i="18" s="1"/>
  <c r="CA66" i="18"/>
  <c r="BW64" i="18"/>
  <c r="BW62" i="18"/>
  <c r="BX64" i="18"/>
  <c r="BX62" i="18"/>
  <c r="BW56" i="18"/>
  <c r="BX57" i="18"/>
  <c r="CF62" i="18"/>
  <c r="CF64" i="18"/>
  <c r="BX15" i="48"/>
  <c r="BX12" i="48"/>
  <c r="BY14" i="48"/>
  <c r="BY21" i="48"/>
  <c r="BY22" i="48" s="1"/>
  <c r="BY13" i="48"/>
  <c r="BX22" i="17"/>
  <c r="BG53" i="48"/>
  <c r="BG54" i="48" s="1"/>
  <c r="R49" i="77"/>
  <c r="R39" i="77" s="1"/>
  <c r="W59" i="18"/>
  <c r="BE87" i="77"/>
  <c r="BI85" i="77"/>
  <c r="BK85" i="77"/>
  <c r="BE61" i="77"/>
  <c r="V15" i="77"/>
  <c r="V20" i="77" s="1"/>
  <c r="U20" i="77"/>
  <c r="Q41" i="77"/>
  <c r="Q42" i="77"/>
  <c r="X59" i="18"/>
  <c r="P351" i="18"/>
  <c r="AY65" i="77"/>
  <c r="AY64" i="77"/>
  <c r="AY67" i="77"/>
  <c r="AY62" i="77"/>
  <c r="BE86" i="77"/>
  <c r="AW54" i="48"/>
  <c r="BM52" i="48"/>
  <c r="BQ53" i="48"/>
  <c r="BQ32" i="16" s="1"/>
  <c r="BO20" i="48"/>
  <c r="BO21" i="48" s="1"/>
  <c r="AA48" i="17"/>
  <c r="AA49" i="17" s="1"/>
  <c r="AE48" i="17"/>
  <c r="AE49" i="17" s="1"/>
  <c r="Y51" i="17"/>
  <c r="BC13" i="48"/>
  <c r="BC15" i="48" s="1"/>
  <c r="BC53" i="48" s="1"/>
  <c r="BE54" i="48" s="1"/>
  <c r="BE57" i="48"/>
  <c r="BM103" i="77"/>
  <c r="BM20" i="48"/>
  <c r="BM23" i="48"/>
  <c r="AY58" i="48"/>
  <c r="BS13" i="48"/>
  <c r="BS14" i="48"/>
  <c r="BS21" i="48"/>
  <c r="V48" i="17"/>
  <c r="V49" i="17" s="1"/>
  <c r="U51" i="17"/>
  <c r="BK11" i="77"/>
  <c r="BR20" i="48"/>
  <c r="BR23" i="48"/>
  <c r="BR12" i="48"/>
  <c r="BR15" i="48"/>
  <c r="BM12" i="48"/>
  <c r="BM15" i="48"/>
  <c r="AE48" i="77"/>
  <c r="AG48" i="77" s="1"/>
  <c r="AY183" i="18"/>
  <c r="AY591" i="18" s="1"/>
  <c r="AY340" i="18"/>
  <c r="AT62" i="18"/>
  <c r="AT64" i="18"/>
  <c r="BN64" i="18"/>
  <c r="BN62" i="18"/>
  <c r="BR334" i="18"/>
  <c r="BS321" i="18"/>
  <c r="AJ277" i="18"/>
  <c r="AJ247" i="18"/>
  <c r="AJ59" i="18"/>
  <c r="BU325" i="18"/>
  <c r="BW325" i="18" s="1"/>
  <c r="AV178" i="18"/>
  <c r="AV586" i="18" s="1"/>
  <c r="AW586" i="18" s="1"/>
  <c r="AV335" i="18"/>
  <c r="AW335" i="18"/>
  <c r="BS329" i="18"/>
  <c r="BT326" i="18"/>
  <c r="AA62" i="18"/>
  <c r="AE66" i="18"/>
  <c r="BQ445" i="18"/>
  <c r="BQ381" i="18"/>
  <c r="X29" i="18"/>
  <c r="AB59" i="18"/>
  <c r="BK447" i="18"/>
  <c r="BK383" i="18"/>
  <c r="BS328" i="18"/>
  <c r="BT324" i="18"/>
  <c r="AZ373" i="18"/>
  <c r="BA368" i="18"/>
  <c r="BA370" i="18"/>
  <c r="BL64" i="18"/>
  <c r="BL62" i="18"/>
  <c r="BF64" i="18"/>
  <c r="BF62" i="18"/>
  <c r="BB64" i="18"/>
  <c r="BB62" i="18"/>
  <c r="AZ64" i="18"/>
  <c r="AZ62" i="18"/>
  <c r="S260" i="18"/>
  <c r="S602" i="18" s="1"/>
  <c r="S353" i="18"/>
  <c r="S12" i="18"/>
  <c r="S201" i="18"/>
  <c r="AY441" i="18"/>
  <c r="AY451" i="18" s="1"/>
  <c r="AY439" i="18"/>
  <c r="BT64" i="18"/>
  <c r="BT62" i="18"/>
  <c r="AZ183" i="18"/>
  <c r="AZ591" i="18" s="1"/>
  <c r="AZ340" i="18"/>
  <c r="W144" i="18"/>
  <c r="W145" i="18" s="1"/>
  <c r="AD247" i="18"/>
  <c r="AD59" i="18"/>
  <c r="BA158" i="18"/>
  <c r="AH247" i="18"/>
  <c r="AH59" i="18"/>
  <c r="AN64" i="18"/>
  <c r="AN62" i="18"/>
  <c r="BA64" i="18"/>
  <c r="BA62" i="18"/>
  <c r="AY182" i="18"/>
  <c r="AY339" i="18"/>
  <c r="BM102" i="18"/>
  <c r="BN103" i="18" s="1"/>
  <c r="BO103" i="18" s="1"/>
  <c r="AW171" i="18"/>
  <c r="AY148" i="18"/>
  <c r="AW149" i="18"/>
  <c r="BI359" i="18"/>
  <c r="BI396" i="18" s="1"/>
  <c r="BE364" i="18"/>
  <c r="BI364" i="18" s="1"/>
  <c r="BE396" i="18"/>
  <c r="AZ437" i="18"/>
  <c r="BA432" i="18"/>
  <c r="BA434" i="18"/>
  <c r="BS320" i="18"/>
  <c r="AY377" i="18"/>
  <c r="AY387" i="18" s="1"/>
  <c r="AY375" i="18"/>
  <c r="BR62" i="18"/>
  <c r="BR64" i="18"/>
  <c r="BM64" i="18"/>
  <c r="BM62" i="18"/>
  <c r="U176" i="18"/>
  <c r="U584" i="18" s="1"/>
  <c r="U333" i="18"/>
  <c r="U345" i="18" s="1"/>
  <c r="U347" i="18" s="1"/>
  <c r="CY322" i="18" s="1"/>
  <c r="BG64" i="18"/>
  <c r="BG62" i="18"/>
  <c r="P243" i="18"/>
  <c r="P205" i="18"/>
  <c r="P225" i="18" s="1"/>
  <c r="P265" i="18" s="1"/>
  <c r="BL281" i="18"/>
  <c r="BL251" i="18"/>
  <c r="BE428" i="18"/>
  <c r="BE460" i="18"/>
  <c r="AU64" i="18"/>
  <c r="AU62" i="18"/>
  <c r="BO66" i="18"/>
  <c r="BK62" i="18"/>
  <c r="BK64" i="18"/>
  <c r="AS64" i="18"/>
  <c r="AW66" i="18"/>
  <c r="AS62" i="18"/>
  <c r="BN150" i="18"/>
  <c r="BT327" i="18"/>
  <c r="Y66" i="18"/>
  <c r="Y67" i="18" s="1"/>
  <c r="V145" i="18"/>
  <c r="V62" i="18"/>
  <c r="V152" i="18"/>
  <c r="AK66" i="18"/>
  <c r="AG62" i="18"/>
  <c r="AC247" i="18"/>
  <c r="AC59" i="18"/>
  <c r="BH64" i="18"/>
  <c r="BH62" i="18"/>
  <c r="AI277" i="18"/>
  <c r="AI247" i="18"/>
  <c r="AI59" i="18"/>
  <c r="AY181" i="18"/>
  <c r="AY338" i="18"/>
  <c r="AA29" i="18"/>
  <c r="AB28" i="18"/>
  <c r="AB29" i="18" s="1"/>
  <c r="AB30" i="18" s="1"/>
  <c r="BE64" i="18"/>
  <c r="BE62" i="18"/>
  <c r="BI66" i="18"/>
  <c r="BU66" i="18"/>
  <c r="BQ62" i="18"/>
  <c r="BQ64" i="18"/>
  <c r="BS64" i="18"/>
  <c r="BS62" i="18"/>
  <c r="BS322" i="18"/>
  <c r="BM151" i="18"/>
  <c r="BI249" i="18"/>
  <c r="AP64" i="18"/>
  <c r="AP62" i="18"/>
  <c r="AY62" i="18"/>
  <c r="AY64" i="18"/>
  <c r="BC66" i="18"/>
  <c r="AO64" i="18"/>
  <c r="AO62" i="18"/>
  <c r="AM62" i="18"/>
  <c r="AQ66" i="18"/>
  <c r="AM64" i="18"/>
  <c r="CD75" i="77" l="1"/>
  <c r="CD73" i="77" s="1"/>
  <c r="CD84" i="77" s="1"/>
  <c r="CA73" i="77"/>
  <c r="CA84" i="77" s="1"/>
  <c r="BN57" i="48"/>
  <c r="BN58" i="48" s="1"/>
  <c r="CC66" i="77"/>
  <c r="BZ37" i="19"/>
  <c r="BY43" i="19"/>
  <c r="BY42" i="19" s="1"/>
  <c r="CK72" i="77"/>
  <c r="CO70" i="77"/>
  <c r="CL68" i="77"/>
  <c r="CL72" i="77" s="1"/>
  <c r="BI109" i="18"/>
  <c r="BI258" i="18" s="1"/>
  <c r="CK96" i="77"/>
  <c r="CK115" i="77"/>
  <c r="CL32" i="77"/>
  <c r="CQ71" i="77"/>
  <c r="CQ173" i="18"/>
  <c r="CR7" i="18"/>
  <c r="CR173" i="18" s="1"/>
  <c r="BK109" i="18"/>
  <c r="BK108" i="18" s="1"/>
  <c r="BH98" i="18"/>
  <c r="BI108" i="18"/>
  <c r="BI98" i="18" s="1"/>
  <c r="BG163" i="18"/>
  <c r="BH162" i="18"/>
  <c r="BI162" i="18" s="1"/>
  <c r="BG282" i="18"/>
  <c r="BG252" i="18"/>
  <c r="DR58" i="18"/>
  <c r="DR59" i="18" s="1"/>
  <c r="BH105" i="18"/>
  <c r="BI105" i="18" s="1"/>
  <c r="CP55" i="18"/>
  <c r="CK412" i="18"/>
  <c r="CJ412" i="18"/>
  <c r="CQ247" i="18"/>
  <c r="CI247" i="18"/>
  <c r="CM62" i="18"/>
  <c r="CP247" i="18"/>
  <c r="CR247" i="18"/>
  <c r="CL247" i="18"/>
  <c r="CO412" i="18"/>
  <c r="CS64" i="18"/>
  <c r="CQ412" i="18"/>
  <c r="CP412" i="18"/>
  <c r="CR412" i="18"/>
  <c r="CL412" i="18"/>
  <c r="CO247" i="18"/>
  <c r="CS62" i="18"/>
  <c r="CI412" i="18"/>
  <c r="CM64" i="18"/>
  <c r="CK247" i="18"/>
  <c r="CJ247" i="18"/>
  <c r="CE155" i="19"/>
  <c r="CE8" i="48"/>
  <c r="CE13" i="48" s="1"/>
  <c r="CO8" i="48"/>
  <c r="CO155" i="19"/>
  <c r="CP8" i="19"/>
  <c r="CJ155" i="19"/>
  <c r="CJ8" i="48"/>
  <c r="CK8" i="19"/>
  <c r="CM25" i="18"/>
  <c r="CM240" i="18"/>
  <c r="CO240" i="18"/>
  <c r="CO239" i="18"/>
  <c r="CO25" i="18"/>
  <c r="CO270" i="18"/>
  <c r="CO39" i="18"/>
  <c r="CP24" i="18"/>
  <c r="CD12" i="48"/>
  <c r="CD14" i="48"/>
  <c r="CF11" i="48"/>
  <c r="CC19" i="48"/>
  <c r="CC56" i="48" s="1"/>
  <c r="CO77" i="19"/>
  <c r="CO78" i="19"/>
  <c r="BH53" i="48"/>
  <c r="BH54" i="48" s="1"/>
  <c r="BI54" i="48" s="1"/>
  <c r="CR190" i="18"/>
  <c r="AY589" i="18"/>
  <c r="AY590" i="18"/>
  <c r="BC364" i="18"/>
  <c r="R205" i="18"/>
  <c r="R225" i="18" s="1"/>
  <c r="R265" i="18" s="1"/>
  <c r="R243" i="18"/>
  <c r="AY365" i="18"/>
  <c r="AY366" i="18" s="1"/>
  <c r="AZ360" i="18"/>
  <c r="BK452" i="18"/>
  <c r="AZ358" i="18"/>
  <c r="AZ362" i="18" s="1"/>
  <c r="BL54" i="48"/>
  <c r="BQ45" i="16"/>
  <c r="BQ164" i="16"/>
  <c r="BL383" i="18"/>
  <c r="R351" i="18"/>
  <c r="U596" i="18"/>
  <c r="U597" i="18" s="1"/>
  <c r="R598" i="18"/>
  <c r="R597" i="18"/>
  <c r="R599" i="18"/>
  <c r="DB590" i="18" s="1"/>
  <c r="S596" i="18"/>
  <c r="BL184" i="18"/>
  <c r="BL592" i="18" s="1"/>
  <c r="CA63" i="17"/>
  <c r="CA73" i="17" s="1"/>
  <c r="CA37" i="17" s="1"/>
  <c r="BZ20" i="16"/>
  <c r="BZ176" i="16" s="1"/>
  <c r="CG120" i="16"/>
  <c r="P93" i="16"/>
  <c r="O108" i="16"/>
  <c r="O104" i="16"/>
  <c r="CD121" i="16"/>
  <c r="CD113" i="16"/>
  <c r="CD96" i="16"/>
  <c r="BC112" i="16"/>
  <c r="BC115" i="16" s="1"/>
  <c r="AY112" i="16"/>
  <c r="CC123" i="16"/>
  <c r="BW29" i="16"/>
  <c r="AQ84" i="16"/>
  <c r="AQ90" i="16" s="1"/>
  <c r="AM84" i="16"/>
  <c r="AM90" i="16" s="1"/>
  <c r="AN84" i="16" s="1"/>
  <c r="AN90" i="16" s="1"/>
  <c r="AO84" i="16" s="1"/>
  <c r="AO90" i="16" s="1"/>
  <c r="AP84" i="16" s="1"/>
  <c r="AP90" i="16" s="1"/>
  <c r="BX22" i="48"/>
  <c r="BX52" i="48" s="1"/>
  <c r="BX29" i="16" s="1"/>
  <c r="CF8" i="19"/>
  <c r="CF8" i="48" s="1"/>
  <c r="BI15" i="48"/>
  <c r="BI53" i="48" s="1"/>
  <c r="BK54" i="48" s="1"/>
  <c r="BO14" i="48"/>
  <c r="BO52" i="48" s="1"/>
  <c r="BT14" i="48"/>
  <c r="BT15" i="48" s="1"/>
  <c r="BO29" i="16"/>
  <c r="BC57" i="48"/>
  <c r="BC58" i="48" s="1"/>
  <c r="BO23" i="48"/>
  <c r="BT21" i="48"/>
  <c r="BT22" i="48" s="1"/>
  <c r="BU22" i="48" s="1"/>
  <c r="BZ21" i="48"/>
  <c r="BZ22" i="48" s="1"/>
  <c r="CA22" i="48" s="1"/>
  <c r="BZ14" i="48"/>
  <c r="BM160" i="18"/>
  <c r="BM161" i="18" s="1"/>
  <c r="BY35" i="19"/>
  <c r="BL341" i="18"/>
  <c r="BL452" i="18" s="1"/>
  <c r="BZ36" i="19"/>
  <c r="CA36" i="19" s="1"/>
  <c r="BI57" i="48"/>
  <c r="BI58" i="48" s="1"/>
  <c r="BX150" i="19"/>
  <c r="BW23" i="48"/>
  <c r="BW53" i="48" s="1"/>
  <c r="BW32" i="16" s="1"/>
  <c r="BZ56" i="48"/>
  <c r="CA56" i="48" s="1"/>
  <c r="BY24" i="17"/>
  <c r="CE32" i="17"/>
  <c r="BX25" i="17"/>
  <c r="BW222" i="18"/>
  <c r="BX65" i="77"/>
  <c r="BX62" i="77"/>
  <c r="BX67" i="77"/>
  <c r="BX220" i="18"/>
  <c r="BY72" i="77"/>
  <c r="BY61" i="77"/>
  <c r="BY69" i="77"/>
  <c r="BZ68" i="77"/>
  <c r="CA68" i="77" s="1"/>
  <c r="AZ157" i="18"/>
  <c r="AY429" i="18"/>
  <c r="AY430" i="18" s="1"/>
  <c r="AZ424" i="18"/>
  <c r="AZ422" i="18"/>
  <c r="AZ426" i="18" s="1"/>
  <c r="AZ429" i="18" s="1"/>
  <c r="BC428" i="18"/>
  <c r="BQ150" i="18"/>
  <c r="BQ151" i="18" s="1"/>
  <c r="CE147" i="18"/>
  <c r="CF146" i="18"/>
  <c r="CD177" i="18"/>
  <c r="CD585" i="18" s="1"/>
  <c r="BK247" i="18"/>
  <c r="CC76" i="17"/>
  <c r="CC41" i="19"/>
  <c r="CE43" i="48"/>
  <c r="CD78" i="17"/>
  <c r="BQ246" i="18"/>
  <c r="BQ276" i="18"/>
  <c r="CC280" i="18"/>
  <c r="CC250" i="18"/>
  <c r="BR53" i="18"/>
  <c r="BS54" i="18"/>
  <c r="BO150" i="18"/>
  <c r="CF247" i="18"/>
  <c r="BY57" i="18"/>
  <c r="BX56" i="18"/>
  <c r="BX247" i="18"/>
  <c r="BY79" i="18"/>
  <c r="BX364" i="18"/>
  <c r="CD274" i="18"/>
  <c r="CD244" i="18"/>
  <c r="BY412" i="18"/>
  <c r="BX325" i="18"/>
  <c r="CD412" i="18"/>
  <c r="CE247" i="18"/>
  <c r="BW247" i="18"/>
  <c r="CA62" i="18"/>
  <c r="BZ412" i="18"/>
  <c r="CF48" i="18"/>
  <c r="CE47" i="18"/>
  <c r="CE89" i="18"/>
  <c r="CD374" i="18"/>
  <c r="CD88" i="18"/>
  <c r="CC412" i="18"/>
  <c r="CG64" i="18"/>
  <c r="CD247" i="18"/>
  <c r="CE412" i="18"/>
  <c r="BX412" i="18"/>
  <c r="CF412" i="18"/>
  <c r="BW412" i="18"/>
  <c r="CA64" i="18"/>
  <c r="BZ247" i="18"/>
  <c r="BY247" i="18"/>
  <c r="CC247" i="18"/>
  <c r="CG62" i="18"/>
  <c r="BY52" i="48"/>
  <c r="BY20" i="48"/>
  <c r="BY23" i="48"/>
  <c r="BY15" i="48"/>
  <c r="BY12" i="48"/>
  <c r="BZ12" i="48"/>
  <c r="BX57" i="48"/>
  <c r="BX58" i="48" s="1"/>
  <c r="R50" i="77"/>
  <c r="S49" i="77"/>
  <c r="S50" i="77" s="1"/>
  <c r="BA157" i="18"/>
  <c r="BN151" i="18"/>
  <c r="AW259" i="18"/>
  <c r="AM14" i="77"/>
  <c r="AO14" i="77"/>
  <c r="AY14" i="77"/>
  <c r="BH247" i="18"/>
  <c r="AU14" i="77"/>
  <c r="BA14" i="77"/>
  <c r="AN14" i="77"/>
  <c r="S351" i="18"/>
  <c r="BN247" i="18"/>
  <c r="AT14" i="77"/>
  <c r="S39" i="77"/>
  <c r="S41" i="77" s="1"/>
  <c r="R41" i="77"/>
  <c r="R42" i="77"/>
  <c r="S42" i="77" s="1"/>
  <c r="U49" i="77"/>
  <c r="U21" i="77"/>
  <c r="V49" i="77"/>
  <c r="V21" i="77"/>
  <c r="BE62" i="77"/>
  <c r="BE65" i="77"/>
  <c r="BE67" i="77"/>
  <c r="BI61" i="77"/>
  <c r="BE64" i="77"/>
  <c r="AP14" i="77"/>
  <c r="BS247" i="18"/>
  <c r="AS14" i="77"/>
  <c r="BG247" i="18"/>
  <c r="BA159" i="18"/>
  <c r="AZ247" i="18"/>
  <c r="BB247" i="18"/>
  <c r="BF247" i="18"/>
  <c r="BL247" i="18"/>
  <c r="AB247" i="18"/>
  <c r="AW178" i="18"/>
  <c r="X43" i="18"/>
  <c r="W15" i="77"/>
  <c r="W22" i="77" s="1"/>
  <c r="V22" i="77"/>
  <c r="BQ85" i="77"/>
  <c r="BK86" i="77"/>
  <c r="BO85" i="77"/>
  <c r="BK61" i="77"/>
  <c r="BK67" i="77" s="1"/>
  <c r="W43" i="18"/>
  <c r="BM53" i="48"/>
  <c r="BN54" i="48" s="1"/>
  <c r="BR57" i="48"/>
  <c r="BR58" i="48" s="1"/>
  <c r="BL11" i="77"/>
  <c r="W48" i="17"/>
  <c r="W49" i="17" s="1"/>
  <c r="V51" i="17"/>
  <c r="BS20" i="48"/>
  <c r="BS15" i="48"/>
  <c r="BS12" i="48"/>
  <c r="AA51" i="17"/>
  <c r="AB48" i="17"/>
  <c r="AB49" i="17" s="1"/>
  <c r="BO12" i="48"/>
  <c r="Q265" i="18"/>
  <c r="BR53" i="48"/>
  <c r="BK87" i="77"/>
  <c r="BK72" i="77"/>
  <c r="BK101" i="77"/>
  <c r="BS22" i="48"/>
  <c r="BS52" i="48" s="1"/>
  <c r="BS29" i="16" s="1"/>
  <c r="BM57" i="48"/>
  <c r="BM58" i="48" s="1"/>
  <c r="BE58" i="48"/>
  <c r="AK48" i="17"/>
  <c r="AK49" i="17" s="1"/>
  <c r="AE51" i="17"/>
  <c r="AG48" i="17"/>
  <c r="AG49" i="17" s="1"/>
  <c r="BT12" i="48"/>
  <c r="AH48" i="77"/>
  <c r="W176" i="18"/>
  <c r="W584" i="18" s="1"/>
  <c r="W333" i="18"/>
  <c r="AM277" i="18"/>
  <c r="AM247" i="18"/>
  <c r="AQ62" i="18"/>
  <c r="AM59" i="18"/>
  <c r="BE412" i="18"/>
  <c r="BI64" i="18"/>
  <c r="AC253" i="18"/>
  <c r="AC43" i="18"/>
  <c r="V59" i="18"/>
  <c r="Y62" i="18"/>
  <c r="BO62" i="18"/>
  <c r="BM247" i="18"/>
  <c r="BT320" i="18"/>
  <c r="AZ148" i="18"/>
  <c r="AZ149" i="18" s="1"/>
  <c r="AY149" i="18"/>
  <c r="BB158" i="18"/>
  <c r="AZ412" i="18"/>
  <c r="BA373" i="18"/>
  <c r="BB368" i="18"/>
  <c r="BB370" i="18"/>
  <c r="BC370" i="18" s="1"/>
  <c r="BU326" i="18"/>
  <c r="BW326" i="18" s="1"/>
  <c r="AT412" i="18"/>
  <c r="AT60" i="18"/>
  <c r="AS247" i="18"/>
  <c r="AW62" i="18"/>
  <c r="AS59" i="18"/>
  <c r="U348" i="18"/>
  <c r="U346" i="18"/>
  <c r="AD253" i="18"/>
  <c r="AD43" i="18"/>
  <c r="BT247" i="18"/>
  <c r="AY440" i="18"/>
  <c r="AY376" i="18"/>
  <c r="AM412" i="18"/>
  <c r="AQ64" i="18"/>
  <c r="AM60" i="18"/>
  <c r="AM65" i="18"/>
  <c r="AN65" i="18" s="1"/>
  <c r="AO65" i="18" s="1"/>
  <c r="AP65" i="18" s="1"/>
  <c r="AO277" i="18"/>
  <c r="AO247" i="18"/>
  <c r="AO59" i="18"/>
  <c r="BM179" i="18"/>
  <c r="BM587" i="18" s="1"/>
  <c r="BM336" i="18"/>
  <c r="AC28" i="18"/>
  <c r="AC29" i="18" s="1"/>
  <c r="V176" i="18"/>
  <c r="V584" i="18" s="1"/>
  <c r="V333" i="18"/>
  <c r="BM412" i="18"/>
  <c r="BA247" i="18"/>
  <c r="AZ375" i="18"/>
  <c r="AZ376" i="18" s="1"/>
  <c r="AZ377" i="18"/>
  <c r="AZ387" i="18" s="1"/>
  <c r="AJ283" i="18"/>
  <c r="AJ253" i="18"/>
  <c r="AJ43" i="18"/>
  <c r="AT247" i="18"/>
  <c r="AT59" i="18"/>
  <c r="AA30" i="18"/>
  <c r="AI283" i="18"/>
  <c r="AI253" i="18"/>
  <c r="AI43" i="18"/>
  <c r="BR412" i="18"/>
  <c r="BA412" i="18"/>
  <c r="BA60" i="18"/>
  <c r="AN247" i="18"/>
  <c r="AN277" i="18"/>
  <c r="AN59" i="18"/>
  <c r="BB412" i="18"/>
  <c r="AB43" i="18"/>
  <c r="BT329" i="18"/>
  <c r="BQ412" i="18"/>
  <c r="BU64" i="18"/>
  <c r="AK67" i="18"/>
  <c r="AK259" i="18"/>
  <c r="BU327" i="18"/>
  <c r="BW327" i="18" s="1"/>
  <c r="BR247" i="18"/>
  <c r="AN412" i="18"/>
  <c r="AN60" i="18"/>
  <c r="S243" i="18"/>
  <c r="S205" i="18"/>
  <c r="S225" i="18" s="1"/>
  <c r="BU324" i="18"/>
  <c r="BW324" i="18" s="1"/>
  <c r="AE67" i="18"/>
  <c r="AE259" i="18"/>
  <c r="AY412" i="18"/>
  <c r="BC64" i="18"/>
  <c r="AY60" i="18"/>
  <c r="AY152" i="18"/>
  <c r="BQ247" i="18"/>
  <c r="BU62" i="18"/>
  <c r="BG412" i="18"/>
  <c r="DU57" i="18"/>
  <c r="BM99" i="18"/>
  <c r="AH253" i="18"/>
  <c r="AH43" i="18"/>
  <c r="BB156" i="18"/>
  <c r="BF412" i="18"/>
  <c r="X30" i="18"/>
  <c r="Y30" i="18" s="1"/>
  <c r="Y29" i="18"/>
  <c r="AE62" i="18"/>
  <c r="AA59" i="18"/>
  <c r="AA247" i="18"/>
  <c r="AW446" i="18"/>
  <c r="AW382" i="18"/>
  <c r="BT321" i="18"/>
  <c r="BS334" i="18"/>
  <c r="AO412" i="18"/>
  <c r="AO60" i="18"/>
  <c r="BT322" i="18"/>
  <c r="AG277" i="18"/>
  <c r="AG247" i="18"/>
  <c r="AG59" i="18"/>
  <c r="AH283" i="18" s="1"/>
  <c r="AK62" i="18"/>
  <c r="AY247" i="18"/>
  <c r="BC62" i="18"/>
  <c r="AY59" i="18"/>
  <c r="AU247" i="18"/>
  <c r="AU59" i="18"/>
  <c r="AV446" i="18"/>
  <c r="AV382" i="18"/>
  <c r="BR445" i="18"/>
  <c r="BR381" i="18"/>
  <c r="AP277" i="18"/>
  <c r="AP247" i="18"/>
  <c r="AV247" i="18"/>
  <c r="AP59" i="18"/>
  <c r="BS412" i="18"/>
  <c r="AY449" i="18"/>
  <c r="AY385" i="18"/>
  <c r="AU412" i="18"/>
  <c r="AU60" i="18"/>
  <c r="AU61" i="18" s="1"/>
  <c r="AT152" i="18"/>
  <c r="BA437" i="18"/>
  <c r="BB432" i="18"/>
  <c r="BB434" i="18"/>
  <c r="BC434" i="18" s="1"/>
  <c r="AH277" i="18"/>
  <c r="BT412" i="18"/>
  <c r="BL412" i="18"/>
  <c r="AQ259" i="18"/>
  <c r="AP412" i="18"/>
  <c r="AP60" i="18"/>
  <c r="BI62" i="18"/>
  <c r="BE247" i="18"/>
  <c r="BH412" i="18"/>
  <c r="W152" i="18"/>
  <c r="W153" i="18" s="1"/>
  <c r="W414" i="18"/>
  <c r="W413" i="18"/>
  <c r="V153" i="18"/>
  <c r="AS412" i="18"/>
  <c r="AS60" i="18"/>
  <c r="AW64" i="18"/>
  <c r="BK412" i="18"/>
  <c r="BO64" i="18"/>
  <c r="U174" i="18"/>
  <c r="U604" i="18" s="1"/>
  <c r="AZ439" i="18"/>
  <c r="AZ440" i="18" s="1"/>
  <c r="AZ441" i="18"/>
  <c r="AZ451" i="18" s="1"/>
  <c r="X144" i="18"/>
  <c r="X145" i="18" s="1"/>
  <c r="BT328" i="18"/>
  <c r="BN412" i="18"/>
  <c r="CD66" i="77" l="1"/>
  <c r="CE75" i="77"/>
  <c r="CF75" i="77" s="1"/>
  <c r="CI75" i="77" s="1"/>
  <c r="CI73" i="77" s="1"/>
  <c r="CM68" i="77"/>
  <c r="CL220" i="18"/>
  <c r="CF47" i="18"/>
  <c r="CF244" i="18" s="1"/>
  <c r="CI48" i="18"/>
  <c r="BH163" i="18"/>
  <c r="BI163" i="18" s="1"/>
  <c r="CP70" i="77"/>
  <c r="CO68" i="77"/>
  <c r="BK162" i="18"/>
  <c r="BK163" i="18" s="1"/>
  <c r="CR71" i="77"/>
  <c r="CS71" i="77" s="1"/>
  <c r="CG146" i="18"/>
  <c r="CI146" i="18"/>
  <c r="CO32" i="77"/>
  <c r="CL96" i="77"/>
  <c r="CL115" i="77"/>
  <c r="CK220" i="18"/>
  <c r="CM72" i="77"/>
  <c r="BK98" i="18"/>
  <c r="BL109" i="18"/>
  <c r="BG342" i="18"/>
  <c r="BG185" i="18"/>
  <c r="CS412" i="18"/>
  <c r="CM412" i="18"/>
  <c r="BI106" i="18"/>
  <c r="BK106" i="18" s="1"/>
  <c r="BI252" i="18"/>
  <c r="BH282" i="18"/>
  <c r="BH252" i="18"/>
  <c r="DS58" i="18"/>
  <c r="DS59" i="18" s="1"/>
  <c r="CQ55" i="18"/>
  <c r="CM247" i="18"/>
  <c r="CS247" i="18"/>
  <c r="CP8" i="48"/>
  <c r="CP155" i="19"/>
  <c r="CQ8" i="19"/>
  <c r="CK8" i="48"/>
  <c r="CL8" i="19"/>
  <c r="CK155" i="19"/>
  <c r="CO40" i="18"/>
  <c r="CP270" i="18"/>
  <c r="CP239" i="18"/>
  <c r="CP25" i="18"/>
  <c r="CP39" i="18"/>
  <c r="CP240" i="18"/>
  <c r="CR24" i="18"/>
  <c r="CQ24" i="18"/>
  <c r="CE12" i="48"/>
  <c r="CE14" i="48"/>
  <c r="CE15" i="48" s="1"/>
  <c r="CF13" i="48"/>
  <c r="CG11" i="48"/>
  <c r="CD19" i="48"/>
  <c r="CD56" i="48" s="1"/>
  <c r="CC21" i="48"/>
  <c r="CD15" i="48"/>
  <c r="CP78" i="19"/>
  <c r="CP77" i="19"/>
  <c r="BA360" i="18"/>
  <c r="CA65" i="17"/>
  <c r="CG61" i="17" s="1"/>
  <c r="CG63" i="17" s="1"/>
  <c r="CG73" i="17" s="1"/>
  <c r="CG37" i="17" s="1"/>
  <c r="BA358" i="18"/>
  <c r="BB360" i="18" s="1"/>
  <c r="U605" i="18"/>
  <c r="BW164" i="16"/>
  <c r="U599" i="18"/>
  <c r="DC590" i="18" s="1"/>
  <c r="U598" i="18"/>
  <c r="S597" i="18"/>
  <c r="S599" i="18"/>
  <c r="Y333" i="18"/>
  <c r="BA340" i="18"/>
  <c r="CE177" i="18"/>
  <c r="CE585" i="18" s="1"/>
  <c r="BA339" i="18"/>
  <c r="AZ339" i="18"/>
  <c r="BW45" i="16"/>
  <c r="CE121" i="16"/>
  <c r="CE113" i="16"/>
  <c r="CE96" i="16"/>
  <c r="CC20" i="16"/>
  <c r="CC176" i="16" s="1"/>
  <c r="CD120" i="16"/>
  <c r="CD123" i="16" s="1"/>
  <c r="AY115" i="16"/>
  <c r="AY116" i="16"/>
  <c r="BC116" i="16" s="1"/>
  <c r="BC117" i="16" s="1"/>
  <c r="O103" i="16"/>
  <c r="P100" i="16"/>
  <c r="O109" i="16"/>
  <c r="P98" i="16"/>
  <c r="P102" i="16"/>
  <c r="CA20" i="16"/>
  <c r="CA176" i="16" s="1"/>
  <c r="BM54" i="48"/>
  <c r="BY29" i="16"/>
  <c r="CF155" i="19"/>
  <c r="BR54" i="48"/>
  <c r="BR32" i="16"/>
  <c r="AS84" i="16"/>
  <c r="AS90" i="16" s="1"/>
  <c r="AT84" i="16" s="1"/>
  <c r="AT90" i="16" s="1"/>
  <c r="AU84" i="16" s="1"/>
  <c r="AU90" i="16" s="1"/>
  <c r="AV84" i="16" s="1"/>
  <c r="AV90" i="16" s="1"/>
  <c r="AW84" i="16"/>
  <c r="AW90" i="16" s="1"/>
  <c r="BX23" i="48"/>
  <c r="BX53" i="48" s="1"/>
  <c r="BT52" i="48"/>
  <c r="BT29" i="16" s="1"/>
  <c r="BU29" i="16" s="1"/>
  <c r="BU14" i="48"/>
  <c r="BU52" i="48" s="1"/>
  <c r="BT20" i="48"/>
  <c r="BU20" i="48" s="1"/>
  <c r="BU21" i="48" s="1"/>
  <c r="BU23" i="48" s="1"/>
  <c r="BT23" i="48"/>
  <c r="BT53" i="48" s="1"/>
  <c r="BT32" i="16" s="1"/>
  <c r="BZ52" i="48"/>
  <c r="CA14" i="48"/>
  <c r="CA52" i="48" s="1"/>
  <c r="BZ23" i="48"/>
  <c r="BZ20" i="48"/>
  <c r="CA20" i="48" s="1"/>
  <c r="CA21" i="48" s="1"/>
  <c r="CA23" i="48" s="1"/>
  <c r="BZ15" i="48"/>
  <c r="BN160" i="18"/>
  <c r="BZ35" i="19"/>
  <c r="BL388" i="18"/>
  <c r="CC36" i="19"/>
  <c r="CC35" i="19" s="1"/>
  <c r="BZ43" i="19"/>
  <c r="BZ42" i="19" s="1"/>
  <c r="BY150" i="19"/>
  <c r="CC37" i="19"/>
  <c r="BZ24" i="17"/>
  <c r="CA24" i="17" s="1"/>
  <c r="CF32" i="17"/>
  <c r="BY25" i="17"/>
  <c r="CA69" i="77"/>
  <c r="CC68" i="77"/>
  <c r="BY62" i="77"/>
  <c r="BY67" i="77"/>
  <c r="BY65" i="77"/>
  <c r="BX222" i="18"/>
  <c r="BX15" i="18"/>
  <c r="BZ72" i="77"/>
  <c r="BZ69" i="77"/>
  <c r="BZ61" i="77"/>
  <c r="BY220" i="18"/>
  <c r="AZ431" i="18"/>
  <c r="AZ450" i="18" s="1"/>
  <c r="AZ182" i="18"/>
  <c r="BA422" i="18"/>
  <c r="BA426" i="18" s="1"/>
  <c r="BA429" i="18" s="1"/>
  <c r="BA424" i="18"/>
  <c r="BW85" i="77"/>
  <c r="CC85" i="77" s="1"/>
  <c r="CI85" i="77" s="1"/>
  <c r="CO85" i="77" s="1"/>
  <c r="BQ61" i="77"/>
  <c r="BQ62" i="77" s="1"/>
  <c r="BY57" i="48"/>
  <c r="BY58" i="48" s="1"/>
  <c r="BO151" i="18"/>
  <c r="BN336" i="18"/>
  <c r="BC158" i="18"/>
  <c r="BE158" i="18"/>
  <c r="BE159" i="18" s="1"/>
  <c r="BC156" i="18"/>
  <c r="BE156" i="18"/>
  <c r="BF156" i="18" s="1"/>
  <c r="CF147" i="18"/>
  <c r="CE78" i="17"/>
  <c r="CD76" i="17"/>
  <c r="CD41" i="19"/>
  <c r="BR246" i="18"/>
  <c r="BR276" i="18"/>
  <c r="CD280" i="18"/>
  <c r="CD250" i="18"/>
  <c r="BS53" i="18"/>
  <c r="BT54" i="18"/>
  <c r="BT53" i="18" s="1"/>
  <c r="BQ336" i="18"/>
  <c r="BA182" i="18"/>
  <c r="BA183" i="18"/>
  <c r="BA591" i="18" s="1"/>
  <c r="CG412" i="18"/>
  <c r="BO336" i="18"/>
  <c r="BX326" i="18"/>
  <c r="BY364" i="18"/>
  <c r="BZ79" i="18"/>
  <c r="CA79" i="18" s="1"/>
  <c r="BZ57" i="18"/>
  <c r="CA57" i="18" s="1"/>
  <c r="BY56" i="18"/>
  <c r="BX324" i="18"/>
  <c r="CA247" i="18"/>
  <c r="CA412" i="18"/>
  <c r="CF89" i="18"/>
  <c r="CG89" i="18" s="1"/>
  <c r="CI89" i="18" s="1"/>
  <c r="CE374" i="18"/>
  <c r="CE88" i="18"/>
  <c r="BY325" i="18"/>
  <c r="BX327" i="18"/>
  <c r="CG247" i="18"/>
  <c r="CE244" i="18"/>
  <c r="CE274" i="18"/>
  <c r="BY53" i="48"/>
  <c r="BY32" i="16" s="1"/>
  <c r="CA12" i="48"/>
  <c r="BY22" i="17"/>
  <c r="CF73" i="77"/>
  <c r="W20" i="77"/>
  <c r="W49" i="77" s="1"/>
  <c r="BN179" i="18"/>
  <c r="BB159" i="18"/>
  <c r="BB157" i="18"/>
  <c r="AW60" i="18"/>
  <c r="AW61" i="18" s="1"/>
  <c r="AW14" i="77"/>
  <c r="BI247" i="18"/>
  <c r="BC247" i="18"/>
  <c r="BU247" i="18"/>
  <c r="AQ60" i="18"/>
  <c r="AQ14" i="77"/>
  <c r="V43" i="18"/>
  <c r="BQ87" i="77"/>
  <c r="BU87" i="77" s="1"/>
  <c r="BU85" i="77"/>
  <c r="X10" i="18"/>
  <c r="X256" i="18"/>
  <c r="AW191" i="18"/>
  <c r="AS31" i="77"/>
  <c r="AS18" i="77"/>
  <c r="AS114" i="77"/>
  <c r="AS45" i="77"/>
  <c r="AS94" i="77"/>
  <c r="AS16" i="77"/>
  <c r="BI65" i="77"/>
  <c r="AU31" i="77"/>
  <c r="AU18" i="77"/>
  <c r="AU45" i="77"/>
  <c r="AU94" i="77"/>
  <c r="AU114" i="77"/>
  <c r="AU16" i="77"/>
  <c r="AP85" i="77"/>
  <c r="AN85" i="77"/>
  <c r="AO85" i="77"/>
  <c r="Y59" i="18"/>
  <c r="AM85" i="77"/>
  <c r="W256" i="18"/>
  <c r="W10" i="18"/>
  <c r="BK65" i="77"/>
  <c r="BK62" i="77"/>
  <c r="BO61" i="77"/>
  <c r="X15" i="77"/>
  <c r="Y15" i="77" s="1"/>
  <c r="AP94" i="77"/>
  <c r="AP45" i="77"/>
  <c r="AP16" i="77"/>
  <c r="AP114" i="77"/>
  <c r="AP31" i="77"/>
  <c r="AP18" i="77"/>
  <c r="AV17" i="77" s="1"/>
  <c r="V39" i="77"/>
  <c r="V50" i="77"/>
  <c r="U50" i="77"/>
  <c r="U39" i="77"/>
  <c r="AT31" i="77"/>
  <c r="AT18" i="77"/>
  <c r="AT45" i="77"/>
  <c r="AT94" i="77"/>
  <c r="AT114" i="77"/>
  <c r="AT16" i="77"/>
  <c r="AN94" i="77"/>
  <c r="AN18" i="77"/>
  <c r="AN31" i="77"/>
  <c r="AN45" i="77"/>
  <c r="AN114" i="77"/>
  <c r="AN16" i="77"/>
  <c r="BA94" i="77"/>
  <c r="BA45" i="77"/>
  <c r="AU47" i="77"/>
  <c r="BA114" i="77"/>
  <c r="BA18" i="77"/>
  <c r="BA31" i="77"/>
  <c r="BA16" i="77"/>
  <c r="AY45" i="77"/>
  <c r="AY18" i="77"/>
  <c r="AY114" i="77"/>
  <c r="AY31" i="77"/>
  <c r="AY94" i="77"/>
  <c r="AY16" i="77"/>
  <c r="AO94" i="77"/>
  <c r="AO31" i="77"/>
  <c r="AO16" i="77"/>
  <c r="AO18" i="77"/>
  <c r="AO45" i="77"/>
  <c r="AO114" i="77"/>
  <c r="AM45" i="77"/>
  <c r="AM18" i="77"/>
  <c r="AM94" i="77"/>
  <c r="AM114" i="77"/>
  <c r="AM31" i="77"/>
  <c r="AM16" i="77"/>
  <c r="BS23" i="48"/>
  <c r="BS53" i="48" s="1"/>
  <c r="BU12" i="48"/>
  <c r="BQ69" i="77"/>
  <c r="BQ86" i="77"/>
  <c r="BO57" i="48"/>
  <c r="BO58" i="48" s="1"/>
  <c r="AB51" i="17"/>
  <c r="AC48" i="17"/>
  <c r="AC49" i="17" s="1"/>
  <c r="BM11" i="77"/>
  <c r="AG51" i="17"/>
  <c r="AH48" i="17"/>
  <c r="AH49" i="17" s="1"/>
  <c r="AK51" i="17"/>
  <c r="AQ48" i="17"/>
  <c r="AQ49" i="17" s="1"/>
  <c r="AM48" i="17"/>
  <c r="AM49" i="17" s="1"/>
  <c r="BQ98" i="77"/>
  <c r="BO13" i="48"/>
  <c r="BO15" i="48" s="1"/>
  <c r="BO53" i="48" s="1"/>
  <c r="BQ54" i="48" s="1"/>
  <c r="BQ57" i="48"/>
  <c r="BS57" i="48"/>
  <c r="BS58" i="48" s="1"/>
  <c r="X48" i="17"/>
  <c r="X49" i="17" s="1"/>
  <c r="X51" i="17" s="1"/>
  <c r="W51" i="17"/>
  <c r="BL87" i="77"/>
  <c r="BR86" i="77" s="1"/>
  <c r="BL72" i="77"/>
  <c r="BR69" i="77" s="1"/>
  <c r="BL67" i="77"/>
  <c r="BR62" i="77" s="1"/>
  <c r="BL101" i="77"/>
  <c r="BR98" i="77" s="1"/>
  <c r="AI48" i="77"/>
  <c r="AC30" i="18"/>
  <c r="BO412" i="18"/>
  <c r="AH256" i="18"/>
  <c r="AH10" i="18"/>
  <c r="DV57" i="18"/>
  <c r="BN99" i="18"/>
  <c r="AS283" i="18"/>
  <c r="AS253" i="18"/>
  <c r="AS43" i="18"/>
  <c r="AW412" i="18"/>
  <c r="W180" i="18"/>
  <c r="W337" i="18"/>
  <c r="W345" i="18" s="1"/>
  <c r="BA441" i="18"/>
  <c r="BA451" i="18" s="1"/>
  <c r="BA439" i="18"/>
  <c r="AK247" i="18"/>
  <c r="AK63" i="18"/>
  <c r="AK59" i="18"/>
  <c r="BS445" i="18"/>
  <c r="BS381" i="18"/>
  <c r="AB10" i="18"/>
  <c r="AT283" i="18"/>
  <c r="AT253" i="18"/>
  <c r="AT43" i="18"/>
  <c r="BA375" i="18"/>
  <c r="BA377" i="18"/>
  <c r="BA387" i="18" s="1"/>
  <c r="BA148" i="18"/>
  <c r="BI412" i="18"/>
  <c r="AY283" i="18"/>
  <c r="AY253" i="18"/>
  <c r="AY43" i="18"/>
  <c r="AA253" i="18"/>
  <c r="AA43" i="18"/>
  <c r="AY178" i="18"/>
  <c r="AY335" i="18"/>
  <c r="AE247" i="18"/>
  <c r="AE59" i="18"/>
  <c r="U353" i="18"/>
  <c r="U354" i="18" s="1"/>
  <c r="U260" i="18"/>
  <c r="U602" i="18" s="1"/>
  <c r="U12" i="18"/>
  <c r="U201" i="18"/>
  <c r="AP283" i="18"/>
  <c r="AP253" i="18"/>
  <c r="AP43" i="18"/>
  <c r="AV253" i="18"/>
  <c r="AG283" i="18"/>
  <c r="AG253" i="18"/>
  <c r="AG43" i="18"/>
  <c r="BU321" i="18"/>
  <c r="BW321" i="18" s="1"/>
  <c r="BT334" i="18"/>
  <c r="BU334" i="18"/>
  <c r="AB253" i="18"/>
  <c r="AO283" i="18"/>
  <c r="AO253" i="18"/>
  <c r="AO43" i="18"/>
  <c r="AD256" i="18"/>
  <c r="AD10" i="18"/>
  <c r="BU320" i="18"/>
  <c r="BW320" i="18" s="1"/>
  <c r="AM283" i="18"/>
  <c r="AM253" i="18"/>
  <c r="AM43" i="18"/>
  <c r="AY413" i="18"/>
  <c r="AY414" i="18"/>
  <c r="BC412" i="18"/>
  <c r="AJ256" i="18"/>
  <c r="AJ10" i="18"/>
  <c r="AD28" i="18"/>
  <c r="AD29" i="18" s="1"/>
  <c r="AQ412" i="18"/>
  <c r="AQ247" i="18"/>
  <c r="AQ59" i="18"/>
  <c r="Y144" i="18"/>
  <c r="Y145" i="18" s="1"/>
  <c r="AA144" i="18"/>
  <c r="AU283" i="18"/>
  <c r="AU253" i="18"/>
  <c r="AU43" i="18"/>
  <c r="AV283" i="18"/>
  <c r="BN102" i="18"/>
  <c r="BQ103" i="18" s="1"/>
  <c r="DW57" i="18" s="1"/>
  <c r="AI256" i="18"/>
  <c r="AI10" i="18"/>
  <c r="AY403" i="18"/>
  <c r="AZ413" i="18"/>
  <c r="AZ414" i="18"/>
  <c r="V180" i="18"/>
  <c r="V337" i="18"/>
  <c r="V345" i="18" s="1"/>
  <c r="V347" i="18" s="1"/>
  <c r="CZ322" i="18" s="1"/>
  <c r="AU413" i="18"/>
  <c r="AU414" i="18"/>
  <c r="BU322" i="18"/>
  <c r="BW322" i="18" s="1"/>
  <c r="AZ365" i="18"/>
  <c r="AZ367" i="18"/>
  <c r="AZ386" i="18" s="1"/>
  <c r="BU412" i="18"/>
  <c r="AY467" i="18"/>
  <c r="BO247" i="18"/>
  <c r="AC256" i="18"/>
  <c r="AC10" i="18"/>
  <c r="BU323" i="18"/>
  <c r="BW323" i="18" s="1"/>
  <c r="BX323" i="18" s="1"/>
  <c r="BY323" i="18" s="1"/>
  <c r="BZ323" i="18" s="1"/>
  <c r="X176" i="18"/>
  <c r="X584" i="18" s="1"/>
  <c r="X333" i="18"/>
  <c r="AU419" i="18"/>
  <c r="AT169" i="18"/>
  <c r="AU153" i="18"/>
  <c r="AS152" i="18"/>
  <c r="AU417" i="18"/>
  <c r="AT462" i="18"/>
  <c r="AT398" i="18"/>
  <c r="AT171" i="18"/>
  <c r="BM251" i="18"/>
  <c r="AN283" i="18"/>
  <c r="AN253" i="18"/>
  <c r="AN43" i="18"/>
  <c r="AW247" i="18"/>
  <c r="AW59" i="18"/>
  <c r="AZ178" i="18"/>
  <c r="AZ335" i="18"/>
  <c r="BU328" i="18"/>
  <c r="BW328" i="18" s="1"/>
  <c r="X152" i="18"/>
  <c r="X153" i="18" s="1"/>
  <c r="X414" i="18"/>
  <c r="Y414" i="18" s="1"/>
  <c r="X413" i="18"/>
  <c r="Y413" i="18" s="1"/>
  <c r="BB437" i="18"/>
  <c r="BC441" i="18" s="1"/>
  <c r="BC451" i="18" s="1"/>
  <c r="BC432" i="18"/>
  <c r="AY169" i="18"/>
  <c r="AY172" i="18" s="1"/>
  <c r="AZ74" i="18"/>
  <c r="AY153" i="18"/>
  <c r="AZ419" i="18"/>
  <c r="AZ371" i="18"/>
  <c r="AZ435" i="18"/>
  <c r="AZ425" i="18"/>
  <c r="AZ361" i="18"/>
  <c r="AY462" i="18"/>
  <c r="AY398" i="18"/>
  <c r="BU329" i="18"/>
  <c r="BW329" i="18" s="1"/>
  <c r="BM447" i="18"/>
  <c r="BM383" i="18"/>
  <c r="AQ65" i="18"/>
  <c r="AS65" i="18"/>
  <c r="AT65" i="18" s="1"/>
  <c r="AU65" i="18" s="1"/>
  <c r="AV65" i="18" s="1"/>
  <c r="BB373" i="18"/>
  <c r="BC377" i="18" s="1"/>
  <c r="BC387" i="18" s="1"/>
  <c r="BC368" i="18"/>
  <c r="AY171" i="18"/>
  <c r="CG75" i="77" l="1"/>
  <c r="CE66" i="77"/>
  <c r="CI66" i="77"/>
  <c r="CJ75" i="77"/>
  <c r="CJ73" i="77" s="1"/>
  <c r="CE73" i="77"/>
  <c r="CE84" i="77" s="1"/>
  <c r="BL162" i="18"/>
  <c r="BL163" i="18" s="1"/>
  <c r="CF66" i="77"/>
  <c r="CF274" i="18"/>
  <c r="CG47" i="18"/>
  <c r="CG274" i="18" s="1"/>
  <c r="BH185" i="18"/>
  <c r="BH593" i="18" s="1"/>
  <c r="BH342" i="18"/>
  <c r="BH453" i="18" s="1"/>
  <c r="CO72" i="77"/>
  <c r="CO69" i="77"/>
  <c r="CP32" i="77"/>
  <c r="CO96" i="77"/>
  <c r="CO115" i="77"/>
  <c r="CD37" i="19"/>
  <c r="BI342" i="18"/>
  <c r="BI389" i="18" s="1"/>
  <c r="CI147" i="18"/>
  <c r="CJ146" i="18"/>
  <c r="CJ147" i="18" s="1"/>
  <c r="CJ177" i="18" s="1"/>
  <c r="CJ585" i="18" s="1"/>
  <c r="CJ48" i="18"/>
  <c r="CI47" i="18"/>
  <c r="CQ70" i="77"/>
  <c r="CP68" i="77"/>
  <c r="CM220" i="18"/>
  <c r="CL222" i="18"/>
  <c r="CG64" i="17"/>
  <c r="CG65" i="17" s="1"/>
  <c r="CM61" i="17" s="1"/>
  <c r="CK222" i="18"/>
  <c r="BG453" i="18"/>
  <c r="BG389" i="18"/>
  <c r="BK342" i="18"/>
  <c r="BK185" i="18"/>
  <c r="BK593" i="18" s="1"/>
  <c r="CA95" i="18"/>
  <c r="CM95" i="18"/>
  <c r="CS95" i="18"/>
  <c r="BL108" i="18"/>
  <c r="DT58" i="18"/>
  <c r="DT59" i="18" s="1"/>
  <c r="BG593" i="18"/>
  <c r="W347" i="18"/>
  <c r="DA322" i="18" s="1"/>
  <c r="BL106" i="18"/>
  <c r="BK105" i="18"/>
  <c r="CR55" i="18"/>
  <c r="CL8" i="48"/>
  <c r="CL155" i="19"/>
  <c r="CQ8" i="48"/>
  <c r="CQ155" i="19"/>
  <c r="CR8" i="19"/>
  <c r="CP40" i="18"/>
  <c r="CP269" i="18"/>
  <c r="CQ25" i="18"/>
  <c r="CQ239" i="18"/>
  <c r="CQ270" i="18"/>
  <c r="CQ39" i="18"/>
  <c r="CQ240" i="18"/>
  <c r="CS24" i="18"/>
  <c r="CR240" i="18"/>
  <c r="CR270" i="18"/>
  <c r="CR25" i="18"/>
  <c r="CI43" i="48"/>
  <c r="CF43" i="48"/>
  <c r="CF14" i="48" s="1"/>
  <c r="CF15" i="48" s="1"/>
  <c r="CI11" i="48"/>
  <c r="CF12" i="48"/>
  <c r="CC20" i="48"/>
  <c r="CC57" i="48" s="1"/>
  <c r="CC22" i="48"/>
  <c r="CC52" i="48" s="1"/>
  <c r="CE19" i="48"/>
  <c r="CE56" i="48" s="1"/>
  <c r="CD21" i="48"/>
  <c r="CQ77" i="19"/>
  <c r="CQ78" i="19"/>
  <c r="CG32" i="17"/>
  <c r="CI32" i="17"/>
  <c r="CG57" i="17"/>
  <c r="CG43" i="48" s="1"/>
  <c r="CO87" i="77"/>
  <c r="CS87" i="77" s="1"/>
  <c r="CS85" i="77"/>
  <c r="CI61" i="77"/>
  <c r="CI84" i="77"/>
  <c r="CI87" i="77"/>
  <c r="CM87" i="77" s="1"/>
  <c r="CM85" i="77"/>
  <c r="CI374" i="18"/>
  <c r="CJ89" i="18"/>
  <c r="CI88" i="18"/>
  <c r="V588" i="18"/>
  <c r="V596" i="18" s="1"/>
  <c r="V598" i="18" s="1"/>
  <c r="BA590" i="18"/>
  <c r="BC360" i="18"/>
  <c r="BT164" i="16"/>
  <c r="BA362" i="18"/>
  <c r="BA367" i="18" s="1"/>
  <c r="BA386" i="18" s="1"/>
  <c r="BB358" i="18"/>
  <c r="BB362" i="18" s="1"/>
  <c r="BY164" i="16"/>
  <c r="BR45" i="16"/>
  <c r="BR164" i="16"/>
  <c r="BM164" i="16"/>
  <c r="BO32" i="16"/>
  <c r="BN164" i="16"/>
  <c r="AZ586" i="18"/>
  <c r="W174" i="18"/>
  <c r="W604" i="18" s="1"/>
  <c r="W588" i="18"/>
  <c r="W596" i="18" s="1"/>
  <c r="AZ430" i="18"/>
  <c r="AZ467" i="18" s="1"/>
  <c r="AZ468" i="18" s="1"/>
  <c r="AZ469" i="18" s="1"/>
  <c r="AZ590" i="18"/>
  <c r="Y584" i="18"/>
  <c r="AY586" i="18"/>
  <c r="BO179" i="18"/>
  <c r="BO192" i="18" s="1"/>
  <c r="BN587" i="18"/>
  <c r="BO587" i="18" s="1"/>
  <c r="BB183" i="18"/>
  <c r="BC157" i="18"/>
  <c r="AY61" i="18"/>
  <c r="AY111" i="18"/>
  <c r="BN45" i="16"/>
  <c r="BY45" i="16"/>
  <c r="BO54" i="48"/>
  <c r="CF121" i="16"/>
  <c r="CG121" i="16" s="1"/>
  <c r="CG123" i="16" s="1"/>
  <c r="CI120" i="16" s="1"/>
  <c r="CF113" i="16"/>
  <c r="CG113" i="16" s="1"/>
  <c r="CF96" i="16"/>
  <c r="CG96" i="16" s="1"/>
  <c r="Q93" i="16"/>
  <c r="P108" i="16"/>
  <c r="P104" i="16"/>
  <c r="BE112" i="16"/>
  <c r="BI112" i="16"/>
  <c r="CE120" i="16"/>
  <c r="CE123" i="16" s="1"/>
  <c r="CD20" i="16"/>
  <c r="CD176" i="16" s="1"/>
  <c r="BS54" i="48"/>
  <c r="BS32" i="16"/>
  <c r="BT45" i="16"/>
  <c r="BU32" i="16"/>
  <c r="BC84" i="16"/>
  <c r="BC90" i="16" s="1"/>
  <c r="AY84" i="16"/>
  <c r="AY90" i="16" s="1"/>
  <c r="AZ84" i="16" s="1"/>
  <c r="AZ90" i="16" s="1"/>
  <c r="BA84" i="16" s="1"/>
  <c r="BA90" i="16" s="1"/>
  <c r="BB84" i="16" s="1"/>
  <c r="BB90" i="16" s="1"/>
  <c r="BX32" i="16"/>
  <c r="BX54" i="48"/>
  <c r="BZ29" i="16"/>
  <c r="CA29" i="16" s="1"/>
  <c r="BT57" i="48"/>
  <c r="BT58" i="48" s="1"/>
  <c r="CA35" i="19"/>
  <c r="BZ53" i="48"/>
  <c r="BZ57" i="48"/>
  <c r="BZ58" i="48" s="1"/>
  <c r="CG71" i="77"/>
  <c r="CC43" i="19"/>
  <c r="CC42" i="19" s="1"/>
  <c r="CD36" i="19"/>
  <c r="CA42" i="19"/>
  <c r="BZ150" i="19"/>
  <c r="CA150" i="19" s="1"/>
  <c r="CA43" i="19"/>
  <c r="BB422" i="18"/>
  <c r="BC422" i="18" s="1"/>
  <c r="BE424" i="18" s="1"/>
  <c r="BA431" i="18"/>
  <c r="BA450" i="18" s="1"/>
  <c r="BB424" i="18"/>
  <c r="BC424" i="18" s="1"/>
  <c r="BZ25" i="17"/>
  <c r="CA25" i="17" s="1"/>
  <c r="BY222" i="18"/>
  <c r="BY15" i="18"/>
  <c r="BZ62" i="77"/>
  <c r="BZ67" i="77"/>
  <c r="BZ65" i="77"/>
  <c r="CA72" i="77"/>
  <c r="BZ220" i="18"/>
  <c r="BX11" i="19"/>
  <c r="BX14" i="19" s="1"/>
  <c r="CC72" i="77"/>
  <c r="CI69" i="77" s="1"/>
  <c r="CC69" i="77"/>
  <c r="CD68" i="77"/>
  <c r="BW61" i="77"/>
  <c r="BW65" i="77" s="1"/>
  <c r="BW87" i="77"/>
  <c r="CA87" i="77" s="1"/>
  <c r="CA85" i="77"/>
  <c r="CA86" i="77" s="1"/>
  <c r="BF158" i="18"/>
  <c r="BG158" i="18" s="1"/>
  <c r="BH158" i="18" s="1"/>
  <c r="BI158" i="18" s="1"/>
  <c r="DL168" i="18"/>
  <c r="AT172" i="18"/>
  <c r="AT111" i="18" s="1"/>
  <c r="BA376" i="18"/>
  <c r="BU95" i="18"/>
  <c r="BI95" i="18"/>
  <c r="BO95" i="18"/>
  <c r="BB340" i="18"/>
  <c r="CG95" i="18"/>
  <c r="BO160" i="18"/>
  <c r="BQ160" i="18"/>
  <c r="CF177" i="18"/>
  <c r="CG147" i="18"/>
  <c r="BS246" i="18"/>
  <c r="BS276" i="18"/>
  <c r="BN447" i="18"/>
  <c r="BO383" i="18"/>
  <c r="CF78" i="17"/>
  <c r="BY54" i="48"/>
  <c r="CE41" i="19"/>
  <c r="CE76" i="17"/>
  <c r="BR150" i="18"/>
  <c r="BR151" i="18" s="1"/>
  <c r="CE280" i="18"/>
  <c r="CE250" i="18"/>
  <c r="BA440" i="18"/>
  <c r="BQ179" i="18"/>
  <c r="BT276" i="18"/>
  <c r="BC339" i="18"/>
  <c r="BC340" i="18"/>
  <c r="BC159" i="18"/>
  <c r="BB182" i="18"/>
  <c r="BN383" i="18"/>
  <c r="BO447" i="18"/>
  <c r="BU53" i="18"/>
  <c r="BU246" i="18" s="1"/>
  <c r="CA80" i="18"/>
  <c r="CC80" i="18" s="1"/>
  <c r="CD80" i="18" s="1"/>
  <c r="CE80" i="18" s="1"/>
  <c r="CF80" i="18" s="1"/>
  <c r="CC79" i="18"/>
  <c r="BX328" i="18"/>
  <c r="BY326" i="18"/>
  <c r="BZ56" i="18"/>
  <c r="CA56" i="18" s="1"/>
  <c r="CC57" i="18"/>
  <c r="BZ325" i="18"/>
  <c r="BW86" i="77"/>
  <c r="CG85" i="77"/>
  <c r="CC87" i="77"/>
  <c r="CG87" i="77" s="1"/>
  <c r="CC61" i="77"/>
  <c r="BX329" i="18"/>
  <c r="BX320" i="18"/>
  <c r="BX322" i="18"/>
  <c r="CF374" i="18"/>
  <c r="CG374" i="18" s="1"/>
  <c r="CF88" i="18"/>
  <c r="BY327" i="18"/>
  <c r="BZ364" i="18"/>
  <c r="CA364" i="18" s="1"/>
  <c r="BX321" i="18"/>
  <c r="BW334" i="18"/>
  <c r="BY324" i="18"/>
  <c r="CA13" i="48"/>
  <c r="CA15" i="48" s="1"/>
  <c r="CA53" i="48" s="1"/>
  <c r="BU13" i="48"/>
  <c r="BU15" i="48" s="1"/>
  <c r="BU53" i="48" s="1"/>
  <c r="BW54" i="48" s="1"/>
  <c r="BW57" i="48"/>
  <c r="BZ22" i="17"/>
  <c r="CF84" i="77"/>
  <c r="W21" i="77"/>
  <c r="AN29" i="77"/>
  <c r="AN30" i="77" s="1"/>
  <c r="AT43" i="77"/>
  <c r="AT44" i="77" s="1"/>
  <c r="AO43" i="77"/>
  <c r="AO44" i="77" s="1"/>
  <c r="AT29" i="77"/>
  <c r="AT30" i="77" s="1"/>
  <c r="V256" i="18"/>
  <c r="BB339" i="18"/>
  <c r="BT54" i="48"/>
  <c r="AB256" i="18"/>
  <c r="X22" i="77"/>
  <c r="X20" i="77"/>
  <c r="X49" i="77" s="1"/>
  <c r="Y49" i="77" s="1"/>
  <c r="Y50" i="77" s="1"/>
  <c r="AU43" i="77"/>
  <c r="AU44" i="77" s="1"/>
  <c r="AQ45" i="77"/>
  <c r="AQ46" i="77" s="1"/>
  <c r="AM43" i="77"/>
  <c r="AO17" i="77"/>
  <c r="BA17" i="77"/>
  <c r="U41" i="77"/>
  <c r="U42" i="77"/>
  <c r="AP17" i="77"/>
  <c r="AP87" i="77"/>
  <c r="AV86" i="77" s="1"/>
  <c r="AP61" i="77"/>
  <c r="AS43" i="77"/>
  <c r="AW45" i="77"/>
  <c r="AW46" i="77" s="1"/>
  <c r="AQ18" i="77"/>
  <c r="AQ16" i="77"/>
  <c r="AQ17" i="77" s="1"/>
  <c r="AW18" i="77"/>
  <c r="AW16" i="77"/>
  <c r="U351" i="18"/>
  <c r="AQ31" i="77"/>
  <c r="AQ32" i="77" s="1"/>
  <c r="AM29" i="77"/>
  <c r="AY29" i="77"/>
  <c r="AP29" i="77"/>
  <c r="W39" i="77"/>
  <c r="W50" i="77"/>
  <c r="BO65" i="77"/>
  <c r="Y43" i="18"/>
  <c r="AN87" i="77"/>
  <c r="AT86" i="77" s="1"/>
  <c r="AN61" i="77"/>
  <c r="AW31" i="77"/>
  <c r="AW32" i="77" s="1"/>
  <c r="AU29" i="77"/>
  <c r="DO168" i="18"/>
  <c r="V10" i="18"/>
  <c r="BT246" i="18"/>
  <c r="BA149" i="18"/>
  <c r="AM17" i="77"/>
  <c r="AQ114" i="77"/>
  <c r="AS17" i="77"/>
  <c r="AO29" i="77"/>
  <c r="AY17" i="77"/>
  <c r="BE45" i="77"/>
  <c r="AY43" i="77"/>
  <c r="BA29" i="77"/>
  <c r="BA43" i="77"/>
  <c r="BA44" i="77" s="1"/>
  <c r="AN17" i="77"/>
  <c r="AN43" i="77"/>
  <c r="AN44" i="77" s="1"/>
  <c r="AT17" i="77"/>
  <c r="V41" i="77"/>
  <c r="V42" i="77"/>
  <c r="AP43" i="77"/>
  <c r="AP44" i="77" s="1"/>
  <c r="AA15" i="77"/>
  <c r="AA22" i="77" s="1"/>
  <c r="Y22" i="77"/>
  <c r="Y20" i="77"/>
  <c r="Y21" i="77" s="1"/>
  <c r="AQ85" i="77"/>
  <c r="AM87" i="77"/>
  <c r="AM61" i="77"/>
  <c r="AO87" i="77"/>
  <c r="AU86" i="77" s="1"/>
  <c r="AO61" i="77"/>
  <c r="AU17" i="77"/>
  <c r="AW114" i="77"/>
  <c r="AS29" i="77"/>
  <c r="BQ67" i="77"/>
  <c r="BQ65" i="77"/>
  <c r="BU61" i="77"/>
  <c r="BQ58" i="48"/>
  <c r="AM51" i="17"/>
  <c r="AN48" i="17"/>
  <c r="AN49" i="17" s="1"/>
  <c r="BR101" i="77"/>
  <c r="BX98" i="77" s="1"/>
  <c r="BQ101" i="77"/>
  <c r="BW98" i="77" s="1"/>
  <c r="AQ51" i="17"/>
  <c r="AS48" i="17"/>
  <c r="AS49" i="17" s="1"/>
  <c r="AW48" i="17"/>
  <c r="AW49" i="17" s="1"/>
  <c r="AH51" i="17"/>
  <c r="AI48" i="17"/>
  <c r="AI49" i="17" s="1"/>
  <c r="BM87" i="77"/>
  <c r="BS86" i="77" s="1"/>
  <c r="BM72" i="77"/>
  <c r="BM67" i="77"/>
  <c r="BS62" i="77" s="1"/>
  <c r="BM101" i="77"/>
  <c r="BM57" i="77"/>
  <c r="AD48" i="17"/>
  <c r="AD49" i="17" s="1"/>
  <c r="AD51" i="17" s="1"/>
  <c r="AC51" i="17"/>
  <c r="AJ48" i="77"/>
  <c r="AD30" i="18"/>
  <c r="AE30" i="18" s="1"/>
  <c r="AE29" i="18"/>
  <c r="AZ72" i="18"/>
  <c r="AZ69" i="18"/>
  <c r="AQ253" i="18"/>
  <c r="AQ43" i="18"/>
  <c r="V348" i="18"/>
  <c r="V346" i="18"/>
  <c r="AY472" i="18"/>
  <c r="AY468" i="18"/>
  <c r="AU257" i="18"/>
  <c r="AU287" i="18"/>
  <c r="AV288" i="18"/>
  <c r="AU201" i="18"/>
  <c r="AU256" i="18"/>
  <c r="AU10" i="18"/>
  <c r="AV287" i="18"/>
  <c r="AZ446" i="18"/>
  <c r="AZ382" i="18"/>
  <c r="BN251" i="18"/>
  <c r="BE432" i="18"/>
  <c r="BC437" i="18"/>
  <c r="BE434" i="18"/>
  <c r="X180" i="18"/>
  <c r="Y153" i="18"/>
  <c r="Y168" i="18" s="1"/>
  <c r="X337" i="18"/>
  <c r="X345" i="18" s="1"/>
  <c r="X347" i="18" s="1"/>
  <c r="DB322" i="18" s="1"/>
  <c r="AN256" i="18"/>
  <c r="AN257" i="18"/>
  <c r="AN10" i="18"/>
  <c r="AU420" i="18"/>
  <c r="Y337" i="18"/>
  <c r="Y345" i="18" s="1"/>
  <c r="BO102" i="18"/>
  <c r="AB144" i="18"/>
  <c r="AA145" i="18"/>
  <c r="AT414" i="18"/>
  <c r="AG256" i="18"/>
  <c r="AG10" i="18"/>
  <c r="AE253" i="18"/>
  <c r="AE43" i="18"/>
  <c r="BE368" i="18"/>
  <c r="BC373" i="18"/>
  <c r="BE370" i="18"/>
  <c r="AU397" i="18"/>
  <c r="AU461" i="18"/>
  <c r="AE28" i="18"/>
  <c r="AG28" i="18"/>
  <c r="AS288" i="18"/>
  <c r="AP257" i="18"/>
  <c r="AP256" i="18"/>
  <c r="AP10" i="18"/>
  <c r="AV257" i="18"/>
  <c r="AV256" i="18"/>
  <c r="AT419" i="18"/>
  <c r="AT153" i="18"/>
  <c r="AP152" i="18"/>
  <c r="AS153" i="18" s="1"/>
  <c r="AS169" i="18"/>
  <c r="AS172" i="18" s="1"/>
  <c r="AT417" i="18"/>
  <c r="AS398" i="18"/>
  <c r="AS462" i="18"/>
  <c r="AS171" i="18"/>
  <c r="AZ366" i="18"/>
  <c r="AZ403" i="18" s="1"/>
  <c r="AY180" i="18"/>
  <c r="AY337" i="18"/>
  <c r="BB441" i="18"/>
  <c r="BB451" i="18" s="1"/>
  <c r="BB439" i="18"/>
  <c r="BC439" i="18" s="1"/>
  <c r="AW253" i="18"/>
  <c r="AW43" i="18"/>
  <c r="BE157" i="18"/>
  <c r="AM256" i="18"/>
  <c r="AM10" i="18"/>
  <c r="AM257" i="18"/>
  <c r="AA256" i="18"/>
  <c r="AA10" i="18"/>
  <c r="BM184" i="18"/>
  <c r="BM592" i="18" s="1"/>
  <c r="BM341" i="18"/>
  <c r="Y176" i="18"/>
  <c r="BN161" i="18"/>
  <c r="AO256" i="18"/>
  <c r="AO257" i="18"/>
  <c r="AO201" i="18"/>
  <c r="AO10" i="18"/>
  <c r="AZ152" i="18"/>
  <c r="BU445" i="18"/>
  <c r="BU381" i="18"/>
  <c r="BB375" i="18"/>
  <c r="BB377" i="18"/>
  <c r="BB387" i="18" s="1"/>
  <c r="BE183" i="18"/>
  <c r="BE591" i="18" s="1"/>
  <c r="BE340" i="18"/>
  <c r="BO99" i="18"/>
  <c r="AU180" i="18"/>
  <c r="AU337" i="18"/>
  <c r="BT445" i="18"/>
  <c r="BT381" i="18"/>
  <c r="BA430" i="18"/>
  <c r="BB148" i="18"/>
  <c r="AU288" i="18"/>
  <c r="AT257" i="18"/>
  <c r="AT287" i="18"/>
  <c r="AT256" i="18"/>
  <c r="AT10" i="18"/>
  <c r="AK253" i="18"/>
  <c r="AK43" i="18"/>
  <c r="AY404" i="18"/>
  <c r="AY408" i="18"/>
  <c r="BQ447" i="18"/>
  <c r="BQ383" i="18"/>
  <c r="W348" i="18"/>
  <c r="W346" i="18"/>
  <c r="AY287" i="18"/>
  <c r="AZ288" i="18"/>
  <c r="AY257" i="18"/>
  <c r="AY256" i="18"/>
  <c r="AY10" i="18"/>
  <c r="AY397" i="18"/>
  <c r="AY461" i="18"/>
  <c r="AY420" i="18"/>
  <c r="V174" i="18"/>
  <c r="V604" i="18" s="1"/>
  <c r="AW65" i="18"/>
  <c r="AY65" i="18"/>
  <c r="AZ65" i="18" s="1"/>
  <c r="BA65" i="18" s="1"/>
  <c r="BB65" i="18" s="1"/>
  <c r="Y152" i="18"/>
  <c r="AA61" i="18"/>
  <c r="AA413" i="18"/>
  <c r="AA414" i="18"/>
  <c r="AT413" i="18"/>
  <c r="U243" i="18"/>
  <c r="U205" i="18"/>
  <c r="U225" i="18" s="1"/>
  <c r="U265" i="18" s="1"/>
  <c r="AY446" i="18"/>
  <c r="AY382" i="18"/>
  <c r="AS287" i="18"/>
  <c r="AT288" i="18"/>
  <c r="AS256" i="18"/>
  <c r="AS257" i="18"/>
  <c r="AS10" i="18"/>
  <c r="BQ587" i="18" l="1"/>
  <c r="CK75" i="77"/>
  <c r="CK66" i="77" s="1"/>
  <c r="CG73" i="77"/>
  <c r="CG84" i="77" s="1"/>
  <c r="CG66" i="77"/>
  <c r="CJ66" i="77"/>
  <c r="CG48" i="18"/>
  <c r="CG244" i="18"/>
  <c r="BI185" i="18"/>
  <c r="BI198" i="18" s="1"/>
  <c r="BH389" i="18"/>
  <c r="CM222" i="18"/>
  <c r="BI593" i="18"/>
  <c r="CE37" i="19"/>
  <c r="CI78" i="17"/>
  <c r="CI76" i="17" s="1"/>
  <c r="CD43" i="19"/>
  <c r="CD42" i="19" s="1"/>
  <c r="CD150" i="19" s="1"/>
  <c r="CI274" i="18"/>
  <c r="CI244" i="18"/>
  <c r="CR70" i="77"/>
  <c r="CQ68" i="77"/>
  <c r="CS55" i="18"/>
  <c r="BI453" i="18"/>
  <c r="CK48" i="18"/>
  <c r="CJ47" i="18"/>
  <c r="CQ32" i="77"/>
  <c r="CP115" i="77"/>
  <c r="CP96" i="77"/>
  <c r="CP72" i="77"/>
  <c r="CP220" i="18" s="1"/>
  <c r="CP69" i="77"/>
  <c r="CK146" i="18"/>
  <c r="CJ43" i="48"/>
  <c r="CI177" i="18"/>
  <c r="CO220" i="18"/>
  <c r="W12" i="18"/>
  <c r="W260" i="18"/>
  <c r="W602" i="18" s="1"/>
  <c r="BK453" i="18"/>
  <c r="BK389" i="18"/>
  <c r="BM109" i="18"/>
  <c r="BL98" i="18"/>
  <c r="BA365" i="18"/>
  <c r="BA366" i="18" s="1"/>
  <c r="BA403" i="18" s="1"/>
  <c r="BA408" i="18" s="1"/>
  <c r="BL105" i="18"/>
  <c r="BM106" i="18"/>
  <c r="BK252" i="18"/>
  <c r="BK282" i="18"/>
  <c r="BL342" i="18"/>
  <c r="BL185" i="18"/>
  <c r="BL593" i="18" s="1"/>
  <c r="V597" i="18"/>
  <c r="V599" i="18"/>
  <c r="DD590" i="18" s="1"/>
  <c r="V605" i="18"/>
  <c r="W201" i="18"/>
  <c r="CR8" i="48"/>
  <c r="CR155" i="19"/>
  <c r="CS86" i="77"/>
  <c r="CS240" i="18"/>
  <c r="CS25" i="18"/>
  <c r="CQ40" i="18"/>
  <c r="CQ269" i="18"/>
  <c r="CC58" i="48"/>
  <c r="CC23" i="48"/>
  <c r="CC53" i="48" s="1"/>
  <c r="CC54" i="48" s="1"/>
  <c r="CJ11" i="48"/>
  <c r="CI13" i="48"/>
  <c r="CD20" i="48"/>
  <c r="CD57" i="48" s="1"/>
  <c r="CD58" i="48" s="1"/>
  <c r="CD22" i="48"/>
  <c r="CD52" i="48" s="1"/>
  <c r="CE21" i="48"/>
  <c r="CF19" i="48"/>
  <c r="CF56" i="48" s="1"/>
  <c r="CG14" i="48"/>
  <c r="CG12" i="48"/>
  <c r="CG13" i="48" s="1"/>
  <c r="CR78" i="19"/>
  <c r="CR77" i="19"/>
  <c r="CJ32" i="17"/>
  <c r="CI121" i="16"/>
  <c r="CI123" i="16" s="1"/>
  <c r="CJ120" i="16" s="1"/>
  <c r="CI96" i="16"/>
  <c r="CI113" i="16"/>
  <c r="CM63" i="17"/>
  <c r="CM73" i="17" s="1"/>
  <c r="CM37" i="17" s="1"/>
  <c r="CM64" i="17"/>
  <c r="CG78" i="17"/>
  <c r="CG76" i="17" s="1"/>
  <c r="CI86" i="77"/>
  <c r="CO86" i="77"/>
  <c r="CI67" i="77"/>
  <c r="CI65" i="77"/>
  <c r="CM86" i="77"/>
  <c r="CJ84" i="77"/>
  <c r="CJ61" i="77"/>
  <c r="CI280" i="18"/>
  <c r="CI250" i="18"/>
  <c r="CJ374" i="18"/>
  <c r="CK89" i="18"/>
  <c r="CJ88" i="18"/>
  <c r="BC358" i="18"/>
  <c r="BE358" i="18" s="1"/>
  <c r="W353" i="18"/>
  <c r="W354" i="18" s="1"/>
  <c r="BU45" i="16"/>
  <c r="BU164" i="16"/>
  <c r="BS45" i="16"/>
  <c r="BS164" i="16"/>
  <c r="BX164" i="16"/>
  <c r="BO45" i="16"/>
  <c r="BO164" i="16"/>
  <c r="AZ472" i="18"/>
  <c r="AZ470" i="18"/>
  <c r="BC183" i="18"/>
  <c r="BC196" i="18" s="1"/>
  <c r="BB591" i="18"/>
  <c r="BC591" i="18" s="1"/>
  <c r="AU588" i="18"/>
  <c r="AY588" i="18"/>
  <c r="W605" i="18"/>
  <c r="CG177" i="18"/>
  <c r="CG190" i="18" s="1"/>
  <c r="CF585" i="18"/>
  <c r="CG585" i="18" s="1"/>
  <c r="W598" i="18"/>
  <c r="W597" i="18"/>
  <c r="W599" i="18"/>
  <c r="DE590" i="18" s="1"/>
  <c r="Y180" i="18"/>
  <c r="Y174" i="18" s="1"/>
  <c r="Y604" i="18" s="1"/>
  <c r="X588" i="18"/>
  <c r="X596" i="18" s="1"/>
  <c r="Y596" i="18" s="1"/>
  <c r="Y599" i="18" s="1"/>
  <c r="BC182" i="18"/>
  <c r="BC195" i="18" s="1"/>
  <c r="BB590" i="18"/>
  <c r="BC590" i="18" s="1"/>
  <c r="BQ161" i="18"/>
  <c r="BQ184" i="18" s="1"/>
  <c r="BQ592" i="18" s="1"/>
  <c r="BR179" i="18"/>
  <c r="BR587" i="18" s="1"/>
  <c r="BB376" i="18"/>
  <c r="BO341" i="18"/>
  <c r="BO388" i="18" s="1"/>
  <c r="AS61" i="18"/>
  <c r="AS111" i="18"/>
  <c r="CE20" i="16"/>
  <c r="CE176" i="16" s="1"/>
  <c r="CF120" i="16"/>
  <c r="CF123" i="16" s="1"/>
  <c r="BE115" i="16"/>
  <c r="BE116" i="16"/>
  <c r="BI116" i="16" s="1"/>
  <c r="BI117" i="16" s="1"/>
  <c r="BO112" i="16" s="1"/>
  <c r="BI115" i="16"/>
  <c r="Q100" i="16"/>
  <c r="P109" i="16"/>
  <c r="P103" i="16"/>
  <c r="Q98" i="16"/>
  <c r="Q102" i="16"/>
  <c r="BU54" i="48"/>
  <c r="BI84" i="16"/>
  <c r="BE84" i="16"/>
  <c r="BE90" i="16" s="1"/>
  <c r="BF84" i="16" s="1"/>
  <c r="BF90" i="16" s="1"/>
  <c r="BG84" i="16" s="1"/>
  <c r="BG90" i="16" s="1"/>
  <c r="BH84" i="16" s="1"/>
  <c r="BX45" i="16"/>
  <c r="BX38" i="17"/>
  <c r="BY38" i="17"/>
  <c r="BZ32" i="16"/>
  <c r="CC150" i="19"/>
  <c r="BU57" i="48"/>
  <c r="BU58" i="48" s="1"/>
  <c r="BZ54" i="48"/>
  <c r="CA54" i="48" s="1"/>
  <c r="CD35" i="19"/>
  <c r="BB426" i="18"/>
  <c r="BC431" i="18" s="1"/>
  <c r="BC450" i="18" s="1"/>
  <c r="CE36" i="19"/>
  <c r="BC426" i="18"/>
  <c r="BE422" i="18"/>
  <c r="BE426" i="18" s="1"/>
  <c r="BE429" i="18" s="1"/>
  <c r="CC24" i="17"/>
  <c r="CD72" i="77"/>
  <c r="CD69" i="77"/>
  <c r="CD61" i="77"/>
  <c r="CC220" i="18"/>
  <c r="CI221" i="18" s="1"/>
  <c r="BY292" i="18"/>
  <c r="BY11" i="19"/>
  <c r="CF68" i="77"/>
  <c r="CE68" i="77"/>
  <c r="BZ222" i="18"/>
  <c r="CA222" i="18" s="1"/>
  <c r="BZ15" i="18"/>
  <c r="CA220" i="18"/>
  <c r="CC86" i="77"/>
  <c r="AT61" i="18"/>
  <c r="CA61" i="77"/>
  <c r="CA65" i="77" s="1"/>
  <c r="BW67" i="77"/>
  <c r="CA67" i="77" s="1"/>
  <c r="BF159" i="18"/>
  <c r="CG86" i="77"/>
  <c r="BB149" i="18"/>
  <c r="BE148" i="18"/>
  <c r="BE149" i="18" s="1"/>
  <c r="BA467" i="18"/>
  <c r="BA472" i="18" s="1"/>
  <c r="BS150" i="18"/>
  <c r="BT150" i="18" s="1"/>
  <c r="BW150" i="18" s="1"/>
  <c r="BW151" i="18" s="1"/>
  <c r="CF41" i="19"/>
  <c r="CF76" i="17"/>
  <c r="CG88" i="18"/>
  <c r="CG250" i="18" s="1"/>
  <c r="CF280" i="18"/>
  <c r="CF250" i="18"/>
  <c r="BR336" i="18"/>
  <c r="BR447" i="18" s="1"/>
  <c r="BK158" i="18"/>
  <c r="BL158" i="18" s="1"/>
  <c r="BM158" i="18" s="1"/>
  <c r="BN158" i="18" s="1"/>
  <c r="BQ158" i="18" s="1"/>
  <c r="BU54" i="18"/>
  <c r="BW54" i="18" s="1"/>
  <c r="BY322" i="18"/>
  <c r="BX101" i="77"/>
  <c r="CD98" i="77" s="1"/>
  <c r="BZ324" i="18"/>
  <c r="BZ327" i="18"/>
  <c r="BY320" i="18"/>
  <c r="BY329" i="18"/>
  <c r="CA325" i="18"/>
  <c r="CC325" i="18" s="1"/>
  <c r="BA335" i="18"/>
  <c r="BA446" i="18" s="1"/>
  <c r="CC65" i="77"/>
  <c r="CC67" i="77"/>
  <c r="CI62" i="77" s="1"/>
  <c r="BY328" i="18"/>
  <c r="BW101" i="77"/>
  <c r="BW381" i="18"/>
  <c r="BW445" i="18"/>
  <c r="CC56" i="18"/>
  <c r="CD57" i="18"/>
  <c r="CD79" i="18"/>
  <c r="CC364" i="18"/>
  <c r="BZ326" i="18"/>
  <c r="BY321" i="18"/>
  <c r="BX334" i="18"/>
  <c r="BW58" i="48"/>
  <c r="CA57" i="48"/>
  <c r="CA58" i="48" s="1"/>
  <c r="CC22" i="17"/>
  <c r="CA22" i="17"/>
  <c r="BU67" i="77"/>
  <c r="BW62" i="77"/>
  <c r="X21" i="77"/>
  <c r="AT112" i="77"/>
  <c r="AT113" i="77" s="1"/>
  <c r="AW17" i="77"/>
  <c r="X174" i="18"/>
  <c r="BA178" i="18"/>
  <c r="AZ85" i="77"/>
  <c r="AS30" i="77"/>
  <c r="AS112" i="77"/>
  <c r="AW29" i="77"/>
  <c r="AW30" i="77" s="1"/>
  <c r="AQ87" i="77"/>
  <c r="AW86" i="77" s="1"/>
  <c r="AS86" i="77"/>
  <c r="AW115" i="77"/>
  <c r="AW96" i="77"/>
  <c r="AW94" i="77" s="1"/>
  <c r="AV94" i="77" s="1"/>
  <c r="AN67" i="77"/>
  <c r="AT62" i="77" s="1"/>
  <c r="AN64" i="77"/>
  <c r="AN65" i="77"/>
  <c r="AP30" i="77"/>
  <c r="AP112" i="77"/>
  <c r="AP113" i="77" s="1"/>
  <c r="AQ96" i="77"/>
  <c r="AQ94" i="77" s="1"/>
  <c r="AQ115" i="77"/>
  <c r="AS44" i="77"/>
  <c r="AW43" i="77"/>
  <c r="AW44" i="77" s="1"/>
  <c r="AP65" i="77"/>
  <c r="AP67" i="77"/>
  <c r="AV62" i="77" s="1"/>
  <c r="AP64" i="77"/>
  <c r="AN112" i="77"/>
  <c r="AN113" i="77" s="1"/>
  <c r="DK168" i="18"/>
  <c r="BB440" i="18"/>
  <c r="AZ14" i="77"/>
  <c r="BU65" i="77"/>
  <c r="AQ61" i="77"/>
  <c r="AO67" i="77"/>
  <c r="AU62" i="77" s="1"/>
  <c r="AO65" i="77"/>
  <c r="AO64" i="77"/>
  <c r="AM65" i="77"/>
  <c r="AM64" i="77"/>
  <c r="AM67" i="77"/>
  <c r="AA20" i="77"/>
  <c r="AB15" i="77"/>
  <c r="AB20" i="77" s="1"/>
  <c r="BA30" i="77"/>
  <c r="BA112" i="77"/>
  <c r="BA113" i="77" s="1"/>
  <c r="AY44" i="77"/>
  <c r="AO30" i="77"/>
  <c r="AO112" i="77"/>
  <c r="AO113" i="77" s="1"/>
  <c r="AU30" i="77"/>
  <c r="AU112" i="77"/>
  <c r="AU113" i="77" s="1"/>
  <c r="Y10" i="18"/>
  <c r="Y256" i="18"/>
  <c r="W41" i="77"/>
  <c r="W42" i="77"/>
  <c r="AY30" i="77"/>
  <c r="AY112" i="77"/>
  <c r="AM30" i="77"/>
  <c r="AQ29" i="77"/>
  <c r="AQ30" i="77" s="1"/>
  <c r="AM112" i="77"/>
  <c r="X50" i="77"/>
  <c r="X39" i="77"/>
  <c r="Y39" i="77" s="1"/>
  <c r="Y41" i="77" s="1"/>
  <c r="AM44" i="77"/>
  <c r="AQ43" i="77"/>
  <c r="AQ44" i="77" s="1"/>
  <c r="BS98" i="77"/>
  <c r="AS51" i="17"/>
  <c r="AT48" i="17"/>
  <c r="AT49" i="17" s="1"/>
  <c r="BO87" i="77"/>
  <c r="BU86" i="77" s="1"/>
  <c r="AO48" i="17"/>
  <c r="AO49" i="17" s="1"/>
  <c r="AN51" i="17"/>
  <c r="BM58" i="77"/>
  <c r="BS53" i="77"/>
  <c r="BS69" i="77"/>
  <c r="BO72" i="77"/>
  <c r="BU69" i="77" s="1"/>
  <c r="AI51" i="17"/>
  <c r="AJ48" i="17"/>
  <c r="AJ49" i="17" s="1"/>
  <c r="AJ51" i="17" s="1"/>
  <c r="AY48" i="17"/>
  <c r="AY49" i="17" s="1"/>
  <c r="BC48" i="17"/>
  <c r="BC49" i="17" s="1"/>
  <c r="AW51" i="17"/>
  <c r="BO67" i="77"/>
  <c r="BU62" i="77" s="1"/>
  <c r="AK48" i="77"/>
  <c r="AM48" i="77" s="1"/>
  <c r="X348" i="18"/>
  <c r="X346" i="18"/>
  <c r="BE437" i="18"/>
  <c r="AW256" i="18"/>
  <c r="AW10" i="18"/>
  <c r="AW257" i="18"/>
  <c r="BE65" i="18"/>
  <c r="BF65" i="18" s="1"/>
  <c r="BG65" i="18" s="1"/>
  <c r="BH65" i="18" s="1"/>
  <c r="BC65" i="18"/>
  <c r="BO251" i="18"/>
  <c r="BC375" i="18"/>
  <c r="BM452" i="18"/>
  <c r="BM388" i="18"/>
  <c r="BE182" i="18"/>
  <c r="BE339" i="18"/>
  <c r="AP169" i="18"/>
  <c r="AP172" i="18" s="1"/>
  <c r="AP61" i="18" s="1"/>
  <c r="AQ152" i="18"/>
  <c r="AS417" i="18"/>
  <c r="AS419" i="18"/>
  <c r="AP398" i="18"/>
  <c r="AQ398" i="18" s="1"/>
  <c r="AP462" i="18"/>
  <c r="AQ462" i="18" s="1"/>
  <c r="AP171" i="18"/>
  <c r="AS414" i="18"/>
  <c r="AW414" i="18" s="1"/>
  <c r="AS413" i="18"/>
  <c r="AW413" i="18" s="1"/>
  <c r="BE373" i="18"/>
  <c r="BF370" i="18"/>
  <c r="BF368" i="18"/>
  <c r="BQ99" i="18"/>
  <c r="AY469" i="18"/>
  <c r="AY470" i="18"/>
  <c r="AZ404" i="18"/>
  <c r="AZ408" i="18"/>
  <c r="Y169" i="18"/>
  <c r="AA152" i="18"/>
  <c r="AC144" i="18"/>
  <c r="AC145" i="18" s="1"/>
  <c r="BC148" i="18"/>
  <c r="BG156" i="18"/>
  <c r="AT180" i="18"/>
  <c r="AT337" i="18"/>
  <c r="AE256" i="18"/>
  <c r="AE10" i="18"/>
  <c r="AZ278" i="18"/>
  <c r="AZ248" i="18"/>
  <c r="AZ59" i="18"/>
  <c r="V353" i="18"/>
  <c r="V354" i="18" s="1"/>
  <c r="V260" i="18"/>
  <c r="V602" i="18" s="1"/>
  <c r="V12" i="18"/>
  <c r="V201" i="18"/>
  <c r="AY448" i="18"/>
  <c r="AY384" i="18"/>
  <c r="AW337" i="18"/>
  <c r="AS180" i="18"/>
  <c r="AS588" i="18" s="1"/>
  <c r="AS337" i="18"/>
  <c r="Y348" i="18"/>
  <c r="Y346" i="18"/>
  <c r="AZ415" i="18"/>
  <c r="DL53" i="18"/>
  <c r="DL56" i="18" s="1"/>
  <c r="AZ73" i="18"/>
  <c r="BA73" i="18" s="1"/>
  <c r="AZ154" i="18"/>
  <c r="BA435" i="18" s="1"/>
  <c r="AZ60" i="18"/>
  <c r="AK256" i="18"/>
  <c r="AK10" i="18"/>
  <c r="BA74" i="18"/>
  <c r="BA152" i="18" s="1"/>
  <c r="AZ153" i="18"/>
  <c r="BA413" i="18"/>
  <c r="BN184" i="18"/>
  <c r="BN592" i="18" s="1"/>
  <c r="BO592" i="18" s="1"/>
  <c r="BN341" i="18"/>
  <c r="AT420" i="18"/>
  <c r="AB145" i="18"/>
  <c r="AA176" i="18"/>
  <c r="AA584" i="18" s="1"/>
  <c r="AA333" i="18"/>
  <c r="BG159" i="18"/>
  <c r="AU243" i="18"/>
  <c r="AU205" i="18"/>
  <c r="AU225" i="18" s="1"/>
  <c r="BB367" i="18"/>
  <c r="BB386" i="18" s="1"/>
  <c r="BB365" i="18"/>
  <c r="BC367" i="18"/>
  <c r="BC386" i="18" s="1"/>
  <c r="AQ257" i="18"/>
  <c r="AQ256" i="18"/>
  <c r="AQ10" i="18"/>
  <c r="AU448" i="18"/>
  <c r="AU384" i="18"/>
  <c r="AO205" i="18"/>
  <c r="AO225" i="18" s="1"/>
  <c r="AT461" i="18"/>
  <c r="AT397" i="18"/>
  <c r="AY405" i="18"/>
  <c r="AY406" i="18"/>
  <c r="BO161" i="18"/>
  <c r="BF157" i="18"/>
  <c r="AG29" i="18"/>
  <c r="AH28" i="18"/>
  <c r="AH29" i="18" s="1"/>
  <c r="AH30" i="18" s="1"/>
  <c r="BQ102" i="18"/>
  <c r="BR103" i="18" s="1"/>
  <c r="DX57" i="18" s="1"/>
  <c r="CL75" i="77" l="1"/>
  <c r="CO75" i="77" s="1"/>
  <c r="CO66" i="77" s="1"/>
  <c r="CK73" i="77"/>
  <c r="CK84" i="77" s="1"/>
  <c r="CE43" i="19"/>
  <c r="CE42" i="19" s="1"/>
  <c r="CK43" i="48"/>
  <c r="CJ78" i="17"/>
  <c r="CJ76" i="17" s="1"/>
  <c r="CI41" i="19"/>
  <c r="CF37" i="19"/>
  <c r="W351" i="18"/>
  <c r="CI585" i="18"/>
  <c r="CQ72" i="77"/>
  <c r="CQ69" i="77"/>
  <c r="CR68" i="77"/>
  <c r="CS70" i="77"/>
  <c r="CP221" i="18"/>
  <c r="CP222" i="18"/>
  <c r="CR32" i="77"/>
  <c r="CQ96" i="77"/>
  <c r="CQ115" i="77"/>
  <c r="CL146" i="18"/>
  <c r="CL147" i="18" s="1"/>
  <c r="CL177" i="18" s="1"/>
  <c r="CL585" i="18" s="1"/>
  <c r="CJ274" i="18"/>
  <c r="CJ244" i="18"/>
  <c r="CO221" i="18"/>
  <c r="CO222" i="18"/>
  <c r="CK147" i="18"/>
  <c r="CL48" i="18"/>
  <c r="CK47" i="18"/>
  <c r="W205" i="18"/>
  <c r="W225" i="18" s="1"/>
  <c r="W243" i="18"/>
  <c r="BL453" i="18"/>
  <c r="BL389" i="18"/>
  <c r="BM108" i="18"/>
  <c r="DU58" i="18"/>
  <c r="DU59" i="18" s="1"/>
  <c r="BM162" i="18"/>
  <c r="BE360" i="18"/>
  <c r="BM105" i="18"/>
  <c r="BN106" i="18"/>
  <c r="BL282" i="18"/>
  <c r="BL252" i="18"/>
  <c r="CI20" i="16"/>
  <c r="CI176" i="16" s="1"/>
  <c r="CG15" i="48"/>
  <c r="CG41" i="19"/>
  <c r="CK11" i="48"/>
  <c r="CJ13" i="48"/>
  <c r="CE22" i="48"/>
  <c r="CE52" i="48" s="1"/>
  <c r="CE20" i="48"/>
  <c r="CE57" i="48" s="1"/>
  <c r="CE58" i="48" s="1"/>
  <c r="CD23" i="48"/>
  <c r="CD53" i="48" s="1"/>
  <c r="CD54" i="48" s="1"/>
  <c r="CG56" i="48"/>
  <c r="CG19" i="48"/>
  <c r="CF21" i="48"/>
  <c r="CI14" i="48"/>
  <c r="CI15" i="48" s="1"/>
  <c r="CI12" i="48"/>
  <c r="CM65" i="17"/>
  <c r="CS61" i="17" s="1"/>
  <c r="CI37" i="17"/>
  <c r="CJ37" i="17" s="1"/>
  <c r="CJ121" i="16"/>
  <c r="CJ123" i="16" s="1"/>
  <c r="CJ96" i="16"/>
  <c r="CJ113" i="16"/>
  <c r="CK32" i="17"/>
  <c r="CF20" i="16"/>
  <c r="CF176" i="16" s="1"/>
  <c r="CM120" i="16"/>
  <c r="CJ67" i="77"/>
  <c r="CJ65" i="77"/>
  <c r="CD220" i="18"/>
  <c r="CJ221" i="18" s="1"/>
  <c r="CJ69" i="77"/>
  <c r="CK374" i="18"/>
  <c r="CL89" i="18"/>
  <c r="CK88" i="18"/>
  <c r="CJ250" i="18"/>
  <c r="CJ280" i="18"/>
  <c r="BC362" i="18"/>
  <c r="BE590" i="18"/>
  <c r="BC440" i="18"/>
  <c r="BZ164" i="16"/>
  <c r="BC376" i="18"/>
  <c r="BO452" i="18"/>
  <c r="Y605" i="18"/>
  <c r="BQ341" i="18"/>
  <c r="BQ452" i="18" s="1"/>
  <c r="AT588" i="18"/>
  <c r="AW588" i="18" s="1"/>
  <c r="BA586" i="18"/>
  <c r="X597" i="18"/>
  <c r="X598" i="18"/>
  <c r="X599" i="18"/>
  <c r="DF590" i="18" s="1"/>
  <c r="Y588" i="18"/>
  <c r="Y597" i="18"/>
  <c r="X353" i="18"/>
  <c r="X354" i="18" s="1"/>
  <c r="X604" i="18"/>
  <c r="X605" i="18" s="1"/>
  <c r="BF183" i="18"/>
  <c r="BF591" i="18" s="1"/>
  <c r="BC149" i="18"/>
  <c r="BK112" i="16"/>
  <c r="R93" i="16"/>
  <c r="Q104" i="16"/>
  <c r="Q108" i="16"/>
  <c r="BZ38" i="17"/>
  <c r="CC32" i="16"/>
  <c r="CC29" i="16"/>
  <c r="BZ45" i="16"/>
  <c r="CA32" i="16"/>
  <c r="BB429" i="18"/>
  <c r="BC429" i="18" s="1"/>
  <c r="BC430" i="18" s="1"/>
  <c r="BB431" i="18"/>
  <c r="BB450" i="18" s="1"/>
  <c r="BE431" i="18"/>
  <c r="BE450" i="18" s="1"/>
  <c r="CE35" i="19"/>
  <c r="CF36" i="19"/>
  <c r="CI36" i="19" s="1"/>
  <c r="CD29" i="16"/>
  <c r="CC25" i="17"/>
  <c r="CA62" i="77"/>
  <c r="CG70" i="77"/>
  <c r="CE72" i="77"/>
  <c r="CK69" i="77" s="1"/>
  <c r="CE69" i="77"/>
  <c r="CE61" i="77"/>
  <c r="CG68" i="77"/>
  <c r="CC221" i="18"/>
  <c r="CC222" i="18"/>
  <c r="BZ11" i="19"/>
  <c r="BZ14" i="19" s="1"/>
  <c r="CF72" i="77"/>
  <c r="CF69" i="77"/>
  <c r="CF61" i="77"/>
  <c r="BY14" i="19"/>
  <c r="BZ292" i="18"/>
  <c r="CD65" i="77"/>
  <c r="CD62" i="77"/>
  <c r="CD67" i="77"/>
  <c r="CJ62" i="77" s="1"/>
  <c r="CD15" i="18"/>
  <c r="BF340" i="18"/>
  <c r="CC62" i="77"/>
  <c r="BA404" i="18"/>
  <c r="BA405" i="18" s="1"/>
  <c r="BB178" i="18"/>
  <c r="BB335" i="18"/>
  <c r="BB382" i="18" s="1"/>
  <c r="BC335" i="18"/>
  <c r="BC382" i="18" s="1"/>
  <c r="BS151" i="18"/>
  <c r="X201" i="18"/>
  <c r="X243" i="18" s="1"/>
  <c r="BA468" i="18"/>
  <c r="BA470" i="18" s="1"/>
  <c r="X260" i="18"/>
  <c r="BR383" i="18"/>
  <c r="BG157" i="18"/>
  <c r="BH156" i="18"/>
  <c r="BI156" i="18" s="1"/>
  <c r="BU150" i="18"/>
  <c r="BW53" i="18"/>
  <c r="BW276" i="18" s="1"/>
  <c r="BX54" i="18"/>
  <c r="BY54" i="18" s="1"/>
  <c r="BA382" i="18"/>
  <c r="CC98" i="77"/>
  <c r="BX445" i="18"/>
  <c r="BX381" i="18"/>
  <c r="CE79" i="18"/>
  <c r="CD364" i="18"/>
  <c r="BY334" i="18"/>
  <c r="BZ321" i="18"/>
  <c r="CA334" i="18" s="1"/>
  <c r="CE57" i="18"/>
  <c r="CD56" i="18"/>
  <c r="CA327" i="18"/>
  <c r="CC327" i="18" s="1"/>
  <c r="BZ328" i="18"/>
  <c r="BZ322" i="18"/>
  <c r="CD325" i="18"/>
  <c r="CA324" i="18"/>
  <c r="CC324" i="18" s="1"/>
  <c r="CA323" i="18"/>
  <c r="CC323" i="18" s="1"/>
  <c r="CD323" i="18" s="1"/>
  <c r="CE323" i="18" s="1"/>
  <c r="CF323" i="18" s="1"/>
  <c r="BZ320" i="18"/>
  <c r="CA326" i="18"/>
  <c r="CC326" i="18" s="1"/>
  <c r="BZ329" i="18"/>
  <c r="CD101" i="77"/>
  <c r="CJ98" i="77" s="1"/>
  <c r="CD22" i="17"/>
  <c r="BA361" i="18"/>
  <c r="X12" i="18"/>
  <c r="BH159" i="18"/>
  <c r="BO184" i="18"/>
  <c r="BO197" i="18" s="1"/>
  <c r="DJ168" i="18"/>
  <c r="X42" i="77"/>
  <c r="Y42" i="77" s="1"/>
  <c r="X41" i="77"/>
  <c r="AY113" i="77"/>
  <c r="AC15" i="77"/>
  <c r="AC20" i="77" s="1"/>
  <c r="AA49" i="77"/>
  <c r="AA21" i="77"/>
  <c r="AZ87" i="77"/>
  <c r="AZ61" i="77"/>
  <c r="AZ86" i="77"/>
  <c r="BC85" i="77"/>
  <c r="BC86" i="77" s="1"/>
  <c r="AW180" i="18"/>
  <c r="V351" i="18"/>
  <c r="AM113" i="77"/>
  <c r="AQ112" i="77"/>
  <c r="AQ113" i="77" s="1"/>
  <c r="AB21" i="77"/>
  <c r="AB49" i="77"/>
  <c r="AB22" i="77"/>
  <c r="AS62" i="77"/>
  <c r="AQ67" i="77"/>
  <c r="AW62" i="77" s="1"/>
  <c r="AQ64" i="77"/>
  <c r="AQ65" i="77"/>
  <c r="AZ45" i="77"/>
  <c r="AZ18" i="77"/>
  <c r="AZ31" i="77"/>
  <c r="AZ114" i="77"/>
  <c r="AZ94" i="77"/>
  <c r="AZ16" i="77"/>
  <c r="AW112" i="77"/>
  <c r="AW113" i="77" s="1"/>
  <c r="AS113" i="77"/>
  <c r="AY51" i="17"/>
  <c r="AZ48" i="17"/>
  <c r="AZ49" i="17" s="1"/>
  <c r="AU48" i="17"/>
  <c r="AU49" i="17" s="1"/>
  <c r="AT51" i="17"/>
  <c r="BE48" i="17"/>
  <c r="BE49" i="17" s="1"/>
  <c r="BI48" i="17"/>
  <c r="BC51" i="17"/>
  <c r="BS57" i="77"/>
  <c r="BS103" i="77"/>
  <c r="AO51" i="17"/>
  <c r="AP48" i="17"/>
  <c r="AP49" i="17" s="1"/>
  <c r="AP51" i="17" s="1"/>
  <c r="BS101" i="77"/>
  <c r="BY98" i="77" s="1"/>
  <c r="AN48" i="77"/>
  <c r="BA154" i="18"/>
  <c r="BA416" i="18"/>
  <c r="AZ155" i="18"/>
  <c r="AZ398" i="18"/>
  <c r="AZ462" i="18"/>
  <c r="AB176" i="18"/>
  <c r="AB584" i="18" s="1"/>
  <c r="AB333" i="18"/>
  <c r="BA371" i="18"/>
  <c r="AZ283" i="18"/>
  <c r="AZ253" i="18"/>
  <c r="AZ43" i="18"/>
  <c r="AC176" i="18"/>
  <c r="AC584" i="18" s="1"/>
  <c r="AC333" i="18"/>
  <c r="BG370" i="18"/>
  <c r="BF373" i="18"/>
  <c r="BG368" i="18"/>
  <c r="AZ180" i="18"/>
  <c r="AZ337" i="18"/>
  <c r="AZ169" i="18"/>
  <c r="AZ172" i="18" s="1"/>
  <c r="AT448" i="18"/>
  <c r="AT384" i="18"/>
  <c r="AS420" i="18"/>
  <c r="AW419" i="18"/>
  <c r="BB74" i="18"/>
  <c r="BB152" i="18" s="1"/>
  <c r="BB413" i="18"/>
  <c r="BC413" i="18" s="1"/>
  <c r="AQ169" i="18"/>
  <c r="AQ172" i="18" s="1"/>
  <c r="AQ61" i="18" s="1"/>
  <c r="AW153" i="18"/>
  <c r="AQ171" i="18"/>
  <c r="BE439" i="18"/>
  <c r="BE441" i="18"/>
  <c r="BE451" i="18" s="1"/>
  <c r="BF182" i="18"/>
  <c r="BF339" i="18"/>
  <c r="BA414" i="18"/>
  <c r="BA153" i="18"/>
  <c r="AZ416" i="18"/>
  <c r="AZ417" i="18"/>
  <c r="V243" i="18"/>
  <c r="V205" i="18"/>
  <c r="V225" i="18" s="1"/>
  <c r="V265" i="18" s="1"/>
  <c r="BF358" i="18"/>
  <c r="BE362" i="18"/>
  <c r="BF360" i="18"/>
  <c r="AA153" i="18"/>
  <c r="AA169" i="18"/>
  <c r="AB152" i="18"/>
  <c r="AB61" i="18"/>
  <c r="AB413" i="18"/>
  <c r="AB414" i="18"/>
  <c r="BE377" i="18"/>
  <c r="BE387" i="18" s="1"/>
  <c r="BE375" i="18"/>
  <c r="AS461" i="18"/>
  <c r="AW417" i="18"/>
  <c r="AS397" i="18"/>
  <c r="BN452" i="18"/>
  <c r="BN388" i="18"/>
  <c r="BA425" i="18"/>
  <c r="BA417" i="18"/>
  <c r="BL159" i="18"/>
  <c r="BK159" i="18"/>
  <c r="BA419" i="18"/>
  <c r="AS448" i="18"/>
  <c r="AS384" i="18"/>
  <c r="BQ251" i="18"/>
  <c r="BE430" i="18"/>
  <c r="BT151" i="18"/>
  <c r="BC365" i="18"/>
  <c r="BC366" i="18" s="1"/>
  <c r="BB366" i="18"/>
  <c r="BB403" i="18" s="1"/>
  <c r="AI28" i="18"/>
  <c r="AI29" i="18" s="1"/>
  <c r="AI30" i="18" s="1"/>
  <c r="AZ171" i="18"/>
  <c r="AW448" i="18"/>
  <c r="AW384" i="18"/>
  <c r="Y353" i="18"/>
  <c r="Y354" i="18" s="1"/>
  <c r="Y260" i="18"/>
  <c r="Y602" i="18" s="1"/>
  <c r="Y12" i="18"/>
  <c r="Y201" i="18"/>
  <c r="AG30" i="18"/>
  <c r="BG183" i="18"/>
  <c r="BG591" i="18" s="1"/>
  <c r="BG340" i="18"/>
  <c r="BA69" i="18"/>
  <c r="AD144" i="18"/>
  <c r="AZ405" i="18"/>
  <c r="AZ406" i="18"/>
  <c r="BK65" i="18"/>
  <c r="BL65" i="18" s="1"/>
  <c r="BM65" i="18" s="1"/>
  <c r="BN65" i="18" s="1"/>
  <c r="BI65" i="18"/>
  <c r="CL66" i="77" l="1"/>
  <c r="CM75" i="77"/>
  <c r="CM66" i="77" s="1"/>
  <c r="CP75" i="77"/>
  <c r="CQ75" i="77" s="1"/>
  <c r="CO73" i="77"/>
  <c r="CO61" i="77" s="1"/>
  <c r="CL73" i="77"/>
  <c r="CM73" i="77" s="1"/>
  <c r="CK61" i="77"/>
  <c r="CK67" i="77" s="1"/>
  <c r="CL43" i="48"/>
  <c r="CK78" i="17"/>
  <c r="CK41" i="19" s="1"/>
  <c r="CJ41" i="19"/>
  <c r="CK274" i="18"/>
  <c r="CK244" i="18"/>
  <c r="CK177" i="18"/>
  <c r="CM147" i="18"/>
  <c r="CL47" i="18"/>
  <c r="CO48" i="18"/>
  <c r="CR72" i="77"/>
  <c r="CR220" i="18" s="1"/>
  <c r="CR69" i="77"/>
  <c r="CQ220" i="18"/>
  <c r="CR96" i="77"/>
  <c r="CR115" i="77"/>
  <c r="CS68" i="77"/>
  <c r="CS69" i="77" s="1"/>
  <c r="CM146" i="18"/>
  <c r="CO146" i="18"/>
  <c r="BO106" i="18"/>
  <c r="BN109" i="18"/>
  <c r="BM98" i="18"/>
  <c r="BM252" i="18"/>
  <c r="BM163" i="18"/>
  <c r="CD221" i="18"/>
  <c r="CD222" i="18"/>
  <c r="CJ12" i="48"/>
  <c r="CJ14" i="48"/>
  <c r="CJ15" i="48" s="1"/>
  <c r="CE23" i="48"/>
  <c r="CE53" i="48" s="1"/>
  <c r="CE54" i="48" s="1"/>
  <c r="CK13" i="48"/>
  <c r="CL11" i="48"/>
  <c r="CI19" i="48"/>
  <c r="CG37" i="19"/>
  <c r="CF22" i="48"/>
  <c r="CF23" i="48" s="1"/>
  <c r="CF53" i="48" s="1"/>
  <c r="CF20" i="48"/>
  <c r="CI35" i="19"/>
  <c r="CJ36" i="19"/>
  <c r="CK120" i="16"/>
  <c r="CJ20" i="16"/>
  <c r="CJ176" i="16" s="1"/>
  <c r="CG20" i="16"/>
  <c r="CG176" i="16" s="1"/>
  <c r="CK37" i="17"/>
  <c r="CS63" i="17"/>
  <c r="CS73" i="17" s="1"/>
  <c r="CS37" i="17" s="1"/>
  <c r="CS64" i="17"/>
  <c r="CK121" i="16"/>
  <c r="CK96" i="16"/>
  <c r="CK113" i="16"/>
  <c r="CL32" i="17"/>
  <c r="CM32" i="17" s="1"/>
  <c r="CG36" i="19"/>
  <c r="CF220" i="18"/>
  <c r="CL221" i="18" s="1"/>
  <c r="CL69" i="77"/>
  <c r="CJ101" i="77"/>
  <c r="CP98" i="77" s="1"/>
  <c r="CK250" i="18"/>
  <c r="CK280" i="18"/>
  <c r="CJ263" i="18"/>
  <c r="CL374" i="18"/>
  <c r="CM374" i="18" s="1"/>
  <c r="CL88" i="18"/>
  <c r="CM88" i="18" s="1"/>
  <c r="CM89" i="18"/>
  <c r="CO89" i="18" s="1"/>
  <c r="BF590" i="18"/>
  <c r="BQ388" i="18"/>
  <c r="CC164" i="16"/>
  <c r="CA45" i="16"/>
  <c r="CA164" i="16"/>
  <c r="AZ588" i="18"/>
  <c r="BC178" i="18"/>
  <c r="BB586" i="18"/>
  <c r="BC586" i="18" s="1"/>
  <c r="X602" i="18"/>
  <c r="BH340" i="18"/>
  <c r="BG182" i="18"/>
  <c r="BS336" i="18"/>
  <c r="BS447" i="18" s="1"/>
  <c r="AZ61" i="18"/>
  <c r="AZ111" i="18"/>
  <c r="Q109" i="16"/>
  <c r="R100" i="16"/>
  <c r="R103" i="16" s="1"/>
  <c r="Q103" i="16"/>
  <c r="R102" i="16"/>
  <c r="R97" i="16"/>
  <c r="S97" i="16" s="1"/>
  <c r="S98" i="16" s="1"/>
  <c r="BK116" i="16"/>
  <c r="BK115" i="16"/>
  <c r="CC38" i="17"/>
  <c r="CD32" i="16"/>
  <c r="CC45" i="16"/>
  <c r="CE150" i="19"/>
  <c r="BB430" i="18"/>
  <c r="BB467" i="18" s="1"/>
  <c r="BC467" i="18" s="1"/>
  <c r="BC472" i="18" s="1"/>
  <c r="CF43" i="19"/>
  <c r="CF42" i="19" s="1"/>
  <c r="CF35" i="19"/>
  <c r="CE24" i="17"/>
  <c r="CD24" i="17"/>
  <c r="CD25" i="17"/>
  <c r="CF65" i="77"/>
  <c r="CF62" i="77"/>
  <c r="CF67" i="77"/>
  <c r="CF15" i="18"/>
  <c r="CE65" i="77"/>
  <c r="CE62" i="77"/>
  <c r="CE67" i="77"/>
  <c r="CG61" i="77"/>
  <c r="CE220" i="18"/>
  <c r="CK221" i="18" s="1"/>
  <c r="CG72" i="77"/>
  <c r="CM69" i="77" s="1"/>
  <c r="CD263" i="18"/>
  <c r="CD11" i="19"/>
  <c r="CD14" i="19" s="1"/>
  <c r="CG69" i="77"/>
  <c r="BC446" i="18"/>
  <c r="BA406" i="18"/>
  <c r="BB446" i="18"/>
  <c r="BS179" i="18"/>
  <c r="BS587" i="18" s="1"/>
  <c r="X205" i="18"/>
  <c r="X225" i="18" s="1"/>
  <c r="X265" i="18" s="1"/>
  <c r="X351" i="18"/>
  <c r="BA469" i="18"/>
  <c r="BB361" i="18"/>
  <c r="BC361" i="18" s="1"/>
  <c r="BB153" i="18"/>
  <c r="BE152" i="18"/>
  <c r="BG339" i="18"/>
  <c r="BH183" i="18"/>
  <c r="BW246" i="18"/>
  <c r="BB425" i="18"/>
  <c r="BC425" i="18" s="1"/>
  <c r="BX53" i="18"/>
  <c r="BX246" i="18" s="1"/>
  <c r="BW336" i="18"/>
  <c r="BB371" i="18"/>
  <c r="BC371" i="18" s="1"/>
  <c r="BB414" i="18"/>
  <c r="BC414" i="18" s="1"/>
  <c r="BI340" i="18"/>
  <c r="CD326" i="18"/>
  <c r="CA322" i="18"/>
  <c r="CC322" i="18" s="1"/>
  <c r="CA321" i="18"/>
  <c r="CC321" i="18" s="1"/>
  <c r="BZ334" i="18"/>
  <c r="BA171" i="18"/>
  <c r="CA329" i="18"/>
  <c r="CC329" i="18" s="1"/>
  <c r="CA320" i="18"/>
  <c r="CC320" i="18" s="1"/>
  <c r="CE325" i="18"/>
  <c r="CD327" i="18"/>
  <c r="BA169" i="18"/>
  <c r="BA172" i="18" s="1"/>
  <c r="BY101" i="77"/>
  <c r="CA381" i="18"/>
  <c r="CA445" i="18"/>
  <c r="BB435" i="18"/>
  <c r="BC435" i="18" s="1"/>
  <c r="CD324" i="18"/>
  <c r="CA328" i="18"/>
  <c r="CC328" i="18" s="1"/>
  <c r="BY445" i="18"/>
  <c r="BY381" i="18"/>
  <c r="CF57" i="18"/>
  <c r="CI57" i="18" s="1"/>
  <c r="CE56" i="18"/>
  <c r="BZ54" i="18"/>
  <c r="BY53" i="18"/>
  <c r="BB419" i="18"/>
  <c r="BC419" i="18" s="1"/>
  <c r="BX150" i="18"/>
  <c r="CF79" i="18"/>
  <c r="CG79" i="18" s="1"/>
  <c r="CE364" i="18"/>
  <c r="CC101" i="77"/>
  <c r="CI98" i="77" s="1"/>
  <c r="BS58" i="77"/>
  <c r="BY53" i="77"/>
  <c r="CE22" i="17"/>
  <c r="BA155" i="18"/>
  <c r="BC74" i="18"/>
  <c r="BC259" i="18" s="1"/>
  <c r="BI159" i="18"/>
  <c r="AW193" i="18"/>
  <c r="Y351" i="18"/>
  <c r="DP168" i="18"/>
  <c r="AZ29" i="77"/>
  <c r="AZ43" i="77"/>
  <c r="AB50" i="77"/>
  <c r="AB39" i="77"/>
  <c r="AZ65" i="77"/>
  <c r="AZ67" i="77"/>
  <c r="AZ62" i="77"/>
  <c r="AZ64" i="77"/>
  <c r="BC61" i="77"/>
  <c r="AC22" i="77"/>
  <c r="AD15" i="77"/>
  <c r="AE15" i="77" s="1"/>
  <c r="CY168" i="18"/>
  <c r="BR102" i="18"/>
  <c r="AZ17" i="77"/>
  <c r="BF86" i="77"/>
  <c r="BC87" i="77"/>
  <c r="BI86" i="77" s="1"/>
  <c r="AA50" i="77"/>
  <c r="AA39" i="77"/>
  <c r="AC49" i="77"/>
  <c r="AC21" i="77"/>
  <c r="AZ51" i="17"/>
  <c r="BA48" i="17"/>
  <c r="BA49" i="17" s="1"/>
  <c r="BE51" i="17"/>
  <c r="BF48" i="17"/>
  <c r="BF49" i="17" s="1"/>
  <c r="AV48" i="17"/>
  <c r="AV49" i="17" s="1"/>
  <c r="AV51" i="17" s="1"/>
  <c r="AU51" i="17"/>
  <c r="AO48" i="77"/>
  <c r="AG144" i="18"/>
  <c r="AE144" i="18"/>
  <c r="BE376" i="18"/>
  <c r="AZ397" i="18"/>
  <c r="AZ420" i="18"/>
  <c r="AZ461" i="18"/>
  <c r="AZ256" i="18"/>
  <c r="BA288" i="18"/>
  <c r="AZ257" i="18"/>
  <c r="AZ287" i="18"/>
  <c r="AZ10" i="18"/>
  <c r="BH157" i="18"/>
  <c r="BT179" i="18"/>
  <c r="BT587" i="18" s="1"/>
  <c r="BT336" i="18"/>
  <c r="BA420" i="18"/>
  <c r="BE365" i="18"/>
  <c r="BE367" i="18"/>
  <c r="BE386" i="18" s="1"/>
  <c r="BU336" i="18"/>
  <c r="BF375" i="18"/>
  <c r="BF376" i="18" s="1"/>
  <c r="BF377" i="18"/>
  <c r="BF387" i="18" s="1"/>
  <c r="BO65" i="18"/>
  <c r="BQ65" i="18"/>
  <c r="BR65" i="18" s="1"/>
  <c r="BS65" i="18" s="1"/>
  <c r="BT65" i="18" s="1"/>
  <c r="AA180" i="18"/>
  <c r="AA337" i="18"/>
  <c r="AA345" i="18" s="1"/>
  <c r="AD145" i="18"/>
  <c r="Y243" i="18"/>
  <c r="Y205" i="18"/>
  <c r="Y225" i="18" s="1"/>
  <c r="AJ28" i="18"/>
  <c r="BF148" i="18"/>
  <c r="BF149" i="18" s="1"/>
  <c r="BK183" i="18"/>
  <c r="BK591" i="18" s="1"/>
  <c r="BK340" i="18"/>
  <c r="BG358" i="18"/>
  <c r="BG360" i="18"/>
  <c r="BF362" i="18"/>
  <c r="BR99" i="18"/>
  <c r="BR160" i="18"/>
  <c r="BA397" i="18"/>
  <c r="BA461" i="18"/>
  <c r="BL183" i="18"/>
  <c r="BL591" i="18" s="1"/>
  <c r="BL340" i="18"/>
  <c r="BM159" i="18"/>
  <c r="AW461" i="18"/>
  <c r="AW397" i="18"/>
  <c r="AB169" i="18"/>
  <c r="AC152" i="18"/>
  <c r="AC153" i="18" s="1"/>
  <c r="AC413" i="18"/>
  <c r="AC61" i="18"/>
  <c r="AC414" i="18"/>
  <c r="BE440" i="18"/>
  <c r="BE467" i="18" s="1"/>
  <c r="BE74" i="18"/>
  <c r="BC152" i="18"/>
  <c r="BE413" i="18"/>
  <c r="AW420" i="18"/>
  <c r="W265" i="18"/>
  <c r="AB153" i="18"/>
  <c r="BB72" i="18"/>
  <c r="BB69" i="18"/>
  <c r="AZ448" i="18"/>
  <c r="AZ384" i="18"/>
  <c r="AZ181" i="18"/>
  <c r="AZ338" i="18"/>
  <c r="BA278" i="18"/>
  <c r="BA248" i="18"/>
  <c r="BA59" i="18"/>
  <c r="BB408" i="18"/>
  <c r="BB404" i="18"/>
  <c r="BC403" i="18"/>
  <c r="BA180" i="18"/>
  <c r="BA337" i="18"/>
  <c r="BU151" i="18"/>
  <c r="BH368" i="18"/>
  <c r="BH370" i="18"/>
  <c r="BI370" i="18" s="1"/>
  <c r="BG373" i="18"/>
  <c r="BA462" i="18"/>
  <c r="BA398" i="18"/>
  <c r="CL61" i="77" l="1"/>
  <c r="CL65" i="77" s="1"/>
  <c r="CO84" i="77"/>
  <c r="CM84" i="77"/>
  <c r="CP73" i="77"/>
  <c r="CP84" i="77" s="1"/>
  <c r="CP66" i="77"/>
  <c r="CL84" i="77"/>
  <c r="CK65" i="77"/>
  <c r="CK62" i="77"/>
  <c r="CO43" i="48"/>
  <c r="CM57" i="17"/>
  <c r="CM78" i="17" s="1"/>
  <c r="CL78" i="17"/>
  <c r="CL76" i="17" s="1"/>
  <c r="CK76" i="17"/>
  <c r="CK36" i="19" s="1"/>
  <c r="CF222" i="18"/>
  <c r="CL244" i="18"/>
  <c r="CL274" i="18"/>
  <c r="CM47" i="18"/>
  <c r="CS72" i="77"/>
  <c r="CK585" i="18"/>
  <c r="CM585" i="18" s="1"/>
  <c r="CM177" i="18"/>
  <c r="CM190" i="18" s="1"/>
  <c r="CP48" i="18"/>
  <c r="CO47" i="18"/>
  <c r="CQ222" i="18"/>
  <c r="CQ221" i="18"/>
  <c r="CS220" i="18"/>
  <c r="CS221" i="18" s="1"/>
  <c r="CO147" i="18"/>
  <c r="CP146" i="18"/>
  <c r="CP147" i="18" s="1"/>
  <c r="CP177" i="18" s="1"/>
  <c r="CP585" i="18" s="1"/>
  <c r="CR221" i="18"/>
  <c r="CR222" i="18"/>
  <c r="CS65" i="17"/>
  <c r="BN108" i="18"/>
  <c r="DV58" i="18"/>
  <c r="DV59" i="18" s="1"/>
  <c r="DV62" i="18" s="1"/>
  <c r="BO109" i="18"/>
  <c r="BO258" i="18" s="1"/>
  <c r="BN162" i="18"/>
  <c r="BN105" i="18"/>
  <c r="BM342" i="18"/>
  <c r="BM185" i="18"/>
  <c r="CM11" i="48"/>
  <c r="CL13" i="48"/>
  <c r="CG22" i="48"/>
  <c r="CG52" i="48" s="1"/>
  <c r="CF52" i="48"/>
  <c r="CF54" i="48" s="1"/>
  <c r="CG54" i="48" s="1"/>
  <c r="CK12" i="48"/>
  <c r="CK14" i="48"/>
  <c r="CK15" i="48" s="1"/>
  <c r="CJ19" i="48"/>
  <c r="CJ56" i="48" s="1"/>
  <c r="CI21" i="48"/>
  <c r="CI37" i="19"/>
  <c r="CI43" i="19" s="1"/>
  <c r="CI42" i="19" s="1"/>
  <c r="CI56" i="48"/>
  <c r="CG20" i="48"/>
  <c r="CG21" i="48" s="1"/>
  <c r="CF57" i="48"/>
  <c r="CJ35" i="19"/>
  <c r="CL113" i="16"/>
  <c r="CM113" i="16" s="1"/>
  <c r="CL121" i="16"/>
  <c r="CM121" i="16" s="1"/>
  <c r="CM123" i="16" s="1"/>
  <c r="CO120" i="16" s="1"/>
  <c r="CL96" i="16"/>
  <c r="CM96" i="16" s="1"/>
  <c r="CO32" i="17"/>
  <c r="CO37" i="17"/>
  <c r="CL37" i="17"/>
  <c r="CK123" i="16"/>
  <c r="CP101" i="77"/>
  <c r="CO62" i="77"/>
  <c r="CO67" i="77"/>
  <c r="CO65" i="77"/>
  <c r="CQ73" i="77"/>
  <c r="CR75" i="77"/>
  <c r="CQ66" i="77"/>
  <c r="CI101" i="77"/>
  <c r="CO98" i="77" s="1"/>
  <c r="CF221" i="18"/>
  <c r="CO374" i="18"/>
  <c r="CP89" i="18"/>
  <c r="CO88" i="18"/>
  <c r="CI56" i="18"/>
  <c r="CJ57" i="18"/>
  <c r="CG80" i="18"/>
  <c r="CI80" i="18" s="1"/>
  <c r="CJ80" i="18" s="1"/>
  <c r="CK80" i="18" s="1"/>
  <c r="CL80" i="18" s="1"/>
  <c r="CI79" i="18"/>
  <c r="CM250" i="18"/>
  <c r="CL250" i="18"/>
  <c r="CL280" i="18"/>
  <c r="CL263" i="18"/>
  <c r="BG590" i="18"/>
  <c r="AZ589" i="18"/>
  <c r="CD45" i="16"/>
  <c r="CD164" i="16"/>
  <c r="BB154" i="18"/>
  <c r="BE154" i="18" s="1"/>
  <c r="BS383" i="18"/>
  <c r="BC191" i="18"/>
  <c r="AA588" i="18"/>
  <c r="BA588" i="18"/>
  <c r="BU587" i="18"/>
  <c r="BI183" i="18"/>
  <c r="BI196" i="18" s="1"/>
  <c r="BH591" i="18"/>
  <c r="BI591" i="18" s="1"/>
  <c r="BA338" i="18"/>
  <c r="BA449" i="18" s="1"/>
  <c r="BB337" i="18"/>
  <c r="BB448" i="18" s="1"/>
  <c r="BA61" i="18"/>
  <c r="BA111" i="18"/>
  <c r="Y93" i="16"/>
  <c r="Y102" i="16" s="1"/>
  <c r="S108" i="16"/>
  <c r="U93" i="16"/>
  <c r="S103" i="16"/>
  <c r="S104" i="16" s="1"/>
  <c r="CE29" i="16"/>
  <c r="CE32" i="16"/>
  <c r="CF150" i="19"/>
  <c r="CG150" i="19" s="1"/>
  <c r="CD38" i="17"/>
  <c r="CG35" i="19"/>
  <c r="BC468" i="18"/>
  <c r="BC469" i="18" s="1"/>
  <c r="BB468" i="18"/>
  <c r="BB470" i="18" s="1"/>
  <c r="BB472" i="18"/>
  <c r="CG42" i="19"/>
  <c r="CG43" i="19"/>
  <c r="BA181" i="18"/>
  <c r="CG67" i="77"/>
  <c r="CF24" i="17"/>
  <c r="CG24" i="17" s="1"/>
  <c r="CE25" i="17"/>
  <c r="CE221" i="18"/>
  <c r="CE222" i="18"/>
  <c r="CE15" i="18"/>
  <c r="CG220" i="18"/>
  <c r="CM221" i="18" s="1"/>
  <c r="CF11" i="19"/>
  <c r="CF14" i="19" s="1"/>
  <c r="CF263" i="18"/>
  <c r="CG65" i="77"/>
  <c r="CG62" i="77"/>
  <c r="CF56" i="18"/>
  <c r="CG56" i="18" s="1"/>
  <c r="CG57" i="18"/>
  <c r="BU179" i="18"/>
  <c r="BC153" i="18"/>
  <c r="BB180" i="18"/>
  <c r="BC337" i="18"/>
  <c r="BC448" i="18" s="1"/>
  <c r="BS103" i="18"/>
  <c r="DY57" i="18" s="1"/>
  <c r="DQ168" i="18"/>
  <c r="BX276" i="18"/>
  <c r="BW179" i="18"/>
  <c r="BW587" i="18" s="1"/>
  <c r="BX151" i="18"/>
  <c r="CE326" i="18"/>
  <c r="CD328" i="18"/>
  <c r="BY150" i="18"/>
  <c r="CE98" i="77"/>
  <c r="CD320" i="18"/>
  <c r="BZ445" i="18"/>
  <c r="BZ381" i="18"/>
  <c r="CD321" i="18"/>
  <c r="CC334" i="18"/>
  <c r="CE324" i="18"/>
  <c r="BW447" i="18"/>
  <c r="BW383" i="18"/>
  <c r="BU65" i="18"/>
  <c r="BW65" i="18"/>
  <c r="BX65" i="18" s="1"/>
  <c r="BY65" i="18" s="1"/>
  <c r="BZ65" i="18" s="1"/>
  <c r="CF364" i="18"/>
  <c r="CG364" i="18" s="1"/>
  <c r="CF325" i="18"/>
  <c r="BY246" i="18"/>
  <c r="BY276" i="18"/>
  <c r="CD329" i="18"/>
  <c r="CE327" i="18"/>
  <c r="CD322" i="18"/>
  <c r="BZ53" i="18"/>
  <c r="CA53" i="18" s="1"/>
  <c r="BY57" i="77"/>
  <c r="BY103" i="77"/>
  <c r="AD20" i="77"/>
  <c r="AD21" i="77" s="1"/>
  <c r="AD22" i="77"/>
  <c r="BF62" i="77"/>
  <c r="BC67" i="77"/>
  <c r="AZ44" i="77"/>
  <c r="AZ30" i="77"/>
  <c r="AZ112" i="77"/>
  <c r="BC69" i="18"/>
  <c r="BC59" i="18" s="1"/>
  <c r="BB14" i="77"/>
  <c r="CZ168" i="18"/>
  <c r="AC50" i="77"/>
  <c r="AC39" i="77"/>
  <c r="AA42" i="77"/>
  <c r="AA40" i="77"/>
  <c r="AA41" i="77"/>
  <c r="AG15" i="77"/>
  <c r="AG20" i="77" s="1"/>
  <c r="AE22" i="77"/>
  <c r="AE33" i="77"/>
  <c r="AG33" i="77" s="1"/>
  <c r="AH33" i="77" s="1"/>
  <c r="AI33" i="77" s="1"/>
  <c r="AJ33" i="77" s="1"/>
  <c r="AK33" i="77" s="1"/>
  <c r="AM33" i="77" s="1"/>
  <c r="AE20" i="77"/>
  <c r="AE21" i="77" s="1"/>
  <c r="BC65" i="77"/>
  <c r="BC62" i="77"/>
  <c r="BC64" i="77"/>
  <c r="AB42" i="77"/>
  <c r="AB41" i="77"/>
  <c r="AB40" i="77"/>
  <c r="BF51" i="17"/>
  <c r="BG48" i="17"/>
  <c r="BA51" i="17"/>
  <c r="BB48" i="17"/>
  <c r="BB49" i="17" s="1"/>
  <c r="BB51" i="17" s="1"/>
  <c r="AP48" i="77"/>
  <c r="BA448" i="18"/>
  <c r="BA384" i="18"/>
  <c r="BF178" i="18"/>
  <c r="BF335" i="18"/>
  <c r="AA347" i="18"/>
  <c r="DC322" i="18" s="1"/>
  <c r="AA348" i="18"/>
  <c r="AA346" i="18"/>
  <c r="AB180" i="18"/>
  <c r="AB337" i="18"/>
  <c r="AB345" i="18" s="1"/>
  <c r="AK28" i="18"/>
  <c r="AM28" i="18"/>
  <c r="AC169" i="18"/>
  <c r="AD152" i="18"/>
  <c r="AD413" i="18"/>
  <c r="AE413" i="18" s="1"/>
  <c r="AD414" i="18"/>
  <c r="AE414" i="18" s="1"/>
  <c r="AD61" i="18"/>
  <c r="AE61" i="18" s="1"/>
  <c r="BR161" i="18"/>
  <c r="BE366" i="18"/>
  <c r="BE403" i="18" s="1"/>
  <c r="AH144" i="18"/>
  <c r="AH145" i="18" s="1"/>
  <c r="AG145" i="18"/>
  <c r="BB405" i="18"/>
  <c r="BB406" i="18"/>
  <c r="BH373" i="18"/>
  <c r="BI377" i="18" s="1"/>
  <c r="BI387" i="18" s="1"/>
  <c r="BI368" i="18"/>
  <c r="BO158" i="18"/>
  <c r="AC180" i="18"/>
  <c r="AC337" i="18"/>
  <c r="AC345" i="18" s="1"/>
  <c r="BH182" i="18"/>
  <c r="BH339" i="18"/>
  <c r="BI339" i="18"/>
  <c r="BI157" i="18"/>
  <c r="AE145" i="18"/>
  <c r="BE72" i="18"/>
  <c r="BE69" i="18"/>
  <c r="BE468" i="18"/>
  <c r="BE472" i="18"/>
  <c r="BE178" i="18"/>
  <c r="BE335" i="18"/>
  <c r="BG377" i="18"/>
  <c r="BG387" i="18" s="1"/>
  <c r="BG375" i="18"/>
  <c r="BG376" i="18" s="1"/>
  <c r="BC408" i="18"/>
  <c r="BC404" i="18"/>
  <c r="BB248" i="18"/>
  <c r="BB59" i="18"/>
  <c r="BH360" i="18"/>
  <c r="BI360" i="18" s="1"/>
  <c r="BG362" i="18"/>
  <c r="BH358" i="18"/>
  <c r="AD176" i="18"/>
  <c r="AD584" i="18" s="1"/>
  <c r="AD333" i="18"/>
  <c r="AE333" i="18"/>
  <c r="BF365" i="18"/>
  <c r="BF366" i="18" s="1"/>
  <c r="BF403" i="18" s="1"/>
  <c r="BF367" i="18"/>
  <c r="BF386" i="18" s="1"/>
  <c r="BB415" i="18"/>
  <c r="DN53" i="18"/>
  <c r="DN56" i="18" s="1"/>
  <c r="BB60" i="18"/>
  <c r="BC72" i="18"/>
  <c r="BB73" i="18"/>
  <c r="BC73" i="18" s="1"/>
  <c r="BM183" i="18"/>
  <c r="BM591" i="18" s="1"/>
  <c r="BM340" i="18"/>
  <c r="BG148" i="18"/>
  <c r="BU447" i="18"/>
  <c r="BU383" i="18"/>
  <c r="BT447" i="18"/>
  <c r="BT383" i="18"/>
  <c r="BA283" i="18"/>
  <c r="BA43" i="18"/>
  <c r="BA253" i="18"/>
  <c r="AZ449" i="18"/>
  <c r="AZ385" i="18"/>
  <c r="AJ29" i="18"/>
  <c r="AA174" i="18"/>
  <c r="AA604" i="18" s="1"/>
  <c r="CM61" i="77" l="1"/>
  <c r="CM65" i="77" s="1"/>
  <c r="CL62" i="77"/>
  <c r="CL67" i="77"/>
  <c r="CM67" i="77" s="1"/>
  <c r="CP61" i="77"/>
  <c r="CP67" i="77" s="1"/>
  <c r="CO78" i="17"/>
  <c r="CO76" i="17" s="1"/>
  <c r="CP43" i="48"/>
  <c r="CM43" i="48"/>
  <c r="CL41" i="19"/>
  <c r="CQ146" i="18"/>
  <c r="CQ147" i="18" s="1"/>
  <c r="CQ48" i="18"/>
  <c r="CP47" i="18"/>
  <c r="CO177" i="18"/>
  <c r="BE419" i="18"/>
  <c r="BE361" i="18"/>
  <c r="CM48" i="18"/>
  <c r="CM274" i="18"/>
  <c r="CM244" i="18"/>
  <c r="CK263" i="18"/>
  <c r="CS222" i="18"/>
  <c r="CG222" i="18"/>
  <c r="CO244" i="18"/>
  <c r="CO274" i="18"/>
  <c r="BM453" i="18"/>
  <c r="BM389" i="18"/>
  <c r="BO105" i="18"/>
  <c r="BN252" i="18"/>
  <c r="BO162" i="18"/>
  <c r="BN163" i="18"/>
  <c r="BM593" i="18"/>
  <c r="BO108" i="18"/>
  <c r="BO98" i="18" s="1"/>
  <c r="BQ109" i="18"/>
  <c r="BN98" i="18"/>
  <c r="CM76" i="17"/>
  <c r="CM41" i="19"/>
  <c r="CI20" i="48"/>
  <c r="CI57" i="48" s="1"/>
  <c r="CI22" i="48"/>
  <c r="CI52" i="48" s="1"/>
  <c r="CL12" i="48"/>
  <c r="CL14" i="48"/>
  <c r="CG57" i="48"/>
  <c r="CG58" i="48" s="1"/>
  <c r="CF58" i="48"/>
  <c r="CK19" i="48"/>
  <c r="CK56" i="48" s="1"/>
  <c r="CJ21" i="48"/>
  <c r="CJ37" i="19"/>
  <c r="CJ43" i="19" s="1"/>
  <c r="CJ42" i="19" s="1"/>
  <c r="CO11" i="48"/>
  <c r="CF29" i="16"/>
  <c r="CG29" i="16" s="1"/>
  <c r="CG23" i="48"/>
  <c r="CG53" i="48" s="1"/>
  <c r="CI150" i="19"/>
  <c r="CK35" i="19"/>
  <c r="CL36" i="19"/>
  <c r="CL120" i="16"/>
  <c r="CL123" i="16" s="1"/>
  <c r="CK20" i="16"/>
  <c r="CK176" i="16" s="1"/>
  <c r="CP37" i="17"/>
  <c r="CQ37" i="17" s="1"/>
  <c r="CP32" i="17"/>
  <c r="CO121" i="16"/>
  <c r="CO96" i="16"/>
  <c r="CO113" i="16"/>
  <c r="CO101" i="77"/>
  <c r="CR73" i="77"/>
  <c r="CS73" i="77" s="1"/>
  <c r="CR66" i="77"/>
  <c r="CS75" i="77"/>
  <c r="CS66" i="77" s="1"/>
  <c r="CQ84" i="77"/>
  <c r="CQ61" i="77"/>
  <c r="CO280" i="18"/>
  <c r="CO250" i="18"/>
  <c r="CP374" i="18"/>
  <c r="CQ89" i="18"/>
  <c r="CP88" i="18"/>
  <c r="CI364" i="18"/>
  <c r="CJ79" i="18"/>
  <c r="CK57" i="18"/>
  <c r="CJ56" i="18"/>
  <c r="BA589" i="18"/>
  <c r="BH590" i="18"/>
  <c r="BI590" i="18" s="1"/>
  <c r="AB588" i="18"/>
  <c r="AB596" i="18" s="1"/>
  <c r="AB597" i="18" s="1"/>
  <c r="AC588" i="18"/>
  <c r="AC596" i="18" s="1"/>
  <c r="AC597" i="18" s="1"/>
  <c r="BA385" i="18"/>
  <c r="BB384" i="18"/>
  <c r="BE371" i="18"/>
  <c r="BB398" i="18"/>
  <c r="BC398" i="18" s="1"/>
  <c r="BB169" i="18"/>
  <c r="BB172" i="18" s="1"/>
  <c r="BE435" i="18"/>
  <c r="BI435" i="18" s="1"/>
  <c r="BE414" i="18"/>
  <c r="BB155" i="18"/>
  <c r="BC155" i="18" s="1"/>
  <c r="BC154" i="18"/>
  <c r="BC171" i="18" s="1"/>
  <c r="BB462" i="18"/>
  <c r="BC462" i="18" s="1"/>
  <c r="BE425" i="18"/>
  <c r="BI425" i="18" s="1"/>
  <c r="BB171" i="18"/>
  <c r="CE164" i="16"/>
  <c r="BB588" i="18"/>
  <c r="BC588" i="18" s="1"/>
  <c r="BF586" i="18"/>
  <c r="AE584" i="18"/>
  <c r="BE586" i="18"/>
  <c r="AA596" i="18"/>
  <c r="BX179" i="18"/>
  <c r="BX587" i="18" s="1"/>
  <c r="BC470" i="18"/>
  <c r="CE38" i="17"/>
  <c r="Y100" i="16"/>
  <c r="S109" i="16"/>
  <c r="U100" i="16"/>
  <c r="U98" i="16"/>
  <c r="U102" i="16"/>
  <c r="CE45" i="16"/>
  <c r="CF32" i="16"/>
  <c r="BB469" i="18"/>
  <c r="CF292" i="18"/>
  <c r="BU192" i="18"/>
  <c r="CF25" i="17"/>
  <c r="CG25" i="17" s="1"/>
  <c r="CG221" i="18"/>
  <c r="CE263" i="18"/>
  <c r="CE11" i="19"/>
  <c r="CE292" i="18"/>
  <c r="BC180" i="18"/>
  <c r="BC193" i="18" s="1"/>
  <c r="BC384" i="18"/>
  <c r="BS160" i="18"/>
  <c r="BS99" i="18"/>
  <c r="BS102" i="18"/>
  <c r="BX336" i="18"/>
  <c r="BX447" i="18" s="1"/>
  <c r="CA54" i="18"/>
  <c r="CC54" i="18" s="1"/>
  <c r="CA246" i="18"/>
  <c r="CG325" i="18"/>
  <c r="CI325" i="18" s="1"/>
  <c r="CJ325" i="18" s="1"/>
  <c r="CK325" i="18" s="1"/>
  <c r="CL325" i="18" s="1"/>
  <c r="CM325" i="18" s="1"/>
  <c r="CO325" i="18" s="1"/>
  <c r="CP325" i="18" s="1"/>
  <c r="CQ325" i="18" s="1"/>
  <c r="CR325" i="18" s="1"/>
  <c r="CS325" i="18" s="1"/>
  <c r="BZ150" i="18"/>
  <c r="CC150" i="18" s="1"/>
  <c r="CC151" i="18" s="1"/>
  <c r="BZ276" i="18"/>
  <c r="BZ246" i="18"/>
  <c r="CF326" i="18"/>
  <c r="CF327" i="18"/>
  <c r="CA65" i="18"/>
  <c r="CC65" i="18"/>
  <c r="CD65" i="18" s="1"/>
  <c r="CE65" i="18" s="1"/>
  <c r="CF65" i="18" s="1"/>
  <c r="AD49" i="77"/>
  <c r="AE49" i="77" s="1"/>
  <c r="AE50" i="77" s="1"/>
  <c r="CE320" i="18"/>
  <c r="CE322" i="18"/>
  <c r="CC445" i="18"/>
  <c r="CC381" i="18"/>
  <c r="CF324" i="18"/>
  <c r="CE321" i="18"/>
  <c r="CD334" i="18"/>
  <c r="CE101" i="77"/>
  <c r="CK98" i="77" s="1"/>
  <c r="CE328" i="18"/>
  <c r="CE329" i="18"/>
  <c r="CG323" i="18"/>
  <c r="CI323" i="18" s="1"/>
  <c r="CJ323" i="18" s="1"/>
  <c r="CK323" i="18" s="1"/>
  <c r="CL323" i="18" s="1"/>
  <c r="CM323" i="18" s="1"/>
  <c r="CO323" i="18" s="1"/>
  <c r="CP323" i="18" s="1"/>
  <c r="CQ323" i="18" s="1"/>
  <c r="CR323" i="18" s="1"/>
  <c r="CS323" i="18" s="1"/>
  <c r="BY151" i="18"/>
  <c r="BY58" i="77"/>
  <c r="CE53" i="77"/>
  <c r="CF22" i="17"/>
  <c r="AG22" i="77"/>
  <c r="AE116" i="77"/>
  <c r="AG116" i="77" s="1"/>
  <c r="AH116" i="77" s="1"/>
  <c r="AI116" i="77" s="1"/>
  <c r="AJ116" i="77" s="1"/>
  <c r="AK116" i="77" s="1"/>
  <c r="AM116" i="77" s="1"/>
  <c r="AN116" i="77" s="1"/>
  <c r="AO116" i="77" s="1"/>
  <c r="AP116" i="77" s="1"/>
  <c r="AQ116" i="77" s="1"/>
  <c r="AS116" i="77" s="1"/>
  <c r="AT116" i="77" s="1"/>
  <c r="AU116" i="77" s="1"/>
  <c r="AV116" i="77" s="1"/>
  <c r="AW116" i="77" s="1"/>
  <c r="AY116" i="77" s="1"/>
  <c r="AZ116" i="77" s="1"/>
  <c r="BA116" i="77" s="1"/>
  <c r="BC60" i="18"/>
  <c r="BC14" i="77"/>
  <c r="AC174" i="18"/>
  <c r="AC41" i="77"/>
  <c r="AC40" i="77"/>
  <c r="AC42" i="77"/>
  <c r="BB45" i="77"/>
  <c r="BB18" i="77"/>
  <c r="BB47" i="77"/>
  <c r="BB114" i="77"/>
  <c r="BC114" i="77" s="1"/>
  <c r="BB31" i="77"/>
  <c r="BC31" i="77" s="1"/>
  <c r="BB94" i="77"/>
  <c r="BB16" i="77"/>
  <c r="BE14" i="77"/>
  <c r="BC248" i="18"/>
  <c r="DA168" i="18"/>
  <c r="AB174" i="18"/>
  <c r="AG49" i="77"/>
  <c r="AG34" i="77"/>
  <c r="AG21" i="77"/>
  <c r="AE95" i="77"/>
  <c r="AH15" i="77"/>
  <c r="AH20" i="77" s="1"/>
  <c r="AZ113" i="77"/>
  <c r="BI62" i="77"/>
  <c r="AQ48" i="77"/>
  <c r="AS48" i="77" s="1"/>
  <c r="AN33" i="77"/>
  <c r="BF408" i="18"/>
  <c r="AH176" i="18"/>
  <c r="AH584" i="18" s="1"/>
  <c r="AH333" i="18"/>
  <c r="BE408" i="18"/>
  <c r="BE404" i="18"/>
  <c r="AJ30" i="18"/>
  <c r="AK30" i="18" s="1"/>
  <c r="AK29" i="18"/>
  <c r="BC253" i="18"/>
  <c r="BC43" i="18"/>
  <c r="BH148" i="18"/>
  <c r="BI358" i="18"/>
  <c r="BH362" i="18"/>
  <c r="BI182" i="18"/>
  <c r="BH375" i="18"/>
  <c r="BH377" i="18"/>
  <c r="BH387" i="18" s="1"/>
  <c r="BR184" i="18"/>
  <c r="BR592" i="18" s="1"/>
  <c r="BR341" i="18"/>
  <c r="AA291" i="18"/>
  <c r="AA260" i="18"/>
  <c r="AA602" i="18" s="1"/>
  <c r="AA353" i="18"/>
  <c r="AA354" i="18" s="1"/>
  <c r="CY353" i="18" s="1"/>
  <c r="AA12" i="18"/>
  <c r="AA201" i="18"/>
  <c r="BB416" i="18"/>
  <c r="BC416" i="18" s="1"/>
  <c r="BB417" i="18"/>
  <c r="BC415" i="18"/>
  <c r="BG367" i="18"/>
  <c r="BG386" i="18" s="1"/>
  <c r="BG365" i="18"/>
  <c r="BG366" i="18" s="1"/>
  <c r="BG403" i="18" s="1"/>
  <c r="BE470" i="18"/>
  <c r="BE469" i="18"/>
  <c r="BE248" i="18"/>
  <c r="BE59" i="18"/>
  <c r="BE283" i="18" s="1"/>
  <c r="AI144" i="18"/>
  <c r="AB347" i="18"/>
  <c r="AB346" i="18"/>
  <c r="AB348" i="18"/>
  <c r="BE415" i="18"/>
  <c r="DO53" i="18"/>
  <c r="DO56" i="18" s="1"/>
  <c r="BE60" i="18"/>
  <c r="BR158" i="18"/>
  <c r="BQ159" i="18"/>
  <c r="BF433" i="18"/>
  <c r="BF423" i="18"/>
  <c r="BF361" i="18"/>
  <c r="BF371" i="18"/>
  <c r="BE169" i="18"/>
  <c r="BE172" i="18" s="1"/>
  <c r="BE111" i="18" s="1"/>
  <c r="BF152" i="18"/>
  <c r="BE153" i="18"/>
  <c r="BF74" i="18"/>
  <c r="BF419" i="18"/>
  <c r="BF414" i="18"/>
  <c r="BF413" i="18"/>
  <c r="BE171" i="18"/>
  <c r="BA287" i="18"/>
  <c r="BA256" i="18"/>
  <c r="BA257" i="18"/>
  <c r="BB288" i="18"/>
  <c r="BA10" i="18"/>
  <c r="BB283" i="18"/>
  <c r="BB253" i="18"/>
  <c r="BB43" i="18"/>
  <c r="BE446" i="18"/>
  <c r="BE382" i="18"/>
  <c r="AC346" i="18"/>
  <c r="AC347" i="18"/>
  <c r="AC348" i="18"/>
  <c r="BN159" i="18"/>
  <c r="AE152" i="18"/>
  <c r="AD169" i="18"/>
  <c r="AG152" i="18"/>
  <c r="AG419" i="18"/>
  <c r="AG413" i="18"/>
  <c r="AG414" i="18"/>
  <c r="AM29" i="18"/>
  <c r="AN28" i="18"/>
  <c r="AN29" i="18" s="1"/>
  <c r="AN30" i="18" s="1"/>
  <c r="BF446" i="18"/>
  <c r="BF382" i="18"/>
  <c r="BE73" i="18"/>
  <c r="BC406" i="18"/>
  <c r="BC405" i="18"/>
  <c r="BG149" i="18"/>
  <c r="AE176" i="18"/>
  <c r="BF154" i="18"/>
  <c r="BF155" i="18" s="1"/>
  <c r="BE155" i="18"/>
  <c r="BE462" i="18"/>
  <c r="BE398" i="18"/>
  <c r="BK370" i="18"/>
  <c r="BI373" i="18"/>
  <c r="BK368" i="18"/>
  <c r="AG176" i="18"/>
  <c r="AG584" i="18" s="1"/>
  <c r="AG333" i="18"/>
  <c r="AD153" i="18"/>
  <c r="CM62" i="77" l="1"/>
  <c r="CP62" i="77"/>
  <c r="CP65" i="77"/>
  <c r="CQ43" i="48"/>
  <c r="CP78" i="17"/>
  <c r="CP76" i="17" s="1"/>
  <c r="CO41" i="19"/>
  <c r="CO585" i="18"/>
  <c r="CP244" i="18"/>
  <c r="CP274" i="18"/>
  <c r="CR48" i="18"/>
  <c r="CR47" i="18" s="1"/>
  <c r="CQ47" i="18"/>
  <c r="CR146" i="18"/>
  <c r="CS146" i="18" s="1"/>
  <c r="CQ177" i="18"/>
  <c r="CQ585" i="18" s="1"/>
  <c r="DW58" i="18"/>
  <c r="DW59" i="18" s="1"/>
  <c r="BQ105" i="18"/>
  <c r="BO252" i="18"/>
  <c r="BQ108" i="18"/>
  <c r="BN342" i="18"/>
  <c r="BN185" i="18"/>
  <c r="BO163" i="18"/>
  <c r="BO342" i="18"/>
  <c r="BQ162" i="18"/>
  <c r="CG65" i="18"/>
  <c r="CI65" i="18"/>
  <c r="CJ65" i="18" s="1"/>
  <c r="CK65" i="18" s="1"/>
  <c r="CL65" i="18" s="1"/>
  <c r="CS84" i="77"/>
  <c r="CI29" i="16"/>
  <c r="CL19" i="48"/>
  <c r="CK21" i="48"/>
  <c r="CK37" i="19"/>
  <c r="CK43" i="19" s="1"/>
  <c r="CK42" i="19" s="1"/>
  <c r="CM12" i="48"/>
  <c r="CM13" i="48" s="1"/>
  <c r="CJ20" i="48"/>
  <c r="CJ57" i="48" s="1"/>
  <c r="CJ58" i="48" s="1"/>
  <c r="CJ22" i="48"/>
  <c r="CJ52" i="48" s="1"/>
  <c r="CI58" i="48"/>
  <c r="CM14" i="48"/>
  <c r="CI23" i="48"/>
  <c r="CI53" i="48" s="1"/>
  <c r="CI32" i="16" s="1"/>
  <c r="CP11" i="48"/>
  <c r="CO13" i="48"/>
  <c r="CL15" i="48"/>
  <c r="CL35" i="19"/>
  <c r="CM35" i="19" s="1"/>
  <c r="CO36" i="19"/>
  <c r="CJ150" i="19"/>
  <c r="CM36" i="19"/>
  <c r="CQ32" i="17"/>
  <c r="CP121" i="16"/>
  <c r="CP96" i="16"/>
  <c r="CP113" i="16"/>
  <c r="CL20" i="16"/>
  <c r="CS120" i="16"/>
  <c r="CR37" i="17"/>
  <c r="CO123" i="16"/>
  <c r="CQ67" i="77"/>
  <c r="CQ62" i="77"/>
  <c r="CQ65" i="77"/>
  <c r="CR84" i="77"/>
  <c r="CR61" i="77"/>
  <c r="CS61" i="77" s="1"/>
  <c r="CK101" i="77"/>
  <c r="CQ98" i="77" s="1"/>
  <c r="CP280" i="18"/>
  <c r="CP250" i="18"/>
  <c r="CQ374" i="18"/>
  <c r="CR89" i="18"/>
  <c r="CQ88" i="18"/>
  <c r="CL57" i="18"/>
  <c r="CO57" i="18" s="1"/>
  <c r="CK56" i="18"/>
  <c r="CK79" i="18"/>
  <c r="CJ364" i="18"/>
  <c r="AC598" i="18"/>
  <c r="AC599" i="18"/>
  <c r="DI590" i="18" s="1"/>
  <c r="AB599" i="18"/>
  <c r="DH590" i="18" s="1"/>
  <c r="AB598" i="18"/>
  <c r="DR168" i="18"/>
  <c r="BB181" i="18"/>
  <c r="BC181" i="18" s="1"/>
  <c r="BC194" i="18" s="1"/>
  <c r="BB61" i="18"/>
  <c r="BB111" i="18"/>
  <c r="BC338" i="18"/>
  <c r="BC449" i="18" s="1"/>
  <c r="BC169" i="18"/>
  <c r="BC172" i="18" s="1"/>
  <c r="BC61" i="18" s="1"/>
  <c r="BB338" i="18"/>
  <c r="BB385" i="18" s="1"/>
  <c r="CF38" i="17"/>
  <c r="CF164" i="16"/>
  <c r="AA597" i="18"/>
  <c r="AA599" i="18"/>
  <c r="DG590" i="18" s="1"/>
  <c r="AA598" i="18"/>
  <c r="AA605" i="18"/>
  <c r="BS161" i="18"/>
  <c r="BS184" i="18" s="1"/>
  <c r="BS592" i="18" s="1"/>
  <c r="AB353" i="18"/>
  <c r="AB354" i="18" s="1"/>
  <c r="CZ353" i="18" s="1"/>
  <c r="AB604" i="18"/>
  <c r="AB605" i="18" s="1"/>
  <c r="AC353" i="18"/>
  <c r="AC354" i="18" s="1"/>
  <c r="DA353" i="18" s="1"/>
  <c r="AC604" i="18"/>
  <c r="AC605" i="18" s="1"/>
  <c r="U108" i="16"/>
  <c r="U104" i="16"/>
  <c r="V93" i="16"/>
  <c r="CG32" i="16"/>
  <c r="CF45" i="16"/>
  <c r="CE14" i="19"/>
  <c r="BE61" i="18"/>
  <c r="BT103" i="18"/>
  <c r="DZ57" i="18" s="1"/>
  <c r="BE288" i="18"/>
  <c r="BX383" i="18"/>
  <c r="BR159" i="18"/>
  <c r="BZ151" i="18"/>
  <c r="AB291" i="18"/>
  <c r="AC12" i="18"/>
  <c r="AC291" i="18"/>
  <c r="CA150" i="18"/>
  <c r="AB12" i="18"/>
  <c r="AD50" i="77"/>
  <c r="AD39" i="77"/>
  <c r="AE39" i="77" s="1"/>
  <c r="AE41" i="77" s="1"/>
  <c r="BY336" i="18"/>
  <c r="BY179" i="18"/>
  <c r="BY587" i="18" s="1"/>
  <c r="CF320" i="18"/>
  <c r="CG326" i="18"/>
  <c r="CI326" i="18" s="1"/>
  <c r="CJ326" i="18" s="1"/>
  <c r="CK326" i="18" s="1"/>
  <c r="CL326" i="18" s="1"/>
  <c r="CM326" i="18" s="1"/>
  <c r="CO326" i="18" s="1"/>
  <c r="CP326" i="18" s="1"/>
  <c r="CQ326" i="18" s="1"/>
  <c r="CR326" i="18" s="1"/>
  <c r="CS326" i="18" s="1"/>
  <c r="CD381" i="18"/>
  <c r="CD445" i="18"/>
  <c r="CF321" i="18"/>
  <c r="CE334" i="18"/>
  <c r="CC53" i="18"/>
  <c r="CD54" i="18"/>
  <c r="CF329" i="18"/>
  <c r="CF328" i="18"/>
  <c r="CG327" i="18"/>
  <c r="CI327" i="18" s="1"/>
  <c r="CJ327" i="18" s="1"/>
  <c r="CK327" i="18" s="1"/>
  <c r="CL327" i="18" s="1"/>
  <c r="CM327" i="18" s="1"/>
  <c r="CO327" i="18" s="1"/>
  <c r="CP327" i="18" s="1"/>
  <c r="CQ327" i="18" s="1"/>
  <c r="CR327" i="18" s="1"/>
  <c r="CS327" i="18" s="1"/>
  <c r="CG324" i="18"/>
  <c r="CI324" i="18" s="1"/>
  <c r="CJ324" i="18" s="1"/>
  <c r="CK324" i="18" s="1"/>
  <c r="CL324" i="18" s="1"/>
  <c r="CM324" i="18" s="1"/>
  <c r="CO324" i="18" s="1"/>
  <c r="CP324" i="18" s="1"/>
  <c r="CQ324" i="18" s="1"/>
  <c r="CR324" i="18" s="1"/>
  <c r="CS324" i="18" s="1"/>
  <c r="CF322" i="18"/>
  <c r="CG22" i="17"/>
  <c r="CE103" i="77"/>
  <c r="CE57" i="77"/>
  <c r="AH22" i="77"/>
  <c r="AC201" i="18"/>
  <c r="AC243" i="18" s="1"/>
  <c r="AC260" i="18"/>
  <c r="AB201" i="18"/>
  <c r="AB260" i="18"/>
  <c r="BC32" i="77"/>
  <c r="BC96" i="77" s="1"/>
  <c r="BC94" i="77" s="1"/>
  <c r="DB168" i="18"/>
  <c r="DE322" i="18"/>
  <c r="DS168" i="18"/>
  <c r="AI15" i="77"/>
  <c r="AI20" i="77" s="1"/>
  <c r="AG39" i="77"/>
  <c r="AG50" i="77"/>
  <c r="BC18" i="77"/>
  <c r="BC16" i="77"/>
  <c r="BC17" i="77" s="1"/>
  <c r="DD322" i="18"/>
  <c r="AA351" i="18"/>
  <c r="AH21" i="77"/>
  <c r="AH49" i="77"/>
  <c r="AH34" i="77"/>
  <c r="AG95" i="77"/>
  <c r="AH95" i="77" s="1"/>
  <c r="AI95" i="77" s="1"/>
  <c r="AJ95" i="77" s="1"/>
  <c r="AK95" i="77" s="1"/>
  <c r="AM95" i="77" s="1"/>
  <c r="AN95" i="77" s="1"/>
  <c r="AO95" i="77" s="1"/>
  <c r="AP95" i="77" s="1"/>
  <c r="AQ95" i="77" s="1"/>
  <c r="AS95" i="77" s="1"/>
  <c r="AT95" i="77" s="1"/>
  <c r="AU95" i="77" s="1"/>
  <c r="AV95" i="77" s="1"/>
  <c r="AW95" i="77" s="1"/>
  <c r="AY95" i="77" s="1"/>
  <c r="AZ95" i="77" s="1"/>
  <c r="BA95" i="77" s="1"/>
  <c r="BB95" i="77" s="1"/>
  <c r="BC95" i="77" s="1"/>
  <c r="AD95" i="77"/>
  <c r="AC95" i="77" s="1"/>
  <c r="AB95" i="77" s="1"/>
  <c r="AA95" i="77" s="1"/>
  <c r="X95" i="77" s="1"/>
  <c r="AG110" i="77"/>
  <c r="AG35" i="77"/>
  <c r="AG25" i="77"/>
  <c r="BE94" i="77"/>
  <c r="BE31" i="77"/>
  <c r="BE18" i="77"/>
  <c r="BE16" i="77"/>
  <c r="BE102" i="77"/>
  <c r="BE46" i="77"/>
  <c r="BE115" i="77" s="1"/>
  <c r="BE114" i="77" s="1"/>
  <c r="BB29" i="77"/>
  <c r="BB17" i="77"/>
  <c r="BB43" i="77"/>
  <c r="BC45" i="77"/>
  <c r="BC46" i="77" s="1"/>
  <c r="BB116" i="77"/>
  <c r="BC116" i="77" s="1"/>
  <c r="AO33" i="77"/>
  <c r="AT48" i="77"/>
  <c r="BE180" i="18"/>
  <c r="BE337" i="18"/>
  <c r="AH380" i="18"/>
  <c r="AH444" i="18"/>
  <c r="BG361" i="18"/>
  <c r="BG371" i="18"/>
  <c r="BF169" i="18"/>
  <c r="BF172" i="18" s="1"/>
  <c r="BF111" i="18" s="1"/>
  <c r="BG152" i="18"/>
  <c r="BG74" i="18"/>
  <c r="BG419" i="18"/>
  <c r="BG413" i="18"/>
  <c r="BG414" i="18"/>
  <c r="BF171" i="18"/>
  <c r="BC417" i="18"/>
  <c r="BB397" i="18"/>
  <c r="BB461" i="18"/>
  <c r="BB420" i="18"/>
  <c r="BC256" i="18"/>
  <c r="BC257" i="18"/>
  <c r="BC10" i="18"/>
  <c r="BS158" i="18"/>
  <c r="BR452" i="18"/>
  <c r="BR388" i="18"/>
  <c r="AG461" i="18"/>
  <c r="AG397" i="18"/>
  <c r="BF153" i="18"/>
  <c r="BF460" i="18"/>
  <c r="BF434" i="18"/>
  <c r="BF438" i="18"/>
  <c r="BF432" i="18"/>
  <c r="BE416" i="18"/>
  <c r="BE417" i="18"/>
  <c r="BI195" i="18"/>
  <c r="AG420" i="18"/>
  <c r="BQ183" i="18"/>
  <c r="BQ591" i="18" s="1"/>
  <c r="BQ340" i="18"/>
  <c r="BK373" i="18"/>
  <c r="BL370" i="18"/>
  <c r="BL368" i="18"/>
  <c r="BF181" i="18"/>
  <c r="BF589" i="18" s="1"/>
  <c r="BF338" i="18"/>
  <c r="AE169" i="18"/>
  <c r="AE153" i="18"/>
  <c r="AE168" i="18" s="1"/>
  <c r="BG178" i="18"/>
  <c r="BG335" i="18"/>
  <c r="BF72" i="18"/>
  <c r="BF69" i="18"/>
  <c r="BE253" i="18"/>
  <c r="BE43" i="18"/>
  <c r="AG444" i="18"/>
  <c r="AG380" i="18"/>
  <c r="BE181" i="18"/>
  <c r="BE589" i="18" s="1"/>
  <c r="BE338" i="18"/>
  <c r="BB287" i="18"/>
  <c r="BB257" i="18"/>
  <c r="BB256" i="18"/>
  <c r="BB10" i="18"/>
  <c r="AO28" i="18"/>
  <c r="AO29" i="18" s="1"/>
  <c r="AO30" i="18" s="1"/>
  <c r="AJ144" i="18"/>
  <c r="AA243" i="18"/>
  <c r="AA205" i="18"/>
  <c r="AA225" i="18" s="1"/>
  <c r="AD180" i="18"/>
  <c r="AD337" i="18"/>
  <c r="AD345" i="18" s="1"/>
  <c r="AE337" i="18"/>
  <c r="AE345" i="18" s="1"/>
  <c r="BG154" i="18"/>
  <c r="BF398" i="18"/>
  <c r="AM30" i="18"/>
  <c r="BN183" i="18"/>
  <c r="BN591" i="18" s="1"/>
  <c r="BO591" i="18" s="1"/>
  <c r="BN340" i="18"/>
  <c r="BO340" i="18"/>
  <c r="BO159" i="18"/>
  <c r="AI145" i="18"/>
  <c r="BI148" i="18"/>
  <c r="AH419" i="18"/>
  <c r="AH152" i="18"/>
  <c r="AH153" i="18" s="1"/>
  <c r="AG169" i="18"/>
  <c r="AG172" i="18" s="1"/>
  <c r="AG61" i="18" s="1"/>
  <c r="AG153" i="18"/>
  <c r="AG462" i="18"/>
  <c r="AG398" i="18"/>
  <c r="AH414" i="18"/>
  <c r="AH413" i="18"/>
  <c r="BH365" i="18"/>
  <c r="BH367" i="18"/>
  <c r="BH386" i="18" s="1"/>
  <c r="BI367" i="18"/>
  <c r="BI386" i="18" s="1"/>
  <c r="BI362" i="18"/>
  <c r="BK358" i="18"/>
  <c r="BK360" i="18"/>
  <c r="BG408" i="18"/>
  <c r="BF422" i="18"/>
  <c r="BF426" i="18" s="1"/>
  <c r="BF428" i="18"/>
  <c r="BF424" i="18"/>
  <c r="BH376" i="18"/>
  <c r="BI375" i="18"/>
  <c r="BI376" i="18" s="1"/>
  <c r="BH149" i="18"/>
  <c r="BE405" i="18"/>
  <c r="BE406" i="18"/>
  <c r="CR43" i="48" l="1"/>
  <c r="CQ78" i="17"/>
  <c r="CQ76" i="17" s="1"/>
  <c r="CP41" i="19"/>
  <c r="CS47" i="18"/>
  <c r="CS244" i="18" s="1"/>
  <c r="CR274" i="18"/>
  <c r="CR244" i="18"/>
  <c r="CR147" i="18"/>
  <c r="CQ274" i="18"/>
  <c r="CQ244" i="18"/>
  <c r="BQ163" i="18"/>
  <c r="BO389" i="18"/>
  <c r="BO453" i="18"/>
  <c r="BQ252" i="18"/>
  <c r="BR109" i="18"/>
  <c r="BR108" i="18" s="1"/>
  <c r="BQ98" i="18"/>
  <c r="BN593" i="18"/>
  <c r="BO593" i="18" s="1"/>
  <c r="BO185" i="18"/>
  <c r="BN453" i="18"/>
  <c r="BN389" i="18"/>
  <c r="CM65" i="18"/>
  <c r="CO65" i="18"/>
  <c r="CP65" i="18" s="1"/>
  <c r="CQ65" i="18" s="1"/>
  <c r="CR65" i="18" s="1"/>
  <c r="CS65" i="18" s="1"/>
  <c r="CM19" i="48"/>
  <c r="CL21" i="48"/>
  <c r="CL37" i="19"/>
  <c r="CL43" i="19" s="1"/>
  <c r="CM43" i="19" s="1"/>
  <c r="CM15" i="48"/>
  <c r="CJ23" i="48"/>
  <c r="CJ53" i="48" s="1"/>
  <c r="CJ32" i="16" s="1"/>
  <c r="CL56" i="48"/>
  <c r="CI45" i="16"/>
  <c r="CI164" i="16"/>
  <c r="CO12" i="48"/>
  <c r="CO14" i="48"/>
  <c r="CJ29" i="16"/>
  <c r="CI38" i="17"/>
  <c r="CI43" i="17" s="1"/>
  <c r="CQ11" i="48"/>
  <c r="CP13" i="48"/>
  <c r="CK20" i="48"/>
  <c r="CK57" i="48" s="1"/>
  <c r="CK58" i="48" s="1"/>
  <c r="CK22" i="48"/>
  <c r="CK52" i="48" s="1"/>
  <c r="CI54" i="48"/>
  <c r="CK150" i="19"/>
  <c r="CP36" i="19"/>
  <c r="CO35" i="19"/>
  <c r="CR32" i="17"/>
  <c r="CQ121" i="16"/>
  <c r="CQ96" i="16"/>
  <c r="CQ113" i="16"/>
  <c r="CO20" i="16"/>
  <c r="CO176" i="16" s="1"/>
  <c r="CP120" i="16"/>
  <c r="CP123" i="16" s="1"/>
  <c r="CL176" i="16"/>
  <c r="CM20" i="16"/>
  <c r="CM176" i="16" s="1"/>
  <c r="CR62" i="77"/>
  <c r="CR65" i="77"/>
  <c r="CR67" i="77"/>
  <c r="CS67" i="77" s="1"/>
  <c r="CQ101" i="77"/>
  <c r="CS65" i="77"/>
  <c r="CS62" i="77"/>
  <c r="CE58" i="77"/>
  <c r="CK53" i="77"/>
  <c r="CQ250" i="18"/>
  <c r="CQ280" i="18"/>
  <c r="CO56" i="18"/>
  <c r="CP57" i="18"/>
  <c r="CR374" i="18"/>
  <c r="CS374" i="18" s="1"/>
  <c r="CR88" i="18"/>
  <c r="CS88" i="18" s="1"/>
  <c r="CS89" i="18"/>
  <c r="CK364" i="18"/>
  <c r="CL79" i="18"/>
  <c r="CM57" i="18"/>
  <c r="CL56" i="18"/>
  <c r="CM56" i="18" s="1"/>
  <c r="BC385" i="18"/>
  <c r="BB589" i="18"/>
  <c r="BC589" i="18" s="1"/>
  <c r="BB449" i="18"/>
  <c r="CG38" i="17"/>
  <c r="CG45" i="16"/>
  <c r="CG164" i="16"/>
  <c r="BS341" i="18"/>
  <c r="BS452" i="18" s="1"/>
  <c r="BG586" i="18"/>
  <c r="AD588" i="18"/>
  <c r="BE588" i="18"/>
  <c r="BZ336" i="18"/>
  <c r="BZ383" i="18" s="1"/>
  <c r="AB602" i="18"/>
  <c r="AC351" i="18"/>
  <c r="AC602" i="18"/>
  <c r="BR340" i="18"/>
  <c r="U103" i="16"/>
  <c r="V100" i="16"/>
  <c r="U109" i="16"/>
  <c r="V98" i="16"/>
  <c r="V102" i="16"/>
  <c r="BU103" i="18"/>
  <c r="BT160" i="18"/>
  <c r="BT102" i="18"/>
  <c r="BT99" i="18"/>
  <c r="BG153" i="18"/>
  <c r="CA336" i="18"/>
  <c r="CA447" i="18" s="1"/>
  <c r="BR183" i="18"/>
  <c r="BR591" i="18" s="1"/>
  <c r="CA151" i="18"/>
  <c r="BZ179" i="18"/>
  <c r="BI335" i="18"/>
  <c r="BI446" i="18" s="1"/>
  <c r="AB205" i="18"/>
  <c r="AB225" i="18" s="1"/>
  <c r="AA265" i="18"/>
  <c r="AD41" i="77"/>
  <c r="AD40" i="77"/>
  <c r="AB243" i="18"/>
  <c r="AC205" i="18"/>
  <c r="AC225" i="18" s="1"/>
  <c r="AD42" i="77"/>
  <c r="AE42" i="77" s="1"/>
  <c r="AE40" i="77"/>
  <c r="CG320" i="18"/>
  <c r="CI320" i="18" s="1"/>
  <c r="CJ320" i="18" s="1"/>
  <c r="CK320" i="18" s="1"/>
  <c r="CL320" i="18" s="1"/>
  <c r="CM320" i="18" s="1"/>
  <c r="CO320" i="18" s="1"/>
  <c r="CP320" i="18" s="1"/>
  <c r="CQ320" i="18" s="1"/>
  <c r="CR320" i="18" s="1"/>
  <c r="CS320" i="18" s="1"/>
  <c r="CG322" i="18"/>
  <c r="CI322" i="18" s="1"/>
  <c r="CJ322" i="18" s="1"/>
  <c r="CK322" i="18" s="1"/>
  <c r="CL322" i="18" s="1"/>
  <c r="CM322" i="18" s="1"/>
  <c r="CO322" i="18" s="1"/>
  <c r="CP322" i="18" s="1"/>
  <c r="CQ322" i="18" s="1"/>
  <c r="CR322" i="18" s="1"/>
  <c r="CS322" i="18" s="1"/>
  <c r="AB351" i="18"/>
  <c r="CG328" i="18"/>
  <c r="CI328" i="18" s="1"/>
  <c r="CJ328" i="18" s="1"/>
  <c r="CK328" i="18" s="1"/>
  <c r="CL328" i="18" s="1"/>
  <c r="CM328" i="18" s="1"/>
  <c r="CO328" i="18" s="1"/>
  <c r="CP328" i="18" s="1"/>
  <c r="CQ328" i="18" s="1"/>
  <c r="CR328" i="18" s="1"/>
  <c r="CS328" i="18" s="1"/>
  <c r="CC246" i="18"/>
  <c r="CC276" i="18"/>
  <c r="CE381" i="18"/>
  <c r="CE445" i="18"/>
  <c r="BY447" i="18"/>
  <c r="BY383" i="18"/>
  <c r="CG329" i="18"/>
  <c r="CI329" i="18" s="1"/>
  <c r="CJ329" i="18" s="1"/>
  <c r="CK329" i="18" s="1"/>
  <c r="CL329" i="18" s="1"/>
  <c r="CM329" i="18" s="1"/>
  <c r="CO329" i="18" s="1"/>
  <c r="CP329" i="18" s="1"/>
  <c r="CQ329" i="18" s="1"/>
  <c r="CR329" i="18" s="1"/>
  <c r="CS329" i="18" s="1"/>
  <c r="CG321" i="18"/>
  <c r="CI321" i="18" s="1"/>
  <c r="CF334" i="18"/>
  <c r="CG334" i="18"/>
  <c r="CE54" i="18"/>
  <c r="CD53" i="18"/>
  <c r="BE116" i="77"/>
  <c r="AI21" i="77"/>
  <c r="AI34" i="77"/>
  <c r="AI49" i="77"/>
  <c r="DT168" i="18"/>
  <c r="BG433" i="18"/>
  <c r="BG434" i="18" s="1"/>
  <c r="BB44" i="77"/>
  <c r="BC43" i="77"/>
  <c r="BC44" i="77" s="1"/>
  <c r="BE17" i="77"/>
  <c r="BE43" i="77"/>
  <c r="BE29" i="77"/>
  <c r="AG28" i="77"/>
  <c r="AG27" i="77"/>
  <c r="AG106" i="77"/>
  <c r="AG111" i="77"/>
  <c r="BE95" i="77"/>
  <c r="AH50" i="77"/>
  <c r="AH39" i="77"/>
  <c r="AG42" i="77"/>
  <c r="AG40" i="77"/>
  <c r="AG41" i="77"/>
  <c r="DC168" i="18"/>
  <c r="BF14" i="77"/>
  <c r="BC115" i="77"/>
  <c r="BB30" i="77"/>
  <c r="BB112" i="77"/>
  <c r="BC29" i="77"/>
  <c r="BC30" i="77" s="1"/>
  <c r="W95" i="77"/>
  <c r="V95" i="77" s="1"/>
  <c r="U95" i="77" s="1"/>
  <c r="R95" i="77" s="1"/>
  <c r="Y95" i="77"/>
  <c r="AH35" i="77"/>
  <c r="AH110" i="77"/>
  <c r="AH111" i="77" s="1"/>
  <c r="AH25" i="77"/>
  <c r="AJ15" i="77"/>
  <c r="AK15" i="77" s="1"/>
  <c r="AI22" i="77"/>
  <c r="AU48" i="77"/>
  <c r="AP33" i="77"/>
  <c r="BK148" i="18"/>
  <c r="BF431" i="18"/>
  <c r="BF450" i="18" s="1"/>
  <c r="BF429" i="18"/>
  <c r="BG398" i="18"/>
  <c r="BF415" i="18"/>
  <c r="DP53" i="18"/>
  <c r="DP56" i="18" s="1"/>
  <c r="BF60" i="18"/>
  <c r="BF61" i="18" s="1"/>
  <c r="BG72" i="18"/>
  <c r="BG69" i="18"/>
  <c r="BG155" i="18"/>
  <c r="AH180" i="18"/>
  <c r="AH337" i="18"/>
  <c r="AD346" i="18"/>
  <c r="AD348" i="18"/>
  <c r="AD347" i="18"/>
  <c r="AP28" i="18"/>
  <c r="BF288" i="18"/>
  <c r="BE256" i="18"/>
  <c r="BE257" i="18"/>
  <c r="BE10" i="18"/>
  <c r="BI149" i="18"/>
  <c r="BF449" i="18"/>
  <c r="BF385" i="18"/>
  <c r="BC397" i="18"/>
  <c r="BC461" i="18"/>
  <c r="BC420" i="18"/>
  <c r="BE449" i="18"/>
  <c r="BE385" i="18"/>
  <c r="BM370" i="18"/>
  <c r="BL373" i="18"/>
  <c r="BM368" i="18"/>
  <c r="BT158" i="18"/>
  <c r="AH461" i="18"/>
  <c r="AH397" i="18"/>
  <c r="AH420" i="18"/>
  <c r="BO183" i="18"/>
  <c r="BO196" i="18" s="1"/>
  <c r="AE180" i="18"/>
  <c r="AD174" i="18"/>
  <c r="AD604" i="18" s="1"/>
  <c r="BF462" i="18"/>
  <c r="BF437" i="18"/>
  <c r="BE448" i="18"/>
  <c r="BE384" i="18"/>
  <c r="BG446" i="18"/>
  <c r="BG382" i="18"/>
  <c r="BL360" i="18"/>
  <c r="BL358" i="18"/>
  <c r="BK362" i="18"/>
  <c r="BH178" i="18"/>
  <c r="BH586" i="18" s="1"/>
  <c r="BH335" i="18"/>
  <c r="AI176" i="18"/>
  <c r="AI584" i="18" s="1"/>
  <c r="AI333" i="18"/>
  <c r="BF248" i="18"/>
  <c r="BF59" i="18"/>
  <c r="BK377" i="18"/>
  <c r="BK387" i="18" s="1"/>
  <c r="BK375" i="18"/>
  <c r="AG180" i="18"/>
  <c r="AG337" i="18"/>
  <c r="AM144" i="18"/>
  <c r="AK144" i="18"/>
  <c r="BG423" i="18"/>
  <c r="AJ145" i="18"/>
  <c r="BE420" i="18"/>
  <c r="BE397" i="18"/>
  <c r="BE461" i="18"/>
  <c r="BF180" i="18"/>
  <c r="BF337" i="18"/>
  <c r="BS159" i="18"/>
  <c r="BH366" i="18"/>
  <c r="BH403" i="18" s="1"/>
  <c r="BI365" i="18"/>
  <c r="BI366" i="18" s="1"/>
  <c r="AI419" i="18"/>
  <c r="AH169" i="18"/>
  <c r="AH172" i="18" s="1"/>
  <c r="AH61" i="18" s="1"/>
  <c r="AI152" i="18"/>
  <c r="AI417" i="18"/>
  <c r="AH398" i="18"/>
  <c r="AH462" i="18"/>
  <c r="AI413" i="18"/>
  <c r="AI414" i="18"/>
  <c r="AE348" i="18"/>
  <c r="AE346" i="18"/>
  <c r="BF73" i="18"/>
  <c r="BH361" i="18"/>
  <c r="BI361" i="18" s="1"/>
  <c r="BH371" i="18"/>
  <c r="BI371" i="18" s="1"/>
  <c r="BG169" i="18"/>
  <c r="BG172" i="18" s="1"/>
  <c r="BG111" i="18" s="1"/>
  <c r="BH74" i="18"/>
  <c r="BH152" i="18" s="1"/>
  <c r="BH419" i="18"/>
  <c r="BI419" i="18" s="1"/>
  <c r="BH414" i="18"/>
  <c r="BI414" i="18" s="1"/>
  <c r="BH413" i="18"/>
  <c r="BI413" i="18" s="1"/>
  <c r="BG171" i="18"/>
  <c r="CS57" i="17" l="1"/>
  <c r="CS78" i="17" s="1"/>
  <c r="CR78" i="17"/>
  <c r="CR41" i="19" s="1"/>
  <c r="CQ41" i="19"/>
  <c r="CS48" i="18"/>
  <c r="CS274" i="18"/>
  <c r="CR177" i="18"/>
  <c r="CS147" i="18"/>
  <c r="CJ321" i="18"/>
  <c r="CI334" i="18"/>
  <c r="DX58" i="18"/>
  <c r="DX59" i="18" s="1"/>
  <c r="BR105" i="18"/>
  <c r="BR162" i="18"/>
  <c r="BS109" i="18"/>
  <c r="BS108" i="18" s="1"/>
  <c r="BR98" i="18"/>
  <c r="BO198" i="18"/>
  <c r="BQ185" i="18"/>
  <c r="BQ342" i="18"/>
  <c r="CS86" i="18"/>
  <c r="CM86" i="18"/>
  <c r="CL42" i="19"/>
  <c r="CL150" i="19" s="1"/>
  <c r="CM150" i="19" s="1"/>
  <c r="CK23" i="48"/>
  <c r="CK53" i="48" s="1"/>
  <c r="CK32" i="16" s="1"/>
  <c r="CJ45" i="16"/>
  <c r="CJ164" i="16"/>
  <c r="CR11" i="48"/>
  <c r="CQ13" i="48"/>
  <c r="CJ54" i="48"/>
  <c r="CO15" i="48"/>
  <c r="CK29" i="16"/>
  <c r="CJ38" i="17"/>
  <c r="CL20" i="48"/>
  <c r="CL22" i="48"/>
  <c r="CL23" i="48" s="1"/>
  <c r="CL53" i="48" s="1"/>
  <c r="CL32" i="16" s="1"/>
  <c r="CP12" i="48"/>
  <c r="CP14" i="48"/>
  <c r="CM56" i="48"/>
  <c r="CO19" i="48"/>
  <c r="CO56" i="48" s="1"/>
  <c r="CM37" i="19"/>
  <c r="CQ36" i="19"/>
  <c r="CP35" i="19"/>
  <c r="CQ120" i="16"/>
  <c r="CQ123" i="16" s="1"/>
  <c r="CP20" i="16"/>
  <c r="CP176" i="16" s="1"/>
  <c r="CR121" i="16"/>
  <c r="CS121" i="16" s="1"/>
  <c r="CS123" i="16" s="1"/>
  <c r="CR96" i="16"/>
  <c r="CS96" i="16" s="1"/>
  <c r="CR113" i="16"/>
  <c r="CS113" i="16" s="1"/>
  <c r="CS32" i="17"/>
  <c r="CK103" i="77"/>
  <c r="CK57" i="77"/>
  <c r="CP56" i="18"/>
  <c r="CQ57" i="18"/>
  <c r="CR280" i="18"/>
  <c r="CR250" i="18"/>
  <c r="CS250" i="18"/>
  <c r="CL364" i="18"/>
  <c r="CM364" i="18" s="1"/>
  <c r="CM79" i="18"/>
  <c r="AH588" i="18"/>
  <c r="AH596" i="18" s="1"/>
  <c r="AH599" i="18" s="1"/>
  <c r="DL590" i="18" s="1"/>
  <c r="BS388" i="18"/>
  <c r="DQ53" i="18"/>
  <c r="DQ56" i="18" s="1"/>
  <c r="AG588" i="18"/>
  <c r="BF588" i="18"/>
  <c r="CA179" i="18"/>
  <c r="CA192" i="18" s="1"/>
  <c r="BZ587" i="18"/>
  <c r="CA587" i="18" s="1"/>
  <c r="AD596" i="18"/>
  <c r="AD605" i="18" s="1"/>
  <c r="AE588" i="18"/>
  <c r="BI586" i="18"/>
  <c r="AK333" i="18"/>
  <c r="AK444" i="18" s="1"/>
  <c r="BZ447" i="18"/>
  <c r="BG180" i="18"/>
  <c r="V108" i="16"/>
  <c r="V104" i="16"/>
  <c r="W93" i="16"/>
  <c r="BG337" i="18"/>
  <c r="BG448" i="18" s="1"/>
  <c r="BU99" i="18"/>
  <c r="BU251" i="18" s="1"/>
  <c r="BW103" i="18"/>
  <c r="BW160" i="18" s="1"/>
  <c r="BU102" i="18"/>
  <c r="BU160" i="18"/>
  <c r="BT161" i="18"/>
  <c r="CA383" i="18"/>
  <c r="BI382" i="18"/>
  <c r="BU158" i="18"/>
  <c r="CD150" i="18"/>
  <c r="AB265" i="18"/>
  <c r="AC265" i="18"/>
  <c r="CE53" i="18"/>
  <c r="CF54" i="18"/>
  <c r="CG381" i="18"/>
  <c r="CG445" i="18"/>
  <c r="CF381" i="18"/>
  <c r="CF445" i="18"/>
  <c r="BG438" i="18"/>
  <c r="BG432" i="18"/>
  <c r="BG437" i="18" s="1"/>
  <c r="BG73" i="18"/>
  <c r="CA86" i="18"/>
  <c r="CG86" i="18"/>
  <c r="CD276" i="18"/>
  <c r="CD246" i="18"/>
  <c r="AJ20" i="77"/>
  <c r="AJ34" i="77" s="1"/>
  <c r="BT159" i="18"/>
  <c r="DU168" i="18"/>
  <c r="BI178" i="18"/>
  <c r="BG59" i="18"/>
  <c r="BG253" i="18" s="1"/>
  <c r="AJ22" i="77"/>
  <c r="AH28" i="77"/>
  <c r="AH27" i="77"/>
  <c r="AH106" i="77"/>
  <c r="Q95" i="77"/>
  <c r="P95" i="77" s="1"/>
  <c r="O95" i="77" s="1"/>
  <c r="S95" i="77"/>
  <c r="BB113" i="77"/>
  <c r="BC112" i="77"/>
  <c r="BC113" i="77" s="1"/>
  <c r="BE112" i="77"/>
  <c r="BE30" i="77"/>
  <c r="AI39" i="77"/>
  <c r="AI50" i="77"/>
  <c r="DD168" i="18"/>
  <c r="AE174" i="18"/>
  <c r="DF322" i="18"/>
  <c r="AH174" i="18"/>
  <c r="BG14" i="77"/>
  <c r="AM15" i="77"/>
  <c r="AM20" i="77" s="1"/>
  <c r="AK20" i="77"/>
  <c r="AK21" i="77" s="1"/>
  <c r="AK22" i="77"/>
  <c r="BF31" i="77"/>
  <c r="BF114" i="77"/>
  <c r="BF18" i="77"/>
  <c r="BF45" i="77"/>
  <c r="BF94" i="77"/>
  <c r="BF95" i="77" s="1"/>
  <c r="BF16" i="77"/>
  <c r="AH42" i="77"/>
  <c r="AH40" i="77"/>
  <c r="AH41" i="77"/>
  <c r="AG109" i="77"/>
  <c r="AG108" i="77"/>
  <c r="BE44" i="77"/>
  <c r="AI110" i="77"/>
  <c r="AI111" i="77" s="1"/>
  <c r="AI35" i="77"/>
  <c r="AI25" i="77"/>
  <c r="AV48" i="77"/>
  <c r="AQ33" i="77"/>
  <c r="AS33" i="77" s="1"/>
  <c r="BK74" i="18"/>
  <c r="BI152" i="18"/>
  <c r="BK413" i="18"/>
  <c r="AQ28" i="18"/>
  <c r="AS28" i="18"/>
  <c r="BS183" i="18"/>
  <c r="BS591" i="18" s="1"/>
  <c r="BS340" i="18"/>
  <c r="AK145" i="18"/>
  <c r="BH72" i="18"/>
  <c r="BH69" i="18"/>
  <c r="BI74" i="18"/>
  <c r="BI259" i="18" s="1"/>
  <c r="AD353" i="18"/>
  <c r="AD354" i="18" s="1"/>
  <c r="DB353" i="18" s="1"/>
  <c r="AD291" i="18"/>
  <c r="AD260" i="18"/>
  <c r="AD602" i="18" s="1"/>
  <c r="AD12" i="18"/>
  <c r="AD201" i="18"/>
  <c r="BF430" i="18"/>
  <c r="AH448" i="18"/>
  <c r="AH454" i="18" s="1"/>
  <c r="AH384" i="18"/>
  <c r="AH390" i="18" s="1"/>
  <c r="AH345" i="18"/>
  <c r="AJ419" i="18"/>
  <c r="AI169" i="18"/>
  <c r="AI172" i="18" s="1"/>
  <c r="AI61" i="18" s="1"/>
  <c r="AJ152" i="18"/>
  <c r="AJ75" i="18"/>
  <c r="AO75" i="18"/>
  <c r="AM75" i="18"/>
  <c r="AN75" i="18"/>
  <c r="AQ75" i="18"/>
  <c r="AK75" i="18"/>
  <c r="AI462" i="18"/>
  <c r="AI398" i="18"/>
  <c r="AJ417" i="18"/>
  <c r="AK417" i="18" s="1"/>
  <c r="AJ413" i="18"/>
  <c r="AK413" i="18" s="1"/>
  <c r="AJ414" i="18"/>
  <c r="AK414" i="18" s="1"/>
  <c r="BU86" i="18"/>
  <c r="BO86" i="18"/>
  <c r="BH408" i="18"/>
  <c r="BI403" i="18"/>
  <c r="AG448" i="18"/>
  <c r="AG454" i="18" s="1"/>
  <c r="AG384" i="18"/>
  <c r="AG390" i="18" s="1"/>
  <c r="AG345" i="18"/>
  <c r="AG174" i="18"/>
  <c r="AG604" i="18" s="1"/>
  <c r="AI461" i="18"/>
  <c r="AI397" i="18"/>
  <c r="BG424" i="18"/>
  <c r="BG422" i="18"/>
  <c r="BG428" i="18"/>
  <c r="BK376" i="18"/>
  <c r="AI444" i="18"/>
  <c r="AI380" i="18"/>
  <c r="BK367" i="18"/>
  <c r="BK386" i="18" s="1"/>
  <c r="BK365" i="18"/>
  <c r="BF416" i="18"/>
  <c r="BF417" i="18"/>
  <c r="BH153" i="18"/>
  <c r="AI153" i="18"/>
  <c r="BL362" i="18"/>
  <c r="BM358" i="18"/>
  <c r="BM360" i="18"/>
  <c r="BF439" i="18"/>
  <c r="BF441" i="18"/>
  <c r="BF451" i="18" s="1"/>
  <c r="BG181" i="18"/>
  <c r="BG589" i="18" s="1"/>
  <c r="BG338" i="18"/>
  <c r="BL148" i="18"/>
  <c r="BL149" i="18" s="1"/>
  <c r="BK149" i="18"/>
  <c r="AJ176" i="18"/>
  <c r="AJ333" i="18"/>
  <c r="BH446" i="18"/>
  <c r="BH382" i="18"/>
  <c r="BG460" i="18"/>
  <c r="BM373" i="18"/>
  <c r="BN370" i="18"/>
  <c r="BO370" i="18" s="1"/>
  <c r="BN368" i="18"/>
  <c r="AP29" i="18"/>
  <c r="AI420" i="18"/>
  <c r="BF448" i="18"/>
  <c r="BF384" i="18"/>
  <c r="AM145" i="18"/>
  <c r="AN144" i="18"/>
  <c r="AN145" i="18" s="1"/>
  <c r="BF283" i="18"/>
  <c r="BF253" i="18"/>
  <c r="BF43" i="18"/>
  <c r="BL375" i="18"/>
  <c r="BL376" i="18" s="1"/>
  <c r="BL377" i="18"/>
  <c r="BL387" i="18" s="1"/>
  <c r="BG415" i="18"/>
  <c r="BG60" i="18"/>
  <c r="BG61" i="18" s="1"/>
  <c r="CS43" i="48" l="1"/>
  <c r="CR76" i="17"/>
  <c r="CR36" i="19" s="1"/>
  <c r="CS36" i="19" s="1"/>
  <c r="CM42" i="19"/>
  <c r="CI381" i="18"/>
  <c r="CI445" i="18"/>
  <c r="CK321" i="18"/>
  <c r="CJ334" i="18"/>
  <c r="CR585" i="18"/>
  <c r="CS585" i="18" s="1"/>
  <c r="CS177" i="18"/>
  <c r="CS190" i="18" s="1"/>
  <c r="DY58" i="18"/>
  <c r="DY59" i="18" s="1"/>
  <c r="BS105" i="18"/>
  <c r="BS162" i="18"/>
  <c r="BR163" i="18"/>
  <c r="BT109" i="18"/>
  <c r="BT108" i="18" s="1"/>
  <c r="BS98" i="18"/>
  <c r="BQ389" i="18"/>
  <c r="BQ453" i="18"/>
  <c r="BQ593" i="18"/>
  <c r="AH597" i="18"/>
  <c r="CK38" i="17"/>
  <c r="CK43" i="17" s="1"/>
  <c r="CS76" i="17"/>
  <c r="CS41" i="19"/>
  <c r="CK54" i="48"/>
  <c r="CM32" i="16"/>
  <c r="CP19" i="48"/>
  <c r="CP56" i="48" s="1"/>
  <c r="CO21" i="48"/>
  <c r="CO37" i="19"/>
  <c r="CO43" i="19" s="1"/>
  <c r="CO42" i="19" s="1"/>
  <c r="CO150" i="19" s="1"/>
  <c r="CP15" i="48"/>
  <c r="CQ12" i="48"/>
  <c r="CQ14" i="48"/>
  <c r="CS11" i="48"/>
  <c r="CR13" i="48"/>
  <c r="CM20" i="48"/>
  <c r="CM21" i="48" s="1"/>
  <c r="CL57" i="48"/>
  <c r="CK45" i="16"/>
  <c r="CK164" i="16"/>
  <c r="CM22" i="48"/>
  <c r="CM52" i="48" s="1"/>
  <c r="CL52" i="48"/>
  <c r="CJ43" i="17"/>
  <c r="CQ35" i="19"/>
  <c r="CR120" i="16"/>
  <c r="CR123" i="16" s="1"/>
  <c r="CR20" i="16" s="1"/>
  <c r="CQ20" i="16"/>
  <c r="CQ176" i="16" s="1"/>
  <c r="CK58" i="77"/>
  <c r="CQ53" i="77"/>
  <c r="CM80" i="18"/>
  <c r="CO80" i="18" s="1"/>
  <c r="CP80" i="18" s="1"/>
  <c r="CQ80" i="18" s="1"/>
  <c r="CR80" i="18" s="1"/>
  <c r="CO79" i="18"/>
  <c r="CR57" i="18"/>
  <c r="CQ56" i="18"/>
  <c r="DR53" i="18"/>
  <c r="DR56" i="18" s="1"/>
  <c r="AK380" i="18"/>
  <c r="AK176" i="18"/>
  <c r="AJ584" i="18"/>
  <c r="AE596" i="18"/>
  <c r="AD598" i="18"/>
  <c r="AD599" i="18"/>
  <c r="DJ590" i="18" s="1"/>
  <c r="AD597" i="18"/>
  <c r="AG596" i="18"/>
  <c r="BG588" i="18"/>
  <c r="BW161" i="18"/>
  <c r="BW184" i="18" s="1"/>
  <c r="BW592" i="18" s="1"/>
  <c r="AH201" i="18"/>
  <c r="AH604" i="18"/>
  <c r="AH605" i="18" s="1"/>
  <c r="AE12" i="18"/>
  <c r="AE604" i="18"/>
  <c r="BU159" i="18"/>
  <c r="W100" i="16"/>
  <c r="V103" i="16"/>
  <c r="V109" i="16"/>
  <c r="W98" i="16"/>
  <c r="W102" i="16"/>
  <c r="BK152" i="18"/>
  <c r="BG384" i="18"/>
  <c r="BW99" i="18"/>
  <c r="EA57" i="18"/>
  <c r="BT184" i="18"/>
  <c r="BU341" i="18"/>
  <c r="BT341" i="18"/>
  <c r="BU161" i="18"/>
  <c r="BW102" i="18"/>
  <c r="AH12" i="18"/>
  <c r="BH60" i="18"/>
  <c r="BH154" i="18"/>
  <c r="BH171" i="18" s="1"/>
  <c r="CE150" i="18"/>
  <c r="CD151" i="18"/>
  <c r="AH353" i="18"/>
  <c r="AH354" i="18" s="1"/>
  <c r="DD353" i="18" s="1"/>
  <c r="AH261" i="18"/>
  <c r="AH260" i="18"/>
  <c r="BT340" i="18"/>
  <c r="CC179" i="18"/>
  <c r="CC587" i="18" s="1"/>
  <c r="CC336" i="18"/>
  <c r="AE353" i="18"/>
  <c r="AE354" i="18" s="1"/>
  <c r="AE355" i="18" s="1"/>
  <c r="AE260" i="18"/>
  <c r="AE201" i="18"/>
  <c r="AE243" i="18" s="1"/>
  <c r="BU340" i="18"/>
  <c r="CF53" i="18"/>
  <c r="CE276" i="18"/>
  <c r="CE246" i="18"/>
  <c r="BG43" i="18"/>
  <c r="BH288" i="18" s="1"/>
  <c r="BG283" i="18"/>
  <c r="AJ21" i="77"/>
  <c r="AJ49" i="77"/>
  <c r="AK49" i="77" s="1"/>
  <c r="AK50" i="77" s="1"/>
  <c r="BT183" i="18"/>
  <c r="BF29" i="77"/>
  <c r="BF30" i="77" s="1"/>
  <c r="AM21" i="77"/>
  <c r="AM34" i="77"/>
  <c r="AM49" i="77"/>
  <c r="DE168" i="18"/>
  <c r="AD351" i="18"/>
  <c r="BH59" i="18"/>
  <c r="BI69" i="18"/>
  <c r="AI28" i="77"/>
  <c r="AI106" i="77"/>
  <c r="AI27" i="77"/>
  <c r="BF17" i="77"/>
  <c r="BF43" i="77"/>
  <c r="BF116" i="77"/>
  <c r="AM22" i="77"/>
  <c r="AJ35" i="77"/>
  <c r="AJ25" i="77"/>
  <c r="AK34" i="77"/>
  <c r="AK35" i="77" s="1"/>
  <c r="BG114" i="77"/>
  <c r="BG18" i="77"/>
  <c r="BG45" i="77"/>
  <c r="BG31" i="77"/>
  <c r="BG94" i="77"/>
  <c r="BG95" i="77" s="1"/>
  <c r="BG16" i="77"/>
  <c r="AI40" i="77"/>
  <c r="AI42" i="77"/>
  <c r="AI41" i="77"/>
  <c r="AH109" i="77"/>
  <c r="AH108" i="77"/>
  <c r="AH291" i="18"/>
  <c r="BH14" i="77"/>
  <c r="AN15" i="77"/>
  <c r="BE113" i="77"/>
  <c r="BI191" i="18"/>
  <c r="AW48" i="77"/>
  <c r="AY48" i="77" s="1"/>
  <c r="AT33" i="77"/>
  <c r="AN176" i="18"/>
  <c r="AN584" i="18" s="1"/>
  <c r="AN333" i="18"/>
  <c r="BL178" i="18"/>
  <c r="BL335" i="18"/>
  <c r="AD243" i="18"/>
  <c r="AD205" i="18"/>
  <c r="AD225" i="18" s="1"/>
  <c r="AJ380" i="18"/>
  <c r="AJ444" i="18"/>
  <c r="BF461" i="18"/>
  <c r="BF397" i="18"/>
  <c r="BF420" i="18"/>
  <c r="AH348" i="18"/>
  <c r="AH347" i="18"/>
  <c r="AH346" i="18"/>
  <c r="BK69" i="18"/>
  <c r="BK72" i="18"/>
  <c r="AP30" i="18"/>
  <c r="AQ30" i="18" s="1"/>
  <c r="AQ29" i="18"/>
  <c r="BF440" i="18"/>
  <c r="BF467" i="18" s="1"/>
  <c r="BG426" i="18"/>
  <c r="BH423" i="18"/>
  <c r="BH433" i="18"/>
  <c r="AH456" i="18"/>
  <c r="AH455" i="18"/>
  <c r="AS29" i="18"/>
  <c r="AT28" i="18"/>
  <c r="AT29" i="18" s="1"/>
  <c r="AT30" i="18" s="1"/>
  <c r="BG416" i="18"/>
  <c r="BG417" i="18"/>
  <c r="BN373" i="18"/>
  <c r="BO368" i="18"/>
  <c r="BL367" i="18"/>
  <c r="BL386" i="18" s="1"/>
  <c r="BL365" i="18"/>
  <c r="AJ420" i="18"/>
  <c r="AK419" i="18"/>
  <c r="AK420" i="18" s="1"/>
  <c r="BG449" i="18"/>
  <c r="BG385" i="18"/>
  <c r="BK178" i="18"/>
  <c r="BK586" i="18" s="1"/>
  <c r="BK335" i="18"/>
  <c r="AJ461" i="18"/>
  <c r="AJ397" i="18"/>
  <c r="AH391" i="18"/>
  <c r="AH392" i="18"/>
  <c r="BH415" i="18"/>
  <c r="BI415" i="18" s="1"/>
  <c r="BI72" i="18"/>
  <c r="BI60" i="18" s="1"/>
  <c r="AM176" i="18"/>
  <c r="AM584" i="18" s="1"/>
  <c r="AM333" i="18"/>
  <c r="BH180" i="18"/>
  <c r="BH588" i="18" s="1"/>
  <c r="BH337" i="18"/>
  <c r="BI153" i="18"/>
  <c r="BI337" i="18"/>
  <c r="AG347" i="18"/>
  <c r="AG348" i="18"/>
  <c r="AG346" i="18"/>
  <c r="AJ169" i="18"/>
  <c r="AJ172" i="18" s="1"/>
  <c r="AJ61" i="18" s="1"/>
  <c r="AK152" i="18"/>
  <c r="AM417" i="18"/>
  <c r="AM419" i="18"/>
  <c r="AJ462" i="18"/>
  <c r="AK462" i="18" s="1"/>
  <c r="AJ398" i="18"/>
  <c r="AK398" i="18" s="1"/>
  <c r="AM413" i="18"/>
  <c r="AM414" i="18"/>
  <c r="BN358" i="18"/>
  <c r="BM362" i="18"/>
  <c r="BN360" i="18"/>
  <c r="BO360" i="18" s="1"/>
  <c r="AK461" i="18"/>
  <c r="AK397" i="18"/>
  <c r="AG392" i="18"/>
  <c r="AG391" i="18"/>
  <c r="AO144" i="18"/>
  <c r="BM148" i="18"/>
  <c r="BM149" i="18" s="1"/>
  <c r="AI180" i="18"/>
  <c r="AI337" i="18"/>
  <c r="AG353" i="18"/>
  <c r="AG354" i="18" s="1"/>
  <c r="DC353" i="18" s="1"/>
  <c r="AG291" i="18"/>
  <c r="AG260" i="18"/>
  <c r="AG602" i="18" s="1"/>
  <c r="AG261" i="18"/>
  <c r="AG12" i="18"/>
  <c r="AG201" i="18"/>
  <c r="AG455" i="18"/>
  <c r="AG456" i="18"/>
  <c r="BM377" i="18"/>
  <c r="BM387" i="18" s="1"/>
  <c r="BM375" i="18"/>
  <c r="BM376" i="18" s="1"/>
  <c r="BG441" i="18"/>
  <c r="BG451" i="18" s="1"/>
  <c r="BG439" i="18"/>
  <c r="BG440" i="18" s="1"/>
  <c r="BH73" i="18"/>
  <c r="BI73" i="18" s="1"/>
  <c r="AJ153" i="18"/>
  <c r="BG288" i="18"/>
  <c r="BF256" i="18"/>
  <c r="BF257" i="18"/>
  <c r="BF10" i="18"/>
  <c r="BG462" i="18"/>
  <c r="BI408" i="18"/>
  <c r="CJ381" i="18" l="1"/>
  <c r="CJ445" i="18"/>
  <c r="CL321" i="18"/>
  <c r="CM334" i="18" s="1"/>
  <c r="CK334" i="18"/>
  <c r="BR185" i="18"/>
  <c r="BR342" i="18"/>
  <c r="BS163" i="18"/>
  <c r="BT162" i="18"/>
  <c r="BT163" i="18" s="1"/>
  <c r="BW109" i="18"/>
  <c r="BW108" i="18" s="1"/>
  <c r="BU108" i="18"/>
  <c r="BU98" i="18" s="1"/>
  <c r="BT98" i="18"/>
  <c r="BU109" i="18"/>
  <c r="DZ58" i="18"/>
  <c r="DZ59" i="18" s="1"/>
  <c r="BT105" i="18"/>
  <c r="CO20" i="48"/>
  <c r="CO57" i="48" s="1"/>
  <c r="CO22" i="48"/>
  <c r="CO52" i="48" s="1"/>
  <c r="CQ19" i="48"/>
  <c r="CQ56" i="48" s="1"/>
  <c r="CP21" i="48"/>
  <c r="CP37" i="19"/>
  <c r="CP43" i="19" s="1"/>
  <c r="CP42" i="19" s="1"/>
  <c r="CP150" i="19" s="1"/>
  <c r="CR14" i="48"/>
  <c r="CR15" i="48" s="1"/>
  <c r="CR12" i="48"/>
  <c r="CL29" i="16"/>
  <c r="CL54" i="48"/>
  <c r="CM54" i="48" s="1"/>
  <c r="CQ15" i="48"/>
  <c r="CM57" i="48"/>
  <c r="CM58" i="48" s="1"/>
  <c r="CL58" i="48"/>
  <c r="CM23" i="48"/>
  <c r="CM53" i="48" s="1"/>
  <c r="CR35" i="19"/>
  <c r="CS35" i="19" s="1"/>
  <c r="CS20" i="16"/>
  <c r="CS176" i="16" s="1"/>
  <c r="CR176" i="16"/>
  <c r="CQ103" i="77"/>
  <c r="CQ57" i="77"/>
  <c r="CQ58" i="77" s="1"/>
  <c r="CR56" i="18"/>
  <c r="CS56" i="18" s="1"/>
  <c r="CS57" i="18"/>
  <c r="CO364" i="18"/>
  <c r="CP79" i="18"/>
  <c r="AH243" i="18"/>
  <c r="AH205" i="18"/>
  <c r="AH225" i="18" s="1"/>
  <c r="AE605" i="18"/>
  <c r="BW341" i="18"/>
  <c r="BW452" i="18" s="1"/>
  <c r="BI588" i="18"/>
  <c r="BU183" i="18"/>
  <c r="BU196" i="18" s="1"/>
  <c r="BT591" i="18"/>
  <c r="BU591" i="18" s="1"/>
  <c r="AI588" i="18"/>
  <c r="AH598" i="18"/>
  <c r="AG599" i="18"/>
  <c r="DK590" i="18" s="1"/>
  <c r="AG598" i="18"/>
  <c r="AG597" i="18"/>
  <c r="AE597" i="18"/>
  <c r="AE599" i="18"/>
  <c r="BU184" i="18"/>
  <c r="BU197" i="18" s="1"/>
  <c r="BT592" i="18"/>
  <c r="BU592" i="18" s="1"/>
  <c r="AG605" i="18"/>
  <c r="AK584" i="18"/>
  <c r="BL586" i="18"/>
  <c r="AH602" i="18"/>
  <c r="CD336" i="18"/>
  <c r="CD447" i="18" s="1"/>
  <c r="AE351" i="18"/>
  <c r="AE602" i="18"/>
  <c r="W108" i="16"/>
  <c r="W104" i="16"/>
  <c r="X93" i="16"/>
  <c r="AH351" i="18"/>
  <c r="BX103" i="18"/>
  <c r="EB57" i="18" s="1"/>
  <c r="BU452" i="18"/>
  <c r="BU388" i="18"/>
  <c r="BT388" i="18"/>
  <c r="BT452" i="18"/>
  <c r="BH283" i="18"/>
  <c r="BH43" i="18"/>
  <c r="BH10" i="18" s="1"/>
  <c r="CF150" i="18"/>
  <c r="CD179" i="18"/>
  <c r="CD587" i="18" s="1"/>
  <c r="CE151" i="18"/>
  <c r="AJ110" i="77"/>
  <c r="AJ111" i="77" s="1"/>
  <c r="AE205" i="18"/>
  <c r="AE225" i="18" s="1"/>
  <c r="AD265" i="18"/>
  <c r="CC383" i="18"/>
  <c r="CC447" i="18"/>
  <c r="BI59" i="18"/>
  <c r="BI253" i="18" s="1"/>
  <c r="CF246" i="18"/>
  <c r="CF276" i="18"/>
  <c r="CG53" i="18"/>
  <c r="BG10" i="18"/>
  <c r="BG256" i="18"/>
  <c r="BH253" i="18"/>
  <c r="BG257" i="18"/>
  <c r="AJ39" i="77"/>
  <c r="AK39" i="77" s="1"/>
  <c r="AK40" i="77" s="1"/>
  <c r="AJ50" i="77"/>
  <c r="BI248" i="18"/>
  <c r="BF112" i="77"/>
  <c r="BF113" i="77" s="1"/>
  <c r="BG116" i="77"/>
  <c r="DF168" i="18"/>
  <c r="AO15" i="77"/>
  <c r="AO20" i="77" s="1"/>
  <c r="BH94" i="77"/>
  <c r="BH95" i="77" s="1"/>
  <c r="BI95" i="77" s="1"/>
  <c r="BH31" i="77"/>
  <c r="BI31" i="77" s="1"/>
  <c r="BH114" i="77"/>
  <c r="BI114" i="77" s="1"/>
  <c r="BH45" i="77"/>
  <c r="BI45" i="77" s="1"/>
  <c r="BG17" i="77"/>
  <c r="BG29" i="77"/>
  <c r="AJ28" i="77"/>
  <c r="AK28" i="77" s="1"/>
  <c r="AJ27" i="77"/>
  <c r="BF44" i="77"/>
  <c r="AI109" i="77"/>
  <c r="AI108" i="77"/>
  <c r="AM110" i="77"/>
  <c r="AM35" i="77"/>
  <c r="AM25" i="77"/>
  <c r="BI14" i="77"/>
  <c r="AG351" i="18"/>
  <c r="DG322" i="18"/>
  <c r="BI180" i="18"/>
  <c r="DH322" i="18"/>
  <c r="AN22" i="77"/>
  <c r="AN20" i="77"/>
  <c r="AK25" i="77"/>
  <c r="BG43" i="77"/>
  <c r="BG44" i="77" s="1"/>
  <c r="AM50" i="77"/>
  <c r="AM39" i="77"/>
  <c r="AU33" i="77"/>
  <c r="AZ48" i="77"/>
  <c r="BM178" i="18"/>
  <c r="BM335" i="18"/>
  <c r="AS30" i="18"/>
  <c r="AJ180" i="18"/>
  <c r="AJ337" i="18"/>
  <c r="BQ368" i="18"/>
  <c r="BO373" i="18"/>
  <c r="BQ370" i="18"/>
  <c r="AI448" i="18"/>
  <c r="AI454" i="18" s="1"/>
  <c r="AI384" i="18"/>
  <c r="AI390" i="18" s="1"/>
  <c r="AI345" i="18"/>
  <c r="BH417" i="18"/>
  <c r="BH416" i="18"/>
  <c r="BI416" i="18" s="1"/>
  <c r="BN377" i="18"/>
  <c r="BN387" i="18" s="1"/>
  <c r="BN375" i="18"/>
  <c r="BN376" i="18" s="1"/>
  <c r="BK415" i="18"/>
  <c r="DS53" i="18"/>
  <c r="BN362" i="18"/>
  <c r="BO367" i="18" s="1"/>
  <c r="BO386" i="18" s="1"/>
  <c r="BO358" i="18"/>
  <c r="AM444" i="18"/>
  <c r="AM380" i="18"/>
  <c r="BG431" i="18"/>
  <c r="BG450" i="18" s="1"/>
  <c r="BG429" i="18"/>
  <c r="BK446" i="18"/>
  <c r="BK382" i="18"/>
  <c r="BL446" i="18"/>
  <c r="BL382" i="18"/>
  <c r="AP144" i="18"/>
  <c r="AP145" i="18" s="1"/>
  <c r="AK337" i="18"/>
  <c r="BH448" i="18"/>
  <c r="BH384" i="18"/>
  <c r="BO377" i="18"/>
  <c r="BO387" i="18" s="1"/>
  <c r="BN148" i="18"/>
  <c r="AU28" i="18"/>
  <c r="AM420" i="18"/>
  <c r="BF472" i="18"/>
  <c r="AM461" i="18"/>
  <c r="AM397" i="18"/>
  <c r="BI448" i="18"/>
  <c r="BI384" i="18"/>
  <c r="BI154" i="18"/>
  <c r="BH398" i="18"/>
  <c r="BH155" i="18"/>
  <c r="BK414" i="18"/>
  <c r="BK371" i="18"/>
  <c r="BH169" i="18"/>
  <c r="BK361" i="18"/>
  <c r="BK73" i="18"/>
  <c r="AO145" i="18"/>
  <c r="AM152" i="18"/>
  <c r="AQ153" i="18"/>
  <c r="AK169" i="18"/>
  <c r="AK172" i="18" s="1"/>
  <c r="AK61" i="18" s="1"/>
  <c r="AK153" i="18"/>
  <c r="AK168" i="18" s="1"/>
  <c r="AN444" i="18"/>
  <c r="AN380" i="18"/>
  <c r="BH460" i="18"/>
  <c r="BH434" i="18"/>
  <c r="BI434" i="18" s="1"/>
  <c r="BH438" i="18"/>
  <c r="BI438" i="18" s="1"/>
  <c r="BI433" i="18"/>
  <c r="BH432" i="18"/>
  <c r="AG243" i="18"/>
  <c r="AG205" i="18"/>
  <c r="AG225" i="18" s="1"/>
  <c r="AI174" i="18"/>
  <c r="AI604" i="18" s="1"/>
  <c r="BM367" i="18"/>
  <c r="BM386" i="18" s="1"/>
  <c r="BM365" i="18"/>
  <c r="BG461" i="18"/>
  <c r="BG397" i="18"/>
  <c r="BG420" i="18"/>
  <c r="BH428" i="18"/>
  <c r="BI428" i="18" s="1"/>
  <c r="BH422" i="18"/>
  <c r="BH424" i="18"/>
  <c r="BI424" i="18" s="1"/>
  <c r="BI423" i="18"/>
  <c r="CM445" i="18" l="1"/>
  <c r="CM381" i="18"/>
  <c r="CM321" i="18"/>
  <c r="CO321" i="18" s="1"/>
  <c r="CL334" i="18"/>
  <c r="CK445" i="18"/>
  <c r="CK381" i="18"/>
  <c r="BU162" i="18"/>
  <c r="BW162" i="18"/>
  <c r="BS342" i="18"/>
  <c r="BS185" i="18"/>
  <c r="BS593" i="18" s="1"/>
  <c r="BT185" i="18"/>
  <c r="BT593" i="18" s="1"/>
  <c r="BT342" i="18"/>
  <c r="BX109" i="18"/>
  <c r="BX108" i="18" s="1"/>
  <c r="BU342" i="18"/>
  <c r="BW98" i="18"/>
  <c r="BU105" i="18"/>
  <c r="BR453" i="18"/>
  <c r="BR389" i="18"/>
  <c r="BU163" i="18"/>
  <c r="EA58" i="18"/>
  <c r="EA59" i="18" s="1"/>
  <c r="BW105" i="18"/>
  <c r="BR593" i="18"/>
  <c r="CP20" i="48"/>
  <c r="CP57" i="48" s="1"/>
  <c r="CP58" i="48" s="1"/>
  <c r="CP22" i="48"/>
  <c r="CP52" i="48" s="1"/>
  <c r="CR19" i="48"/>
  <c r="CR56" i="48" s="1"/>
  <c r="CS56" i="48" s="1"/>
  <c r="CQ21" i="48"/>
  <c r="CQ37" i="19"/>
  <c r="CQ43" i="19" s="1"/>
  <c r="CQ42" i="19" s="1"/>
  <c r="CQ150" i="19" s="1"/>
  <c r="CM29" i="16"/>
  <c r="CL38" i="17"/>
  <c r="CL45" i="16"/>
  <c r="CL164" i="16"/>
  <c r="CS12" i="48"/>
  <c r="CS13" i="48" s="1"/>
  <c r="CO29" i="16"/>
  <c r="CO23" i="48"/>
  <c r="CO53" i="48" s="1"/>
  <c r="CS14" i="48"/>
  <c r="CO58" i="48"/>
  <c r="CQ79" i="18"/>
  <c r="CP364" i="18"/>
  <c r="CI150" i="18"/>
  <c r="CI151" i="18" s="1"/>
  <c r="BW388" i="18"/>
  <c r="CD383" i="18"/>
  <c r="AI596" i="18"/>
  <c r="AI605" i="18" s="1"/>
  <c r="AK180" i="18"/>
  <c r="AJ588" i="18"/>
  <c r="AJ596" i="18" s="1"/>
  <c r="BM586" i="18"/>
  <c r="CE179" i="18"/>
  <c r="CE587" i="18" s="1"/>
  <c r="X100" i="16"/>
  <c r="X103" i="16" s="1"/>
  <c r="W103" i="16"/>
  <c r="W109" i="16"/>
  <c r="X97" i="16"/>
  <c r="Y97" i="16" s="1"/>
  <c r="Y98" i="16" s="1"/>
  <c r="X102" i="16"/>
  <c r="BK123" i="18"/>
  <c r="BK134" i="18"/>
  <c r="BI171" i="18"/>
  <c r="BX160" i="18"/>
  <c r="BX99" i="18"/>
  <c r="BX102" i="18"/>
  <c r="BN149" i="18"/>
  <c r="BQ148" i="18"/>
  <c r="BQ149" i="18" s="1"/>
  <c r="BK114" i="18"/>
  <c r="BK288" i="18"/>
  <c r="BH256" i="18"/>
  <c r="CF151" i="18"/>
  <c r="CG150" i="18"/>
  <c r="CE336" i="18"/>
  <c r="CE447" i="18" s="1"/>
  <c r="BI169" i="18"/>
  <c r="AK110" i="77"/>
  <c r="AK111" i="77" s="1"/>
  <c r="AG265" i="18"/>
  <c r="AK41" i="77"/>
  <c r="CG246" i="18"/>
  <c r="CG54" i="18"/>
  <c r="CI54" i="18" s="1"/>
  <c r="AJ106" i="77"/>
  <c r="AJ108" i="77" s="1"/>
  <c r="AJ42" i="77"/>
  <c r="AK42" i="77" s="1"/>
  <c r="AJ41" i="77"/>
  <c r="AJ40" i="77"/>
  <c r="BH257" i="18"/>
  <c r="BI46" i="77"/>
  <c r="BK433" i="18"/>
  <c r="BK438" i="18" s="1"/>
  <c r="BH116" i="77"/>
  <c r="BI116" i="77" s="1"/>
  <c r="AO22" i="77"/>
  <c r="AO21" i="77"/>
  <c r="AO49" i="77"/>
  <c r="AO34" i="77"/>
  <c r="DV168" i="18"/>
  <c r="AK27" i="77"/>
  <c r="AK106" i="77"/>
  <c r="AK108" i="77" s="1"/>
  <c r="BI193" i="18"/>
  <c r="BI32" i="77"/>
  <c r="BI398" i="18"/>
  <c r="AJ174" i="18"/>
  <c r="AM40" i="77"/>
  <c r="AM63" i="77"/>
  <c r="AM42" i="77"/>
  <c r="AM41" i="77"/>
  <c r="AN49" i="77"/>
  <c r="AN34" i="77"/>
  <c r="AN21" i="77"/>
  <c r="AM27" i="77"/>
  <c r="AM28" i="77"/>
  <c r="AM26" i="77"/>
  <c r="AM106" i="77"/>
  <c r="AM111" i="77"/>
  <c r="BG112" i="77"/>
  <c r="BG30" i="77"/>
  <c r="AP15" i="77"/>
  <c r="AQ15" i="77" s="1"/>
  <c r="AV33" i="77"/>
  <c r="BA48" i="77"/>
  <c r="BH462" i="18"/>
  <c r="BH437" i="18"/>
  <c r="BI432" i="18"/>
  <c r="BQ360" i="18"/>
  <c r="BQ358" i="18"/>
  <c r="BO362" i="18"/>
  <c r="AI348" i="18"/>
  <c r="AI347" i="18"/>
  <c r="AI346" i="18"/>
  <c r="BI460" i="18"/>
  <c r="AN419" i="18"/>
  <c r="AM169" i="18"/>
  <c r="AM172" i="18" s="1"/>
  <c r="AM61" i="18" s="1"/>
  <c r="AM153" i="18"/>
  <c r="AN152" i="18"/>
  <c r="AN417" i="18"/>
  <c r="AM398" i="18"/>
  <c r="AM462" i="18"/>
  <c r="AM171" i="18"/>
  <c r="AN413" i="18"/>
  <c r="AN414" i="18"/>
  <c r="AM170" i="18"/>
  <c r="BO148" i="18"/>
  <c r="BN365" i="18"/>
  <c r="BO365" i="18" s="1"/>
  <c r="BN367" i="18"/>
  <c r="BN386" i="18" s="1"/>
  <c r="BH461" i="18"/>
  <c r="BH397" i="18"/>
  <c r="BH420" i="18"/>
  <c r="BQ373" i="18"/>
  <c r="BR370" i="18"/>
  <c r="BR368" i="18"/>
  <c r="AO333" i="18"/>
  <c r="AO176" i="18"/>
  <c r="AO584" i="18" s="1"/>
  <c r="AQ333" i="18"/>
  <c r="AJ448" i="18"/>
  <c r="AJ454" i="18" s="1"/>
  <c r="AJ384" i="18"/>
  <c r="AJ390" i="18" s="1"/>
  <c r="AJ345" i="18"/>
  <c r="AJ347" i="18" s="1"/>
  <c r="AP333" i="18"/>
  <c r="AP176" i="18"/>
  <c r="AP584" i="18" s="1"/>
  <c r="BG430" i="18"/>
  <c r="BG467" i="18" s="1"/>
  <c r="AI392" i="18"/>
  <c r="AI391" i="18"/>
  <c r="AI353" i="18"/>
  <c r="AI354" i="18" s="1"/>
  <c r="DE353" i="18" s="1"/>
  <c r="AI291" i="18"/>
  <c r="AI261" i="18"/>
  <c r="AI260" i="18"/>
  <c r="AI602" i="18" s="1"/>
  <c r="AI12" i="18"/>
  <c r="AO261" i="18"/>
  <c r="AO260" i="18"/>
  <c r="AO602" i="18" s="1"/>
  <c r="AI201" i="18"/>
  <c r="BH181" i="18"/>
  <c r="BH589" i="18" s="1"/>
  <c r="BI589" i="18" s="1"/>
  <c r="BH338" i="18"/>
  <c r="BI155" i="18"/>
  <c r="BI338" i="18"/>
  <c r="AP170" i="18"/>
  <c r="AQ144" i="18"/>
  <c r="AS144" i="18"/>
  <c r="AI455" i="18"/>
  <c r="AI456" i="18"/>
  <c r="BM446" i="18"/>
  <c r="BM382" i="18"/>
  <c r="BI417" i="18"/>
  <c r="AK448" i="18"/>
  <c r="AK454" i="18" s="1"/>
  <c r="AK455" i="18" s="1"/>
  <c r="AK384" i="18"/>
  <c r="AK390" i="18" s="1"/>
  <c r="AK391" i="18" s="1"/>
  <c r="AK345" i="18"/>
  <c r="AV28" i="18"/>
  <c r="AV29" i="18" s="1"/>
  <c r="AV30" i="18" s="1"/>
  <c r="BK417" i="18"/>
  <c r="BK416" i="18"/>
  <c r="AU29" i="18"/>
  <c r="AH265" i="18"/>
  <c r="BI422" i="18"/>
  <c r="BI426" i="18" s="1"/>
  <c r="BH426" i="18"/>
  <c r="BO375" i="18"/>
  <c r="BO376" i="18" s="1"/>
  <c r="BK423" i="18"/>
  <c r="CL445" i="18" l="1"/>
  <c r="CL381" i="18"/>
  <c r="CP321" i="18"/>
  <c r="CO334" i="18"/>
  <c r="BU185" i="18"/>
  <c r="BU198" i="18" s="1"/>
  <c r="BT389" i="18"/>
  <c r="BT453" i="18"/>
  <c r="BU252" i="18"/>
  <c r="BU593" i="18"/>
  <c r="BY109" i="18"/>
  <c r="BY108" i="18" s="1"/>
  <c r="EB58" i="18"/>
  <c r="EB59" i="18" s="1"/>
  <c r="BX105" i="18"/>
  <c r="BS389" i="18"/>
  <c r="BS453" i="18"/>
  <c r="BW163" i="18"/>
  <c r="BX162" i="18"/>
  <c r="BU389" i="18"/>
  <c r="BU453" i="18"/>
  <c r="CS15" i="48"/>
  <c r="CO32" i="16"/>
  <c r="CO38" i="17" s="1"/>
  <c r="CO43" i="17" s="1"/>
  <c r="CO54" i="48"/>
  <c r="CS19" i="48"/>
  <c r="CR21" i="48"/>
  <c r="CR37" i="19"/>
  <c r="CR43" i="19" s="1"/>
  <c r="CP29" i="16"/>
  <c r="CL43" i="17"/>
  <c r="CM38" i="17"/>
  <c r="CM43" i="17" s="1"/>
  <c r="CP23" i="48"/>
  <c r="CP53" i="48" s="1"/>
  <c r="CM45" i="16"/>
  <c r="CM164" i="16"/>
  <c r="CQ20" i="48"/>
  <c r="CQ57" i="48" s="1"/>
  <c r="CQ22" i="48"/>
  <c r="CQ52" i="48" s="1"/>
  <c r="CQ364" i="18"/>
  <c r="CR79" i="18"/>
  <c r="CS79" i="18" s="1"/>
  <c r="CS80" i="18" s="1"/>
  <c r="CJ54" i="18"/>
  <c r="CI53" i="18"/>
  <c r="CI179" i="18"/>
  <c r="CI336" i="18"/>
  <c r="CJ150" i="18"/>
  <c r="CJ151" i="18" s="1"/>
  <c r="AK174" i="18"/>
  <c r="AK260" i="18" s="1"/>
  <c r="AK588" i="18"/>
  <c r="AQ584" i="18"/>
  <c r="AI598" i="18"/>
  <c r="AK596" i="18"/>
  <c r="AI597" i="18"/>
  <c r="AI599" i="18"/>
  <c r="DM590" i="18" s="1"/>
  <c r="AJ599" i="18"/>
  <c r="DN590" i="18" s="1"/>
  <c r="AJ598" i="18"/>
  <c r="AJ597" i="18"/>
  <c r="BX161" i="18"/>
  <c r="BX341" i="18" s="1"/>
  <c r="CF179" i="18"/>
  <c r="BN178" i="18"/>
  <c r="AJ353" i="18"/>
  <c r="AJ354" i="18" s="1"/>
  <c r="DF353" i="18" s="1"/>
  <c r="AJ604" i="18"/>
  <c r="AJ605" i="18" s="1"/>
  <c r="Y103" i="16"/>
  <c r="Y104" i="16" s="1"/>
  <c r="AE100" i="16" s="1"/>
  <c r="AE93" i="16"/>
  <c r="AE102" i="16" s="1"/>
  <c r="Y108" i="16"/>
  <c r="AA93" i="16"/>
  <c r="AJ201" i="18"/>
  <c r="AJ205" i="18" s="1"/>
  <c r="AJ225" i="18" s="1"/>
  <c r="AJ260" i="18"/>
  <c r="AJ261" i="18"/>
  <c r="BO335" i="18"/>
  <c r="BO382" i="18" s="1"/>
  <c r="BN335" i="18"/>
  <c r="BN446" i="18" s="1"/>
  <c r="BO149" i="18"/>
  <c r="BY103" i="18"/>
  <c r="EC57" i="18" s="1"/>
  <c r="BX98" i="18"/>
  <c r="CG151" i="18"/>
  <c r="CG336" i="18"/>
  <c r="CG383" i="18" s="1"/>
  <c r="BI9" i="18"/>
  <c r="BI18" i="77" s="1"/>
  <c r="BH237" i="18"/>
  <c r="CE383" i="18"/>
  <c r="CF336" i="18"/>
  <c r="CF383" i="18" s="1"/>
  <c r="BI181" i="18"/>
  <c r="BI194" i="18" s="1"/>
  <c r="BH18" i="77"/>
  <c r="BH267" i="18"/>
  <c r="BK434" i="18"/>
  <c r="AJ109" i="77"/>
  <c r="AK109" i="77" s="1"/>
  <c r="AJ12" i="18"/>
  <c r="AJ291" i="18"/>
  <c r="AP22" i="77"/>
  <c r="AP20" i="77"/>
  <c r="AO351" i="18"/>
  <c r="DG168" i="18"/>
  <c r="DI322" i="18"/>
  <c r="AM107" i="77"/>
  <c r="AM108" i="77"/>
  <c r="AM109" i="77"/>
  <c r="AN35" i="77"/>
  <c r="AN25" i="77"/>
  <c r="AN110" i="77"/>
  <c r="BI96" i="77"/>
  <c r="BI94" i="77" s="1"/>
  <c r="BI115" i="77"/>
  <c r="AO35" i="77"/>
  <c r="AO25" i="77"/>
  <c r="AO110" i="77"/>
  <c r="AO111" i="77" s="1"/>
  <c r="AI351" i="18"/>
  <c r="AQ176" i="18"/>
  <c r="BI462" i="18"/>
  <c r="AQ22" i="77"/>
  <c r="AS15" i="77"/>
  <c r="AS20" i="77" s="1"/>
  <c r="AQ20" i="77"/>
  <c r="AQ21" i="77" s="1"/>
  <c r="BG113" i="77"/>
  <c r="AN39" i="77"/>
  <c r="AN50" i="77"/>
  <c r="AO39" i="77"/>
  <c r="AO50" i="77"/>
  <c r="BB48" i="77"/>
  <c r="AW33" i="77"/>
  <c r="AY33" i="77" s="1"/>
  <c r="BK461" i="18"/>
  <c r="BK397" i="18"/>
  <c r="BK428" i="18"/>
  <c r="BK422" i="18"/>
  <c r="BK426" i="18" s="1"/>
  <c r="BK424" i="18"/>
  <c r="AJ346" i="18"/>
  <c r="AJ348" i="18"/>
  <c r="AS170" i="18"/>
  <c r="AS145" i="18"/>
  <c r="AT144" i="18"/>
  <c r="AT145" i="18" s="1"/>
  <c r="AI243" i="18"/>
  <c r="AI205" i="18"/>
  <c r="AI225" i="18" s="1"/>
  <c r="AO243" i="18"/>
  <c r="AJ456" i="18"/>
  <c r="AK456" i="18" s="1"/>
  <c r="AJ455" i="18"/>
  <c r="AN420" i="18"/>
  <c r="BH441" i="18"/>
  <c r="BH451" i="18" s="1"/>
  <c r="BH439" i="18"/>
  <c r="BI441" i="18"/>
  <c r="BI451" i="18" s="1"/>
  <c r="BG472" i="18"/>
  <c r="AM180" i="18"/>
  <c r="AM337" i="18"/>
  <c r="AQ170" i="18"/>
  <c r="AQ145" i="18"/>
  <c r="AQ168" i="18" s="1"/>
  <c r="AQ444" i="18"/>
  <c r="AQ380" i="18"/>
  <c r="BQ377" i="18"/>
  <c r="BQ387" i="18" s="1"/>
  <c r="BQ375" i="18"/>
  <c r="BI449" i="18"/>
  <c r="BI385" i="18"/>
  <c r="AO380" i="18"/>
  <c r="AO444" i="18"/>
  <c r="AN461" i="18"/>
  <c r="AN397" i="18"/>
  <c r="AU30" i="18"/>
  <c r="AW30" i="18" s="1"/>
  <c r="AW29" i="18"/>
  <c r="AW28" i="18"/>
  <c r="AY28" i="18"/>
  <c r="AO419" i="18"/>
  <c r="AO152" i="18"/>
  <c r="AO153" i="18" s="1"/>
  <c r="AN169" i="18"/>
  <c r="AN172" i="18" s="1"/>
  <c r="AN61" i="18" s="1"/>
  <c r="AO417" i="18"/>
  <c r="AN398" i="18"/>
  <c r="AN462" i="18"/>
  <c r="AN171" i="18"/>
  <c r="AO413" i="18"/>
  <c r="AO414" i="18"/>
  <c r="AN170" i="18"/>
  <c r="BR358" i="18"/>
  <c r="BR360" i="18"/>
  <c r="BQ362" i="18"/>
  <c r="AK346" i="18"/>
  <c r="AK348" i="18"/>
  <c r="BH449" i="18"/>
  <c r="BH385" i="18"/>
  <c r="BI461" i="18"/>
  <c r="BI397" i="18"/>
  <c r="BI420" i="18"/>
  <c r="BH429" i="18"/>
  <c r="BH431" i="18"/>
  <c r="BH450" i="18" s="1"/>
  <c r="BI431" i="18"/>
  <c r="BI450" i="18" s="1"/>
  <c r="AP444" i="18"/>
  <c r="AP380" i="18"/>
  <c r="AJ391" i="18"/>
  <c r="AJ392" i="18"/>
  <c r="AK392" i="18" s="1"/>
  <c r="BS370" i="18"/>
  <c r="BR373" i="18"/>
  <c r="BS368" i="18"/>
  <c r="AN153" i="18"/>
  <c r="BI437" i="18"/>
  <c r="BK432" i="18"/>
  <c r="CO381" i="18" l="1"/>
  <c r="CO445" i="18"/>
  <c r="CQ321" i="18"/>
  <c r="CP334" i="18"/>
  <c r="BW342" i="18"/>
  <c r="BW185" i="18"/>
  <c r="BZ109" i="18"/>
  <c r="BZ108" i="18" s="1"/>
  <c r="BX163" i="18"/>
  <c r="BY162" i="18"/>
  <c r="EC58" i="18"/>
  <c r="EC59" i="18" s="1"/>
  <c r="BY105" i="18"/>
  <c r="CS43" i="19"/>
  <c r="CR42" i="19"/>
  <c r="CQ29" i="16"/>
  <c r="CQ58" i="48"/>
  <c r="CO164" i="16"/>
  <c r="CO45" i="16"/>
  <c r="CR20" i="48"/>
  <c r="CR22" i="48"/>
  <c r="CP32" i="16"/>
  <c r="CP54" i="48"/>
  <c r="CS37" i="19"/>
  <c r="CQ23" i="48"/>
  <c r="CQ53" i="48" s="1"/>
  <c r="CQ32" i="16" s="1"/>
  <c r="CR364" i="18"/>
  <c r="CS364" i="18" s="1"/>
  <c r="CK150" i="18"/>
  <c r="CK151" i="18" s="1"/>
  <c r="CI383" i="18"/>
  <c r="CI447" i="18"/>
  <c r="CI587" i="18"/>
  <c r="CI276" i="18"/>
  <c r="CI246" i="18"/>
  <c r="CJ179" i="18"/>
  <c r="CJ587" i="18" s="1"/>
  <c r="CJ336" i="18"/>
  <c r="CK54" i="18"/>
  <c r="CJ53" i="18"/>
  <c r="AK604" i="18"/>
  <c r="AK605" i="18" s="1"/>
  <c r="AK201" i="18"/>
  <c r="Y109" i="16"/>
  <c r="BX184" i="18"/>
  <c r="BX592" i="18" s="1"/>
  <c r="AK353" i="18"/>
  <c r="AK354" i="18" s="1"/>
  <c r="AK355" i="18" s="1"/>
  <c r="AK261" i="18"/>
  <c r="AK12" i="18"/>
  <c r="AA100" i="16"/>
  <c r="AM588" i="18"/>
  <c r="CG179" i="18"/>
  <c r="CG192" i="18" s="1"/>
  <c r="CF587" i="18"/>
  <c r="CG587" i="18" s="1"/>
  <c r="AK599" i="18"/>
  <c r="AK597" i="18"/>
  <c r="BO178" i="18"/>
  <c r="BN586" i="18"/>
  <c r="BO586" i="18" s="1"/>
  <c r="AJ351" i="18"/>
  <c r="AJ602" i="18"/>
  <c r="AK351" i="18"/>
  <c r="AK352" i="18" s="1"/>
  <c r="AK602" i="18"/>
  <c r="AA102" i="16"/>
  <c r="AA98" i="16"/>
  <c r="AJ243" i="18"/>
  <c r="BN382" i="18"/>
  <c r="BO446" i="18"/>
  <c r="BY102" i="18"/>
  <c r="BY98" i="18" s="1"/>
  <c r="BY99" i="18"/>
  <c r="BY160" i="18"/>
  <c r="BX388" i="18"/>
  <c r="BX452" i="18"/>
  <c r="BI237" i="18"/>
  <c r="CG447" i="18"/>
  <c r="CF447" i="18"/>
  <c r="AI265" i="18"/>
  <c r="AP34" i="77"/>
  <c r="AQ34" i="77" s="1"/>
  <c r="AQ35" i="77" s="1"/>
  <c r="AP49" i="77"/>
  <c r="AQ49" i="77" s="1"/>
  <c r="AQ50" i="77" s="1"/>
  <c r="AP21" i="77"/>
  <c r="DJ322" i="18"/>
  <c r="AT15" i="77"/>
  <c r="AT20" i="77" s="1"/>
  <c r="AS22" i="77"/>
  <c r="AN111" i="77"/>
  <c r="DH168" i="18"/>
  <c r="AO40" i="77"/>
  <c r="AO42" i="77"/>
  <c r="AO63" i="77"/>
  <c r="AO89" i="77"/>
  <c r="AO41" i="77"/>
  <c r="AO55" i="77"/>
  <c r="AN42" i="77"/>
  <c r="AN40" i="77"/>
  <c r="AN41" i="77"/>
  <c r="AN63" i="77"/>
  <c r="AS34" i="77"/>
  <c r="AS21" i="77"/>
  <c r="AS49" i="77"/>
  <c r="AO28" i="77"/>
  <c r="AO27" i="77"/>
  <c r="AO26" i="77"/>
  <c r="AO106" i="77"/>
  <c r="AN26" i="77"/>
  <c r="AN28" i="77"/>
  <c r="AN27" i="77"/>
  <c r="AN106" i="77"/>
  <c r="AZ33" i="77"/>
  <c r="BC48" i="77"/>
  <c r="BE48" i="77" s="1"/>
  <c r="AO461" i="18"/>
  <c r="AO397" i="18"/>
  <c r="BQ365" i="18"/>
  <c r="BQ367" i="18"/>
  <c r="BQ386" i="18" s="1"/>
  <c r="AO420" i="18"/>
  <c r="BS358" i="18"/>
  <c r="BS360" i="18"/>
  <c r="BR362" i="18"/>
  <c r="BK437" i="18"/>
  <c r="BT370" i="18"/>
  <c r="BU370" i="18" s="1"/>
  <c r="BS373" i="18"/>
  <c r="BT368" i="18"/>
  <c r="AM174" i="18"/>
  <c r="AM604" i="18" s="1"/>
  <c r="BH440" i="18"/>
  <c r="BI439" i="18"/>
  <c r="BI440" i="18" s="1"/>
  <c r="BK429" i="18"/>
  <c r="BK431" i="18"/>
  <c r="BK450" i="18" s="1"/>
  <c r="AZ28" i="18"/>
  <c r="AZ29" i="18" s="1"/>
  <c r="AZ30" i="18" s="1"/>
  <c r="AY29" i="18"/>
  <c r="AT176" i="18"/>
  <c r="AT333" i="18"/>
  <c r="BH430" i="18"/>
  <c r="BI429" i="18"/>
  <c r="BI430" i="18" s="1"/>
  <c r="AP419" i="18"/>
  <c r="AP153" i="18"/>
  <c r="AO169" i="18"/>
  <c r="AO172" i="18" s="1"/>
  <c r="AO61" i="18" s="1"/>
  <c r="AP417" i="18"/>
  <c r="AO398" i="18"/>
  <c r="AO462" i="18"/>
  <c r="AO171" i="18"/>
  <c r="AP413" i="18"/>
  <c r="AQ413" i="18" s="1"/>
  <c r="AP414" i="18"/>
  <c r="AQ414" i="18" s="1"/>
  <c r="AO170" i="18"/>
  <c r="BQ376" i="18"/>
  <c r="AT170" i="18"/>
  <c r="AU144" i="18"/>
  <c r="AU145" i="18" s="1"/>
  <c r="BR375" i="18"/>
  <c r="BR376" i="18" s="1"/>
  <c r="BR377" i="18"/>
  <c r="BR387" i="18" s="1"/>
  <c r="BR148" i="18"/>
  <c r="AN180" i="18"/>
  <c r="AN588" i="18" s="1"/>
  <c r="AN596" i="18" s="1"/>
  <c r="AN599" i="18" s="1"/>
  <c r="DP590" i="18" s="1"/>
  <c r="AN337" i="18"/>
  <c r="AO180" i="18"/>
  <c r="AO337" i="18"/>
  <c r="AJ265" i="18"/>
  <c r="AM448" i="18"/>
  <c r="AM454" i="18" s="1"/>
  <c r="AM384" i="18"/>
  <c r="AM390" i="18" s="1"/>
  <c r="AM345" i="18"/>
  <c r="AS176" i="18"/>
  <c r="AS584" i="18" s="1"/>
  <c r="AS333" i="18"/>
  <c r="CQ54" i="48" l="1"/>
  <c r="CP445" i="18"/>
  <c r="CP381" i="18"/>
  <c r="CR321" i="18"/>
  <c r="CS334" i="18" s="1"/>
  <c r="CQ334" i="18"/>
  <c r="CC109" i="18"/>
  <c r="CC108" i="18" s="1"/>
  <c r="CA108" i="18"/>
  <c r="BW453" i="18"/>
  <c r="BW389" i="18"/>
  <c r="BX342" i="18"/>
  <c r="BX185" i="18"/>
  <c r="BX593" i="18" s="1"/>
  <c r="BW593" i="18"/>
  <c r="CA109" i="18"/>
  <c r="ED58" i="18"/>
  <c r="BZ105" i="18"/>
  <c r="BY163" i="18"/>
  <c r="BZ162" i="18"/>
  <c r="BZ163" i="18" s="1"/>
  <c r="CS22" i="48"/>
  <c r="CS52" i="48" s="1"/>
  <c r="CR52" i="48"/>
  <c r="CQ38" i="17"/>
  <c r="CQ43" i="17" s="1"/>
  <c r="CP45" i="16"/>
  <c r="CP164" i="16"/>
  <c r="CP38" i="17"/>
  <c r="CP43" i="17" s="1"/>
  <c r="CS20" i="48"/>
  <c r="CS21" i="48" s="1"/>
  <c r="CR57" i="48"/>
  <c r="CQ45" i="16"/>
  <c r="CQ164" i="16"/>
  <c r="CR23" i="48"/>
  <c r="CR53" i="48" s="1"/>
  <c r="CR32" i="16" s="1"/>
  <c r="CR150" i="19"/>
  <c r="CS150" i="19" s="1"/>
  <c r="CS42" i="19"/>
  <c r="CK179" i="18"/>
  <c r="CK587" i="18" s="1"/>
  <c r="CK336" i="18"/>
  <c r="CJ246" i="18"/>
  <c r="CJ276" i="18"/>
  <c r="CL54" i="18"/>
  <c r="CK53" i="18"/>
  <c r="CL150" i="18"/>
  <c r="CJ447" i="18"/>
  <c r="CJ383" i="18"/>
  <c r="AK243" i="18"/>
  <c r="AK205" i="18"/>
  <c r="AK225" i="18" s="1"/>
  <c r="DK313" i="18" s="1"/>
  <c r="DJ314" i="18" s="1"/>
  <c r="BO191" i="18"/>
  <c r="AT174" i="18"/>
  <c r="AT604" i="18" s="1"/>
  <c r="AT584" i="18"/>
  <c r="AT596" i="18" s="1"/>
  <c r="AK603" i="18"/>
  <c r="AS596" i="18"/>
  <c r="AN597" i="18"/>
  <c r="AM596" i="18"/>
  <c r="AN598" i="18" s="1"/>
  <c r="AO588" i="18"/>
  <c r="AO596" i="18" s="1"/>
  <c r="AQ337" i="18"/>
  <c r="AQ448" i="18" s="1"/>
  <c r="AQ454" i="18" s="1"/>
  <c r="AQ455" i="18" s="1"/>
  <c r="AA108" i="16"/>
  <c r="AB93" i="16"/>
  <c r="AA104" i="16"/>
  <c r="AP35" i="77"/>
  <c r="BZ103" i="18"/>
  <c r="BZ99" i="18" s="1"/>
  <c r="BY161" i="18"/>
  <c r="AP25" i="77"/>
  <c r="AQ25" i="77" s="1"/>
  <c r="AP50" i="77"/>
  <c r="AP39" i="77"/>
  <c r="AQ39" i="77" s="1"/>
  <c r="AQ41" i="77" s="1"/>
  <c r="AP110" i="77"/>
  <c r="AP111" i="77" s="1"/>
  <c r="AT22" i="77"/>
  <c r="AT49" i="77"/>
  <c r="AT21" i="77"/>
  <c r="AT34" i="77"/>
  <c r="AN174" i="18"/>
  <c r="DI168" i="18"/>
  <c r="AO109" i="77"/>
  <c r="AO108" i="77"/>
  <c r="AO107" i="77"/>
  <c r="AN108" i="77"/>
  <c r="AN109" i="77"/>
  <c r="AN107" i="77"/>
  <c r="AS50" i="77"/>
  <c r="AS39" i="77"/>
  <c r="AS35" i="77"/>
  <c r="AS25" i="77"/>
  <c r="AS110" i="77"/>
  <c r="AO92" i="77"/>
  <c r="AO91" i="77"/>
  <c r="AU15" i="77"/>
  <c r="BF48" i="77"/>
  <c r="BA33" i="77"/>
  <c r="AS345" i="18"/>
  <c r="AS444" i="18"/>
  <c r="AS454" i="18" s="1"/>
  <c r="AS380" i="18"/>
  <c r="AS390" i="18" s="1"/>
  <c r="BS377" i="18"/>
  <c r="BS387" i="18" s="1"/>
  <c r="BS375" i="18"/>
  <c r="BS376" i="18" s="1"/>
  <c r="AM347" i="18"/>
  <c r="AM348" i="18"/>
  <c r="AM346" i="18"/>
  <c r="AM455" i="18"/>
  <c r="AM456" i="18"/>
  <c r="BQ178" i="18"/>
  <c r="BQ335" i="18"/>
  <c r="AP461" i="18"/>
  <c r="AP397" i="18"/>
  <c r="AM353" i="18"/>
  <c r="AM354" i="18" s="1"/>
  <c r="DG353" i="18" s="1"/>
  <c r="AM291" i="18"/>
  <c r="AM260" i="18"/>
  <c r="AM602" i="18" s="1"/>
  <c r="AM261" i="18"/>
  <c r="AM12" i="18"/>
  <c r="AM201" i="18"/>
  <c r="BK441" i="18"/>
  <c r="BK451" i="18" s="1"/>
  <c r="BK439" i="18"/>
  <c r="BS362" i="18"/>
  <c r="BT360" i="18"/>
  <c r="BU360" i="18" s="1"/>
  <c r="BT358" i="18"/>
  <c r="BA28" i="18"/>
  <c r="BA29" i="18" s="1"/>
  <c r="AS174" i="18"/>
  <c r="AS604" i="18" s="1"/>
  <c r="BS148" i="18"/>
  <c r="AV144" i="18"/>
  <c r="AU170" i="18"/>
  <c r="AY30" i="18"/>
  <c r="AQ417" i="18"/>
  <c r="AU333" i="18"/>
  <c r="AU176" i="18"/>
  <c r="AP420" i="18"/>
  <c r="AQ419" i="18"/>
  <c r="AN448" i="18"/>
  <c r="AN454" i="18" s="1"/>
  <c r="AN384" i="18"/>
  <c r="AN390" i="18" s="1"/>
  <c r="AN345" i="18"/>
  <c r="BT373" i="18"/>
  <c r="BU377" i="18" s="1"/>
  <c r="BU387" i="18" s="1"/>
  <c r="BU368" i="18"/>
  <c r="BR367" i="18"/>
  <c r="BR386" i="18" s="1"/>
  <c r="BR365" i="18"/>
  <c r="AO448" i="18"/>
  <c r="AO454" i="18" s="1"/>
  <c r="AO384" i="18"/>
  <c r="AO390" i="18" s="1"/>
  <c r="AO345" i="18"/>
  <c r="AP180" i="18"/>
  <c r="AP588" i="18" s="1"/>
  <c r="AP596" i="18" s="1"/>
  <c r="AP599" i="18" s="1"/>
  <c r="DR590" i="18" s="1"/>
  <c r="AP337" i="18"/>
  <c r="AT444" i="18"/>
  <c r="AT454" i="18" s="1"/>
  <c r="AT380" i="18"/>
  <c r="AT390" i="18" s="1"/>
  <c r="AT345" i="18"/>
  <c r="AM391" i="18"/>
  <c r="AM392" i="18"/>
  <c r="BR149" i="18"/>
  <c r="BH467" i="18"/>
  <c r="CA342" i="18" l="1"/>
  <c r="CA453" i="18" s="1"/>
  <c r="CS445" i="18"/>
  <c r="CS381" i="18"/>
  <c r="CA163" i="18"/>
  <c r="CQ381" i="18"/>
  <c r="CQ445" i="18"/>
  <c r="CS321" i="18"/>
  <c r="CR334" i="18"/>
  <c r="BX453" i="18"/>
  <c r="BX389" i="18"/>
  <c r="CA105" i="18"/>
  <c r="BZ185" i="18"/>
  <c r="BZ593" i="18" s="1"/>
  <c r="BZ342" i="18"/>
  <c r="CA162" i="18"/>
  <c r="CC162" i="18"/>
  <c r="CD109" i="18"/>
  <c r="CD108" i="18" s="1"/>
  <c r="BY342" i="18"/>
  <c r="BY185" i="18"/>
  <c r="BY593" i="18" s="1"/>
  <c r="EE58" i="18"/>
  <c r="CC105" i="18"/>
  <c r="CS23" i="48"/>
  <c r="CS53" i="48" s="1"/>
  <c r="CL53" i="18"/>
  <c r="CS32" i="16"/>
  <c r="CR29" i="16"/>
  <c r="CR54" i="48"/>
  <c r="CS54" i="48" s="1"/>
  <c r="CR58" i="48"/>
  <c r="CS57" i="48"/>
  <c r="CS58" i="48" s="1"/>
  <c r="CM150" i="18"/>
  <c r="CO150" i="18"/>
  <c r="CK246" i="18"/>
  <c r="CK276" i="18"/>
  <c r="CL151" i="18"/>
  <c r="CK447" i="18"/>
  <c r="CK383" i="18"/>
  <c r="AQ345" i="18"/>
  <c r="AQ346" i="18" s="1"/>
  <c r="AT12" i="18"/>
  <c r="AT353" i="18"/>
  <c r="AT354" i="18" s="1"/>
  <c r="DL353" i="18" s="1"/>
  <c r="AT201" i="18"/>
  <c r="AT205" i="18" s="1"/>
  <c r="AT225" i="18" s="1"/>
  <c r="AU291" i="18"/>
  <c r="AQ384" i="18"/>
  <c r="AQ390" i="18" s="1"/>
  <c r="AQ391" i="18" s="1"/>
  <c r="AT598" i="18"/>
  <c r="AS605" i="18"/>
  <c r="AS599" i="18"/>
  <c r="DS590" i="18" s="1"/>
  <c r="AS597" i="18"/>
  <c r="AQ588" i="18"/>
  <c r="AT605" i="18"/>
  <c r="AP597" i="18"/>
  <c r="AU185" i="18"/>
  <c r="AU584" i="18"/>
  <c r="AP598" i="18"/>
  <c r="AS598" i="18"/>
  <c r="AQ596" i="18"/>
  <c r="AQ597" i="18" s="1"/>
  <c r="AM599" i="18"/>
  <c r="DO590" i="18" s="1"/>
  <c r="AM598" i="18"/>
  <c r="AM597" i="18"/>
  <c r="AM605" i="18"/>
  <c r="BQ586" i="18"/>
  <c r="AO605" i="18"/>
  <c r="AO599" i="18"/>
  <c r="DQ590" i="18" s="1"/>
  <c r="AO598" i="18"/>
  <c r="AO597" i="18"/>
  <c r="AT599" i="18"/>
  <c r="DT590" i="18" s="1"/>
  <c r="AT597" i="18"/>
  <c r="AN260" i="18"/>
  <c r="AN602" i="18" s="1"/>
  <c r="AN604" i="18"/>
  <c r="AN605" i="18" s="1"/>
  <c r="AB98" i="16"/>
  <c r="AB102" i="16"/>
  <c r="AA109" i="16"/>
  <c r="AB100" i="16"/>
  <c r="AA103" i="16"/>
  <c r="BZ160" i="18"/>
  <c r="CA103" i="18"/>
  <c r="BZ102" i="18"/>
  <c r="ED57" i="18"/>
  <c r="ED59" i="18" s="1"/>
  <c r="CA99" i="18"/>
  <c r="BY184" i="18"/>
  <c r="BY592" i="18" s="1"/>
  <c r="BY341" i="18"/>
  <c r="AP27" i="77"/>
  <c r="AP28" i="77"/>
  <c r="AQ28" i="77" s="1"/>
  <c r="AP26" i="77"/>
  <c r="AQ63" i="77"/>
  <c r="AP41" i="77"/>
  <c r="AP40" i="77"/>
  <c r="AP106" i="77"/>
  <c r="AP107" i="77" s="1"/>
  <c r="AP63" i="77"/>
  <c r="AT260" i="18"/>
  <c r="AN201" i="18"/>
  <c r="AN261" i="18"/>
  <c r="AT261" i="18"/>
  <c r="AQ40" i="77"/>
  <c r="AP42" i="77"/>
  <c r="AQ42" i="77" s="1"/>
  <c r="AQ110" i="77"/>
  <c r="AQ111" i="77" s="1"/>
  <c r="AN353" i="18"/>
  <c r="AN354" i="18" s="1"/>
  <c r="DH353" i="18" s="1"/>
  <c r="BU373" i="18"/>
  <c r="BW370" i="18"/>
  <c r="BW368" i="18"/>
  <c r="AQ420" i="18"/>
  <c r="AO291" i="18"/>
  <c r="AN12" i="18"/>
  <c r="AN291" i="18"/>
  <c r="AP174" i="18"/>
  <c r="AP12" i="18" s="1"/>
  <c r="DK322" i="18"/>
  <c r="AV15" i="77"/>
  <c r="AW15" i="77" s="1"/>
  <c r="AU22" i="77"/>
  <c r="AS26" i="77"/>
  <c r="AS106" i="77"/>
  <c r="AS28" i="77"/>
  <c r="AS27" i="77"/>
  <c r="AQ27" i="77"/>
  <c r="AQ26" i="77"/>
  <c r="AQ106" i="77"/>
  <c r="AT110" i="77"/>
  <c r="AT111" i="77" s="1"/>
  <c r="AT35" i="77"/>
  <c r="AT25" i="77"/>
  <c r="AT50" i="77"/>
  <c r="AT39" i="77"/>
  <c r="AT291" i="18"/>
  <c r="AM351" i="18"/>
  <c r="AU20" i="77"/>
  <c r="AS111" i="77"/>
  <c r="AS41" i="77"/>
  <c r="AS42" i="77"/>
  <c r="AS40" i="77"/>
  <c r="AS63" i="77"/>
  <c r="BG48" i="77"/>
  <c r="BB33" i="77"/>
  <c r="BA30" i="18"/>
  <c r="BS365" i="18"/>
  <c r="BS367" i="18"/>
  <c r="BS386" i="18" s="1"/>
  <c r="BQ446" i="18"/>
  <c r="BQ382" i="18"/>
  <c r="AO391" i="18"/>
  <c r="AO392" i="18"/>
  <c r="AN347" i="18"/>
  <c r="AN346" i="18"/>
  <c r="AN348" i="18"/>
  <c r="AT348" i="18"/>
  <c r="AT347" i="18"/>
  <c r="AT346" i="18"/>
  <c r="AQ461" i="18"/>
  <c r="AQ397" i="18"/>
  <c r="AW144" i="18"/>
  <c r="AV170" i="18"/>
  <c r="AY144" i="18"/>
  <c r="BT362" i="18"/>
  <c r="BU367" i="18" s="1"/>
  <c r="BU386" i="18" s="1"/>
  <c r="BU358" i="18"/>
  <c r="AS455" i="18"/>
  <c r="AT455" i="18"/>
  <c r="AT456" i="18"/>
  <c r="BT377" i="18"/>
  <c r="BT387" i="18" s="1"/>
  <c r="BT375" i="18"/>
  <c r="BT376" i="18" s="1"/>
  <c r="BT148" i="18"/>
  <c r="BK440" i="18"/>
  <c r="AO456" i="18"/>
  <c r="AO455" i="18"/>
  <c r="AT391" i="18"/>
  <c r="AT392" i="18"/>
  <c r="AP448" i="18"/>
  <c r="AP454" i="18" s="1"/>
  <c r="AP384" i="18"/>
  <c r="AP390" i="18" s="1"/>
  <c r="AP345" i="18"/>
  <c r="AQ180" i="18"/>
  <c r="BS149" i="18"/>
  <c r="AS348" i="18"/>
  <c r="AS346" i="18"/>
  <c r="AO346" i="18"/>
  <c r="AO348" i="18"/>
  <c r="AO347" i="18"/>
  <c r="AO354" i="18"/>
  <c r="DI353" i="18" s="1"/>
  <c r="BH472" i="18"/>
  <c r="BI467" i="18"/>
  <c r="AN455" i="18"/>
  <c r="AN456" i="18"/>
  <c r="AV145" i="18"/>
  <c r="AM243" i="18"/>
  <c r="AM205" i="18"/>
  <c r="AM225" i="18" s="1"/>
  <c r="BR178" i="18"/>
  <c r="BR335" i="18"/>
  <c r="AN392" i="18"/>
  <c r="AN391" i="18"/>
  <c r="AS353" i="18"/>
  <c r="AS354" i="18" s="1"/>
  <c r="DK353" i="18" s="1"/>
  <c r="AS260" i="18"/>
  <c r="AS602" i="18" s="1"/>
  <c r="AS261" i="18"/>
  <c r="AS12" i="18"/>
  <c r="AS201" i="18"/>
  <c r="AU444" i="18"/>
  <c r="AU454" i="18" s="1"/>
  <c r="AU380" i="18"/>
  <c r="AU390" i="18" s="1"/>
  <c r="AU345" i="18"/>
  <c r="BB28" i="18"/>
  <c r="BB29" i="18" s="1"/>
  <c r="BB30" i="18" s="1"/>
  <c r="AS391" i="18"/>
  <c r="CA389" i="18" l="1"/>
  <c r="CA593" i="18"/>
  <c r="CR445" i="18"/>
  <c r="CR381" i="18"/>
  <c r="CE109" i="18"/>
  <c r="CE108" i="18" s="1"/>
  <c r="CA185" i="18"/>
  <c r="CA198" i="18" s="1"/>
  <c r="CC163" i="18"/>
  <c r="CD162" i="18"/>
  <c r="EF58" i="18"/>
  <c r="CD105" i="18"/>
  <c r="BY389" i="18"/>
  <c r="BY453" i="18"/>
  <c r="BZ453" i="18"/>
  <c r="BZ389" i="18"/>
  <c r="CL246" i="18"/>
  <c r="CL276" i="18"/>
  <c r="CM53" i="18"/>
  <c r="CM246" i="18" s="1"/>
  <c r="CR164" i="16"/>
  <c r="CS29" i="16"/>
  <c r="CS164" i="16" s="1"/>
  <c r="CR38" i="17"/>
  <c r="CR45" i="16"/>
  <c r="CP150" i="18"/>
  <c r="CP151" i="18" s="1"/>
  <c r="CO151" i="18"/>
  <c r="CL179" i="18"/>
  <c r="CL336" i="18"/>
  <c r="CM151" i="18"/>
  <c r="CM336" i="18"/>
  <c r="AQ348" i="18"/>
  <c r="AU261" i="18"/>
  <c r="AW185" i="18"/>
  <c r="AW198" i="18" s="1"/>
  <c r="AQ599" i="18"/>
  <c r="AN351" i="18"/>
  <c r="BR586" i="18"/>
  <c r="AU593" i="18"/>
  <c r="AW593" i="18" s="1"/>
  <c r="BZ161" i="18"/>
  <c r="BZ184" i="18" s="1"/>
  <c r="AT351" i="18"/>
  <c r="AT602" i="18"/>
  <c r="AP261" i="18"/>
  <c r="AP604" i="18"/>
  <c r="AP605" i="18" s="1"/>
  <c r="AC93" i="16"/>
  <c r="AB108" i="16"/>
  <c r="AB104" i="16"/>
  <c r="CA160" i="18"/>
  <c r="CC103" i="18"/>
  <c r="CC102" i="18" s="1"/>
  <c r="CA102" i="18"/>
  <c r="CA98" i="18" s="1"/>
  <c r="BZ98" i="18"/>
  <c r="BY388" i="18"/>
  <c r="BY452" i="18"/>
  <c r="BT149" i="18"/>
  <c r="BW148" i="18"/>
  <c r="BW149" i="18" s="1"/>
  <c r="AP109" i="77"/>
  <c r="AQ109" i="77" s="1"/>
  <c r="BC30" i="18"/>
  <c r="AN205" i="18"/>
  <c r="AN225" i="18" s="1"/>
  <c r="AN243" i="18"/>
  <c r="AP108" i="77"/>
  <c r="AT243" i="18"/>
  <c r="AM265" i="18"/>
  <c r="AP201" i="18"/>
  <c r="AP291" i="18"/>
  <c r="BU362" i="18"/>
  <c r="BW358" i="18"/>
  <c r="BW360" i="18"/>
  <c r="BX370" i="18"/>
  <c r="BW373" i="18"/>
  <c r="BX368" i="18"/>
  <c r="AS291" i="18"/>
  <c r="AV20" i="77"/>
  <c r="AV49" i="77" s="1"/>
  <c r="AS351" i="18"/>
  <c r="DM322" i="18"/>
  <c r="DP322" i="18"/>
  <c r="AQ107" i="77"/>
  <c r="AQ108" i="77"/>
  <c r="AS108" i="77"/>
  <c r="AS107" i="77"/>
  <c r="AS109" i="77"/>
  <c r="AY15" i="77"/>
  <c r="AY20" i="77" s="1"/>
  <c r="AW22" i="77"/>
  <c r="AW20" i="77"/>
  <c r="AW21" i="77" s="1"/>
  <c r="AQ174" i="18"/>
  <c r="AQ604" i="18" s="1"/>
  <c r="AQ605" i="18" s="1"/>
  <c r="DL322" i="18"/>
  <c r="AP260" i="18"/>
  <c r="AP602" i="18" s="1"/>
  <c r="AP353" i="18"/>
  <c r="AP354" i="18" s="1"/>
  <c r="DJ353" i="18" s="1"/>
  <c r="AU21" i="77"/>
  <c r="AU34" i="77"/>
  <c r="AU49" i="77"/>
  <c r="AT41" i="77"/>
  <c r="AT63" i="77"/>
  <c r="AT40" i="77"/>
  <c r="AT42" i="77"/>
  <c r="AT28" i="77"/>
  <c r="AT26" i="77"/>
  <c r="AT27" i="77"/>
  <c r="AT106" i="77"/>
  <c r="AV22" i="77"/>
  <c r="BC33" i="77"/>
  <c r="BE33" i="77" s="1"/>
  <c r="BH48" i="77"/>
  <c r="AV333" i="18"/>
  <c r="AV176" i="18"/>
  <c r="AV584" i="18" s="1"/>
  <c r="AV596" i="18" s="1"/>
  <c r="AW333" i="18"/>
  <c r="AP346" i="18"/>
  <c r="AP348" i="18"/>
  <c r="AP347" i="18"/>
  <c r="AP391" i="18"/>
  <c r="AP392" i="18"/>
  <c r="AQ392" i="18" s="1"/>
  <c r="AU354" i="18"/>
  <c r="DM353" i="18" s="1"/>
  <c r="AU347" i="18"/>
  <c r="AU348" i="18"/>
  <c r="AU346" i="18"/>
  <c r="AP456" i="18"/>
  <c r="AQ456" i="18" s="1"/>
  <c r="AP455" i="18"/>
  <c r="AU391" i="18"/>
  <c r="AU392" i="18"/>
  <c r="BU375" i="18"/>
  <c r="BU376" i="18" s="1"/>
  <c r="BS178" i="18"/>
  <c r="BS335" i="18"/>
  <c r="AS456" i="18"/>
  <c r="AW170" i="18"/>
  <c r="AW145" i="18"/>
  <c r="AW168" i="18" s="1"/>
  <c r="AS347" i="18"/>
  <c r="AS243" i="18"/>
  <c r="AS205" i="18"/>
  <c r="AS225" i="18" s="1"/>
  <c r="BU148" i="18"/>
  <c r="BC29" i="18"/>
  <c r="AU455" i="18"/>
  <c r="AU456" i="18"/>
  <c r="AZ144" i="18"/>
  <c r="AZ145" i="18" s="1"/>
  <c r="AY145" i="18"/>
  <c r="AY170" i="18"/>
  <c r="BR446" i="18"/>
  <c r="BR382" i="18"/>
  <c r="AU265" i="18"/>
  <c r="AS392" i="18"/>
  <c r="BT367" i="18"/>
  <c r="BT386" i="18" s="1"/>
  <c r="BT365" i="18"/>
  <c r="BU365" i="18" s="1"/>
  <c r="BC28" i="18"/>
  <c r="BE28" i="18"/>
  <c r="BI472" i="18"/>
  <c r="CM54" i="18" l="1"/>
  <c r="CO54" i="18" s="1"/>
  <c r="CD163" i="18"/>
  <c r="CE162" i="18"/>
  <c r="CC185" i="18"/>
  <c r="CC342" i="18"/>
  <c r="CF109" i="18"/>
  <c r="CF108" i="18" s="1"/>
  <c r="EG58" i="18"/>
  <c r="CE105" i="18"/>
  <c r="CS45" i="16"/>
  <c r="CS38" i="17"/>
  <c r="CS43" i="17" s="1"/>
  <c r="CR43" i="17"/>
  <c r="CO179" i="18"/>
  <c r="CO336" i="18"/>
  <c r="CP336" i="18"/>
  <c r="CP179" i="18"/>
  <c r="CP587" i="18" s="1"/>
  <c r="CQ150" i="18"/>
  <c r="CQ151" i="18" s="1"/>
  <c r="CL447" i="18"/>
  <c r="CL383" i="18"/>
  <c r="CM383" i="18"/>
  <c r="CM447" i="18"/>
  <c r="CL587" i="18"/>
  <c r="CM587" i="18" s="1"/>
  <c r="CM179" i="18"/>
  <c r="CM192" i="18" s="1"/>
  <c r="CA161" i="18"/>
  <c r="BZ341" i="18"/>
  <c r="BZ452" i="18" s="1"/>
  <c r="CA341" i="18"/>
  <c r="CA452" i="18" s="1"/>
  <c r="AW584" i="18"/>
  <c r="AU596" i="18"/>
  <c r="AU597" i="18" s="1"/>
  <c r="CA184" i="18"/>
  <c r="BZ592" i="18"/>
  <c r="CA592" i="18" s="1"/>
  <c r="BS586" i="18"/>
  <c r="AV599" i="18"/>
  <c r="DV590" i="18" s="1"/>
  <c r="AV597" i="18"/>
  <c r="BT335" i="18"/>
  <c r="BT446" i="18" s="1"/>
  <c r="AC100" i="16"/>
  <c r="AB103" i="16"/>
  <c r="AB109" i="16"/>
  <c r="AC98" i="16"/>
  <c r="AC102" i="16"/>
  <c r="BT178" i="18"/>
  <c r="AQ261" i="18"/>
  <c r="AP205" i="18"/>
  <c r="AP225" i="18" s="1"/>
  <c r="AP265" i="18" s="1"/>
  <c r="CC98" i="18"/>
  <c r="CD103" i="18"/>
  <c r="CD102" i="18" s="1"/>
  <c r="CC99" i="18"/>
  <c r="EE57" i="18"/>
  <c r="EE59" i="18" s="1"/>
  <c r="CC160" i="18"/>
  <c r="BU335" i="18"/>
  <c r="BU446" i="18" s="1"/>
  <c r="BU149" i="18"/>
  <c r="AN265" i="18"/>
  <c r="AO265" i="18"/>
  <c r="AP243" i="18"/>
  <c r="AT265" i="18"/>
  <c r="BY368" i="18"/>
  <c r="BY370" i="18"/>
  <c r="BX373" i="18"/>
  <c r="BW375" i="18"/>
  <c r="BW377" i="18"/>
  <c r="BW387" i="18" s="1"/>
  <c r="AQ12" i="18"/>
  <c r="BX358" i="18"/>
  <c r="BW362" i="18"/>
  <c r="BX360" i="18"/>
  <c r="AV21" i="77"/>
  <c r="AV34" i="77"/>
  <c r="AW34" i="77" s="1"/>
  <c r="AW35" i="77" s="1"/>
  <c r="DQ322" i="18"/>
  <c r="AT107" i="77"/>
  <c r="AT109" i="77"/>
  <c r="AT108" i="77"/>
  <c r="AU110" i="77"/>
  <c r="AU35" i="77"/>
  <c r="AU25" i="77"/>
  <c r="AV50" i="77"/>
  <c r="AV39" i="77"/>
  <c r="AQ201" i="18"/>
  <c r="AQ243" i="18" s="1"/>
  <c r="AQ260" i="18"/>
  <c r="AQ602" i="18" s="1"/>
  <c r="AQ603" i="18" s="1"/>
  <c r="AQ353" i="18"/>
  <c r="AQ354" i="18" s="1"/>
  <c r="AQ355" i="18" s="1"/>
  <c r="DO322" i="18"/>
  <c r="DN322" i="18"/>
  <c r="AU50" i="77"/>
  <c r="AU39" i="77"/>
  <c r="AW49" i="77"/>
  <c r="AW50" i="77" s="1"/>
  <c r="AP351" i="18"/>
  <c r="AY21" i="77"/>
  <c r="AY49" i="77"/>
  <c r="AY34" i="77"/>
  <c r="AY22" i="77"/>
  <c r="AZ15" i="77"/>
  <c r="AZ20" i="77" s="1"/>
  <c r="BI48" i="77"/>
  <c r="BF33" i="77"/>
  <c r="AZ176" i="18"/>
  <c r="AZ333" i="18"/>
  <c r="AY176" i="18"/>
  <c r="AY584" i="18" s="1"/>
  <c r="AY333" i="18"/>
  <c r="BF28" i="18"/>
  <c r="BE29" i="18"/>
  <c r="BA144" i="18"/>
  <c r="AZ170" i="18"/>
  <c r="AW444" i="18"/>
  <c r="AW454" i="18" s="1"/>
  <c r="AW455" i="18" s="1"/>
  <c r="AW380" i="18"/>
  <c r="AW390" i="18" s="1"/>
  <c r="AW391" i="18" s="1"/>
  <c r="AW345" i="18"/>
  <c r="AV444" i="18"/>
  <c r="AV454" i="18" s="1"/>
  <c r="AV380" i="18"/>
  <c r="AV390" i="18" s="1"/>
  <c r="AV345" i="18"/>
  <c r="BS446" i="18"/>
  <c r="BS382" i="18"/>
  <c r="AV174" i="18"/>
  <c r="AV604" i="18" s="1"/>
  <c r="AV605" i="18" s="1"/>
  <c r="AW176" i="18"/>
  <c r="AW174" i="18" s="1"/>
  <c r="AW604" i="18" s="1"/>
  <c r="BT22" i="19"/>
  <c r="BS22" i="19"/>
  <c r="BR22" i="19"/>
  <c r="BG22" i="19"/>
  <c r="F48" i="19"/>
  <c r="CP54" i="18" l="1"/>
  <c r="CO53" i="18"/>
  <c r="CG109" i="18"/>
  <c r="CC593" i="18"/>
  <c r="CG108" i="18"/>
  <c r="CI109" i="18"/>
  <c r="CE163" i="18"/>
  <c r="CF162" i="18"/>
  <c r="CF163" i="18" s="1"/>
  <c r="CC453" i="18"/>
  <c r="CC389" i="18"/>
  <c r="EH58" i="18"/>
  <c r="CF105" i="18"/>
  <c r="CG105" i="18" s="1"/>
  <c r="CD185" i="18"/>
  <c r="CD593" i="18" s="1"/>
  <c r="CD342" i="18"/>
  <c r="CO383" i="18"/>
  <c r="CO447" i="18"/>
  <c r="CQ179" i="18"/>
  <c r="CQ587" i="18" s="1"/>
  <c r="CQ336" i="18"/>
  <c r="CP447" i="18"/>
  <c r="CP383" i="18"/>
  <c r="CR150" i="18"/>
  <c r="CS150" i="18" s="1"/>
  <c r="CO587" i="18"/>
  <c r="BZ388" i="18"/>
  <c r="CA388" i="18"/>
  <c r="CA197" i="18"/>
  <c r="BT382" i="18"/>
  <c r="AV598" i="18"/>
  <c r="AW596" i="18"/>
  <c r="AW599" i="18" s="1"/>
  <c r="AU599" i="18"/>
  <c r="DU590" i="18" s="1"/>
  <c r="AU598" i="18"/>
  <c r="AU605" i="18"/>
  <c r="AZ174" i="18"/>
  <c r="AZ604" i="18" s="1"/>
  <c r="AZ584" i="18"/>
  <c r="AZ596" i="18" s="1"/>
  <c r="AY596" i="18"/>
  <c r="AY597" i="18" s="1"/>
  <c r="BT586" i="18"/>
  <c r="BU586" i="18" s="1"/>
  <c r="AC104" i="16"/>
  <c r="AC108" i="16"/>
  <c r="AD93" i="16"/>
  <c r="BU178" i="18"/>
  <c r="BU191" i="18" s="1"/>
  <c r="BU382" i="18"/>
  <c r="AS265" i="18"/>
  <c r="CC161" i="18"/>
  <c r="CD160" i="18"/>
  <c r="CE103" i="18"/>
  <c r="CD98" i="18"/>
  <c r="CD99" i="18"/>
  <c r="EF57" i="18"/>
  <c r="EF59" i="18" s="1"/>
  <c r="AV25" i="77"/>
  <c r="AV27" i="77" s="1"/>
  <c r="BW367" i="18"/>
  <c r="BW386" i="18" s="1"/>
  <c r="BW365" i="18"/>
  <c r="BX362" i="18"/>
  <c r="BY358" i="18"/>
  <c r="BY360" i="18"/>
  <c r="BX377" i="18"/>
  <c r="BX387" i="18" s="1"/>
  <c r="BX375" i="18"/>
  <c r="AQ205" i="18"/>
  <c r="AQ225" i="18" s="1"/>
  <c r="DL313" i="18" s="1"/>
  <c r="DK314" i="18" s="1"/>
  <c r="BX148" i="18"/>
  <c r="BX149" i="18" s="1"/>
  <c r="BY373" i="18"/>
  <c r="BZ368" i="18"/>
  <c r="BZ370" i="18"/>
  <c r="CA370" i="18" s="1"/>
  <c r="AV110" i="77"/>
  <c r="AV111" i="77" s="1"/>
  <c r="AZ22" i="77"/>
  <c r="AV35" i="77"/>
  <c r="AZ21" i="77"/>
  <c r="AZ34" i="77"/>
  <c r="AZ49" i="77"/>
  <c r="AY50" i="77"/>
  <c r="AY39" i="77"/>
  <c r="AQ351" i="18"/>
  <c r="AQ352" i="18" s="1"/>
  <c r="AV40" i="77"/>
  <c r="AV41" i="77"/>
  <c r="AV42" i="77"/>
  <c r="AV53" i="77"/>
  <c r="AV89" i="77" s="1"/>
  <c r="AV63" i="77"/>
  <c r="AU27" i="77"/>
  <c r="AU28" i="77"/>
  <c r="AU26" i="77"/>
  <c r="AU106" i="77"/>
  <c r="AU111" i="77"/>
  <c r="BA15" i="77"/>
  <c r="BA22" i="77" s="1"/>
  <c r="AY110" i="77"/>
  <c r="AY111" i="77" s="1"/>
  <c r="AY35" i="77"/>
  <c r="AY25" i="77"/>
  <c r="AU89" i="77"/>
  <c r="AU42" i="77"/>
  <c r="AU55" i="77"/>
  <c r="AU41" i="77"/>
  <c r="AU40" i="77"/>
  <c r="AU63" i="77"/>
  <c r="AW39" i="77"/>
  <c r="AT53" i="77"/>
  <c r="BG33" i="77"/>
  <c r="BU22" i="19"/>
  <c r="BA170" i="18"/>
  <c r="BB144" i="18"/>
  <c r="BB145" i="18" s="1"/>
  <c r="AV353" i="18"/>
  <c r="AV354" i="18" s="1"/>
  <c r="DN353" i="18" s="1"/>
  <c r="AV291" i="18"/>
  <c r="AV260" i="18"/>
  <c r="AV602" i="18" s="1"/>
  <c r="AV261" i="18"/>
  <c r="AV12" i="18"/>
  <c r="AV201" i="18"/>
  <c r="AV456" i="18"/>
  <c r="AW456" i="18" s="1"/>
  <c r="AV455" i="18"/>
  <c r="AV346" i="18"/>
  <c r="AV347" i="18"/>
  <c r="AV348" i="18"/>
  <c r="BE30" i="18"/>
  <c r="BG28" i="18"/>
  <c r="BG29" i="18" s="1"/>
  <c r="BG30" i="18" s="1"/>
  <c r="AY444" i="18"/>
  <c r="AY454" i="18" s="1"/>
  <c r="AY380" i="18"/>
  <c r="AY390" i="18" s="1"/>
  <c r="AY345" i="18"/>
  <c r="BA145" i="18"/>
  <c r="BF29" i="18"/>
  <c r="BF30" i="18" s="1"/>
  <c r="AW346" i="18"/>
  <c r="AW348" i="18"/>
  <c r="AY174" i="18"/>
  <c r="AZ444" i="18"/>
  <c r="AZ454" i="18" s="1"/>
  <c r="AZ380" i="18"/>
  <c r="AZ390" i="18" s="1"/>
  <c r="AZ345" i="18"/>
  <c r="AW353" i="18"/>
  <c r="AW354" i="18" s="1"/>
  <c r="AW355" i="18" s="1"/>
  <c r="AW261" i="18"/>
  <c r="AW260" i="18"/>
  <c r="AW602" i="18" s="1"/>
  <c r="AW12" i="18"/>
  <c r="AW201" i="18"/>
  <c r="AV391" i="18"/>
  <c r="AV392" i="18"/>
  <c r="AW392" i="18" s="1"/>
  <c r="AD48" i="19"/>
  <c r="X48" i="19"/>
  <c r="R48" i="19"/>
  <c r="CP53" i="18" l="1"/>
  <c r="CQ54" i="18"/>
  <c r="CR151" i="18"/>
  <c r="CR336" i="18" s="1"/>
  <c r="CO246" i="18"/>
  <c r="CO276" i="18"/>
  <c r="CI108" i="18"/>
  <c r="CI105" i="18"/>
  <c r="CF185" i="18"/>
  <c r="CF593" i="18" s="1"/>
  <c r="CF342" i="18"/>
  <c r="CE185" i="18"/>
  <c r="CE593" i="18" s="1"/>
  <c r="CE342" i="18"/>
  <c r="CG342" i="18"/>
  <c r="CG163" i="18"/>
  <c r="CD389" i="18"/>
  <c r="CD453" i="18"/>
  <c r="CI162" i="18"/>
  <c r="CI163" i="18" s="1"/>
  <c r="CG162" i="18"/>
  <c r="CQ447" i="18"/>
  <c r="CQ383" i="18"/>
  <c r="AW603" i="18"/>
  <c r="AW597" i="18"/>
  <c r="AZ12" i="18"/>
  <c r="AZ261" i="18"/>
  <c r="AW605" i="18"/>
  <c r="AZ201" i="18"/>
  <c r="AZ205" i="18" s="1"/>
  <c r="AZ225" i="18" s="1"/>
  <c r="AZ260" i="18"/>
  <c r="AZ602" i="18" s="1"/>
  <c r="AZ353" i="18"/>
  <c r="AZ354" i="18" s="1"/>
  <c r="DP353" i="18" s="1"/>
  <c r="AZ605" i="18"/>
  <c r="AZ598" i="18"/>
  <c r="AZ597" i="18"/>
  <c r="AZ599" i="18"/>
  <c r="DX590" i="18" s="1"/>
  <c r="AY598" i="18"/>
  <c r="AY599" i="18"/>
  <c r="DW590" i="18" s="1"/>
  <c r="CD161" i="18"/>
  <c r="CD184" i="18" s="1"/>
  <c r="CD592" i="18" s="1"/>
  <c r="AZ291" i="18"/>
  <c r="AY604" i="18"/>
  <c r="AY605" i="18" s="1"/>
  <c r="AD102" i="16"/>
  <c r="AD97" i="16"/>
  <c r="AE97" i="16" s="1"/>
  <c r="AE98" i="16" s="1"/>
  <c r="AC103" i="16"/>
  <c r="AC109" i="16"/>
  <c r="AD100" i="16"/>
  <c r="AD103" i="16" s="1"/>
  <c r="CE102" i="18"/>
  <c r="CE99" i="18"/>
  <c r="EG57" i="18"/>
  <c r="EG59" i="18" s="1"/>
  <c r="CE160" i="18"/>
  <c r="CC341" i="18"/>
  <c r="CC184" i="18"/>
  <c r="CC592" i="18" s="1"/>
  <c r="AV28" i="77"/>
  <c r="AW28" i="77" s="1"/>
  <c r="AV106" i="77"/>
  <c r="AV109" i="77" s="1"/>
  <c r="AW25" i="77"/>
  <c r="AW106" i="77" s="1"/>
  <c r="AV26" i="77"/>
  <c r="BX178" i="18"/>
  <c r="BX335" i="18"/>
  <c r="CA368" i="18"/>
  <c r="BZ373" i="18"/>
  <c r="BY377" i="18"/>
  <c r="BY387" i="18" s="1"/>
  <c r="BY375" i="18"/>
  <c r="BX365" i="18"/>
  <c r="BX367" i="18"/>
  <c r="BX386" i="18" s="1"/>
  <c r="BZ358" i="18"/>
  <c r="BZ360" i="18"/>
  <c r="CA360" i="18" s="1"/>
  <c r="BY362" i="18"/>
  <c r="BW178" i="18"/>
  <c r="BW586" i="18" s="1"/>
  <c r="BW335" i="18"/>
  <c r="AW110" i="77"/>
  <c r="AW111" i="77" s="1"/>
  <c r="BY148" i="18"/>
  <c r="DR322" i="18"/>
  <c r="AV351" i="18"/>
  <c r="AW41" i="77"/>
  <c r="AW63" i="77"/>
  <c r="AW40" i="77"/>
  <c r="AU91" i="77"/>
  <c r="AU92" i="77"/>
  <c r="AU90" i="77"/>
  <c r="AU108" i="77"/>
  <c r="AU109" i="77"/>
  <c r="AU107" i="77"/>
  <c r="AV91" i="77"/>
  <c r="AV92" i="77"/>
  <c r="AP53" i="77"/>
  <c r="AV57" i="77"/>
  <c r="AV56" i="77"/>
  <c r="AV103" i="77"/>
  <c r="AV55" i="77"/>
  <c r="AY42" i="77"/>
  <c r="AY41" i="77"/>
  <c r="AY40" i="77"/>
  <c r="AY63" i="77"/>
  <c r="AZ39" i="77"/>
  <c r="AZ50" i="77"/>
  <c r="AW351" i="18"/>
  <c r="AW352" i="18" s="1"/>
  <c r="AN53" i="77"/>
  <c r="AT55" i="77"/>
  <c r="AT103" i="77"/>
  <c r="AT57" i="77"/>
  <c r="AT56" i="77"/>
  <c r="AS53" i="77"/>
  <c r="AT89" i="77"/>
  <c r="AY27" i="77"/>
  <c r="AY26" i="77"/>
  <c r="AY28" i="77"/>
  <c r="AY106" i="77"/>
  <c r="BA20" i="77"/>
  <c r="BB15" i="77"/>
  <c r="BC15" i="77" s="1"/>
  <c r="AW42" i="77"/>
  <c r="AZ35" i="77"/>
  <c r="AZ25" i="77"/>
  <c r="AZ110" i="77"/>
  <c r="BH33" i="77"/>
  <c r="BI22" i="19"/>
  <c r="BB176" i="18"/>
  <c r="BB333" i="18"/>
  <c r="AW243" i="18"/>
  <c r="AW205" i="18"/>
  <c r="AW225" i="18" s="1"/>
  <c r="DM313" i="18" s="1"/>
  <c r="DL314" i="18" s="1"/>
  <c r="AZ457" i="18"/>
  <c r="AZ455" i="18"/>
  <c r="AZ456" i="18"/>
  <c r="BA176" i="18"/>
  <c r="BA584" i="18" s="1"/>
  <c r="BA333" i="18"/>
  <c r="BC145" i="18"/>
  <c r="BC168" i="18" s="1"/>
  <c r="BC333" i="18"/>
  <c r="AV243" i="18"/>
  <c r="AV205" i="18"/>
  <c r="AV225" i="18" s="1"/>
  <c r="AZ347" i="18"/>
  <c r="AZ346" i="18"/>
  <c r="AZ348" i="18"/>
  <c r="AY347" i="18"/>
  <c r="AY348" i="18"/>
  <c r="AY346" i="18"/>
  <c r="AY393" i="18"/>
  <c r="AY391" i="18"/>
  <c r="AY392" i="18"/>
  <c r="AY353" i="18"/>
  <c r="AY354" i="18" s="1"/>
  <c r="DO353" i="18" s="1"/>
  <c r="AY291" i="18"/>
  <c r="AY260" i="18"/>
  <c r="AY602" i="18" s="1"/>
  <c r="AY261" i="18"/>
  <c r="AY12" i="18"/>
  <c r="AY201" i="18"/>
  <c r="AY457" i="18"/>
  <c r="AY455" i="18"/>
  <c r="AY456" i="18"/>
  <c r="BH28" i="18"/>
  <c r="BH29" i="18" s="1"/>
  <c r="BH30" i="18" s="1"/>
  <c r="BI30" i="18" s="1"/>
  <c r="BE144" i="18"/>
  <c r="BE145" i="18" s="1"/>
  <c r="BB170" i="18"/>
  <c r="BC144" i="18"/>
  <c r="BC170" i="18" s="1"/>
  <c r="AZ391" i="18"/>
  <c r="AZ392" i="18"/>
  <c r="AZ393" i="18"/>
  <c r="Y48" i="19"/>
  <c r="BE48" i="19"/>
  <c r="AE48" i="19"/>
  <c r="BF48" i="19"/>
  <c r="CS336" i="18" l="1"/>
  <c r="CS447" i="18" s="1"/>
  <c r="CP276" i="18"/>
  <c r="CR54" i="18"/>
  <c r="CR53" i="18" s="1"/>
  <c r="CS151" i="18"/>
  <c r="CQ53" i="18"/>
  <c r="CP246" i="18"/>
  <c r="CR179" i="18"/>
  <c r="CR587" i="18" s="1"/>
  <c r="CS587" i="18" s="1"/>
  <c r="CJ109" i="18"/>
  <c r="CJ108" i="18" s="1"/>
  <c r="CI342" i="18"/>
  <c r="CI185" i="18"/>
  <c r="CI593" i="18" s="1"/>
  <c r="CG185" i="18"/>
  <c r="CG198" i="18" s="1"/>
  <c r="CG593" i="18"/>
  <c r="CG389" i="18"/>
  <c r="CG453" i="18"/>
  <c r="CF453" i="18"/>
  <c r="CF389" i="18"/>
  <c r="CE453" i="18"/>
  <c r="CE389" i="18"/>
  <c r="CR447" i="18"/>
  <c r="CR383" i="18"/>
  <c r="CD341" i="18"/>
  <c r="CD388" i="18" s="1"/>
  <c r="AZ243" i="18"/>
  <c r="AZ351" i="18"/>
  <c r="BA596" i="18"/>
  <c r="BA599" i="18" s="1"/>
  <c r="DY590" i="18" s="1"/>
  <c r="BB174" i="18"/>
  <c r="BB604" i="18" s="1"/>
  <c r="BB584" i="18"/>
  <c r="BB596" i="18" s="1"/>
  <c r="BX586" i="18"/>
  <c r="AK93" i="16"/>
  <c r="AK102" i="16" s="1"/>
  <c r="AE108" i="16"/>
  <c r="AG93" i="16"/>
  <c r="AE103" i="16"/>
  <c r="AE104" i="16" s="1"/>
  <c r="AE106" i="16" s="1"/>
  <c r="CE161" i="18"/>
  <c r="CF103" i="18"/>
  <c r="CF160" i="18" s="1"/>
  <c r="CE98" i="18"/>
  <c r="CC388" i="18"/>
  <c r="CC452" i="18"/>
  <c r="AW27" i="77"/>
  <c r="AW26" i="77"/>
  <c r="AZ400" i="18"/>
  <c r="AV108" i="77"/>
  <c r="AV107" i="77"/>
  <c r="AV265" i="18"/>
  <c r="BZ148" i="18"/>
  <c r="BY149" i="18"/>
  <c r="CA373" i="18"/>
  <c r="CC370" i="18"/>
  <c r="CC368" i="18"/>
  <c r="CA377" i="18"/>
  <c r="CA387" i="18" s="1"/>
  <c r="BZ377" i="18"/>
  <c r="BZ387" i="18" s="1"/>
  <c r="BZ375" i="18"/>
  <c r="BW446" i="18"/>
  <c r="BW382" i="18"/>
  <c r="BX446" i="18"/>
  <c r="BX382" i="18"/>
  <c r="CA358" i="18"/>
  <c r="BZ362" i="18"/>
  <c r="BY367" i="18"/>
  <c r="BY386" i="18" s="1"/>
  <c r="BY365" i="18"/>
  <c r="BB22" i="77"/>
  <c r="AZ464" i="18"/>
  <c r="DS322" i="18"/>
  <c r="AZ28" i="77"/>
  <c r="AZ26" i="77"/>
  <c r="AZ27" i="77"/>
  <c r="AZ106" i="77"/>
  <c r="AW108" i="77"/>
  <c r="AW107" i="77"/>
  <c r="BE15" i="77"/>
  <c r="BE22" i="77" s="1"/>
  <c r="BC20" i="77"/>
  <c r="BC21" i="77" s="1"/>
  <c r="BC22" i="77"/>
  <c r="AY109" i="77"/>
  <c r="AY107" i="77"/>
  <c r="AY108" i="77"/>
  <c r="AS103" i="77"/>
  <c r="AS55" i="77"/>
  <c r="AS56" i="77"/>
  <c r="AS57" i="77"/>
  <c r="AM53" i="77"/>
  <c r="AS89" i="77"/>
  <c r="AW53" i="77"/>
  <c r="AT58" i="77"/>
  <c r="AZ53" i="77"/>
  <c r="AZ89" i="77" s="1"/>
  <c r="AZ42" i="77"/>
  <c r="AZ41" i="77"/>
  <c r="AZ40" i="77"/>
  <c r="AZ63" i="77"/>
  <c r="AV58" i="77"/>
  <c r="BB53" i="77"/>
  <c r="AZ399" i="18"/>
  <c r="AY351" i="18"/>
  <c r="DT322" i="18"/>
  <c r="AZ111" i="77"/>
  <c r="AW109" i="77"/>
  <c r="BB20" i="77"/>
  <c r="BA49" i="77"/>
  <c r="BA34" i="77"/>
  <c r="BA21" i="77"/>
  <c r="AT91" i="77"/>
  <c r="AT92" i="77"/>
  <c r="AN56" i="77"/>
  <c r="AN57" i="77"/>
  <c r="AT54" i="77" s="1"/>
  <c r="AN103" i="77"/>
  <c r="AN55" i="77"/>
  <c r="AN89" i="77"/>
  <c r="AP103" i="77"/>
  <c r="AP57" i="77"/>
  <c r="AV54" i="77" s="1"/>
  <c r="AP89" i="77"/>
  <c r="AP55" i="77"/>
  <c r="AP56" i="77"/>
  <c r="BI33" i="77"/>
  <c r="BB444" i="18"/>
  <c r="BB454" i="18" s="1"/>
  <c r="BB380" i="18"/>
  <c r="BB390" i="18" s="1"/>
  <c r="BB345" i="18"/>
  <c r="AY464" i="18"/>
  <c r="AY400" i="18"/>
  <c r="AY463" i="18"/>
  <c r="BA444" i="18"/>
  <c r="BA454" i="18" s="1"/>
  <c r="BA380" i="18"/>
  <c r="BA390" i="18" s="1"/>
  <c r="BA345" i="18"/>
  <c r="BA174" i="18"/>
  <c r="BA604" i="18" s="1"/>
  <c r="BC176" i="18"/>
  <c r="AY243" i="18"/>
  <c r="AY205" i="18"/>
  <c r="AY225" i="18" s="1"/>
  <c r="BF144" i="18"/>
  <c r="BF145" i="18" s="1"/>
  <c r="BE170" i="18"/>
  <c r="AZ463" i="18"/>
  <c r="BI28" i="18"/>
  <c r="BK28" i="18"/>
  <c r="BL28" i="18" s="1"/>
  <c r="BL29" i="18" s="1"/>
  <c r="BL30" i="18" s="1"/>
  <c r="BI29" i="18"/>
  <c r="AY399" i="18"/>
  <c r="BC444" i="18"/>
  <c r="BC454" i="18" s="1"/>
  <c r="BC380" i="18"/>
  <c r="BC390" i="18" s="1"/>
  <c r="BC345" i="18"/>
  <c r="M48" i="19"/>
  <c r="G48" i="19"/>
  <c r="L48" i="19"/>
  <c r="CS383" i="18" l="1"/>
  <c r="CQ246" i="18"/>
  <c r="CQ276" i="18"/>
  <c r="CS179" i="18"/>
  <c r="CS192" i="18" s="1"/>
  <c r="CR276" i="18"/>
  <c r="CK109" i="18"/>
  <c r="CK108" i="18" s="1"/>
  <c r="CJ105" i="18"/>
  <c r="CI453" i="18"/>
  <c r="CI389" i="18"/>
  <c r="CJ162" i="18"/>
  <c r="CR246" i="18"/>
  <c r="CS53" i="18"/>
  <c r="CD452" i="18"/>
  <c r="BB12" i="18"/>
  <c r="BA605" i="18"/>
  <c r="BB598" i="18"/>
  <c r="BB201" i="18"/>
  <c r="BB243" i="18" s="1"/>
  <c r="BB261" i="18"/>
  <c r="BA597" i="18"/>
  <c r="BA598" i="18"/>
  <c r="BB353" i="18"/>
  <c r="BB354" i="18" s="1"/>
  <c r="DR353" i="18" s="1"/>
  <c r="BB260" i="18"/>
  <c r="BB602" i="18" s="1"/>
  <c r="BB605" i="18"/>
  <c r="BC596" i="18"/>
  <c r="BB597" i="18"/>
  <c r="BB599" i="18"/>
  <c r="DZ590" i="18" s="1"/>
  <c r="BC584" i="18"/>
  <c r="CG160" i="18"/>
  <c r="AG100" i="16"/>
  <c r="AK100" i="16"/>
  <c r="AE109" i="16"/>
  <c r="AG98" i="16"/>
  <c r="AG102" i="16"/>
  <c r="CF102" i="18"/>
  <c r="CF99" i="18"/>
  <c r="EH57" i="18"/>
  <c r="EH59" i="18" s="1"/>
  <c r="CG103" i="18"/>
  <c r="CE184" i="18"/>
  <c r="CE592" i="18" s="1"/>
  <c r="CE341" i="18"/>
  <c r="CF161" i="18"/>
  <c r="BZ149" i="18"/>
  <c r="CC148" i="18"/>
  <c r="CC149" i="18" s="1"/>
  <c r="AY265" i="18"/>
  <c r="CA375" i="18"/>
  <c r="BZ365" i="18"/>
  <c r="CA365" i="18" s="1"/>
  <c r="BZ367" i="18"/>
  <c r="BZ386" i="18" s="1"/>
  <c r="CD370" i="18"/>
  <c r="CC373" i="18"/>
  <c r="CD368" i="18"/>
  <c r="CA362" i="18"/>
  <c r="CC358" i="18"/>
  <c r="CC360" i="18"/>
  <c r="BY178" i="18"/>
  <c r="BY586" i="18" s="1"/>
  <c r="BY335" i="18"/>
  <c r="CA367" i="18"/>
  <c r="CA386" i="18" s="1"/>
  <c r="CA148" i="18"/>
  <c r="BE20" i="77"/>
  <c r="AN92" i="77"/>
  <c r="AT90" i="77" s="1"/>
  <c r="AN91" i="77"/>
  <c r="BA50" i="77"/>
  <c r="BA39" i="77"/>
  <c r="BB34" i="77"/>
  <c r="BB49" i="77"/>
  <c r="BC49" i="77" s="1"/>
  <c r="BC50" i="77" s="1"/>
  <c r="BB21" i="77"/>
  <c r="BB103" i="77"/>
  <c r="BB56" i="77"/>
  <c r="BB57" i="77"/>
  <c r="BH53" i="77" s="1"/>
  <c r="AZ91" i="77"/>
  <c r="AZ92" i="77"/>
  <c r="AZ90" i="77"/>
  <c r="AW103" i="77"/>
  <c r="AW55" i="77"/>
  <c r="AW56" i="77"/>
  <c r="AM57" i="77"/>
  <c r="AM56" i="77"/>
  <c r="AM103" i="77"/>
  <c r="AM55" i="77"/>
  <c r="AM89" i="77"/>
  <c r="AQ53" i="77"/>
  <c r="AP91" i="77"/>
  <c r="AP92" i="77"/>
  <c r="AV90" i="77" s="1"/>
  <c r="BA110" i="77"/>
  <c r="BA35" i="77"/>
  <c r="BA25" i="77"/>
  <c r="AZ103" i="77"/>
  <c r="AZ55" i="77"/>
  <c r="AZ56" i="77"/>
  <c r="AZ57" i="77"/>
  <c r="AS91" i="77"/>
  <c r="AS92" i="77"/>
  <c r="AW92" i="77" s="1"/>
  <c r="AW89" i="77"/>
  <c r="AS58" i="77"/>
  <c r="AW57" i="77"/>
  <c r="AW58" i="77" s="1"/>
  <c r="AY53" i="77"/>
  <c r="BF15" i="77"/>
  <c r="BF22" i="77" s="1"/>
  <c r="AZ109" i="77"/>
  <c r="AZ108" i="77"/>
  <c r="AZ107" i="77"/>
  <c r="AZ265" i="18"/>
  <c r="BK29" i="18"/>
  <c r="BA353" i="18"/>
  <c r="BA354" i="18" s="1"/>
  <c r="DQ353" i="18" s="1"/>
  <c r="BA291" i="18"/>
  <c r="BA260" i="18"/>
  <c r="BA602" i="18" s="1"/>
  <c r="BA261" i="18"/>
  <c r="BA12" i="18"/>
  <c r="BA201" i="18"/>
  <c r="BB348" i="18"/>
  <c r="BB346" i="18"/>
  <c r="BB347" i="18"/>
  <c r="BC457" i="18"/>
  <c r="BC455" i="18"/>
  <c r="BF176" i="18"/>
  <c r="BF333" i="18"/>
  <c r="BF170" i="18"/>
  <c r="BG144" i="18"/>
  <c r="BB391" i="18"/>
  <c r="BB392" i="18"/>
  <c r="BB393" i="18"/>
  <c r="BA346" i="18"/>
  <c r="BA348" i="18"/>
  <c r="BA347" i="18"/>
  <c r="BB455" i="18"/>
  <c r="BB456" i="18"/>
  <c r="BB457" i="18"/>
  <c r="BC348" i="18"/>
  <c r="BC346" i="18"/>
  <c r="BA391" i="18"/>
  <c r="BA393" i="18"/>
  <c r="BA392" i="18"/>
  <c r="BC393" i="18"/>
  <c r="BC391" i="18"/>
  <c r="BE176" i="18"/>
  <c r="BE584" i="18" s="1"/>
  <c r="BE333" i="18"/>
  <c r="BA455" i="18"/>
  <c r="BA457" i="18"/>
  <c r="BA456" i="18"/>
  <c r="BB291" i="18"/>
  <c r="BC189" i="18"/>
  <c r="BC174" i="18"/>
  <c r="BC604" i="18" s="1"/>
  <c r="S48" i="19"/>
  <c r="CL109" i="18" l="1"/>
  <c r="CL108" i="18" s="1"/>
  <c r="CJ163" i="18"/>
  <c r="CK162" i="18"/>
  <c r="CK163" i="18" s="1"/>
  <c r="CK105" i="18"/>
  <c r="CS54" i="18"/>
  <c r="CS246" i="18"/>
  <c r="CF98" i="18"/>
  <c r="CI103" i="18"/>
  <c r="CI102" i="18" s="1"/>
  <c r="BB205" i="18"/>
  <c r="BB225" i="18" s="1"/>
  <c r="BB351" i="18"/>
  <c r="BC605" i="18"/>
  <c r="BC597" i="18"/>
  <c r="BC599" i="18"/>
  <c r="BE596" i="18"/>
  <c r="BF174" i="18"/>
  <c r="BF584" i="18"/>
  <c r="BF596" i="18" s="1"/>
  <c r="BZ178" i="18"/>
  <c r="CA178" i="18" s="1"/>
  <c r="CG161" i="18"/>
  <c r="AH93" i="16"/>
  <c r="AG108" i="16"/>
  <c r="AG104" i="16"/>
  <c r="BB400" i="18"/>
  <c r="CG102" i="18"/>
  <c r="CG98" i="18" s="1"/>
  <c r="CG341" i="18"/>
  <c r="CG388" i="18" s="1"/>
  <c r="CE452" i="18"/>
  <c r="CE388" i="18"/>
  <c r="CG99" i="18"/>
  <c r="CF184" i="18"/>
  <c r="CF341" i="18"/>
  <c r="CA149" i="18"/>
  <c r="BZ335" i="18"/>
  <c r="BZ446" i="18" s="1"/>
  <c r="CA335" i="18"/>
  <c r="CA382" i="18" s="1"/>
  <c r="BA399" i="18"/>
  <c r="BA463" i="18"/>
  <c r="BB464" i="18"/>
  <c r="BE34" i="77"/>
  <c r="BE25" i="77" s="1"/>
  <c r="BE21" i="77"/>
  <c r="BE49" i="77"/>
  <c r="BE39" i="77" s="1"/>
  <c r="CC377" i="18"/>
  <c r="CC387" i="18" s="1"/>
  <c r="CC375" i="18"/>
  <c r="CD148" i="18"/>
  <c r="CD149" i="18" s="1"/>
  <c r="CD358" i="18"/>
  <c r="CD360" i="18"/>
  <c r="CC362" i="18"/>
  <c r="CD373" i="18"/>
  <c r="CE370" i="18"/>
  <c r="CE368" i="18"/>
  <c r="BY382" i="18"/>
  <c r="BY446" i="18"/>
  <c r="BC399" i="18"/>
  <c r="BC463" i="18"/>
  <c r="DU322" i="18"/>
  <c r="DV322" i="18"/>
  <c r="BA351" i="18"/>
  <c r="AY103" i="77"/>
  <c r="AY55" i="77"/>
  <c r="AY57" i="77"/>
  <c r="AY56" i="77"/>
  <c r="BC53" i="77"/>
  <c r="AY89" i="77"/>
  <c r="AW91" i="77"/>
  <c r="BA28" i="77"/>
  <c r="BA106" i="77"/>
  <c r="BA26" i="77"/>
  <c r="BA27" i="77"/>
  <c r="BA111" i="77"/>
  <c r="AM92" i="77"/>
  <c r="AM91" i="77"/>
  <c r="AQ57" i="77"/>
  <c r="AW54" i="77" s="1"/>
  <c r="AS54" i="77"/>
  <c r="BB58" i="77"/>
  <c r="BB110" i="77"/>
  <c r="BB111" i="77" s="1"/>
  <c r="BB35" i="77"/>
  <c r="BB25" i="77"/>
  <c r="BF20" i="77"/>
  <c r="BG15" i="77"/>
  <c r="BG22" i="77" s="1"/>
  <c r="AZ58" i="77"/>
  <c r="BF53" i="77"/>
  <c r="BC34" i="77"/>
  <c r="BC35" i="77" s="1"/>
  <c r="AQ89" i="77"/>
  <c r="AQ55" i="77"/>
  <c r="AQ103" i="77"/>
  <c r="AQ56" i="77"/>
  <c r="BB39" i="77"/>
  <c r="BC39" i="77" s="1"/>
  <c r="BB50" i="77"/>
  <c r="BA42" i="77"/>
  <c r="BA41" i="77"/>
  <c r="BA55" i="77"/>
  <c r="BA89" i="77"/>
  <c r="BA40" i="77"/>
  <c r="BA63" i="77"/>
  <c r="BG170" i="18"/>
  <c r="BH144" i="18"/>
  <c r="BH170" i="18" s="1"/>
  <c r="BF444" i="18"/>
  <c r="BF454" i="18" s="1"/>
  <c r="BF380" i="18"/>
  <c r="BF390" i="18" s="1"/>
  <c r="BF345" i="18"/>
  <c r="BM28" i="18"/>
  <c r="BE444" i="18"/>
  <c r="BE454" i="18" s="1"/>
  <c r="BE345" i="18"/>
  <c r="BE380" i="18"/>
  <c r="BE390" i="18" s="1"/>
  <c r="BB399" i="18"/>
  <c r="BE174" i="18"/>
  <c r="BE243" i="18" s="1"/>
  <c r="BA400" i="18"/>
  <c r="BC392" i="18"/>
  <c r="BB463" i="18"/>
  <c r="BG145" i="18"/>
  <c r="BC353" i="18"/>
  <c r="BC354" i="18" s="1"/>
  <c r="BC355" i="18" s="1"/>
  <c r="BC260" i="18"/>
  <c r="BC602" i="18" s="1"/>
  <c r="BC261" i="18"/>
  <c r="BC12" i="18"/>
  <c r="BC201" i="18"/>
  <c r="BA464" i="18"/>
  <c r="BC456" i="18"/>
  <c r="BA243" i="18"/>
  <c r="BA205" i="18"/>
  <c r="BA225" i="18" s="1"/>
  <c r="BK30" i="18"/>
  <c r="BN220" i="18"/>
  <c r="BN207" i="18" s="1"/>
  <c r="CJ185" i="18" l="1"/>
  <c r="CJ342" i="18"/>
  <c r="CK342" i="18"/>
  <c r="CK185" i="18"/>
  <c r="CK593" i="18" s="1"/>
  <c r="CL105" i="18"/>
  <c r="CM109" i="18"/>
  <c r="CM108" i="18"/>
  <c r="CO109" i="18"/>
  <c r="CL162" i="18"/>
  <c r="CL163" i="18" s="1"/>
  <c r="CM342" i="18" s="1"/>
  <c r="CI99" i="18"/>
  <c r="CI160" i="18"/>
  <c r="CJ103" i="18"/>
  <c r="CJ99" i="18" s="1"/>
  <c r="CI98" i="18"/>
  <c r="BF604" i="18"/>
  <c r="BF605" i="18" s="1"/>
  <c r="BF243" i="18"/>
  <c r="BT208" i="18"/>
  <c r="BN213" i="18"/>
  <c r="BN216" i="18"/>
  <c r="BN15" i="18"/>
  <c r="BC603" i="18"/>
  <c r="BF175" i="18"/>
  <c r="BF12" i="18"/>
  <c r="BF261" i="18"/>
  <c r="BF201" i="18"/>
  <c r="BF205" i="18" s="1"/>
  <c r="BF260" i="18"/>
  <c r="BF602" i="18" s="1"/>
  <c r="BF353" i="18"/>
  <c r="BF354" i="18" s="1"/>
  <c r="DT353" i="18" s="1"/>
  <c r="BZ586" i="18"/>
  <c r="CA586" i="18" s="1"/>
  <c r="BE599" i="18"/>
  <c r="EA590" i="18" s="1"/>
  <c r="BE598" i="18"/>
  <c r="BE597" i="18"/>
  <c r="BF598" i="18"/>
  <c r="BF597" i="18"/>
  <c r="BF599" i="18"/>
  <c r="EB590" i="18" s="1"/>
  <c r="CG184" i="18"/>
  <c r="CG197" i="18" s="1"/>
  <c r="CF592" i="18"/>
  <c r="CG592" i="18" s="1"/>
  <c r="BE175" i="18"/>
  <c r="BE604" i="18"/>
  <c r="BE605" i="18" s="1"/>
  <c r="AG103" i="16"/>
  <c r="AH100" i="16"/>
  <c r="AG109" i="16"/>
  <c r="AH98" i="16"/>
  <c r="AH102" i="16"/>
  <c r="BZ382" i="18"/>
  <c r="CG452" i="18"/>
  <c r="CF452" i="18"/>
  <c r="CF388" i="18"/>
  <c r="CA446" i="18"/>
  <c r="BE35" i="77"/>
  <c r="BE50" i="77"/>
  <c r="BE110" i="77"/>
  <c r="BE111" i="77" s="1"/>
  <c r="BA265" i="18"/>
  <c r="CF370" i="18"/>
  <c r="CG370" i="18" s="1"/>
  <c r="CE373" i="18"/>
  <c r="CF368" i="18"/>
  <c r="CD375" i="18"/>
  <c r="CD377" i="18"/>
  <c r="CD387" i="18" s="1"/>
  <c r="CE148" i="18"/>
  <c r="CE149" i="18" s="1"/>
  <c r="CA191" i="18"/>
  <c r="CC365" i="18"/>
  <c r="CC367" i="18"/>
  <c r="CC386" i="18" s="1"/>
  <c r="CD178" i="18"/>
  <c r="CD586" i="18" s="1"/>
  <c r="CD335" i="18"/>
  <c r="CC178" i="18"/>
  <c r="CC335" i="18"/>
  <c r="CD362" i="18"/>
  <c r="CE360" i="18"/>
  <c r="CE358" i="18"/>
  <c r="BC40" i="77"/>
  <c r="BC41" i="77"/>
  <c r="BC63" i="77"/>
  <c r="AQ91" i="77"/>
  <c r="BF21" i="77"/>
  <c r="BF49" i="77"/>
  <c r="BF34" i="77"/>
  <c r="BB27" i="77"/>
  <c r="BB26" i="77"/>
  <c r="BB28" i="77"/>
  <c r="BC28" i="77" s="1"/>
  <c r="BB106" i="77"/>
  <c r="BH103" i="77"/>
  <c r="AQ92" i="77"/>
  <c r="AW90" i="77" s="1"/>
  <c r="AS90" i="77"/>
  <c r="BA107" i="77"/>
  <c r="BA109" i="77"/>
  <c r="BA108" i="77"/>
  <c r="AY90" i="77"/>
  <c r="AY91" i="77"/>
  <c r="AY92" i="77"/>
  <c r="BC351" i="18"/>
  <c r="BC352" i="18" s="1"/>
  <c r="BF291" i="18"/>
  <c r="BA92" i="77"/>
  <c r="BA91" i="77"/>
  <c r="BA90" i="77"/>
  <c r="BB89" i="77"/>
  <c r="BB42" i="77"/>
  <c r="BC42" i="77" s="1"/>
  <c r="BB63" i="77"/>
  <c r="BB41" i="77"/>
  <c r="BB40" i="77"/>
  <c r="BB55" i="77"/>
  <c r="BF57" i="77"/>
  <c r="BF103" i="77"/>
  <c r="BE28" i="77"/>
  <c r="BE27" i="77"/>
  <c r="BE26" i="77"/>
  <c r="BE106" i="77"/>
  <c r="BG20" i="77"/>
  <c r="BH15" i="77"/>
  <c r="BI15" i="77" s="1"/>
  <c r="BC110" i="77"/>
  <c r="BC111" i="77" s="1"/>
  <c r="BC25" i="77"/>
  <c r="BC103" i="77"/>
  <c r="BC54" i="77"/>
  <c r="BC56" i="77"/>
  <c r="BC55" i="77"/>
  <c r="BE53" i="77"/>
  <c r="AY58" i="77"/>
  <c r="BC57" i="77"/>
  <c r="BE41" i="77"/>
  <c r="BE63" i="77"/>
  <c r="BE42" i="77"/>
  <c r="BE40" i="77"/>
  <c r="BB265" i="18"/>
  <c r="BN222" i="18"/>
  <c r="BE391" i="18"/>
  <c r="BE392" i="18"/>
  <c r="BE393" i="18"/>
  <c r="BC243" i="18"/>
  <c r="BC205" i="18"/>
  <c r="BC225" i="18" s="1"/>
  <c r="BN28" i="18"/>
  <c r="BF393" i="18"/>
  <c r="BF392" i="18"/>
  <c r="BF391" i="18"/>
  <c r="BE347" i="18"/>
  <c r="BE346" i="18"/>
  <c r="BE348" i="18"/>
  <c r="BE456" i="18"/>
  <c r="BE457" i="18"/>
  <c r="BE455" i="18"/>
  <c r="BK144" i="18"/>
  <c r="BI144" i="18"/>
  <c r="BI170" i="18" s="1"/>
  <c r="BM29" i="18"/>
  <c r="BH145" i="18"/>
  <c r="BF457" i="18"/>
  <c r="BF455" i="18"/>
  <c r="BF456" i="18"/>
  <c r="BE353" i="18"/>
  <c r="BE354" i="18" s="1"/>
  <c r="DS353" i="18" s="1"/>
  <c r="BE291" i="18"/>
  <c r="BE261" i="18"/>
  <c r="BE260" i="18"/>
  <c r="BE602" i="18" s="1"/>
  <c r="BE12" i="18"/>
  <c r="BE201" i="18"/>
  <c r="BG176" i="18"/>
  <c r="BG584" i="18" s="1"/>
  <c r="BG333" i="18"/>
  <c r="BF347" i="18"/>
  <c r="BF348" i="18"/>
  <c r="BF346" i="18"/>
  <c r="BQ220" i="18"/>
  <c r="CM105" i="18" l="1"/>
  <c r="CM453" i="18"/>
  <c r="CM389" i="18"/>
  <c r="CK453" i="18"/>
  <c r="CK389" i="18"/>
  <c r="CM162" i="18"/>
  <c r="CO162" i="18"/>
  <c r="CO163" i="18" s="1"/>
  <c r="CL342" i="18"/>
  <c r="CL185" i="18"/>
  <c r="CL593" i="18" s="1"/>
  <c r="CM163" i="18"/>
  <c r="CJ453" i="18"/>
  <c r="CJ389" i="18"/>
  <c r="CO105" i="18"/>
  <c r="CO108" i="18"/>
  <c r="CJ593" i="18"/>
  <c r="CJ102" i="18"/>
  <c r="CJ98" i="18" s="1"/>
  <c r="CJ160" i="18"/>
  <c r="CI161" i="18"/>
  <c r="DN313" i="18"/>
  <c r="DM314" i="18" s="1"/>
  <c r="BF351" i="18"/>
  <c r="BG596" i="18"/>
  <c r="BG599" i="18" s="1"/>
  <c r="EC590" i="18" s="1"/>
  <c r="CC586" i="18"/>
  <c r="AI93" i="16"/>
  <c r="AH108" i="16"/>
  <c r="AH104" i="16"/>
  <c r="BI333" i="18"/>
  <c r="BI345" i="18" s="1"/>
  <c r="BI349" i="18" s="1"/>
  <c r="BH176" i="18"/>
  <c r="BE89" i="77"/>
  <c r="BE90" i="77" s="1"/>
  <c r="BI53" i="77"/>
  <c r="BI54" i="77" s="1"/>
  <c r="BW221" i="18"/>
  <c r="BE463" i="18"/>
  <c r="CD382" i="18"/>
  <c r="CD446" i="18"/>
  <c r="CD365" i="18"/>
  <c r="CD367" i="18"/>
  <c r="CD386" i="18" s="1"/>
  <c r="CF373" i="18"/>
  <c r="CG368" i="18"/>
  <c r="CF360" i="18"/>
  <c r="CG360" i="18" s="1"/>
  <c r="CE362" i="18"/>
  <c r="CF358" i="18"/>
  <c r="CC382" i="18"/>
  <c r="CC446" i="18"/>
  <c r="CE178" i="18"/>
  <c r="CE335" i="18"/>
  <c r="CE377" i="18"/>
  <c r="CE387" i="18" s="1"/>
  <c r="CE375" i="18"/>
  <c r="BI145" i="18"/>
  <c r="BI168" i="18" s="1"/>
  <c r="CF148" i="18"/>
  <c r="DX322" i="18"/>
  <c r="BE351" i="18"/>
  <c r="BF400" i="18"/>
  <c r="BE399" i="18"/>
  <c r="BC58" i="77"/>
  <c r="BE56" i="77"/>
  <c r="BE57" i="77"/>
  <c r="BE103" i="77"/>
  <c r="BE55" i="77"/>
  <c r="BC26" i="77"/>
  <c r="BC106" i="77"/>
  <c r="BC27" i="77"/>
  <c r="BE109" i="77"/>
  <c r="BE108" i="77"/>
  <c r="BE107" i="77"/>
  <c r="BB92" i="77"/>
  <c r="BC92" i="77" s="1"/>
  <c r="BB90" i="77"/>
  <c r="BB91" i="77"/>
  <c r="BF110" i="77"/>
  <c r="BF35" i="77"/>
  <c r="BF25" i="77"/>
  <c r="DW322" i="18"/>
  <c r="BG21" i="77"/>
  <c r="BG34" i="77"/>
  <c r="BG49" i="77"/>
  <c r="BL53" i="77"/>
  <c r="BF58" i="77"/>
  <c r="BC89" i="77"/>
  <c r="BB107" i="77"/>
  <c r="BB108" i="77"/>
  <c r="BB109" i="77"/>
  <c r="BC109" i="77" s="1"/>
  <c r="BF39" i="77"/>
  <c r="BF50" i="77"/>
  <c r="BO28" i="18"/>
  <c r="BQ28" i="18"/>
  <c r="BG174" i="18"/>
  <c r="BG243" i="18" s="1"/>
  <c r="BF463" i="18"/>
  <c r="BQ222" i="18"/>
  <c r="BM30" i="18"/>
  <c r="BN29" i="18"/>
  <c r="BE400" i="18"/>
  <c r="BG444" i="18"/>
  <c r="BG454" i="18" s="1"/>
  <c r="BG380" i="18"/>
  <c r="BG390" i="18" s="1"/>
  <c r="BG345" i="18"/>
  <c r="BF399" i="18"/>
  <c r="BL144" i="18"/>
  <c r="BL145" i="18" s="1"/>
  <c r="BK145" i="18"/>
  <c r="BE205" i="18"/>
  <c r="BE225" i="18" s="1"/>
  <c r="BH333" i="18"/>
  <c r="BH345" i="18" s="1"/>
  <c r="BE464" i="18"/>
  <c r="BF464" i="18"/>
  <c r="BR220" i="18"/>
  <c r="CM185" i="18" l="1"/>
  <c r="CM198" i="18" s="1"/>
  <c r="CG373" i="18"/>
  <c r="CI370" i="18"/>
  <c r="CI368" i="18"/>
  <c r="CO342" i="18"/>
  <c r="CO185" i="18"/>
  <c r="CO593" i="18" s="1"/>
  <c r="CK103" i="18"/>
  <c r="CK99" i="18" s="1"/>
  <c r="CL453" i="18"/>
  <c r="CL389" i="18"/>
  <c r="CP109" i="18"/>
  <c r="CP108" i="18" s="1"/>
  <c r="CM593" i="18"/>
  <c r="CI341" i="18"/>
  <c r="CI184" i="18"/>
  <c r="CF149" i="18"/>
  <c r="CG149" i="18" s="1"/>
  <c r="CI148" i="18"/>
  <c r="CJ161" i="18"/>
  <c r="BR213" i="18"/>
  <c r="BR216" i="18"/>
  <c r="BG598" i="18"/>
  <c r="BG597" i="18"/>
  <c r="CE586" i="18"/>
  <c r="BH174" i="18"/>
  <c r="BH584" i="18"/>
  <c r="BG175" i="18"/>
  <c r="BG604" i="18"/>
  <c r="BG605" i="18" s="1"/>
  <c r="AI100" i="16"/>
  <c r="AH109" i="16"/>
  <c r="AH103" i="16"/>
  <c r="AI98" i="16"/>
  <c r="AI102" i="16"/>
  <c r="BE92" i="77"/>
  <c r="BI380" i="18"/>
  <c r="BI390" i="18" s="1"/>
  <c r="BI444" i="18"/>
  <c r="BI454" i="18" s="1"/>
  <c r="BE91" i="77"/>
  <c r="BX221" i="18"/>
  <c r="BE265" i="18"/>
  <c r="CE446" i="18"/>
  <c r="CE382" i="18"/>
  <c r="CG377" i="18"/>
  <c r="CG387" i="18" s="1"/>
  <c r="CF377" i="18"/>
  <c r="CF387" i="18" s="1"/>
  <c r="CF375" i="18"/>
  <c r="CG358" i="18"/>
  <c r="CF362" i="18"/>
  <c r="CG148" i="18"/>
  <c r="CE367" i="18"/>
  <c r="CE386" i="18" s="1"/>
  <c r="CE365" i="18"/>
  <c r="CG335" i="18" l="1"/>
  <c r="CG446" i="18" s="1"/>
  <c r="CK160" i="18"/>
  <c r="CK161" i="18" s="1"/>
  <c r="CK102" i="18"/>
  <c r="CK98" i="18" s="1"/>
  <c r="CJ368" i="18"/>
  <c r="CJ370" i="18"/>
  <c r="CI373" i="18"/>
  <c r="CG362" i="18"/>
  <c r="CI360" i="18"/>
  <c r="CI358" i="18"/>
  <c r="CQ109" i="18"/>
  <c r="CQ108" i="18" s="1"/>
  <c r="CO453" i="18"/>
  <c r="CO389" i="18"/>
  <c r="CP105" i="18"/>
  <c r="CP162" i="18"/>
  <c r="CJ148" i="18"/>
  <c r="CJ149" i="18" s="1"/>
  <c r="CI149" i="18"/>
  <c r="CI592" i="18"/>
  <c r="CF335" i="18"/>
  <c r="CF446" i="18" s="1"/>
  <c r="CI452" i="18"/>
  <c r="CI388" i="18"/>
  <c r="CJ341" i="18"/>
  <c r="CJ184" i="18"/>
  <c r="CJ592" i="18" s="1"/>
  <c r="CF178" i="18"/>
  <c r="BH604" i="18"/>
  <c r="BH243" i="18"/>
  <c r="BH12" i="18"/>
  <c r="BH175" i="18"/>
  <c r="BH596" i="18"/>
  <c r="BI584" i="18"/>
  <c r="AJ93" i="16"/>
  <c r="AI108" i="16"/>
  <c r="AI104" i="16"/>
  <c r="CG367" i="18"/>
  <c r="CG386" i="18" s="1"/>
  <c r="CF367" i="18"/>
  <c r="CF386" i="18" s="1"/>
  <c r="CF365" i="18"/>
  <c r="CG365" i="18" s="1"/>
  <c r="CG375" i="18"/>
  <c r="BF89" i="77"/>
  <c r="BF42" i="77"/>
  <c r="BF40" i="77"/>
  <c r="BF63" i="77"/>
  <c r="BF55" i="77"/>
  <c r="BC90" i="77"/>
  <c r="BC91" i="77"/>
  <c r="BG39" i="77"/>
  <c r="BG50" i="77"/>
  <c r="BC108" i="77"/>
  <c r="BC107" i="77"/>
  <c r="BE58" i="77"/>
  <c r="BK53" i="77"/>
  <c r="BL57" i="77"/>
  <c r="BR53" i="77" s="1"/>
  <c r="BL103" i="77"/>
  <c r="BG25" i="77"/>
  <c r="BG35" i="77"/>
  <c r="BG110" i="77"/>
  <c r="BG111" i="77" s="1"/>
  <c r="BF28" i="77"/>
  <c r="BF26" i="77"/>
  <c r="BF111" i="77"/>
  <c r="BI103" i="77"/>
  <c r="BG353" i="18"/>
  <c r="BG354" i="18" s="1"/>
  <c r="DU353" i="18" s="1"/>
  <c r="BG291" i="18"/>
  <c r="BG260" i="18"/>
  <c r="BG602" i="18" s="1"/>
  <c r="BG261" i="18"/>
  <c r="BG12" i="18"/>
  <c r="BG201" i="18"/>
  <c r="BR28" i="18"/>
  <c r="BR29" i="18" s="1"/>
  <c r="BR30" i="18" s="1"/>
  <c r="BQ29" i="18"/>
  <c r="BL176" i="18"/>
  <c r="BL584" i="18" s="1"/>
  <c r="BL333" i="18"/>
  <c r="BR222" i="18"/>
  <c r="BR15" i="18"/>
  <c r="BH353" i="18"/>
  <c r="BH260" i="18"/>
  <c r="BH602" i="18" s="1"/>
  <c r="BH291" i="18"/>
  <c r="BH261" i="18"/>
  <c r="BK83" i="18"/>
  <c r="BK154" i="18" s="1"/>
  <c r="BH201" i="18"/>
  <c r="BM144" i="18"/>
  <c r="BM145" i="18" s="1"/>
  <c r="BI176" i="18"/>
  <c r="BI174" i="18" s="1"/>
  <c r="BG347" i="18"/>
  <c r="BG348" i="18"/>
  <c r="BG346" i="18"/>
  <c r="BI348" i="18"/>
  <c r="BI346" i="18"/>
  <c r="BO29" i="18"/>
  <c r="BG457" i="18"/>
  <c r="BG455" i="18"/>
  <c r="BG456" i="18"/>
  <c r="BI391" i="18"/>
  <c r="BI393" i="18"/>
  <c r="BG393" i="18"/>
  <c r="BG391" i="18"/>
  <c r="BG392" i="18"/>
  <c r="BH444" i="18"/>
  <c r="BH454" i="18" s="1"/>
  <c r="BH380" i="18"/>
  <c r="BH390" i="18" s="1"/>
  <c r="BK176" i="18"/>
  <c r="BK584" i="18" s="1"/>
  <c r="BK333" i="18"/>
  <c r="BI455" i="18"/>
  <c r="BI457" i="18"/>
  <c r="BS220" i="18"/>
  <c r="CL103" i="18" l="1"/>
  <c r="CL102" i="18" s="1"/>
  <c r="CO103" i="18" s="1"/>
  <c r="CG382" i="18"/>
  <c r="CQ162" i="18"/>
  <c r="CQ163" i="18" s="1"/>
  <c r="CP163" i="18"/>
  <c r="CI377" i="18"/>
  <c r="CI387" i="18" s="1"/>
  <c r="CI375" i="18"/>
  <c r="CR109" i="18"/>
  <c r="CR108" i="18" s="1"/>
  <c r="CS108" i="18" s="1"/>
  <c r="CQ105" i="18"/>
  <c r="CJ360" i="18"/>
  <c r="CI362" i="18"/>
  <c r="CJ358" i="18"/>
  <c r="CJ373" i="18"/>
  <c r="CK368" i="18"/>
  <c r="CK370" i="18"/>
  <c r="CG178" i="18"/>
  <c r="CF586" i="18"/>
  <c r="CG586" i="18" s="1"/>
  <c r="CI178" i="18"/>
  <c r="CI335" i="18"/>
  <c r="CL160" i="18"/>
  <c r="CF382" i="18"/>
  <c r="CK148" i="18"/>
  <c r="CK149" i="18" s="1"/>
  <c r="CJ178" i="18"/>
  <c r="CJ335" i="18"/>
  <c r="CJ452" i="18"/>
  <c r="CJ388" i="18"/>
  <c r="CK341" i="18"/>
  <c r="CK184" i="18"/>
  <c r="CK592" i="18" s="1"/>
  <c r="BH605" i="18"/>
  <c r="BS213" i="18"/>
  <c r="BS216" i="18"/>
  <c r="BH598" i="18"/>
  <c r="BH597" i="18"/>
  <c r="BH599" i="18"/>
  <c r="ED590" i="18" s="1"/>
  <c r="BI596" i="18"/>
  <c r="BI175" i="18"/>
  <c r="BI604" i="18"/>
  <c r="AI103" i="16"/>
  <c r="AI109" i="16"/>
  <c r="AJ100" i="16"/>
  <c r="AJ103" i="16" s="1"/>
  <c r="AJ97" i="16"/>
  <c r="AK97" i="16" s="1"/>
  <c r="AK98" i="16" s="1"/>
  <c r="AJ102" i="16"/>
  <c r="BL123" i="18"/>
  <c r="BL134" i="18"/>
  <c r="BK78" i="18"/>
  <c r="BY221" i="18"/>
  <c r="BX263" i="18"/>
  <c r="DY322" i="18"/>
  <c r="BG26" i="77"/>
  <c r="BG28" i="77"/>
  <c r="BL58" i="77"/>
  <c r="BG42" i="77"/>
  <c r="BG63" i="77"/>
  <c r="BG89" i="77"/>
  <c r="BG40" i="77"/>
  <c r="BG55" i="77"/>
  <c r="BI463" i="18"/>
  <c r="BI399" i="18"/>
  <c r="BH351" i="18"/>
  <c r="BG351" i="18"/>
  <c r="BK57" i="77"/>
  <c r="BQ53" i="77" s="1"/>
  <c r="BK103" i="77"/>
  <c r="BF90" i="77"/>
  <c r="BF91" i="77"/>
  <c r="BF92" i="77"/>
  <c r="BM176" i="18"/>
  <c r="BM584" i="18" s="1"/>
  <c r="BM333" i="18"/>
  <c r="BH348" i="18"/>
  <c r="BH346" i="18"/>
  <c r="BH347" i="18"/>
  <c r="BH457" i="18"/>
  <c r="BH456" i="18"/>
  <c r="BI456" i="18" s="1"/>
  <c r="BH455" i="18"/>
  <c r="BG464" i="18"/>
  <c r="BR11" i="19"/>
  <c r="BR14" i="19" s="1"/>
  <c r="BG205" i="18"/>
  <c r="BI189" i="18"/>
  <c r="BG463" i="18"/>
  <c r="BK418" i="18"/>
  <c r="BK81" i="18"/>
  <c r="BG400" i="18"/>
  <c r="BG399" i="18"/>
  <c r="BL444" i="18"/>
  <c r="BL380" i="18"/>
  <c r="BH205" i="18"/>
  <c r="BH354" i="18"/>
  <c r="DV353" i="18" s="1"/>
  <c r="BQ30" i="18"/>
  <c r="BK444" i="18"/>
  <c r="BK380" i="18"/>
  <c r="BN144" i="18"/>
  <c r="BN145" i="18" s="1"/>
  <c r="BS222" i="18"/>
  <c r="BS15" i="18"/>
  <c r="BH391" i="18"/>
  <c r="BH392" i="18"/>
  <c r="BI392" i="18" s="1"/>
  <c r="BH393" i="18"/>
  <c r="BS28" i="18"/>
  <c r="BS29" i="18" s="1"/>
  <c r="BS30" i="18" s="1"/>
  <c r="BT220" i="18"/>
  <c r="CM102" i="18" l="1"/>
  <c r="CM98" i="18" s="1"/>
  <c r="CM103" i="18"/>
  <c r="CL98" i="18"/>
  <c r="CL99" i="18"/>
  <c r="CM99" i="18" s="1"/>
  <c r="CG191" i="18"/>
  <c r="CQ342" i="18"/>
  <c r="CQ185" i="18"/>
  <c r="CQ593" i="18" s="1"/>
  <c r="CI367" i="18"/>
  <c r="CI386" i="18" s="1"/>
  <c r="CI365" i="18"/>
  <c r="CR162" i="18"/>
  <c r="CS162" i="18" s="1"/>
  <c r="CJ377" i="18"/>
  <c r="CJ387" i="18" s="1"/>
  <c r="CJ375" i="18"/>
  <c r="CR105" i="18"/>
  <c r="CS109" i="18"/>
  <c r="CS258" i="18" s="1"/>
  <c r="CP342" i="18"/>
  <c r="CP185" i="18"/>
  <c r="CL370" i="18"/>
  <c r="CM370" i="18" s="1"/>
  <c r="CL368" i="18"/>
  <c r="CK373" i="18"/>
  <c r="CJ362" i="18"/>
  <c r="CK358" i="18"/>
  <c r="CK360" i="18"/>
  <c r="CO160" i="18"/>
  <c r="CO161" i="18" s="1"/>
  <c r="CO99" i="18"/>
  <c r="CO102" i="18"/>
  <c r="CK335" i="18"/>
  <c r="CK178" i="18"/>
  <c r="CI586" i="18"/>
  <c r="CJ586" i="18"/>
  <c r="CI446" i="18"/>
  <c r="CI382" i="18"/>
  <c r="CL148" i="18"/>
  <c r="CO148" i="18" s="1"/>
  <c r="CM160" i="18"/>
  <c r="CL161" i="18"/>
  <c r="CK452" i="18"/>
  <c r="CK388" i="18"/>
  <c r="CJ382" i="18"/>
  <c r="CJ446" i="18"/>
  <c r="BT216" i="18"/>
  <c r="BT213" i="18"/>
  <c r="BK60" i="18"/>
  <c r="BI599" i="18"/>
  <c r="BI597" i="18"/>
  <c r="BI605" i="18"/>
  <c r="BO145" i="18"/>
  <c r="AM93" i="16"/>
  <c r="AK108" i="16"/>
  <c r="AQ93" i="16"/>
  <c r="AK103" i="16"/>
  <c r="AK104" i="16" s="1"/>
  <c r="AK106" i="16" s="1"/>
  <c r="BK249" i="18"/>
  <c r="BK59" i="18"/>
  <c r="BK279" i="18"/>
  <c r="BK14" i="77"/>
  <c r="BK156" i="18"/>
  <c r="BZ221" i="18"/>
  <c r="BH399" i="18"/>
  <c r="BY263" i="18"/>
  <c r="BK58" i="77"/>
  <c r="BR57" i="77"/>
  <c r="BR103" i="77"/>
  <c r="BH400" i="18"/>
  <c r="BH464" i="18"/>
  <c r="DZ322" i="18"/>
  <c r="BG90" i="77"/>
  <c r="BG91" i="77"/>
  <c r="BG92" i="77"/>
  <c r="BM444" i="18"/>
  <c r="BM380" i="18"/>
  <c r="BN176" i="18"/>
  <c r="BN584" i="18" s="1"/>
  <c r="BO584" i="18" s="1"/>
  <c r="BN333" i="18"/>
  <c r="DS54" i="18"/>
  <c r="DS56" i="18" s="1"/>
  <c r="BK396" i="18"/>
  <c r="BK82" i="18"/>
  <c r="BK460" i="18"/>
  <c r="BT28" i="18"/>
  <c r="BS292" i="18"/>
  <c r="BS11" i="19"/>
  <c r="BI353" i="18"/>
  <c r="BI354" i="18" s="1"/>
  <c r="BI355" i="18" s="1"/>
  <c r="BI260" i="18"/>
  <c r="BI602" i="18" s="1"/>
  <c r="BI261" i="18"/>
  <c r="BH463" i="18"/>
  <c r="BO333" i="18"/>
  <c r="BK419" i="18"/>
  <c r="BT222" i="18"/>
  <c r="BU222" i="18" s="1"/>
  <c r="BT221" i="18"/>
  <c r="BT15" i="18"/>
  <c r="BU220" i="18"/>
  <c r="BQ144" i="18"/>
  <c r="BQ145" i="18" s="1"/>
  <c r="BO144" i="18"/>
  <c r="CR163" i="18" l="1"/>
  <c r="CS163" i="18" s="1"/>
  <c r="CK377" i="18"/>
  <c r="CK387" i="18" s="1"/>
  <c r="CK375" i="18"/>
  <c r="CS105" i="18"/>
  <c r="CJ367" i="18"/>
  <c r="CJ386" i="18" s="1"/>
  <c r="CJ365" i="18"/>
  <c r="CP593" i="18"/>
  <c r="CM368" i="18"/>
  <c r="CL373" i="18"/>
  <c r="CK362" i="18"/>
  <c r="CL360" i="18"/>
  <c r="CM360" i="18" s="1"/>
  <c r="CL358" i="18"/>
  <c r="CP389" i="18"/>
  <c r="CP453" i="18"/>
  <c r="CQ389" i="18"/>
  <c r="CQ453" i="18"/>
  <c r="CL149" i="18"/>
  <c r="CM149" i="18" s="1"/>
  <c r="CP103" i="18"/>
  <c r="CP160" i="18" s="1"/>
  <c r="CO98" i="18"/>
  <c r="CP148" i="18"/>
  <c r="CP149" i="18" s="1"/>
  <c r="CO149" i="18"/>
  <c r="CO341" i="18"/>
  <c r="CO184" i="18"/>
  <c r="CM148" i="18"/>
  <c r="CK586" i="18"/>
  <c r="CK382" i="18"/>
  <c r="CK446" i="18"/>
  <c r="CL341" i="18"/>
  <c r="CL184" i="18"/>
  <c r="CM341" i="18"/>
  <c r="CM161" i="18"/>
  <c r="AQ100" i="16"/>
  <c r="AK109" i="16"/>
  <c r="AM100" i="16"/>
  <c r="AQ98" i="16"/>
  <c r="AQ102" i="16"/>
  <c r="AM98" i="16"/>
  <c r="AM102" i="16"/>
  <c r="BK45" i="77"/>
  <c r="BK48" i="77" s="1"/>
  <c r="BK31" i="77"/>
  <c r="CA221" i="18"/>
  <c r="BK15" i="77"/>
  <c r="BK94" i="77"/>
  <c r="BK95" i="77" s="1"/>
  <c r="BK114" i="77"/>
  <c r="BK116" i="77" s="1"/>
  <c r="BZ263" i="18"/>
  <c r="BU28" i="18"/>
  <c r="BW28" i="18"/>
  <c r="BR58" i="77"/>
  <c r="BX53" i="77"/>
  <c r="BI351" i="18"/>
  <c r="BQ57" i="77"/>
  <c r="BW53" i="77" s="1"/>
  <c r="BQ103" i="77"/>
  <c r="BK283" i="18"/>
  <c r="BK253" i="18"/>
  <c r="BO444" i="18"/>
  <c r="BO380" i="18"/>
  <c r="BK157" i="18"/>
  <c r="BO176" i="18"/>
  <c r="BT263" i="18"/>
  <c r="BT292" i="18"/>
  <c r="BT11" i="19"/>
  <c r="BT14" i="19" s="1"/>
  <c r="BT29" i="18"/>
  <c r="BK420" i="18"/>
  <c r="BR144" i="18"/>
  <c r="BR145" i="18" s="1"/>
  <c r="BN444" i="18"/>
  <c r="BN380" i="18"/>
  <c r="BS14" i="19"/>
  <c r="CS342" i="18" l="1"/>
  <c r="CS453" i="18" s="1"/>
  <c r="CR185" i="18"/>
  <c r="CR593" i="18" s="1"/>
  <c r="CS593" i="18" s="1"/>
  <c r="CR342" i="18"/>
  <c r="CR453" i="18" s="1"/>
  <c r="CL178" i="18"/>
  <c r="CP102" i="18"/>
  <c r="CP98" i="18" s="1"/>
  <c r="CM373" i="18"/>
  <c r="CO370" i="18"/>
  <c r="CO368" i="18"/>
  <c r="CM358" i="18"/>
  <c r="CL362" i="18"/>
  <c r="CM367" i="18" s="1"/>
  <c r="CM386" i="18" s="1"/>
  <c r="CM377" i="18"/>
  <c r="CM387" i="18" s="1"/>
  <c r="CL377" i="18"/>
  <c r="CL387" i="18" s="1"/>
  <c r="CL375" i="18"/>
  <c r="CM375" i="18" s="1"/>
  <c r="CK367" i="18"/>
  <c r="CK386" i="18" s="1"/>
  <c r="CK365" i="18"/>
  <c r="CL335" i="18"/>
  <c r="CL382" i="18" s="1"/>
  <c r="CM335" i="18"/>
  <c r="CM382" i="18" s="1"/>
  <c r="CP178" i="18"/>
  <c r="CP335" i="18"/>
  <c r="CO178" i="18"/>
  <c r="CO335" i="18"/>
  <c r="CO592" i="18"/>
  <c r="CQ148" i="18"/>
  <c r="CQ149" i="18" s="1"/>
  <c r="CO452" i="18"/>
  <c r="CO388" i="18"/>
  <c r="CP99" i="18"/>
  <c r="CP161" i="18"/>
  <c r="CL592" i="18"/>
  <c r="CM592" i="18" s="1"/>
  <c r="CM184" i="18"/>
  <c r="CM197" i="18" s="1"/>
  <c r="CL388" i="18"/>
  <c r="CL452" i="18"/>
  <c r="CM388" i="18"/>
  <c r="CM452" i="18"/>
  <c r="BR333" i="18"/>
  <c r="AM108" i="16"/>
  <c r="AN93" i="16"/>
  <c r="AM104" i="16"/>
  <c r="AQ108" i="16"/>
  <c r="AS93" i="16"/>
  <c r="AW93" i="16"/>
  <c r="BK33" i="77"/>
  <c r="BW29" i="18"/>
  <c r="BX28" i="18"/>
  <c r="BY28" i="18" s="1"/>
  <c r="BX57" i="77"/>
  <c r="BX103" i="77"/>
  <c r="BW57" i="77"/>
  <c r="BW103" i="77"/>
  <c r="BQ58" i="77"/>
  <c r="BR176" i="18"/>
  <c r="BR584" i="18" s="1"/>
  <c r="BK182" i="18"/>
  <c r="BK339" i="18"/>
  <c r="BU29" i="18"/>
  <c r="BF220" i="18"/>
  <c r="BI69" i="19"/>
  <c r="BQ176" i="18"/>
  <c r="BQ584" i="18" s="1"/>
  <c r="BQ333" i="18"/>
  <c r="BS144" i="18"/>
  <c r="BS145" i="18" s="1"/>
  <c r="BO189" i="18"/>
  <c r="CS389" i="18" l="1"/>
  <c r="CQ103" i="18"/>
  <c r="CQ99" i="18" s="1"/>
  <c r="CR389" i="18"/>
  <c r="CL446" i="18"/>
  <c r="CS185" i="18"/>
  <c r="CS198" i="18" s="1"/>
  <c r="CM446" i="18"/>
  <c r="CL586" i="18"/>
  <c r="CM586" i="18" s="1"/>
  <c r="CM178" i="18"/>
  <c r="CM362" i="18"/>
  <c r="CO360" i="18"/>
  <c r="CO358" i="18"/>
  <c r="CP368" i="18"/>
  <c r="CP370" i="18"/>
  <c r="CO373" i="18"/>
  <c r="CL367" i="18"/>
  <c r="CL386" i="18" s="1"/>
  <c r="CL365" i="18"/>
  <c r="CM365" i="18" s="1"/>
  <c r="CP341" i="18"/>
  <c r="CP184" i="18"/>
  <c r="CO446" i="18"/>
  <c r="CO382" i="18"/>
  <c r="CO586" i="18"/>
  <c r="CQ178" i="18"/>
  <c r="CQ335" i="18"/>
  <c r="CP382" i="18"/>
  <c r="CP446" i="18"/>
  <c r="CR148" i="18"/>
  <c r="CR149" i="18" s="1"/>
  <c r="CP586" i="18"/>
  <c r="BK590" i="18"/>
  <c r="AW98" i="16"/>
  <c r="AW102" i="16"/>
  <c r="AN98" i="16"/>
  <c r="AN102" i="16"/>
  <c r="AS102" i="16"/>
  <c r="AS98" i="16"/>
  <c r="AN100" i="16"/>
  <c r="AM109" i="16"/>
  <c r="AM103" i="16"/>
  <c r="BX29" i="18"/>
  <c r="BX30" i="18" s="1"/>
  <c r="BY29" i="18"/>
  <c r="BY30" i="18" s="1"/>
  <c r="BZ28" i="18"/>
  <c r="BZ29" i="18" s="1"/>
  <c r="BW30" i="18"/>
  <c r="CC53" i="77"/>
  <c r="BW58" i="77"/>
  <c r="BX58" i="77"/>
  <c r="CD53" i="77"/>
  <c r="BR38" i="17"/>
  <c r="BS176" i="18"/>
  <c r="BS584" i="18" s="1"/>
  <c r="BS333" i="18"/>
  <c r="BI75" i="19"/>
  <c r="BG220" i="18"/>
  <c r="BT144" i="18"/>
  <c r="BW144" i="18" s="1"/>
  <c r="BW145" i="18" s="1"/>
  <c r="BF222" i="18"/>
  <c r="BF221" i="18"/>
  <c r="BF207" i="18"/>
  <c r="BQ444" i="18"/>
  <c r="BQ380" i="18"/>
  <c r="BK430" i="18"/>
  <c r="BK467" i="18" s="1"/>
  <c r="BK366" i="18"/>
  <c r="BK403" i="18" s="1"/>
  <c r="BR444" i="18"/>
  <c r="BR380" i="18"/>
  <c r="BF208" i="18" l="1"/>
  <c r="CQ160" i="18"/>
  <c r="CQ161" i="18" s="1"/>
  <c r="CQ184" i="18" s="1"/>
  <c r="CQ592" i="18" s="1"/>
  <c r="CQ102" i="18"/>
  <c r="CR103" i="18" s="1"/>
  <c r="CR99" i="18" s="1"/>
  <c r="CS99" i="18" s="1"/>
  <c r="CM191" i="18"/>
  <c r="CO377" i="18"/>
  <c r="CO387" i="18" s="1"/>
  <c r="CO375" i="18"/>
  <c r="CP358" i="18"/>
  <c r="CP360" i="18"/>
  <c r="CO362" i="18"/>
  <c r="CP373" i="18"/>
  <c r="CQ368" i="18"/>
  <c r="CQ370" i="18"/>
  <c r="CP452" i="18"/>
  <c r="CP388" i="18"/>
  <c r="CQ382" i="18"/>
  <c r="CQ446" i="18"/>
  <c r="CP592" i="18"/>
  <c r="CR178" i="18"/>
  <c r="CR335" i="18"/>
  <c r="CS149" i="18"/>
  <c r="CS335" i="18"/>
  <c r="CQ586" i="18"/>
  <c r="CS148" i="18"/>
  <c r="BF213" i="18"/>
  <c r="BF216" i="18"/>
  <c r="AS104" i="16"/>
  <c r="AT93" i="16"/>
  <c r="AS108" i="16"/>
  <c r="AN108" i="16"/>
  <c r="AN104" i="16"/>
  <c r="AO93" i="16"/>
  <c r="BC93" i="16"/>
  <c r="AW108" i="16"/>
  <c r="AY93" i="16"/>
  <c r="CA29" i="18"/>
  <c r="CA28" i="18"/>
  <c r="CC28" i="18"/>
  <c r="BT145" i="18"/>
  <c r="CD57" i="77"/>
  <c r="CD103" i="77"/>
  <c r="CC103" i="77"/>
  <c r="CC57" i="77"/>
  <c r="CI53" i="77" s="1"/>
  <c r="BS444" i="18"/>
  <c r="BS380" i="18"/>
  <c r="BK408" i="18"/>
  <c r="BF15" i="18"/>
  <c r="BF225" i="18"/>
  <c r="BF265" i="18" s="1"/>
  <c r="BK472" i="18"/>
  <c r="BU144" i="18"/>
  <c r="BG222" i="18"/>
  <c r="BG221" i="18"/>
  <c r="BG207" i="18"/>
  <c r="BG208" i="18" s="1"/>
  <c r="CQ341" i="18" l="1"/>
  <c r="CQ452" i="18" s="1"/>
  <c r="CQ98" i="18"/>
  <c r="CR102" i="18"/>
  <c r="CS102" i="18" s="1"/>
  <c r="CS98" i="18" s="1"/>
  <c r="CR160" i="18"/>
  <c r="CS160" i="18" s="1"/>
  <c r="CS103" i="18"/>
  <c r="CP377" i="18"/>
  <c r="CP387" i="18" s="1"/>
  <c r="CP375" i="18"/>
  <c r="CQ360" i="18"/>
  <c r="CP362" i="18"/>
  <c r="CQ358" i="18"/>
  <c r="CO367" i="18"/>
  <c r="CO386" i="18" s="1"/>
  <c r="CO365" i="18"/>
  <c r="CQ373" i="18"/>
  <c r="CR368" i="18"/>
  <c r="CR370" i="18"/>
  <c r="CS370" i="18" s="1"/>
  <c r="CI103" i="77"/>
  <c r="CI57" i="77"/>
  <c r="CO53" i="77" s="1"/>
  <c r="CD58" i="77"/>
  <c r="CJ53" i="77"/>
  <c r="CS382" i="18"/>
  <c r="CS446" i="18"/>
  <c r="CR586" i="18"/>
  <c r="CS178" i="18"/>
  <c r="CR382" i="18"/>
  <c r="CR446" i="18"/>
  <c r="BG213" i="18"/>
  <c r="BG216" i="18"/>
  <c r="BU145" i="18"/>
  <c r="AO98" i="16"/>
  <c r="AO102" i="16"/>
  <c r="AT98" i="16"/>
  <c r="AT102" i="16"/>
  <c r="AY102" i="16"/>
  <c r="AY98" i="16"/>
  <c r="BC98" i="16"/>
  <c r="BC102" i="16"/>
  <c r="AN103" i="16"/>
  <c r="AN109" i="16"/>
  <c r="AO100" i="16"/>
  <c r="AT100" i="16"/>
  <c r="AS109" i="16"/>
  <c r="BW38" i="17"/>
  <c r="BT176" i="18"/>
  <c r="CD28" i="18"/>
  <c r="CE28" i="18" s="1"/>
  <c r="CC29" i="18"/>
  <c r="BX144" i="18"/>
  <c r="BU333" i="18"/>
  <c r="BU444" i="18" s="1"/>
  <c r="BT333" i="18"/>
  <c r="BT444" i="18" s="1"/>
  <c r="CC58" i="77"/>
  <c r="BH43" i="17"/>
  <c r="BS38" i="17"/>
  <c r="BI38" i="17"/>
  <c r="BT38" i="17"/>
  <c r="BG15" i="18"/>
  <c r="BG225" i="18"/>
  <c r="BG265" i="18" s="1"/>
  <c r="BF263" i="18"/>
  <c r="BF292" i="18"/>
  <c r="BF16" i="18"/>
  <c r="BK220" i="18"/>
  <c r="BK207" i="18" s="1"/>
  <c r="BK208" i="18" l="1"/>
  <c r="CQ388" i="18"/>
  <c r="CR161" i="18"/>
  <c r="CS161" i="18" s="1"/>
  <c r="CR98" i="18"/>
  <c r="CR360" i="18"/>
  <c r="CS360" i="18" s="1"/>
  <c r="CR358" i="18"/>
  <c r="CQ362" i="18"/>
  <c r="CS368" i="18"/>
  <c r="CS373" i="18" s="1"/>
  <c r="CR373" i="18"/>
  <c r="CP367" i="18"/>
  <c r="CP386" i="18" s="1"/>
  <c r="CP365" i="18"/>
  <c r="CQ377" i="18"/>
  <c r="CQ387" i="18" s="1"/>
  <c r="CQ375" i="18"/>
  <c r="CO103" i="77"/>
  <c r="CO57" i="77"/>
  <c r="CJ103" i="77"/>
  <c r="CJ57" i="77"/>
  <c r="CI58" i="77"/>
  <c r="CS191" i="18"/>
  <c r="CS586" i="18"/>
  <c r="BK216" i="18"/>
  <c r="BK213" i="18"/>
  <c r="BU176" i="18"/>
  <c r="BU189" i="18" s="1"/>
  <c r="BT584" i="18"/>
  <c r="BU584" i="18" s="1"/>
  <c r="AZ93" i="16"/>
  <c r="AY104" i="16"/>
  <c r="AY108" i="16"/>
  <c r="BI93" i="16"/>
  <c r="BC108" i="16"/>
  <c r="BE93" i="16"/>
  <c r="AT104" i="16"/>
  <c r="AT108" i="16"/>
  <c r="AU93" i="16"/>
  <c r="AO108" i="16"/>
  <c r="AO104" i="16"/>
  <c r="AP93" i="16"/>
  <c r="BG16" i="18"/>
  <c r="CA38" i="17"/>
  <c r="BT380" i="18"/>
  <c r="BY144" i="18"/>
  <c r="BU380" i="18"/>
  <c r="CD29" i="18"/>
  <c r="CD30" i="18" s="1"/>
  <c r="CC30" i="18"/>
  <c r="CE29" i="18"/>
  <c r="CE30" i="18" s="1"/>
  <c r="CF28" i="18"/>
  <c r="BW176" i="18"/>
  <c r="BW584" i="18" s="1"/>
  <c r="BW333" i="18"/>
  <c r="BX145" i="18"/>
  <c r="BI43" i="17"/>
  <c r="BF232" i="18"/>
  <c r="BM43" i="17"/>
  <c r="BO38" i="17"/>
  <c r="BQ38" i="17"/>
  <c r="BK222" i="18"/>
  <c r="BK221" i="18"/>
  <c r="BQ221" i="18"/>
  <c r="BF466" i="18"/>
  <c r="BF402" i="18"/>
  <c r="BF235" i="18"/>
  <c r="BF17" i="18"/>
  <c r="BF229" i="18"/>
  <c r="BG263" i="18"/>
  <c r="BG292" i="18"/>
  <c r="CS341" i="18" l="1"/>
  <c r="CS388" i="18" s="1"/>
  <c r="CR341" i="18"/>
  <c r="CR388" i="18" s="1"/>
  <c r="CR184" i="18"/>
  <c r="CR592" i="18" s="1"/>
  <c r="CS592" i="18" s="1"/>
  <c r="CR377" i="18"/>
  <c r="CR387" i="18" s="1"/>
  <c r="CR375" i="18"/>
  <c r="CS375" i="18" s="1"/>
  <c r="CS377" i="18"/>
  <c r="CS387" i="18" s="1"/>
  <c r="CQ367" i="18"/>
  <c r="CQ386" i="18" s="1"/>
  <c r="CQ365" i="18"/>
  <c r="CS358" i="18"/>
  <c r="CS362" i="18" s="1"/>
  <c r="CR362" i="18"/>
  <c r="CS367" i="18" s="1"/>
  <c r="CS386" i="18" s="1"/>
  <c r="CG28" i="18"/>
  <c r="CI28" i="18"/>
  <c r="CO58" i="77"/>
  <c r="CJ58" i="77"/>
  <c r="CP53" i="77"/>
  <c r="AP100" i="16"/>
  <c r="AO103" i="16"/>
  <c r="AO109" i="16"/>
  <c r="AU98" i="16"/>
  <c r="AU102" i="16"/>
  <c r="AT103" i="16"/>
  <c r="AU100" i="16"/>
  <c r="AT109" i="16"/>
  <c r="BE102" i="16"/>
  <c r="BE98" i="16"/>
  <c r="BI98" i="16"/>
  <c r="BI102" i="16"/>
  <c r="AY109" i="16"/>
  <c r="AZ100" i="16"/>
  <c r="AP98" i="16"/>
  <c r="AP102" i="16"/>
  <c r="AZ98" i="16"/>
  <c r="AZ102" i="16"/>
  <c r="BW444" i="18"/>
  <c r="BW380" i="18"/>
  <c r="BY145" i="18"/>
  <c r="BZ144" i="18"/>
  <c r="CC144" i="18" s="1"/>
  <c r="CC145" i="18" s="1"/>
  <c r="BX176" i="18"/>
  <c r="BX584" i="18" s="1"/>
  <c r="BX333" i="18"/>
  <c r="CF29" i="18"/>
  <c r="BG232" i="18"/>
  <c r="BO43" i="17"/>
  <c r="BF21" i="18"/>
  <c r="BF9" i="77"/>
  <c r="BU38" i="17"/>
  <c r="BL220" i="18"/>
  <c r="BG466" i="18"/>
  <c r="BG402" i="18"/>
  <c r="BG235" i="18"/>
  <c r="BG17" i="18"/>
  <c r="BG229" i="18"/>
  <c r="BF407" i="18"/>
  <c r="BF404" i="18"/>
  <c r="BF471" i="18"/>
  <c r="BF468" i="18"/>
  <c r="CS452" i="18" l="1"/>
  <c r="CS184" i="18"/>
  <c r="CS197" i="18" s="1"/>
  <c r="CR452" i="18"/>
  <c r="CR367" i="18"/>
  <c r="CR386" i="18" s="1"/>
  <c r="CR365" i="18"/>
  <c r="CS365" i="18" s="1"/>
  <c r="CJ28" i="18"/>
  <c r="CJ29" i="18" s="1"/>
  <c r="CJ30" i="18" s="1"/>
  <c r="CI29" i="18"/>
  <c r="CI30" i="18" s="1"/>
  <c r="CP103" i="77"/>
  <c r="CP57" i="77"/>
  <c r="BL16" i="18"/>
  <c r="BL207" i="18"/>
  <c r="BE108" i="16"/>
  <c r="BE104" i="16"/>
  <c r="BF93" i="16"/>
  <c r="AU104" i="16"/>
  <c r="AU108" i="16"/>
  <c r="AV93" i="16"/>
  <c r="AZ108" i="16"/>
  <c r="BA93" i="16"/>
  <c r="AZ104" i="16"/>
  <c r="AP104" i="16"/>
  <c r="AP108" i="16"/>
  <c r="BO93" i="16"/>
  <c r="BI108" i="16"/>
  <c r="BK93" i="16"/>
  <c r="BF168" i="19"/>
  <c r="BL221" i="18"/>
  <c r="CG29" i="18"/>
  <c r="BX444" i="18"/>
  <c r="BX380" i="18"/>
  <c r="BZ145" i="18"/>
  <c r="CA144" i="18"/>
  <c r="BY176" i="18"/>
  <c r="BY584" i="18" s="1"/>
  <c r="BY333" i="18"/>
  <c r="BF106" i="77"/>
  <c r="BF10" i="77"/>
  <c r="BF100" i="77"/>
  <c r="BF64" i="77"/>
  <c r="BF56" i="77"/>
  <c r="BF27" i="77"/>
  <c r="BF41" i="77"/>
  <c r="BG21" i="18"/>
  <c r="BG9" i="77"/>
  <c r="BF470" i="18"/>
  <c r="BF469" i="18"/>
  <c r="BF406" i="18"/>
  <c r="BF405" i="18"/>
  <c r="BG407" i="18"/>
  <c r="BG404" i="18"/>
  <c r="BL222" i="18"/>
  <c r="BR221" i="18"/>
  <c r="BG471" i="18"/>
  <c r="BG468" i="18"/>
  <c r="BM220" i="18"/>
  <c r="BM207" i="18" s="1"/>
  <c r="BK263" i="18"/>
  <c r="BO207" i="18" l="1"/>
  <c r="CK28" i="18"/>
  <c r="CK29" i="18" s="1"/>
  <c r="CK30" i="18" s="1"/>
  <c r="CP58" i="77"/>
  <c r="BL208" i="18"/>
  <c r="BR208" i="18"/>
  <c r="BM208" i="18"/>
  <c r="BS208" i="18"/>
  <c r="BL17" i="18"/>
  <c r="BL216" i="18"/>
  <c r="BL213" i="18"/>
  <c r="BM15" i="18"/>
  <c r="BM16" i="18" s="1"/>
  <c r="BM213" i="18"/>
  <c r="BM216" i="18"/>
  <c r="CA145" i="18"/>
  <c r="BK102" i="16"/>
  <c r="BK98" i="16"/>
  <c r="AP109" i="16"/>
  <c r="AP103" i="16"/>
  <c r="AQ103" i="16" s="1"/>
  <c r="AQ104" i="16" s="1"/>
  <c r="BA98" i="16"/>
  <c r="BA102" i="16"/>
  <c r="AV98" i="16"/>
  <c r="AV102" i="16"/>
  <c r="AU109" i="16"/>
  <c r="AU103" i="16"/>
  <c r="AV100" i="16"/>
  <c r="BF100" i="16"/>
  <c r="BE109" i="16"/>
  <c r="AZ109" i="16"/>
  <c r="AZ103" i="16"/>
  <c r="BA100" i="16"/>
  <c r="BF98" i="16"/>
  <c r="BF102" i="16"/>
  <c r="BG168" i="19"/>
  <c r="BO220" i="18"/>
  <c r="BY380" i="18"/>
  <c r="BY444" i="18"/>
  <c r="CD144" i="18"/>
  <c r="CD145" i="18" s="1"/>
  <c r="BZ176" i="18"/>
  <c r="BZ584" i="18" s="1"/>
  <c r="CA584" i="18" s="1"/>
  <c r="BZ333" i="18"/>
  <c r="CA333" i="18"/>
  <c r="BG106" i="77"/>
  <c r="BG10" i="77"/>
  <c r="BG100" i="77"/>
  <c r="BG64" i="77"/>
  <c r="BG56" i="77"/>
  <c r="BG41" i="77"/>
  <c r="BG27" i="77"/>
  <c r="BF107" i="77"/>
  <c r="BF109" i="77"/>
  <c r="BF108" i="77"/>
  <c r="BL292" i="18"/>
  <c r="BL263" i="18"/>
  <c r="BR263" i="18"/>
  <c r="BG470" i="18"/>
  <c r="BG469" i="18"/>
  <c r="BM221" i="18"/>
  <c r="BM222" i="18"/>
  <c r="BO222" i="18" s="1"/>
  <c r="BS221" i="18"/>
  <c r="BG406" i="18"/>
  <c r="BG405" i="18"/>
  <c r="CL28" i="18" l="1"/>
  <c r="CL29" i="18" s="1"/>
  <c r="CM29" i="18" s="1"/>
  <c r="BO213" i="18"/>
  <c r="BM17" i="18"/>
  <c r="BL21" i="18"/>
  <c r="AS100" i="16"/>
  <c r="AS103" i="16" s="1"/>
  <c r="AQ109" i="16"/>
  <c r="AW100" i="16"/>
  <c r="AQ106" i="16"/>
  <c r="BK104" i="16"/>
  <c r="BL93" i="16"/>
  <c r="BK108" i="16"/>
  <c r="BG93" i="16"/>
  <c r="BF108" i="16"/>
  <c r="BF104" i="16"/>
  <c r="AV108" i="16"/>
  <c r="AV104" i="16"/>
  <c r="BA104" i="16"/>
  <c r="BA108" i="16"/>
  <c r="BB93" i="16"/>
  <c r="BU221" i="18"/>
  <c r="CA176" i="18"/>
  <c r="CE144" i="18"/>
  <c r="CE145" i="18" s="1"/>
  <c r="CD176" i="18"/>
  <c r="CD584" i="18" s="1"/>
  <c r="CD333" i="18"/>
  <c r="CA380" i="18"/>
  <c r="CA444" i="18"/>
  <c r="CC176" i="18"/>
  <c r="CC584" i="18" s="1"/>
  <c r="CC333" i="18"/>
  <c r="BZ444" i="18"/>
  <c r="BZ380" i="18"/>
  <c r="BG108" i="77"/>
  <c r="BG109" i="77"/>
  <c r="BG107" i="77"/>
  <c r="BM292" i="18"/>
  <c r="BM263" i="18"/>
  <c r="BN292" i="18"/>
  <c r="BS263" i="18"/>
  <c r="BO15" i="18"/>
  <c r="CM28" i="18" l="1"/>
  <c r="CO28" i="18"/>
  <c r="BM21" i="18"/>
  <c r="AV109" i="16"/>
  <c r="AV103" i="16"/>
  <c r="AW103" i="16" s="1"/>
  <c r="AW104" i="16" s="1"/>
  <c r="BF103" i="16"/>
  <c r="BF109" i="16"/>
  <c r="BG100" i="16"/>
  <c r="BG98" i="16"/>
  <c r="BG102" i="16"/>
  <c r="BL98" i="16"/>
  <c r="BM93" i="16" s="1"/>
  <c r="BL102" i="16"/>
  <c r="BB98" i="16"/>
  <c r="BB102" i="16"/>
  <c r="BA109" i="16"/>
  <c r="BA103" i="16"/>
  <c r="BB100" i="16"/>
  <c r="BK109" i="16"/>
  <c r="BL100" i="16"/>
  <c r="CD380" i="18"/>
  <c r="CD444" i="18"/>
  <c r="CE176" i="18"/>
  <c r="CE584" i="18" s="1"/>
  <c r="CE333" i="18"/>
  <c r="CF144" i="18"/>
  <c r="CC444" i="18"/>
  <c r="CC380" i="18"/>
  <c r="CA189" i="18"/>
  <c r="CF145" i="18" l="1"/>
  <c r="CG333" i="18" s="1"/>
  <c r="CI144" i="18"/>
  <c r="CP28" i="18"/>
  <c r="CP29" i="18" s="1"/>
  <c r="CP30" i="18" s="1"/>
  <c r="CO29" i="18"/>
  <c r="CO30" i="18" s="1"/>
  <c r="BM102" i="16"/>
  <c r="BM98" i="16"/>
  <c r="BN93" i="16" s="1"/>
  <c r="BB108" i="16"/>
  <c r="BB104" i="16"/>
  <c r="BL108" i="16"/>
  <c r="BL104" i="16"/>
  <c r="BM100" i="16" s="1"/>
  <c r="BH93" i="16"/>
  <c r="BG108" i="16"/>
  <c r="BG104" i="16"/>
  <c r="AW109" i="16"/>
  <c r="BC100" i="16"/>
  <c r="AY100" i="16"/>
  <c r="AY103" i="16" s="1"/>
  <c r="AW106" i="16"/>
  <c r="CE444" i="18"/>
  <c r="CE380" i="18"/>
  <c r="CG144" i="18"/>
  <c r="CG145" i="18" l="1"/>
  <c r="CF333" i="18"/>
  <c r="CF176" i="18"/>
  <c r="CF584" i="18" s="1"/>
  <c r="CG584" i="18" s="1"/>
  <c r="CJ144" i="18"/>
  <c r="CJ145" i="18" s="1"/>
  <c r="CI145" i="18"/>
  <c r="CQ28" i="18"/>
  <c r="BM108" i="16"/>
  <c r="BM104" i="16"/>
  <c r="BN100" i="16" s="1"/>
  <c r="BG109" i="16"/>
  <c r="BG103" i="16"/>
  <c r="BH100" i="16"/>
  <c r="BH98" i="16"/>
  <c r="BH102" i="16"/>
  <c r="BL109" i="16"/>
  <c r="BL103" i="16"/>
  <c r="BB103" i="16"/>
  <c r="BC103" i="16" s="1"/>
  <c r="BC104" i="16" s="1"/>
  <c r="BB109" i="16"/>
  <c r="CG380" i="18"/>
  <c r="CG444" i="18"/>
  <c r="CF380" i="18"/>
  <c r="CF444" i="18"/>
  <c r="CG176" i="18" l="1"/>
  <c r="CG189" i="18" s="1"/>
  <c r="CI333" i="18"/>
  <c r="CI176" i="18"/>
  <c r="CJ333" i="18"/>
  <c r="CJ176" i="18"/>
  <c r="CJ584" i="18" s="1"/>
  <c r="CK144" i="18"/>
  <c r="CL144" i="18" s="1"/>
  <c r="CR28" i="18"/>
  <c r="CS28" i="18" s="1"/>
  <c r="CQ29" i="18"/>
  <c r="CQ30" i="18" s="1"/>
  <c r="BM109" i="16"/>
  <c r="BM103" i="16"/>
  <c r="BH108" i="16"/>
  <c r="BH104" i="16"/>
  <c r="BC109" i="16"/>
  <c r="BE100" i="16"/>
  <c r="BE103" i="16" s="1"/>
  <c r="BI100" i="16"/>
  <c r="BC106" i="16"/>
  <c r="CL145" i="18" l="1"/>
  <c r="CM144" i="18"/>
  <c r="CO144" i="18"/>
  <c r="CJ444" i="18"/>
  <c r="CJ380" i="18"/>
  <c r="CK145" i="18"/>
  <c r="CI584" i="18"/>
  <c r="CI444" i="18"/>
  <c r="CI380" i="18"/>
  <c r="CR29" i="18"/>
  <c r="CS29" i="18" s="1"/>
  <c r="BH103" i="16"/>
  <c r="BI103" i="16" s="1"/>
  <c r="BI104" i="16" s="1"/>
  <c r="BH109" i="16"/>
  <c r="CK333" i="18" l="1"/>
  <c r="CK176" i="18"/>
  <c r="CM145" i="18"/>
  <c r="CM333" i="18"/>
  <c r="CO145" i="18"/>
  <c r="CP144" i="18"/>
  <c r="CP145" i="18" s="1"/>
  <c r="CL333" i="18"/>
  <c r="CL176" i="18"/>
  <c r="CL584" i="18" s="1"/>
  <c r="BK100" i="16"/>
  <c r="BK103" i="16" s="1"/>
  <c r="BO100" i="16"/>
  <c r="BI109" i="16"/>
  <c r="BI106" i="16"/>
  <c r="BG54" i="17"/>
  <c r="BG75" i="16" s="1"/>
  <c r="CM380" i="18" l="1"/>
  <c r="CM444" i="18"/>
  <c r="CK584" i="18"/>
  <c r="CM584" i="18" s="1"/>
  <c r="CM176" i="18"/>
  <c r="CM189" i="18" s="1"/>
  <c r="CQ144" i="18"/>
  <c r="CR144" i="18" s="1"/>
  <c r="CK444" i="18"/>
  <c r="CK380" i="18"/>
  <c r="CP333" i="18"/>
  <c r="CP176" i="18"/>
  <c r="CP584" i="18" s="1"/>
  <c r="CO333" i="18"/>
  <c r="CO176" i="18"/>
  <c r="CL380" i="18"/>
  <c r="CL444" i="18"/>
  <c r="BI11" i="17"/>
  <c r="BG55" i="17"/>
  <c r="BG76" i="16" s="1"/>
  <c r="BG34" i="17"/>
  <c r="BG47" i="17" s="1"/>
  <c r="BG73" i="16" s="1"/>
  <c r="CQ145" i="18" l="1"/>
  <c r="CQ333" i="18" s="1"/>
  <c r="CO584" i="18"/>
  <c r="CR145" i="18"/>
  <c r="CS144" i="18"/>
  <c r="CO444" i="18"/>
  <c r="CO380" i="18"/>
  <c r="CP380" i="18"/>
  <c r="CP444" i="18"/>
  <c r="BG56" i="17"/>
  <c r="BG49" i="17"/>
  <c r="BH48" i="17" s="1"/>
  <c r="CQ176" i="18" l="1"/>
  <c r="CQ584" i="18" s="1"/>
  <c r="CQ444" i="18"/>
  <c r="CQ380" i="18"/>
  <c r="CS145" i="18"/>
  <c r="CR333" i="18"/>
  <c r="CR176" i="18"/>
  <c r="CR584" i="18" s="1"/>
  <c r="CS333" i="18"/>
  <c r="BO11" i="19"/>
  <c r="CS584" i="18" l="1"/>
  <c r="CS444" i="18"/>
  <c r="CS380" i="18"/>
  <c r="CR380" i="18"/>
  <c r="CR444" i="18"/>
  <c r="CS176" i="18"/>
  <c r="CS189" i="18" s="1"/>
  <c r="BO14" i="19"/>
  <c r="BO49" i="19" l="1"/>
  <c r="BO76" i="19"/>
  <c r="BG21" i="19"/>
  <c r="BG23" i="19" l="1"/>
  <c r="BG24" i="19"/>
  <c r="BG55" i="16" l="1"/>
  <c r="BG57" i="16"/>
  <c r="BI21" i="19" l="1"/>
  <c r="BI23" i="19" l="1"/>
  <c r="BG51" i="17" l="1"/>
  <c r="BH60" i="48" l="1"/>
  <c r="BH62" i="48" s="1"/>
  <c r="BI25" i="19" l="1"/>
  <c r="BH11" i="77" l="1"/>
  <c r="BH72" i="77" s="1"/>
  <c r="BH87" i="77" l="1"/>
  <c r="BN86" i="77" s="1"/>
  <c r="BH67" i="77"/>
  <c r="BN62" i="77" s="1"/>
  <c r="BH13" i="77"/>
  <c r="BH16" i="77" s="1"/>
  <c r="BH43" i="77" s="1"/>
  <c r="BH44" i="77" s="1"/>
  <c r="BH57" i="77"/>
  <c r="BH58" i="77" s="1"/>
  <c r="BH101" i="77"/>
  <c r="BN69" i="77"/>
  <c r="BI72" i="77"/>
  <c r="BO69" i="77" s="1"/>
  <c r="BI87" i="77" l="1"/>
  <c r="BO86" i="77" s="1"/>
  <c r="BI67" i="77"/>
  <c r="BO62" i="77" s="1"/>
  <c r="BI43" i="77"/>
  <c r="BH17" i="77"/>
  <c r="BH29" i="77"/>
  <c r="BH112" i="77" s="1"/>
  <c r="BH113" i="77" s="1"/>
  <c r="BN53" i="77"/>
  <c r="BI57" i="77"/>
  <c r="BI58" i="77" s="1"/>
  <c r="BN98" i="77"/>
  <c r="BI101" i="77"/>
  <c r="BH30" i="77" l="1"/>
  <c r="BI112" i="77"/>
  <c r="BI29" i="77"/>
  <c r="BN57" i="77"/>
  <c r="BO53" i="77"/>
  <c r="BN101" i="77"/>
  <c r="BO98" i="77"/>
  <c r="BN103" i="77"/>
  <c r="BO54" i="77" l="1"/>
  <c r="BN58" i="77"/>
  <c r="BT53" i="77"/>
  <c r="BO57" i="77"/>
  <c r="BO58" i="77" s="1"/>
  <c r="BO99" i="77"/>
  <c r="BO103" i="77"/>
  <c r="BO101" i="77"/>
  <c r="BT98" i="77"/>
  <c r="BT57" i="77" l="1"/>
  <c r="BZ53" i="77" s="1"/>
  <c r="BU53" i="77"/>
  <c r="BT101" i="77"/>
  <c r="BU98" i="77"/>
  <c r="BT103" i="77"/>
  <c r="BU101" i="77" l="1"/>
  <c r="BZ98" i="77"/>
  <c r="BZ103" i="77" s="1"/>
  <c r="BZ57" i="77"/>
  <c r="CA53" i="77"/>
  <c r="BZ101" i="77" l="1"/>
  <c r="CA98" i="77"/>
  <c r="CA103" i="77" s="1"/>
  <c r="BZ58" i="77"/>
  <c r="CF53" i="77"/>
  <c r="CA57" i="77"/>
  <c r="CA58" i="77" s="1"/>
  <c r="BU54" i="77"/>
  <c r="BT58" i="77"/>
  <c r="BU57" i="77"/>
  <c r="BU58" i="77" s="1"/>
  <c r="BU99" i="77"/>
  <c r="BU103" i="77"/>
  <c r="CA99" i="77" l="1"/>
  <c r="CF98" i="77"/>
  <c r="CF103" i="77" s="1"/>
  <c r="CA101" i="77"/>
  <c r="CA54" i="77"/>
  <c r="CG53" i="77"/>
  <c r="CF57" i="77"/>
  <c r="CL53" i="77" s="1"/>
  <c r="CL57" i="77" l="1"/>
  <c r="CR53" i="77" s="1"/>
  <c r="CM53" i="77"/>
  <c r="CF101" i="77"/>
  <c r="CG98" i="77"/>
  <c r="CG103" i="77" s="1"/>
  <c r="CF58" i="77"/>
  <c r="CG57" i="77"/>
  <c r="CG58" i="77" s="1"/>
  <c r="CG54" i="77"/>
  <c r="BH220" i="18"/>
  <c r="BH207" i="18" s="1"/>
  <c r="BI207" i="18" s="1"/>
  <c r="CR57" i="77" l="1"/>
  <c r="CS53" i="77"/>
  <c r="CG101" i="77"/>
  <c r="CL98" i="77"/>
  <c r="CL58" i="77"/>
  <c r="CM57" i="77"/>
  <c r="CM58" i="77" s="1"/>
  <c r="CM54" i="77"/>
  <c r="BH208" i="18"/>
  <c r="BN208" i="18"/>
  <c r="BH15" i="18"/>
  <c r="BH16" i="18" s="1"/>
  <c r="BH213" i="18"/>
  <c r="BH216" i="18"/>
  <c r="CG99" i="77"/>
  <c r="BN221" i="18"/>
  <c r="BH221" i="18"/>
  <c r="BH222" i="18"/>
  <c r="BI222" i="18" s="1"/>
  <c r="BI220" i="18"/>
  <c r="BH225" i="18"/>
  <c r="CS54" i="77" l="1"/>
  <c r="CR58" i="77"/>
  <c r="CS57" i="77"/>
  <c r="CS58" i="77" s="1"/>
  <c r="CL101" i="77"/>
  <c r="CM98" i="77"/>
  <c r="CL103" i="77"/>
  <c r="BH17" i="18"/>
  <c r="BI221" i="18"/>
  <c r="BN263" i="18"/>
  <c r="BO221" i="18"/>
  <c r="BK292" i="18"/>
  <c r="BH263" i="18"/>
  <c r="BH292" i="18"/>
  <c r="BI15" i="18"/>
  <c r="BH265" i="18"/>
  <c r="BI85" i="19"/>
  <c r="BI70" i="19"/>
  <c r="CM101" i="77" l="1"/>
  <c r="CR98" i="77"/>
  <c r="CM99" i="77"/>
  <c r="CM103" i="77"/>
  <c r="BI208" i="18"/>
  <c r="BO208" i="18"/>
  <c r="BI213" i="18"/>
  <c r="BI216" i="18"/>
  <c r="BO263" i="18"/>
  <c r="BI263" i="18"/>
  <c r="BI76" i="19"/>
  <c r="BH12" i="77"/>
  <c r="BI12" i="77" s="1"/>
  <c r="BH60" i="19"/>
  <c r="BI61" i="19"/>
  <c r="BH61" i="19"/>
  <c r="CR101" i="77" l="1"/>
  <c r="CS101" i="77" s="1"/>
  <c r="CS98" i="77"/>
  <c r="CR103" i="77"/>
  <c r="BH131" i="19"/>
  <c r="BH63" i="19"/>
  <c r="BI72" i="19"/>
  <c r="BH141" i="19"/>
  <c r="BH142" i="19" s="1"/>
  <c r="BH62" i="19"/>
  <c r="BI60" i="19"/>
  <c r="BH143" i="19"/>
  <c r="BH144" i="19" s="1"/>
  <c r="BI20" i="17"/>
  <c r="BI46" i="19"/>
  <c r="BI21" i="17"/>
  <c r="BI19" i="17"/>
  <c r="BI18" i="17"/>
  <c r="BI29" i="17"/>
  <c r="CS99" i="77" l="1"/>
  <c r="CS103" i="77"/>
  <c r="BH145" i="19"/>
  <c r="BH132" i="19"/>
  <c r="BI51" i="19"/>
  <c r="BI88" i="19"/>
  <c r="BI91" i="19" s="1"/>
  <c r="BI121" i="19" s="1"/>
  <c r="BI71" i="19"/>
  <c r="BI77" i="19" s="1"/>
  <c r="BI141" i="19"/>
  <c r="BI142" i="19" s="1"/>
  <c r="BH64" i="19"/>
  <c r="BI92" i="19"/>
  <c r="BI19" i="19"/>
  <c r="BI143" i="19"/>
  <c r="BI144" i="19" s="1"/>
  <c r="BI50" i="19"/>
  <c r="BI78" i="19"/>
  <c r="BI84" i="19"/>
  <c r="BI87" i="19" s="1"/>
  <c r="BI120" i="19" s="1"/>
  <c r="BI131" i="19"/>
  <c r="BI80" i="16" l="1"/>
  <c r="BI79" i="16"/>
  <c r="BH146" i="19"/>
  <c r="BH147" i="19" s="1"/>
  <c r="BI145" i="19"/>
  <c r="BI132" i="19"/>
  <c r="BI23" i="17"/>
  <c r="BI17" i="17" s="1"/>
  <c r="BH27" i="19"/>
  <c r="BI96" i="19"/>
  <c r="BI122" i="19" s="1"/>
  <c r="BI73" i="19"/>
  <c r="BH65" i="19"/>
  <c r="BI64" i="19"/>
  <c r="BI20" i="19"/>
  <c r="BH17" i="17"/>
  <c r="BI157" i="16" l="1"/>
  <c r="BI133" i="16"/>
  <c r="BI56" i="16"/>
  <c r="BI137" i="19"/>
  <c r="BI156" i="19" s="1"/>
  <c r="BI146" i="19"/>
  <c r="BH157" i="19"/>
  <c r="BI55" i="19"/>
  <c r="BH30" i="19"/>
  <c r="BH57" i="19"/>
  <c r="BI65" i="19"/>
  <c r="BI14" i="17"/>
  <c r="BI79" i="19"/>
  <c r="BI54" i="19"/>
  <c r="BI24" i="19"/>
  <c r="BI97" i="19"/>
  <c r="BI103" i="19" s="1"/>
  <c r="BI123" i="19" s="1"/>
  <c r="BI27" i="19"/>
  <c r="BH158" i="16" l="1"/>
  <c r="BH159" i="16" s="1"/>
  <c r="BH160" i="16" s="1"/>
  <c r="BH180" i="16" s="1"/>
  <c r="BH105" i="19"/>
  <c r="BH117" i="19" s="1"/>
  <c r="BH148" i="19"/>
  <c r="BI148" i="19" s="1"/>
  <c r="BH134" i="16"/>
  <c r="BH135" i="16" s="1"/>
  <c r="BH136" i="16" s="1"/>
  <c r="BH137" i="16" s="1"/>
  <c r="BH131" i="16" s="1"/>
  <c r="BI55" i="16"/>
  <c r="BI57" i="16"/>
  <c r="BI138" i="19"/>
  <c r="BI147" i="19" s="1"/>
  <c r="BI173" i="19"/>
  <c r="BO172" i="19"/>
  <c r="BI164" i="19"/>
  <c r="BH158" i="19"/>
  <c r="BH66" i="19"/>
  <c r="BH165" i="19"/>
  <c r="BI157" i="19"/>
  <c r="BH33" i="19"/>
  <c r="BH58" i="19"/>
  <c r="BH32" i="19"/>
  <c r="BH126" i="19"/>
  <c r="BI28" i="19"/>
  <c r="BI57" i="19" s="1"/>
  <c r="BH161" i="16" l="1"/>
  <c r="BH181" i="16"/>
  <c r="BH52" i="16" s="1"/>
  <c r="BI33" i="19"/>
  <c r="BH166" i="19"/>
  <c r="BH152" i="19"/>
  <c r="BH153" i="19" s="1"/>
  <c r="BI134" i="16"/>
  <c r="BI135" i="16" s="1"/>
  <c r="BI136" i="16" s="1"/>
  <c r="BI137" i="16" s="1"/>
  <c r="BI131" i="16" s="1"/>
  <c r="BI158" i="16"/>
  <c r="BI159" i="16" s="1"/>
  <c r="BI160" i="16" s="1"/>
  <c r="BH86" i="16"/>
  <c r="BH50" i="16"/>
  <c r="BH51" i="16"/>
  <c r="BI158" i="19"/>
  <c r="BI165" i="19"/>
  <c r="BI66" i="19"/>
  <c r="BH56" i="19"/>
  <c r="BI30" i="19"/>
  <c r="BI32" i="19" s="1"/>
  <c r="BH34" i="19"/>
  <c r="BI34" i="19" s="1"/>
  <c r="BH10" i="17"/>
  <c r="BH149" i="19"/>
  <c r="BH128" i="19"/>
  <c r="BI126" i="19"/>
  <c r="BI152" i="19" l="1"/>
  <c r="BI153" i="19" s="1"/>
  <c r="BI166" i="19"/>
  <c r="BI181" i="16"/>
  <c r="BI52" i="16" s="1"/>
  <c r="BI180" i="16"/>
  <c r="BI161" i="16"/>
  <c r="BI50" i="16"/>
  <c r="BI51" i="16"/>
  <c r="BH89" i="16"/>
  <c r="BI89" i="16" s="1"/>
  <c r="BI86" i="16"/>
  <c r="BI56" i="19"/>
  <c r="BI149" i="19"/>
  <c r="BI58" i="19"/>
  <c r="BI128" i="19"/>
  <c r="BI105" i="19"/>
  <c r="BI117" i="19" s="1"/>
  <c r="BH67" i="19"/>
  <c r="BH90" i="16" l="1"/>
  <c r="BI90" i="16"/>
  <c r="BI10" i="17"/>
  <c r="BI26" i="17" s="1"/>
  <c r="BI74" i="16" s="1"/>
  <c r="BH26" i="17"/>
  <c r="BH74" i="16" s="1"/>
  <c r="BI67" i="19"/>
  <c r="BO84" i="16" l="1"/>
  <c r="BK84" i="16"/>
  <c r="BH54" i="17"/>
  <c r="BH75" i="16" s="1"/>
  <c r="BI54" i="17"/>
  <c r="BI75" i="16" l="1"/>
  <c r="BH55" i="17"/>
  <c r="BH76" i="16" s="1"/>
  <c r="BI55" i="17"/>
  <c r="BI76" i="16" s="1"/>
  <c r="BI56" i="17" l="1"/>
  <c r="BH56" i="17"/>
  <c r="BI31" i="17"/>
  <c r="BI34" i="17" s="1"/>
  <c r="BI47" i="17" s="1"/>
  <c r="BH34" i="17"/>
  <c r="BH47" i="17" s="1"/>
  <c r="BH73" i="16" s="1"/>
  <c r="BI73" i="16" l="1"/>
  <c r="BI49" i="17"/>
  <c r="BK48" i="17" s="1"/>
  <c r="BH49" i="17"/>
  <c r="BO48" i="17" l="1"/>
  <c r="BH51" i="17"/>
  <c r="BK60" i="48" l="1"/>
  <c r="BK62" i="48" s="1"/>
  <c r="BI51" i="17"/>
  <c r="BO60" i="48" l="1"/>
  <c r="BK155" i="18" l="1"/>
  <c r="BL413" i="18" l="1"/>
  <c r="BK398" i="18"/>
  <c r="BL361" i="18"/>
  <c r="BK462" i="18"/>
  <c r="BL433" i="18"/>
  <c r="BL423" i="18"/>
  <c r="BL414" i="18"/>
  <c r="BK338" i="18"/>
  <c r="BK181" i="18"/>
  <c r="BK589" i="18" s="1"/>
  <c r="BL74" i="18"/>
  <c r="BL152" i="18" s="1"/>
  <c r="BL371" i="18"/>
  <c r="BL114" i="18"/>
  <c r="BK169" i="18"/>
  <c r="BK153" i="18"/>
  <c r="BL153" i="18" l="1"/>
  <c r="BL434" i="18"/>
  <c r="BL432" i="18"/>
  <c r="BL438" i="18"/>
  <c r="BK385" i="18"/>
  <c r="BK449" i="18"/>
  <c r="BL69" i="18"/>
  <c r="BL72" i="18"/>
  <c r="BK180" i="18"/>
  <c r="BK588" i="18" s="1"/>
  <c r="BK337" i="18"/>
  <c r="BL424" i="18"/>
  <c r="BL422" i="18"/>
  <c r="BL426" i="18" s="1"/>
  <c r="BL428" i="18"/>
  <c r="BK18" i="77"/>
  <c r="BK13" i="77"/>
  <c r="BK237" i="18"/>
  <c r="BK267" i="18"/>
  <c r="BL431" i="18" l="1"/>
  <c r="BL450" i="18" s="1"/>
  <c r="BL429" i="18"/>
  <c r="DT53" i="18"/>
  <c r="BL73" i="18"/>
  <c r="BL415" i="18"/>
  <c r="BL437" i="18"/>
  <c r="BK16" i="77"/>
  <c r="BK29" i="77" s="1"/>
  <c r="BK384" i="18"/>
  <c r="BK390" i="18" s="1"/>
  <c r="BK448" i="18"/>
  <c r="BK454" i="18" s="1"/>
  <c r="BL441" i="18" l="1"/>
  <c r="BL451" i="18" s="1"/>
  <c r="BL439" i="18"/>
  <c r="BL416" i="18"/>
  <c r="BL417" i="18"/>
  <c r="BK456" i="18"/>
  <c r="BK455" i="18"/>
  <c r="BK457" i="18"/>
  <c r="BK392" i="18"/>
  <c r="BK391" i="18"/>
  <c r="BK393" i="18"/>
  <c r="BK17" i="77"/>
  <c r="BK43" i="77"/>
  <c r="BL440" i="18" l="1"/>
  <c r="BK44" i="77"/>
  <c r="BK30" i="77"/>
  <c r="BK112" i="77"/>
  <c r="BL461" i="18"/>
  <c r="BL397" i="18"/>
  <c r="BK113" i="77" l="1"/>
  <c r="BL180" i="18" l="1"/>
  <c r="BM413" i="18"/>
  <c r="BM74" i="18"/>
  <c r="BM152" i="18" s="1"/>
  <c r="BL588" i="18" l="1"/>
  <c r="BM153" i="18"/>
  <c r="BL337" i="18"/>
  <c r="BM72" i="18"/>
  <c r="BM69" i="18"/>
  <c r="BL384" i="18" l="1"/>
  <c r="BL448" i="18"/>
  <c r="DU53" i="18"/>
  <c r="BM73" i="18"/>
  <c r="BM415" i="18"/>
  <c r="BM337" i="18" l="1"/>
  <c r="BM384" i="18" s="1"/>
  <c r="BN74" i="18"/>
  <c r="BN152" i="18" s="1"/>
  <c r="BN413" i="18"/>
  <c r="BO413" i="18" s="1"/>
  <c r="BO152" i="18" l="1"/>
  <c r="BO74" i="18"/>
  <c r="BO259" i="18" s="1"/>
  <c r="BM180" i="18"/>
  <c r="BM448" i="18"/>
  <c r="BN72" i="18"/>
  <c r="BN69" i="18"/>
  <c r="BM588" i="18" l="1"/>
  <c r="BO72" i="18"/>
  <c r="BN73" i="18"/>
  <c r="BO73" i="18" s="1"/>
  <c r="BN415" i="18"/>
  <c r="BO415" i="18" s="1"/>
  <c r="DV53" i="18"/>
  <c r="BO69" i="18"/>
  <c r="BQ413" i="18"/>
  <c r="BQ74" i="18"/>
  <c r="BQ152" i="18" s="1"/>
  <c r="BN153" i="18"/>
  <c r="BO337" i="18" l="1"/>
  <c r="BO448" i="18" s="1"/>
  <c r="BQ153" i="18"/>
  <c r="BQ72" i="18"/>
  <c r="BN180" i="18"/>
  <c r="BO153" i="18"/>
  <c r="BQ69" i="18"/>
  <c r="BN337" i="18"/>
  <c r="BN448" i="18" s="1"/>
  <c r="BO384" i="18" l="1"/>
  <c r="BN588" i="18"/>
  <c r="BO588" i="18" s="1"/>
  <c r="BQ73" i="18"/>
  <c r="DW53" i="18"/>
  <c r="BQ415" i="18"/>
  <c r="BO180" i="18"/>
  <c r="BN384" i="18"/>
  <c r="BO193" i="18" l="1"/>
  <c r="BI43" i="18" l="1"/>
  <c r="BI243" i="18" s="1"/>
  <c r="BI10" i="18" l="1"/>
  <c r="BI257" i="18"/>
  <c r="BI256" i="18"/>
  <c r="BI201" i="18"/>
  <c r="BI205" i="18" l="1"/>
  <c r="BI225" i="18" s="1"/>
  <c r="DO313" i="18" l="1"/>
  <c r="DN314" i="18" s="1"/>
  <c r="BK92" i="18" l="1"/>
  <c r="BL92" i="18" s="1"/>
  <c r="BM92" i="18" s="1"/>
  <c r="BN92" i="18" s="1"/>
  <c r="BO92" i="18" s="1"/>
  <c r="BQ92" i="18" s="1"/>
  <c r="BR92" i="18" s="1"/>
  <c r="BS92" i="18" s="1"/>
  <c r="BT92" i="18" s="1"/>
  <c r="BU92" i="18" s="1"/>
  <c r="BW92" i="18" s="1"/>
  <c r="BX92" i="18" s="1"/>
  <c r="BY92" i="18" s="1"/>
  <c r="BZ92" i="18" s="1"/>
  <c r="CA92" i="18" s="1"/>
  <c r="CC92" i="18" s="1"/>
  <c r="CD92" i="18" s="1"/>
  <c r="CE92" i="18" s="1"/>
  <c r="CF92" i="18" s="1"/>
  <c r="CG92" i="18" s="1"/>
  <c r="CI92" i="18" s="1"/>
  <c r="CJ92" i="18" s="1"/>
  <c r="CK92" i="18" s="1"/>
  <c r="CL92" i="18" s="1"/>
  <c r="CM92" i="18" s="1"/>
  <c r="CO92" i="18" s="1"/>
  <c r="CP92" i="18" s="1"/>
  <c r="CQ92" i="18" s="1"/>
  <c r="CR92" i="18" s="1"/>
  <c r="CS92" i="18" s="1"/>
  <c r="BK166" i="18" l="1"/>
  <c r="BL166" i="18" s="1"/>
  <c r="BM166" i="18" l="1"/>
  <c r="BL167" i="18"/>
  <c r="DW168" i="18"/>
  <c r="BK172" i="18"/>
  <c r="BK170" i="18"/>
  <c r="BK171" i="18"/>
  <c r="BK61" i="18" l="1"/>
  <c r="BK138" i="18"/>
  <c r="BL344" i="18"/>
  <c r="BL187" i="18"/>
  <c r="BN166" i="18"/>
  <c r="BM167" i="18"/>
  <c r="BL595" i="18" l="1"/>
  <c r="BM187" i="18"/>
  <c r="BM344" i="18"/>
  <c r="BO166" i="18"/>
  <c r="BN167" i="18"/>
  <c r="BM595" i="18" l="1"/>
  <c r="BN344" i="18"/>
  <c r="BN187" i="18"/>
  <c r="BN595" i="18" l="1"/>
  <c r="BI172" i="18"/>
  <c r="BK167" i="18"/>
  <c r="BK187" i="18" l="1"/>
  <c r="BI61" i="18"/>
  <c r="BO344" i="18"/>
  <c r="BO167" i="18"/>
  <c r="BK344" i="18"/>
  <c r="BK345" i="18" s="1"/>
  <c r="BH172" i="18"/>
  <c r="BK174" i="18" l="1"/>
  <c r="BK260" i="18" s="1"/>
  <c r="BK602" i="18" s="1"/>
  <c r="BO187" i="18"/>
  <c r="BO200" i="18" s="1"/>
  <c r="BK595" i="18"/>
  <c r="BO595" i="18" s="1"/>
  <c r="BH61" i="18"/>
  <c r="BH111" i="18"/>
  <c r="BK346" i="18"/>
  <c r="BK348" i="18"/>
  <c r="BK347" i="18"/>
  <c r="BK48" i="19"/>
  <c r="BK604" i="18" l="1"/>
  <c r="BK12" i="18"/>
  <c r="BK175" i="18"/>
  <c r="BK291" i="18"/>
  <c r="BK261" i="18"/>
  <c r="BL83" i="18"/>
  <c r="BL154" i="18" s="1"/>
  <c r="BM134" i="18" s="1"/>
  <c r="BK353" i="18"/>
  <c r="BK354" i="18" s="1"/>
  <c r="DW353" i="18" s="1"/>
  <c r="BK596" i="18"/>
  <c r="BK605" i="18" s="1"/>
  <c r="BK238" i="18"/>
  <c r="BK22" i="77"/>
  <c r="BK19" i="77"/>
  <c r="BK399" i="18"/>
  <c r="BK463" i="18"/>
  <c r="BK351" i="18"/>
  <c r="BK464" i="18"/>
  <c r="BK400" i="18"/>
  <c r="EA322" i="18"/>
  <c r="BM123" i="18" l="1"/>
  <c r="BL81" i="18"/>
  <c r="BL78" i="18"/>
  <c r="BL249" i="18" s="1"/>
  <c r="BL418" i="18"/>
  <c r="BL419" i="18" s="1"/>
  <c r="BK599" i="18"/>
  <c r="EE590" i="18" s="1"/>
  <c r="BK598" i="18"/>
  <c r="BK597" i="18"/>
  <c r="BK236" i="18"/>
  <c r="BK230" i="18"/>
  <c r="BM416" i="18"/>
  <c r="BL398" i="18"/>
  <c r="BM423" i="18"/>
  <c r="BL462" i="18"/>
  <c r="BM433" i="18"/>
  <c r="BL155" i="18"/>
  <c r="BK20" i="77"/>
  <c r="BL279" i="18" l="1"/>
  <c r="BL14" i="77"/>
  <c r="BL94" i="77" s="1"/>
  <c r="BL95" i="77" s="1"/>
  <c r="BL82" i="18"/>
  <c r="BL156" i="18"/>
  <c r="BM114" i="18" s="1"/>
  <c r="DT54" i="18"/>
  <c r="DT56" i="18" s="1"/>
  <c r="BL396" i="18"/>
  <c r="BL60" i="18"/>
  <c r="BL59" i="18"/>
  <c r="BL253" i="18" s="1"/>
  <c r="BL460" i="18"/>
  <c r="BM428" i="18"/>
  <c r="BM424" i="18"/>
  <c r="BM422" i="18"/>
  <c r="BM426" i="18" s="1"/>
  <c r="BK235" i="18"/>
  <c r="BK232" i="18"/>
  <c r="BK402" i="18"/>
  <c r="BK466" i="18"/>
  <c r="BK229" i="18"/>
  <c r="BK21" i="77"/>
  <c r="BK34" i="77"/>
  <c r="BK49" i="77"/>
  <c r="BL338" i="18"/>
  <c r="BL181" i="18"/>
  <c r="BL589" i="18" s="1"/>
  <c r="BL420" i="18"/>
  <c r="BM438" i="18"/>
  <c r="BM434" i="18"/>
  <c r="BM432" i="18"/>
  <c r="BK231" i="18"/>
  <c r="BL15" i="77" l="1"/>
  <c r="BL169" i="18"/>
  <c r="DX168" i="18" s="1"/>
  <c r="BL171" i="18"/>
  <c r="BM361" i="18"/>
  <c r="BL157" i="18"/>
  <c r="BL339" i="18" s="1"/>
  <c r="BL345" i="18" s="1"/>
  <c r="BL31" i="77"/>
  <c r="BL33" i="77" s="1"/>
  <c r="BL45" i="77"/>
  <c r="BL48" i="77" s="1"/>
  <c r="BL114" i="77"/>
  <c r="BL116" i="77" s="1"/>
  <c r="BL170" i="18"/>
  <c r="BM414" i="18"/>
  <c r="BM371" i="18"/>
  <c r="BL283" i="18"/>
  <c r="BM417" i="18"/>
  <c r="BL43" i="18"/>
  <c r="BL10" i="18" s="1"/>
  <c r="BK12" i="77"/>
  <c r="BK21" i="18"/>
  <c r="BK9" i="77"/>
  <c r="BL385" i="18"/>
  <c r="BL390" i="18" s="1"/>
  <c r="BL449" i="18"/>
  <c r="BL454" i="18" s="1"/>
  <c r="BK471" i="18"/>
  <c r="BK468" i="18"/>
  <c r="BK407" i="18"/>
  <c r="BK404" i="18"/>
  <c r="BM437" i="18"/>
  <c r="BM431" i="18"/>
  <c r="BM450" i="18" s="1"/>
  <c r="BM429" i="18"/>
  <c r="BK50" i="77"/>
  <c r="BK39" i="77"/>
  <c r="BK35" i="77"/>
  <c r="BK25" i="77"/>
  <c r="BK110" i="77"/>
  <c r="BL182" i="18" l="1"/>
  <c r="BL172" i="18"/>
  <c r="BL138" i="18" s="1"/>
  <c r="BM461" i="18"/>
  <c r="BM397" i="18"/>
  <c r="BL256" i="18"/>
  <c r="BM288" i="18"/>
  <c r="BL257" i="18"/>
  <c r="BL174" i="18"/>
  <c r="BL590" i="18"/>
  <c r="BK141" i="19"/>
  <c r="BK142" i="19" s="1"/>
  <c r="BK143" i="19"/>
  <c r="BK144" i="19" s="1"/>
  <c r="BK100" i="77"/>
  <c r="BK10" i="77"/>
  <c r="BK56" i="77"/>
  <c r="BK64" i="77"/>
  <c r="BK106" i="77"/>
  <c r="BL391" i="18"/>
  <c r="BL393" i="18"/>
  <c r="BL392" i="18"/>
  <c r="BL346" i="18"/>
  <c r="BL348" i="18"/>
  <c r="BL347" i="18"/>
  <c r="BK405" i="18"/>
  <c r="BK406" i="18"/>
  <c r="BK111" i="77"/>
  <c r="BM441" i="18"/>
  <c r="BM451" i="18" s="1"/>
  <c r="BM439" i="18"/>
  <c r="BK469" i="18"/>
  <c r="BK470" i="18"/>
  <c r="BL455" i="18"/>
  <c r="BL457" i="18"/>
  <c r="BL456" i="18"/>
  <c r="BL366" i="18"/>
  <c r="BL403" i="18" s="1"/>
  <c r="BL430" i="18"/>
  <c r="BL467" i="18" s="1"/>
  <c r="BL237" i="18"/>
  <c r="BL18" i="77"/>
  <c r="BL267" i="18"/>
  <c r="BL13" i="77"/>
  <c r="BK40" i="77"/>
  <c r="BK41" i="77"/>
  <c r="BK63" i="77"/>
  <c r="BK55" i="77"/>
  <c r="BK42" i="77"/>
  <c r="BK89" i="77"/>
  <c r="BK27" i="77"/>
  <c r="BK26" i="77"/>
  <c r="BK28" i="77"/>
  <c r="BL61" i="18" l="1"/>
  <c r="BL12" i="18"/>
  <c r="BL243" i="18"/>
  <c r="BL201" i="18"/>
  <c r="BL205" i="18" s="1"/>
  <c r="BL225" i="18" s="1"/>
  <c r="BL261" i="18"/>
  <c r="BL260" i="18"/>
  <c r="BL602" i="18" s="1"/>
  <c r="DX199" i="18"/>
  <c r="BM83" i="18"/>
  <c r="BM154" i="18" s="1"/>
  <c r="BL175" i="18"/>
  <c r="BL353" i="18"/>
  <c r="BL354" i="18" s="1"/>
  <c r="DX353" i="18" s="1"/>
  <c r="BL291" i="18"/>
  <c r="BL604" i="18"/>
  <c r="BL596" i="18"/>
  <c r="BK131" i="19"/>
  <c r="BK120" i="19"/>
  <c r="BL399" i="18"/>
  <c r="BK107" i="77"/>
  <c r="BK108" i="77"/>
  <c r="BK109" i="77"/>
  <c r="BL22" i="77"/>
  <c r="BL268" i="18"/>
  <c r="BL19" i="77"/>
  <c r="BL238" i="18"/>
  <c r="BK121" i="19"/>
  <c r="BL464" i="18"/>
  <c r="BK122" i="19"/>
  <c r="BK91" i="77"/>
  <c r="BK90" i="77"/>
  <c r="BK92" i="77"/>
  <c r="BL463" i="18"/>
  <c r="BL472" i="18"/>
  <c r="EB322" i="18"/>
  <c r="BL400" i="18"/>
  <c r="BL16" i="77"/>
  <c r="BL408" i="18"/>
  <c r="BM440" i="18"/>
  <c r="BK27" i="19"/>
  <c r="DX201" i="18" l="1"/>
  <c r="DX205" i="18" s="1"/>
  <c r="BL351" i="18"/>
  <c r="BM81" i="18"/>
  <c r="BM78" i="18"/>
  <c r="BM249" i="18" s="1"/>
  <c r="BM418" i="18"/>
  <c r="BM419" i="18" s="1"/>
  <c r="BL605" i="18"/>
  <c r="BL599" i="18"/>
  <c r="EF590" i="18" s="1"/>
  <c r="BL598" i="18"/>
  <c r="BL597" i="18"/>
  <c r="BK145" i="19"/>
  <c r="BK30" i="19"/>
  <c r="BK57" i="19"/>
  <c r="BK132" i="19"/>
  <c r="BN134" i="18"/>
  <c r="BO134" i="18" s="1"/>
  <c r="BN123" i="18"/>
  <c r="BO123" i="18" s="1"/>
  <c r="BL236" i="18"/>
  <c r="BL229" i="18"/>
  <c r="BL230" i="18"/>
  <c r="BL20" i="77"/>
  <c r="BN433" i="18"/>
  <c r="BN416" i="18"/>
  <c r="BO416" i="18" s="1"/>
  <c r="BN423" i="18"/>
  <c r="BM398" i="18"/>
  <c r="BM155" i="18"/>
  <c r="BM462" i="18"/>
  <c r="BL17" i="77"/>
  <c r="BL29" i="77"/>
  <c r="BL43" i="77"/>
  <c r="BK58" i="19" l="1"/>
  <c r="BK158" i="16"/>
  <c r="BK159" i="16" s="1"/>
  <c r="BK160" i="16" s="1"/>
  <c r="BK181" i="16" s="1"/>
  <c r="BK52" i="16" s="1"/>
  <c r="BM156" i="18"/>
  <c r="BN114" i="18" s="1"/>
  <c r="BO114" i="18" s="1"/>
  <c r="BM460" i="18"/>
  <c r="DU54" i="18"/>
  <c r="DU56" i="18" s="1"/>
  <c r="BM14" i="77"/>
  <c r="BM45" i="77" s="1"/>
  <c r="BM60" i="18"/>
  <c r="BM82" i="18"/>
  <c r="BM396" i="18"/>
  <c r="BM59" i="18"/>
  <c r="BM43" i="18" s="1"/>
  <c r="BM10" i="18" s="1"/>
  <c r="BM279" i="18"/>
  <c r="BK134" i="16"/>
  <c r="BK135" i="16" s="1"/>
  <c r="BK136" i="16" s="1"/>
  <c r="BK137" i="16" s="1"/>
  <c r="BK131" i="16" s="1"/>
  <c r="BK33" i="19"/>
  <c r="BK148" i="19"/>
  <c r="BK146" i="19"/>
  <c r="BK147" i="19" s="1"/>
  <c r="BK32" i="19"/>
  <c r="BK126" i="19"/>
  <c r="BK123" i="19"/>
  <c r="BL44" i="77"/>
  <c r="BM338" i="18"/>
  <c r="BM181" i="18"/>
  <c r="BM589" i="18" s="1"/>
  <c r="BL30" i="77"/>
  <c r="BL112" i="77"/>
  <c r="BL21" i="77"/>
  <c r="BL34" i="77"/>
  <c r="BL49" i="77"/>
  <c r="BL231" i="18"/>
  <c r="BM420" i="18"/>
  <c r="BN428" i="18"/>
  <c r="BO428" i="18" s="1"/>
  <c r="BN424" i="18"/>
  <c r="BO424" i="18" s="1"/>
  <c r="BN422" i="18"/>
  <c r="BO423" i="18"/>
  <c r="BN434" i="18"/>
  <c r="BO434" i="18" s="1"/>
  <c r="BN438" i="18"/>
  <c r="BO438" i="18" s="1"/>
  <c r="BO433" i="18"/>
  <c r="BN432" i="18"/>
  <c r="BL466" i="18"/>
  <c r="BL235" i="18"/>
  <c r="BL402" i="18"/>
  <c r="BL232" i="18"/>
  <c r="BQ67" i="19" l="1"/>
  <c r="BK180" i="16"/>
  <c r="BK161" i="16"/>
  <c r="BN371" i="18"/>
  <c r="BM169" i="18"/>
  <c r="BM172" i="18" s="1"/>
  <c r="BM138" i="18" s="1"/>
  <c r="BM170" i="18"/>
  <c r="BM157" i="18"/>
  <c r="BM182" i="18" s="1"/>
  <c r="BN361" i="18"/>
  <c r="BO361" i="18" s="1"/>
  <c r="BN417" i="18"/>
  <c r="BN414" i="18"/>
  <c r="BO414" i="18" s="1"/>
  <c r="BM171" i="18"/>
  <c r="BM114" i="77"/>
  <c r="BM116" i="77" s="1"/>
  <c r="BM94" i="77"/>
  <c r="BM95" i="77" s="1"/>
  <c r="BM15" i="77"/>
  <c r="BM31" i="77"/>
  <c r="BM33" i="77" s="1"/>
  <c r="BM253" i="18"/>
  <c r="BK86" i="16"/>
  <c r="BK50" i="16"/>
  <c r="BK51" i="16"/>
  <c r="BK67" i="19"/>
  <c r="BK34" i="19"/>
  <c r="BK26" i="17"/>
  <c r="BK157" i="19"/>
  <c r="BM257" i="18"/>
  <c r="BN288" i="18"/>
  <c r="BM256" i="18"/>
  <c r="BN437" i="18"/>
  <c r="BO432" i="18"/>
  <c r="BL50" i="77"/>
  <c r="BL39" i="77"/>
  <c r="BL471" i="18"/>
  <c r="BL468" i="18"/>
  <c r="BL35" i="77"/>
  <c r="BL110" i="77"/>
  <c r="BL113" i="77"/>
  <c r="BL9" i="77"/>
  <c r="BO371" i="18"/>
  <c r="BL12" i="77"/>
  <c r="BL60" i="19"/>
  <c r="BN426" i="18"/>
  <c r="BO422" i="18"/>
  <c r="BO426" i="18" s="1"/>
  <c r="BM48" i="77"/>
  <c r="BM385" i="18"/>
  <c r="BM390" i="18" s="1"/>
  <c r="BM449" i="18"/>
  <c r="BM454" i="18" s="1"/>
  <c r="BL407" i="18"/>
  <c r="BL404" i="18"/>
  <c r="BL25" i="77"/>
  <c r="BM61" i="18" l="1"/>
  <c r="DY168" i="18"/>
  <c r="BN461" i="18"/>
  <c r="BM339" i="18"/>
  <c r="BM345" i="18" s="1"/>
  <c r="BM347" i="18" s="1"/>
  <c r="BO417" i="18"/>
  <c r="BO461" i="18" s="1"/>
  <c r="BN397" i="18"/>
  <c r="BM174" i="18"/>
  <c r="BM590" i="18"/>
  <c r="BK47" i="17"/>
  <c r="BK74" i="16"/>
  <c r="BK89" i="16"/>
  <c r="BK90" i="16" s="1"/>
  <c r="BL84" i="16" s="1"/>
  <c r="BK158" i="19"/>
  <c r="BK66" i="19"/>
  <c r="BK152" i="19"/>
  <c r="BK105" i="19"/>
  <c r="BK117" i="19" s="1"/>
  <c r="BK128" i="19"/>
  <c r="BL470" i="18"/>
  <c r="BL469" i="18"/>
  <c r="BL405" i="18"/>
  <c r="BL406" i="18"/>
  <c r="BL63" i="19"/>
  <c r="BL26" i="77"/>
  <c r="BL28" i="77"/>
  <c r="BL27" i="77"/>
  <c r="BL19" i="19"/>
  <c r="BL62" i="19"/>
  <c r="BL63" i="77"/>
  <c r="BL40" i="77"/>
  <c r="BL42" i="77"/>
  <c r="BL55" i="77"/>
  <c r="BL41" i="77"/>
  <c r="BL89" i="77"/>
  <c r="BM267" i="18"/>
  <c r="BM237" i="18"/>
  <c r="BM13" i="77"/>
  <c r="BM18" i="77"/>
  <c r="BN431" i="18"/>
  <c r="BN450" i="18" s="1"/>
  <c r="BN429" i="18"/>
  <c r="BO429" i="18" s="1"/>
  <c r="BO431" i="18"/>
  <c r="BO450" i="18" s="1"/>
  <c r="BM457" i="18"/>
  <c r="BM456" i="18"/>
  <c r="BM455" i="18"/>
  <c r="BO437" i="18"/>
  <c r="BN441" i="18"/>
  <c r="BN451" i="18" s="1"/>
  <c r="BN439" i="18"/>
  <c r="BO441" i="18"/>
  <c r="BO451" i="18" s="1"/>
  <c r="BM366" i="18"/>
  <c r="BM403" i="18" s="1"/>
  <c r="BM430" i="18"/>
  <c r="BM467" i="18" s="1"/>
  <c r="BL100" i="77"/>
  <c r="BL106" i="77"/>
  <c r="BL64" i="77"/>
  <c r="BL10" i="77"/>
  <c r="BL56" i="77"/>
  <c r="BL111" i="77"/>
  <c r="BL61" i="19"/>
  <c r="BM393" i="18"/>
  <c r="BM391" i="18"/>
  <c r="BM392" i="18"/>
  <c r="BM175" i="18" l="1"/>
  <c r="BM243" i="18"/>
  <c r="BO397" i="18"/>
  <c r="BM346" i="18"/>
  <c r="BM463" i="18" s="1"/>
  <c r="BM348" i="18"/>
  <c r="BN83" i="18"/>
  <c r="BN154" i="18" s="1"/>
  <c r="BM261" i="18"/>
  <c r="BM260" i="18"/>
  <c r="DY201" i="18" s="1"/>
  <c r="DY205" i="18" s="1"/>
  <c r="BM353" i="18"/>
  <c r="BM354" i="18" s="1"/>
  <c r="DY353" i="18" s="1"/>
  <c r="BM604" i="18"/>
  <c r="BM291" i="18"/>
  <c r="DY199" i="18"/>
  <c r="BM12" i="18"/>
  <c r="BM201" i="18"/>
  <c r="BM596" i="18"/>
  <c r="BL80" i="16"/>
  <c r="BL79" i="16"/>
  <c r="BK49" i="17"/>
  <c r="BL48" i="17" s="1"/>
  <c r="BK73" i="16"/>
  <c r="BL20" i="19"/>
  <c r="BL120" i="19"/>
  <c r="BK153" i="19"/>
  <c r="BK149" i="19"/>
  <c r="BK56" i="19"/>
  <c r="BM472" i="18"/>
  <c r="BL122" i="19"/>
  <c r="BL121" i="19"/>
  <c r="EC322" i="18"/>
  <c r="BL64" i="19"/>
  <c r="BM16" i="77"/>
  <c r="BN440" i="18"/>
  <c r="BO439" i="18"/>
  <c r="BO440" i="18" s="1"/>
  <c r="BL92" i="77"/>
  <c r="BL91" i="77"/>
  <c r="BL90" i="77"/>
  <c r="BM408" i="18"/>
  <c r="BM464" i="18"/>
  <c r="BM400" i="18"/>
  <c r="BL108" i="77"/>
  <c r="BL107" i="77"/>
  <c r="BL109" i="77"/>
  <c r="BM22" i="77"/>
  <c r="BM268" i="18"/>
  <c r="BM238" i="18"/>
  <c r="BM19" i="77"/>
  <c r="BM399" i="18" l="1"/>
  <c r="BO83" i="18"/>
  <c r="BO84" i="18" s="1"/>
  <c r="BN81" i="18"/>
  <c r="BL55" i="19"/>
  <c r="BL157" i="16"/>
  <c r="BL97" i="19"/>
  <c r="BL103" i="19" s="1"/>
  <c r="BN418" i="18"/>
  <c r="BN419" i="18" s="1"/>
  <c r="BN78" i="18"/>
  <c r="BN279" i="18" s="1"/>
  <c r="BM602" i="18"/>
  <c r="BM351" i="18"/>
  <c r="BM205" i="18"/>
  <c r="BM225" i="18" s="1"/>
  <c r="BM265" i="18" s="1"/>
  <c r="BM605" i="18"/>
  <c r="BM597" i="18"/>
  <c r="BM599" i="18"/>
  <c r="EG590" i="18" s="1"/>
  <c r="BM598" i="18"/>
  <c r="BL54" i="19"/>
  <c r="BL27" i="19"/>
  <c r="BL57" i="19" s="1"/>
  <c r="BL137" i="19"/>
  <c r="BL138" i="19" s="1"/>
  <c r="BL147" i="19" s="1"/>
  <c r="BL133" i="16"/>
  <c r="BL56" i="16"/>
  <c r="BM17" i="77"/>
  <c r="BM43" i="77"/>
  <c r="BM29" i="77"/>
  <c r="BN398" i="18"/>
  <c r="BO154" i="18"/>
  <c r="BQ416" i="18"/>
  <c r="BQ423" i="18"/>
  <c r="BQ433" i="18"/>
  <c r="BN155" i="18"/>
  <c r="BN462" i="18"/>
  <c r="BL65" i="19"/>
  <c r="BM20" i="77"/>
  <c r="BM236" i="18"/>
  <c r="BM229" i="18"/>
  <c r="BM230" i="18"/>
  <c r="BN156" i="18" l="1"/>
  <c r="BN171" i="18" s="1"/>
  <c r="BN60" i="18"/>
  <c r="BN396" i="18"/>
  <c r="BO396" i="18" s="1"/>
  <c r="DV54" i="18"/>
  <c r="DV56" i="18" s="1"/>
  <c r="BN82" i="18"/>
  <c r="BO82" i="18" s="1"/>
  <c r="BN14" i="77"/>
  <c r="BN94" i="77" s="1"/>
  <c r="BN95" i="77" s="1"/>
  <c r="BO95" i="77" s="1"/>
  <c r="BO81" i="18"/>
  <c r="BO460" i="18" s="1"/>
  <c r="BN460" i="18"/>
  <c r="BN249" i="18"/>
  <c r="BO418" i="18"/>
  <c r="BO78" i="18"/>
  <c r="BO59" i="18" s="1"/>
  <c r="BL134" i="16"/>
  <c r="BL135" i="16" s="1"/>
  <c r="BL136" i="16" s="1"/>
  <c r="BL137" i="16" s="1"/>
  <c r="BL131" i="16" s="1"/>
  <c r="BL158" i="16"/>
  <c r="BL159" i="16" s="1"/>
  <c r="BL160" i="16" s="1"/>
  <c r="BN59" i="18"/>
  <c r="BN43" i="18" s="1"/>
  <c r="BN10" i="18" s="1"/>
  <c r="BL148" i="19"/>
  <c r="BL149" i="19" s="1"/>
  <c r="BL126" i="19"/>
  <c r="BL156" i="19"/>
  <c r="BM167" i="19"/>
  <c r="BL123" i="19"/>
  <c r="BQ123" i="18"/>
  <c r="BQ438" i="18"/>
  <c r="BQ434" i="18"/>
  <c r="BQ432" i="18"/>
  <c r="BQ428" i="18"/>
  <c r="BQ422" i="18"/>
  <c r="BQ426" i="18" s="1"/>
  <c r="BQ424" i="18"/>
  <c r="BO462" i="18"/>
  <c r="BM30" i="77"/>
  <c r="BM112" i="77"/>
  <c r="BN420" i="18"/>
  <c r="BO419" i="18"/>
  <c r="BO420" i="18" s="1"/>
  <c r="BM231" i="18"/>
  <c r="BM21" i="77"/>
  <c r="BM34" i="77"/>
  <c r="BM49" i="77"/>
  <c r="BM39" i="77" s="1"/>
  <c r="BN338" i="18"/>
  <c r="BN181" i="18"/>
  <c r="BO338" i="18"/>
  <c r="BO155" i="18"/>
  <c r="BM44" i="77"/>
  <c r="BO398" i="18"/>
  <c r="BM402" i="18"/>
  <c r="BM466" i="18"/>
  <c r="BM232" i="18"/>
  <c r="BM235" i="18"/>
  <c r="BO156" i="18" l="1"/>
  <c r="BO170" i="18" s="1"/>
  <c r="BN170" i="18"/>
  <c r="BQ417" i="18"/>
  <c r="BN169" i="18"/>
  <c r="BN172" i="18" s="1"/>
  <c r="BQ371" i="18"/>
  <c r="BQ361" i="18"/>
  <c r="BN157" i="18"/>
  <c r="BN182" i="18" s="1"/>
  <c r="BQ414" i="18"/>
  <c r="BO14" i="77"/>
  <c r="BO60" i="18"/>
  <c r="BN45" i="77"/>
  <c r="BN48" i="77" s="1"/>
  <c r="BN31" i="77"/>
  <c r="BO31" i="77" s="1"/>
  <c r="BN114" i="77"/>
  <c r="BO114" i="77" s="1"/>
  <c r="BN15" i="77"/>
  <c r="BO15" i="77" s="1"/>
  <c r="BN253" i="18"/>
  <c r="BO249" i="18"/>
  <c r="BN589" i="18"/>
  <c r="BO589" i="18" s="1"/>
  <c r="BL180" i="16"/>
  <c r="BL161" i="16"/>
  <c r="BL181" i="16"/>
  <c r="BL52" i="16" s="1"/>
  <c r="BL157" i="19"/>
  <c r="BL164" i="19"/>
  <c r="BL152" i="19"/>
  <c r="BL153" i="19" s="1"/>
  <c r="BM138" i="16"/>
  <c r="BM132" i="16"/>
  <c r="BM153" i="16" s="1"/>
  <c r="BM140" i="16"/>
  <c r="BL173" i="19"/>
  <c r="BM471" i="18"/>
  <c r="BM468" i="18"/>
  <c r="BM50" i="77"/>
  <c r="BO449" i="18"/>
  <c r="BO454" i="18" s="1"/>
  <c r="BO385" i="18"/>
  <c r="BO390" i="18" s="1"/>
  <c r="BQ431" i="18"/>
  <c r="BQ450" i="18" s="1"/>
  <c r="BQ429" i="18"/>
  <c r="BM407" i="18"/>
  <c r="BM404" i="18"/>
  <c r="BM35" i="77"/>
  <c r="BM110" i="77"/>
  <c r="BO253" i="18"/>
  <c r="BM113" i="77"/>
  <c r="BM9" i="77"/>
  <c r="BM41" i="77" s="1"/>
  <c r="BQ437" i="18"/>
  <c r="BM12" i="77"/>
  <c r="BO181" i="18"/>
  <c r="BO194" i="18" s="1"/>
  <c r="BN385" i="18"/>
  <c r="BN390" i="18" s="1"/>
  <c r="BN449" i="18"/>
  <c r="BN454" i="18" s="1"/>
  <c r="BM63" i="77"/>
  <c r="BM55" i="77"/>
  <c r="BM42" i="77"/>
  <c r="BM40" i="77"/>
  <c r="BM89" i="77"/>
  <c r="BQ288" i="18"/>
  <c r="BN257" i="18"/>
  <c r="BN256" i="18"/>
  <c r="BO9" i="18"/>
  <c r="BM25" i="77"/>
  <c r="BO171" i="18" l="1"/>
  <c r="BO169" i="18"/>
  <c r="BO172" i="18" s="1"/>
  <c r="BO61" i="18" s="1"/>
  <c r="DZ168" i="18"/>
  <c r="BQ461" i="18"/>
  <c r="BO339" i="18"/>
  <c r="BO345" i="18" s="1"/>
  <c r="BO348" i="18" s="1"/>
  <c r="BO157" i="18"/>
  <c r="BO168" i="18" s="1"/>
  <c r="BN339" i="18"/>
  <c r="BN345" i="18" s="1"/>
  <c r="BN348" i="18" s="1"/>
  <c r="BQ397" i="18"/>
  <c r="BO32" i="77"/>
  <c r="BO96" i="77" s="1"/>
  <c r="BO94" i="77" s="1"/>
  <c r="BN174" i="18"/>
  <c r="BN201" i="18" s="1"/>
  <c r="BO45" i="77"/>
  <c r="BO46" i="77" s="1"/>
  <c r="BN33" i="77"/>
  <c r="BO33" i="77" s="1"/>
  <c r="BN116" i="77"/>
  <c r="BO116" i="77" s="1"/>
  <c r="BL168" i="19"/>
  <c r="BL165" i="19"/>
  <c r="BL158" i="19"/>
  <c r="BN590" i="18"/>
  <c r="BO590" i="18" s="1"/>
  <c r="BN61" i="18"/>
  <c r="BN138" i="18"/>
  <c r="BM139" i="16"/>
  <c r="BL66" i="19"/>
  <c r="BM133" i="19"/>
  <c r="BM134" i="19" s="1"/>
  <c r="BM135" i="19"/>
  <c r="BM136" i="19" s="1"/>
  <c r="BO182" i="18"/>
  <c r="BN430" i="18"/>
  <c r="BN467" i="18" s="1"/>
  <c r="BN366" i="18"/>
  <c r="BN403" i="18" s="1"/>
  <c r="BN457" i="18"/>
  <c r="BN456" i="18"/>
  <c r="BN455" i="18"/>
  <c r="BM111" i="77"/>
  <c r="BO393" i="18"/>
  <c r="BO391" i="18"/>
  <c r="BN393" i="18"/>
  <c r="BN392" i="18"/>
  <c r="BN391" i="18"/>
  <c r="BO457" i="18"/>
  <c r="BO455" i="18"/>
  <c r="BM92" i="77"/>
  <c r="BM90" i="77"/>
  <c r="BM91" i="77"/>
  <c r="BO48" i="77"/>
  <c r="BM141" i="19"/>
  <c r="BM142" i="19" s="1"/>
  <c r="BM19" i="19"/>
  <c r="BM64" i="77"/>
  <c r="BM10" i="77"/>
  <c r="BM56" i="77"/>
  <c r="BM100" i="77"/>
  <c r="BM106" i="77"/>
  <c r="BM406" i="18"/>
  <c r="BM405" i="18"/>
  <c r="BM26" i="77"/>
  <c r="BM27" i="77"/>
  <c r="BM28" i="77"/>
  <c r="BM469" i="18"/>
  <c r="BM470" i="18"/>
  <c r="BM46" i="19"/>
  <c r="BQ441" i="18"/>
  <c r="BQ451" i="18" s="1"/>
  <c r="BQ439" i="18"/>
  <c r="BN18" i="77"/>
  <c r="BN267" i="18"/>
  <c r="BN237" i="18"/>
  <c r="BN13" i="77"/>
  <c r="BM143" i="19"/>
  <c r="BM144" i="19" s="1"/>
  <c r="BO346" i="18" l="1"/>
  <c r="BO399" i="18" s="1"/>
  <c r="BO195" i="18"/>
  <c r="BN346" i="18"/>
  <c r="BN399" i="18" s="1"/>
  <c r="BN347" i="18"/>
  <c r="BN464" i="18" s="1"/>
  <c r="BO115" i="77"/>
  <c r="BL56" i="19"/>
  <c r="BN12" i="18"/>
  <c r="BN243" i="18"/>
  <c r="BL166" i="19"/>
  <c r="BM79" i="16"/>
  <c r="BM80" i="16"/>
  <c r="BQ83" i="18"/>
  <c r="BQ154" i="18" s="1"/>
  <c r="BN261" i="18"/>
  <c r="BN604" i="18"/>
  <c r="BN291" i="18"/>
  <c r="BN175" i="18"/>
  <c r="DZ199" i="18"/>
  <c r="BN260" i="18"/>
  <c r="BN602" i="18" s="1"/>
  <c r="BN353" i="18"/>
  <c r="BN354" i="18" s="1"/>
  <c r="DZ353" i="18" s="1"/>
  <c r="BN596" i="18"/>
  <c r="BO596" i="18" s="1"/>
  <c r="BM64" i="19"/>
  <c r="BM20" i="19"/>
  <c r="BM120" i="19"/>
  <c r="BM131" i="19"/>
  <c r="BM145" i="19" s="1"/>
  <c r="BM147" i="16"/>
  <c r="BM148" i="16"/>
  <c r="BM141" i="16"/>
  <c r="BM145" i="16" s="1"/>
  <c r="BO456" i="18"/>
  <c r="BO430" i="18"/>
  <c r="BO366" i="18"/>
  <c r="BQ440" i="18"/>
  <c r="BM107" i="77"/>
  <c r="BM109" i="77"/>
  <c r="BM108" i="77"/>
  <c r="BO467" i="18"/>
  <c r="BO403" i="18"/>
  <c r="BM122" i="19"/>
  <c r="BO392" i="18"/>
  <c r="BO237" i="18"/>
  <c r="BO18" i="77"/>
  <c r="BO174" i="18"/>
  <c r="BN16" i="77"/>
  <c r="BN463" i="18" l="1"/>
  <c r="BO463" i="18"/>
  <c r="BN400" i="18"/>
  <c r="ED322" i="18"/>
  <c r="BO604" i="18"/>
  <c r="BO605" i="18" s="1"/>
  <c r="BM157" i="16"/>
  <c r="BM56" i="16"/>
  <c r="BQ78" i="18"/>
  <c r="BQ279" i="18" s="1"/>
  <c r="BQ418" i="18"/>
  <c r="BQ419" i="18" s="1"/>
  <c r="BQ81" i="18"/>
  <c r="DZ201" i="18"/>
  <c r="DZ205" i="18" s="1"/>
  <c r="BN351" i="18"/>
  <c r="BN605" i="18"/>
  <c r="BN598" i="18"/>
  <c r="BN597" i="18"/>
  <c r="BN599" i="18"/>
  <c r="EH590" i="18" s="1"/>
  <c r="BO599" i="18"/>
  <c r="BO597" i="18"/>
  <c r="BM97" i="19"/>
  <c r="BM103" i="19" s="1"/>
  <c r="BM123" i="19" s="1"/>
  <c r="BM65" i="19"/>
  <c r="BM54" i="19"/>
  <c r="BM55" i="19"/>
  <c r="BM27" i="19"/>
  <c r="BM132" i="19"/>
  <c r="BM150" i="16"/>
  <c r="BM152" i="16" s="1"/>
  <c r="BM137" i="19"/>
  <c r="BM133" i="16"/>
  <c r="BM30" i="16"/>
  <c r="BM33" i="16" s="1"/>
  <c r="BO175" i="18"/>
  <c r="BN17" i="77"/>
  <c r="BN29" i="77"/>
  <c r="BN43" i="77"/>
  <c r="BO353" i="18"/>
  <c r="BO354" i="18" s="1"/>
  <c r="BO355" i="18" s="1"/>
  <c r="BO261" i="18"/>
  <c r="BO260" i="18"/>
  <c r="BO602" i="18" s="1"/>
  <c r="BM121" i="19"/>
  <c r="BM146" i="19" s="1"/>
  <c r="BQ396" i="18" l="1"/>
  <c r="BQ249" i="18"/>
  <c r="BQ156" i="18"/>
  <c r="BQ157" i="18" s="1"/>
  <c r="BQ460" i="18"/>
  <c r="BQ14" i="77"/>
  <c r="BQ15" i="77" s="1"/>
  <c r="BQ59" i="18"/>
  <c r="BQ253" i="18" s="1"/>
  <c r="DW54" i="18"/>
  <c r="DW56" i="18" s="1"/>
  <c r="BQ82" i="18"/>
  <c r="BM30" i="19"/>
  <c r="BM57" i="19"/>
  <c r="BM138" i="19"/>
  <c r="BM147" i="19" s="1"/>
  <c r="BM156" i="19"/>
  <c r="BQ420" i="18"/>
  <c r="BN44" i="77"/>
  <c r="BO43" i="77"/>
  <c r="BN30" i="77"/>
  <c r="BO29" i="77"/>
  <c r="BN112" i="77"/>
  <c r="BM17" i="17"/>
  <c r="BO351" i="18"/>
  <c r="BM158" i="16" l="1"/>
  <c r="BM159" i="16" s="1"/>
  <c r="BM160" i="16" s="1"/>
  <c r="BM161" i="16" s="1"/>
  <c r="BQ31" i="77"/>
  <c r="BQ33" i="77" s="1"/>
  <c r="BQ45" i="77"/>
  <c r="BQ48" i="77" s="1"/>
  <c r="BQ94" i="77"/>
  <c r="BQ95" i="77" s="1"/>
  <c r="BQ114" i="77"/>
  <c r="BQ116" i="77" s="1"/>
  <c r="BM134" i="16"/>
  <c r="BM135" i="16" s="1"/>
  <c r="BM136" i="16" s="1"/>
  <c r="BM137" i="16" s="1"/>
  <c r="BM131" i="16" s="1"/>
  <c r="BO150" i="19"/>
  <c r="BM126" i="19"/>
  <c r="BM32" i="19"/>
  <c r="BM105" i="19"/>
  <c r="BM117" i="19" s="1"/>
  <c r="BM58" i="19"/>
  <c r="BM33" i="19"/>
  <c r="BM67" i="19" s="1"/>
  <c r="BM164" i="19"/>
  <c r="BM173" i="19"/>
  <c r="BM157" i="19"/>
  <c r="BN113" i="77"/>
  <c r="BO112" i="77"/>
  <c r="BQ339" i="18"/>
  <c r="BQ182" i="18"/>
  <c r="BQ590" i="18" s="1"/>
  <c r="BM34" i="19" l="1"/>
  <c r="BM86" i="16"/>
  <c r="BM89" i="16" s="1"/>
  <c r="BM66" i="19"/>
  <c r="BM158" i="19"/>
  <c r="BQ366" i="18"/>
  <c r="BQ403" i="18" s="1"/>
  <c r="BQ430" i="18"/>
  <c r="BQ467" i="18" s="1"/>
  <c r="BM166" i="19" l="1"/>
  <c r="BM56" i="19"/>
  <c r="BL30" i="19"/>
  <c r="BQ472" i="18"/>
  <c r="BQ408" i="18"/>
  <c r="BL58" i="19" l="1"/>
  <c r="BL32" i="19"/>
  <c r="BL105" i="19"/>
  <c r="BL117" i="19" s="1"/>
  <c r="BL128" i="19"/>
  <c r="BL33" i="19"/>
  <c r="BL86" i="16" l="1"/>
  <c r="BL50" i="16"/>
  <c r="BL51" i="16"/>
  <c r="BL26" i="17"/>
  <c r="BL67" i="19"/>
  <c r="BL34" i="19"/>
  <c r="BL47" i="17" l="1"/>
  <c r="BL74" i="16"/>
  <c r="BL89" i="16"/>
  <c r="BL90" i="16" s="1"/>
  <c r="BM84" i="16" s="1"/>
  <c r="BM90" i="16" s="1"/>
  <c r="BN84" i="16" s="1"/>
  <c r="BL49" i="17" l="1"/>
  <c r="BL73" i="16"/>
  <c r="BH9" i="77" l="1"/>
  <c r="BI9" i="77" s="1"/>
  <c r="BI56" i="77" s="1"/>
  <c r="BH19" i="77"/>
  <c r="BH20" i="77" s="1"/>
  <c r="BH49" i="77" s="1"/>
  <c r="BH22" i="77"/>
  <c r="BH64" i="77" l="1"/>
  <c r="BH100" i="77"/>
  <c r="BI10" i="77"/>
  <c r="BH10" i="77"/>
  <c r="BH56" i="77"/>
  <c r="BI100" i="77"/>
  <c r="BI64" i="77"/>
  <c r="BI49" i="77"/>
  <c r="BH39" i="77"/>
  <c r="BH50" i="77"/>
  <c r="BH21" i="77"/>
  <c r="BH34" i="77"/>
  <c r="BH110" i="77" l="1"/>
  <c r="BH25" i="77"/>
  <c r="BI34" i="77"/>
  <c r="BH35" i="77"/>
  <c r="BH42" i="77"/>
  <c r="BI42" i="77" s="1"/>
  <c r="BH41" i="77"/>
  <c r="BH40" i="77"/>
  <c r="BH63" i="77"/>
  <c r="BH55" i="77"/>
  <c r="BI39" i="77"/>
  <c r="BH89" i="77"/>
  <c r="BI40" i="77" l="1"/>
  <c r="BI55" i="77"/>
  <c r="BI63" i="77"/>
  <c r="BI41" i="77"/>
  <c r="BI25" i="77"/>
  <c r="BH27" i="77"/>
  <c r="BH106" i="77"/>
  <c r="BH26" i="77"/>
  <c r="BH28" i="77"/>
  <c r="BI89" i="77"/>
  <c r="BH91" i="77"/>
  <c r="BH90" i="77"/>
  <c r="BH92" i="77"/>
  <c r="BI92" i="77" s="1"/>
  <c r="BH111" i="77"/>
  <c r="BI110" i="77"/>
  <c r="BI27" i="77" l="1"/>
  <c r="BI26" i="77"/>
  <c r="BI106" i="77"/>
  <c r="BI91" i="77"/>
  <c r="BI90" i="77"/>
  <c r="BI28" i="77"/>
  <c r="BH108" i="77"/>
  <c r="BH109" i="77"/>
  <c r="BI109" i="77" s="1"/>
  <c r="BH107" i="77"/>
  <c r="BI108" i="77" l="1"/>
  <c r="BI107" i="77"/>
  <c r="BH48" i="19" l="1"/>
  <c r="BI48" i="19" s="1"/>
  <c r="BI11" i="18"/>
  <c r="BI12" i="18" s="1"/>
  <c r="BH21" i="18"/>
  <c r="BH229" i="18"/>
  <c r="BH230" i="18"/>
  <c r="BH231" i="18" s="1"/>
  <c r="BH232" i="18"/>
  <c r="BH235" i="18"/>
  <c r="BH236" i="18"/>
  <c r="BH238" i="18"/>
  <c r="BH268" i="18"/>
  <c r="BK268" i="18"/>
  <c r="BH402" i="18"/>
  <c r="BH466" i="18"/>
  <c r="BI466" i="18" s="1"/>
  <c r="BH168" i="19" l="1"/>
  <c r="BH404" i="18"/>
  <c r="BI402" i="18"/>
  <c r="BN408" i="18"/>
  <c r="BH407" i="18"/>
  <c r="BN472" i="18"/>
  <c r="CU472" i="18" s="1"/>
  <c r="BO472" i="18"/>
  <c r="BI468" i="18"/>
  <c r="BI470" i="18" s="1"/>
  <c r="BH468" i="18"/>
  <c r="BH471" i="18"/>
  <c r="BI14" i="18"/>
  <c r="BI238" i="18"/>
  <c r="BI471" i="18"/>
  <c r="BI22" i="77"/>
  <c r="BH406" i="18" l="1"/>
  <c r="BH405" i="18"/>
  <c r="BI407" i="18"/>
  <c r="BI404" i="18"/>
  <c r="BI406" i="18" s="1"/>
  <c r="BO408" i="18"/>
  <c r="BH470" i="18"/>
  <c r="BI469" i="18"/>
  <c r="BH469" i="18"/>
  <c r="BI236" i="18"/>
  <c r="BI230" i="18"/>
  <c r="BI231" i="18" s="1"/>
  <c r="BI16" i="18"/>
  <c r="BI18" i="18" l="1"/>
  <c r="BO19" i="18"/>
  <c r="BI405" i="18"/>
  <c r="BI232" i="18"/>
  <c r="BI235" i="18"/>
  <c r="BI229" i="18"/>
  <c r="BI17" i="18"/>
  <c r="BI11" i="77" l="1"/>
  <c r="BI21" i="18"/>
  <c r="BI168" i="19" l="1"/>
  <c r="BI13" i="77"/>
  <c r="BI19" i="77"/>
  <c r="BI113" i="77" l="1"/>
  <c r="BI44" i="77"/>
  <c r="BI30" i="77"/>
  <c r="BI16" i="77"/>
  <c r="BI17" i="77" s="1"/>
  <c r="BI50" i="77"/>
  <c r="BI20" i="77"/>
  <c r="BI21" i="77" s="1"/>
  <c r="BI35" i="77"/>
  <c r="BI111" i="77"/>
  <c r="BQ134" i="18" l="1"/>
  <c r="BQ126" i="18"/>
  <c r="BQ155" i="18"/>
  <c r="BQ180" i="18"/>
  <c r="BQ588" i="18" s="1"/>
  <c r="BQ181" i="18" l="1"/>
  <c r="BQ589" i="18" s="1"/>
  <c r="BQ255" i="18"/>
  <c r="BQ285" i="18"/>
  <c r="BQ338" i="18"/>
  <c r="BQ337" i="18"/>
  <c r="BQ112" i="18"/>
  <c r="BQ43" i="18" s="1"/>
  <c r="BQ10" i="18" s="1"/>
  <c r="BQ398" i="18"/>
  <c r="BQ462" i="18"/>
  <c r="BQ169" i="18"/>
  <c r="BR371" i="18"/>
  <c r="BR123" i="18"/>
  <c r="BR423" i="18"/>
  <c r="BR74" i="18"/>
  <c r="BR361" i="18"/>
  <c r="BQ131" i="18"/>
  <c r="BR433" i="18"/>
  <c r="BR413" i="18"/>
  <c r="BR414" i="18"/>
  <c r="BR152" i="18" l="1"/>
  <c r="BR153" i="18" s="1"/>
  <c r="BQ449" i="18"/>
  <c r="BQ385" i="18"/>
  <c r="BR288" i="18"/>
  <c r="BQ384" i="18"/>
  <c r="BQ448" i="18"/>
  <c r="BR432" i="18"/>
  <c r="BR434" i="18"/>
  <c r="BR438" i="18"/>
  <c r="BR69" i="18"/>
  <c r="BR72" i="18"/>
  <c r="DW61" i="18"/>
  <c r="DW62" i="18" s="1"/>
  <c r="BQ60" i="18"/>
  <c r="BQ132" i="18"/>
  <c r="BQ130" i="18"/>
  <c r="BQ113" i="18"/>
  <c r="BQ114" i="18" s="1"/>
  <c r="BQ137" i="18"/>
  <c r="BQ166" i="18"/>
  <c r="EA168" i="18" s="1"/>
  <c r="BR422" i="18"/>
  <c r="BR426" i="18" s="1"/>
  <c r="BR424" i="18"/>
  <c r="BR428" i="18"/>
  <c r="BQ390" i="18" l="1"/>
  <c r="BQ391" i="18" s="1"/>
  <c r="BQ454" i="18"/>
  <c r="BQ456" i="18" s="1"/>
  <c r="BR437" i="18"/>
  <c r="DX53" i="18"/>
  <c r="BR73" i="18"/>
  <c r="BR415" i="18"/>
  <c r="BQ237" i="18"/>
  <c r="BQ18" i="77"/>
  <c r="BQ267" i="18"/>
  <c r="BQ13" i="77"/>
  <c r="BR431" i="18"/>
  <c r="BR450" i="18" s="1"/>
  <c r="BR429" i="18"/>
  <c r="BQ167" i="18"/>
  <c r="BQ170" i="18"/>
  <c r="BQ171" i="18"/>
  <c r="BQ172" i="18"/>
  <c r="BQ61" i="18" l="1"/>
  <c r="BQ138" i="18"/>
  <c r="BQ457" i="18"/>
  <c r="BQ392" i="18"/>
  <c r="BQ393" i="18"/>
  <c r="BQ455" i="18"/>
  <c r="BR417" i="18"/>
  <c r="BR416" i="18"/>
  <c r="BQ344" i="18"/>
  <c r="BQ345" i="18" s="1"/>
  <c r="BQ187" i="18"/>
  <c r="BR441" i="18"/>
  <c r="BR451" i="18" s="1"/>
  <c r="BR439" i="18"/>
  <c r="BQ16" i="77"/>
  <c r="BQ595" i="18" l="1"/>
  <c r="BQ596" i="18" s="1"/>
  <c r="BR440" i="18"/>
  <c r="BQ174" i="18"/>
  <c r="BQ12" i="18" s="1"/>
  <c r="BQ347" i="18"/>
  <c r="BQ348" i="18"/>
  <c r="BQ346" i="18"/>
  <c r="BR461" i="18"/>
  <c r="BR397" i="18"/>
  <c r="BQ17" i="77"/>
  <c r="BQ29" i="77"/>
  <c r="BQ43" i="77"/>
  <c r="BQ597" i="18" l="1"/>
  <c r="BQ599" i="18"/>
  <c r="EI590" i="18" s="1"/>
  <c r="BQ598" i="18"/>
  <c r="BQ175" i="18"/>
  <c r="BQ604" i="18"/>
  <c r="BQ605" i="18" s="1"/>
  <c r="BQ30" i="77"/>
  <c r="BQ112" i="77"/>
  <c r="BQ260" i="18"/>
  <c r="BQ353" i="18"/>
  <c r="BQ354" i="18" s="1"/>
  <c r="EA353" i="18" s="1"/>
  <c r="BQ291" i="18"/>
  <c r="BQ261" i="18"/>
  <c r="BR83" i="18"/>
  <c r="BR154" i="18" s="1"/>
  <c r="BQ48" i="19"/>
  <c r="BR48" i="19" s="1"/>
  <c r="BQ201" i="18"/>
  <c r="BQ44" i="77"/>
  <c r="BQ463" i="18"/>
  <c r="BQ399" i="18"/>
  <c r="EE322" i="18"/>
  <c r="BQ400" i="18"/>
  <c r="BQ464" i="18"/>
  <c r="BW48" i="19" l="1"/>
  <c r="EA201" i="18"/>
  <c r="EA205" i="18" s="1"/>
  <c r="BQ602" i="18"/>
  <c r="BQ205" i="18"/>
  <c r="BQ351" i="18"/>
  <c r="BQ22" i="77"/>
  <c r="BQ238" i="18"/>
  <c r="BQ19" i="77"/>
  <c r="BR418" i="18"/>
  <c r="BR78" i="18"/>
  <c r="BR81" i="18"/>
  <c r="BQ113" i="77"/>
  <c r="CC48" i="19" l="1"/>
  <c r="BS48" i="19"/>
  <c r="BT48" i="19" s="1"/>
  <c r="BX48" i="19"/>
  <c r="CD48" i="19" s="1"/>
  <c r="CJ48" i="19" s="1"/>
  <c r="CP48" i="19" s="1"/>
  <c r="BQ236" i="18"/>
  <c r="BQ230" i="18"/>
  <c r="DX54" i="18"/>
  <c r="DX56" i="18" s="1"/>
  <c r="BR82" i="18"/>
  <c r="BR396" i="18"/>
  <c r="BR156" i="18"/>
  <c r="BR14" i="77"/>
  <c r="BR460" i="18"/>
  <c r="BQ20" i="77"/>
  <c r="BR419" i="18"/>
  <c r="BR249" i="18"/>
  <c r="BR279" i="18"/>
  <c r="BR59" i="18"/>
  <c r="BZ48" i="19" l="1"/>
  <c r="CF48" i="19" s="1"/>
  <c r="CL48" i="19" s="1"/>
  <c r="CR48" i="19" s="1"/>
  <c r="BY48" i="19"/>
  <c r="CE48" i="19" s="1"/>
  <c r="CK48" i="19" s="1"/>
  <c r="CQ48" i="19" s="1"/>
  <c r="CA48" i="19"/>
  <c r="CI48" i="19"/>
  <c r="BQ167" i="19"/>
  <c r="BR15" i="77"/>
  <c r="BR114" i="77"/>
  <c r="BR94" i="77"/>
  <c r="BR95" i="77" s="1"/>
  <c r="BR31" i="77"/>
  <c r="BR45" i="77"/>
  <c r="BR420" i="18"/>
  <c r="BR157" i="18"/>
  <c r="BQ21" i="77"/>
  <c r="BQ49" i="77"/>
  <c r="BQ34" i="77"/>
  <c r="BQ231" i="18"/>
  <c r="CG48" i="19" l="1"/>
  <c r="BU48" i="19"/>
  <c r="CO48" i="19"/>
  <c r="CS48" i="19" s="1"/>
  <c r="CM48" i="19"/>
  <c r="BQ35" i="77"/>
  <c r="BQ25" i="77"/>
  <c r="BQ110" i="77"/>
  <c r="BQ50" i="77"/>
  <c r="BQ39" i="77"/>
  <c r="BR48" i="77"/>
  <c r="BR33" i="77"/>
  <c r="BR339" i="18"/>
  <c r="BR182" i="18"/>
  <c r="BR590" i="18" s="1"/>
  <c r="BR116" i="77"/>
  <c r="BR430" i="18" l="1"/>
  <c r="BR467" i="18" s="1"/>
  <c r="BR366" i="18"/>
  <c r="BR403" i="18" s="1"/>
  <c r="BQ55" i="77"/>
  <c r="BQ40" i="77"/>
  <c r="BQ63" i="77"/>
  <c r="BQ89" i="77"/>
  <c r="BQ42" i="77"/>
  <c r="BQ111" i="77"/>
  <c r="BQ26" i="77"/>
  <c r="BQ28" i="77"/>
  <c r="BR472" i="18" l="1"/>
  <c r="BQ91" i="77"/>
  <c r="BQ90" i="77"/>
  <c r="BQ92" i="77"/>
  <c r="BR408" i="18"/>
  <c r="BR134" i="18" l="1"/>
  <c r="BR155" i="18"/>
  <c r="BR131" i="18"/>
  <c r="BS413" i="18"/>
  <c r="BR166" i="18" l="1"/>
  <c r="BR167" i="18" s="1"/>
  <c r="BR181" i="18"/>
  <c r="BR589" i="18" s="1"/>
  <c r="BR137" i="18"/>
  <c r="BR180" i="18"/>
  <c r="BR462" i="18"/>
  <c r="BR398" i="18"/>
  <c r="BR338" i="18"/>
  <c r="BR171" i="18"/>
  <c r="BS371" i="18"/>
  <c r="BR169" i="18"/>
  <c r="BS123" i="18"/>
  <c r="BS433" i="18"/>
  <c r="BS414" i="18"/>
  <c r="BS361" i="18"/>
  <c r="BS423" i="18"/>
  <c r="BS74" i="18"/>
  <c r="BS152" i="18" s="1"/>
  <c r="BR60" i="18"/>
  <c r="DX61" i="18"/>
  <c r="DX62" i="18" s="1"/>
  <c r="BR130" i="18"/>
  <c r="BR132" i="18"/>
  <c r="BR113" i="18"/>
  <c r="BR114" i="18" s="1"/>
  <c r="BR126" i="18"/>
  <c r="BR170" i="18" l="1"/>
  <c r="BR588" i="18"/>
  <c r="BR337" i="18"/>
  <c r="BR448" i="18" s="1"/>
  <c r="BR255" i="18"/>
  <c r="BR285" i="18"/>
  <c r="BR112" i="18"/>
  <c r="BR43" i="18" s="1"/>
  <c r="EB168" i="18"/>
  <c r="BR172" i="18"/>
  <c r="BS72" i="18"/>
  <c r="BS69" i="18"/>
  <c r="BR344" i="18"/>
  <c r="BR187" i="18"/>
  <c r="BS424" i="18"/>
  <c r="BS428" i="18"/>
  <c r="BS422" i="18"/>
  <c r="BS426" i="18" s="1"/>
  <c r="BS432" i="18"/>
  <c r="BS438" i="18"/>
  <c r="BS434" i="18"/>
  <c r="BR385" i="18"/>
  <c r="BR449" i="18"/>
  <c r="BR595" i="18" l="1"/>
  <c r="BR596" i="18" s="1"/>
  <c r="BR61" i="18"/>
  <c r="BR138" i="18"/>
  <c r="BR345" i="18"/>
  <c r="BR346" i="18" s="1"/>
  <c r="BR384" i="18"/>
  <c r="BR390" i="18" s="1"/>
  <c r="BR174" i="18"/>
  <c r="BR243" i="18" s="1"/>
  <c r="DY53" i="18"/>
  <c r="BS73" i="18"/>
  <c r="BS415" i="18"/>
  <c r="BR454" i="18"/>
  <c r="BR257" i="18"/>
  <c r="BS288" i="18"/>
  <c r="BR256" i="18"/>
  <c r="BR9" i="18"/>
  <c r="BS437" i="18"/>
  <c r="BS431" i="18"/>
  <c r="BS450" i="18" s="1"/>
  <c r="BS429" i="18"/>
  <c r="BR599" i="18" l="1"/>
  <c r="EJ590" i="18" s="1"/>
  <c r="BR597" i="18"/>
  <c r="BR598" i="18"/>
  <c r="BR175" i="18"/>
  <c r="BR604" i="18"/>
  <c r="BR605" i="18" s="1"/>
  <c r="BR348" i="18"/>
  <c r="BR347" i="18"/>
  <c r="EF322" i="18" s="1"/>
  <c r="BS441" i="18"/>
  <c r="BS451" i="18" s="1"/>
  <c r="BS439" i="18"/>
  <c r="BR267" i="18"/>
  <c r="BR18" i="77"/>
  <c r="BR10" i="18"/>
  <c r="BR237" i="18"/>
  <c r="BR13" i="77"/>
  <c r="BR455" i="18"/>
  <c r="BR463" i="18" s="1"/>
  <c r="BR457" i="18"/>
  <c r="BR456" i="18"/>
  <c r="BR393" i="18"/>
  <c r="BR391" i="18"/>
  <c r="BR399" i="18" s="1"/>
  <c r="BR392" i="18"/>
  <c r="BR291" i="18"/>
  <c r="BR353" i="18"/>
  <c r="BR354" i="18" s="1"/>
  <c r="EB353" i="18" s="1"/>
  <c r="BR260" i="18"/>
  <c r="BR261" i="18"/>
  <c r="BS83" i="18"/>
  <c r="BR11" i="18"/>
  <c r="BR201" i="18"/>
  <c r="BS417" i="18"/>
  <c r="BS416" i="18"/>
  <c r="EB201" i="18" l="1"/>
  <c r="EB205" i="18" s="1"/>
  <c r="BR602" i="18"/>
  <c r="BS418" i="18"/>
  <c r="BS78" i="18"/>
  <c r="BS81" i="18"/>
  <c r="BR400" i="18"/>
  <c r="BS461" i="18"/>
  <c r="BS397" i="18"/>
  <c r="BR16" i="77"/>
  <c r="BS440" i="18"/>
  <c r="BR205" i="18"/>
  <c r="BR225" i="18" s="1"/>
  <c r="BR464" i="18"/>
  <c r="BR22" i="77"/>
  <c r="BR12" i="18"/>
  <c r="BR238" i="18"/>
  <c r="BR268" i="18"/>
  <c r="BR19" i="77"/>
  <c r="BR14" i="18"/>
  <c r="BR351" i="18"/>
  <c r="BS249" i="18" l="1"/>
  <c r="BS279" i="18"/>
  <c r="BS59" i="18"/>
  <c r="BS419" i="18"/>
  <c r="BR20" i="77"/>
  <c r="DY54" i="18"/>
  <c r="DY56" i="18" s="1"/>
  <c r="BS82" i="18"/>
  <c r="BS156" i="18"/>
  <c r="BS396" i="18"/>
  <c r="BS14" i="77"/>
  <c r="BS460" i="18"/>
  <c r="BR236" i="18"/>
  <c r="BR16" i="18"/>
  <c r="BR10" i="19"/>
  <c r="BR167" i="19" s="1"/>
  <c r="BR230" i="18"/>
  <c r="BR17" i="77"/>
  <c r="BR43" i="77"/>
  <c r="BR29" i="77"/>
  <c r="BR229" i="18" l="1"/>
  <c r="BR21" i="77"/>
  <c r="BR34" i="77"/>
  <c r="BR25" i="77" s="1"/>
  <c r="BR49" i="77"/>
  <c r="BR39" i="77" s="1"/>
  <c r="BR231" i="18"/>
  <c r="BR13" i="19" s="1"/>
  <c r="BS420" i="18"/>
  <c r="BR44" i="77"/>
  <c r="BS157" i="18"/>
  <c r="BR30" i="77"/>
  <c r="BR112" i="77"/>
  <c r="BS45" i="77"/>
  <c r="BS94" i="77"/>
  <c r="BS95" i="77" s="1"/>
  <c r="BS114" i="77"/>
  <c r="BS31" i="77"/>
  <c r="BS15" i="77"/>
  <c r="BR9" i="19"/>
  <c r="BR232" i="18"/>
  <c r="BR235" i="18"/>
  <c r="BR402" i="18"/>
  <c r="BR466" i="18"/>
  <c r="BR17" i="18"/>
  <c r="BR156" i="16" l="1"/>
  <c r="BX161" i="19"/>
  <c r="BR132" i="16"/>
  <c r="BR16" i="16"/>
  <c r="BR140" i="16" s="1"/>
  <c r="BR13" i="16"/>
  <c r="BR138" i="16" s="1"/>
  <c r="BR94" i="16"/>
  <c r="BR26" i="77"/>
  <c r="BR28" i="77"/>
  <c r="BR40" i="77"/>
  <c r="BR55" i="77"/>
  <c r="BR63" i="77"/>
  <c r="BR42" i="77"/>
  <c r="BR89" i="77"/>
  <c r="BR471" i="18"/>
  <c r="BR468" i="18"/>
  <c r="BS48" i="77"/>
  <c r="BS116" i="77"/>
  <c r="BR60" i="19"/>
  <c r="BR17" i="19"/>
  <c r="BR12" i="77"/>
  <c r="BR18" i="19"/>
  <c r="BR12" i="19"/>
  <c r="BS339" i="18"/>
  <c r="BS182" i="18"/>
  <c r="BS590" i="18" s="1"/>
  <c r="BR35" i="77"/>
  <c r="BR110" i="77"/>
  <c r="BR407" i="18"/>
  <c r="BR404" i="18"/>
  <c r="BR113" i="77"/>
  <c r="BR21" i="18"/>
  <c r="BR9" i="77"/>
  <c r="BR41" i="77" s="1"/>
  <c r="BS33" i="77"/>
  <c r="BR50" i="77"/>
  <c r="BR133" i="19" l="1"/>
  <c r="BR134" i="19" s="1"/>
  <c r="BR135" i="19"/>
  <c r="BR136" i="19" s="1"/>
  <c r="BR16" i="19"/>
  <c r="BR50" i="19" s="1"/>
  <c r="BR14" i="16"/>
  <c r="BR139" i="16" s="1"/>
  <c r="BS366" i="18"/>
  <c r="BS403" i="18" s="1"/>
  <c r="BS430" i="18"/>
  <c r="BS467" i="18" s="1"/>
  <c r="BR469" i="18"/>
  <c r="BR470" i="18"/>
  <c r="BR61" i="19"/>
  <c r="BR46" i="19"/>
  <c r="BR29" i="17"/>
  <c r="BR111" i="77"/>
  <c r="BR63" i="19"/>
  <c r="BR143" i="19"/>
  <c r="BR144" i="19" s="1"/>
  <c r="BR92" i="19"/>
  <c r="BR72" i="19"/>
  <c r="BR405" i="18"/>
  <c r="BR406" i="18"/>
  <c r="BR91" i="77"/>
  <c r="BR90" i="77"/>
  <c r="BR92" i="77"/>
  <c r="BR56" i="77"/>
  <c r="BR10" i="77"/>
  <c r="BR64" i="77"/>
  <c r="BR100" i="77"/>
  <c r="BR106" i="77"/>
  <c r="BR62" i="19"/>
  <c r="BR141" i="19"/>
  <c r="BR142" i="19" s="1"/>
  <c r="BR88" i="19"/>
  <c r="BR71" i="19"/>
  <c r="BR19" i="19"/>
  <c r="BR27" i="77"/>
  <c r="BR131" i="19" l="1"/>
  <c r="BR145" i="19" s="1"/>
  <c r="BR51" i="19"/>
  <c r="BR84" i="19"/>
  <c r="BR87" i="19" s="1"/>
  <c r="BR120" i="19" s="1"/>
  <c r="BR20" i="19"/>
  <c r="BR27" i="16"/>
  <c r="BR148" i="16" s="1"/>
  <c r="BR108" i="77"/>
  <c r="BR107" i="77"/>
  <c r="BR109" i="77"/>
  <c r="BR64" i="19"/>
  <c r="BR96" i="19"/>
  <c r="BR122" i="19" s="1"/>
  <c r="BS472" i="18"/>
  <c r="BR91" i="19"/>
  <c r="BR121" i="19" s="1"/>
  <c r="BS408" i="18"/>
  <c r="BR55" i="19" l="1"/>
  <c r="BR157" i="16"/>
  <c r="BR132" i="19"/>
  <c r="BR65" i="19"/>
  <c r="BR97" i="19"/>
  <c r="BR103" i="19" s="1"/>
  <c r="BR123" i="19" s="1"/>
  <c r="BR54" i="19"/>
  <c r="BR137" i="19"/>
  <c r="BR133" i="16"/>
  <c r="BR135" i="16" s="1"/>
  <c r="BR136" i="16" s="1"/>
  <c r="BR137" i="16" s="1"/>
  <c r="BR56" i="16"/>
  <c r="BR146" i="19"/>
  <c r="BR159" i="16" l="1"/>
  <c r="BR160" i="16" s="1"/>
  <c r="BR161" i="16" s="1"/>
  <c r="BR156" i="19"/>
  <c r="BR138" i="19"/>
  <c r="BR147" i="19" s="1"/>
  <c r="BR173" i="19" l="1"/>
  <c r="BR164" i="19"/>
  <c r="BR157" i="19"/>
  <c r="BR66" i="19" l="1"/>
  <c r="BR165" i="19"/>
  <c r="BR158" i="19"/>
  <c r="BR166" i="19" l="1"/>
  <c r="BR56" i="19"/>
  <c r="BS134" i="18"/>
  <c r="BS154" i="18"/>
  <c r="BS155" i="18" s="1"/>
  <c r="BT413" i="18"/>
  <c r="BU413" i="18" s="1"/>
  <c r="BS181" i="18" l="1"/>
  <c r="BS589" i="18" s="1"/>
  <c r="BT123" i="18"/>
  <c r="BU123" i="18" s="1"/>
  <c r="BT371" i="18"/>
  <c r="BS169" i="18"/>
  <c r="BT361" i="18"/>
  <c r="BU361" i="18" s="1"/>
  <c r="BT433" i="18"/>
  <c r="BT423" i="18"/>
  <c r="BS153" i="18"/>
  <c r="BT74" i="18"/>
  <c r="BT152" i="18" s="1"/>
  <c r="BS338" i="18"/>
  <c r="BT414" i="18"/>
  <c r="BU414" i="18" s="1"/>
  <c r="BS126" i="18"/>
  <c r="BS131" i="18"/>
  <c r="BS462" i="18"/>
  <c r="BS398" i="18"/>
  <c r="BU74" i="18" l="1"/>
  <c r="BT69" i="18"/>
  <c r="BT72" i="18"/>
  <c r="BS255" i="18"/>
  <c r="BS285" i="18"/>
  <c r="BS112" i="18"/>
  <c r="BS43" i="18" s="1"/>
  <c r="BS385" i="18"/>
  <c r="BS449" i="18"/>
  <c r="BS60" i="18"/>
  <c r="DY61" i="18"/>
  <c r="DY62" i="18" s="1"/>
  <c r="BS130" i="18"/>
  <c r="BS132" i="18"/>
  <c r="BS166" i="18"/>
  <c r="EC168" i="18" s="1"/>
  <c r="BS113" i="18"/>
  <c r="BS114" i="18" s="1"/>
  <c r="BS137" i="18"/>
  <c r="BU371" i="18"/>
  <c r="BU423" i="18"/>
  <c r="BT424" i="18"/>
  <c r="BU424" i="18" s="1"/>
  <c r="BT422" i="18"/>
  <c r="BT428" i="18"/>
  <c r="BU428" i="18" s="1"/>
  <c r="BS337" i="18"/>
  <c r="BS180" i="18"/>
  <c r="BS588" i="18" s="1"/>
  <c r="BU433" i="18"/>
  <c r="BT432" i="18"/>
  <c r="BT434" i="18"/>
  <c r="BU434" i="18" s="1"/>
  <c r="BT438" i="18"/>
  <c r="BU438" i="18" s="1"/>
  <c r="BT288" i="18" l="1"/>
  <c r="BS257" i="18"/>
  <c r="BS256" i="18"/>
  <c r="BS9" i="18"/>
  <c r="BT437" i="18"/>
  <c r="BU432" i="18"/>
  <c r="DZ53" i="18"/>
  <c r="BU72" i="18"/>
  <c r="BT73" i="18"/>
  <c r="BU73" i="18" s="1"/>
  <c r="BT415" i="18"/>
  <c r="BS167" i="18"/>
  <c r="BS170" i="18"/>
  <c r="BS171" i="18"/>
  <c r="BS172" i="18"/>
  <c r="BU69" i="18"/>
  <c r="BU422" i="18"/>
  <c r="BU426" i="18" s="1"/>
  <c r="BT426" i="18"/>
  <c r="BS384" i="18"/>
  <c r="BS390" i="18" s="1"/>
  <c r="BS448" i="18"/>
  <c r="BS454" i="18" s="1"/>
  <c r="BS61" i="18" l="1"/>
  <c r="BS138" i="18"/>
  <c r="BS457" i="18"/>
  <c r="BS456" i="18"/>
  <c r="BS455" i="18"/>
  <c r="BS391" i="18"/>
  <c r="BS393" i="18"/>
  <c r="BS392" i="18"/>
  <c r="BS10" i="18"/>
  <c r="BS18" i="77"/>
  <c r="BS267" i="18"/>
  <c r="BS237" i="18"/>
  <c r="BS13" i="77"/>
  <c r="BT441" i="18"/>
  <c r="BT451" i="18" s="1"/>
  <c r="BU441" i="18"/>
  <c r="BU451" i="18" s="1"/>
  <c r="BT439" i="18"/>
  <c r="BS344" i="18"/>
  <c r="BS345" i="18" s="1"/>
  <c r="BS187" i="18"/>
  <c r="BU431" i="18"/>
  <c r="BU450" i="18" s="1"/>
  <c r="BT431" i="18"/>
  <c r="BT450" i="18" s="1"/>
  <c r="BT429" i="18"/>
  <c r="BU429" i="18" s="1"/>
  <c r="BU415" i="18"/>
  <c r="BT417" i="18"/>
  <c r="BT416" i="18"/>
  <c r="BU416" i="18" s="1"/>
  <c r="BU437" i="18"/>
  <c r="BS595" i="18" l="1"/>
  <c r="BS596" i="18" s="1"/>
  <c r="BS347" i="18"/>
  <c r="BS464" i="18" s="1"/>
  <c r="BS348" i="18"/>
  <c r="BS346" i="18"/>
  <c r="BS399" i="18" s="1"/>
  <c r="BS16" i="77"/>
  <c r="BT440" i="18"/>
  <c r="BU439" i="18"/>
  <c r="BU440" i="18" s="1"/>
  <c r="BS174" i="18"/>
  <c r="BS243" i="18" s="1"/>
  <c r="BU417" i="18"/>
  <c r="BT461" i="18"/>
  <c r="BT397" i="18"/>
  <c r="BS598" i="18" l="1"/>
  <c r="BS597" i="18"/>
  <c r="BS599" i="18"/>
  <c r="EK590" i="18" s="1"/>
  <c r="BS175" i="18"/>
  <c r="BS604" i="18"/>
  <c r="BS605" i="18" s="1"/>
  <c r="BS463" i="18"/>
  <c r="BS400" i="18"/>
  <c r="BS17" i="77"/>
  <c r="BS29" i="77"/>
  <c r="BS43" i="77"/>
  <c r="BS260" i="18"/>
  <c r="BS291" i="18"/>
  <c r="BS353" i="18"/>
  <c r="BS354" i="18" s="1"/>
  <c r="EC353" i="18" s="1"/>
  <c r="BS261" i="18"/>
  <c r="BT83" i="18"/>
  <c r="BS11" i="18"/>
  <c r="BS201" i="18"/>
  <c r="BU461" i="18"/>
  <c r="BU397" i="18"/>
  <c r="EG322" i="18"/>
  <c r="EC201" i="18" l="1"/>
  <c r="EC205" i="18" s="1"/>
  <c r="BS602" i="18"/>
  <c r="BS351" i="18"/>
  <c r="BU83" i="18"/>
  <c r="BU84" i="18" s="1"/>
  <c r="BT418" i="18"/>
  <c r="BT78" i="18"/>
  <c r="BT81" i="18"/>
  <c r="BS44" i="77"/>
  <c r="BS238" i="18"/>
  <c r="BS12" i="18"/>
  <c r="BS22" i="77"/>
  <c r="BS268" i="18"/>
  <c r="BS19" i="77"/>
  <c r="BS14" i="18"/>
  <c r="BS205" i="18"/>
  <c r="BS225" i="18" s="1"/>
  <c r="BS265" i="18" s="1"/>
  <c r="BS30" i="77"/>
  <c r="BS112" i="77"/>
  <c r="BS20" i="77" l="1"/>
  <c r="BT419" i="18"/>
  <c r="BU418" i="18"/>
  <c r="DZ54" i="18"/>
  <c r="DZ56" i="18" s="1"/>
  <c r="BU81" i="18"/>
  <c r="BT82" i="18"/>
  <c r="BU82" i="18" s="1"/>
  <c r="BT156" i="18"/>
  <c r="BT14" i="77"/>
  <c r="BT396" i="18"/>
  <c r="BU396" i="18" s="1"/>
  <c r="BT460" i="18"/>
  <c r="BT249" i="18"/>
  <c r="BT279" i="18"/>
  <c r="BU78" i="18"/>
  <c r="BT59" i="18"/>
  <c r="BS236" i="18"/>
  <c r="BS16" i="18"/>
  <c r="BS10" i="19"/>
  <c r="BS167" i="19" s="1"/>
  <c r="BS230" i="18"/>
  <c r="BS113" i="77"/>
  <c r="BS229" i="18" l="1"/>
  <c r="BU14" i="77"/>
  <c r="BU460" i="18"/>
  <c r="BT420" i="18"/>
  <c r="BU419" i="18"/>
  <c r="BU420" i="18" s="1"/>
  <c r="BS231" i="18"/>
  <c r="BS13" i="19" s="1"/>
  <c r="BT15" i="77"/>
  <c r="BU15" i="77" s="1"/>
  <c r="BT94" i="77"/>
  <c r="BT95" i="77" s="1"/>
  <c r="BU95" i="77" s="1"/>
  <c r="BT45" i="77"/>
  <c r="BT31" i="77"/>
  <c r="BT114" i="77"/>
  <c r="BU249" i="18"/>
  <c r="BU59" i="18"/>
  <c r="BS9" i="19"/>
  <c r="BS156" i="16" s="1"/>
  <c r="BU156" i="18"/>
  <c r="BT157" i="18"/>
  <c r="BS235" i="18"/>
  <c r="BS232" i="18"/>
  <c r="BS402" i="18"/>
  <c r="BS466" i="18"/>
  <c r="BS17" i="18"/>
  <c r="BS21" i="77"/>
  <c r="BS49" i="77"/>
  <c r="BS34" i="77"/>
  <c r="BY161" i="19" l="1"/>
  <c r="BS132" i="16"/>
  <c r="BS94" i="16"/>
  <c r="BS16" i="16"/>
  <c r="BS140" i="16" s="1"/>
  <c r="BS13" i="16"/>
  <c r="BS138" i="16" s="1"/>
  <c r="BU157" i="18"/>
  <c r="BT339" i="18"/>
  <c r="BU339" i="18"/>
  <c r="BT182" i="18"/>
  <c r="BT590" i="18" s="1"/>
  <c r="BU590" i="18" s="1"/>
  <c r="BS21" i="18"/>
  <c r="BS9" i="77"/>
  <c r="BS35" i="77"/>
  <c r="BS25" i="77"/>
  <c r="BS110" i="77"/>
  <c r="BS471" i="18"/>
  <c r="BS468" i="18"/>
  <c r="BS60" i="19"/>
  <c r="BS12" i="77"/>
  <c r="BS18" i="19"/>
  <c r="BS135" i="19" s="1"/>
  <c r="BS136" i="19" s="1"/>
  <c r="BS17" i="19"/>
  <c r="BS133" i="19" s="1"/>
  <c r="BS134" i="19" s="1"/>
  <c r="BU114" i="77"/>
  <c r="BT116" i="77"/>
  <c r="BU116" i="77" s="1"/>
  <c r="BS12" i="19"/>
  <c r="BS50" i="77"/>
  <c r="BS39" i="77"/>
  <c r="BS407" i="18"/>
  <c r="BS404" i="18"/>
  <c r="BU31" i="77"/>
  <c r="BU32" i="77" s="1"/>
  <c r="BT33" i="77"/>
  <c r="BU253" i="18"/>
  <c r="BU45" i="77"/>
  <c r="BU46" i="77" s="1"/>
  <c r="BU47" i="77" s="1"/>
  <c r="BT48" i="77"/>
  <c r="BS14" i="16" l="1"/>
  <c r="BS139" i="16" s="1"/>
  <c r="BU96" i="77"/>
  <c r="BU94" i="77" s="1"/>
  <c r="BU115" i="77"/>
  <c r="BU182" i="18"/>
  <c r="BT430" i="18"/>
  <c r="BT467" i="18" s="1"/>
  <c r="BT366" i="18"/>
  <c r="BT403" i="18" s="1"/>
  <c r="BS143" i="19"/>
  <c r="BS144" i="19" s="1"/>
  <c r="BS63" i="19"/>
  <c r="BS92" i="19"/>
  <c r="BS72" i="19"/>
  <c r="BS29" i="17"/>
  <c r="BS61" i="19"/>
  <c r="BS46" i="19"/>
  <c r="BS470" i="18"/>
  <c r="BS469" i="18"/>
  <c r="BS16" i="19"/>
  <c r="BS111" i="77"/>
  <c r="BS20" i="17"/>
  <c r="BS26" i="77"/>
  <c r="BS27" i="77"/>
  <c r="BS28" i="77"/>
  <c r="BU33" i="77"/>
  <c r="BU48" i="77"/>
  <c r="BS405" i="18"/>
  <c r="BS406" i="18"/>
  <c r="BS64" i="77"/>
  <c r="BS56" i="77"/>
  <c r="BS100" i="77"/>
  <c r="BS10" i="77"/>
  <c r="BS106" i="77"/>
  <c r="BS63" i="77"/>
  <c r="BS40" i="77"/>
  <c r="BS55" i="77"/>
  <c r="BS41" i="77"/>
  <c r="BS42" i="77"/>
  <c r="BS89" i="77"/>
  <c r="BS62" i="19"/>
  <c r="BS141" i="19"/>
  <c r="BS142" i="19" s="1"/>
  <c r="BS88" i="19"/>
  <c r="BS19" i="19"/>
  <c r="BS27" i="16" s="1"/>
  <c r="BS148" i="16" s="1"/>
  <c r="BS71" i="19"/>
  <c r="BS18" i="17"/>
  <c r="BS19" i="17" l="1"/>
  <c r="BU195" i="18"/>
  <c r="BU430" i="18"/>
  <c r="BU366" i="18"/>
  <c r="BU403" i="18"/>
  <c r="BS64" i="19"/>
  <c r="BS91" i="77"/>
  <c r="BS90" i="77"/>
  <c r="BS92" i="77"/>
  <c r="BS107" i="77"/>
  <c r="BS108" i="77"/>
  <c r="BS109" i="77"/>
  <c r="BS50" i="19"/>
  <c r="BS51" i="19"/>
  <c r="BS84" i="19"/>
  <c r="BS87" i="19" s="1"/>
  <c r="BS120" i="19" s="1"/>
  <c r="BS131" i="19"/>
  <c r="BS145" i="19" s="1"/>
  <c r="BS20" i="19"/>
  <c r="BS157" i="16" s="1"/>
  <c r="BS159" i="16" s="1"/>
  <c r="BS160" i="16" s="1"/>
  <c r="BS161" i="16" s="1"/>
  <c r="BS96" i="19"/>
  <c r="BS122" i="19" s="1"/>
  <c r="BU467" i="18"/>
  <c r="BS137" i="19" l="1"/>
  <c r="BS138" i="19" s="1"/>
  <c r="BS133" i="16"/>
  <c r="BS135" i="16" s="1"/>
  <c r="BS136" i="16" s="1"/>
  <c r="BS137" i="16" s="1"/>
  <c r="BS56" i="16"/>
  <c r="BS55" i="19"/>
  <c r="BS65" i="19"/>
  <c r="BS54" i="19"/>
  <c r="BS97" i="19"/>
  <c r="BS23" i="17"/>
  <c r="BS132" i="19"/>
  <c r="BS91" i="19"/>
  <c r="BS121" i="19" s="1"/>
  <c r="BS156" i="19" l="1"/>
  <c r="BS146" i="19"/>
  <c r="BS147" i="19" s="1"/>
  <c r="BS103" i="19"/>
  <c r="BS123" i="19" s="1"/>
  <c r="BS157" i="19" l="1"/>
  <c r="BS173" i="19"/>
  <c r="BS164" i="19"/>
  <c r="BS158" i="19" l="1"/>
  <c r="BS165" i="19"/>
  <c r="BS66" i="19"/>
  <c r="BT134" i="18"/>
  <c r="BU134" i="18" s="1"/>
  <c r="BU133" i="18"/>
  <c r="BT154" i="18"/>
  <c r="BU135" i="18"/>
  <c r="BT153" i="18"/>
  <c r="BS166" i="19" l="1"/>
  <c r="BS56" i="19"/>
  <c r="BT126" i="18"/>
  <c r="BT112" i="18" s="1"/>
  <c r="BT43" i="18" s="1"/>
  <c r="BT257" i="18" s="1"/>
  <c r="BU153" i="18"/>
  <c r="BU337" i="18"/>
  <c r="BT337" i="18"/>
  <c r="BT180" i="18"/>
  <c r="BT588" i="18" s="1"/>
  <c r="BU588" i="18" s="1"/>
  <c r="BT398" i="18"/>
  <c r="BT462" i="18"/>
  <c r="BU154" i="18"/>
  <c r="BT155" i="18"/>
  <c r="BW361" i="18"/>
  <c r="BW423" i="18"/>
  <c r="BW413" i="18"/>
  <c r="BU152" i="18"/>
  <c r="BT169" i="18"/>
  <c r="BW414" i="18"/>
  <c r="BW371" i="18"/>
  <c r="BW433" i="18"/>
  <c r="BW74" i="18"/>
  <c r="BT131" i="18"/>
  <c r="BT285" i="18" l="1"/>
  <c r="BU126" i="18"/>
  <c r="BU112" i="18" s="1"/>
  <c r="BT255" i="18"/>
  <c r="BT256" i="18"/>
  <c r="BT9" i="18"/>
  <c r="BT18" i="77" s="1"/>
  <c r="BW288" i="18"/>
  <c r="BU169" i="18"/>
  <c r="BU180" i="18"/>
  <c r="BW72" i="18"/>
  <c r="BW69" i="18"/>
  <c r="BU462" i="18"/>
  <c r="BT448" i="18"/>
  <c r="BT384" i="18"/>
  <c r="BU338" i="18"/>
  <c r="BT338" i="18"/>
  <c r="BU155" i="18"/>
  <c r="BT181" i="18"/>
  <c r="BW428" i="18"/>
  <c r="BW424" i="18"/>
  <c r="BW422" i="18"/>
  <c r="BW426" i="18" s="1"/>
  <c r="BU398" i="18"/>
  <c r="BU384" i="18"/>
  <c r="BU448" i="18"/>
  <c r="BT60" i="18"/>
  <c r="BT130" i="18"/>
  <c r="BU131" i="18"/>
  <c r="DZ61" i="18"/>
  <c r="DZ62" i="18" s="1"/>
  <c r="BT132" i="18"/>
  <c r="BU132" i="18" s="1"/>
  <c r="BT166" i="18"/>
  <c r="BT113" i="18"/>
  <c r="BT114" i="18" s="1"/>
  <c r="BU114" i="18" s="1"/>
  <c r="BT137" i="18"/>
  <c r="BU137" i="18" s="1"/>
  <c r="BW438" i="18"/>
  <c r="BW434" i="18"/>
  <c r="BW432" i="18"/>
  <c r="BU181" i="18" l="1"/>
  <c r="BU194" i="18" s="1"/>
  <c r="BT589" i="18"/>
  <c r="BU255" i="18"/>
  <c r="BT237" i="18"/>
  <c r="BT13" i="77"/>
  <c r="BT16" i="77" s="1"/>
  <c r="BT10" i="18"/>
  <c r="BU9" i="18"/>
  <c r="BU18" i="77" s="1"/>
  <c r="BT267" i="18"/>
  <c r="BU193" i="18"/>
  <c r="BU166" i="18"/>
  <c r="BT167" i="18"/>
  <c r="BT171" i="18"/>
  <c r="BT170" i="18"/>
  <c r="BU385" i="18"/>
  <c r="BU390" i="18" s="1"/>
  <c r="BU449" i="18"/>
  <c r="BU454" i="18" s="1"/>
  <c r="BW415" i="18"/>
  <c r="EA53" i="18"/>
  <c r="BW73" i="18"/>
  <c r="ED168" i="18"/>
  <c r="BW437" i="18"/>
  <c r="BU258" i="18"/>
  <c r="BU60" i="18"/>
  <c r="BU259" i="18"/>
  <c r="BU113" i="18"/>
  <c r="BT172" i="18"/>
  <c r="BW431" i="18"/>
  <c r="BW450" i="18" s="1"/>
  <c r="BW429" i="18"/>
  <c r="BT449" i="18"/>
  <c r="BT454" i="18" s="1"/>
  <c r="BT385" i="18"/>
  <c r="BT390" i="18" s="1"/>
  <c r="BU130" i="18"/>
  <c r="BU589" i="18" l="1"/>
  <c r="BT61" i="18"/>
  <c r="BT138" i="18"/>
  <c r="BU237" i="18"/>
  <c r="BT392" i="18"/>
  <c r="BT391" i="18"/>
  <c r="BT393" i="18"/>
  <c r="BT455" i="18"/>
  <c r="BT457" i="18"/>
  <c r="BT456" i="18"/>
  <c r="BU393" i="18"/>
  <c r="BU391" i="18"/>
  <c r="BW416" i="18"/>
  <c r="BW417" i="18"/>
  <c r="BU167" i="18"/>
  <c r="BU168" i="18" s="1"/>
  <c r="BU344" i="18"/>
  <c r="BU345" i="18" s="1"/>
  <c r="BT344" i="18"/>
  <c r="BT187" i="18"/>
  <c r="BT17" i="77"/>
  <c r="BT29" i="77"/>
  <c r="BT43" i="77"/>
  <c r="BW441" i="18"/>
  <c r="BW451" i="18" s="1"/>
  <c r="BW439" i="18"/>
  <c r="BU171" i="18"/>
  <c r="BU170" i="18"/>
  <c r="BU172" i="18"/>
  <c r="BU457" i="18"/>
  <c r="BU455" i="18"/>
  <c r="BT595" i="18" l="1"/>
  <c r="BU595" i="18" s="1"/>
  <c r="BU61" i="18"/>
  <c r="BU187" i="18"/>
  <c r="BT174" i="18"/>
  <c r="BT243" i="18" s="1"/>
  <c r="BU456" i="18"/>
  <c r="BT345" i="18"/>
  <c r="BW461" i="18"/>
  <c r="BW397" i="18"/>
  <c r="BT30" i="77"/>
  <c r="BU29" i="77"/>
  <c r="BT112" i="77"/>
  <c r="BT44" i="77"/>
  <c r="BU43" i="77"/>
  <c r="BU348" i="18"/>
  <c r="BU346" i="18"/>
  <c r="BU463" i="18" s="1"/>
  <c r="BU392" i="18"/>
  <c r="BT596" i="18" l="1"/>
  <c r="BU596" i="18" s="1"/>
  <c r="BU599" i="18" s="1"/>
  <c r="BT175" i="18"/>
  <c r="BT604" i="18"/>
  <c r="BU399" i="18"/>
  <c r="BT353" i="18"/>
  <c r="BT354" i="18" s="1"/>
  <c r="ED353" i="18" s="1"/>
  <c r="BT291" i="18"/>
  <c r="BT260" i="18"/>
  <c r="BT261" i="18"/>
  <c r="BW83" i="18"/>
  <c r="BT201" i="18"/>
  <c r="BU200" i="18"/>
  <c r="BU174" i="18"/>
  <c r="BU173" i="18" s="1"/>
  <c r="BT346" i="18"/>
  <c r="BT347" i="18"/>
  <c r="BT348" i="18"/>
  <c r="BT113" i="77"/>
  <c r="BU112" i="77"/>
  <c r="BU597" i="18" l="1"/>
  <c r="BT597" i="18"/>
  <c r="BT599" i="18"/>
  <c r="EL590" i="18" s="1"/>
  <c r="BT598" i="18"/>
  <c r="BT605" i="18"/>
  <c r="ED201" i="18"/>
  <c r="ED205" i="18" s="1"/>
  <c r="BT602" i="18"/>
  <c r="BU175" i="18"/>
  <c r="BU604" i="18"/>
  <c r="BU605" i="18" s="1"/>
  <c r="EH322" i="18"/>
  <c r="BT464" i="18"/>
  <c r="BT400" i="18"/>
  <c r="BT463" i="18"/>
  <c r="BT399" i="18"/>
  <c r="BT351" i="18"/>
  <c r="BW78" i="18"/>
  <c r="BW418" i="18"/>
  <c r="BW81" i="18"/>
  <c r="BU353" i="18"/>
  <c r="BU354" i="18" s="1"/>
  <c r="BU355" i="18" s="1"/>
  <c r="BU260" i="18"/>
  <c r="BU602" i="18" s="1"/>
  <c r="BU261" i="18"/>
  <c r="BW419" i="18" l="1"/>
  <c r="BU351" i="18"/>
  <c r="EA54" i="18"/>
  <c r="EA56" i="18" s="1"/>
  <c r="BW396" i="18"/>
  <c r="BW82" i="18"/>
  <c r="BW14" i="77"/>
  <c r="BW460" i="18"/>
  <c r="BW249" i="18"/>
  <c r="BW279" i="18"/>
  <c r="BW59" i="18"/>
  <c r="BW420" i="18" l="1"/>
  <c r="BW15" i="77"/>
  <c r="BW114" i="77"/>
  <c r="BW94" i="77"/>
  <c r="BW95" i="77" s="1"/>
  <c r="BW31" i="77"/>
  <c r="BW45" i="77"/>
  <c r="BW48" i="77" l="1"/>
  <c r="BW33" i="77"/>
  <c r="BW116" i="77"/>
  <c r="BU85" i="19" l="1"/>
  <c r="BW134" i="18" l="1"/>
  <c r="BW131" i="18" l="1"/>
  <c r="BW126" i="18"/>
  <c r="BW255" i="18" l="1"/>
  <c r="BW285" i="18"/>
  <c r="EA61" i="18"/>
  <c r="BW137" i="18"/>
  <c r="BW132" i="18"/>
  <c r="BW166" i="18"/>
  <c r="BW130" i="18"/>
  <c r="BW167" i="18" l="1"/>
  <c r="BW344" i="18" l="1"/>
  <c r="BW187" i="18"/>
  <c r="BW595" i="18" l="1"/>
  <c r="BX126" i="18"/>
  <c r="BX255" i="18" l="1"/>
  <c r="BX285" i="18"/>
  <c r="BX131" i="18"/>
  <c r="EB61" i="18" l="1"/>
  <c r="BX130" i="18"/>
  <c r="BX132" i="18"/>
  <c r="BX166" i="18"/>
  <c r="BX137" i="18"/>
  <c r="BX167" i="18" l="1"/>
  <c r="BX344" i="18" l="1"/>
  <c r="BX187" i="18"/>
  <c r="BX595" i="18" l="1"/>
  <c r="BY131" i="18"/>
  <c r="BY126" i="18" l="1"/>
  <c r="BY255" i="18" s="1"/>
  <c r="BY132" i="18"/>
  <c r="EC61" i="18"/>
  <c r="BY130" i="18"/>
  <c r="BY137" i="18"/>
  <c r="BY166" i="18"/>
  <c r="BY285" i="18" l="1"/>
  <c r="BY167" i="18"/>
  <c r="BY344" i="18" l="1"/>
  <c r="BY187" i="18"/>
  <c r="BY595" i="18" l="1"/>
  <c r="CA133" i="18"/>
  <c r="CA135" i="18" l="1"/>
  <c r="BZ131" i="18" l="1"/>
  <c r="BZ126" i="18"/>
  <c r="BZ285" i="18" l="1"/>
  <c r="BZ255" i="18"/>
  <c r="CA126" i="18"/>
  <c r="ED61" i="18"/>
  <c r="BZ130" i="18"/>
  <c r="CA131" i="18"/>
  <c r="BZ132" i="18"/>
  <c r="CA132" i="18" s="1"/>
  <c r="BZ137" i="18"/>
  <c r="CA137" i="18" s="1"/>
  <c r="BZ166" i="18"/>
  <c r="CA255" i="18" l="1"/>
  <c r="CA130" i="18"/>
  <c r="CA166" i="18"/>
  <c r="BZ167" i="18"/>
  <c r="CA167" i="18" l="1"/>
  <c r="BZ344" i="18"/>
  <c r="CA344" i="18"/>
  <c r="BZ187" i="18"/>
  <c r="CA187" i="18" l="1"/>
  <c r="CA200" i="18" s="1"/>
  <c r="BZ595" i="18"/>
  <c r="CA595" i="18" s="1"/>
  <c r="CC126" i="18"/>
  <c r="CI255" i="18" s="1"/>
  <c r="CC255" i="18" l="1"/>
  <c r="CC285" i="18"/>
  <c r="CC131" i="18"/>
  <c r="EE61" i="18" l="1"/>
  <c r="CC137" i="18"/>
  <c r="CC130" i="18"/>
  <c r="CC132" i="18"/>
  <c r="CC166" i="18"/>
  <c r="CC167" i="18" l="1"/>
  <c r="CC344" i="18" l="1"/>
  <c r="CC187" i="18"/>
  <c r="CC595" i="18" s="1"/>
  <c r="CD131" i="18" l="1"/>
  <c r="CD126" i="18" l="1"/>
  <c r="CD130" i="18"/>
  <c r="CD132" i="18"/>
  <c r="EF61" i="18"/>
  <c r="CD137" i="18"/>
  <c r="CD166" i="18"/>
  <c r="CD255" i="18" l="1"/>
  <c r="CJ255" i="18"/>
  <c r="CD285" i="18"/>
  <c r="CD167" i="18"/>
  <c r="CD344" i="18" l="1"/>
  <c r="CD187" i="18"/>
  <c r="CD595" i="18" s="1"/>
  <c r="CE131" i="18" l="1"/>
  <c r="CE137" i="18" l="1"/>
  <c r="CE130" i="18"/>
  <c r="EG61" i="18"/>
  <c r="CE132" i="18"/>
  <c r="CE126" i="18"/>
  <c r="CK255" i="18" s="1"/>
  <c r="CE166" i="18"/>
  <c r="CE285" i="18" l="1"/>
  <c r="CE255" i="18"/>
  <c r="CE167" i="18"/>
  <c r="CE344" i="18" l="1"/>
  <c r="CE187" i="18"/>
  <c r="CE595" i="18" s="1"/>
  <c r="CG135" i="18" l="1"/>
  <c r="CF126" i="18" l="1"/>
  <c r="CF131" i="18"/>
  <c r="CG131" i="18" l="1"/>
  <c r="CF255" i="18"/>
  <c r="CI285" i="18"/>
  <c r="CL255" i="18"/>
  <c r="CF132" i="18"/>
  <c r="CG132" i="18" s="1"/>
  <c r="CI132" i="18" s="1"/>
  <c r="CJ132" i="18" s="1"/>
  <c r="CK132" i="18" s="1"/>
  <c r="CL132" i="18" s="1"/>
  <c r="CM132" i="18" s="1"/>
  <c r="CO132" i="18" s="1"/>
  <c r="CP132" i="18" s="1"/>
  <c r="CQ132" i="18" s="1"/>
  <c r="CR132" i="18" s="1"/>
  <c r="CS132" i="18" s="1"/>
  <c r="CF285" i="18"/>
  <c r="CG126" i="18"/>
  <c r="CF130" i="18"/>
  <c r="EH61" i="18"/>
  <c r="CF137" i="18"/>
  <c r="CG137" i="18" s="1"/>
  <c r="CF166" i="18"/>
  <c r="CI166" i="18" l="1"/>
  <c r="CG255" i="18"/>
  <c r="CM255" i="18"/>
  <c r="CG130" i="18"/>
  <c r="CI137" i="18" s="1"/>
  <c r="CI130" i="18"/>
  <c r="CG166" i="18"/>
  <c r="CF167" i="18"/>
  <c r="CJ166" i="18" l="1"/>
  <c r="CJ130" i="18"/>
  <c r="CJ137" i="18"/>
  <c r="CI167" i="18"/>
  <c r="CF344" i="18"/>
  <c r="CG344" i="18"/>
  <c r="CG167" i="18"/>
  <c r="CF187" i="18"/>
  <c r="BW123" i="18"/>
  <c r="BW154" i="18"/>
  <c r="BW155" i="18" s="1"/>
  <c r="CI344" i="18" l="1"/>
  <c r="CI187" i="18"/>
  <c r="CK130" i="18"/>
  <c r="CK137" i="18"/>
  <c r="CK166" i="18"/>
  <c r="CK167" i="18" s="1"/>
  <c r="CJ167" i="18"/>
  <c r="CG187" i="18"/>
  <c r="CG200" i="18" s="1"/>
  <c r="CF595" i="18"/>
  <c r="CG595" i="18" s="1"/>
  <c r="BW338" i="18"/>
  <c r="BW181" i="18"/>
  <c r="BW589" i="18" s="1"/>
  <c r="CL130" i="18" l="1"/>
  <c r="CL137" i="18"/>
  <c r="CM137" i="18" s="1"/>
  <c r="CI595" i="18"/>
  <c r="CJ344" i="18"/>
  <c r="CJ187" i="18"/>
  <c r="CJ595" i="18" s="1"/>
  <c r="CK344" i="18"/>
  <c r="CK187" i="18"/>
  <c r="CK595" i="18" s="1"/>
  <c r="CL166" i="18"/>
  <c r="BW385" i="18"/>
  <c r="BW449" i="18"/>
  <c r="BW152" i="18"/>
  <c r="CM166" i="18" l="1"/>
  <c r="CO166" i="18"/>
  <c r="CM130" i="18"/>
  <c r="CO137" i="18" s="1"/>
  <c r="CO130" i="18"/>
  <c r="CL167" i="18"/>
  <c r="BW120" i="18"/>
  <c r="BW115" i="18"/>
  <c r="BX413" i="18"/>
  <c r="BX134" i="18"/>
  <c r="BX423" i="18"/>
  <c r="BW156" i="18"/>
  <c r="BW158" i="18"/>
  <c r="BX433" i="18"/>
  <c r="BX74" i="18"/>
  <c r="BW462" i="18"/>
  <c r="BW398" i="18"/>
  <c r="BW153" i="18"/>
  <c r="CP130" i="18" l="1"/>
  <c r="CP137" i="18"/>
  <c r="CP166" i="18"/>
  <c r="CP167" i="18" s="1"/>
  <c r="CO167" i="18"/>
  <c r="CL344" i="18"/>
  <c r="CL187" i="18"/>
  <c r="CM344" i="18"/>
  <c r="CM167" i="18"/>
  <c r="BW157" i="18"/>
  <c r="BW169" i="18"/>
  <c r="BW337" i="18"/>
  <c r="BW180" i="18"/>
  <c r="BW588" i="18" s="1"/>
  <c r="BW112" i="18"/>
  <c r="BW43" i="18" s="1"/>
  <c r="BX434" i="18"/>
  <c r="BX438" i="18"/>
  <c r="BX432" i="18"/>
  <c r="BX428" i="18"/>
  <c r="BX424" i="18"/>
  <c r="BX422" i="18"/>
  <c r="BX426" i="18" s="1"/>
  <c r="BX361" i="18"/>
  <c r="BW60" i="18"/>
  <c r="EA60" i="18"/>
  <c r="EA62" i="18" s="1"/>
  <c r="BW119" i="18"/>
  <c r="BW121" i="18"/>
  <c r="BW164" i="18"/>
  <c r="BW113" i="18"/>
  <c r="BW114" i="18" s="1"/>
  <c r="BW159" i="18"/>
  <c r="BX371" i="18"/>
  <c r="BX72" i="18"/>
  <c r="BX69" i="18"/>
  <c r="BX414" i="18"/>
  <c r="CP344" i="18" l="1"/>
  <c r="CP187" i="18"/>
  <c r="CP595" i="18" s="1"/>
  <c r="CO344" i="18"/>
  <c r="CO187" i="18"/>
  <c r="CQ166" i="18"/>
  <c r="CQ130" i="18"/>
  <c r="CQ137" i="18"/>
  <c r="CL595" i="18"/>
  <c r="CM187" i="18"/>
  <c r="CM200" i="18" s="1"/>
  <c r="BW384" i="18"/>
  <c r="BW390" i="18" s="1"/>
  <c r="BW448" i="18"/>
  <c r="BW454" i="18" s="1"/>
  <c r="BW165" i="18"/>
  <c r="BX429" i="18"/>
  <c r="BX431" i="18"/>
  <c r="BX450" i="18" s="1"/>
  <c r="BW339" i="18"/>
  <c r="BW182" i="18"/>
  <c r="BW590" i="18" s="1"/>
  <c r="BW172" i="18"/>
  <c r="EE168" i="18"/>
  <c r="EB53" i="18"/>
  <c r="BX415" i="18"/>
  <c r="BX73" i="18"/>
  <c r="BX288" i="18"/>
  <c r="BW256" i="18"/>
  <c r="BW257" i="18"/>
  <c r="BW9" i="18"/>
  <c r="BW340" i="18"/>
  <c r="BW183" i="18"/>
  <c r="BW591" i="18" s="1"/>
  <c r="BX437" i="18"/>
  <c r="BW170" i="18"/>
  <c r="BW171" i="18"/>
  <c r="CR166" i="18" l="1"/>
  <c r="CS166" i="18" s="1"/>
  <c r="CO595" i="18"/>
  <c r="CR130" i="18"/>
  <c r="CS130" i="18" s="1"/>
  <c r="CR137" i="18"/>
  <c r="CS137" i="18" s="1"/>
  <c r="CQ167" i="18"/>
  <c r="CM595" i="18"/>
  <c r="BW61" i="18"/>
  <c r="BW138" i="18"/>
  <c r="BW237" i="18"/>
  <c r="BW267" i="18"/>
  <c r="BW10" i="18"/>
  <c r="BW18" i="77"/>
  <c r="BW13" i="77"/>
  <c r="BX416" i="18"/>
  <c r="BX417" i="18"/>
  <c r="BW393" i="18"/>
  <c r="BW392" i="18"/>
  <c r="BW391" i="18"/>
  <c r="BW455" i="18"/>
  <c r="BW457" i="18"/>
  <c r="BW456" i="18"/>
  <c r="BX441" i="18"/>
  <c r="BX451" i="18" s="1"/>
  <c r="BX439" i="18"/>
  <c r="BW430" i="18"/>
  <c r="BW366" i="18"/>
  <c r="BW343" i="18"/>
  <c r="BW345" i="18" s="1"/>
  <c r="BW186" i="18"/>
  <c r="BW594" i="18" s="1"/>
  <c r="BW440" i="18"/>
  <c r="BW376" i="18"/>
  <c r="CR167" i="18" l="1"/>
  <c r="CS167" i="18" s="1"/>
  <c r="CQ344" i="18"/>
  <c r="CQ187" i="18"/>
  <c r="BW596" i="18"/>
  <c r="BW598" i="18" s="1"/>
  <c r="BW16" i="77"/>
  <c r="BW346" i="18"/>
  <c r="BW399" i="18" s="1"/>
  <c r="BW348" i="18"/>
  <c r="BW347" i="18"/>
  <c r="EI322" i="18" s="1"/>
  <c r="BX461" i="18"/>
  <c r="BX397" i="18"/>
  <c r="BW174" i="18"/>
  <c r="BW403" i="18"/>
  <c r="BW467" i="18"/>
  <c r="CS344" i="18" l="1"/>
  <c r="CQ595" i="18"/>
  <c r="CR344" i="18"/>
  <c r="CR187" i="18"/>
  <c r="CR595" i="18" s="1"/>
  <c r="BW599" i="18"/>
  <c r="EM590" i="18" s="1"/>
  <c r="BW597" i="18"/>
  <c r="BW175" i="18"/>
  <c r="BW604" i="18"/>
  <c r="BW605" i="18" s="1"/>
  <c r="BW464" i="18"/>
  <c r="BW400" i="18"/>
  <c r="BW291" i="18"/>
  <c r="BW353" i="18"/>
  <c r="BW354" i="18" s="1"/>
  <c r="EE353" i="18" s="1"/>
  <c r="BW260" i="18"/>
  <c r="BW261" i="18"/>
  <c r="BX83" i="18"/>
  <c r="BW11" i="18"/>
  <c r="BW201" i="18"/>
  <c r="BW463" i="18"/>
  <c r="BW17" i="77"/>
  <c r="BW29" i="77"/>
  <c r="BW43" i="77"/>
  <c r="CS187" i="18" l="1"/>
  <c r="CS595" i="18"/>
  <c r="EE201" i="18"/>
  <c r="EE205" i="18" s="1"/>
  <c r="BW602" i="18"/>
  <c r="BX418" i="18"/>
  <c r="BX78" i="18"/>
  <c r="BX81" i="18"/>
  <c r="BW44" i="77"/>
  <c r="BW351" i="18"/>
  <c r="BW30" i="77"/>
  <c r="BW112" i="77"/>
  <c r="BW22" i="77"/>
  <c r="BW12" i="18"/>
  <c r="BW238" i="18"/>
  <c r="BW19" i="77"/>
  <c r="BW14" i="18"/>
  <c r="BW205" i="18"/>
  <c r="CS200" i="18" l="1"/>
  <c r="BW236" i="18"/>
  <c r="BW10" i="19"/>
  <c r="BW230" i="18"/>
  <c r="BW113" i="77"/>
  <c r="BW20" i="77"/>
  <c r="BX249" i="18"/>
  <c r="BX279" i="18"/>
  <c r="BX59" i="18"/>
  <c r="EB54" i="18"/>
  <c r="EB56" i="18" s="1"/>
  <c r="BX396" i="18"/>
  <c r="BX82" i="18"/>
  <c r="BX14" i="77"/>
  <c r="BX460" i="18"/>
  <c r="BX419" i="18"/>
  <c r="BW231" i="18" l="1"/>
  <c r="BW13" i="19" s="1"/>
  <c r="BX15" i="77"/>
  <c r="BX94" i="77"/>
  <c r="BX95" i="77" s="1"/>
  <c r="BX114" i="77"/>
  <c r="BX45" i="77"/>
  <c r="BX31" i="77"/>
  <c r="BX420" i="18"/>
  <c r="BW21" i="77"/>
  <c r="BW49" i="77"/>
  <c r="BW34" i="77"/>
  <c r="BX48" i="77" l="1"/>
  <c r="BX116" i="77"/>
  <c r="BW50" i="77"/>
  <c r="BW39" i="77"/>
  <c r="BW35" i="77"/>
  <c r="BW25" i="77"/>
  <c r="BW110" i="77"/>
  <c r="BX33" i="77"/>
  <c r="BW111" i="77" l="1"/>
  <c r="BW40" i="77"/>
  <c r="BW63" i="77"/>
  <c r="BW55" i="77"/>
  <c r="BW42" i="77"/>
  <c r="BW89" i="77"/>
  <c r="BW26" i="77"/>
  <c r="BW28" i="77"/>
  <c r="BW91" i="77" l="1"/>
  <c r="BW90" i="77"/>
  <c r="BW92" i="77"/>
  <c r="BX123" i="18" l="1"/>
  <c r="BX154" i="18"/>
  <c r="BX155" i="18" s="1"/>
  <c r="BX338" i="18" l="1"/>
  <c r="BX181" i="18"/>
  <c r="BX589" i="18" s="1"/>
  <c r="BX449" i="18" l="1"/>
  <c r="BX385" i="18"/>
  <c r="BX152" i="18"/>
  <c r="BX156" i="18" s="1"/>
  <c r="BX153" i="18" l="1"/>
  <c r="BY74" i="18"/>
  <c r="BY69" i="18" s="1"/>
  <c r="BX157" i="18"/>
  <c r="BY134" i="18"/>
  <c r="BX158" i="18"/>
  <c r="BY361" i="18" s="1"/>
  <c r="BX462" i="18"/>
  <c r="BX398" i="18"/>
  <c r="BY433" i="18"/>
  <c r="BY423" i="18"/>
  <c r="BY413" i="18"/>
  <c r="BX120" i="18"/>
  <c r="BX115" i="18"/>
  <c r="BX337" i="18" l="1"/>
  <c r="BX448" i="18" s="1"/>
  <c r="BX454" i="18" s="1"/>
  <c r="BY72" i="18"/>
  <c r="BY73" i="18" s="1"/>
  <c r="BX180" i="18"/>
  <c r="BX339" i="18"/>
  <c r="BX182" i="18"/>
  <c r="BX590" i="18" s="1"/>
  <c r="BX159" i="18"/>
  <c r="BY414" i="18"/>
  <c r="BX112" i="18"/>
  <c r="BX43" i="18" s="1"/>
  <c r="EB60" i="18"/>
  <c r="EB62" i="18" s="1"/>
  <c r="BX119" i="18"/>
  <c r="BX121" i="18"/>
  <c r="BX60" i="18"/>
  <c r="BX164" i="18"/>
  <c r="BX170" i="18" s="1"/>
  <c r="BX113" i="18"/>
  <c r="BX114" i="18" s="1"/>
  <c r="BY428" i="18"/>
  <c r="BY424" i="18"/>
  <c r="BY422" i="18"/>
  <c r="BY426" i="18" s="1"/>
  <c r="BY371" i="18"/>
  <c r="BY432" i="18"/>
  <c r="BY438" i="18"/>
  <c r="BY434" i="18"/>
  <c r="BX169" i="18"/>
  <c r="BX588" i="18" l="1"/>
  <c r="BX384" i="18"/>
  <c r="BX390" i="18" s="1"/>
  <c r="BX393" i="18" s="1"/>
  <c r="EC53" i="18"/>
  <c r="BY415" i="18"/>
  <c r="BY417" i="18" s="1"/>
  <c r="BY397" i="18" s="1"/>
  <c r="BX171" i="18"/>
  <c r="BY431" i="18"/>
  <c r="BY450" i="18" s="1"/>
  <c r="BY429" i="18"/>
  <c r="BX165" i="18"/>
  <c r="BX366" i="18"/>
  <c r="BX430" i="18"/>
  <c r="BX456" i="18"/>
  <c r="BX457" i="18"/>
  <c r="BX455" i="18"/>
  <c r="BX340" i="18"/>
  <c r="BX183" i="18"/>
  <c r="BX591" i="18" s="1"/>
  <c r="EF168" i="18"/>
  <c r="BX172" i="18"/>
  <c r="BY437" i="18"/>
  <c r="BX257" i="18"/>
  <c r="BY288" i="18"/>
  <c r="BX256" i="18"/>
  <c r="BX9" i="18"/>
  <c r="BX392" i="18" l="1"/>
  <c r="BX391" i="18"/>
  <c r="BX61" i="18"/>
  <c r="BX138" i="18"/>
  <c r="BY416" i="18"/>
  <c r="BX376" i="18"/>
  <c r="BX403" i="18" s="1"/>
  <c r="BX440" i="18"/>
  <c r="BX467" i="18" s="1"/>
  <c r="BY441" i="18"/>
  <c r="BY451" i="18" s="1"/>
  <c r="BY439" i="18"/>
  <c r="BY461" i="18"/>
  <c r="BX343" i="18"/>
  <c r="BX345" i="18" s="1"/>
  <c r="BX186" i="18"/>
  <c r="BX594" i="18" s="1"/>
  <c r="BX237" i="18"/>
  <c r="BX10" i="18"/>
  <c r="BX267" i="18"/>
  <c r="BX18" i="77"/>
  <c r="BX13" i="77"/>
  <c r="BX596" i="18" l="1"/>
  <c r="BX598" i="18" s="1"/>
  <c r="BX346" i="18"/>
  <c r="BX347" i="18"/>
  <c r="BX348" i="18"/>
  <c r="BX174" i="18"/>
  <c r="BX243" i="18" s="1"/>
  <c r="BX472" i="18"/>
  <c r="BX16" i="77"/>
  <c r="BX408" i="18"/>
  <c r="BX599" i="18" l="1"/>
  <c r="EN590" i="18" s="1"/>
  <c r="BX597" i="18"/>
  <c r="BX175" i="18"/>
  <c r="BX604" i="18"/>
  <c r="BX605" i="18" s="1"/>
  <c r="BX260" i="18"/>
  <c r="BX353" i="18"/>
  <c r="BX354" i="18" s="1"/>
  <c r="EF353" i="18" s="1"/>
  <c r="BX261" i="18"/>
  <c r="BX291" i="18"/>
  <c r="BY83" i="18"/>
  <c r="BX11" i="18"/>
  <c r="BX201" i="18"/>
  <c r="BX17" i="77"/>
  <c r="BX29" i="77"/>
  <c r="BX43" i="77"/>
  <c r="EJ322" i="18"/>
  <c r="BX400" i="18"/>
  <c r="BX464" i="18"/>
  <c r="BX463" i="18"/>
  <c r="BX399" i="18"/>
  <c r="EF201" i="18" l="1"/>
  <c r="EF205" i="18" s="1"/>
  <c r="BX602" i="18"/>
  <c r="BY78" i="18"/>
  <c r="BY418" i="18"/>
  <c r="BY81" i="18"/>
  <c r="BX238" i="18"/>
  <c r="BX22" i="77"/>
  <c r="BX12" i="18"/>
  <c r="BX268" i="18"/>
  <c r="BX19" i="77"/>
  <c r="BX14" i="18"/>
  <c r="BX44" i="77"/>
  <c r="BX30" i="77"/>
  <c r="BX112" i="77"/>
  <c r="BX205" i="18"/>
  <c r="BX225" i="18" s="1"/>
  <c r="BX351" i="18"/>
  <c r="EC54" i="18" l="1"/>
  <c r="EC56" i="18" s="1"/>
  <c r="BY82" i="18"/>
  <c r="BY14" i="77"/>
  <c r="BY396" i="18"/>
  <c r="BY460" i="18"/>
  <c r="BY419" i="18"/>
  <c r="BX113" i="77"/>
  <c r="BY279" i="18"/>
  <c r="BY249" i="18"/>
  <c r="BY59" i="18"/>
  <c r="BX236" i="18"/>
  <c r="BX10" i="19"/>
  <c r="BX167" i="19" s="1"/>
  <c r="BX16" i="18"/>
  <c r="BX230" i="18"/>
  <c r="BX20" i="77"/>
  <c r="BX231" i="18" l="1"/>
  <c r="BX13" i="19" s="1"/>
  <c r="BY15" i="77"/>
  <c r="BY114" i="77"/>
  <c r="BY94" i="77"/>
  <c r="BY95" i="77" s="1"/>
  <c r="BY31" i="77"/>
  <c r="BY45" i="77"/>
  <c r="BX9" i="19"/>
  <c r="BX156" i="16" s="1"/>
  <c r="BX232" i="18"/>
  <c r="BX235" i="18"/>
  <c r="BX402" i="18"/>
  <c r="BX466" i="18"/>
  <c r="BX17" i="18"/>
  <c r="BX21" i="77"/>
  <c r="BX49" i="77"/>
  <c r="BX34" i="77"/>
  <c r="BX229" i="18"/>
  <c r="BY420" i="18"/>
  <c r="CD161" i="19" l="1"/>
  <c r="BX132" i="16"/>
  <c r="BX13" i="16"/>
  <c r="BX138" i="16" s="1"/>
  <c r="BX94" i="16"/>
  <c r="BX16" i="16"/>
  <c r="BX140" i="16" s="1"/>
  <c r="BX471" i="18"/>
  <c r="BX468" i="18"/>
  <c r="BX50" i="77"/>
  <c r="BX39" i="77"/>
  <c r="BX407" i="18"/>
  <c r="BX404" i="18"/>
  <c r="BX60" i="19"/>
  <c r="BX18" i="19"/>
  <c r="BX135" i="19" s="1"/>
  <c r="BX136" i="19" s="1"/>
  <c r="BX17" i="19"/>
  <c r="BX133" i="19" s="1"/>
  <c r="BX134" i="19" s="1"/>
  <c r="BX12" i="77"/>
  <c r="BY48" i="77"/>
  <c r="BY33" i="77"/>
  <c r="BX12" i="19"/>
  <c r="BX21" i="18"/>
  <c r="BX9" i="77"/>
  <c r="BX35" i="77"/>
  <c r="BX25" i="77"/>
  <c r="BX110" i="77"/>
  <c r="BY116" i="77"/>
  <c r="BX14" i="16" l="1"/>
  <c r="BX139" i="16" s="1"/>
  <c r="BX26" i="77"/>
  <c r="BX27" i="77"/>
  <c r="BX28" i="77"/>
  <c r="BX55" i="77"/>
  <c r="BX41" i="77"/>
  <c r="BX63" i="77"/>
  <c r="BX40" i="77"/>
  <c r="BX42" i="77"/>
  <c r="BX89" i="77"/>
  <c r="BX29" i="17"/>
  <c r="BX56" i="77"/>
  <c r="BX100" i="77"/>
  <c r="BX10" i="77"/>
  <c r="BX64" i="77"/>
  <c r="BX106" i="77"/>
  <c r="BX469" i="18"/>
  <c r="BX470" i="18"/>
  <c r="BX46" i="19"/>
  <c r="BX61" i="19"/>
  <c r="BX16" i="19"/>
  <c r="BX405" i="18"/>
  <c r="BX406" i="18"/>
  <c r="BX88" i="19"/>
  <c r="BX62" i="19"/>
  <c r="BX141" i="19"/>
  <c r="BX142" i="19" s="1"/>
  <c r="BX19" i="19"/>
  <c r="BX27" i="16" s="1"/>
  <c r="BX148" i="16" s="1"/>
  <c r="BX71" i="19"/>
  <c r="BX143" i="19"/>
  <c r="BX144" i="19" s="1"/>
  <c r="BX92" i="19"/>
  <c r="BX63" i="19"/>
  <c r="BX72" i="19"/>
  <c r="BX111" i="77"/>
  <c r="BX64" i="19" l="1"/>
  <c r="BX84" i="19"/>
  <c r="BX87" i="19" s="1"/>
  <c r="BX120" i="19" s="1"/>
  <c r="BX51" i="19"/>
  <c r="BX50" i="19"/>
  <c r="BX131" i="19"/>
  <c r="BX145" i="19" s="1"/>
  <c r="BX20" i="19"/>
  <c r="BX157" i="16" s="1"/>
  <c r="BX159" i="16" s="1"/>
  <c r="BX160" i="16" s="1"/>
  <c r="BX161" i="16" s="1"/>
  <c r="BX91" i="19"/>
  <c r="BX121" i="19" s="1"/>
  <c r="BX91" i="77"/>
  <c r="BX90" i="77"/>
  <c r="BX92" i="77"/>
  <c r="BX96" i="19"/>
  <c r="BX122" i="19" s="1"/>
  <c r="BX107" i="77"/>
  <c r="BX108" i="77"/>
  <c r="BX109" i="77"/>
  <c r="BX137" i="19" l="1"/>
  <c r="BX156" i="19" s="1"/>
  <c r="BX133" i="16"/>
  <c r="BX56" i="16"/>
  <c r="BX55" i="19"/>
  <c r="BX146" i="19"/>
  <c r="BX65" i="19"/>
  <c r="BX54" i="19"/>
  <c r="BX97" i="19"/>
  <c r="BX103" i="19" s="1"/>
  <c r="BX123" i="19" s="1"/>
  <c r="BX132" i="19"/>
  <c r="BX138" i="19" l="1"/>
  <c r="BX147" i="19" s="1"/>
  <c r="BX135" i="16"/>
  <c r="BX136" i="16" s="1"/>
  <c r="BX137" i="16" s="1"/>
  <c r="BX164" i="19"/>
  <c r="BX157" i="19"/>
  <c r="BX158" i="19" l="1"/>
  <c r="BX165" i="19"/>
  <c r="BX66" i="19"/>
  <c r="BX166" i="19" l="1"/>
  <c r="BX56" i="19"/>
  <c r="BY123" i="18"/>
  <c r="BY154" i="18"/>
  <c r="BY155" i="18" s="1"/>
  <c r="BY338" i="18" l="1"/>
  <c r="BY181" i="18"/>
  <c r="BY589" i="18" s="1"/>
  <c r="BY385" i="18" l="1"/>
  <c r="BY449" i="18"/>
  <c r="BY152" i="18"/>
  <c r="BZ433" i="18" s="1"/>
  <c r="BY115" i="18"/>
  <c r="BZ423" i="18" l="1"/>
  <c r="BZ424" i="18" s="1"/>
  <c r="CA424" i="18" s="1"/>
  <c r="BZ413" i="18"/>
  <c r="CA413" i="18" s="1"/>
  <c r="BY153" i="18"/>
  <c r="BZ74" i="18"/>
  <c r="CA433" i="18"/>
  <c r="BZ434" i="18"/>
  <c r="CA434" i="18" s="1"/>
  <c r="BZ438" i="18"/>
  <c r="CA438" i="18" s="1"/>
  <c r="BZ432" i="18"/>
  <c r="BY120" i="18"/>
  <c r="BY112" i="18"/>
  <c r="BY43" i="18" s="1"/>
  <c r="BY156" i="18"/>
  <c r="BZ134" i="18"/>
  <c r="CA134" i="18" s="1"/>
  <c r="BY158" i="18"/>
  <c r="BY398" i="18"/>
  <c r="BY462" i="18"/>
  <c r="BY180" i="18" l="1"/>
  <c r="BZ428" i="18"/>
  <c r="CA428" i="18" s="1"/>
  <c r="BZ422" i="18"/>
  <c r="CA422" i="18" s="1"/>
  <c r="CA426" i="18" s="1"/>
  <c r="CA423" i="18"/>
  <c r="BY337" i="18"/>
  <c r="BY384" i="18" s="1"/>
  <c r="BY390" i="18" s="1"/>
  <c r="BZ72" i="18"/>
  <c r="BZ69" i="18"/>
  <c r="CA74" i="18"/>
  <c r="BY159" i="18"/>
  <c r="BY169" i="18"/>
  <c r="BY157" i="18"/>
  <c r="BZ361" i="18"/>
  <c r="CA361" i="18" s="1"/>
  <c r="BZ371" i="18"/>
  <c r="BY119" i="18"/>
  <c r="EC60" i="18"/>
  <c r="EC62" i="18" s="1"/>
  <c r="BY60" i="18"/>
  <c r="BY121" i="18"/>
  <c r="BY113" i="18"/>
  <c r="BY114" i="18" s="1"/>
  <c r="BY164" i="18"/>
  <c r="BY171" i="18" s="1"/>
  <c r="BZ414" i="18"/>
  <c r="CA414" i="18" s="1"/>
  <c r="BZ288" i="18"/>
  <c r="BY256" i="18"/>
  <c r="BY257" i="18"/>
  <c r="BY9" i="18"/>
  <c r="CA432" i="18"/>
  <c r="BZ437" i="18"/>
  <c r="BY588" i="18" l="1"/>
  <c r="BZ426" i="18"/>
  <c r="BZ431" i="18" s="1"/>
  <c r="BZ450" i="18" s="1"/>
  <c r="BY448" i="18"/>
  <c r="BY454" i="18" s="1"/>
  <c r="BY455" i="18" s="1"/>
  <c r="CA69" i="18"/>
  <c r="BZ415" i="18"/>
  <c r="CA72" i="18"/>
  <c r="ED53" i="18"/>
  <c r="BZ73" i="18"/>
  <c r="CA73" i="18" s="1"/>
  <c r="CA437" i="18"/>
  <c r="BY391" i="18"/>
  <c r="BY392" i="18"/>
  <c r="BY393" i="18"/>
  <c r="BY172" i="18"/>
  <c r="EG168" i="18"/>
  <c r="BY339" i="18"/>
  <c r="BY182" i="18"/>
  <c r="BY590" i="18" s="1"/>
  <c r="BY165" i="18"/>
  <c r="BY340" i="18"/>
  <c r="BY183" i="18"/>
  <c r="BY591" i="18" s="1"/>
  <c r="BY10" i="18"/>
  <c r="BY237" i="18"/>
  <c r="BY267" i="18"/>
  <c r="BY18" i="77"/>
  <c r="BY13" i="77"/>
  <c r="CA371" i="18"/>
  <c r="BZ441" i="18"/>
  <c r="BZ451" i="18" s="1"/>
  <c r="CA441" i="18"/>
  <c r="CA451" i="18" s="1"/>
  <c r="BZ439" i="18"/>
  <c r="CA439" i="18" s="1"/>
  <c r="BY170" i="18"/>
  <c r="BZ429" i="18" l="1"/>
  <c r="CA429" i="18" s="1"/>
  <c r="CA431" i="18"/>
  <c r="CA450" i="18" s="1"/>
  <c r="BY61" i="18"/>
  <c r="BY138" i="18"/>
  <c r="BY456" i="18"/>
  <c r="BY457" i="18"/>
  <c r="BZ416" i="18"/>
  <c r="CA416" i="18" s="1"/>
  <c r="CA415" i="18"/>
  <c r="BZ417" i="18"/>
  <c r="BY16" i="77"/>
  <c r="BY440" i="18"/>
  <c r="BY376" i="18"/>
  <c r="BY343" i="18"/>
  <c r="BY345" i="18" s="1"/>
  <c r="BY186" i="18"/>
  <c r="BY594" i="18" s="1"/>
  <c r="BY430" i="18"/>
  <c r="BY366" i="18"/>
  <c r="BY596" i="18" l="1"/>
  <c r="BY599" i="18" s="1"/>
  <c r="EO590" i="18" s="1"/>
  <c r="BZ397" i="18"/>
  <c r="BZ461" i="18"/>
  <c r="CA417" i="18"/>
  <c r="BY403" i="18"/>
  <c r="BY408" i="18" s="1"/>
  <c r="BY348" i="18"/>
  <c r="BY346" i="18"/>
  <c r="BY347" i="18"/>
  <c r="BY467" i="18"/>
  <c r="BY17" i="77"/>
  <c r="BY43" i="77"/>
  <c r="BY29" i="77"/>
  <c r="BY174" i="18"/>
  <c r="BY243" i="18" s="1"/>
  <c r="BY598" i="18" l="1"/>
  <c r="BY597" i="18"/>
  <c r="BY175" i="18"/>
  <c r="BY604" i="18"/>
  <c r="BY605" i="18" s="1"/>
  <c r="CA461" i="18"/>
  <c r="CA397" i="18"/>
  <c r="BY44" i="77"/>
  <c r="BY30" i="77"/>
  <c r="BY112" i="77"/>
  <c r="BY472" i="18"/>
  <c r="EK322" i="18"/>
  <c r="BY464" i="18"/>
  <c r="BY400" i="18"/>
  <c r="BY463" i="18"/>
  <c r="BY399" i="18"/>
  <c r="BY260" i="18"/>
  <c r="BY353" i="18"/>
  <c r="BY354" i="18" s="1"/>
  <c r="EG353" i="18" s="1"/>
  <c r="BY291" i="18"/>
  <c r="BY261" i="18"/>
  <c r="BY11" i="18"/>
  <c r="BZ83" i="18"/>
  <c r="BY201" i="18"/>
  <c r="EG201" i="18" l="1"/>
  <c r="EG205" i="18" s="1"/>
  <c r="BY602" i="18"/>
  <c r="BY205" i="18"/>
  <c r="BY225" i="18" s="1"/>
  <c r="BY265" i="18" s="1"/>
  <c r="BZ418" i="18"/>
  <c r="CA83" i="18"/>
  <c r="CA84" i="18" s="1"/>
  <c r="BZ78" i="18"/>
  <c r="BZ81" i="18"/>
  <c r="BY351" i="18"/>
  <c r="BY113" i="77"/>
  <c r="BY268" i="18"/>
  <c r="BY22" i="77"/>
  <c r="BY238" i="18"/>
  <c r="BY12" i="18"/>
  <c r="BY19" i="77"/>
  <c r="BY14" i="18"/>
  <c r="CA81" i="18" l="1"/>
  <c r="ED54" i="18"/>
  <c r="ED56" i="18" s="1"/>
  <c r="BZ82" i="18"/>
  <c r="CA82" i="18" s="1"/>
  <c r="BZ396" i="18"/>
  <c r="CA396" i="18" s="1"/>
  <c r="BZ14" i="77"/>
  <c r="BZ460" i="18"/>
  <c r="CA78" i="18"/>
  <c r="BZ249" i="18"/>
  <c r="BZ279" i="18"/>
  <c r="BZ59" i="18"/>
  <c r="BZ419" i="18"/>
  <c r="CA418" i="18"/>
  <c r="BY20" i="77"/>
  <c r="BY236" i="18"/>
  <c r="BY10" i="19"/>
  <c r="BY167" i="19" s="1"/>
  <c r="BY16" i="18"/>
  <c r="BY230" i="18"/>
  <c r="BY21" i="77" l="1"/>
  <c r="BY49" i="77"/>
  <c r="BY34" i="77"/>
  <c r="BY231" i="18"/>
  <c r="BY13" i="19" s="1"/>
  <c r="BZ420" i="18"/>
  <c r="CA419" i="18"/>
  <c r="CA420" i="18" s="1"/>
  <c r="BY232" i="18"/>
  <c r="BY235" i="18"/>
  <c r="BY402" i="18"/>
  <c r="BY466" i="18"/>
  <c r="BY17" i="18"/>
  <c r="BZ15" i="77"/>
  <c r="CA15" i="77" s="1"/>
  <c r="BZ45" i="77"/>
  <c r="BZ31" i="77"/>
  <c r="BZ114" i="77"/>
  <c r="BZ94" i="77"/>
  <c r="BZ95" i="77" s="1"/>
  <c r="CA95" i="77" s="1"/>
  <c r="BY229" i="18"/>
  <c r="CA249" i="18"/>
  <c r="CA59" i="18"/>
  <c r="BY9" i="19"/>
  <c r="BY156" i="16" s="1"/>
  <c r="CA14" i="77"/>
  <c r="CA460" i="18"/>
  <c r="CE161" i="19" l="1"/>
  <c r="BY132" i="16"/>
  <c r="BY94" i="16"/>
  <c r="BY13" i="16"/>
  <c r="BY138" i="16" s="1"/>
  <c r="BY16" i="16"/>
  <c r="BY140" i="16" s="1"/>
  <c r="BY60" i="19"/>
  <c r="BY18" i="19"/>
  <c r="BY135" i="19" s="1"/>
  <c r="BY136" i="19" s="1"/>
  <c r="BY12" i="77"/>
  <c r="BY17" i="19"/>
  <c r="BY133" i="19" s="1"/>
  <c r="BY134" i="19" s="1"/>
  <c r="CA45" i="77"/>
  <c r="CA46" i="77" s="1"/>
  <c r="CA47" i="77" s="1"/>
  <c r="BZ48" i="77"/>
  <c r="BY407" i="18"/>
  <c r="BY404" i="18"/>
  <c r="CA31" i="77"/>
  <c r="CA32" i="77" s="1"/>
  <c r="BZ33" i="77"/>
  <c r="BY471" i="18"/>
  <c r="BY468" i="18"/>
  <c r="BY12" i="19"/>
  <c r="BY35" i="77"/>
  <c r="BY25" i="77"/>
  <c r="BY110" i="77"/>
  <c r="BY50" i="77"/>
  <c r="BY39" i="77"/>
  <c r="CA114" i="77"/>
  <c r="BZ116" i="77"/>
  <c r="CA116" i="77" s="1"/>
  <c r="BY21" i="18"/>
  <c r="BY9" i="77"/>
  <c r="BY14" i="16" l="1"/>
  <c r="BY139" i="16" s="1"/>
  <c r="BY61" i="19"/>
  <c r="BY46" i="19"/>
  <c r="CA96" i="77"/>
  <c r="CA94" i="77" s="1"/>
  <c r="CA115" i="77"/>
  <c r="BY470" i="18"/>
  <c r="BY469" i="18"/>
  <c r="BY16" i="19"/>
  <c r="BY18" i="17"/>
  <c r="BY62" i="19"/>
  <c r="BY141" i="19"/>
  <c r="BY142" i="19" s="1"/>
  <c r="BY88" i="19"/>
  <c r="BY19" i="19"/>
  <c r="BY27" i="16" s="1"/>
  <c r="BY148" i="16" s="1"/>
  <c r="BY71" i="19"/>
  <c r="BY405" i="18"/>
  <c r="BY406" i="18"/>
  <c r="BY20" i="17"/>
  <c r="CA33" i="77"/>
  <c r="BY100" i="77"/>
  <c r="BY56" i="77"/>
  <c r="BY64" i="77"/>
  <c r="BY10" i="77"/>
  <c r="BY106" i="77"/>
  <c r="BY111" i="77"/>
  <c r="BY29" i="17"/>
  <c r="BY27" i="77"/>
  <c r="BY26" i="77"/>
  <c r="BY28" i="77"/>
  <c r="BY41" i="77"/>
  <c r="BY55" i="77"/>
  <c r="BY63" i="77"/>
  <c r="BY40" i="77"/>
  <c r="BY42" i="77"/>
  <c r="BY89" i="77"/>
  <c r="CA48" i="77"/>
  <c r="BY63" i="19"/>
  <c r="BY143" i="19"/>
  <c r="BY144" i="19" s="1"/>
  <c r="BY92" i="19"/>
  <c r="BY72" i="19"/>
  <c r="BY84" i="19" l="1"/>
  <c r="BY87" i="19" s="1"/>
  <c r="BY120" i="19" s="1"/>
  <c r="BY51" i="19"/>
  <c r="BY50" i="19"/>
  <c r="BY131" i="19"/>
  <c r="BY145" i="19" s="1"/>
  <c r="BY20" i="19"/>
  <c r="BY157" i="16" s="1"/>
  <c r="BY19" i="17"/>
  <c r="BY64" i="19"/>
  <c r="BY91" i="77"/>
  <c r="BY90" i="77"/>
  <c r="BY92" i="77"/>
  <c r="BY107" i="77"/>
  <c r="BY108" i="77"/>
  <c r="BY109" i="77"/>
  <c r="BY159" i="16" l="1"/>
  <c r="BY160" i="16" s="1"/>
  <c r="BY161" i="16" s="1"/>
  <c r="BY137" i="19"/>
  <c r="BY156" i="19" s="1"/>
  <c r="BY133" i="16"/>
  <c r="BY135" i="16" s="1"/>
  <c r="BY136" i="16" s="1"/>
  <c r="BY137" i="16" s="1"/>
  <c r="BY56" i="16"/>
  <c r="BY55" i="19"/>
  <c r="BY54" i="19"/>
  <c r="BY97" i="19"/>
  <c r="BY65" i="19"/>
  <c r="BY132" i="19"/>
  <c r="BY96" i="19"/>
  <c r="BY122" i="19" s="1"/>
  <c r="BY91" i="19"/>
  <c r="BY121" i="19" s="1"/>
  <c r="BY23" i="17"/>
  <c r="BY138" i="19" l="1"/>
  <c r="BY164" i="19"/>
  <c r="BY157" i="19"/>
  <c r="BY146" i="19"/>
  <c r="BY103" i="19"/>
  <c r="BY123" i="19" s="1"/>
  <c r="BY147" i="19" l="1"/>
  <c r="BY165" i="19"/>
  <c r="BY158" i="19"/>
  <c r="BY66" i="19"/>
  <c r="BY166" i="19" l="1"/>
  <c r="BY56" i="19"/>
  <c r="BZ123" i="18"/>
  <c r="CA123" i="18" s="1"/>
  <c r="BZ154" i="18"/>
  <c r="BZ155" i="18" s="1"/>
  <c r="BZ338" i="18" l="1"/>
  <c r="CA338" i="18"/>
  <c r="CA155" i="18"/>
  <c r="BZ181" i="18"/>
  <c r="CA154" i="18"/>
  <c r="CA181" i="18" l="1"/>
  <c r="CA194" i="18" s="1"/>
  <c r="BZ589" i="18"/>
  <c r="CA449" i="18"/>
  <c r="CA385" i="18"/>
  <c r="BZ449" i="18"/>
  <c r="BZ385" i="18"/>
  <c r="CA589" i="18" l="1"/>
  <c r="BZ152" i="18" l="1"/>
  <c r="BZ156" i="18" s="1"/>
  <c r="CA124" i="18"/>
  <c r="BZ115" i="18" l="1"/>
  <c r="CA156" i="18"/>
  <c r="BZ157" i="18"/>
  <c r="BZ120" i="18"/>
  <c r="BZ153" i="18"/>
  <c r="CA152" i="18"/>
  <c r="BZ158" i="18"/>
  <c r="BZ169" i="18" s="1"/>
  <c r="CC413" i="18"/>
  <c r="CC423" i="18"/>
  <c r="CC433" i="18"/>
  <c r="BZ398" i="18"/>
  <c r="CA398" i="18" s="1"/>
  <c r="BZ462" i="18"/>
  <c r="CA462" i="18" s="1"/>
  <c r="CC74" i="18"/>
  <c r="CA115" i="18" l="1"/>
  <c r="CA112" i="18" s="1"/>
  <c r="CA43" i="18" s="1"/>
  <c r="BZ112" i="18"/>
  <c r="BZ43" i="18" s="1"/>
  <c r="CC288" i="18" s="1"/>
  <c r="CC414" i="18"/>
  <c r="CC371" i="18"/>
  <c r="CC361" i="18"/>
  <c r="CC134" i="18"/>
  <c r="CC72" i="18"/>
  <c r="CC69" i="18"/>
  <c r="ED60" i="18"/>
  <c r="ED62" i="18" s="1"/>
  <c r="BZ121" i="18"/>
  <c r="CA121" i="18" s="1"/>
  <c r="BZ119" i="18"/>
  <c r="BZ60" i="18"/>
  <c r="CA120" i="18"/>
  <c r="BZ113" i="18"/>
  <c r="BZ114" i="18" s="1"/>
  <c r="CA114" i="18" s="1"/>
  <c r="BZ164" i="18"/>
  <c r="BZ172" i="18" s="1"/>
  <c r="BZ138" i="18" s="1"/>
  <c r="CA337" i="18"/>
  <c r="BZ337" i="18"/>
  <c r="CA153" i="18"/>
  <c r="BZ180" i="18"/>
  <c r="BZ588" i="18" s="1"/>
  <c r="CA588" i="18" s="1"/>
  <c r="CC434" i="18"/>
  <c r="CC432" i="18"/>
  <c r="CC438" i="18"/>
  <c r="CA339" i="18"/>
  <c r="BZ339" i="18"/>
  <c r="CA157" i="18"/>
  <c r="BZ182" i="18"/>
  <c r="BZ590" i="18" s="1"/>
  <c r="CC424" i="18"/>
  <c r="CC428" i="18"/>
  <c r="CC422" i="18"/>
  <c r="CC426" i="18" s="1"/>
  <c r="CA158" i="18"/>
  <c r="BZ159" i="18"/>
  <c r="CA590" i="18" l="1"/>
  <c r="BZ9" i="18"/>
  <c r="BZ13" i="77" s="1"/>
  <c r="BZ256" i="18"/>
  <c r="BZ257" i="18"/>
  <c r="EH168" i="18"/>
  <c r="CA119" i="18"/>
  <c r="CA169" i="18"/>
  <c r="BZ448" i="18"/>
  <c r="BZ454" i="18" s="1"/>
  <c r="BZ384" i="18"/>
  <c r="BZ390" i="18" s="1"/>
  <c r="EE53" i="18"/>
  <c r="CC73" i="18"/>
  <c r="CC415" i="18"/>
  <c r="BZ61" i="18"/>
  <c r="CC431" i="18"/>
  <c r="CC450" i="18" s="1"/>
  <c r="CC429" i="18"/>
  <c r="CA448" i="18"/>
  <c r="CA454" i="18" s="1"/>
  <c r="CA384" i="18"/>
  <c r="CA390" i="18" s="1"/>
  <c r="CA180" i="18"/>
  <c r="CA193" i="18" s="1"/>
  <c r="CA182" i="18"/>
  <c r="CA195" i="18" s="1"/>
  <c r="BZ430" i="18"/>
  <c r="BZ366" i="18"/>
  <c r="CA164" i="18"/>
  <c r="CA171" i="18" s="1"/>
  <c r="BZ165" i="18"/>
  <c r="BZ170" i="18"/>
  <c r="BZ171" i="18"/>
  <c r="CC437" i="18"/>
  <c r="BZ340" i="18"/>
  <c r="CA159" i="18"/>
  <c r="CA340" i="18"/>
  <c r="BZ183" i="18"/>
  <c r="BZ591" i="18" s="1"/>
  <c r="CA591" i="18" s="1"/>
  <c r="CA113" i="18"/>
  <c r="CA258" i="18"/>
  <c r="CA60" i="18"/>
  <c r="CA259" i="18"/>
  <c r="CA9" i="18" l="1"/>
  <c r="CA18" i="77" s="1"/>
  <c r="BZ267" i="18"/>
  <c r="BZ237" i="18"/>
  <c r="BZ10" i="18"/>
  <c r="BZ18" i="77"/>
  <c r="CA170" i="18"/>
  <c r="CA172" i="18"/>
  <c r="CA61" i="18" s="1"/>
  <c r="BZ392" i="18"/>
  <c r="BZ393" i="18"/>
  <c r="BZ391" i="18"/>
  <c r="BZ456" i="18"/>
  <c r="BZ455" i="18"/>
  <c r="BZ457" i="18"/>
  <c r="CA430" i="18"/>
  <c r="CA366" i="18"/>
  <c r="CC417" i="18"/>
  <c r="CC416" i="18"/>
  <c r="CA455" i="18"/>
  <c r="CA457" i="18"/>
  <c r="CC441" i="18"/>
  <c r="CC451" i="18" s="1"/>
  <c r="CC439" i="18"/>
  <c r="CA343" i="18"/>
  <c r="CA345" i="18" s="1"/>
  <c r="BZ343" i="18"/>
  <c r="BZ345" i="18" s="1"/>
  <c r="CA165" i="18"/>
  <c r="CA168" i="18" s="1"/>
  <c r="BZ186" i="18"/>
  <c r="BZ594" i="18" s="1"/>
  <c r="CA594" i="18" s="1"/>
  <c r="BZ376" i="18"/>
  <c r="BZ403" i="18" s="1"/>
  <c r="CA183" i="18"/>
  <c r="CA196" i="18" s="1"/>
  <c r="BZ440" i="18"/>
  <c r="BZ467" i="18" s="1"/>
  <c r="BZ16" i="77"/>
  <c r="CA393" i="18"/>
  <c r="CA391" i="18"/>
  <c r="BZ596" i="18" l="1"/>
  <c r="CA596" i="18" s="1"/>
  <c r="CA597" i="18" s="1"/>
  <c r="CA10" i="18"/>
  <c r="CA237" i="18"/>
  <c r="CA346" i="18"/>
  <c r="CA399" i="18" s="1"/>
  <c r="CA348" i="18"/>
  <c r="BZ346" i="18"/>
  <c r="BZ463" i="18" s="1"/>
  <c r="BZ348" i="18"/>
  <c r="BZ347" i="18"/>
  <c r="EL322" i="18" s="1"/>
  <c r="CA403" i="18"/>
  <c r="CC461" i="18"/>
  <c r="CC397" i="18"/>
  <c r="CA392" i="18"/>
  <c r="CA186" i="18"/>
  <c r="BZ174" i="18"/>
  <c r="BZ243" i="18" s="1"/>
  <c r="CA456" i="18"/>
  <c r="CA467" i="18"/>
  <c r="BZ17" i="77"/>
  <c r="BZ43" i="77"/>
  <c r="BZ29" i="77"/>
  <c r="CA440" i="18"/>
  <c r="CA376" i="18"/>
  <c r="BZ598" i="18" l="1"/>
  <c r="CA599" i="18"/>
  <c r="BZ599" i="18"/>
  <c r="EP590" i="18" s="1"/>
  <c r="BZ597" i="18"/>
  <c r="BZ175" i="18"/>
  <c r="BZ604" i="18"/>
  <c r="BZ605" i="18" s="1"/>
  <c r="BZ464" i="18"/>
  <c r="CA463" i="18"/>
  <c r="BZ399" i="18"/>
  <c r="BZ30" i="77"/>
  <c r="CA29" i="77"/>
  <c r="BZ112" i="77"/>
  <c r="CA174" i="18"/>
  <c r="BZ44" i="77"/>
  <c r="CA43" i="77"/>
  <c r="BZ291" i="18"/>
  <c r="BZ261" i="18"/>
  <c r="BZ260" i="18"/>
  <c r="BZ353" i="18"/>
  <c r="BZ354" i="18" s="1"/>
  <c r="EH353" i="18" s="1"/>
  <c r="CC83" i="18"/>
  <c r="BZ201" i="18"/>
  <c r="BZ400" i="18"/>
  <c r="EH201" i="18" l="1"/>
  <c r="EH205" i="18" s="1"/>
  <c r="BZ602" i="18"/>
  <c r="CA175" i="18"/>
  <c r="CA604" i="18"/>
  <c r="CA605" i="18" s="1"/>
  <c r="BZ113" i="77"/>
  <c r="CA112" i="77"/>
  <c r="CC418" i="18"/>
  <c r="CC78" i="18"/>
  <c r="CC81" i="18"/>
  <c r="CA353" i="18"/>
  <c r="CA354" i="18" s="1"/>
  <c r="CA355" i="18" s="1"/>
  <c r="CA260" i="18"/>
  <c r="CA602" i="18" s="1"/>
  <c r="CA261" i="18"/>
  <c r="CA201" i="18"/>
  <c r="BZ351" i="18"/>
  <c r="CA351" i="18" l="1"/>
  <c r="CC419" i="18"/>
  <c r="CC249" i="18"/>
  <c r="CC279" i="18"/>
  <c r="CC59" i="18"/>
  <c r="EE54" i="18"/>
  <c r="EE56" i="18" s="1"/>
  <c r="CC82" i="18"/>
  <c r="CC396" i="18"/>
  <c r="CC14" i="77"/>
  <c r="CC460" i="18"/>
  <c r="CC420" i="18" l="1"/>
  <c r="CC15" i="77"/>
  <c r="CC114" i="77"/>
  <c r="CC45" i="77"/>
  <c r="CC31" i="77"/>
  <c r="CC94" i="77"/>
  <c r="CC95" i="77" s="1"/>
  <c r="CC116" i="77" l="1"/>
  <c r="CC48" i="77"/>
  <c r="CC33" i="77"/>
  <c r="CC123" i="18" l="1"/>
  <c r="CC154" i="18"/>
  <c r="CC155" i="18" s="1"/>
  <c r="CC338" i="18" l="1"/>
  <c r="CC181" i="18"/>
  <c r="CC589" i="18" s="1"/>
  <c r="CC385" i="18" l="1"/>
  <c r="CC449" i="18"/>
  <c r="CC115" i="18"/>
  <c r="CC152" i="18"/>
  <c r="CC112" i="18" l="1"/>
  <c r="CC43" i="18" s="1"/>
  <c r="CD74" i="18"/>
  <c r="CD134" i="18"/>
  <c r="CD413" i="18"/>
  <c r="CC156" i="18"/>
  <c r="CC462" i="18"/>
  <c r="CC398" i="18"/>
  <c r="CC158" i="18"/>
  <c r="CD433" i="18"/>
  <c r="CD423" i="18"/>
  <c r="CC153" i="18"/>
  <c r="CC120" i="18"/>
  <c r="CC159" i="18" l="1"/>
  <c r="CD72" i="18"/>
  <c r="CD69" i="18"/>
  <c r="CD414" i="18"/>
  <c r="CC157" i="18"/>
  <c r="CD361" i="18"/>
  <c r="CC169" i="18"/>
  <c r="CC337" i="18"/>
  <c r="CC180" i="18"/>
  <c r="CC588" i="18" s="1"/>
  <c r="CD428" i="18"/>
  <c r="CD422" i="18"/>
  <c r="CD426" i="18" s="1"/>
  <c r="CD424" i="18"/>
  <c r="CD371" i="18"/>
  <c r="CC164" i="18"/>
  <c r="CC170" i="18" s="1"/>
  <c r="CC121" i="18"/>
  <c r="EE60" i="18"/>
  <c r="EE62" i="18" s="1"/>
  <c r="CC60" i="18"/>
  <c r="CC119" i="18"/>
  <c r="CC113" i="18"/>
  <c r="CC114" i="18" s="1"/>
  <c r="CC257" i="18"/>
  <c r="CD288" i="18"/>
  <c r="CC256" i="18"/>
  <c r="CC9" i="18"/>
  <c r="CD434" i="18"/>
  <c r="CD438" i="18"/>
  <c r="CD432" i="18"/>
  <c r="CC165" i="18" l="1"/>
  <c r="CC384" i="18"/>
  <c r="CC390" i="18" s="1"/>
  <c r="CC448" i="18"/>
  <c r="CC454" i="18" s="1"/>
  <c r="CC171" i="18"/>
  <c r="CC10" i="18"/>
  <c r="CC267" i="18"/>
  <c r="CC18" i="77"/>
  <c r="CC237" i="18"/>
  <c r="CC13" i="77"/>
  <c r="CD431" i="18"/>
  <c r="CD450" i="18" s="1"/>
  <c r="CD429" i="18"/>
  <c r="CC339" i="18"/>
  <c r="CC182" i="18"/>
  <c r="CC590" i="18" s="1"/>
  <c r="CC340" i="18"/>
  <c r="CC183" i="18"/>
  <c r="CC591" i="18" s="1"/>
  <c r="CD73" i="18"/>
  <c r="EF53" i="18"/>
  <c r="CD415" i="18"/>
  <c r="CC172" i="18"/>
  <c r="CC61" i="18" s="1"/>
  <c r="EI168" i="18"/>
  <c r="CD437" i="18"/>
  <c r="CC366" i="18" l="1"/>
  <c r="CC430" i="18"/>
  <c r="CC393" i="18"/>
  <c r="CC392" i="18"/>
  <c r="CC391" i="18"/>
  <c r="CC16" i="77"/>
  <c r="CC440" i="18"/>
  <c r="CC376" i="18"/>
  <c r="CC455" i="18"/>
  <c r="CC457" i="18"/>
  <c r="CC456" i="18"/>
  <c r="CD441" i="18"/>
  <c r="CD451" i="18" s="1"/>
  <c r="CD439" i="18"/>
  <c r="CC186" i="18"/>
  <c r="CC594" i="18" s="1"/>
  <c r="CC343" i="18"/>
  <c r="CC345" i="18" s="1"/>
  <c r="CD417" i="18"/>
  <c r="CD416" i="18"/>
  <c r="CC596" i="18" l="1"/>
  <c r="CC597" i="18" s="1"/>
  <c r="CC467" i="18"/>
  <c r="CC403" i="18"/>
  <c r="CC347" i="18"/>
  <c r="EM322" i="18" s="1"/>
  <c r="CC348" i="18"/>
  <c r="CC346" i="18"/>
  <c r="CC399" i="18" s="1"/>
  <c r="CD461" i="18"/>
  <c r="CD397" i="18"/>
  <c r="CC174" i="18"/>
  <c r="CC17" i="77"/>
  <c r="CC29" i="77"/>
  <c r="CC43" i="77"/>
  <c r="CC598" i="18" l="1"/>
  <c r="CC599" i="18"/>
  <c r="EQ590" i="18" s="1"/>
  <c r="CC604" i="18"/>
  <c r="CC605" i="18" s="1"/>
  <c r="CC464" i="18"/>
  <c r="CC400" i="18"/>
  <c r="CC463" i="18"/>
  <c r="CC44" i="77"/>
  <c r="CC291" i="18"/>
  <c r="CC261" i="18"/>
  <c r="CC260" i="18"/>
  <c r="CC353" i="18"/>
  <c r="CC354" i="18" s="1"/>
  <c r="EI353" i="18" s="1"/>
  <c r="CD83" i="18"/>
  <c r="CC11" i="18"/>
  <c r="CC201" i="18"/>
  <c r="CC30" i="77"/>
  <c r="CC112" i="77"/>
  <c r="EI201" i="18" l="1"/>
  <c r="EI205" i="18" s="1"/>
  <c r="CC602" i="18"/>
  <c r="CD78" i="18"/>
  <c r="CD418" i="18"/>
  <c r="CD81" i="18"/>
  <c r="CC113" i="77"/>
  <c r="CC205" i="18"/>
  <c r="CC351" i="18"/>
  <c r="CC22" i="77"/>
  <c r="CC238" i="18"/>
  <c r="CC12" i="18"/>
  <c r="CC19" i="77"/>
  <c r="CC14" i="18"/>
  <c r="CD419" i="18" l="1"/>
  <c r="CC236" i="18"/>
  <c r="CC10" i="19"/>
  <c r="CC230" i="18"/>
  <c r="CD249" i="18"/>
  <c r="CD279" i="18"/>
  <c r="CD59" i="18"/>
  <c r="EF54" i="18"/>
  <c r="EF56" i="18" s="1"/>
  <c r="CD82" i="18"/>
  <c r="CD396" i="18"/>
  <c r="CD14" i="77"/>
  <c r="CD460" i="18"/>
  <c r="CC20" i="77"/>
  <c r="CC21" i="77" l="1"/>
  <c r="CC49" i="77"/>
  <c r="CC34" i="77"/>
  <c r="CD15" i="77"/>
  <c r="CD31" i="77"/>
  <c r="CD45" i="77"/>
  <c r="CD94" i="77"/>
  <c r="CD95" i="77" s="1"/>
  <c r="CD114" i="77"/>
  <c r="CD420" i="18"/>
  <c r="CC231" i="18"/>
  <c r="CC13" i="19" s="1"/>
  <c r="CC35" i="77" l="1"/>
  <c r="CC25" i="77"/>
  <c r="CC110" i="77"/>
  <c r="CC50" i="77"/>
  <c r="CC39" i="77"/>
  <c r="CD33" i="77"/>
  <c r="CD116" i="77"/>
  <c r="CD48" i="77"/>
  <c r="CC63" i="77" l="1"/>
  <c r="CC40" i="77"/>
  <c r="CC55" i="77"/>
  <c r="CC42" i="77"/>
  <c r="CC89" i="77"/>
  <c r="CC26" i="77"/>
  <c r="CC28" i="77"/>
  <c r="CC111" i="77"/>
  <c r="CC91" i="77" l="1"/>
  <c r="CC90" i="77"/>
  <c r="CC92" i="77"/>
  <c r="CD123" i="18" l="1"/>
  <c r="CD154" i="18"/>
  <c r="CD155" i="18" s="1"/>
  <c r="CD181" i="18" l="1"/>
  <c r="CD589" i="18" s="1"/>
  <c r="CD338" i="18"/>
  <c r="CD449" i="18" l="1"/>
  <c r="CD385" i="18"/>
  <c r="CD120" i="18"/>
  <c r="CD113" i="18" s="1"/>
  <c r="CD114" i="18" s="1"/>
  <c r="CD152" i="18"/>
  <c r="CD153" i="18" s="1"/>
  <c r="CD115" i="18" l="1"/>
  <c r="CD112" i="18" s="1"/>
  <c r="CD43" i="18" s="1"/>
  <c r="CE423" i="18"/>
  <c r="CE422" i="18" s="1"/>
  <c r="CE426" i="18" s="1"/>
  <c r="CE431" i="18" s="1"/>
  <c r="CE450" i="18" s="1"/>
  <c r="CE433" i="18"/>
  <c r="CE432" i="18" s="1"/>
  <c r="CE437" i="18" s="1"/>
  <c r="CD337" i="18"/>
  <c r="CD180" i="18"/>
  <c r="CD588" i="18" s="1"/>
  <c r="CD156" i="18"/>
  <c r="CD121" i="18"/>
  <c r="CD60" i="18"/>
  <c r="EF60" i="18"/>
  <c r="EF62" i="18" s="1"/>
  <c r="CD119" i="18"/>
  <c r="CE134" i="18"/>
  <c r="CE413" i="18"/>
  <c r="CD158" i="18"/>
  <c r="CD462" i="18"/>
  <c r="CD398" i="18"/>
  <c r="CE74" i="18"/>
  <c r="CD164" i="18"/>
  <c r="CE428" i="18" l="1"/>
  <c r="CE424" i="18"/>
  <c r="CD170" i="18"/>
  <c r="CE429" i="18"/>
  <c r="CE438" i="18"/>
  <c r="CE434" i="18"/>
  <c r="CD169" i="18"/>
  <c r="EJ168" i="18" s="1"/>
  <c r="CE72" i="18"/>
  <c r="CE69" i="18"/>
  <c r="CE371" i="18"/>
  <c r="CE441" i="18"/>
  <c r="CE451" i="18" s="1"/>
  <c r="CE439" i="18"/>
  <c r="CD165" i="18"/>
  <c r="CD171" i="18"/>
  <c r="CE361" i="18"/>
  <c r="CD159" i="18"/>
  <c r="CD448" i="18"/>
  <c r="CD454" i="18" s="1"/>
  <c r="CD384" i="18"/>
  <c r="CD390" i="18" s="1"/>
  <c r="CD257" i="18"/>
  <c r="CE288" i="18"/>
  <c r="CD256" i="18"/>
  <c r="CD9" i="18"/>
  <c r="CD157" i="18"/>
  <c r="CE414" i="18"/>
  <c r="CD172" i="18" l="1"/>
  <c r="CD61" i="18" s="1"/>
  <c r="CD343" i="18"/>
  <c r="CD186" i="18"/>
  <c r="CD594" i="18" s="1"/>
  <c r="CE73" i="18"/>
  <c r="EG53" i="18"/>
  <c r="CE415" i="18"/>
  <c r="CD339" i="18"/>
  <c r="CD182" i="18"/>
  <c r="CD590" i="18" s="1"/>
  <c r="CD340" i="18"/>
  <c r="CD183" i="18"/>
  <c r="CD591" i="18" s="1"/>
  <c r="CD391" i="18"/>
  <c r="CD392" i="18"/>
  <c r="CD393" i="18"/>
  <c r="CD237" i="18"/>
  <c r="CD10" i="18"/>
  <c r="CD18" i="77"/>
  <c r="CD267" i="18"/>
  <c r="CD13" i="77"/>
  <c r="CD456" i="18"/>
  <c r="CD457" i="18"/>
  <c r="CD455" i="18"/>
  <c r="CD596" i="18" l="1"/>
  <c r="CD599" i="18" s="1"/>
  <c r="ER590" i="18" s="1"/>
  <c r="CD16" i="77"/>
  <c r="CD345" i="18"/>
  <c r="CE417" i="18"/>
  <c r="CE416" i="18"/>
  <c r="CD430" i="18"/>
  <c r="CD366" i="18"/>
  <c r="CD174" i="18"/>
  <c r="CD376" i="18"/>
  <c r="CD440" i="18"/>
  <c r="CD243" i="18" l="1"/>
  <c r="CD597" i="18"/>
  <c r="CD598" i="18"/>
  <c r="CD604" i="18"/>
  <c r="CD605" i="18" s="1"/>
  <c r="CD403" i="18"/>
  <c r="CD408" i="18" s="1"/>
  <c r="CD467" i="18"/>
  <c r="CD472" i="18" s="1"/>
  <c r="CD346" i="18"/>
  <c r="CD347" i="18"/>
  <c r="CD348" i="18"/>
  <c r="CE461" i="18"/>
  <c r="CE397" i="18"/>
  <c r="CD17" i="77"/>
  <c r="CD43" i="77"/>
  <c r="CD29" i="77"/>
  <c r="CD261" i="18"/>
  <c r="CD353" i="18"/>
  <c r="CD354" i="18" s="1"/>
  <c r="EJ353" i="18" s="1"/>
  <c r="CD291" i="18"/>
  <c r="CD260" i="18"/>
  <c r="CE83" i="18"/>
  <c r="CD11" i="18"/>
  <c r="CD201" i="18"/>
  <c r="EJ201" i="18" l="1"/>
  <c r="EJ205" i="18" s="1"/>
  <c r="CD602" i="18"/>
  <c r="EN322" i="18"/>
  <c r="CD400" i="18"/>
  <c r="CD464" i="18"/>
  <c r="CD12" i="18"/>
  <c r="CD238" i="18"/>
  <c r="CD22" i="77"/>
  <c r="CD268" i="18"/>
  <c r="CD19" i="77"/>
  <c r="CD14" i="18"/>
  <c r="CD44" i="77"/>
  <c r="CD463" i="18"/>
  <c r="CD399" i="18"/>
  <c r="CE78" i="18"/>
  <c r="CE418" i="18"/>
  <c r="CE81" i="18"/>
  <c r="CD30" i="77"/>
  <c r="CD112" i="77"/>
  <c r="CD205" i="18"/>
  <c r="CD225" i="18" s="1"/>
  <c r="CD351" i="18"/>
  <c r="CD20" i="77" l="1"/>
  <c r="EG54" i="18"/>
  <c r="EG56" i="18" s="1"/>
  <c r="CE82" i="18"/>
  <c r="CE14" i="77"/>
  <c r="CE396" i="18"/>
  <c r="CE460" i="18"/>
  <c r="CD236" i="18"/>
  <c r="CD16" i="18"/>
  <c r="CD10" i="19"/>
  <c r="CD230" i="18"/>
  <c r="CE249" i="18"/>
  <c r="CE279" i="18"/>
  <c r="CE59" i="18"/>
  <c r="CD113" i="77"/>
  <c r="CE419" i="18"/>
  <c r="CD167" i="19" l="1"/>
  <c r="CD229" i="18"/>
  <c r="CE15" i="77"/>
  <c r="CE45" i="77"/>
  <c r="CE31" i="77"/>
  <c r="CE114" i="77"/>
  <c r="CE94" i="77"/>
  <c r="CE95" i="77" s="1"/>
  <c r="CD9" i="19"/>
  <c r="CD232" i="18"/>
  <c r="CD235" i="18"/>
  <c r="CD466" i="18"/>
  <c r="CD402" i="18"/>
  <c r="CD17" i="18"/>
  <c r="CE420" i="18"/>
  <c r="CD231" i="18"/>
  <c r="CD13" i="19" s="1"/>
  <c r="CD21" i="77"/>
  <c r="CD34" i="77"/>
  <c r="CD49" i="77"/>
  <c r="CJ161" i="19" l="1"/>
  <c r="CD156" i="16"/>
  <c r="CD132" i="16"/>
  <c r="CD94" i="16"/>
  <c r="CD13" i="16"/>
  <c r="CD138" i="16" s="1"/>
  <c r="CD16" i="16"/>
  <c r="CD140" i="16" s="1"/>
  <c r="CD471" i="18"/>
  <c r="CD468" i="18"/>
  <c r="CD12" i="19"/>
  <c r="CE33" i="77"/>
  <c r="CE116" i="77"/>
  <c r="CD9" i="77"/>
  <c r="CD21" i="18"/>
  <c r="CD60" i="19"/>
  <c r="CD17" i="19"/>
  <c r="CD18" i="19"/>
  <c r="CD12" i="77"/>
  <c r="CE48" i="77"/>
  <c r="CD50" i="77"/>
  <c r="CD39" i="77"/>
  <c r="CD35" i="77"/>
  <c r="CD25" i="77"/>
  <c r="CD110" i="77"/>
  <c r="CD407" i="18"/>
  <c r="CD404" i="18"/>
  <c r="CD14" i="16" l="1"/>
  <c r="CD139" i="16" s="1"/>
  <c r="CD135" i="19"/>
  <c r="CD136" i="19" s="1"/>
  <c r="CD133" i="19"/>
  <c r="CD134" i="19" s="1"/>
  <c r="CD16" i="19"/>
  <c r="CD405" i="18"/>
  <c r="CD406" i="18"/>
  <c r="CD46" i="19"/>
  <c r="CD61" i="19"/>
  <c r="CD141" i="19"/>
  <c r="CD142" i="19" s="1"/>
  <c r="CD62" i="19"/>
  <c r="CD88" i="19"/>
  <c r="CD19" i="19"/>
  <c r="CD71" i="19"/>
  <c r="CD469" i="18"/>
  <c r="CD470" i="18"/>
  <c r="CD64" i="77"/>
  <c r="CD56" i="77"/>
  <c r="CD100" i="77"/>
  <c r="CD10" i="77"/>
  <c r="CD106" i="77"/>
  <c r="CD92" i="19"/>
  <c r="CD143" i="19"/>
  <c r="CD144" i="19" s="1"/>
  <c r="CD63" i="19"/>
  <c r="CD72" i="19"/>
  <c r="CD29" i="17"/>
  <c r="CD63" i="77"/>
  <c r="CD40" i="77"/>
  <c r="CD41" i="77"/>
  <c r="CD55" i="77"/>
  <c r="CD42" i="77"/>
  <c r="CD89" i="77"/>
  <c r="CD111" i="77"/>
  <c r="CD27" i="77"/>
  <c r="CD26" i="77"/>
  <c r="CD28" i="77"/>
  <c r="CD27" i="16" l="1"/>
  <c r="CD148" i="16" s="1"/>
  <c r="CD84" i="19"/>
  <c r="CD87" i="19" s="1"/>
  <c r="CD120" i="19" s="1"/>
  <c r="CD131" i="19"/>
  <c r="CD132" i="19" s="1"/>
  <c r="CD50" i="19"/>
  <c r="CD51" i="19"/>
  <c r="CD64" i="19"/>
  <c r="CD90" i="77"/>
  <c r="CD91" i="77"/>
  <c r="CD92" i="77"/>
  <c r="CD91" i="19"/>
  <c r="CD121" i="19" s="1"/>
  <c r="CD107" i="77"/>
  <c r="CD108" i="77"/>
  <c r="CD109" i="77"/>
  <c r="CD20" i="19"/>
  <c r="CD157" i="16" l="1"/>
  <c r="CD159" i="16" s="1"/>
  <c r="CD160" i="16" s="1"/>
  <c r="CD161" i="16" s="1"/>
  <c r="CD145" i="19"/>
  <c r="CD133" i="16"/>
  <c r="CD56" i="16"/>
  <c r="CD137" i="19"/>
  <c r="CD55" i="19"/>
  <c r="CD96" i="19"/>
  <c r="CD122" i="19" s="1"/>
  <c r="CD54" i="19"/>
  <c r="CD97" i="19"/>
  <c r="CD103" i="19" s="1"/>
  <c r="CD123" i="19" s="1"/>
  <c r="CD65" i="19"/>
  <c r="CD146" i="19" l="1"/>
  <c r="CD135" i="16"/>
  <c r="CD136" i="16" s="1"/>
  <c r="CD137" i="16" s="1"/>
  <c r="CD138" i="19"/>
  <c r="CD156" i="19"/>
  <c r="CD147" i="19" l="1"/>
  <c r="CD164" i="19"/>
  <c r="CD157" i="19"/>
  <c r="CD66" i="19" l="1"/>
  <c r="CD165" i="19"/>
  <c r="CD158" i="19"/>
  <c r="CD166" i="19" l="1"/>
  <c r="CD56" i="19"/>
  <c r="CE123" i="18" l="1"/>
  <c r="CE154" i="18"/>
  <c r="CE155" i="18" l="1"/>
  <c r="CE338" i="18" l="1"/>
  <c r="CE181" i="18"/>
  <c r="CE589" i="18" s="1"/>
  <c r="CE385" i="18" l="1"/>
  <c r="CE449" i="18"/>
  <c r="CE115" i="18"/>
  <c r="CE112" i="18" s="1"/>
  <c r="CE43" i="18" s="1"/>
  <c r="CE9" i="18" s="1"/>
  <c r="CE152" i="18"/>
  <c r="CF433" i="18" s="1"/>
  <c r="CF423" i="18" l="1"/>
  <c r="CF422" i="18" s="1"/>
  <c r="CG422" i="18" s="1"/>
  <c r="CG426" i="18" s="1"/>
  <c r="CE18" i="77"/>
  <c r="CE267" i="18"/>
  <c r="CE237" i="18"/>
  <c r="CE10" i="18"/>
  <c r="CE13" i="77"/>
  <c r="CF288" i="18"/>
  <c r="CE256" i="18"/>
  <c r="CE257" i="18"/>
  <c r="CG433" i="18"/>
  <c r="CF434" i="18"/>
  <c r="CG434" i="18" s="1"/>
  <c r="CF432" i="18"/>
  <c r="CF438" i="18"/>
  <c r="CG438" i="18" s="1"/>
  <c r="CF74" i="18"/>
  <c r="CE153" i="18"/>
  <c r="CF413" i="18"/>
  <c r="CG413" i="18" s="1"/>
  <c r="CF134" i="18"/>
  <c r="CG134" i="18" s="1"/>
  <c r="CE158" i="18"/>
  <c r="CE398" i="18"/>
  <c r="CE462" i="18"/>
  <c r="CE156" i="18"/>
  <c r="CE120" i="18"/>
  <c r="CF428" i="18" l="1"/>
  <c r="CG428" i="18" s="1"/>
  <c r="CF424" i="18"/>
  <c r="CG424" i="18" s="1"/>
  <c r="CF426" i="18"/>
  <c r="CF429" i="18" s="1"/>
  <c r="CG429" i="18" s="1"/>
  <c r="CG423" i="18"/>
  <c r="CF414" i="18"/>
  <c r="CG414" i="18" s="1"/>
  <c r="CE169" i="18"/>
  <c r="CE121" i="18"/>
  <c r="CE60" i="18"/>
  <c r="CE119" i="18"/>
  <c r="EG60" i="18"/>
  <c r="EG62" i="18" s="1"/>
  <c r="CE164" i="18"/>
  <c r="CE113" i="18"/>
  <c r="CE114" i="18" s="1"/>
  <c r="CE337" i="18"/>
  <c r="CE180" i="18"/>
  <c r="CE588" i="18" s="1"/>
  <c r="CF371" i="18"/>
  <c r="CG432" i="18"/>
  <c r="CF437" i="18"/>
  <c r="CE157" i="18"/>
  <c r="CF361" i="18"/>
  <c r="CG361" i="18" s="1"/>
  <c r="CG74" i="18"/>
  <c r="CF69" i="18"/>
  <c r="CF72" i="18"/>
  <c r="CE16" i="77"/>
  <c r="CE159" i="18"/>
  <c r="CG437" i="18" l="1"/>
  <c r="CF431" i="18"/>
  <c r="CF450" i="18" s="1"/>
  <c r="CG431" i="18"/>
  <c r="CG450" i="18" s="1"/>
  <c r="CE340" i="18"/>
  <c r="CE183" i="18"/>
  <c r="CE591" i="18" s="1"/>
  <c r="CG69" i="18"/>
  <c r="CE448" i="18"/>
  <c r="CE454" i="18" s="1"/>
  <c r="CE384" i="18"/>
  <c r="CE390" i="18" s="1"/>
  <c r="CG371" i="18"/>
  <c r="CE339" i="18"/>
  <c r="CE182" i="18"/>
  <c r="CE590" i="18" s="1"/>
  <c r="CF441" i="18"/>
  <c r="CF451" i="18" s="1"/>
  <c r="CG441" i="18"/>
  <c r="CG451" i="18" s="1"/>
  <c r="CF439" i="18"/>
  <c r="CG439" i="18" s="1"/>
  <c r="CE172" i="18"/>
  <c r="CE61" i="18" s="1"/>
  <c r="EK168" i="18"/>
  <c r="CE17" i="77"/>
  <c r="CE29" i="77"/>
  <c r="CE43" i="77"/>
  <c r="CF73" i="18"/>
  <c r="CG73" i="18" s="1"/>
  <c r="EH53" i="18"/>
  <c r="CG72" i="18"/>
  <c r="CF415" i="18"/>
  <c r="CE165" i="18"/>
  <c r="CE170" i="18"/>
  <c r="CE171" i="18"/>
  <c r="CE30" i="77" l="1"/>
  <c r="CE112" i="77"/>
  <c r="CE44" i="77"/>
  <c r="CE430" i="18"/>
  <c r="CE366" i="18"/>
  <c r="CE393" i="18"/>
  <c r="CE391" i="18"/>
  <c r="CE392" i="18"/>
  <c r="CF417" i="18"/>
  <c r="CG415" i="18"/>
  <c r="CF416" i="18"/>
  <c r="CG416" i="18" s="1"/>
  <c r="CE456" i="18"/>
  <c r="CE457" i="18"/>
  <c r="CE455" i="18"/>
  <c r="CE376" i="18"/>
  <c r="CE440" i="18"/>
  <c r="CE343" i="18"/>
  <c r="CE345" i="18" s="1"/>
  <c r="CE186" i="18"/>
  <c r="CE594" i="18" s="1"/>
  <c r="CE596" i="18" l="1"/>
  <c r="CE598" i="18" s="1"/>
  <c r="CE467" i="18"/>
  <c r="CE472" i="18" s="1"/>
  <c r="CE174" i="18"/>
  <c r="CE346" i="18"/>
  <c r="CE463" i="18" s="1"/>
  <c r="CE348" i="18"/>
  <c r="CE347" i="18"/>
  <c r="EO322" i="18" s="1"/>
  <c r="CE113" i="77"/>
  <c r="CG417" i="18"/>
  <c r="CF461" i="18"/>
  <c r="CF397" i="18"/>
  <c r="CE403" i="18"/>
  <c r="CE243" i="18" l="1"/>
  <c r="CE599" i="18"/>
  <c r="ES590" i="18" s="1"/>
  <c r="CE597" i="18"/>
  <c r="CE604" i="18"/>
  <c r="CE605" i="18" s="1"/>
  <c r="CE399" i="18"/>
  <c r="CE400" i="18"/>
  <c r="CG461" i="18"/>
  <c r="CG397" i="18"/>
  <c r="CE408" i="18"/>
  <c r="CE464" i="18"/>
  <c r="CE260" i="18"/>
  <c r="CE291" i="18"/>
  <c r="CE261" i="18"/>
  <c r="CE353" i="18"/>
  <c r="CE354" i="18" s="1"/>
  <c r="EK353" i="18" s="1"/>
  <c r="CE11" i="18"/>
  <c r="CF83" i="18"/>
  <c r="CE201" i="18"/>
  <c r="EK201" i="18" l="1"/>
  <c r="EK205" i="18" s="1"/>
  <c r="CE602" i="18"/>
  <c r="CE238" i="18"/>
  <c r="CE12" i="18"/>
  <c r="CE22" i="77"/>
  <c r="CE268" i="18"/>
  <c r="CE19" i="77"/>
  <c r="CE14" i="18"/>
  <c r="CE351" i="18"/>
  <c r="CE205" i="18"/>
  <c r="CE225" i="18" s="1"/>
  <c r="CE265" i="18" s="1"/>
  <c r="CF78" i="18"/>
  <c r="CF418" i="18"/>
  <c r="CG83" i="18"/>
  <c r="CG84" i="18" s="1"/>
  <c r="CF81" i="18"/>
  <c r="CE236" i="18" l="1"/>
  <c r="CE16" i="18"/>
  <c r="CE10" i="19"/>
  <c r="CE230" i="18"/>
  <c r="CG418" i="18"/>
  <c r="CF419" i="18"/>
  <c r="CF279" i="18"/>
  <c r="CF249" i="18"/>
  <c r="CG78" i="18"/>
  <c r="CF59" i="18"/>
  <c r="EH54" i="18"/>
  <c r="EH56" i="18" s="1"/>
  <c r="CF82" i="18"/>
  <c r="CG82" i="18" s="1"/>
  <c r="CG81" i="18"/>
  <c r="CF14" i="77"/>
  <c r="CF396" i="18"/>
  <c r="CG396" i="18" s="1"/>
  <c r="CF460" i="18"/>
  <c r="CE20" i="77"/>
  <c r="CE167" i="19" l="1"/>
  <c r="CG419" i="18"/>
  <c r="CG420" i="18" s="1"/>
  <c r="CF420" i="18"/>
  <c r="CE231" i="18"/>
  <c r="CE13" i="19" s="1"/>
  <c r="CG249" i="18"/>
  <c r="CG59" i="18"/>
  <c r="CE9" i="19"/>
  <c r="CE235" i="18"/>
  <c r="CE232" i="18"/>
  <c r="CE466" i="18"/>
  <c r="CE402" i="18"/>
  <c r="CE17" i="18"/>
  <c r="CG14" i="77"/>
  <c r="CG460" i="18"/>
  <c r="CE21" i="77"/>
  <c r="CE34" i="77"/>
  <c r="CE49" i="77"/>
  <c r="CF15" i="77"/>
  <c r="CG15" i="77" s="1"/>
  <c r="CF31" i="77"/>
  <c r="CF45" i="77"/>
  <c r="CF114" i="77"/>
  <c r="CF94" i="77"/>
  <c r="CF95" i="77" s="1"/>
  <c r="CG95" i="77" s="1"/>
  <c r="CE229" i="18"/>
  <c r="CK161" i="19" l="1"/>
  <c r="CE156" i="16"/>
  <c r="CE132" i="16"/>
  <c r="CE94" i="16"/>
  <c r="CE13" i="16"/>
  <c r="CE138" i="16" s="1"/>
  <c r="CE16" i="16"/>
  <c r="CE140" i="16" s="1"/>
  <c r="CE60" i="19"/>
  <c r="CE12" i="19"/>
  <c r="CF116" i="77"/>
  <c r="CG116" i="77" s="1"/>
  <c r="CG114" i="77"/>
  <c r="CG45" i="77"/>
  <c r="CG46" i="77" s="1"/>
  <c r="CG47" i="77" s="1"/>
  <c r="CF48" i="77"/>
  <c r="CE18" i="19"/>
  <c r="CE17" i="19"/>
  <c r="CE12" i="77"/>
  <c r="CE50" i="77"/>
  <c r="CE39" i="77"/>
  <c r="CE35" i="77"/>
  <c r="CE25" i="77"/>
  <c r="CE110" i="77"/>
  <c r="CG31" i="77"/>
  <c r="CG32" i="77" s="1"/>
  <c r="CF33" i="77"/>
  <c r="CE9" i="77"/>
  <c r="CE21" i="18"/>
  <c r="CE407" i="18"/>
  <c r="CE404" i="18"/>
  <c r="CE471" i="18"/>
  <c r="CE468" i="18"/>
  <c r="CE14" i="16" l="1"/>
  <c r="CE139" i="16" s="1"/>
  <c r="CE16" i="19"/>
  <c r="CE61" i="19"/>
  <c r="CE135" i="19"/>
  <c r="CE136" i="19" s="1"/>
  <c r="CE63" i="19"/>
  <c r="CE72" i="19"/>
  <c r="CE133" i="19"/>
  <c r="CE134" i="19" s="1"/>
  <c r="CE71" i="19"/>
  <c r="CE62" i="19"/>
  <c r="CE40" i="77"/>
  <c r="CE55" i="77"/>
  <c r="CE41" i="77"/>
  <c r="CE63" i="77"/>
  <c r="CE89" i="77"/>
  <c r="CE42" i="77"/>
  <c r="CE29" i="17"/>
  <c r="CE406" i="18"/>
  <c r="CE405" i="18"/>
  <c r="CE143" i="19"/>
  <c r="CE144" i="19" s="1"/>
  <c r="CE92" i="19"/>
  <c r="CG48" i="77"/>
  <c r="CE26" i="77"/>
  <c r="CE27" i="77"/>
  <c r="CE28" i="77"/>
  <c r="CE141" i="19"/>
  <c r="CE142" i="19" s="1"/>
  <c r="CE88" i="19"/>
  <c r="CE19" i="19"/>
  <c r="CE18" i="17"/>
  <c r="CE46" i="19"/>
  <c r="CE469" i="18"/>
  <c r="CE470" i="18"/>
  <c r="CG33" i="77"/>
  <c r="CG96" i="77"/>
  <c r="CG94" i="77" s="1"/>
  <c r="CG115" i="77"/>
  <c r="CE111" i="77"/>
  <c r="CE56" i="77"/>
  <c r="CE100" i="77"/>
  <c r="CE64" i="77"/>
  <c r="CE10" i="77"/>
  <c r="CE106" i="77"/>
  <c r="CE20" i="17"/>
  <c r="CE27" i="16" l="1"/>
  <c r="CE148" i="16" s="1"/>
  <c r="CE64" i="19"/>
  <c r="CE50" i="19"/>
  <c r="CE51" i="19"/>
  <c r="CE84" i="19"/>
  <c r="CE87" i="19" s="1"/>
  <c r="CE120" i="19" s="1"/>
  <c r="CE131" i="19"/>
  <c r="CE132" i="19" s="1"/>
  <c r="CE19" i="17"/>
  <c r="CE91" i="19"/>
  <c r="CE121" i="19" s="1"/>
  <c r="CE96" i="19"/>
  <c r="CE122" i="19" s="1"/>
  <c r="CE90" i="77"/>
  <c r="CE91" i="77"/>
  <c r="CE92" i="77"/>
  <c r="CE107" i="77"/>
  <c r="CE108" i="77"/>
  <c r="CE109" i="77"/>
  <c r="CE20" i="19"/>
  <c r="CE157" i="16" l="1"/>
  <c r="CE159" i="16" s="1"/>
  <c r="CE160" i="16" s="1"/>
  <c r="CE161" i="16" s="1"/>
  <c r="CE56" i="16"/>
  <c r="CE133" i="16"/>
  <c r="CE135" i="16" s="1"/>
  <c r="CE136" i="16" s="1"/>
  <c r="CE137" i="16" s="1"/>
  <c r="CE145" i="19"/>
  <c r="CE65" i="19"/>
  <c r="CE55" i="19"/>
  <c r="CE54" i="19"/>
  <c r="CE137" i="19"/>
  <c r="CE97" i="19"/>
  <c r="CE23" i="17"/>
  <c r="CE146" i="19" l="1"/>
  <c r="CE138" i="19"/>
  <c r="CE156" i="19"/>
  <c r="CE103" i="19"/>
  <c r="CE123" i="19" s="1"/>
  <c r="CE147" i="19" l="1"/>
  <c r="CE164" i="19"/>
  <c r="CE157" i="19"/>
  <c r="CE165" i="19" l="1"/>
  <c r="CE66" i="19"/>
  <c r="CE158" i="19"/>
  <c r="CE166" i="19" l="1"/>
  <c r="CE56" i="19"/>
  <c r="CF123" i="18" l="1"/>
  <c r="CG123" i="18" s="1"/>
  <c r="CF154" i="18"/>
  <c r="CF155" i="18" l="1"/>
  <c r="CG155" i="18" s="1"/>
  <c r="CG154" i="18"/>
  <c r="CF181" i="18" l="1"/>
  <c r="CF589" i="18" s="1"/>
  <c r="CG338" i="18"/>
  <c r="CG449" i="18" s="1"/>
  <c r="CF338" i="18"/>
  <c r="CF385" i="18" s="1"/>
  <c r="CF152" i="18"/>
  <c r="CG181" i="18" l="1"/>
  <c r="CG194" i="18" s="1"/>
  <c r="CG385" i="18"/>
  <c r="CF449" i="18"/>
  <c r="CF153" i="18"/>
  <c r="CF337" i="18" s="1"/>
  <c r="CI74" i="18"/>
  <c r="CI152" i="18" s="1"/>
  <c r="CI413" i="18"/>
  <c r="CI433" i="18"/>
  <c r="CI423" i="18"/>
  <c r="CG589" i="18"/>
  <c r="CG124" i="18"/>
  <c r="CF120" i="18"/>
  <c r="CF115" i="18"/>
  <c r="CG152" i="18"/>
  <c r="CF158" i="18"/>
  <c r="CF398" i="18"/>
  <c r="CG398" i="18" s="1"/>
  <c r="CF462" i="18"/>
  <c r="CG462" i="18" s="1"/>
  <c r="CF156" i="18"/>
  <c r="CF180" i="18" l="1"/>
  <c r="CF588" i="18" s="1"/>
  <c r="CG588" i="18" s="1"/>
  <c r="CG337" i="18"/>
  <c r="CG384" i="18" s="1"/>
  <c r="CG390" i="18" s="1"/>
  <c r="CG153" i="18"/>
  <c r="CI428" i="18"/>
  <c r="CI424" i="18"/>
  <c r="CI422" i="18"/>
  <c r="CI426" i="18" s="1"/>
  <c r="CI434" i="18"/>
  <c r="CI438" i="18"/>
  <c r="CI432" i="18"/>
  <c r="CI123" i="18"/>
  <c r="CI134" i="18"/>
  <c r="CI72" i="18"/>
  <c r="CI69" i="18"/>
  <c r="CI154" i="18"/>
  <c r="CI158" i="18" s="1"/>
  <c r="CI153" i="18"/>
  <c r="CJ74" i="18"/>
  <c r="CJ152" i="18" s="1"/>
  <c r="CJ413" i="18"/>
  <c r="CI371" i="18"/>
  <c r="CI414" i="18"/>
  <c r="CI361" i="18"/>
  <c r="CF169" i="18"/>
  <c r="CG115" i="18"/>
  <c r="CF112" i="18"/>
  <c r="CF43" i="18" s="1"/>
  <c r="CI288" i="18" s="1"/>
  <c r="CG120" i="18"/>
  <c r="EH60" i="18"/>
  <c r="EH62" i="18" s="1"/>
  <c r="CF121" i="18"/>
  <c r="CG121" i="18" s="1"/>
  <c r="CI121" i="18" s="1"/>
  <c r="CJ121" i="18" s="1"/>
  <c r="CK121" i="18" s="1"/>
  <c r="CL121" i="18" s="1"/>
  <c r="CM121" i="18" s="1"/>
  <c r="CO121" i="18" s="1"/>
  <c r="CP121" i="18" s="1"/>
  <c r="CQ121" i="18" s="1"/>
  <c r="CR121" i="18" s="1"/>
  <c r="CS121" i="18" s="1"/>
  <c r="CF119" i="18"/>
  <c r="CF60" i="18"/>
  <c r="CF113" i="18"/>
  <c r="CF114" i="18" s="1"/>
  <c r="CG114" i="18" s="1"/>
  <c r="CF164" i="18"/>
  <c r="CG158" i="18"/>
  <c r="CF159" i="18"/>
  <c r="CG156" i="18"/>
  <c r="CF157" i="18"/>
  <c r="CF384" i="18"/>
  <c r="CF390" i="18" s="1"/>
  <c r="CF448" i="18"/>
  <c r="CF454" i="18" s="1"/>
  <c r="CG180" i="18" l="1"/>
  <c r="CG193" i="18" s="1"/>
  <c r="CG448" i="18"/>
  <c r="CG454" i="18" s="1"/>
  <c r="CG457" i="18" s="1"/>
  <c r="CJ433" i="18"/>
  <c r="CJ432" i="18" s="1"/>
  <c r="CJ69" i="18"/>
  <c r="CJ72" i="18"/>
  <c r="CJ423" i="18"/>
  <c r="CI462" i="18"/>
  <c r="CI437" i="18"/>
  <c r="CJ154" i="18"/>
  <c r="CI155" i="18"/>
  <c r="CI398" i="18"/>
  <c r="CJ134" i="18"/>
  <c r="CI415" i="18"/>
  <c r="CI73" i="18"/>
  <c r="CK413" i="18"/>
  <c r="CK74" i="18"/>
  <c r="CI337" i="18"/>
  <c r="CI180" i="18"/>
  <c r="CI159" i="18"/>
  <c r="CI340" i="18" s="1"/>
  <c r="CJ123" i="18"/>
  <c r="CI429" i="18"/>
  <c r="CI431" i="18"/>
  <c r="CI450" i="18" s="1"/>
  <c r="CI156" i="18"/>
  <c r="CJ153" i="18"/>
  <c r="CF171" i="18"/>
  <c r="CI164" i="18"/>
  <c r="CI165" i="18" s="1"/>
  <c r="CI114" i="18"/>
  <c r="CG119" i="18"/>
  <c r="CI119" i="18"/>
  <c r="CJ119" i="18" s="1"/>
  <c r="CK119" i="18" s="1"/>
  <c r="CL119" i="18" s="1"/>
  <c r="CM258" i="18"/>
  <c r="CF170" i="18"/>
  <c r="EL168" i="18"/>
  <c r="CG169" i="18"/>
  <c r="CF257" i="18"/>
  <c r="CF256" i="18"/>
  <c r="CF9" i="18"/>
  <c r="CF340" i="18"/>
  <c r="CG340" i="18"/>
  <c r="CG159" i="18"/>
  <c r="CF183" i="18"/>
  <c r="CF591" i="18" s="1"/>
  <c r="CG591" i="18" s="1"/>
  <c r="CG113" i="18"/>
  <c r="CG259" i="18"/>
  <c r="CG60" i="18"/>
  <c r="CG258" i="18"/>
  <c r="CF456" i="18"/>
  <c r="CF455" i="18"/>
  <c r="CF457" i="18"/>
  <c r="CF393" i="18"/>
  <c r="CF391" i="18"/>
  <c r="CF392" i="18"/>
  <c r="CG112" i="18"/>
  <c r="CG43" i="18" s="1"/>
  <c r="CG455" i="18"/>
  <c r="CG339" i="18"/>
  <c r="CF339" i="18"/>
  <c r="CG157" i="18"/>
  <c r="CF182" i="18"/>
  <c r="CF590" i="18" s="1"/>
  <c r="CG164" i="18"/>
  <c r="CF165" i="18"/>
  <c r="CG393" i="18"/>
  <c r="CG391" i="18"/>
  <c r="CF172" i="18"/>
  <c r="CF61" i="18" s="1"/>
  <c r="CJ155" i="18" l="1"/>
  <c r="CJ338" i="18" s="1"/>
  <c r="CK154" i="18"/>
  <c r="CI157" i="18"/>
  <c r="CI339" i="18" s="1"/>
  <c r="CJ156" i="18"/>
  <c r="CK134" i="18"/>
  <c r="CJ158" i="18"/>
  <c r="CJ434" i="18"/>
  <c r="CJ438" i="18"/>
  <c r="CK123" i="18"/>
  <c r="CI169" i="18"/>
  <c r="CI172" i="18" s="1"/>
  <c r="CJ371" i="18"/>
  <c r="CI416" i="18"/>
  <c r="CI417" i="18"/>
  <c r="CJ415" i="18"/>
  <c r="CI170" i="18"/>
  <c r="CI181" i="18"/>
  <c r="CI589" i="18" s="1"/>
  <c r="CI338" i="18"/>
  <c r="CJ361" i="18"/>
  <c r="CK72" i="18"/>
  <c r="CK69" i="18"/>
  <c r="CJ398" i="18"/>
  <c r="CI588" i="18"/>
  <c r="CI439" i="18"/>
  <c r="CI441" i="18"/>
  <c r="CI451" i="18" s="1"/>
  <c r="CJ114" i="18"/>
  <c r="CI183" i="18"/>
  <c r="CI591" i="18" s="1"/>
  <c r="CK152" i="18"/>
  <c r="CI384" i="18"/>
  <c r="CI448" i="18"/>
  <c r="CI171" i="18"/>
  <c r="CJ414" i="18"/>
  <c r="CJ337" i="18"/>
  <c r="CJ180" i="18"/>
  <c r="CJ73" i="18"/>
  <c r="CJ424" i="18"/>
  <c r="CJ428" i="18"/>
  <c r="CJ422" i="18"/>
  <c r="CJ437" i="18"/>
  <c r="CM119" i="18"/>
  <c r="CO119" i="18"/>
  <c r="CP119" i="18" s="1"/>
  <c r="CQ119" i="18" s="1"/>
  <c r="CR119" i="18" s="1"/>
  <c r="CS119" i="18" s="1"/>
  <c r="CI343" i="18"/>
  <c r="CI186" i="18"/>
  <c r="CJ164" i="18"/>
  <c r="CJ165" i="18" s="1"/>
  <c r="CG590" i="18"/>
  <c r="CG172" i="18"/>
  <c r="CG61" i="18" s="1"/>
  <c r="CG257" i="18"/>
  <c r="CG256" i="18"/>
  <c r="CF10" i="18"/>
  <c r="CF267" i="18"/>
  <c r="CF237" i="18"/>
  <c r="CF18" i="77"/>
  <c r="CG9" i="18"/>
  <c r="CF13" i="77"/>
  <c r="CG183" i="18"/>
  <c r="CG196" i="18" s="1"/>
  <c r="CF440" i="18"/>
  <c r="CF376" i="18"/>
  <c r="CG171" i="18"/>
  <c r="CG170" i="18"/>
  <c r="CG182" i="18"/>
  <c r="CG195" i="18" s="1"/>
  <c r="CF366" i="18"/>
  <c r="CF430" i="18"/>
  <c r="CG392" i="18"/>
  <c r="CG343" i="18"/>
  <c r="CG345" i="18" s="1"/>
  <c r="CF343" i="18"/>
  <c r="CF345" i="18" s="1"/>
  <c r="CG165" i="18"/>
  <c r="CG168" i="18" s="1"/>
  <c r="CF186" i="18"/>
  <c r="CG456" i="18"/>
  <c r="CJ181" i="18" l="1"/>
  <c r="CJ589" i="18" s="1"/>
  <c r="CI182" i="18"/>
  <c r="CI174" i="18" s="1"/>
  <c r="CJ169" i="18"/>
  <c r="CJ172" i="18" s="1"/>
  <c r="CK156" i="18"/>
  <c r="CJ159" i="18"/>
  <c r="CJ340" i="18" s="1"/>
  <c r="CK158" i="18"/>
  <c r="CI376" i="18"/>
  <c r="CK114" i="18"/>
  <c r="CI440" i="18"/>
  <c r="CJ426" i="18"/>
  <c r="CK423" i="18"/>
  <c r="CK414" i="18"/>
  <c r="CJ416" i="18"/>
  <c r="CJ417" i="18"/>
  <c r="CJ461" i="18" s="1"/>
  <c r="CJ157" i="18"/>
  <c r="CJ339" i="18" s="1"/>
  <c r="CK73" i="18"/>
  <c r="CI385" i="18"/>
  <c r="CI390" i="18" s="1"/>
  <c r="CI449" i="18"/>
  <c r="CI454" i="18" s="1"/>
  <c r="CK155" i="18"/>
  <c r="CK398" i="18"/>
  <c r="CK371" i="18"/>
  <c r="CJ170" i="18"/>
  <c r="CL74" i="18"/>
  <c r="CL152" i="18" s="1"/>
  <c r="CL413" i="18"/>
  <c r="CM413" i="18" s="1"/>
  <c r="CL123" i="18"/>
  <c r="CM123" i="18" s="1"/>
  <c r="CL134" i="18"/>
  <c r="CM134" i="18" s="1"/>
  <c r="CK153" i="18"/>
  <c r="CI397" i="18"/>
  <c r="CI461" i="18"/>
  <c r="CI345" i="18"/>
  <c r="CI346" i="18" s="1"/>
  <c r="CK361" i="18"/>
  <c r="CJ439" i="18"/>
  <c r="CJ441" i="18"/>
  <c r="CJ451" i="18" s="1"/>
  <c r="CJ588" i="18"/>
  <c r="CK433" i="18"/>
  <c r="CJ385" i="18"/>
  <c r="CJ449" i="18"/>
  <c r="CK415" i="18"/>
  <c r="CJ462" i="18"/>
  <c r="CJ448" i="18"/>
  <c r="CJ384" i="18"/>
  <c r="CJ186" i="18"/>
  <c r="CJ594" i="18" s="1"/>
  <c r="CJ343" i="18"/>
  <c r="CK164" i="18"/>
  <c r="CI590" i="18"/>
  <c r="CI594" i="18"/>
  <c r="CJ171" i="18"/>
  <c r="CG186" i="18"/>
  <c r="CG174" i="18" s="1"/>
  <c r="CF594" i="18"/>
  <c r="CF467" i="18"/>
  <c r="CF174" i="18"/>
  <c r="CF348" i="18"/>
  <c r="CF346" i="18"/>
  <c r="CF347" i="18"/>
  <c r="CG348" i="18"/>
  <c r="CG346" i="18"/>
  <c r="CG440" i="18"/>
  <c r="CG376" i="18"/>
  <c r="CG430" i="18"/>
  <c r="CG366" i="18"/>
  <c r="CG10" i="18"/>
  <c r="CG18" i="77"/>
  <c r="CG237" i="18"/>
  <c r="CF16" i="77"/>
  <c r="CF403" i="18"/>
  <c r="CL156" i="18" l="1"/>
  <c r="CK157" i="18"/>
  <c r="CK339" i="18" s="1"/>
  <c r="CJ183" i="18"/>
  <c r="CJ440" i="18" s="1"/>
  <c r="CL414" i="18"/>
  <c r="CM414" i="18" s="1"/>
  <c r="CI348" i="18"/>
  <c r="CL114" i="18"/>
  <c r="CM114" i="18" s="1"/>
  <c r="CL371" i="18"/>
  <c r="CM371" i="18" s="1"/>
  <c r="CJ182" i="18"/>
  <c r="CJ590" i="18" s="1"/>
  <c r="CI347" i="18"/>
  <c r="CL72" i="18"/>
  <c r="CL73" i="18" s="1"/>
  <c r="CM73" i="18" s="1"/>
  <c r="CL69" i="18"/>
  <c r="CM74" i="18"/>
  <c r="CM259" i="18" s="1"/>
  <c r="CI456" i="18"/>
  <c r="CI457" i="18"/>
  <c r="CI455" i="18"/>
  <c r="CI463" i="18" s="1"/>
  <c r="CK337" i="18"/>
  <c r="CK180" i="18"/>
  <c r="CK338" i="18"/>
  <c r="CK181" i="18"/>
  <c r="CK416" i="18"/>
  <c r="CK417" i="18"/>
  <c r="CK461" i="18" s="1"/>
  <c r="CK159" i="18"/>
  <c r="CI391" i="18"/>
  <c r="CI399" i="18" s="1"/>
  <c r="CI393" i="18"/>
  <c r="CI392" i="18"/>
  <c r="CO74" i="18"/>
  <c r="CO152" i="18" s="1"/>
  <c r="CO413" i="18"/>
  <c r="CM152" i="18"/>
  <c r="CK424" i="18"/>
  <c r="CK422" i="18"/>
  <c r="CK428" i="18"/>
  <c r="CL361" i="18"/>
  <c r="CM361" i="18" s="1"/>
  <c r="CK170" i="18"/>
  <c r="CL154" i="18"/>
  <c r="CL158" i="18" s="1"/>
  <c r="CJ429" i="18"/>
  <c r="CJ431" i="18"/>
  <c r="CJ450" i="18" s="1"/>
  <c r="CJ454" i="18" s="1"/>
  <c r="CK434" i="18"/>
  <c r="CK432" i="18"/>
  <c r="CK438" i="18"/>
  <c r="CK169" i="18"/>
  <c r="CK172" i="18" s="1"/>
  <c r="CJ390" i="18"/>
  <c r="CL153" i="18"/>
  <c r="CM337" i="18" s="1"/>
  <c r="CJ397" i="18"/>
  <c r="CI83" i="18"/>
  <c r="CI418" i="18" s="1"/>
  <c r="CG175" i="18"/>
  <c r="CL164" i="18"/>
  <c r="CK165" i="18"/>
  <c r="CI596" i="18"/>
  <c r="CJ345" i="18"/>
  <c r="CI604" i="18"/>
  <c r="CI261" i="18"/>
  <c r="CI291" i="18"/>
  <c r="CI11" i="18"/>
  <c r="CI353" i="18"/>
  <c r="CI354" i="18" s="1"/>
  <c r="EM353" i="18" s="1"/>
  <c r="CI260" i="18"/>
  <c r="EM201" i="18" s="1"/>
  <c r="EM205" i="18" s="1"/>
  <c r="CJ83" i="18"/>
  <c r="CK171" i="18"/>
  <c r="CG604" i="18"/>
  <c r="CF604" i="18"/>
  <c r="CF243" i="18"/>
  <c r="CG594" i="18"/>
  <c r="CF596" i="18"/>
  <c r="CF260" i="18"/>
  <c r="CG467" i="18"/>
  <c r="CF201" i="18"/>
  <c r="CF261" i="18"/>
  <c r="CF353" i="18"/>
  <c r="CF354" i="18" s="1"/>
  <c r="EL353" i="18" s="1"/>
  <c r="CF291" i="18"/>
  <c r="CG463" i="18"/>
  <c r="CG399" i="18"/>
  <c r="EP322" i="18"/>
  <c r="CF400" i="18"/>
  <c r="CF464" i="18"/>
  <c r="CG403" i="18"/>
  <c r="CG261" i="18"/>
  <c r="CG353" i="18"/>
  <c r="CG354" i="18" s="1"/>
  <c r="CG355" i="18" s="1"/>
  <c r="CG260" i="18"/>
  <c r="CG602" i="18" s="1"/>
  <c r="CG201" i="18"/>
  <c r="CF463" i="18"/>
  <c r="CF399" i="18"/>
  <c r="CF17" i="77"/>
  <c r="CF29" i="77"/>
  <c r="CF43" i="77"/>
  <c r="CK182" i="18" l="1"/>
  <c r="CK590" i="18" s="1"/>
  <c r="CM153" i="18"/>
  <c r="CO156" i="18"/>
  <c r="CI81" i="18"/>
  <c r="CI14" i="77" s="1"/>
  <c r="CI15" i="77" s="1"/>
  <c r="CM158" i="18"/>
  <c r="CO158" i="18"/>
  <c r="CJ591" i="18"/>
  <c r="CJ596" i="18" s="1"/>
  <c r="CJ376" i="18"/>
  <c r="CJ174" i="18"/>
  <c r="CJ291" i="18" s="1"/>
  <c r="CI464" i="18"/>
  <c r="CO154" i="18"/>
  <c r="CM154" i="18"/>
  <c r="CO123" i="18" s="1"/>
  <c r="CL398" i="18"/>
  <c r="CM398" i="18" s="1"/>
  <c r="CL155" i="18"/>
  <c r="CK340" i="18"/>
  <c r="CK183" i="18"/>
  <c r="CP74" i="18"/>
  <c r="CP152" i="18" s="1"/>
  <c r="CO153" i="18"/>
  <c r="CP413" i="18"/>
  <c r="CK588" i="18"/>
  <c r="CI400" i="18"/>
  <c r="EQ322" i="18"/>
  <c r="CL415" i="18"/>
  <c r="CM72" i="18"/>
  <c r="CI78" i="18"/>
  <c r="CI279" i="18" s="1"/>
  <c r="CO72" i="18"/>
  <c r="CO73" i="18" s="1"/>
  <c r="CO69" i="18"/>
  <c r="CK384" i="18"/>
  <c r="CK448" i="18"/>
  <c r="CO414" i="18"/>
  <c r="CK385" i="18"/>
  <c r="CK449" i="18"/>
  <c r="CM448" i="18"/>
  <c r="CM384" i="18"/>
  <c r="CJ456" i="18"/>
  <c r="CJ455" i="18"/>
  <c r="CJ457" i="18"/>
  <c r="CK437" i="18"/>
  <c r="CK462" i="18"/>
  <c r="CK426" i="18"/>
  <c r="CL423" i="18"/>
  <c r="CL433" i="18"/>
  <c r="CJ392" i="18"/>
  <c r="CJ391" i="18"/>
  <c r="CJ393" i="18"/>
  <c r="CL159" i="18"/>
  <c r="CM69" i="18"/>
  <c r="CL337" i="18"/>
  <c r="CL180" i="18"/>
  <c r="CM180" i="18" s="1"/>
  <c r="CM193" i="18" s="1"/>
  <c r="CK589" i="18"/>
  <c r="CK397" i="18"/>
  <c r="CI19" i="77"/>
  <c r="CI605" i="18"/>
  <c r="CM164" i="18"/>
  <c r="CO164" i="18"/>
  <c r="CO165" i="18" s="1"/>
  <c r="CL165" i="18"/>
  <c r="CM165" i="18" s="1"/>
  <c r="CI238" i="18"/>
  <c r="CI12" i="18"/>
  <c r="CI351" i="18"/>
  <c r="CI602" i="18"/>
  <c r="CI598" i="18"/>
  <c r="CI599" i="18"/>
  <c r="EU590" i="18" s="1"/>
  <c r="CI597" i="18"/>
  <c r="CI419" i="18"/>
  <c r="CJ418" i="18"/>
  <c r="CJ419" i="18" s="1"/>
  <c r="CJ420" i="18" s="1"/>
  <c r="CJ81" i="18"/>
  <c r="CJ14" i="77" s="1"/>
  <c r="CJ78" i="18"/>
  <c r="CJ347" i="18"/>
  <c r="ER322" i="18" s="1"/>
  <c r="CJ348" i="18"/>
  <c r="CJ346" i="18"/>
  <c r="CK186" i="18"/>
  <c r="CK343" i="18"/>
  <c r="CG596" i="18"/>
  <c r="CF597" i="18"/>
  <c r="CF599" i="18"/>
  <c r="ET590" i="18" s="1"/>
  <c r="CF598" i="18"/>
  <c r="CF605" i="18"/>
  <c r="EL201" i="18"/>
  <c r="EL205" i="18" s="1"/>
  <c r="CF602" i="18"/>
  <c r="CF351" i="18"/>
  <c r="CF30" i="77"/>
  <c r="CG29" i="77"/>
  <c r="CF112" i="77"/>
  <c r="CF44" i="77"/>
  <c r="CG43" i="77"/>
  <c r="CG351" i="18"/>
  <c r="CI45" i="77" l="1"/>
  <c r="CI48" i="77" s="1"/>
  <c r="CI396" i="18"/>
  <c r="CI114" i="77"/>
  <c r="CI116" i="77" s="1"/>
  <c r="CI60" i="18"/>
  <c r="CI61" i="18" s="1"/>
  <c r="CI94" i="77"/>
  <c r="CI95" i="77" s="1"/>
  <c r="CI31" i="77"/>
  <c r="CI33" i="77" s="1"/>
  <c r="CI460" i="18"/>
  <c r="CI82" i="18"/>
  <c r="CJ82" i="18" s="1"/>
  <c r="CO159" i="18"/>
  <c r="CO340" i="18" s="1"/>
  <c r="CP156" i="18"/>
  <c r="CP158" i="18"/>
  <c r="CJ261" i="18"/>
  <c r="CJ260" i="18"/>
  <c r="CO134" i="18"/>
  <c r="CJ599" i="18"/>
  <c r="EV590" i="18" s="1"/>
  <c r="CJ597" i="18"/>
  <c r="CJ598" i="18"/>
  <c r="CJ353" i="18"/>
  <c r="CJ354" i="18" s="1"/>
  <c r="EN353" i="18" s="1"/>
  <c r="CJ604" i="18"/>
  <c r="CJ605" i="18" s="1"/>
  <c r="CK83" i="18"/>
  <c r="CK418" i="18" s="1"/>
  <c r="CJ11" i="18"/>
  <c r="CJ12" i="18" s="1"/>
  <c r="CP134" i="18"/>
  <c r="CP123" i="18"/>
  <c r="CL171" i="18"/>
  <c r="CL170" i="18"/>
  <c r="CI366" i="18"/>
  <c r="CI403" i="18" s="1"/>
  <c r="CO361" i="18"/>
  <c r="CO371" i="18"/>
  <c r="CI59" i="18"/>
  <c r="CI43" i="18" s="1"/>
  <c r="CI257" i="18" s="1"/>
  <c r="CL169" i="18"/>
  <c r="CL172" i="18" s="1"/>
  <c r="CI249" i="18"/>
  <c r="CI430" i="18"/>
  <c r="CI467" i="18" s="1"/>
  <c r="CQ74" i="18"/>
  <c r="CQ413" i="18"/>
  <c r="CP153" i="18"/>
  <c r="CL428" i="18"/>
  <c r="CM428" i="18" s="1"/>
  <c r="CM423" i="18"/>
  <c r="CL424" i="18"/>
  <c r="CM424" i="18" s="1"/>
  <c r="CL422" i="18"/>
  <c r="CO415" i="18"/>
  <c r="CO337" i="18"/>
  <c r="CO180" i="18"/>
  <c r="CL432" i="18"/>
  <c r="CL434" i="18"/>
  <c r="CM434" i="18" s="1"/>
  <c r="CL438" i="18"/>
  <c r="CM438" i="18" s="1"/>
  <c r="CM433" i="18"/>
  <c r="CK431" i="18"/>
  <c r="CK450" i="18" s="1"/>
  <c r="CK429" i="18"/>
  <c r="CL338" i="18"/>
  <c r="CL181" i="18"/>
  <c r="CM338" i="18"/>
  <c r="CM155" i="18"/>
  <c r="CK591" i="18"/>
  <c r="CK376" i="18"/>
  <c r="CP72" i="18"/>
  <c r="CP73" i="18" s="1"/>
  <c r="CP69" i="18"/>
  <c r="CL588" i="18"/>
  <c r="CM588" i="18" s="1"/>
  <c r="CK439" i="18"/>
  <c r="CK441" i="18"/>
  <c r="CK451" i="18" s="1"/>
  <c r="CK390" i="18"/>
  <c r="CL416" i="18"/>
  <c r="CM416" i="18" s="1"/>
  <c r="CL417" i="18"/>
  <c r="CM415" i="18"/>
  <c r="CK345" i="18"/>
  <c r="CK347" i="18" s="1"/>
  <c r="CM340" i="18"/>
  <c r="CL183" i="18"/>
  <c r="CL340" i="18"/>
  <c r="CL448" i="18"/>
  <c r="CL384" i="18"/>
  <c r="CM156" i="18"/>
  <c r="CL157" i="18"/>
  <c r="CM159" i="18"/>
  <c r="CO398" i="18"/>
  <c r="CO155" i="18"/>
  <c r="CP154" i="18"/>
  <c r="CP155" i="18" s="1"/>
  <c r="CJ15" i="77"/>
  <c r="CJ31" i="77"/>
  <c r="CJ45" i="77"/>
  <c r="CJ114" i="77"/>
  <c r="CJ94" i="77"/>
  <c r="CI22" i="77"/>
  <c r="CI20" i="77"/>
  <c r="CI21" i="77" s="1"/>
  <c r="CP164" i="18"/>
  <c r="CP165" i="18" s="1"/>
  <c r="CO186" i="18"/>
  <c r="CO343" i="18"/>
  <c r="CJ430" i="18"/>
  <c r="CJ467" i="18" s="1"/>
  <c r="CJ366" i="18"/>
  <c r="CJ403" i="18" s="1"/>
  <c r="CJ279" i="18"/>
  <c r="CJ249" i="18"/>
  <c r="CJ59" i="18"/>
  <c r="CI420" i="18"/>
  <c r="CK594" i="18"/>
  <c r="CK174" i="18"/>
  <c r="CL186" i="18"/>
  <c r="CL594" i="18" s="1"/>
  <c r="CL343" i="18"/>
  <c r="CM343" i="18"/>
  <c r="CJ399" i="18"/>
  <c r="CJ463" i="18"/>
  <c r="CJ400" i="18"/>
  <c r="CJ464" i="18"/>
  <c r="CJ396" i="18"/>
  <c r="CJ60" i="18"/>
  <c r="CJ61" i="18" s="1"/>
  <c r="CJ460" i="18"/>
  <c r="CG597" i="18"/>
  <c r="CG599" i="18"/>
  <c r="CG605" i="18"/>
  <c r="CF113" i="77"/>
  <c r="CG112" i="77"/>
  <c r="EN201" i="18" l="1"/>
  <c r="EN205" i="18" s="1"/>
  <c r="CO183" i="18"/>
  <c r="CO376" i="18" s="1"/>
  <c r="CJ95" i="77"/>
  <c r="CQ158" i="18"/>
  <c r="CJ116" i="77"/>
  <c r="CJ351" i="18"/>
  <c r="CQ156" i="18"/>
  <c r="CJ602" i="18"/>
  <c r="CK78" i="18"/>
  <c r="CK430" i="18" s="1"/>
  <c r="CK81" i="18"/>
  <c r="CK14" i="77" s="1"/>
  <c r="CK15" i="77" s="1"/>
  <c r="CJ268" i="18"/>
  <c r="CJ238" i="18"/>
  <c r="CJ19" i="77"/>
  <c r="CJ20" i="77" s="1"/>
  <c r="CJ21" i="77" s="1"/>
  <c r="CJ22" i="77"/>
  <c r="CK454" i="18"/>
  <c r="CK455" i="18" s="1"/>
  <c r="CP157" i="18"/>
  <c r="CP182" i="18" s="1"/>
  <c r="CK346" i="18"/>
  <c r="CQ123" i="18"/>
  <c r="CQ134" i="18"/>
  <c r="CP338" i="18"/>
  <c r="CP181" i="18"/>
  <c r="CP589" i="18" s="1"/>
  <c r="ES322" i="18"/>
  <c r="CL591" i="18"/>
  <c r="CM591" i="18" s="1"/>
  <c r="CL376" i="18"/>
  <c r="CM183" i="18"/>
  <c r="CM196" i="18" s="1"/>
  <c r="CO433" i="18"/>
  <c r="CM422" i="18"/>
  <c r="CM426" i="18" s="1"/>
  <c r="CL426" i="18"/>
  <c r="CO423" i="18"/>
  <c r="CP337" i="18"/>
  <c r="CP180" i="18"/>
  <c r="CQ414" i="18"/>
  <c r="CK392" i="18"/>
  <c r="CK400" i="18" s="1"/>
  <c r="CK391" i="18"/>
  <c r="CK393" i="18"/>
  <c r="CO588" i="18"/>
  <c r="CK348" i="18"/>
  <c r="CM157" i="18"/>
  <c r="CM168" i="18" s="1"/>
  <c r="CM339" i="18"/>
  <c r="CM345" i="18" s="1"/>
  <c r="CM348" i="18" s="1"/>
  <c r="CL339" i="18"/>
  <c r="CL345" i="18" s="1"/>
  <c r="CL182" i="18"/>
  <c r="CL174" i="18" s="1"/>
  <c r="CO114" i="18"/>
  <c r="CM171" i="18"/>
  <c r="CM169" i="18"/>
  <c r="CM172" i="18" s="1"/>
  <c r="CM170" i="18"/>
  <c r="CM385" i="18"/>
  <c r="CM390" i="18" s="1"/>
  <c r="CM449" i="18"/>
  <c r="CM432" i="18"/>
  <c r="CL437" i="18"/>
  <c r="CL462" i="18"/>
  <c r="CM462" i="18" s="1"/>
  <c r="CO384" i="18"/>
  <c r="CO448" i="18"/>
  <c r="CP398" i="18"/>
  <c r="CQ154" i="18"/>
  <c r="CL461" i="18"/>
  <c r="CM417" i="18"/>
  <c r="CL397" i="18"/>
  <c r="CL589" i="18"/>
  <c r="CM589" i="18" s="1"/>
  <c r="CM181" i="18"/>
  <c r="CM194" i="18" s="1"/>
  <c r="CK440" i="18"/>
  <c r="CP114" i="18"/>
  <c r="CP371" i="18"/>
  <c r="CO170" i="18"/>
  <c r="CO157" i="18"/>
  <c r="CP361" i="18"/>
  <c r="CO169" i="18"/>
  <c r="CO172" i="18" s="1"/>
  <c r="CP414" i="18"/>
  <c r="CO171" i="18"/>
  <c r="CO181" i="18"/>
  <c r="CO338" i="18"/>
  <c r="CP415" i="18"/>
  <c r="CL449" i="18"/>
  <c r="CL385" i="18"/>
  <c r="CL390" i="18" s="1"/>
  <c r="CO591" i="18"/>
  <c r="CO416" i="18"/>
  <c r="CO417" i="18"/>
  <c r="CQ152" i="18"/>
  <c r="CQ69" i="18"/>
  <c r="CQ72" i="18"/>
  <c r="CJ43" i="18"/>
  <c r="CJ256" i="18" s="1"/>
  <c r="CJ288" i="18"/>
  <c r="CJ33" i="77"/>
  <c r="CI34" i="77"/>
  <c r="CI256" i="18"/>
  <c r="CI201" i="18"/>
  <c r="CJ48" i="77"/>
  <c r="CI49" i="77"/>
  <c r="CI9" i="18"/>
  <c r="CI18" i="77" s="1"/>
  <c r="CQ164" i="18"/>
  <c r="CP186" i="18"/>
  <c r="CP594" i="18" s="1"/>
  <c r="CP343" i="18"/>
  <c r="CO594" i="18"/>
  <c r="CJ472" i="18"/>
  <c r="CK353" i="18"/>
  <c r="CK354" i="18" s="1"/>
  <c r="EO353" i="18" s="1"/>
  <c r="CK604" i="18"/>
  <c r="CK291" i="18"/>
  <c r="CK261" i="18"/>
  <c r="CK260" i="18"/>
  <c r="EO201" i="18" s="1"/>
  <c r="EO205" i="18" s="1"/>
  <c r="CL83" i="18"/>
  <c r="CK11" i="18"/>
  <c r="CK419" i="18"/>
  <c r="CM186" i="18"/>
  <c r="CM594" i="18"/>
  <c r="CK596" i="18"/>
  <c r="CJ408" i="18"/>
  <c r="CK460" i="18" l="1"/>
  <c r="CK31" i="77"/>
  <c r="CK33" i="77" s="1"/>
  <c r="CK45" i="77"/>
  <c r="CK48" i="77" s="1"/>
  <c r="CK94" i="77"/>
  <c r="CK95" i="77" s="1"/>
  <c r="CK60" i="18"/>
  <c r="CK61" i="18" s="1"/>
  <c r="CK396" i="18"/>
  <c r="CK59" i="18"/>
  <c r="CK279" i="18"/>
  <c r="CK82" i="18"/>
  <c r="CK249" i="18"/>
  <c r="CK366" i="18"/>
  <c r="CK403" i="18" s="1"/>
  <c r="CK408" i="18" s="1"/>
  <c r="CK463" i="18"/>
  <c r="CK114" i="77"/>
  <c r="CK116" i="77" s="1"/>
  <c r="CK456" i="18"/>
  <c r="CK464" i="18" s="1"/>
  <c r="CK457" i="18"/>
  <c r="CK399" i="18"/>
  <c r="CP339" i="18"/>
  <c r="CL347" i="18"/>
  <c r="ET322" i="18" s="1"/>
  <c r="CL348" i="18"/>
  <c r="CK467" i="18"/>
  <c r="CK472" i="18" s="1"/>
  <c r="CJ201" i="18"/>
  <c r="CJ205" i="18" s="1"/>
  <c r="CJ225" i="18" s="1"/>
  <c r="CJ243" i="18"/>
  <c r="CQ361" i="18"/>
  <c r="CJ9" i="18"/>
  <c r="CJ267" i="18" s="1"/>
  <c r="CJ257" i="18"/>
  <c r="CQ398" i="18"/>
  <c r="CO438" i="18"/>
  <c r="CO434" i="18"/>
  <c r="CO385" i="18"/>
  <c r="CO390" i="18" s="1"/>
  <c r="CO449" i="18"/>
  <c r="CO339" i="18"/>
  <c r="CO345" i="18" s="1"/>
  <c r="CO182" i="18"/>
  <c r="CM376" i="18"/>
  <c r="CO589" i="18"/>
  <c r="CQ371" i="18"/>
  <c r="CL441" i="18"/>
  <c r="CL451" i="18" s="1"/>
  <c r="CL439" i="18"/>
  <c r="CM441" i="18"/>
  <c r="CM451" i="18" s="1"/>
  <c r="CP169" i="18"/>
  <c r="CP172" i="18" s="1"/>
  <c r="CP449" i="18"/>
  <c r="CP385" i="18"/>
  <c r="CP159" i="18"/>
  <c r="CP170" i="18"/>
  <c r="CQ415" i="18"/>
  <c r="CM437" i="18"/>
  <c r="CO432" i="18"/>
  <c r="CP588" i="18"/>
  <c r="CM346" i="18"/>
  <c r="CQ73" i="18"/>
  <c r="CM182" i="18"/>
  <c r="CM195" i="18" s="1"/>
  <c r="CL590" i="18"/>
  <c r="CM590" i="18" s="1"/>
  <c r="CP448" i="18"/>
  <c r="CP384" i="18"/>
  <c r="CL391" i="18"/>
  <c r="CL392" i="18"/>
  <c r="CM392" i="18" s="1"/>
  <c r="CL393" i="18"/>
  <c r="CR74" i="18"/>
  <c r="CR158" i="18" s="1"/>
  <c r="CR413" i="18"/>
  <c r="CS413" i="18" s="1"/>
  <c r="CR134" i="18"/>
  <c r="CS134" i="18" s="1"/>
  <c r="CR123" i="18"/>
  <c r="CS123" i="18" s="1"/>
  <c r="CQ159" i="18"/>
  <c r="CQ153" i="18"/>
  <c r="CP416" i="18"/>
  <c r="CP417" i="18"/>
  <c r="CP461" i="18" s="1"/>
  <c r="CM393" i="18"/>
  <c r="CM391" i="18"/>
  <c r="CO422" i="18"/>
  <c r="CO428" i="18"/>
  <c r="CO424" i="18"/>
  <c r="CL346" i="18"/>
  <c r="CO461" i="18"/>
  <c r="CO397" i="18"/>
  <c r="CM431" i="18"/>
  <c r="CM450" i="18" s="1"/>
  <c r="CL431" i="18"/>
  <c r="CL450" i="18" s="1"/>
  <c r="CL429" i="18"/>
  <c r="CM429" i="18" s="1"/>
  <c r="CP171" i="18"/>
  <c r="CM461" i="18"/>
  <c r="CM397" i="18"/>
  <c r="CQ114" i="18"/>
  <c r="CQ155" i="18"/>
  <c r="CI14" i="18"/>
  <c r="CI10" i="19" s="1"/>
  <c r="CI237" i="18"/>
  <c r="CI50" i="77"/>
  <c r="CJ49" i="77"/>
  <c r="CJ50" i="77" s="1"/>
  <c r="CK288" i="18"/>
  <c r="CO83" i="18"/>
  <c r="CO418" i="18" s="1"/>
  <c r="CI13" i="77"/>
  <c r="CI16" i="77" s="1"/>
  <c r="CI35" i="77"/>
  <c r="CI110" i="77"/>
  <c r="CI10" i="18"/>
  <c r="CI267" i="18"/>
  <c r="CI205" i="18"/>
  <c r="CK19" i="77"/>
  <c r="CK22" i="77"/>
  <c r="CJ34" i="77"/>
  <c r="CR164" i="18"/>
  <c r="CS164" i="18" s="1"/>
  <c r="CP590" i="18"/>
  <c r="CQ165" i="18"/>
  <c r="CK238" i="18"/>
  <c r="CK12" i="18"/>
  <c r="CK268" i="18"/>
  <c r="CK351" i="18"/>
  <c r="CK602" i="18"/>
  <c r="CL418" i="18"/>
  <c r="CL81" i="18"/>
  <c r="CL14" i="77" s="1"/>
  <c r="CL78" i="18"/>
  <c r="CM83" i="18"/>
  <c r="CM84" i="18" s="1"/>
  <c r="CK605" i="18"/>
  <c r="CK599" i="18"/>
  <c r="EW590" i="18" s="1"/>
  <c r="CK597" i="18"/>
  <c r="CK598" i="18"/>
  <c r="CK420" i="18"/>
  <c r="CL353" i="18"/>
  <c r="CL354" i="18" s="1"/>
  <c r="EP353" i="18" s="1"/>
  <c r="CL604" i="18"/>
  <c r="CL291" i="18"/>
  <c r="CL260" i="18"/>
  <c r="CL261" i="18"/>
  <c r="BK43" i="18"/>
  <c r="CR165" i="18" l="1"/>
  <c r="CR343" i="18" s="1"/>
  <c r="EP201" i="18"/>
  <c r="EP205" i="18" s="1"/>
  <c r="CK43" i="18"/>
  <c r="CK256" i="18" s="1"/>
  <c r="CR156" i="18"/>
  <c r="CM454" i="18"/>
  <c r="CM455" i="18" s="1"/>
  <c r="CM463" i="18" s="1"/>
  <c r="CQ170" i="18"/>
  <c r="CJ14" i="18"/>
  <c r="CJ10" i="19" s="1"/>
  <c r="CJ167" i="19" s="1"/>
  <c r="CJ13" i="77"/>
  <c r="CJ16" i="77" s="1"/>
  <c r="CL399" i="18"/>
  <c r="CJ10" i="18"/>
  <c r="CJ18" i="77"/>
  <c r="CJ237" i="18"/>
  <c r="CL454" i="18"/>
  <c r="CL455" i="18" s="1"/>
  <c r="CL463" i="18" s="1"/>
  <c r="CP397" i="18"/>
  <c r="CP390" i="18"/>
  <c r="CP391" i="18" s="1"/>
  <c r="CQ169" i="18"/>
  <c r="CQ172" i="18" s="1"/>
  <c r="CM399" i="18"/>
  <c r="CS74" i="18"/>
  <c r="CS259" i="18" s="1"/>
  <c r="CR72" i="18"/>
  <c r="CR73" i="18" s="1"/>
  <c r="CS73" i="18" s="1"/>
  <c r="CR69" i="18"/>
  <c r="CO81" i="18"/>
  <c r="CO14" i="77" s="1"/>
  <c r="CO31" i="77" s="1"/>
  <c r="CQ338" i="18"/>
  <c r="CQ181" i="18"/>
  <c r="CQ157" i="18"/>
  <c r="CR114" i="18"/>
  <c r="CS114" i="18" s="1"/>
  <c r="CR152" i="18"/>
  <c r="CP183" i="18"/>
  <c r="CP340" i="18"/>
  <c r="CP345" i="18" s="1"/>
  <c r="CO590" i="18"/>
  <c r="CO596" i="18" s="1"/>
  <c r="CO599" i="18" s="1"/>
  <c r="EY590" i="18" s="1"/>
  <c r="CO174" i="18"/>
  <c r="CQ337" i="18"/>
  <c r="CQ180" i="18"/>
  <c r="CO347" i="18"/>
  <c r="CO346" i="18"/>
  <c r="CO348" i="18"/>
  <c r="CO437" i="18"/>
  <c r="CO462" i="18"/>
  <c r="CI230" i="18"/>
  <c r="CI231" i="18" s="1"/>
  <c r="CI13" i="19" s="1"/>
  <c r="CR154" i="18"/>
  <c r="CR371" i="18"/>
  <c r="CS371" i="18" s="1"/>
  <c r="CO426" i="18"/>
  <c r="CP433" i="18"/>
  <c r="CP432" i="18" s="1"/>
  <c r="CP423" i="18"/>
  <c r="CQ416" i="18"/>
  <c r="CQ417" i="18"/>
  <c r="CQ397" i="18" s="1"/>
  <c r="CO393" i="18"/>
  <c r="CO391" i="18"/>
  <c r="CO392" i="18"/>
  <c r="CR361" i="18"/>
  <c r="CS361" i="18" s="1"/>
  <c r="CL596" i="18"/>
  <c r="CQ183" i="18"/>
  <c r="CQ340" i="18"/>
  <c r="CI236" i="18"/>
  <c r="CR414" i="18"/>
  <c r="CS414" i="18" s="1"/>
  <c r="CM439" i="18"/>
  <c r="CM440" i="18" s="1"/>
  <c r="CL440" i="18"/>
  <c r="CM174" i="18"/>
  <c r="CQ171" i="18"/>
  <c r="CL400" i="18"/>
  <c r="CO78" i="18"/>
  <c r="CO366" i="18" s="1"/>
  <c r="CO403" i="18" s="1"/>
  <c r="CK20" i="77"/>
  <c r="CK21" i="77" s="1"/>
  <c r="CJ35" i="77"/>
  <c r="CJ110" i="77"/>
  <c r="CJ111" i="77" s="1"/>
  <c r="CL45" i="77"/>
  <c r="CM45" i="77" s="1"/>
  <c r="CL31" i="77"/>
  <c r="CM31" i="77" s="1"/>
  <c r="CL114" i="77"/>
  <c r="CL94" i="77"/>
  <c r="CL95" i="77" s="1"/>
  <c r="CM95" i="77" s="1"/>
  <c r="CL15" i="77"/>
  <c r="CM15" i="77" s="1"/>
  <c r="CI111" i="77"/>
  <c r="CI29" i="77"/>
  <c r="CI43" i="77"/>
  <c r="CI17" i="77"/>
  <c r="CO419" i="18"/>
  <c r="CQ186" i="18"/>
  <c r="CQ343" i="18"/>
  <c r="CL396" i="18"/>
  <c r="CM396" i="18" s="1"/>
  <c r="CL60" i="18"/>
  <c r="CL61" i="18" s="1"/>
  <c r="CL460" i="18"/>
  <c r="CM81" i="18"/>
  <c r="CM14" i="77" s="1"/>
  <c r="CL419" i="18"/>
  <c r="CM418" i="18"/>
  <c r="CL82" i="18"/>
  <c r="CM82" i="18" s="1"/>
  <c r="CL602" i="18"/>
  <c r="CL351" i="18"/>
  <c r="CL366" i="18"/>
  <c r="CL403" i="18" s="1"/>
  <c r="CL430" i="18"/>
  <c r="CL279" i="18"/>
  <c r="CL249" i="18"/>
  <c r="CL59" i="18"/>
  <c r="CM78" i="18"/>
  <c r="BK201" i="18"/>
  <c r="BK205" i="18" s="1"/>
  <c r="BK225" i="18" s="1"/>
  <c r="BK265" i="18" s="1"/>
  <c r="BK243" i="18"/>
  <c r="BK10" i="18"/>
  <c r="BL288" i="18"/>
  <c r="BQ257" i="18"/>
  <c r="BK257" i="18"/>
  <c r="BQ256" i="18"/>
  <c r="BK256" i="18"/>
  <c r="CS165" i="18" l="1"/>
  <c r="CS343" i="18"/>
  <c r="CR186" i="18"/>
  <c r="CR594" i="18" s="1"/>
  <c r="CK201" i="18"/>
  <c r="CK205" i="18" s="1"/>
  <c r="CK225" i="18" s="1"/>
  <c r="CK265" i="18" s="1"/>
  <c r="CK243" i="18"/>
  <c r="CK257" i="18"/>
  <c r="CL288" i="18"/>
  <c r="CK9" i="18"/>
  <c r="CK14" i="18" s="1"/>
  <c r="CK236" i="18" s="1"/>
  <c r="CM457" i="18"/>
  <c r="CO597" i="18"/>
  <c r="CJ9" i="19"/>
  <c r="CJ17" i="19" s="1"/>
  <c r="CJ230" i="18"/>
  <c r="CJ231" i="18" s="1"/>
  <c r="CJ13" i="19" s="1"/>
  <c r="CJ16" i="18"/>
  <c r="CJ402" i="18" s="1"/>
  <c r="CJ236" i="18"/>
  <c r="CP393" i="18"/>
  <c r="CP392" i="18"/>
  <c r="CO60" i="18"/>
  <c r="CO61" i="18" s="1"/>
  <c r="CO598" i="18"/>
  <c r="CO59" i="18"/>
  <c r="CO43" i="18" s="1"/>
  <c r="CP288" i="18" s="1"/>
  <c r="CO249" i="18"/>
  <c r="CO279" i="18"/>
  <c r="CL457" i="18"/>
  <c r="CL456" i="18"/>
  <c r="CM456" i="18" s="1"/>
  <c r="CO396" i="18"/>
  <c r="CO15" i="77"/>
  <c r="CL599" i="18"/>
  <c r="EX590" i="18" s="1"/>
  <c r="CM596" i="18"/>
  <c r="CL597" i="18"/>
  <c r="CL598" i="18"/>
  <c r="CO11" i="18"/>
  <c r="CO291" i="18"/>
  <c r="CO604" i="18"/>
  <c r="CO605" i="18" s="1"/>
  <c r="CO260" i="18"/>
  <c r="EQ201" i="18" s="1"/>
  <c r="EQ205" i="18" s="1"/>
  <c r="CO353" i="18"/>
  <c r="CO354" i="18" s="1"/>
  <c r="EQ353" i="18" s="1"/>
  <c r="CP83" i="18"/>
  <c r="CO261" i="18"/>
  <c r="CL605" i="18"/>
  <c r="CQ461" i="18"/>
  <c r="CQ182" i="18"/>
  <c r="CQ174" i="18" s="1"/>
  <c r="CQ339" i="18"/>
  <c r="CQ345" i="18" s="1"/>
  <c r="CS69" i="18"/>
  <c r="CR398" i="18"/>
  <c r="CS398" i="18" s="1"/>
  <c r="CS154" i="18"/>
  <c r="CR155" i="18"/>
  <c r="CP437" i="18"/>
  <c r="CR415" i="18"/>
  <c r="CS72" i="18"/>
  <c r="CO45" i="77"/>
  <c r="CP424" i="18"/>
  <c r="CP422" i="18"/>
  <c r="CP428" i="18"/>
  <c r="CO400" i="18"/>
  <c r="EU322" i="18"/>
  <c r="CQ589" i="18"/>
  <c r="CO82" i="18"/>
  <c r="CO114" i="77"/>
  <c r="CO431" i="18"/>
  <c r="CO450" i="18" s="1"/>
  <c r="CO429" i="18"/>
  <c r="CO430" i="18" s="1"/>
  <c r="CQ588" i="18"/>
  <c r="CP591" i="18"/>
  <c r="CP596" i="18" s="1"/>
  <c r="CP376" i="18"/>
  <c r="CP174" i="18"/>
  <c r="CQ385" i="18"/>
  <c r="CQ449" i="18"/>
  <c r="CQ591" i="18"/>
  <c r="CQ376" i="18"/>
  <c r="CO94" i="77"/>
  <c r="CO95" i="77" s="1"/>
  <c r="CP434" i="18"/>
  <c r="CP438" i="18"/>
  <c r="CO439" i="18"/>
  <c r="CO440" i="18" s="1"/>
  <c r="CO441" i="18"/>
  <c r="CO451" i="18" s="1"/>
  <c r="CP347" i="18"/>
  <c r="CP348" i="18"/>
  <c r="CP346" i="18"/>
  <c r="CP399" i="18" s="1"/>
  <c r="CL467" i="18"/>
  <c r="CM467" i="18" s="1"/>
  <c r="CO460" i="18"/>
  <c r="CM353" i="18"/>
  <c r="CM354" i="18" s="1"/>
  <c r="CM355" i="18" s="1"/>
  <c r="CM604" i="18"/>
  <c r="CM261" i="18"/>
  <c r="CM260" i="18"/>
  <c r="CM175" i="18"/>
  <c r="CO399" i="18"/>
  <c r="CQ448" i="18"/>
  <c r="CQ384" i="18"/>
  <c r="CS152" i="18"/>
  <c r="CR153" i="18"/>
  <c r="CL48" i="77"/>
  <c r="CM48" i="77" s="1"/>
  <c r="CK34" i="77"/>
  <c r="CK35" i="77" s="1"/>
  <c r="CK49" i="77"/>
  <c r="CK50" i="77" s="1"/>
  <c r="CL33" i="77"/>
  <c r="CM33" i="77" s="1"/>
  <c r="CO33" i="77" s="1"/>
  <c r="CM114" i="77"/>
  <c r="CL116" i="77"/>
  <c r="CM116" i="77" s="1"/>
  <c r="CM46" i="77"/>
  <c r="CM47" i="77" s="1"/>
  <c r="CL43" i="18"/>
  <c r="CO288" i="18" s="1"/>
  <c r="CM32" i="77"/>
  <c r="CI44" i="77"/>
  <c r="CI39" i="77"/>
  <c r="CI30" i="77"/>
  <c r="CI25" i="77"/>
  <c r="CI112" i="77"/>
  <c r="CJ43" i="77"/>
  <c r="CJ29" i="77"/>
  <c r="CJ17" i="77"/>
  <c r="CQ594" i="18"/>
  <c r="CO420" i="18"/>
  <c r="CL420" i="18"/>
  <c r="CM419" i="18"/>
  <c r="CM420" i="18" s="1"/>
  <c r="CM60" i="18"/>
  <c r="CM61" i="18" s="1"/>
  <c r="CM460" i="18"/>
  <c r="CM403" i="18"/>
  <c r="CM366" i="18"/>
  <c r="CM430" i="18"/>
  <c r="CM249" i="18"/>
  <c r="CM59" i="18"/>
  <c r="BL265" i="18"/>
  <c r="CS186" i="18" l="1"/>
  <c r="CJ13" i="16"/>
  <c r="CJ138" i="16" s="1"/>
  <c r="CK230" i="18"/>
  <c r="CK231" i="18" s="1"/>
  <c r="CK16" i="18"/>
  <c r="CK466" i="18" s="1"/>
  <c r="CK18" i="77"/>
  <c r="CK237" i="18"/>
  <c r="CK10" i="19"/>
  <c r="CK167" i="19" s="1"/>
  <c r="CK267" i="18"/>
  <c r="CK10" i="18"/>
  <c r="CK13" i="77"/>
  <c r="CK16" i="77" s="1"/>
  <c r="CK17" i="77" s="1"/>
  <c r="CJ132" i="16"/>
  <c r="CJ156" i="16"/>
  <c r="CP161" i="19"/>
  <c r="CJ18" i="19"/>
  <c r="CJ63" i="19" s="1"/>
  <c r="CJ232" i="18"/>
  <c r="CJ235" i="18"/>
  <c r="CJ16" i="16"/>
  <c r="CJ140" i="16" s="1"/>
  <c r="CJ94" i="16"/>
  <c r="CJ29" i="17" s="1"/>
  <c r="CJ60" i="19"/>
  <c r="CJ466" i="18"/>
  <c r="CJ471" i="18" s="1"/>
  <c r="CJ229" i="18"/>
  <c r="CJ17" i="18"/>
  <c r="CO9" i="18"/>
  <c r="CO18" i="77" s="1"/>
  <c r="CO256" i="18"/>
  <c r="CO257" i="18"/>
  <c r="CO201" i="18"/>
  <c r="CO205" i="18" s="1"/>
  <c r="CL201" i="18"/>
  <c r="CL256" i="18"/>
  <c r="CL464" i="18"/>
  <c r="CO22" i="77"/>
  <c r="CL9" i="18"/>
  <c r="CL18" i="77" s="1"/>
  <c r="CR171" i="18"/>
  <c r="CR169" i="18"/>
  <c r="CR172" i="18" s="1"/>
  <c r="CO48" i="77"/>
  <c r="CK110" i="77"/>
  <c r="CK111" i="77" s="1"/>
  <c r="CO467" i="18"/>
  <c r="CR170" i="18"/>
  <c r="CQ390" i="18"/>
  <c r="CQ393" i="18" s="1"/>
  <c r="CQ347" i="18"/>
  <c r="CQ346" i="18"/>
  <c r="CQ348" i="18"/>
  <c r="CO238" i="18"/>
  <c r="CO12" i="18"/>
  <c r="CO19" i="77"/>
  <c r="CO20" i="77" s="1"/>
  <c r="CO21" i="77" s="1"/>
  <c r="CP599" i="18"/>
  <c r="EZ590" i="18" s="1"/>
  <c r="CP598" i="18"/>
  <c r="CP597" i="18"/>
  <c r="CP439" i="18"/>
  <c r="CP440" i="18" s="1"/>
  <c r="CP441" i="18"/>
  <c r="CP451" i="18" s="1"/>
  <c r="CP426" i="18"/>
  <c r="CQ433" i="18"/>
  <c r="CQ423" i="18"/>
  <c r="CP462" i="18"/>
  <c r="CS156" i="18"/>
  <c r="CR157" i="18"/>
  <c r="CS158" i="18"/>
  <c r="CR159" i="18"/>
  <c r="CR338" i="18"/>
  <c r="CR181" i="18"/>
  <c r="CS338" i="18"/>
  <c r="CS155" i="18"/>
  <c r="CQ590" i="18"/>
  <c r="CQ596" i="18" s="1"/>
  <c r="CO351" i="18"/>
  <c r="CO602" i="18"/>
  <c r="CR337" i="18"/>
  <c r="CR180" i="18"/>
  <c r="CS337" i="18"/>
  <c r="CS153" i="18"/>
  <c r="CP81" i="18"/>
  <c r="CP78" i="18"/>
  <c r="CP418" i="18"/>
  <c r="CP419" i="18" s="1"/>
  <c r="CP420" i="18" s="1"/>
  <c r="CM602" i="18"/>
  <c r="CM351" i="18"/>
  <c r="CP400" i="18"/>
  <c r="EV322" i="18"/>
  <c r="CM605" i="18"/>
  <c r="CO454" i="18"/>
  <c r="CM597" i="18"/>
  <c r="CM599" i="18"/>
  <c r="CO116" i="77"/>
  <c r="CP11" i="18"/>
  <c r="CP260" i="18"/>
  <c r="ER201" i="18" s="1"/>
  <c r="ER205" i="18" s="1"/>
  <c r="CP604" i="18"/>
  <c r="CP605" i="18" s="1"/>
  <c r="CQ83" i="18"/>
  <c r="CP353" i="18"/>
  <c r="CP354" i="18" s="1"/>
  <c r="ER353" i="18" s="1"/>
  <c r="CP291" i="18"/>
  <c r="CP261" i="18"/>
  <c r="CR416" i="18"/>
  <c r="CS416" i="18" s="1"/>
  <c r="CR417" i="18"/>
  <c r="CS415" i="18"/>
  <c r="CL257" i="18"/>
  <c r="CM43" i="18"/>
  <c r="CM257" i="18" s="1"/>
  <c r="CL243" i="18"/>
  <c r="CM115" i="77"/>
  <c r="CM96" i="77"/>
  <c r="CM94" i="77" s="1"/>
  <c r="CJ12" i="19"/>
  <c r="CJ30" i="77"/>
  <c r="CJ25" i="77"/>
  <c r="CJ112" i="77"/>
  <c r="CJ113" i="77" s="1"/>
  <c r="CI113" i="77"/>
  <c r="CI28" i="77"/>
  <c r="CI26" i="77"/>
  <c r="CJ133" i="19"/>
  <c r="CJ134" i="19" s="1"/>
  <c r="CJ141" i="19"/>
  <c r="CJ142" i="19" s="1"/>
  <c r="CJ88" i="19"/>
  <c r="CJ91" i="19" s="1"/>
  <c r="CJ121" i="19" s="1"/>
  <c r="CJ71" i="19"/>
  <c r="CJ62" i="19"/>
  <c r="CJ44" i="77"/>
  <c r="CJ39" i="77"/>
  <c r="CI55" i="77"/>
  <c r="CI89" i="77"/>
  <c r="CI42" i="77"/>
  <c r="CI63" i="77"/>
  <c r="CI40" i="77"/>
  <c r="CQ353" i="18"/>
  <c r="CQ354" i="18" s="1"/>
  <c r="ES353" i="18" s="1"/>
  <c r="CQ604" i="18"/>
  <c r="CQ260" i="18"/>
  <c r="ES201" i="18" s="1"/>
  <c r="ES205" i="18" s="1"/>
  <c r="CQ291" i="18"/>
  <c r="CR83" i="18"/>
  <c r="CQ261" i="18"/>
  <c r="CQ11" i="18"/>
  <c r="CS594" i="18"/>
  <c r="CJ407" i="18"/>
  <c r="CJ404" i="18"/>
  <c r="CK229" i="18" l="1"/>
  <c r="CK232" i="18"/>
  <c r="CK17" i="18"/>
  <c r="CK21" i="18" s="1"/>
  <c r="CK235" i="18"/>
  <c r="CK402" i="18"/>
  <c r="CK407" i="18" s="1"/>
  <c r="CK13" i="19"/>
  <c r="CK12" i="19" s="1"/>
  <c r="CK61" i="19" s="1"/>
  <c r="CK29" i="77"/>
  <c r="CK25" i="77" s="1"/>
  <c r="CJ92" i="19"/>
  <c r="CJ96" i="19" s="1"/>
  <c r="CJ122" i="19" s="1"/>
  <c r="CK9" i="19"/>
  <c r="CK94" i="16" s="1"/>
  <c r="CK43" i="77"/>
  <c r="CJ72" i="19"/>
  <c r="CJ135" i="19"/>
  <c r="CJ136" i="19" s="1"/>
  <c r="CJ143" i="19"/>
  <c r="CJ144" i="19" s="1"/>
  <c r="CJ19" i="19"/>
  <c r="CJ27" i="16" s="1"/>
  <c r="CO14" i="18"/>
  <c r="CO10" i="19" s="1"/>
  <c r="CJ468" i="18"/>
  <c r="CJ470" i="18" s="1"/>
  <c r="CJ21" i="18"/>
  <c r="CL237" i="18"/>
  <c r="CO237" i="18"/>
  <c r="CJ9" i="77"/>
  <c r="CJ27" i="77" s="1"/>
  <c r="CO13" i="77"/>
  <c r="CO16" i="77" s="1"/>
  <c r="CO10" i="18"/>
  <c r="CM9" i="18"/>
  <c r="CM18" i="77" s="1"/>
  <c r="CL267" i="18"/>
  <c r="CO267" i="18"/>
  <c r="CL13" i="77"/>
  <c r="CL16" i="77" s="1"/>
  <c r="CL10" i="18"/>
  <c r="CS171" i="18"/>
  <c r="CQ392" i="18"/>
  <c r="CQ400" i="18" s="1"/>
  <c r="CQ391" i="18"/>
  <c r="CQ399" i="18" s="1"/>
  <c r="CO455" i="18"/>
  <c r="CO463" i="18" s="1"/>
  <c r="CO457" i="18"/>
  <c r="CO456" i="18"/>
  <c r="CO464" i="18" s="1"/>
  <c r="CR384" i="18"/>
  <c r="CR448" i="18"/>
  <c r="CP602" i="18"/>
  <c r="CP351" i="18"/>
  <c r="CS170" i="18"/>
  <c r="CP366" i="18"/>
  <c r="CP403" i="18" s="1"/>
  <c r="CP408" i="18" s="1"/>
  <c r="CP249" i="18"/>
  <c r="CP279" i="18"/>
  <c r="CP59" i="18"/>
  <c r="CP43" i="18" s="1"/>
  <c r="CR182" i="18"/>
  <c r="CR339" i="18"/>
  <c r="CS339" i="18"/>
  <c r="CS157" i="18"/>
  <c r="CO49" i="77"/>
  <c r="CO50" i="77" s="1"/>
  <c r="CQ432" i="18"/>
  <c r="CQ438" i="18"/>
  <c r="CQ434" i="18"/>
  <c r="CR589" i="18"/>
  <c r="CS589" i="18" s="1"/>
  <c r="CS181" i="18"/>
  <c r="CS194" i="18" s="1"/>
  <c r="CS169" i="18"/>
  <c r="CS172" i="18" s="1"/>
  <c r="CR461" i="18"/>
  <c r="CS417" i="18"/>
  <c r="CR397" i="18"/>
  <c r="CP12" i="18"/>
  <c r="CP19" i="77"/>
  <c r="CP268" i="18"/>
  <c r="CP238" i="18"/>
  <c r="CP14" i="77"/>
  <c r="CP396" i="18"/>
  <c r="CP82" i="18"/>
  <c r="CP60" i="18"/>
  <c r="CP61" i="18" s="1"/>
  <c r="CP460" i="18"/>
  <c r="CR588" i="18"/>
  <c r="CS588" i="18" s="1"/>
  <c r="CS180" i="18"/>
  <c r="CS193" i="18" s="1"/>
  <c r="CR183" i="18"/>
  <c r="CR340" i="18"/>
  <c r="CS340" i="18"/>
  <c r="CS159" i="18"/>
  <c r="CS449" i="18"/>
  <c r="CS385" i="18"/>
  <c r="CQ78" i="18"/>
  <c r="CQ418" i="18"/>
  <c r="CQ419" i="18" s="1"/>
  <c r="CQ420" i="18" s="1"/>
  <c r="CQ81" i="18"/>
  <c r="CP429" i="18"/>
  <c r="CP430" i="18" s="1"/>
  <c r="CP467" i="18" s="1"/>
  <c r="CP472" i="18" s="1"/>
  <c r="CP431" i="18"/>
  <c r="CP450" i="18" s="1"/>
  <c r="CP454" i="18" s="1"/>
  <c r="CQ428" i="18"/>
  <c r="CQ424" i="18"/>
  <c r="CQ422" i="18"/>
  <c r="CO34" i="77"/>
  <c r="CO35" i="77" s="1"/>
  <c r="CR385" i="18"/>
  <c r="CR449" i="18"/>
  <c r="CS448" i="18"/>
  <c r="CS384" i="18"/>
  <c r="EW322" i="18"/>
  <c r="CM201" i="18"/>
  <c r="CM256" i="18"/>
  <c r="CQ19" i="77"/>
  <c r="CJ28" i="77"/>
  <c r="CJ26" i="77"/>
  <c r="CJ55" i="77"/>
  <c r="CJ89" i="77"/>
  <c r="CJ40" i="77"/>
  <c r="CJ42" i="77"/>
  <c r="CJ63" i="77"/>
  <c r="CI92" i="77"/>
  <c r="CI90" i="77"/>
  <c r="CI91" i="77"/>
  <c r="CJ46" i="19"/>
  <c r="CJ14" i="16"/>
  <c r="CJ61" i="19"/>
  <c r="CJ16" i="19"/>
  <c r="CQ599" i="18"/>
  <c r="FA590" i="18" s="1"/>
  <c r="CQ597" i="18"/>
  <c r="CQ598" i="18"/>
  <c r="CQ602" i="18"/>
  <c r="CQ351" i="18"/>
  <c r="CQ605" i="18"/>
  <c r="CQ268" i="18"/>
  <c r="CQ238" i="18"/>
  <c r="CQ12" i="18"/>
  <c r="CR418" i="18"/>
  <c r="CR81" i="18"/>
  <c r="CR14" i="77" s="1"/>
  <c r="CR78" i="18"/>
  <c r="CS83" i="18"/>
  <c r="CS84" i="18" s="1"/>
  <c r="CK471" i="18"/>
  <c r="CK468" i="18"/>
  <c r="CJ406" i="18"/>
  <c r="CJ405" i="18"/>
  <c r="CK9" i="77" l="1"/>
  <c r="CK100" i="77" s="1"/>
  <c r="CK112" i="77"/>
  <c r="CK113" i="77" s="1"/>
  <c r="CK404" i="18"/>
  <c r="CK406" i="18" s="1"/>
  <c r="CK30" i="77"/>
  <c r="CK14" i="16"/>
  <c r="CK139" i="16" s="1"/>
  <c r="CK16" i="16"/>
  <c r="CK140" i="16" s="1"/>
  <c r="CK132" i="16"/>
  <c r="CK16" i="19"/>
  <c r="CK50" i="19" s="1"/>
  <c r="CK60" i="19"/>
  <c r="CK18" i="19"/>
  <c r="CK63" i="19" s="1"/>
  <c r="CQ161" i="19"/>
  <c r="CK17" i="19"/>
  <c r="CK46" i="19"/>
  <c r="CK44" i="77"/>
  <c r="CK156" i="16"/>
  <c r="CK13" i="16"/>
  <c r="CK18" i="17" s="1"/>
  <c r="CK39" i="77"/>
  <c r="CJ64" i="19"/>
  <c r="CO236" i="18"/>
  <c r="CO230" i="18"/>
  <c r="CO231" i="18" s="1"/>
  <c r="CO13" i="19" s="1"/>
  <c r="CJ469" i="18"/>
  <c r="CJ106" i="77"/>
  <c r="CJ107" i="77" s="1"/>
  <c r="CJ100" i="77"/>
  <c r="CJ64" i="77"/>
  <c r="CJ56" i="77"/>
  <c r="CJ10" i="77"/>
  <c r="CJ41" i="77"/>
  <c r="CM10" i="18"/>
  <c r="CM237" i="18"/>
  <c r="CR345" i="18"/>
  <c r="CR346" i="18" s="1"/>
  <c r="CS345" i="18"/>
  <c r="CS348" i="18" s="1"/>
  <c r="CS168" i="18"/>
  <c r="CR390" i="18"/>
  <c r="CR393" i="18" s="1"/>
  <c r="CQ14" i="77"/>
  <c r="CQ60" i="18"/>
  <c r="CQ61" i="18" s="1"/>
  <c r="CQ396" i="18"/>
  <c r="CS461" i="18"/>
  <c r="CS397" i="18"/>
  <c r="CQ366" i="18"/>
  <c r="CQ403" i="18" s="1"/>
  <c r="CQ408" i="18" s="1"/>
  <c r="CQ249" i="18"/>
  <c r="CQ59" i="18"/>
  <c r="CQ43" i="18" s="1"/>
  <c r="CQ279" i="18"/>
  <c r="CS390" i="18"/>
  <c r="CO110" i="77"/>
  <c r="CO111" i="77" s="1"/>
  <c r="CR376" i="18"/>
  <c r="CR591" i="18"/>
  <c r="CS591" i="18" s="1"/>
  <c r="CS183" i="18"/>
  <c r="CS196" i="18" s="1"/>
  <c r="CP45" i="77"/>
  <c r="CP48" i="77" s="1"/>
  <c r="CP15" i="77"/>
  <c r="CP20" i="77" s="1"/>
  <c r="CP21" i="77" s="1"/>
  <c r="CP31" i="77"/>
  <c r="CP33" i="77" s="1"/>
  <c r="CP94" i="77"/>
  <c r="CP95" i="77" s="1"/>
  <c r="CP114" i="77"/>
  <c r="CP116" i="77" s="1"/>
  <c r="CR590" i="18"/>
  <c r="CS182" i="18"/>
  <c r="CS195" i="18" s="1"/>
  <c r="CQ426" i="18"/>
  <c r="CR433" i="18"/>
  <c r="CR432" i="18" s="1"/>
  <c r="CR423" i="18"/>
  <c r="CQ460" i="18"/>
  <c r="CP9" i="18"/>
  <c r="CQ288" i="18"/>
  <c r="CP256" i="18"/>
  <c r="CP243" i="18"/>
  <c r="CP257" i="18"/>
  <c r="CP201" i="18"/>
  <c r="CP205" i="18" s="1"/>
  <c r="CP225" i="18" s="1"/>
  <c r="CQ437" i="18"/>
  <c r="CQ462" i="18"/>
  <c r="CQ82" i="18"/>
  <c r="CR82" i="18" s="1"/>
  <c r="CS82" i="18" s="1"/>
  <c r="CR174" i="18"/>
  <c r="CP455" i="18"/>
  <c r="CP463" i="18" s="1"/>
  <c r="CP457" i="18"/>
  <c r="CP456" i="18"/>
  <c r="CP464" i="18" s="1"/>
  <c r="CR94" i="77"/>
  <c r="CR31" i="77"/>
  <c r="CR45" i="77"/>
  <c r="CR114" i="77"/>
  <c r="CJ148" i="16"/>
  <c r="CJ139" i="16"/>
  <c r="CL43" i="77"/>
  <c r="CL29" i="77"/>
  <c r="CL17" i="77"/>
  <c r="CK10" i="77"/>
  <c r="CK64" i="77"/>
  <c r="CK56" i="77"/>
  <c r="CJ91" i="77"/>
  <c r="CJ90" i="77"/>
  <c r="CJ92" i="77"/>
  <c r="CJ131" i="19"/>
  <c r="CJ84" i="19"/>
  <c r="CJ87" i="19" s="1"/>
  <c r="CJ120" i="19" s="1"/>
  <c r="CJ50" i="19"/>
  <c r="CJ20" i="19"/>
  <c r="CJ51" i="19"/>
  <c r="CO17" i="77"/>
  <c r="CO29" i="77"/>
  <c r="CO43" i="77"/>
  <c r="CK27" i="77"/>
  <c r="CK28" i="77"/>
  <c r="CK26" i="77"/>
  <c r="CK29" i="17"/>
  <c r="CR419" i="18"/>
  <c r="CS418" i="18"/>
  <c r="CR396" i="18"/>
  <c r="CR60" i="18"/>
  <c r="CR61" i="18" s="1"/>
  <c r="CS81" i="18"/>
  <c r="CS14" i="77" s="1"/>
  <c r="CR366" i="18"/>
  <c r="CR249" i="18"/>
  <c r="CR279" i="18"/>
  <c r="CR59" i="18"/>
  <c r="CR43" i="18" s="1"/>
  <c r="CS78" i="18"/>
  <c r="CK470" i="18"/>
  <c r="CK469" i="18"/>
  <c r="BO43" i="18"/>
  <c r="BO243" i="18" s="1"/>
  <c r="CK41" i="77" l="1"/>
  <c r="CK405" i="18"/>
  <c r="CK19" i="17"/>
  <c r="CK20" i="17"/>
  <c r="CK131" i="19"/>
  <c r="CK132" i="19" s="1"/>
  <c r="CK84" i="19"/>
  <c r="CK87" i="19" s="1"/>
  <c r="CK120" i="19" s="1"/>
  <c r="CK106" i="77"/>
  <c r="CK107" i="77" s="1"/>
  <c r="CK92" i="19"/>
  <c r="CK96" i="19" s="1"/>
  <c r="CK122" i="19" s="1"/>
  <c r="CK143" i="19"/>
  <c r="CK144" i="19" s="1"/>
  <c r="CK51" i="19"/>
  <c r="CK135" i="19"/>
  <c r="CK136" i="19" s="1"/>
  <c r="CK19" i="19"/>
  <c r="CK20" i="19" s="1"/>
  <c r="CK97" i="19" s="1"/>
  <c r="CK103" i="19" s="1"/>
  <c r="CK123" i="19" s="1"/>
  <c r="CK72" i="19"/>
  <c r="CK88" i="19"/>
  <c r="CK91" i="19" s="1"/>
  <c r="CK121" i="19" s="1"/>
  <c r="CK62" i="19"/>
  <c r="CK71" i="19"/>
  <c r="CK133" i="19"/>
  <c r="CK134" i="19" s="1"/>
  <c r="CK141" i="19"/>
  <c r="CK142" i="19" s="1"/>
  <c r="CK138" i="16"/>
  <c r="CK55" i="77"/>
  <c r="CK42" i="77"/>
  <c r="CK63" i="77"/>
  <c r="CK40" i="77"/>
  <c r="CK89" i="77"/>
  <c r="CK90" i="77" s="1"/>
  <c r="CJ109" i="77"/>
  <c r="CJ108" i="77"/>
  <c r="CS346" i="18"/>
  <c r="CR347" i="18"/>
  <c r="EX322" i="18" s="1"/>
  <c r="CR348" i="18"/>
  <c r="CR403" i="18"/>
  <c r="CS403" i="18" s="1"/>
  <c r="CR392" i="18"/>
  <c r="CS392" i="18" s="1"/>
  <c r="CS396" i="18"/>
  <c r="CR391" i="18"/>
  <c r="CR399" i="18" s="1"/>
  <c r="CS174" i="18"/>
  <c r="CS353" i="18" s="1"/>
  <c r="CS354" i="18" s="1"/>
  <c r="CS355" i="18" s="1"/>
  <c r="CQ439" i="18"/>
  <c r="CQ440" i="18" s="1"/>
  <c r="CQ441" i="18"/>
  <c r="CQ451" i="18" s="1"/>
  <c r="CS423" i="18"/>
  <c r="CR428" i="18"/>
  <c r="CS428" i="18" s="1"/>
  <c r="CR424" i="18"/>
  <c r="CS424" i="18" s="1"/>
  <c r="CR422" i="18"/>
  <c r="CR462" i="18" s="1"/>
  <c r="CS462" i="18" s="1"/>
  <c r="CS376" i="18"/>
  <c r="CR434" i="18"/>
  <c r="CS434" i="18" s="1"/>
  <c r="CR438" i="18"/>
  <c r="CS438" i="18" s="1"/>
  <c r="CS433" i="18"/>
  <c r="CP22" i="77"/>
  <c r="CQ15" i="77"/>
  <c r="CR15" i="77" s="1"/>
  <c r="CS15" i="77" s="1"/>
  <c r="CQ243" i="18"/>
  <c r="CQ257" i="18"/>
  <c r="CQ9" i="18"/>
  <c r="CQ201" i="18"/>
  <c r="CQ205" i="18" s="1"/>
  <c r="CQ225" i="18" s="1"/>
  <c r="CQ265" i="18" s="1"/>
  <c r="CQ256" i="18"/>
  <c r="CR288" i="18"/>
  <c r="CQ45" i="77"/>
  <c r="CQ48" i="77" s="1"/>
  <c r="CQ114" i="77"/>
  <c r="CQ116" i="77" s="1"/>
  <c r="CR116" i="77" s="1"/>
  <c r="CS116" i="77" s="1"/>
  <c r="CQ31" i="77"/>
  <c r="CS31" i="77" s="1"/>
  <c r="CS32" i="77" s="1"/>
  <c r="CQ94" i="77"/>
  <c r="CQ95" i="77" s="1"/>
  <c r="CR95" i="77" s="1"/>
  <c r="CS95" i="77" s="1"/>
  <c r="CP10" i="18"/>
  <c r="CP237" i="18"/>
  <c r="CP14" i="18"/>
  <c r="CP18" i="77"/>
  <c r="CP13" i="77"/>
  <c r="CP16" i="77" s="1"/>
  <c r="CP43" i="77" s="1"/>
  <c r="CP267" i="18"/>
  <c r="CQ429" i="18"/>
  <c r="CQ430" i="18" s="1"/>
  <c r="CQ431" i="18"/>
  <c r="CQ450" i="18" s="1"/>
  <c r="CP49" i="77"/>
  <c r="CP50" i="77" s="1"/>
  <c r="CR596" i="18"/>
  <c r="CS590" i="18"/>
  <c r="CS391" i="18"/>
  <c r="CS393" i="18"/>
  <c r="CP34" i="77"/>
  <c r="CR460" i="18"/>
  <c r="CR353" i="18"/>
  <c r="CR354" i="18" s="1"/>
  <c r="ET353" i="18" s="1"/>
  <c r="CR604" i="18"/>
  <c r="CR261" i="18"/>
  <c r="CR260" i="18"/>
  <c r="ET201" i="18" s="1"/>
  <c r="ET205" i="18" s="1"/>
  <c r="CR291" i="18"/>
  <c r="CR437" i="18"/>
  <c r="CS432" i="18"/>
  <c r="CS437" i="18" s="1"/>
  <c r="CL30" i="77"/>
  <c r="CM29" i="77"/>
  <c r="CL112" i="77"/>
  <c r="CJ133" i="16"/>
  <c r="CJ135" i="16" s="1"/>
  <c r="CJ136" i="16" s="1"/>
  <c r="CJ137" i="16" s="1"/>
  <c r="CJ97" i="19"/>
  <c r="CJ103" i="19" s="1"/>
  <c r="CJ123" i="19" s="1"/>
  <c r="CJ157" i="16"/>
  <c r="CJ159" i="16" s="1"/>
  <c r="CJ160" i="16" s="1"/>
  <c r="CJ161" i="16" s="1"/>
  <c r="CJ137" i="19"/>
  <c r="CJ54" i="19"/>
  <c r="CJ56" i="16"/>
  <c r="CJ65" i="19"/>
  <c r="CJ55" i="19"/>
  <c r="CO44" i="77"/>
  <c r="CO39" i="77"/>
  <c r="CJ132" i="19"/>
  <c r="CJ145" i="19"/>
  <c r="CJ146" i="19" s="1"/>
  <c r="CO30" i="77"/>
  <c r="CO25" i="77"/>
  <c r="CO112" i="77"/>
  <c r="CL44" i="77"/>
  <c r="CM43" i="77"/>
  <c r="CS366" i="18"/>
  <c r="CS249" i="18"/>
  <c r="CS59" i="18"/>
  <c r="CS43" i="18" s="1"/>
  <c r="CR420" i="18"/>
  <c r="CS419" i="18"/>
  <c r="CS420" i="18" s="1"/>
  <c r="CR256" i="18"/>
  <c r="CR201" i="18"/>
  <c r="CR257" i="18"/>
  <c r="CR9" i="18"/>
  <c r="CR243" i="18"/>
  <c r="CS60" i="18"/>
  <c r="CS61" i="18" s="1"/>
  <c r="BO10" i="18"/>
  <c r="BO257" i="18"/>
  <c r="BO256" i="18"/>
  <c r="BO201" i="18"/>
  <c r="CK109" i="77" l="1"/>
  <c r="CK108" i="77"/>
  <c r="CK54" i="19"/>
  <c r="CK64" i="19"/>
  <c r="CK55" i="19"/>
  <c r="CK65" i="19"/>
  <c r="CK137" i="19"/>
  <c r="CK138" i="19" s="1"/>
  <c r="CK56" i="16"/>
  <c r="CK27" i="16"/>
  <c r="CK148" i="16" s="1"/>
  <c r="CK133" i="16"/>
  <c r="CK135" i="16" s="1"/>
  <c r="CK136" i="16" s="1"/>
  <c r="CK137" i="16" s="1"/>
  <c r="CK157" i="16"/>
  <c r="CK159" i="16" s="1"/>
  <c r="CK160" i="16" s="1"/>
  <c r="CK161" i="16" s="1"/>
  <c r="CK145" i="19"/>
  <c r="CK146" i="19" s="1"/>
  <c r="CS460" i="18"/>
  <c r="CK92" i="77"/>
  <c r="CK91" i="77"/>
  <c r="ET209" i="18"/>
  <c r="EP209" i="18"/>
  <c r="ED209" i="18"/>
  <c r="EA209" i="18"/>
  <c r="DX209" i="18"/>
  <c r="EE209" i="18"/>
  <c r="EC209" i="18"/>
  <c r="EF209" i="18"/>
  <c r="EK209" i="18"/>
  <c r="EQ209" i="18"/>
  <c r="EJ209" i="18"/>
  <c r="DW209" i="18"/>
  <c r="EG209" i="18"/>
  <c r="EH209" i="18"/>
  <c r="DY209" i="18"/>
  <c r="EN209" i="18"/>
  <c r="ES209" i="18"/>
  <c r="EL209" i="18"/>
  <c r="EM209" i="18"/>
  <c r="ER209" i="18"/>
  <c r="EB209" i="18"/>
  <c r="EO209" i="18"/>
  <c r="DZ209" i="18"/>
  <c r="EI209" i="18"/>
  <c r="CS399" i="18"/>
  <c r="CU174" i="18"/>
  <c r="CR400" i="18"/>
  <c r="CQ454" i="18"/>
  <c r="CQ456" i="18" s="1"/>
  <c r="CQ464" i="18" s="1"/>
  <c r="CQ22" i="77"/>
  <c r="CS260" i="18"/>
  <c r="CS604" i="18"/>
  <c r="CS175" i="18"/>
  <c r="CS261" i="18"/>
  <c r="CS45" i="77"/>
  <c r="CS46" i="77" s="1"/>
  <c r="CS47" i="77" s="1"/>
  <c r="CS114" i="77"/>
  <c r="CP17" i="77"/>
  <c r="CQ20" i="77"/>
  <c r="CQ21" i="77" s="1"/>
  <c r="CR605" i="18"/>
  <c r="CR48" i="77"/>
  <c r="CS48" i="77" s="1"/>
  <c r="CP35" i="77"/>
  <c r="CP110" i="77"/>
  <c r="CP111" i="77" s="1"/>
  <c r="CP16" i="18"/>
  <c r="CP236" i="18"/>
  <c r="CP10" i="19"/>
  <c r="CQ33" i="77"/>
  <c r="CR599" i="18"/>
  <c r="FB590" i="18" s="1"/>
  <c r="CR597" i="18"/>
  <c r="CS596" i="18"/>
  <c r="CR598" i="18"/>
  <c r="CP29" i="77"/>
  <c r="CP30" i="77" s="1"/>
  <c r="CP230" i="18"/>
  <c r="CQ467" i="18"/>
  <c r="CQ472" i="18" s="1"/>
  <c r="CS441" i="18"/>
  <c r="CS451" i="18" s="1"/>
  <c r="CR441" i="18"/>
  <c r="CR451" i="18" s="1"/>
  <c r="CR439" i="18"/>
  <c r="CR440" i="18" s="1"/>
  <c r="CR426" i="18"/>
  <c r="CS422" i="18"/>
  <c r="CS426" i="18" s="1"/>
  <c r="CR602" i="18"/>
  <c r="CR351" i="18"/>
  <c r="CQ14" i="18"/>
  <c r="CQ267" i="18"/>
  <c r="CQ13" i="77"/>
  <c r="CQ16" i="77" s="1"/>
  <c r="CQ17" i="77" s="1"/>
  <c r="CQ237" i="18"/>
  <c r="CQ18" i="77"/>
  <c r="CQ10" i="18"/>
  <c r="CS96" i="77"/>
  <c r="CS94" i="77" s="1"/>
  <c r="CR18" i="77"/>
  <c r="CR13" i="77"/>
  <c r="CO26" i="77"/>
  <c r="CO28" i="77"/>
  <c r="CO113" i="77"/>
  <c r="CJ156" i="19"/>
  <c r="CJ138" i="19"/>
  <c r="CJ147" i="19" s="1"/>
  <c r="CL113" i="77"/>
  <c r="CM112" i="77"/>
  <c r="CP44" i="77"/>
  <c r="CP39" i="77"/>
  <c r="CO42" i="77"/>
  <c r="CO55" i="77"/>
  <c r="CO63" i="77"/>
  <c r="CO40" i="77"/>
  <c r="CO89" i="77"/>
  <c r="CS257" i="18"/>
  <c r="CS201" i="18"/>
  <c r="CS256" i="18"/>
  <c r="CR237" i="18"/>
  <c r="CR267" i="18"/>
  <c r="CR10" i="18"/>
  <c r="CS9" i="18"/>
  <c r="CK156" i="19" l="1"/>
  <c r="CK157" i="19" s="1"/>
  <c r="CK158" i="19" s="1"/>
  <c r="CK23" i="17"/>
  <c r="CK147" i="19"/>
  <c r="CQ457" i="18"/>
  <c r="CQ455" i="18"/>
  <c r="CQ463" i="18" s="1"/>
  <c r="CS351" i="18"/>
  <c r="CS602" i="18"/>
  <c r="CQ49" i="77"/>
  <c r="CQ50" i="77" s="1"/>
  <c r="CS115" i="77"/>
  <c r="CQ43" i="77"/>
  <c r="CQ44" i="77" s="1"/>
  <c r="CQ29" i="77"/>
  <c r="CQ30" i="77" s="1"/>
  <c r="CS439" i="18"/>
  <c r="CS440" i="18" s="1"/>
  <c r="CP112" i="77"/>
  <c r="CP113" i="77" s="1"/>
  <c r="CP9" i="19"/>
  <c r="CP167" i="19"/>
  <c r="CS431" i="18"/>
  <c r="CS450" i="18" s="1"/>
  <c r="CS454" i="18" s="1"/>
  <c r="CR431" i="18"/>
  <c r="CR450" i="18" s="1"/>
  <c r="CR454" i="18" s="1"/>
  <c r="CR429" i="18"/>
  <c r="CP25" i="77"/>
  <c r="CP28" i="77" s="1"/>
  <c r="CQ10" i="19"/>
  <c r="CQ16" i="18"/>
  <c r="CQ229" i="18" s="1"/>
  <c r="CQ236" i="18"/>
  <c r="CQ230" i="18"/>
  <c r="CQ231" i="18" s="1"/>
  <c r="CS605" i="18"/>
  <c r="CS597" i="18"/>
  <c r="CS599" i="18"/>
  <c r="CP229" i="18"/>
  <c r="CP402" i="18"/>
  <c r="CP17" i="18"/>
  <c r="CP235" i="18"/>
  <c r="CP466" i="18"/>
  <c r="CP232" i="18"/>
  <c r="CQ34" i="77"/>
  <c r="CR33" i="77"/>
  <c r="CS33" i="77" s="1"/>
  <c r="CP231" i="18"/>
  <c r="CP13" i="19" s="1"/>
  <c r="CP12" i="19" s="1"/>
  <c r="CP89" i="77"/>
  <c r="CP42" i="77"/>
  <c r="CP63" i="77"/>
  <c r="CP40" i="77"/>
  <c r="CP55" i="77"/>
  <c r="CO91" i="77"/>
  <c r="CO90" i="77"/>
  <c r="CO92" i="77"/>
  <c r="CR16" i="77"/>
  <c r="CS18" i="77"/>
  <c r="CJ157" i="19"/>
  <c r="CJ158" i="19" s="1"/>
  <c r="CJ164" i="19"/>
  <c r="CS237" i="18"/>
  <c r="CS10" i="18"/>
  <c r="CK164" i="19" l="1"/>
  <c r="CK165" i="19" s="1"/>
  <c r="CQ13" i="19"/>
  <c r="CQ12" i="19" s="1"/>
  <c r="CQ61" i="19" s="1"/>
  <c r="CQ39" i="77"/>
  <c r="CQ63" i="77" s="1"/>
  <c r="CQ112" i="77"/>
  <c r="CQ113" i="77" s="1"/>
  <c r="CQ25" i="77"/>
  <c r="CQ26" i="77" s="1"/>
  <c r="CP61" i="19"/>
  <c r="CP46" i="19"/>
  <c r="CP14" i="16"/>
  <c r="CS429" i="18"/>
  <c r="CS430" i="18" s="1"/>
  <c r="CR430" i="18"/>
  <c r="CR467" i="18" s="1"/>
  <c r="CS467" i="18" s="1"/>
  <c r="CR456" i="18"/>
  <c r="CR455" i="18"/>
  <c r="CR463" i="18" s="1"/>
  <c r="CR457" i="18"/>
  <c r="CS455" i="18"/>
  <c r="CS463" i="18" s="1"/>
  <c r="CS457" i="18"/>
  <c r="CP407" i="18"/>
  <c r="CP404" i="18"/>
  <c r="CQ235" i="18"/>
  <c r="CQ466" i="18"/>
  <c r="CQ232" i="18"/>
  <c r="CQ402" i="18"/>
  <c r="CQ17" i="18"/>
  <c r="CP18" i="19"/>
  <c r="CP17" i="19"/>
  <c r="CP60" i="19"/>
  <c r="CP94" i="16"/>
  <c r="CP29" i="17" s="1"/>
  <c r="CP13" i="16"/>
  <c r="CP16" i="19"/>
  <c r="CP156" i="16"/>
  <c r="CP16" i="16"/>
  <c r="CP132" i="16"/>
  <c r="CP468" i="18"/>
  <c r="CP471" i="18"/>
  <c r="CP26" i="77"/>
  <c r="CP21" i="18"/>
  <c r="CP9" i="77"/>
  <c r="CP27" i="77" s="1"/>
  <c r="CQ35" i="77"/>
  <c r="CQ110" i="77"/>
  <c r="CQ111" i="77" s="1"/>
  <c r="CQ9" i="19"/>
  <c r="CQ167" i="19"/>
  <c r="CP91" i="77"/>
  <c r="CP92" i="77"/>
  <c r="CP90" i="77"/>
  <c r="CR17" i="77"/>
  <c r="CR43" i="77"/>
  <c r="CR29" i="77"/>
  <c r="CJ165" i="19"/>
  <c r="CJ66" i="19"/>
  <c r="BK21" i="19"/>
  <c r="BK24" i="19" s="1"/>
  <c r="BK54" i="17"/>
  <c r="BK51" i="17"/>
  <c r="BK22" i="19"/>
  <c r="CK66" i="19" l="1"/>
  <c r="CQ42" i="77"/>
  <c r="CQ14" i="16"/>
  <c r="CQ139" i="16" s="1"/>
  <c r="CQ16" i="19"/>
  <c r="CQ50" i="19" s="1"/>
  <c r="CQ40" i="77"/>
  <c r="CQ55" i="77"/>
  <c r="CQ89" i="77"/>
  <c r="CQ92" i="77" s="1"/>
  <c r="CQ28" i="77"/>
  <c r="CQ46" i="19"/>
  <c r="CP140" i="16"/>
  <c r="CP131" i="19"/>
  <c r="CP84" i="19"/>
  <c r="CP87" i="19" s="1"/>
  <c r="CP120" i="19" s="1"/>
  <c r="CP51" i="19"/>
  <c r="CP50" i="19"/>
  <c r="CQ407" i="18"/>
  <c r="CQ404" i="18"/>
  <c r="CP138" i="16"/>
  <c r="CQ471" i="18"/>
  <c r="CQ468" i="18"/>
  <c r="CR464" i="18"/>
  <c r="CS456" i="18"/>
  <c r="CQ17" i="19"/>
  <c r="CQ156" i="16"/>
  <c r="CQ18" i="19"/>
  <c r="CQ132" i="16"/>
  <c r="CQ13" i="16"/>
  <c r="CQ138" i="16" s="1"/>
  <c r="CQ16" i="16"/>
  <c r="CQ140" i="16" s="1"/>
  <c r="CQ60" i="19"/>
  <c r="CQ94" i="16"/>
  <c r="CQ29" i="17" s="1"/>
  <c r="CP469" i="18"/>
  <c r="CP470" i="18"/>
  <c r="CP62" i="19"/>
  <c r="CP133" i="19"/>
  <c r="CP134" i="19" s="1"/>
  <c r="CP71" i="19"/>
  <c r="CP88" i="19"/>
  <c r="CP91" i="19" s="1"/>
  <c r="CP121" i="19" s="1"/>
  <c r="CP141" i="19"/>
  <c r="CP142" i="19" s="1"/>
  <c r="CP19" i="19"/>
  <c r="CQ9" i="77"/>
  <c r="CQ21" i="18"/>
  <c r="CP10" i="77"/>
  <c r="CP100" i="77"/>
  <c r="CP106" i="77"/>
  <c r="CP64" i="77"/>
  <c r="CP41" i="77"/>
  <c r="CP56" i="77"/>
  <c r="CP139" i="16"/>
  <c r="CP135" i="19"/>
  <c r="CP136" i="19" s="1"/>
  <c r="CP72" i="19"/>
  <c r="CP63" i="19"/>
  <c r="CP92" i="19"/>
  <c r="CP96" i="19" s="1"/>
  <c r="CP122" i="19" s="1"/>
  <c r="CP143" i="19"/>
  <c r="CP144" i="19" s="1"/>
  <c r="CP406" i="18"/>
  <c r="CP405" i="18"/>
  <c r="CR30" i="77"/>
  <c r="CR112" i="77"/>
  <c r="CS29" i="77"/>
  <c r="CR44" i="77"/>
  <c r="CS43" i="77"/>
  <c r="CJ56" i="19"/>
  <c r="CJ166" i="19"/>
  <c r="CK56" i="19"/>
  <c r="CK166" i="19"/>
  <c r="BK55" i="16"/>
  <c r="BK57" i="16"/>
  <c r="BK75" i="16"/>
  <c r="BK55" i="17"/>
  <c r="BK76" i="16" s="1"/>
  <c r="BK23" i="19"/>
  <c r="CQ19" i="17" l="1"/>
  <c r="CQ131" i="19"/>
  <c r="CQ132" i="19" s="1"/>
  <c r="CQ51" i="19"/>
  <c r="CQ84" i="19"/>
  <c r="CQ87" i="19" s="1"/>
  <c r="CQ120" i="19" s="1"/>
  <c r="CQ91" i="77"/>
  <c r="CQ90" i="77"/>
  <c r="CQ18" i="17"/>
  <c r="CQ20" i="17"/>
  <c r="CP108" i="77"/>
  <c r="CP107" i="77"/>
  <c r="CP109" i="77"/>
  <c r="CQ470" i="18"/>
  <c r="CQ469" i="18"/>
  <c r="CQ100" i="77"/>
  <c r="CQ56" i="77"/>
  <c r="CQ10" i="77"/>
  <c r="CQ64" i="77"/>
  <c r="CQ41" i="77"/>
  <c r="CQ27" i="77"/>
  <c r="CQ106" i="77"/>
  <c r="CP145" i="19"/>
  <c r="CP146" i="19" s="1"/>
  <c r="CP132" i="19"/>
  <c r="CQ406" i="18"/>
  <c r="CQ405" i="18"/>
  <c r="CQ88" i="19"/>
  <c r="CQ91" i="19" s="1"/>
  <c r="CQ121" i="19" s="1"/>
  <c r="CQ133" i="19"/>
  <c r="CQ134" i="19" s="1"/>
  <c r="CQ71" i="19"/>
  <c r="CQ19" i="19"/>
  <c r="CQ62" i="19"/>
  <c r="CQ141" i="19"/>
  <c r="CQ142" i="19" s="1"/>
  <c r="CP20" i="19"/>
  <c r="CP27" i="16"/>
  <c r="CP64" i="19"/>
  <c r="CQ72" i="19"/>
  <c r="CQ135" i="19"/>
  <c r="CQ136" i="19" s="1"/>
  <c r="CQ92" i="19"/>
  <c r="CQ96" i="19" s="1"/>
  <c r="CQ122" i="19" s="1"/>
  <c r="CQ143" i="19"/>
  <c r="CQ144" i="19" s="1"/>
  <c r="CQ63" i="19"/>
  <c r="CR113" i="77"/>
  <c r="CS112" i="77"/>
  <c r="BK56" i="17"/>
  <c r="CQ20" i="19" l="1"/>
  <c r="CQ64" i="19"/>
  <c r="CQ27" i="16"/>
  <c r="CQ148" i="16" s="1"/>
  <c r="CQ145" i="19"/>
  <c r="CQ146" i="19" s="1"/>
  <c r="CQ108" i="77"/>
  <c r="CQ107" i="77"/>
  <c r="CQ109" i="77"/>
  <c r="CP148" i="16"/>
  <c r="CP65" i="19"/>
  <c r="CP56" i="16"/>
  <c r="CP157" i="16"/>
  <c r="CP159" i="16" s="1"/>
  <c r="CP160" i="16" s="1"/>
  <c r="CP161" i="16" s="1"/>
  <c r="CP133" i="16"/>
  <c r="CP135" i="16" s="1"/>
  <c r="CP136" i="16" s="1"/>
  <c r="CP137" i="16" s="1"/>
  <c r="CP97" i="19"/>
  <c r="CP103" i="19" s="1"/>
  <c r="CP123" i="19" s="1"/>
  <c r="CP137" i="19"/>
  <c r="CP55" i="19"/>
  <c r="CP54" i="19"/>
  <c r="CP138" i="19" l="1"/>
  <c r="CP147" i="19" s="1"/>
  <c r="CP156" i="19"/>
  <c r="CQ23" i="17"/>
  <c r="CQ65" i="19"/>
  <c r="CQ97" i="19"/>
  <c r="CQ103" i="19" s="1"/>
  <c r="CQ123" i="19" s="1"/>
  <c r="CQ133" i="16"/>
  <c r="CQ135" i="16" s="1"/>
  <c r="CQ136" i="16" s="1"/>
  <c r="CQ137" i="16" s="1"/>
  <c r="CQ157" i="16"/>
  <c r="CQ159" i="16" s="1"/>
  <c r="CQ160" i="16" s="1"/>
  <c r="CQ161" i="16" s="1"/>
  <c r="CQ137" i="19"/>
  <c r="CQ55" i="19"/>
  <c r="CQ54" i="19"/>
  <c r="CQ56" i="16"/>
  <c r="CQ156" i="19" l="1"/>
  <c r="CQ138" i="19"/>
  <c r="CQ147" i="19" s="1"/>
  <c r="CP164" i="19"/>
  <c r="CP157" i="19"/>
  <c r="CP158" i="19" s="1"/>
  <c r="CP66" i="19" l="1"/>
  <c r="CP165" i="19"/>
  <c r="CQ164" i="19"/>
  <c r="CQ157" i="19"/>
  <c r="CQ158" i="19" s="1"/>
  <c r="CQ165" i="19" l="1"/>
  <c r="CQ66" i="19"/>
  <c r="CP166" i="19"/>
  <c r="CP56" i="19"/>
  <c r="CQ166" i="19" l="1"/>
  <c r="CQ56" i="19"/>
  <c r="BM148" i="19"/>
  <c r="BM149" i="19" l="1"/>
  <c r="BM152" i="19"/>
  <c r="BM153" i="19" l="1"/>
  <c r="BM128" i="19" l="1"/>
  <c r="BM40" i="16" l="1"/>
  <c r="BM171" i="16" l="1"/>
  <c r="BM50" i="16"/>
  <c r="BM58" i="16"/>
  <c r="BM41" i="16"/>
  <c r="BL54" i="17" l="1"/>
  <c r="BL51" i="17"/>
  <c r="BL21" i="19"/>
  <c r="BL22" i="19"/>
  <c r="BM48" i="17"/>
  <c r="BL55" i="17" l="1"/>
  <c r="BL76" i="16" s="1"/>
  <c r="BL75" i="16"/>
  <c r="BM22" i="19"/>
  <c r="BL23" i="19"/>
  <c r="BL24" i="19"/>
  <c r="BL56" i="17" l="1"/>
  <c r="BL55" i="16"/>
  <c r="BL57" i="16"/>
  <c r="BM21" i="19" l="1"/>
  <c r="BM23" i="19" l="1"/>
  <c r="BM24" i="19"/>
  <c r="BM55" i="16" s="1"/>
  <c r="BM26" i="17"/>
  <c r="BM74" i="16" s="1"/>
  <c r="BM54" i="17" l="1"/>
  <c r="BM75" i="16" s="1"/>
  <c r="BM34" i="17" l="1"/>
  <c r="BM47" i="17" s="1"/>
  <c r="BM73" i="16" s="1"/>
  <c r="BM55" i="17"/>
  <c r="BM76" i="16" s="1"/>
  <c r="BM49" i="17" l="1"/>
  <c r="BN48" i="17" s="1"/>
  <c r="BN49" i="17" s="1"/>
  <c r="BM56" i="17"/>
  <c r="BM10" i="16" l="1"/>
  <c r="BN60" i="48" s="1"/>
  <c r="BN62" i="48" s="1"/>
  <c r="BM17" i="16"/>
  <c r="BM51" i="17"/>
  <c r="BM61" i="16" l="1"/>
  <c r="BM64" i="16"/>
  <c r="BM174" i="16"/>
  <c r="BM177" i="16" s="1"/>
  <c r="BM180" i="16" s="1"/>
  <c r="BM63" i="16"/>
  <c r="BM62" i="16"/>
  <c r="BM46" i="16"/>
  <c r="BM24" i="16"/>
  <c r="BM51" i="16" s="1"/>
  <c r="BM178" i="16" l="1"/>
  <c r="BM181" i="16" s="1"/>
  <c r="BM52" i="16" s="1"/>
  <c r="BM57" i="16"/>
  <c r="BM47" i="16"/>
  <c r="BM42" i="16"/>
  <c r="BO61" i="48" l="1"/>
  <c r="BO62" i="48" s="1"/>
  <c r="BO25" i="19" l="1"/>
  <c r="BN48" i="19" l="1"/>
  <c r="BO48" i="19" s="1"/>
  <c r="BN268" i="18" l="1"/>
  <c r="BN22" i="77"/>
  <c r="BQ268" i="18"/>
  <c r="BN238" i="18"/>
  <c r="BN19" i="77"/>
  <c r="BO11" i="18"/>
  <c r="BN16" i="18"/>
  <c r="BN271" i="18"/>
  <c r="BN241" i="18"/>
  <c r="BO31" i="18"/>
  <c r="BQ271" i="18"/>
  <c r="BN30" i="18"/>
  <c r="BO30" i="18" s="1"/>
  <c r="BN39" i="18"/>
  <c r="BN40" i="18" l="1"/>
  <c r="BO241" i="18"/>
  <c r="BO39" i="18"/>
  <c r="BO12" i="18"/>
  <c r="BO32" i="18"/>
  <c r="BN269" i="18"/>
  <c r="BQ269" i="18"/>
  <c r="BN205" i="18"/>
  <c r="BN225" i="18" s="1"/>
  <c r="BN20" i="77"/>
  <c r="BN236" i="18"/>
  <c r="BN230" i="18"/>
  <c r="BO22" i="77"/>
  <c r="BO238" i="18"/>
  <c r="BO14" i="18"/>
  <c r="BO40" i="18" l="1"/>
  <c r="BN265" i="18"/>
  <c r="BN231" i="18"/>
  <c r="BO205" i="18"/>
  <c r="BO225" i="18" s="1"/>
  <c r="BN21" i="77"/>
  <c r="BN49" i="77"/>
  <c r="BN34" i="77"/>
  <c r="BN235" i="18"/>
  <c r="BN232" i="18"/>
  <c r="BN466" i="18"/>
  <c r="BN402" i="18"/>
  <c r="BN17" i="18"/>
  <c r="BN229" i="18"/>
  <c r="BO230" i="18"/>
  <c r="BO231" i="18" s="1"/>
  <c r="BO236" i="18"/>
  <c r="BO16" i="18"/>
  <c r="BN167" i="19"/>
  <c r="BO10" i="19"/>
  <c r="BO167" i="19" s="1"/>
  <c r="BN9" i="19"/>
  <c r="DP313" i="18" l="1"/>
  <c r="DO314" i="18" s="1"/>
  <c r="BN81" i="16"/>
  <c r="BN67" i="16"/>
  <c r="BT161" i="19"/>
  <c r="BN140" i="19"/>
  <c r="BN139" i="19"/>
  <c r="BN60" i="19"/>
  <c r="BN53" i="19"/>
  <c r="BN121" i="19"/>
  <c r="BN52" i="19"/>
  <c r="BN122" i="19"/>
  <c r="BN156" i="16"/>
  <c r="BU19" i="18"/>
  <c r="BN12" i="77"/>
  <c r="BO12" i="77" s="1"/>
  <c r="BN132" i="16"/>
  <c r="BO9" i="19"/>
  <c r="BO232" i="18"/>
  <c r="BO235" i="18"/>
  <c r="BO17" i="18"/>
  <c r="BN21" i="18"/>
  <c r="BN9" i="77"/>
  <c r="BN35" i="77"/>
  <c r="BN25" i="77"/>
  <c r="BO34" i="77"/>
  <c r="BN110" i="77"/>
  <c r="BN407" i="18"/>
  <c r="BT408" i="18"/>
  <c r="BO402" i="18"/>
  <c r="BN404" i="18"/>
  <c r="BN50" i="77"/>
  <c r="BN39" i="77"/>
  <c r="BO49" i="77"/>
  <c r="BO229" i="18"/>
  <c r="BT472" i="18"/>
  <c r="BN471" i="18"/>
  <c r="BO466" i="18"/>
  <c r="BN468" i="18"/>
  <c r="BO13" i="19"/>
  <c r="BN12" i="19"/>
  <c r="BU161" i="19" l="1"/>
  <c r="BO60" i="19"/>
  <c r="BN69" i="16"/>
  <c r="BQ69" i="16" s="1"/>
  <c r="BN68" i="16"/>
  <c r="BT68" i="16" s="1"/>
  <c r="BZ68" i="16" s="1"/>
  <c r="CF68" i="16" s="1"/>
  <c r="CL68" i="16" s="1"/>
  <c r="BT67" i="16"/>
  <c r="BO53" i="19"/>
  <c r="BN159" i="19"/>
  <c r="BO139" i="19"/>
  <c r="BO159" i="19" s="1"/>
  <c r="BN61" i="19"/>
  <c r="BO140" i="19"/>
  <c r="BO160" i="19" s="1"/>
  <c r="BN160" i="19"/>
  <c r="BO52" i="19"/>
  <c r="BO12" i="19"/>
  <c r="BO61" i="19" s="1"/>
  <c r="BO75" i="19"/>
  <c r="BO156" i="16"/>
  <c r="BN153" i="16"/>
  <c r="BN470" i="18"/>
  <c r="BN469" i="18"/>
  <c r="BN138" i="16"/>
  <c r="BO13" i="16"/>
  <c r="BN10" i="77"/>
  <c r="BN64" i="77"/>
  <c r="BN56" i="77"/>
  <c r="BN100" i="77"/>
  <c r="BN106" i="77"/>
  <c r="BO9" i="77"/>
  <c r="BN135" i="19"/>
  <c r="BN136" i="19" s="1"/>
  <c r="BN143" i="19"/>
  <c r="BN144" i="19" s="1"/>
  <c r="BO18" i="19"/>
  <c r="BN41" i="77"/>
  <c r="BN63" i="77"/>
  <c r="BN40" i="77"/>
  <c r="BN55" i="77"/>
  <c r="BN42" i="77"/>
  <c r="BO42" i="77" s="1"/>
  <c r="BO39" i="77"/>
  <c r="BN89" i="77"/>
  <c r="BN111" i="77"/>
  <c r="BO110" i="77"/>
  <c r="BN133" i="19"/>
  <c r="BN134" i="19" s="1"/>
  <c r="BN141" i="19"/>
  <c r="BN142" i="19" s="1"/>
  <c r="BN19" i="19"/>
  <c r="BO17" i="19"/>
  <c r="BU408" i="18"/>
  <c r="BO407" i="18"/>
  <c r="BO404" i="18"/>
  <c r="BO132" i="16"/>
  <c r="BN140" i="16"/>
  <c r="BO20" i="17"/>
  <c r="BO16" i="16"/>
  <c r="BU472" i="18"/>
  <c r="BO471" i="18"/>
  <c r="BO468" i="18"/>
  <c r="BN46" i="19"/>
  <c r="BN405" i="18"/>
  <c r="BN406" i="18"/>
  <c r="BN27" i="77"/>
  <c r="BN28" i="77"/>
  <c r="BO28" i="77" s="1"/>
  <c r="BN26" i="77"/>
  <c r="BO25" i="77"/>
  <c r="BO21" i="18"/>
  <c r="BN16" i="19"/>
  <c r="BO46" i="19" l="1"/>
  <c r="CR68" i="16"/>
  <c r="BZ67" i="16"/>
  <c r="BN70" i="16"/>
  <c r="BO16" i="19"/>
  <c r="BW69" i="16"/>
  <c r="BW70" i="16" s="1"/>
  <c r="BR69" i="16"/>
  <c r="BQ70" i="16"/>
  <c r="BN80" i="16"/>
  <c r="BN79" i="16"/>
  <c r="BO62" i="19"/>
  <c r="BO88" i="19"/>
  <c r="BO91" i="19" s="1"/>
  <c r="BO121" i="19" s="1"/>
  <c r="BO77" i="19"/>
  <c r="BN64" i="19"/>
  <c r="BN84" i="19"/>
  <c r="BN87" i="19" s="1"/>
  <c r="BN120" i="19" s="1"/>
  <c r="BN51" i="19"/>
  <c r="BO63" i="19"/>
  <c r="BO92" i="19"/>
  <c r="BO96" i="19" s="1"/>
  <c r="BO122" i="19" s="1"/>
  <c r="BO78" i="19"/>
  <c r="BO63" i="77"/>
  <c r="BO41" i="77"/>
  <c r="BO55" i="77"/>
  <c r="BO40" i="77"/>
  <c r="BN147" i="16"/>
  <c r="BO21" i="17"/>
  <c r="BO26" i="16"/>
  <c r="BN108" i="77"/>
  <c r="BN107" i="77"/>
  <c r="BN109" i="77"/>
  <c r="BO109" i="77" s="1"/>
  <c r="BO27" i="77"/>
  <c r="BO26" i="77"/>
  <c r="BO138" i="16"/>
  <c r="BO406" i="18"/>
  <c r="BO405" i="18"/>
  <c r="BO18" i="17"/>
  <c r="BN50" i="19"/>
  <c r="BN131" i="19"/>
  <c r="BN20" i="19"/>
  <c r="BO470" i="18"/>
  <c r="BO469" i="18"/>
  <c r="BN139" i="16"/>
  <c r="BO19" i="17"/>
  <c r="BO14" i="16"/>
  <c r="BO135" i="19"/>
  <c r="BO136" i="19" s="1"/>
  <c r="BO143" i="19"/>
  <c r="BO144" i="19" s="1"/>
  <c r="BO67" i="16"/>
  <c r="BO153" i="16"/>
  <c r="BO56" i="77"/>
  <c r="BO64" i="77"/>
  <c r="BO100" i="77"/>
  <c r="BO10" i="77"/>
  <c r="BO106" i="77"/>
  <c r="BO11" i="77"/>
  <c r="BO140" i="16"/>
  <c r="BO81" i="16"/>
  <c r="BO19" i="19"/>
  <c r="BO141" i="19"/>
  <c r="BO142" i="19" s="1"/>
  <c r="BO133" i="19"/>
  <c r="BO134" i="19" s="1"/>
  <c r="BN92" i="77"/>
  <c r="BO92" i="77" s="1"/>
  <c r="BN91" i="77"/>
  <c r="BN90" i="77"/>
  <c r="BO89" i="77"/>
  <c r="BO131" i="19" l="1"/>
  <c r="BO132" i="19" s="1"/>
  <c r="BO50" i="19"/>
  <c r="BO51" i="19"/>
  <c r="BO84" i="19"/>
  <c r="BO87" i="19" s="1"/>
  <c r="BO120" i="19" s="1"/>
  <c r="BX69" i="16"/>
  <c r="BS69" i="16"/>
  <c r="BR70" i="16"/>
  <c r="BR26" i="16"/>
  <c r="CF67" i="16"/>
  <c r="CL67" i="16" s="1"/>
  <c r="CR67" i="16" s="1"/>
  <c r="BN97" i="19"/>
  <c r="BN103" i="19" s="1"/>
  <c r="BN123" i="19" s="1"/>
  <c r="BN65" i="19"/>
  <c r="BO20" i="19"/>
  <c r="BO64" i="19"/>
  <c r="BN157" i="16"/>
  <c r="BN132" i="19"/>
  <c r="BN145" i="19"/>
  <c r="BN148" i="16"/>
  <c r="BN150" i="16" s="1"/>
  <c r="BO27" i="16"/>
  <c r="BO30" i="16" s="1"/>
  <c r="BN141" i="16"/>
  <c r="BN145" i="16" s="1"/>
  <c r="BO18" i="16"/>
  <c r="BO91" i="77"/>
  <c r="BO90" i="77"/>
  <c r="BN56" i="16"/>
  <c r="BN55" i="19"/>
  <c r="BN54" i="19"/>
  <c r="BN137" i="19"/>
  <c r="BN133" i="16"/>
  <c r="BN27" i="19"/>
  <c r="BN57" i="19" s="1"/>
  <c r="BO13" i="77"/>
  <c r="BO19" i="77"/>
  <c r="BO139" i="16"/>
  <c r="BO68" i="16"/>
  <c r="BO147" i="16"/>
  <c r="BO69" i="16"/>
  <c r="BO108" i="77"/>
  <c r="BO107" i="77"/>
  <c r="BO80" i="16"/>
  <c r="BO145" i="19" l="1"/>
  <c r="BO146" i="19" s="1"/>
  <c r="BO137" i="19"/>
  <c r="BO156" i="19" s="1"/>
  <c r="BO55" i="19"/>
  <c r="BO56" i="16"/>
  <c r="BR147" i="16"/>
  <c r="BR150" i="16" s="1"/>
  <c r="BR30" i="16"/>
  <c r="BT69" i="16"/>
  <c r="BY69" i="16"/>
  <c r="BS70" i="16"/>
  <c r="BS26" i="16"/>
  <c r="BX70" i="16"/>
  <c r="BX26" i="16"/>
  <c r="BO97" i="19"/>
  <c r="BO103" i="19" s="1"/>
  <c r="BO123" i="19" s="1"/>
  <c r="BO65" i="19"/>
  <c r="BO54" i="19"/>
  <c r="BO133" i="16"/>
  <c r="BO157" i="16"/>
  <c r="BN158" i="16"/>
  <c r="BN159" i="16" s="1"/>
  <c r="BN160" i="16" s="1"/>
  <c r="BN161" i="16" s="1"/>
  <c r="BN134" i="16"/>
  <c r="BN135" i="16" s="1"/>
  <c r="BN136" i="16" s="1"/>
  <c r="BN137" i="16" s="1"/>
  <c r="BN131" i="16" s="1"/>
  <c r="BN126" i="19"/>
  <c r="BO27" i="19"/>
  <c r="BN152" i="16"/>
  <c r="BO70" i="16"/>
  <c r="BO33" i="16"/>
  <c r="BO20" i="77"/>
  <c r="BO21" i="77" s="1"/>
  <c r="BO50" i="77"/>
  <c r="BO35" i="77"/>
  <c r="BO111" i="77"/>
  <c r="BN146" i="19"/>
  <c r="BN148" i="19"/>
  <c r="BO148" i="16"/>
  <c r="BO150" i="16" s="1"/>
  <c r="BO79" i="16"/>
  <c r="BO30" i="77"/>
  <c r="BO44" i="77"/>
  <c r="BO113" i="77"/>
  <c r="BO16" i="77"/>
  <c r="BO17" i="77" s="1"/>
  <c r="BO23" i="17"/>
  <c r="BO17" i="17" s="1"/>
  <c r="BO141" i="16"/>
  <c r="BO145" i="16" s="1"/>
  <c r="BN138" i="19"/>
  <c r="BN156" i="19"/>
  <c r="BO138" i="19" l="1"/>
  <c r="BO147" i="19" s="1"/>
  <c r="BY70" i="16"/>
  <c r="BY26" i="16"/>
  <c r="BX30" i="16"/>
  <c r="BX147" i="16"/>
  <c r="BX150" i="16" s="1"/>
  <c r="BR33" i="16"/>
  <c r="BZ69" i="16"/>
  <c r="BT70" i="16"/>
  <c r="BS147" i="16"/>
  <c r="BS150" i="16" s="1"/>
  <c r="BS21" i="17"/>
  <c r="BS17" i="17" s="1"/>
  <c r="BS30" i="16"/>
  <c r="BN30" i="19"/>
  <c r="BO152" i="16"/>
  <c r="BN164" i="19"/>
  <c r="BN173" i="19"/>
  <c r="BN157" i="19"/>
  <c r="BO28" i="19"/>
  <c r="BO173" i="19"/>
  <c r="BO164" i="19"/>
  <c r="BO157" i="19"/>
  <c r="BO148" i="19"/>
  <c r="BO149" i="19" s="1"/>
  <c r="BN149" i="19"/>
  <c r="BN152" i="19"/>
  <c r="BN147" i="19"/>
  <c r="BS33" i="16" l="1"/>
  <c r="BY147" i="16"/>
  <c r="BY150" i="16" s="1"/>
  <c r="BY30" i="16"/>
  <c r="BY21" i="17"/>
  <c r="BY17" i="17" s="1"/>
  <c r="CC69" i="16"/>
  <c r="BZ70" i="16"/>
  <c r="BX33" i="16"/>
  <c r="BN66" i="19"/>
  <c r="BO66" i="19"/>
  <c r="BN32" i="19"/>
  <c r="BN105" i="19"/>
  <c r="BN117" i="19" s="1"/>
  <c r="BN128" i="19"/>
  <c r="BN58" i="19"/>
  <c r="BN33" i="19"/>
  <c r="BO57" i="19"/>
  <c r="BO30" i="19"/>
  <c r="BO32" i="19" s="1"/>
  <c r="BN153" i="19"/>
  <c r="BO152" i="19"/>
  <c r="BO153" i="19" s="1"/>
  <c r="BN158" i="19"/>
  <c r="BO158" i="19"/>
  <c r="BN34" i="19" l="1"/>
  <c r="BN86" i="16"/>
  <c r="CD69" i="16"/>
  <c r="CC70" i="16"/>
  <c r="BY33" i="16"/>
  <c r="BN67" i="19"/>
  <c r="BO33" i="19"/>
  <c r="BO10" i="17"/>
  <c r="BO38" i="16"/>
  <c r="BO158" i="16"/>
  <c r="BO159" i="16" s="1"/>
  <c r="BO160" i="16" s="1"/>
  <c r="BO161" i="16" s="1"/>
  <c r="BN166" i="19"/>
  <c r="BO166" i="19"/>
  <c r="BO58" i="19"/>
  <c r="BO128" i="19"/>
  <c r="BO105" i="19"/>
  <c r="BO117" i="19" s="1"/>
  <c r="BO126" i="19"/>
  <c r="BO134" i="16"/>
  <c r="BO135" i="16" s="1"/>
  <c r="BO136" i="16" s="1"/>
  <c r="BO137" i="16" s="1"/>
  <c r="BO131" i="16" s="1"/>
  <c r="BN56" i="19"/>
  <c r="BO34" i="19"/>
  <c r="BO56" i="19"/>
  <c r="BO67" i="19" l="1"/>
  <c r="CE69" i="16"/>
  <c r="CD70" i="16"/>
  <c r="CD26" i="16"/>
  <c r="BN89" i="16"/>
  <c r="BO89" i="16" s="1"/>
  <c r="BO86" i="16"/>
  <c r="BN90" i="16" l="1"/>
  <c r="CD147" i="16"/>
  <c r="CD150" i="16" s="1"/>
  <c r="CD30" i="16"/>
  <c r="CF69" i="16"/>
  <c r="CE70" i="16"/>
  <c r="CE26" i="16"/>
  <c r="CF70" i="16" l="1"/>
  <c r="CI69" i="16"/>
  <c r="CD33" i="16"/>
  <c r="CE21" i="17"/>
  <c r="CE17" i="17" s="1"/>
  <c r="CE147" i="16"/>
  <c r="CE150" i="16" s="1"/>
  <c r="CE30" i="16"/>
  <c r="CJ69" i="16" l="1"/>
  <c r="CI70" i="16"/>
  <c r="CE33" i="16"/>
  <c r="CK69" i="16" l="1"/>
  <c r="CJ26" i="16"/>
  <c r="CJ70" i="16"/>
  <c r="CJ147" i="16" l="1"/>
  <c r="CJ150" i="16" s="1"/>
  <c r="CJ30" i="16"/>
  <c r="CJ33" i="16" s="1"/>
  <c r="CK26" i="16"/>
  <c r="CK21" i="17" s="1"/>
  <c r="CK17" i="17" s="1"/>
  <c r="CL69" i="16"/>
  <c r="CO69" i="16" s="1"/>
  <c r="CK70" i="16"/>
  <c r="CP69" i="16" l="1"/>
  <c r="CO70" i="16"/>
  <c r="CL70" i="16"/>
  <c r="CK30" i="16"/>
  <c r="CK33" i="16" s="1"/>
  <c r="CK147" i="16"/>
  <c r="CK150" i="16" s="1"/>
  <c r="CQ69" i="16" l="1"/>
  <c r="CP26" i="16"/>
  <c r="CP70" i="16"/>
  <c r="CP30" i="16" l="1"/>
  <c r="CP33" i="16" s="1"/>
  <c r="CP147" i="16"/>
  <c r="CP150" i="16" s="1"/>
  <c r="CR69" i="16"/>
  <c r="CQ26" i="16"/>
  <c r="CQ21" i="17" s="1"/>
  <c r="CQ17" i="17" s="1"/>
  <c r="CQ70" i="16"/>
  <c r="BT31" i="18"/>
  <c r="BT239" i="18" s="1"/>
  <c r="CQ147" i="16" l="1"/>
  <c r="CQ150" i="16" s="1"/>
  <c r="CQ30" i="16"/>
  <c r="CQ33" i="16" s="1"/>
  <c r="CR70" i="16"/>
  <c r="BT11" i="18"/>
  <c r="BT14" i="18" s="1"/>
  <c r="BZ31" i="18"/>
  <c r="BZ239" i="18" s="1"/>
  <c r="BT30" i="18"/>
  <c r="BU30" i="18" s="1"/>
  <c r="BW271" i="18"/>
  <c r="BT271" i="18"/>
  <c r="BT39" i="18"/>
  <c r="BT40" i="18" s="1"/>
  <c r="BU31" i="18"/>
  <c r="BT241" i="18"/>
  <c r="BT268" i="18" l="1"/>
  <c r="BU11" i="18"/>
  <c r="BW268" i="18"/>
  <c r="BT19" i="77"/>
  <c r="BT20" i="77" s="1"/>
  <c r="BT238" i="18"/>
  <c r="BT22" i="77"/>
  <c r="BT12" i="18"/>
  <c r="BZ241" i="18"/>
  <c r="CF31" i="18"/>
  <c r="CA31" i="18"/>
  <c r="BZ39" i="18"/>
  <c r="BZ271" i="18"/>
  <c r="CC271" i="18"/>
  <c r="BZ30" i="18"/>
  <c r="CA30" i="18" s="1"/>
  <c r="BZ11" i="18"/>
  <c r="BW269" i="18"/>
  <c r="BT269" i="18"/>
  <c r="BT205" i="18"/>
  <c r="BT225" i="18" s="1"/>
  <c r="BT236" i="18"/>
  <c r="BT16" i="18"/>
  <c r="BT10" i="19"/>
  <c r="BT230" i="18"/>
  <c r="BU32" i="18"/>
  <c r="BU241" i="18"/>
  <c r="BU39" i="18"/>
  <c r="BU40" i="18" s="1"/>
  <c r="BU22" i="77" l="1"/>
  <c r="BU12" i="18"/>
  <c r="CL31" i="18"/>
  <c r="CI271" i="18"/>
  <c r="CG31" i="18"/>
  <c r="CF239" i="18"/>
  <c r="CA241" i="18"/>
  <c r="CA239" i="18"/>
  <c r="BU238" i="18"/>
  <c r="BU14" i="18"/>
  <c r="BU230" i="18" s="1"/>
  <c r="BU231" i="18" s="1"/>
  <c r="BT229" i="18"/>
  <c r="BZ40" i="18"/>
  <c r="CF241" i="18"/>
  <c r="CF271" i="18"/>
  <c r="CF39" i="18"/>
  <c r="CF30" i="18"/>
  <c r="CG30" i="18" s="1"/>
  <c r="CF11" i="18"/>
  <c r="CI268" i="18" s="1"/>
  <c r="BZ269" i="18"/>
  <c r="CC269" i="18"/>
  <c r="BZ205" i="18"/>
  <c r="BZ225" i="18" s="1"/>
  <c r="BZ268" i="18"/>
  <c r="BZ14" i="18"/>
  <c r="BZ22" i="77"/>
  <c r="BZ12" i="18"/>
  <c r="CA11" i="18"/>
  <c r="CC268" i="18"/>
  <c r="BZ19" i="77"/>
  <c r="BZ20" i="77" s="1"/>
  <c r="BZ49" i="77" s="1"/>
  <c r="BZ238" i="18"/>
  <c r="CA32" i="18"/>
  <c r="CA39" i="18"/>
  <c r="BT167" i="19"/>
  <c r="BU10" i="19"/>
  <c r="BU167" i="19" s="1"/>
  <c r="BT9" i="19"/>
  <c r="BT156" i="16" s="1"/>
  <c r="BT231" i="18"/>
  <c r="BT13" i="19" s="1"/>
  <c r="BT265" i="18"/>
  <c r="BT232" i="18"/>
  <c r="BT235" i="18"/>
  <c r="BT466" i="18"/>
  <c r="BT402" i="18"/>
  <c r="BT17" i="18"/>
  <c r="BT21" i="77"/>
  <c r="BT34" i="77"/>
  <c r="BT49" i="77"/>
  <c r="CG32" i="18" l="1"/>
  <c r="CG239" i="18"/>
  <c r="CR31" i="18"/>
  <c r="CO271" i="18"/>
  <c r="CF40" i="18"/>
  <c r="CI269" i="18"/>
  <c r="CL271" i="18"/>
  <c r="CL241" i="18"/>
  <c r="CL39" i="18"/>
  <c r="CL30" i="18"/>
  <c r="CM30" i="18" s="1"/>
  <c r="CL239" i="18"/>
  <c r="CM31" i="18"/>
  <c r="CL11" i="18"/>
  <c r="BU236" i="18"/>
  <c r="BZ21" i="77"/>
  <c r="CA40" i="18"/>
  <c r="BZ34" i="77"/>
  <c r="BZ35" i="77" s="1"/>
  <c r="CA205" i="18"/>
  <c r="CF269" i="18"/>
  <c r="CF205" i="18"/>
  <c r="CF225" i="18" s="1"/>
  <c r="BZ10" i="19"/>
  <c r="BZ230" i="18"/>
  <c r="BZ231" i="18" s="1"/>
  <c r="BZ16" i="18"/>
  <c r="BZ236" i="18"/>
  <c r="BZ265" i="18"/>
  <c r="CF19" i="77"/>
  <c r="CF22" i="77"/>
  <c r="CF268" i="18"/>
  <c r="CF238" i="18"/>
  <c r="CF14" i="18"/>
  <c r="CF12" i="18"/>
  <c r="CG11" i="18"/>
  <c r="CA12" i="18"/>
  <c r="CA14" i="18"/>
  <c r="CA22" i="77"/>
  <c r="CA238" i="18"/>
  <c r="CG241" i="18"/>
  <c r="CG39" i="18"/>
  <c r="BU13" i="19"/>
  <c r="BT12" i="19"/>
  <c r="BT16" i="19" s="1"/>
  <c r="BZ408" i="18"/>
  <c r="BT407" i="18"/>
  <c r="BT404" i="18"/>
  <c r="BZ50" i="77"/>
  <c r="CA49" i="77"/>
  <c r="BZ39" i="77"/>
  <c r="BT50" i="77"/>
  <c r="BU49" i="77"/>
  <c r="BT39" i="77"/>
  <c r="BT471" i="18"/>
  <c r="BZ472" i="18"/>
  <c r="BT468" i="18"/>
  <c r="BT35" i="77"/>
  <c r="BT25" i="77"/>
  <c r="BU34" i="77"/>
  <c r="BT110" i="77"/>
  <c r="BT21" i="18"/>
  <c r="BT9" i="77"/>
  <c r="BT12" i="77"/>
  <c r="BT60" i="19"/>
  <c r="BT18" i="19"/>
  <c r="BT16" i="16"/>
  <c r="BZ161" i="19"/>
  <c r="BT132" i="16"/>
  <c r="BT13" i="16"/>
  <c r="BT17" i="19"/>
  <c r="BT94" i="16"/>
  <c r="CO268" i="18" l="1"/>
  <c r="CL19" i="77"/>
  <c r="CL22" i="77"/>
  <c r="CO269" i="18"/>
  <c r="CG40" i="18"/>
  <c r="CR271" i="18"/>
  <c r="CR241" i="18"/>
  <c r="CR39" i="18"/>
  <c r="CR30" i="18"/>
  <c r="CS30" i="18" s="1"/>
  <c r="CR239" i="18"/>
  <c r="CS31" i="18"/>
  <c r="CR11" i="18"/>
  <c r="CL205" i="18"/>
  <c r="CL225" i="18" s="1"/>
  <c r="CL269" i="18"/>
  <c r="CL40" i="18"/>
  <c r="CF265" i="18"/>
  <c r="CL268" i="18"/>
  <c r="CL238" i="18"/>
  <c r="CL12" i="18"/>
  <c r="CL14" i="18"/>
  <c r="CL10" i="19" s="1"/>
  <c r="CM11" i="18"/>
  <c r="CM22" i="77" s="1"/>
  <c r="CM241" i="18"/>
  <c r="CM39" i="18"/>
  <c r="CM32" i="18"/>
  <c r="CM239" i="18"/>
  <c r="BZ13" i="19"/>
  <c r="BZ110" i="77"/>
  <c r="CA110" i="77" s="1"/>
  <c r="CA34" i="77"/>
  <c r="BZ25" i="77"/>
  <c r="BZ28" i="77" s="1"/>
  <c r="CF20" i="77"/>
  <c r="CG22" i="77"/>
  <c r="CG238" i="18"/>
  <c r="CG14" i="18"/>
  <c r="CG12" i="18"/>
  <c r="CF16" i="18"/>
  <c r="CF10" i="19"/>
  <c r="CF236" i="18"/>
  <c r="CF230" i="18"/>
  <c r="BZ229" i="18"/>
  <c r="BZ402" i="18"/>
  <c r="BZ232" i="18"/>
  <c r="BZ466" i="18"/>
  <c r="BZ235" i="18"/>
  <c r="BZ17" i="18"/>
  <c r="CG205" i="18"/>
  <c r="CA230" i="18"/>
  <c r="CA231" i="18" s="1"/>
  <c r="CA236" i="18"/>
  <c r="CA10" i="19"/>
  <c r="BZ9" i="19"/>
  <c r="BZ156" i="16" s="1"/>
  <c r="BT140" i="16"/>
  <c r="BU16" i="16"/>
  <c r="BT20" i="17"/>
  <c r="BT92" i="19"/>
  <c r="BT96" i="19" s="1"/>
  <c r="BT122" i="19" s="1"/>
  <c r="BT143" i="19"/>
  <c r="BT144" i="19" s="1"/>
  <c r="BT72" i="19"/>
  <c r="BT63" i="19"/>
  <c r="BT135" i="19"/>
  <c r="BT136" i="19" s="1"/>
  <c r="BT29" i="17"/>
  <c r="BT405" i="18"/>
  <c r="BT406" i="18"/>
  <c r="BT62" i="19"/>
  <c r="BT133" i="19"/>
  <c r="BT134" i="19" s="1"/>
  <c r="BT71" i="19"/>
  <c r="BT141" i="19"/>
  <c r="BT142" i="19" s="1"/>
  <c r="BT88" i="19"/>
  <c r="BT91" i="19" s="1"/>
  <c r="BT121" i="19" s="1"/>
  <c r="BT19" i="19"/>
  <c r="BT26" i="77"/>
  <c r="BT27" i="77"/>
  <c r="BT28" i="77"/>
  <c r="BU28" i="77" s="1"/>
  <c r="BU25" i="77"/>
  <c r="BT18" i="17"/>
  <c r="BT138" i="16"/>
  <c r="BU13" i="16"/>
  <c r="BT64" i="77"/>
  <c r="BT100" i="77"/>
  <c r="BT10" i="77"/>
  <c r="BT56" i="77"/>
  <c r="BT106" i="77"/>
  <c r="BZ55" i="77"/>
  <c r="BZ63" i="77"/>
  <c r="BZ42" i="77"/>
  <c r="CA39" i="77"/>
  <c r="BZ89" i="77"/>
  <c r="BT51" i="19"/>
  <c r="BT50" i="19"/>
  <c r="BT84" i="19"/>
  <c r="BT87" i="19" s="1"/>
  <c r="BT120" i="19" s="1"/>
  <c r="BT131" i="19"/>
  <c r="BT111" i="77"/>
  <c r="BU110" i="77"/>
  <c r="BT469" i="18"/>
  <c r="BT470" i="18"/>
  <c r="BT40" i="77"/>
  <c r="BT41" i="77"/>
  <c r="BT55" i="77"/>
  <c r="BT63" i="77"/>
  <c r="BT42" i="77"/>
  <c r="BU42" i="77" s="1"/>
  <c r="BU39" i="77"/>
  <c r="BT89" i="77"/>
  <c r="BT61" i="19"/>
  <c r="BT46" i="19"/>
  <c r="BT14" i="16"/>
  <c r="BT26" i="16"/>
  <c r="BZ167" i="19"/>
  <c r="CM12" i="18" l="1"/>
  <c r="CL20" i="77"/>
  <c r="CR19" i="77"/>
  <c r="CR22" i="77"/>
  <c r="CL9" i="19"/>
  <c r="CM10" i="19"/>
  <c r="CL265" i="18"/>
  <c r="CS241" i="18"/>
  <c r="CS32" i="18"/>
  <c r="CS39" i="18"/>
  <c r="CS239" i="18"/>
  <c r="CR205" i="18"/>
  <c r="CR225" i="18" s="1"/>
  <c r="CR265" i="18" s="1"/>
  <c r="CR269" i="18"/>
  <c r="CR40" i="18"/>
  <c r="CR238" i="18"/>
  <c r="CR268" i="18"/>
  <c r="CR12" i="18"/>
  <c r="CR14" i="18"/>
  <c r="CR10" i="19" s="1"/>
  <c r="CS11" i="18"/>
  <c r="CS22" i="77" s="1"/>
  <c r="CM205" i="18"/>
  <c r="CM40" i="18"/>
  <c r="CM238" i="18"/>
  <c r="CM14" i="18"/>
  <c r="CL236" i="18"/>
  <c r="CL16" i="18"/>
  <c r="CL230" i="18"/>
  <c r="BZ111" i="77"/>
  <c r="CF229" i="18"/>
  <c r="CA13" i="19"/>
  <c r="BZ12" i="19"/>
  <c r="BZ61" i="19" s="1"/>
  <c r="CA25" i="77"/>
  <c r="CA26" i="77" s="1"/>
  <c r="CF161" i="19"/>
  <c r="BZ17" i="19"/>
  <c r="BZ18" i="19"/>
  <c r="BZ132" i="16"/>
  <c r="BZ12" i="77"/>
  <c r="BZ94" i="16"/>
  <c r="BZ13" i="16"/>
  <c r="BZ16" i="16"/>
  <c r="BZ60" i="19"/>
  <c r="BZ404" i="18"/>
  <c r="CF408" i="18"/>
  <c r="BZ407" i="18"/>
  <c r="BZ9" i="77"/>
  <c r="BZ21" i="18"/>
  <c r="CG10" i="19"/>
  <c r="CF9" i="19"/>
  <c r="CG230" i="18"/>
  <c r="CG231" i="18" s="1"/>
  <c r="CG236" i="18"/>
  <c r="BZ468" i="18"/>
  <c r="CF472" i="18"/>
  <c r="BZ471" i="18"/>
  <c r="CF232" i="18"/>
  <c r="CF17" i="18"/>
  <c r="CF466" i="18"/>
  <c r="CL472" i="18" s="1"/>
  <c r="CF235" i="18"/>
  <c r="CF402" i="18"/>
  <c r="CL408" i="18" s="1"/>
  <c r="CF231" i="18"/>
  <c r="CF13" i="19" s="1"/>
  <c r="CF34" i="77"/>
  <c r="CF21" i="77"/>
  <c r="CF49" i="77"/>
  <c r="BT132" i="19"/>
  <c r="BT145" i="19"/>
  <c r="BT108" i="77"/>
  <c r="BT107" i="77"/>
  <c r="BT109" i="77"/>
  <c r="BU140" i="16"/>
  <c r="BZ91" i="77"/>
  <c r="BZ92" i="77"/>
  <c r="CA89" i="77"/>
  <c r="BT147" i="16"/>
  <c r="BU26" i="16"/>
  <c r="BT21" i="17"/>
  <c r="BT64" i="19"/>
  <c r="BT27" i="16"/>
  <c r="BT30" i="16" s="1"/>
  <c r="BT139" i="16"/>
  <c r="BU14" i="16"/>
  <c r="BT19" i="17"/>
  <c r="BT90" i="77"/>
  <c r="BT91" i="77"/>
  <c r="BT92" i="77"/>
  <c r="BU92" i="77" s="1"/>
  <c r="BU89" i="77"/>
  <c r="CA42" i="77"/>
  <c r="BU138" i="16"/>
  <c r="BU55" i="77"/>
  <c r="BU63" i="77"/>
  <c r="BU40" i="77"/>
  <c r="CA28" i="77"/>
  <c r="BZ40" i="77"/>
  <c r="CA63" i="77"/>
  <c r="CA55" i="77"/>
  <c r="CA40" i="77"/>
  <c r="BZ26" i="77"/>
  <c r="BT20" i="19"/>
  <c r="BT157" i="16" s="1"/>
  <c r="BT159" i="16" s="1"/>
  <c r="BT160" i="16" s="1"/>
  <c r="BT161" i="16" s="1"/>
  <c r="BU26" i="77"/>
  <c r="CR20" i="77" l="1"/>
  <c r="CL49" i="77"/>
  <c r="CL34" i="77"/>
  <c r="CL21" i="77"/>
  <c r="CR9" i="19"/>
  <c r="CS10" i="19"/>
  <c r="CL156" i="16"/>
  <c r="CL16" i="16"/>
  <c r="CL18" i="19"/>
  <c r="CL132" i="16"/>
  <c r="CL17" i="19"/>
  <c r="CR161" i="19"/>
  <c r="CL94" i="16"/>
  <c r="CL13" i="16"/>
  <c r="CL231" i="18"/>
  <c r="CL13" i="19" s="1"/>
  <c r="CL60" i="19"/>
  <c r="CL161" i="19"/>
  <c r="CF156" i="16"/>
  <c r="CS238" i="18"/>
  <c r="CS14" i="18"/>
  <c r="CS12" i="18"/>
  <c r="CR236" i="18"/>
  <c r="CR16" i="18"/>
  <c r="CR230" i="18"/>
  <c r="CS205" i="18"/>
  <c r="CS40" i="18"/>
  <c r="CL466" i="18"/>
  <c r="CR472" i="18" s="1"/>
  <c r="CL402" i="18"/>
  <c r="CR408" i="18" s="1"/>
  <c r="CL235" i="18"/>
  <c r="CL17" i="18"/>
  <c r="CL232" i="18"/>
  <c r="CM236" i="18"/>
  <c r="CM230" i="18"/>
  <c r="CM231" i="18" s="1"/>
  <c r="CL229" i="18"/>
  <c r="BZ26" i="16"/>
  <c r="BZ147" i="16" s="1"/>
  <c r="BZ14" i="16"/>
  <c r="BZ46" i="19"/>
  <c r="BZ16" i="19"/>
  <c r="CA13" i="16"/>
  <c r="BZ138" i="16"/>
  <c r="BZ18" i="17"/>
  <c r="CF407" i="18"/>
  <c r="CF404" i="18"/>
  <c r="CF471" i="18"/>
  <c r="CF468" i="18"/>
  <c r="CF21" i="18"/>
  <c r="CF9" i="77"/>
  <c r="CG34" i="77"/>
  <c r="CF35" i="77"/>
  <c r="CF25" i="77"/>
  <c r="CF110" i="77"/>
  <c r="BZ56" i="77"/>
  <c r="BZ10" i="77"/>
  <c r="BZ100" i="77"/>
  <c r="BZ64" i="77"/>
  <c r="BZ106" i="77"/>
  <c r="BZ107" i="77" s="1"/>
  <c r="BZ27" i="77"/>
  <c r="BZ41" i="77"/>
  <c r="BZ29" i="17"/>
  <c r="CG13" i="19"/>
  <c r="CF12" i="19"/>
  <c r="BZ470" i="18"/>
  <c r="BZ469" i="18"/>
  <c r="CF132" i="16"/>
  <c r="CF60" i="19"/>
  <c r="CF13" i="16"/>
  <c r="CF17" i="19"/>
  <c r="CF18" i="19"/>
  <c r="CF94" i="16"/>
  <c r="CF16" i="16"/>
  <c r="CF12" i="77"/>
  <c r="BZ133" i="19"/>
  <c r="BZ134" i="19" s="1"/>
  <c r="BZ88" i="19"/>
  <c r="BZ91" i="19" s="1"/>
  <c r="BZ121" i="19" s="1"/>
  <c r="BZ19" i="19"/>
  <c r="BZ71" i="19"/>
  <c r="BZ141" i="19"/>
  <c r="BZ142" i="19" s="1"/>
  <c r="BZ62" i="19"/>
  <c r="CF167" i="19"/>
  <c r="CF39" i="77"/>
  <c r="CF50" i="77"/>
  <c r="CG49" i="77"/>
  <c r="BZ406" i="18"/>
  <c r="BZ405" i="18"/>
  <c r="CA16" i="16"/>
  <c r="BZ20" i="17"/>
  <c r="BZ140" i="16"/>
  <c r="BZ135" i="19"/>
  <c r="BZ136" i="19" s="1"/>
  <c r="BZ143" i="19"/>
  <c r="BZ144" i="19" s="1"/>
  <c r="BZ92" i="19"/>
  <c r="BZ96" i="19" s="1"/>
  <c r="BZ122" i="19" s="1"/>
  <c r="BZ72" i="19"/>
  <c r="BZ63" i="19"/>
  <c r="BZ90" i="77"/>
  <c r="BT33" i="16"/>
  <c r="BU139" i="16"/>
  <c r="CA92" i="77"/>
  <c r="BU91" i="77"/>
  <c r="BU90" i="77"/>
  <c r="BU147" i="16"/>
  <c r="BT56" i="16"/>
  <c r="BT55" i="19"/>
  <c r="BT65" i="19"/>
  <c r="BT54" i="19"/>
  <c r="BT97" i="19"/>
  <c r="BT103" i="19" s="1"/>
  <c r="BT123" i="19" s="1"/>
  <c r="BT137" i="19"/>
  <c r="BT133" i="16"/>
  <c r="BT148" i="16"/>
  <c r="BT150" i="16" s="1"/>
  <c r="BU27" i="16"/>
  <c r="BU30" i="16" s="1"/>
  <c r="BT23" i="17"/>
  <c r="CA91" i="77"/>
  <c r="CA90" i="77"/>
  <c r="BT146" i="19"/>
  <c r="CL35" i="77" l="1"/>
  <c r="CM34" i="77"/>
  <c r="CL25" i="77"/>
  <c r="CL110" i="77"/>
  <c r="CL50" i="77"/>
  <c r="CM49" i="77"/>
  <c r="CL39" i="77"/>
  <c r="CR21" i="77"/>
  <c r="CR49" i="77"/>
  <c r="CR34" i="77"/>
  <c r="CL62" i="19"/>
  <c r="CL63" i="19"/>
  <c r="CL12" i="19"/>
  <c r="CL61" i="19" s="1"/>
  <c r="CM13" i="19"/>
  <c r="CL92" i="19"/>
  <c r="CL96" i="19" s="1"/>
  <c r="CL122" i="19" s="1"/>
  <c r="CL143" i="19"/>
  <c r="CL144" i="19" s="1"/>
  <c r="CL135" i="19"/>
  <c r="CL136" i="19" s="1"/>
  <c r="CL72" i="19"/>
  <c r="CL133" i="19"/>
  <c r="CL134" i="19" s="1"/>
  <c r="CL19" i="19"/>
  <c r="CL27" i="16" s="1"/>
  <c r="CL88" i="19"/>
  <c r="CL91" i="19" s="1"/>
  <c r="CL121" i="19" s="1"/>
  <c r="CL141" i="19"/>
  <c r="CL142" i="19" s="1"/>
  <c r="CL71" i="19"/>
  <c r="CR231" i="18"/>
  <c r="CR13" i="19" s="1"/>
  <c r="CL18" i="17"/>
  <c r="CM13" i="16"/>
  <c r="CL138" i="16"/>
  <c r="CM16" i="16"/>
  <c r="CL140" i="16"/>
  <c r="CL20" i="17"/>
  <c r="CR229" i="18"/>
  <c r="CL21" i="18"/>
  <c r="CL9" i="77"/>
  <c r="CL29" i="17"/>
  <c r="CR16" i="16"/>
  <c r="CR17" i="19"/>
  <c r="CR132" i="16"/>
  <c r="CR156" i="16"/>
  <c r="CR60" i="19"/>
  <c r="CR18" i="19"/>
  <c r="CR94" i="16"/>
  <c r="CR13" i="16"/>
  <c r="CL167" i="19"/>
  <c r="CR167" i="19"/>
  <c r="CF16" i="19"/>
  <c r="CR466" i="18"/>
  <c r="CR235" i="18"/>
  <c r="CR17" i="18"/>
  <c r="CR402" i="18"/>
  <c r="CR232" i="18"/>
  <c r="CS236" i="18"/>
  <c r="CS230" i="18"/>
  <c r="CS231" i="18" s="1"/>
  <c r="CL407" i="18"/>
  <c r="CL404" i="18"/>
  <c r="CL471" i="18"/>
  <c r="CL468" i="18"/>
  <c r="CA26" i="16"/>
  <c r="BZ21" i="17"/>
  <c r="BZ20" i="19"/>
  <c r="BZ157" i="16" s="1"/>
  <c r="BZ159" i="16" s="1"/>
  <c r="BZ160" i="16" s="1"/>
  <c r="BZ161" i="16" s="1"/>
  <c r="BZ50" i="19"/>
  <c r="CA14" i="16"/>
  <c r="BZ19" i="17"/>
  <c r="BZ139" i="16"/>
  <c r="BZ84" i="19"/>
  <c r="BZ87" i="19" s="1"/>
  <c r="BZ120" i="19" s="1"/>
  <c r="BZ131" i="19"/>
  <c r="BZ132" i="19" s="1"/>
  <c r="BZ51" i="19"/>
  <c r="CF62" i="19"/>
  <c r="CF19" i="19"/>
  <c r="CF133" i="19"/>
  <c r="CF134" i="19" s="1"/>
  <c r="CF88" i="19"/>
  <c r="CF91" i="19" s="1"/>
  <c r="CF121" i="19" s="1"/>
  <c r="CF141" i="19"/>
  <c r="CF142" i="19" s="1"/>
  <c r="CF71" i="19"/>
  <c r="CA138" i="16"/>
  <c r="CF89" i="77"/>
  <c r="CG39" i="77"/>
  <c r="CF42" i="77"/>
  <c r="CF41" i="77"/>
  <c r="CF55" i="77"/>
  <c r="CF63" i="77"/>
  <c r="CF40" i="77"/>
  <c r="CG110" i="77"/>
  <c r="CF111" i="77"/>
  <c r="CG16" i="16"/>
  <c r="CF140" i="16"/>
  <c r="CF20" i="17"/>
  <c r="CA140" i="16"/>
  <c r="CF56" i="77"/>
  <c r="CF64" i="77"/>
  <c r="CF106" i="77"/>
  <c r="CF100" i="77"/>
  <c r="CF10" i="77"/>
  <c r="BZ109" i="77"/>
  <c r="BZ108" i="77"/>
  <c r="CF46" i="19"/>
  <c r="CF61" i="19"/>
  <c r="CF26" i="16"/>
  <c r="CF14" i="16"/>
  <c r="CF18" i="17"/>
  <c r="CG13" i="16"/>
  <c r="CF138" i="16"/>
  <c r="CF28" i="77"/>
  <c r="CF27" i="77"/>
  <c r="CG25" i="77"/>
  <c r="CF26" i="77"/>
  <c r="CF29" i="17"/>
  <c r="CF406" i="18"/>
  <c r="CF405" i="18"/>
  <c r="BZ27" i="16"/>
  <c r="BZ64" i="19"/>
  <c r="CF470" i="18"/>
  <c r="CF469" i="18"/>
  <c r="CF135" i="19"/>
  <c r="CF136" i="19" s="1"/>
  <c r="CF143" i="19"/>
  <c r="CF144" i="19" s="1"/>
  <c r="CF72" i="19"/>
  <c r="CF92" i="19"/>
  <c r="CF96" i="19" s="1"/>
  <c r="CF122" i="19" s="1"/>
  <c r="CF63" i="19"/>
  <c r="BT138" i="19"/>
  <c r="BT147" i="19" s="1"/>
  <c r="BT156" i="19"/>
  <c r="BU148" i="16"/>
  <c r="BU150" i="16" s="1"/>
  <c r="BT135" i="16"/>
  <c r="BT136" i="16" s="1"/>
  <c r="BT137" i="16" s="1"/>
  <c r="BU33" i="16"/>
  <c r="BT17" i="17"/>
  <c r="CL42" i="77" l="1"/>
  <c r="CM42" i="77" s="1"/>
  <c r="CL89" i="77"/>
  <c r="CM39" i="77"/>
  <c r="CL55" i="77"/>
  <c r="CL63" i="77"/>
  <c r="CL111" i="77"/>
  <c r="CM110" i="77"/>
  <c r="CL28" i="77"/>
  <c r="CM28" i="77" s="1"/>
  <c r="CM25" i="77"/>
  <c r="CS34" i="77"/>
  <c r="CR35" i="77"/>
  <c r="CR25" i="77"/>
  <c r="CR110" i="77"/>
  <c r="CR50" i="77"/>
  <c r="CS49" i="77"/>
  <c r="CR39" i="77"/>
  <c r="CL64" i="19"/>
  <c r="CR12" i="19"/>
  <c r="CS13" i="19"/>
  <c r="CR18" i="17"/>
  <c r="CS13" i="16"/>
  <c r="CS138" i="16" s="1"/>
  <c r="CR138" i="16"/>
  <c r="CR140" i="16"/>
  <c r="CS16" i="16"/>
  <c r="CR20" i="17"/>
  <c r="CR29" i="17"/>
  <c r="CL23" i="17"/>
  <c r="CM27" i="16"/>
  <c r="CL148" i="16"/>
  <c r="CM140" i="16"/>
  <c r="CM138" i="16"/>
  <c r="CR21" i="18"/>
  <c r="CR9" i="77"/>
  <c r="CR92" i="19"/>
  <c r="CR96" i="19" s="1"/>
  <c r="CR122" i="19" s="1"/>
  <c r="CR63" i="19"/>
  <c r="CR135" i="19"/>
  <c r="CR136" i="19" s="1"/>
  <c r="CR143" i="19"/>
  <c r="CR144" i="19" s="1"/>
  <c r="CR72" i="19"/>
  <c r="CL10" i="77"/>
  <c r="CL64" i="77"/>
  <c r="CL56" i="77"/>
  <c r="CL100" i="77"/>
  <c r="CL106" i="77"/>
  <c r="CL41" i="77"/>
  <c r="CL27" i="77"/>
  <c r="CR133" i="19"/>
  <c r="CR134" i="19" s="1"/>
  <c r="CR19" i="19"/>
  <c r="CR88" i="19"/>
  <c r="CR91" i="19" s="1"/>
  <c r="CR121" i="19" s="1"/>
  <c r="CR62" i="19"/>
  <c r="CR141" i="19"/>
  <c r="CR142" i="19" s="1"/>
  <c r="CR71" i="19"/>
  <c r="CL46" i="19"/>
  <c r="CL14" i="16"/>
  <c r="CL26" i="16"/>
  <c r="CL16" i="19"/>
  <c r="CF131" i="19"/>
  <c r="CF145" i="19" s="1"/>
  <c r="CF51" i="19"/>
  <c r="CF84" i="19"/>
  <c r="CF87" i="19" s="1"/>
  <c r="CF120" i="19" s="1"/>
  <c r="CF50" i="19"/>
  <c r="CG28" i="77"/>
  <c r="CL26" i="77"/>
  <c r="CG42" i="77"/>
  <c r="CL40" i="77"/>
  <c r="CR407" i="18"/>
  <c r="CR404" i="18"/>
  <c r="CR471" i="18"/>
  <c r="CR468" i="18"/>
  <c r="CL406" i="18"/>
  <c r="CL405" i="18"/>
  <c r="CL469" i="18"/>
  <c r="CL470" i="18"/>
  <c r="CA147" i="16"/>
  <c r="BZ137" i="19"/>
  <c r="BZ138" i="19" s="1"/>
  <c r="BZ55" i="19"/>
  <c r="BZ65" i="19"/>
  <c r="BZ97" i="19"/>
  <c r="BZ103" i="19" s="1"/>
  <c r="BZ123" i="19" s="1"/>
  <c r="BZ54" i="19"/>
  <c r="BZ133" i="16"/>
  <c r="BZ135" i="16" s="1"/>
  <c r="BZ136" i="16" s="1"/>
  <c r="BZ137" i="16" s="1"/>
  <c r="CA139" i="16"/>
  <c r="BZ56" i="16"/>
  <c r="BZ145" i="19"/>
  <c r="BZ146" i="19" s="1"/>
  <c r="CF147" i="16"/>
  <c r="CF21" i="17"/>
  <c r="CG26" i="16"/>
  <c r="CF27" i="16"/>
  <c r="CF30" i="16" s="1"/>
  <c r="CF64" i="19"/>
  <c r="CF20" i="19"/>
  <c r="CG26" i="77"/>
  <c r="CG140" i="16"/>
  <c r="BZ148" i="16"/>
  <c r="BZ150" i="16" s="1"/>
  <c r="CA27" i="16"/>
  <c r="BZ23" i="17"/>
  <c r="BZ17" i="17" s="1"/>
  <c r="BZ30" i="16"/>
  <c r="CF19" i="17"/>
  <c r="CG14" i="16"/>
  <c r="CF139" i="16"/>
  <c r="CG55" i="77"/>
  <c r="CG63" i="77"/>
  <c r="CG40" i="77"/>
  <c r="CF108" i="77"/>
  <c r="CF109" i="77"/>
  <c r="CF107" i="77"/>
  <c r="CG138" i="16"/>
  <c r="CF91" i="77"/>
  <c r="CG89" i="77"/>
  <c r="CF92" i="77"/>
  <c r="CF90" i="77"/>
  <c r="BT173" i="19"/>
  <c r="BT157" i="19"/>
  <c r="BT164" i="19"/>
  <c r="CL107" i="77" l="1"/>
  <c r="CM40" i="77"/>
  <c r="CM26" i="77"/>
  <c r="CR111" i="77"/>
  <c r="CS110" i="77"/>
  <c r="CM63" i="77"/>
  <c r="CM55" i="77"/>
  <c r="CS39" i="77"/>
  <c r="CR89" i="77"/>
  <c r="CR55" i="77"/>
  <c r="CR42" i="77"/>
  <c r="CS42" i="77" s="1"/>
  <c r="CR40" i="77"/>
  <c r="CR63" i="77"/>
  <c r="CR28" i="77"/>
  <c r="CS28" i="77" s="1"/>
  <c r="CS25" i="77"/>
  <c r="CS26" i="77" s="1"/>
  <c r="CR26" i="77"/>
  <c r="CL91" i="77"/>
  <c r="CM89" i="77"/>
  <c r="CM91" i="77" s="1"/>
  <c r="CL92" i="77"/>
  <c r="CM92" i="77" s="1"/>
  <c r="CR64" i="19"/>
  <c r="CR27" i="16"/>
  <c r="CS140" i="16"/>
  <c r="CL19" i="17"/>
  <c r="CL139" i="16"/>
  <c r="CM14" i="16"/>
  <c r="CL108" i="77"/>
  <c r="CL109" i="77"/>
  <c r="CM148" i="16"/>
  <c r="CR10" i="77"/>
  <c r="CR64" i="77"/>
  <c r="CR56" i="77"/>
  <c r="CR100" i="77"/>
  <c r="CR106" i="77"/>
  <c r="CR27" i="77"/>
  <c r="CR41" i="77"/>
  <c r="CL21" i="17"/>
  <c r="CL147" i="16"/>
  <c r="CL150" i="16" s="1"/>
  <c r="CM26" i="16"/>
  <c r="CL30" i="16"/>
  <c r="CL33" i="16" s="1"/>
  <c r="CL131" i="19"/>
  <c r="CL20" i="19"/>
  <c r="CL55" i="19" s="1"/>
  <c r="CL50" i="19"/>
  <c r="CL84" i="19"/>
  <c r="CL87" i="19" s="1"/>
  <c r="CL120" i="19" s="1"/>
  <c r="CL51" i="19"/>
  <c r="CR46" i="19"/>
  <c r="CR61" i="19"/>
  <c r="CR14" i="16"/>
  <c r="CR26" i="16"/>
  <c r="CR16" i="19"/>
  <c r="CF132" i="19"/>
  <c r="CF146" i="19"/>
  <c r="CF157" i="16"/>
  <c r="CF159" i="16" s="1"/>
  <c r="CF160" i="16" s="1"/>
  <c r="CF161" i="16" s="1"/>
  <c r="CG92" i="77"/>
  <c r="CL90" i="77"/>
  <c r="CR406" i="18"/>
  <c r="CR405" i="18"/>
  <c r="CR469" i="18"/>
  <c r="CR470" i="18"/>
  <c r="BZ156" i="19"/>
  <c r="BZ147" i="19"/>
  <c r="CF33" i="16"/>
  <c r="CG139" i="16"/>
  <c r="CG147" i="16"/>
  <c r="CG91" i="77"/>
  <c r="CG90" i="77"/>
  <c r="BZ33" i="16"/>
  <c r="CA148" i="16"/>
  <c r="CA150" i="16" s="1"/>
  <c r="CA30" i="16"/>
  <c r="CF65" i="19"/>
  <c r="CF97" i="19"/>
  <c r="CF103" i="19" s="1"/>
  <c r="CF123" i="19" s="1"/>
  <c r="CF133" i="16"/>
  <c r="CF135" i="16" s="1"/>
  <c r="CF136" i="16" s="1"/>
  <c r="CF137" i="16" s="1"/>
  <c r="CF56" i="16"/>
  <c r="CF54" i="19"/>
  <c r="CF137" i="19"/>
  <c r="CF55" i="19"/>
  <c r="CG27" i="16"/>
  <c r="CF23" i="17"/>
  <c r="CF17" i="17" s="1"/>
  <c r="CF148" i="16"/>
  <c r="CF150" i="16" s="1"/>
  <c r="BT66" i="19"/>
  <c r="BT165" i="19"/>
  <c r="BT158" i="19"/>
  <c r="CL17" i="17" l="1"/>
  <c r="CL65" i="19"/>
  <c r="CR90" i="77"/>
  <c r="CR92" i="77"/>
  <c r="CS92" i="77" s="1"/>
  <c r="CR91" i="77"/>
  <c r="CS89" i="77"/>
  <c r="CS40" i="77"/>
  <c r="CS63" i="77"/>
  <c r="CS55" i="77"/>
  <c r="CM90" i="77"/>
  <c r="CR19" i="17"/>
  <c r="CS14" i="16"/>
  <c r="CR139" i="16"/>
  <c r="CR148" i="16"/>
  <c r="CR23" i="17"/>
  <c r="CS27" i="16"/>
  <c r="CR109" i="77"/>
  <c r="CR108" i="77"/>
  <c r="CR107" i="77"/>
  <c r="CL54" i="19"/>
  <c r="CL137" i="19"/>
  <c r="CL97" i="19"/>
  <c r="CL103" i="19" s="1"/>
  <c r="CL123" i="19" s="1"/>
  <c r="CL133" i="16"/>
  <c r="CL135" i="16" s="1"/>
  <c r="CL136" i="16" s="1"/>
  <c r="CL137" i="16" s="1"/>
  <c r="CL157" i="16"/>
  <c r="CL159" i="16" s="1"/>
  <c r="CL160" i="16" s="1"/>
  <c r="CL161" i="16" s="1"/>
  <c r="CL56" i="16"/>
  <c r="CM139" i="16"/>
  <c r="CR51" i="19"/>
  <c r="CR50" i="19"/>
  <c r="CR84" i="19"/>
  <c r="CR87" i="19" s="1"/>
  <c r="CR120" i="19" s="1"/>
  <c r="CR131" i="19"/>
  <c r="CR20" i="19"/>
  <c r="CL132" i="19"/>
  <c r="CL145" i="19"/>
  <c r="CL146" i="19" s="1"/>
  <c r="CM147" i="16"/>
  <c r="CM150" i="16" s="1"/>
  <c r="CM30" i="16"/>
  <c r="CM33" i="16" s="1"/>
  <c r="CR21" i="17"/>
  <c r="CR30" i="16"/>
  <c r="CR33" i="16" s="1"/>
  <c r="CS26" i="16"/>
  <c r="CR147" i="16"/>
  <c r="BZ164" i="19"/>
  <c r="BZ157" i="19"/>
  <c r="BT166" i="19"/>
  <c r="CA33" i="16"/>
  <c r="CG148" i="16"/>
  <c r="CG150" i="16" s="1"/>
  <c r="CF138" i="19"/>
  <c r="CF147" i="19" s="1"/>
  <c r="CF156" i="19"/>
  <c r="CG30" i="16"/>
  <c r="BT56" i="19"/>
  <c r="CR150" i="16" l="1"/>
  <c r="CS91" i="77"/>
  <c r="CS90" i="77"/>
  <c r="CR17" i="17"/>
  <c r="CL156" i="19"/>
  <c r="CL138" i="19"/>
  <c r="CL147" i="19" s="1"/>
  <c r="CR145" i="19"/>
  <c r="CR146" i="19" s="1"/>
  <c r="CR132" i="19"/>
  <c r="CS30" i="16"/>
  <c r="CS33" i="16" s="1"/>
  <c r="CS147" i="16"/>
  <c r="CR65" i="19"/>
  <c r="CR137" i="19"/>
  <c r="CR55" i="19"/>
  <c r="CR97" i="19"/>
  <c r="CR103" i="19" s="1"/>
  <c r="CR123" i="19" s="1"/>
  <c r="CR133" i="16"/>
  <c r="CR135" i="16" s="1"/>
  <c r="CR136" i="16" s="1"/>
  <c r="CR137" i="16" s="1"/>
  <c r="CR54" i="19"/>
  <c r="CR157" i="16"/>
  <c r="CR159" i="16" s="1"/>
  <c r="CR160" i="16" s="1"/>
  <c r="CR161" i="16" s="1"/>
  <c r="CR56" i="16"/>
  <c r="CS139" i="16"/>
  <c r="CS148" i="16"/>
  <c r="BZ165" i="19"/>
  <c r="BZ158" i="19"/>
  <c r="BZ66" i="19"/>
  <c r="CG33" i="16"/>
  <c r="CF164" i="19"/>
  <c r="CF157" i="19"/>
  <c r="CS150" i="16" l="1"/>
  <c r="CR138" i="19"/>
  <c r="CR147" i="19" s="1"/>
  <c r="CR156" i="19"/>
  <c r="CL157" i="19"/>
  <c r="CL158" i="19" s="1"/>
  <c r="CL164" i="19"/>
  <c r="BZ166" i="19"/>
  <c r="BZ56" i="19"/>
  <c r="CF158" i="19"/>
  <c r="CF165" i="19"/>
  <c r="CF66" i="19"/>
  <c r="CR157" i="19" l="1"/>
  <c r="CR158" i="19" s="1"/>
  <c r="CR164" i="19"/>
  <c r="CL165" i="19"/>
  <c r="CL66" i="19"/>
  <c r="CF166" i="19"/>
  <c r="CF56" i="19"/>
  <c r="CL56" i="19" l="1"/>
  <c r="CL166" i="19"/>
  <c r="CR165" i="19"/>
  <c r="CR66" i="19"/>
  <c r="CR166" i="19" l="1"/>
  <c r="CR56" i="19"/>
  <c r="BO214" i="18" l="1"/>
  <c r="BO239" i="18" l="1"/>
  <c r="BO242" i="18"/>
  <c r="BU242" i="18"/>
  <c r="BU239" i="18"/>
  <c r="BO215" i="18"/>
  <c r="BU215" i="18"/>
  <c r="BO216" i="18"/>
  <c r="BU43" i="18" l="1"/>
  <c r="BU257" i="18" l="1"/>
  <c r="CA256" i="18"/>
  <c r="BU10" i="18"/>
  <c r="BU256" i="18"/>
  <c r="BU201" i="18"/>
  <c r="CA257" i="18"/>
  <c r="BU205" i="18" l="1"/>
  <c r="BR75" i="19" l="1"/>
  <c r="BR69" i="19" s="1"/>
  <c r="BR76" i="19"/>
  <c r="BN73" i="19"/>
  <c r="BS75" i="19" l="1"/>
  <c r="BO73" i="19"/>
  <c r="BO79" i="19" s="1"/>
  <c r="BN79" i="19"/>
  <c r="BR70" i="19"/>
  <c r="BS76" i="19"/>
  <c r="BS69" i="19"/>
  <c r="BT75" i="19"/>
  <c r="BT69" i="19" l="1"/>
  <c r="BU69" i="19" s="1"/>
  <c r="BU75" i="19" s="1"/>
  <c r="BW75" i="19"/>
  <c r="BR73" i="19"/>
  <c r="BO14" i="17"/>
  <c r="BS70" i="19"/>
  <c r="BT76" i="19"/>
  <c r="BT70" i="19" l="1"/>
  <c r="BT73" i="19" s="1"/>
  <c r="BW76" i="19"/>
  <c r="BO36" i="16"/>
  <c r="BW69" i="19"/>
  <c r="BX75" i="19"/>
  <c r="BS73" i="19"/>
  <c r="BR79" i="19"/>
  <c r="BR14" i="17"/>
  <c r="BT79" i="19" l="1"/>
  <c r="BT14" i="17"/>
  <c r="BX76" i="19"/>
  <c r="BS79" i="19"/>
  <c r="BS14" i="17"/>
  <c r="BX69" i="19"/>
  <c r="BY75" i="19"/>
  <c r="BO40" i="16"/>
  <c r="BO85" i="16"/>
  <c r="BO90" i="16" s="1"/>
  <c r="BO12" i="16"/>
  <c r="BN58" i="16"/>
  <c r="BN50" i="16"/>
  <c r="BN171" i="16"/>
  <c r="BO171" i="16" l="1"/>
  <c r="BO58" i="16"/>
  <c r="BO41" i="16"/>
  <c r="BO50" i="16"/>
  <c r="BY69" i="19"/>
  <c r="BZ75" i="19"/>
  <c r="BX70" i="19"/>
  <c r="BX73" i="19" s="1"/>
  <c r="BY76" i="19"/>
  <c r="BQ84" i="16"/>
  <c r="BU84" i="16"/>
  <c r="BX79" i="19" l="1"/>
  <c r="BX14" i="17"/>
  <c r="CC75" i="19"/>
  <c r="BZ69" i="19"/>
  <c r="CA69" i="19" s="1"/>
  <c r="CA75" i="19" s="1"/>
  <c r="BY70" i="19"/>
  <c r="BY73" i="19" s="1"/>
  <c r="BZ76" i="19"/>
  <c r="BO11" i="16" l="1"/>
  <c r="CC76" i="19"/>
  <c r="BZ70" i="19"/>
  <c r="BY79" i="19"/>
  <c r="BY14" i="17"/>
  <c r="CC69" i="19"/>
  <c r="CD75" i="19"/>
  <c r="BZ73" i="19" l="1"/>
  <c r="BZ79" i="19" s="1"/>
  <c r="CD76" i="19"/>
  <c r="BN174" i="16"/>
  <c r="BN62" i="16"/>
  <c r="BN63" i="16"/>
  <c r="BN46" i="16"/>
  <c r="CD69" i="19"/>
  <c r="CE75" i="19"/>
  <c r="BO17" i="16"/>
  <c r="BO10" i="16"/>
  <c r="BN64" i="16"/>
  <c r="BN61" i="16"/>
  <c r="BZ14" i="17" l="1"/>
  <c r="BN51" i="16"/>
  <c r="BO63" i="16"/>
  <c r="BO174" i="16"/>
  <c r="BO62" i="16"/>
  <c r="BO46" i="16"/>
  <c r="BQ60" i="48"/>
  <c r="BO61" i="16"/>
  <c r="BO64" i="16"/>
  <c r="BO24" i="16"/>
  <c r="CF75" i="19"/>
  <c r="CE69" i="19"/>
  <c r="BN47" i="16"/>
  <c r="BN178" i="16"/>
  <c r="BN177" i="16"/>
  <c r="CD70" i="19"/>
  <c r="CD73" i="19" s="1"/>
  <c r="CE76" i="19"/>
  <c r="CF69" i="19" l="1"/>
  <c r="CG69" i="19" s="1"/>
  <c r="CG75" i="19" s="1"/>
  <c r="CI75" i="19"/>
  <c r="CD14" i="17"/>
  <c r="CD79" i="19"/>
  <c r="BO47" i="16"/>
  <c r="BO177" i="16"/>
  <c r="BN180" i="16"/>
  <c r="BO180" i="16"/>
  <c r="BO51" i="16"/>
  <c r="BO42" i="16"/>
  <c r="CE70" i="19"/>
  <c r="CE73" i="19" s="1"/>
  <c r="CF76" i="19"/>
  <c r="BO178" i="16"/>
  <c r="BO181" i="16"/>
  <c r="BO52" i="16" s="1"/>
  <c r="BN181" i="16"/>
  <c r="BN52" i="16" s="1"/>
  <c r="BU60" i="48"/>
  <c r="BQ61" i="48"/>
  <c r="CF70" i="19" l="1"/>
  <c r="CF73" i="19" s="1"/>
  <c r="CF14" i="17" s="1"/>
  <c r="CI76" i="19"/>
  <c r="CJ75" i="19"/>
  <c r="CI69" i="19"/>
  <c r="CE79" i="19"/>
  <c r="CE14" i="17"/>
  <c r="CF79" i="19" l="1"/>
  <c r="CK75" i="19"/>
  <c r="CJ69" i="19"/>
  <c r="CJ76" i="19"/>
  <c r="CJ70" i="19" l="1"/>
  <c r="CJ73" i="19" s="1"/>
  <c r="CK76" i="19"/>
  <c r="CL75" i="19"/>
  <c r="CK69" i="19"/>
  <c r="CJ79" i="19" l="1"/>
  <c r="CJ14" i="17"/>
  <c r="CO75" i="19"/>
  <c r="CL69" i="19"/>
  <c r="CK70" i="19"/>
  <c r="CK73" i="19" s="1"/>
  <c r="CL76" i="19"/>
  <c r="BQ262" i="18"/>
  <c r="BQ243" i="18"/>
  <c r="BQ207" i="18"/>
  <c r="BW211" i="18"/>
  <c r="BU211" i="18"/>
  <c r="BQ208" i="18" l="1"/>
  <c r="BQ213" i="18"/>
  <c r="BQ216" i="18"/>
  <c r="BR292" i="18"/>
  <c r="CK79" i="19"/>
  <c r="CK14" i="17"/>
  <c r="CL70" i="19"/>
  <c r="CO76" i="19"/>
  <c r="CM69" i="19"/>
  <c r="CM75" i="19" s="1"/>
  <c r="CO69" i="19"/>
  <c r="CP75" i="19"/>
  <c r="BU262" i="18"/>
  <c r="BU243" i="18"/>
  <c r="BW262" i="18"/>
  <c r="BW243" i="18"/>
  <c r="BQ225" i="18"/>
  <c r="BR265" i="18" s="1"/>
  <c r="BU212" i="18"/>
  <c r="BW207" i="18"/>
  <c r="BW213" i="18" s="1"/>
  <c r="CC211" i="18"/>
  <c r="CI211" i="18" s="1"/>
  <c r="CA211" i="18"/>
  <c r="BU207" i="18"/>
  <c r="BU213" i="18" s="1"/>
  <c r="BQ232" i="18" l="1"/>
  <c r="BQ292" i="18"/>
  <c r="BU15" i="18"/>
  <c r="BQ263" i="18"/>
  <c r="CI262" i="18"/>
  <c r="CO211" i="18"/>
  <c r="CI207" i="18"/>
  <c r="CI213" i="18" s="1"/>
  <c r="CM211" i="18"/>
  <c r="CI243" i="18"/>
  <c r="CL73" i="19"/>
  <c r="CL14" i="17" s="1"/>
  <c r="CP76" i="19"/>
  <c r="CP69" i="19"/>
  <c r="CQ75" i="19"/>
  <c r="BQ265" i="18"/>
  <c r="CA262" i="18"/>
  <c r="CA243" i="18"/>
  <c r="CC262" i="18"/>
  <c r="CC243" i="18"/>
  <c r="BU208" i="18"/>
  <c r="BU225" i="18"/>
  <c r="BU216" i="18"/>
  <c r="CA212" i="18"/>
  <c r="CG211" i="18"/>
  <c r="CC207" i="18"/>
  <c r="CC213" i="18" s="1"/>
  <c r="BW216" i="18"/>
  <c r="CA207" i="18"/>
  <c r="CA213" i="18" s="1"/>
  <c r="BW15" i="18"/>
  <c r="BW225" i="18"/>
  <c r="BW208" i="18"/>
  <c r="BQ466" i="18"/>
  <c r="BQ402" i="18"/>
  <c r="BQ229" i="18"/>
  <c r="BU11" i="19"/>
  <c r="BQ235" i="18" l="1"/>
  <c r="BU16" i="18"/>
  <c r="BU235" i="18" s="1"/>
  <c r="BU263" i="18"/>
  <c r="CI208" i="18"/>
  <c r="CI15" i="18"/>
  <c r="CI216" i="18"/>
  <c r="CM207" i="18"/>
  <c r="CI225" i="18"/>
  <c r="CO207" i="18"/>
  <c r="CO213" i="18" s="1"/>
  <c r="CO262" i="18"/>
  <c r="CS211" i="18"/>
  <c r="CO243" i="18"/>
  <c r="CL79" i="19"/>
  <c r="CQ76" i="19"/>
  <c r="CP70" i="19"/>
  <c r="CP73" i="19" s="1"/>
  <c r="CQ69" i="19"/>
  <c r="CR75" i="19"/>
  <c r="CR69" i="19" s="1"/>
  <c r="CM262" i="18"/>
  <c r="CM212" i="18"/>
  <c r="CM243" i="18"/>
  <c r="CG212" i="18"/>
  <c r="CG262" i="18"/>
  <c r="CG243" i="18"/>
  <c r="CC208" i="18"/>
  <c r="BX265" i="18"/>
  <c r="BW265" i="18"/>
  <c r="BW11" i="19"/>
  <c r="BX292" i="18"/>
  <c r="CA15" i="18"/>
  <c r="BW292" i="18"/>
  <c r="BW16" i="18"/>
  <c r="BW232" i="18" s="1"/>
  <c r="BW263" i="18"/>
  <c r="CA216" i="18"/>
  <c r="CA225" i="18"/>
  <c r="CA208" i="18"/>
  <c r="CC216" i="18"/>
  <c r="CG207" i="18"/>
  <c r="CC15" i="18"/>
  <c r="CC225" i="18"/>
  <c r="BU14" i="19"/>
  <c r="BU12" i="19" s="1"/>
  <c r="BQ9" i="77"/>
  <c r="BQ471" i="18"/>
  <c r="BQ468" i="18"/>
  <c r="BW472" i="18"/>
  <c r="BU466" i="18"/>
  <c r="BQ407" i="18"/>
  <c r="BQ404" i="18"/>
  <c r="BW408" i="18"/>
  <c r="BU402" i="18"/>
  <c r="BQ156" i="16"/>
  <c r="BQ13" i="16"/>
  <c r="BW161" i="19"/>
  <c r="BQ12" i="77"/>
  <c r="BU12" i="77" s="1"/>
  <c r="BQ94" i="16"/>
  <c r="BQ16" i="16"/>
  <c r="BQ132" i="16"/>
  <c r="BU9" i="19"/>
  <c r="BU232" i="18" l="1"/>
  <c r="BU229" i="18"/>
  <c r="BU17" i="18"/>
  <c r="BU21" i="18" s="1"/>
  <c r="DQ315" i="18"/>
  <c r="DP314" i="18" s="1"/>
  <c r="CA19" i="18"/>
  <c r="CM208" i="18"/>
  <c r="CM216" i="18"/>
  <c r="CM225" i="18"/>
  <c r="CS212" i="18"/>
  <c r="CS262" i="18"/>
  <c r="CS243" i="18"/>
  <c r="CM213" i="18"/>
  <c r="CI11" i="19"/>
  <c r="CI263" i="18"/>
  <c r="CJ292" i="18"/>
  <c r="CM15" i="18"/>
  <c r="CI292" i="18"/>
  <c r="CI16" i="18"/>
  <c r="CO15" i="18"/>
  <c r="CO208" i="18"/>
  <c r="CO216" i="18"/>
  <c r="CS207" i="18"/>
  <c r="CS213" i="18" s="1"/>
  <c r="CO225" i="18"/>
  <c r="CJ265" i="18"/>
  <c r="CI265" i="18"/>
  <c r="CP79" i="19"/>
  <c r="CP14" i="17"/>
  <c r="CR76" i="19"/>
  <c r="CR70" i="19" s="1"/>
  <c r="CR73" i="19" s="1"/>
  <c r="CQ70" i="19"/>
  <c r="CQ73" i="19" s="1"/>
  <c r="CS69" i="19"/>
  <c r="CS75" i="19" s="1"/>
  <c r="BU67" i="16"/>
  <c r="CA16" i="18"/>
  <c r="CG19" i="18" s="1"/>
  <c r="CA263" i="18"/>
  <c r="CG208" i="18"/>
  <c r="CG216" i="18"/>
  <c r="CG225" i="18"/>
  <c r="CG213" i="18"/>
  <c r="CD265" i="18"/>
  <c r="CC265" i="18"/>
  <c r="BW14" i="19"/>
  <c r="CA11" i="19"/>
  <c r="BW9" i="19"/>
  <c r="CC11" i="19"/>
  <c r="CC292" i="18"/>
  <c r="CC263" i="18"/>
  <c r="CD292" i="18"/>
  <c r="CG15" i="18"/>
  <c r="CC16" i="18"/>
  <c r="BW229" i="18"/>
  <c r="BW466" i="18"/>
  <c r="BW402" i="18"/>
  <c r="BW235" i="18"/>
  <c r="BW17" i="18"/>
  <c r="BQ140" i="16"/>
  <c r="BR20" i="17"/>
  <c r="BQ20" i="17"/>
  <c r="BQ405" i="18"/>
  <c r="BQ406" i="18"/>
  <c r="BQ133" i="19"/>
  <c r="BQ134" i="19" s="1"/>
  <c r="BQ121" i="19"/>
  <c r="BQ141" i="19"/>
  <c r="BQ142" i="19" s="1"/>
  <c r="BU71" i="19"/>
  <c r="BU17" i="19"/>
  <c r="BU471" i="18"/>
  <c r="CA472" i="18"/>
  <c r="BU468" i="18"/>
  <c r="BU70" i="19"/>
  <c r="BU76" i="19" s="1"/>
  <c r="BQ26" i="16"/>
  <c r="BQ14" i="16"/>
  <c r="BQ10" i="77"/>
  <c r="BQ41" i="77"/>
  <c r="BQ64" i="77"/>
  <c r="BQ106" i="77"/>
  <c r="BQ56" i="77"/>
  <c r="BQ100" i="77"/>
  <c r="BQ27" i="77"/>
  <c r="BU9" i="77"/>
  <c r="BU46" i="19"/>
  <c r="BU61" i="19"/>
  <c r="BU69" i="16"/>
  <c r="BU68" i="16"/>
  <c r="BQ153" i="16"/>
  <c r="BW167" i="19"/>
  <c r="BQ29" i="17"/>
  <c r="BU94" i="16"/>
  <c r="BQ470" i="18"/>
  <c r="BQ469" i="18"/>
  <c r="BQ138" i="16"/>
  <c r="BR18" i="17"/>
  <c r="BQ18" i="17"/>
  <c r="BU407" i="18"/>
  <c r="CA408" i="18"/>
  <c r="BU404" i="18"/>
  <c r="BU156" i="16"/>
  <c r="BU16" i="19"/>
  <c r="BU132" i="16"/>
  <c r="BU60" i="19"/>
  <c r="BU81" i="16"/>
  <c r="BQ143" i="19"/>
  <c r="BQ144" i="19" s="1"/>
  <c r="BQ135" i="19"/>
  <c r="BQ136" i="19" s="1"/>
  <c r="BQ122" i="19"/>
  <c r="BU72" i="19"/>
  <c r="BU18" i="19"/>
  <c r="DS315" i="18" l="1"/>
  <c r="CA161" i="19"/>
  <c r="CM16" i="18"/>
  <c r="CM232" i="18" s="1"/>
  <c r="CI466" i="18"/>
  <c r="CI402" i="18"/>
  <c r="CI229" i="18"/>
  <c r="CS208" i="18"/>
  <c r="CS216" i="18"/>
  <c r="CS225" i="18"/>
  <c r="CP265" i="18"/>
  <c r="CO265" i="18"/>
  <c r="CM11" i="19"/>
  <c r="CI14" i="19"/>
  <c r="CI9" i="19"/>
  <c r="CM263" i="18"/>
  <c r="CO11" i="19"/>
  <c r="CO263" i="18"/>
  <c r="CP292" i="18"/>
  <c r="CS15" i="18"/>
  <c r="CO292" i="18"/>
  <c r="CO16" i="18"/>
  <c r="CO232" i="18" s="1"/>
  <c r="CI232" i="18"/>
  <c r="CQ79" i="19"/>
  <c r="CQ14" i="17"/>
  <c r="CR79" i="19"/>
  <c r="CR14" i="17"/>
  <c r="BQ131" i="19"/>
  <c r="BQ145" i="19" s="1"/>
  <c r="CC232" i="18"/>
  <c r="CI235" i="18"/>
  <c r="CI17" i="18"/>
  <c r="CI9" i="77" s="1"/>
  <c r="BQ120" i="19"/>
  <c r="CA232" i="18"/>
  <c r="BU18" i="17"/>
  <c r="BW156" i="16"/>
  <c r="BW132" i="16"/>
  <c r="BW13" i="16"/>
  <c r="BW12" i="77"/>
  <c r="CA12" i="77" s="1"/>
  <c r="BW18" i="19"/>
  <c r="CC161" i="19"/>
  <c r="BW94" i="16"/>
  <c r="BW16" i="16"/>
  <c r="BW17" i="19"/>
  <c r="CA9" i="19"/>
  <c r="BW60" i="19"/>
  <c r="CC466" i="18"/>
  <c r="CC402" i="18"/>
  <c r="CC17" i="18"/>
  <c r="CC229" i="18"/>
  <c r="CC235" i="18"/>
  <c r="CG263" i="18"/>
  <c r="CG16" i="18"/>
  <c r="CM19" i="18" s="1"/>
  <c r="CA14" i="19"/>
  <c r="CA12" i="19" s="1"/>
  <c r="CA68" i="16" s="1"/>
  <c r="BW12" i="19"/>
  <c r="BW70" i="19"/>
  <c r="BW404" i="18"/>
  <c r="CC408" i="18"/>
  <c r="CA402" i="18"/>
  <c r="BW407" i="18"/>
  <c r="BU78" i="19"/>
  <c r="CA229" i="18"/>
  <c r="CA17" i="18"/>
  <c r="CA235" i="18"/>
  <c r="BW9" i="77"/>
  <c r="BW21" i="18"/>
  <c r="BW468" i="18"/>
  <c r="CC472" i="18"/>
  <c r="CA466" i="18"/>
  <c r="BW471" i="18"/>
  <c r="CC14" i="19"/>
  <c r="CG11" i="19"/>
  <c r="CC9" i="19"/>
  <c r="BU63" i="19"/>
  <c r="BU143" i="19"/>
  <c r="BU144" i="19" s="1"/>
  <c r="BU92" i="19"/>
  <c r="BU96" i="19" s="1"/>
  <c r="BU122" i="19" s="1"/>
  <c r="BU135" i="19"/>
  <c r="BU136" i="19" s="1"/>
  <c r="BU70" i="16"/>
  <c r="BU84" i="19"/>
  <c r="BU87" i="19" s="1"/>
  <c r="BU120" i="19" s="1"/>
  <c r="BU50" i="19"/>
  <c r="BU51" i="19"/>
  <c r="BU131" i="19"/>
  <c r="BQ108" i="77"/>
  <c r="BQ109" i="77"/>
  <c r="BU109" i="77" s="1"/>
  <c r="BQ107" i="77"/>
  <c r="BQ139" i="16"/>
  <c r="BR19" i="17"/>
  <c r="BQ19" i="17"/>
  <c r="BQ27" i="16"/>
  <c r="BQ30" i="16" s="1"/>
  <c r="BU469" i="18"/>
  <c r="BU470" i="18"/>
  <c r="BU153" i="16"/>
  <c r="BU95" i="16"/>
  <c r="BU20" i="17"/>
  <c r="BU405" i="18"/>
  <c r="BU406" i="18"/>
  <c r="BU10" i="77"/>
  <c r="BU106" i="77"/>
  <c r="BU11" i="77"/>
  <c r="BU27" i="77"/>
  <c r="BU100" i="77"/>
  <c r="BU64" i="77"/>
  <c r="BU56" i="77"/>
  <c r="BU41" i="77"/>
  <c r="BU29" i="17"/>
  <c r="BQ147" i="16"/>
  <c r="BR21" i="17"/>
  <c r="BQ21" i="17"/>
  <c r="BU88" i="19"/>
  <c r="BU91" i="19" s="1"/>
  <c r="BU121" i="19" s="1"/>
  <c r="BU133" i="19"/>
  <c r="BU134" i="19" s="1"/>
  <c r="BU62" i="19"/>
  <c r="BU19" i="19"/>
  <c r="BU141" i="19"/>
  <c r="BU142" i="19" s="1"/>
  <c r="BU77" i="19"/>
  <c r="CA167" i="19" l="1"/>
  <c r="CO14" i="19"/>
  <c r="CS11" i="19"/>
  <c r="CO9" i="19"/>
  <c r="CI404" i="18"/>
  <c r="CI406" i="18" s="1"/>
  <c r="CO408" i="18"/>
  <c r="CM402" i="18"/>
  <c r="CI468" i="18"/>
  <c r="CI470" i="18" s="1"/>
  <c r="CO472" i="18"/>
  <c r="CM466" i="18"/>
  <c r="CO17" i="18"/>
  <c r="CO466" i="18"/>
  <c r="CO235" i="18"/>
  <c r="CO402" i="18"/>
  <c r="CO229" i="18"/>
  <c r="CI16" i="16"/>
  <c r="CO161" i="19"/>
  <c r="CI18" i="19"/>
  <c r="CI156" i="16"/>
  <c r="CI17" i="19"/>
  <c r="CI13" i="16"/>
  <c r="CI132" i="16"/>
  <c r="CI94" i="16"/>
  <c r="CM9" i="19"/>
  <c r="CS19" i="18"/>
  <c r="CM229" i="18"/>
  <c r="CM14" i="19"/>
  <c r="CM12" i="19" s="1"/>
  <c r="CI12" i="19"/>
  <c r="CI16" i="19" s="1"/>
  <c r="CI70" i="19"/>
  <c r="CS16" i="18"/>
  <c r="CS263" i="18"/>
  <c r="CI10" i="77"/>
  <c r="CM9" i="77"/>
  <c r="CI64" i="77"/>
  <c r="CI100" i="77"/>
  <c r="CI56" i="77"/>
  <c r="CI106" i="77"/>
  <c r="CI41" i="77"/>
  <c r="CI27" i="77"/>
  <c r="CI21" i="18"/>
  <c r="CI161" i="19"/>
  <c r="CI60" i="19"/>
  <c r="BQ132" i="19"/>
  <c r="CI408" i="18"/>
  <c r="CI407" i="18"/>
  <c r="CG232" i="18"/>
  <c r="CM17" i="18"/>
  <c r="CM235" i="18"/>
  <c r="CI472" i="18"/>
  <c r="CI471" i="18"/>
  <c r="CA67" i="16"/>
  <c r="CA81" i="16"/>
  <c r="BU19" i="17"/>
  <c r="BW135" i="19"/>
  <c r="BW136" i="19" s="1"/>
  <c r="BW92" i="19"/>
  <c r="BW96" i="19" s="1"/>
  <c r="BW122" i="19" s="1"/>
  <c r="BW72" i="19"/>
  <c r="CA72" i="19" s="1"/>
  <c r="BW143" i="19"/>
  <c r="BW144" i="19" s="1"/>
  <c r="CA18" i="19"/>
  <c r="BW63" i="19"/>
  <c r="BW470" i="18"/>
  <c r="BW469" i="18"/>
  <c r="BW46" i="19"/>
  <c r="BW26" i="16"/>
  <c r="BW14" i="16"/>
  <c r="BW61" i="19"/>
  <c r="CA156" i="16"/>
  <c r="CA132" i="16"/>
  <c r="CA16" i="19"/>
  <c r="CA60" i="19"/>
  <c r="CA404" i="18"/>
  <c r="CG408" i="18"/>
  <c r="CA407" i="18"/>
  <c r="CA46" i="19"/>
  <c r="CA69" i="16"/>
  <c r="CA61" i="19"/>
  <c r="CC407" i="18"/>
  <c r="CC404" i="18"/>
  <c r="CG402" i="18"/>
  <c r="CC156" i="16"/>
  <c r="CC18" i="19"/>
  <c r="CC94" i="16"/>
  <c r="CC16" i="16"/>
  <c r="CC12" i="77"/>
  <c r="CG12" i="77" s="1"/>
  <c r="CC132" i="16"/>
  <c r="CC60" i="19"/>
  <c r="CC17" i="19"/>
  <c r="CC13" i="16"/>
  <c r="CG9" i="19"/>
  <c r="CA21" i="18"/>
  <c r="CC468" i="18"/>
  <c r="CC471" i="18"/>
  <c r="CG466" i="18"/>
  <c r="BW16" i="19"/>
  <c r="BW138" i="16"/>
  <c r="BX18" i="17"/>
  <c r="BW18" i="17"/>
  <c r="CA70" i="19"/>
  <c r="CA76" i="19" s="1"/>
  <c r="CC21" i="18"/>
  <c r="CC9" i="77"/>
  <c r="BW64" i="77"/>
  <c r="BW106" i="77"/>
  <c r="BW56" i="77"/>
  <c r="CA9" i="77"/>
  <c r="BW27" i="77"/>
  <c r="BW41" i="77"/>
  <c r="BW100" i="77"/>
  <c r="BW10" i="77"/>
  <c r="BW406" i="18"/>
  <c r="BW405" i="18"/>
  <c r="CG17" i="18"/>
  <c r="CG235" i="18"/>
  <c r="CG229" i="18"/>
  <c r="BW133" i="19"/>
  <c r="BW134" i="19" s="1"/>
  <c r="BW88" i="19"/>
  <c r="BW91" i="19" s="1"/>
  <c r="BW121" i="19" s="1"/>
  <c r="BW141" i="19"/>
  <c r="BW142" i="19" s="1"/>
  <c r="BW71" i="19"/>
  <c r="CA71" i="19" s="1"/>
  <c r="BW19" i="19"/>
  <c r="CA17" i="19"/>
  <c r="BW62" i="19"/>
  <c r="CG14" i="19"/>
  <c r="CG12" i="19" s="1"/>
  <c r="CC12" i="19"/>
  <c r="CC70" i="19"/>
  <c r="CG161" i="19"/>
  <c r="BW140" i="16"/>
  <c r="BX20" i="17"/>
  <c r="BW20" i="17"/>
  <c r="BW29" i="17"/>
  <c r="CA94" i="16"/>
  <c r="CA95" i="16" s="1"/>
  <c r="CA468" i="18"/>
  <c r="CG472" i="18"/>
  <c r="CA471" i="18"/>
  <c r="CC167" i="19"/>
  <c r="BU21" i="17"/>
  <c r="BU107" i="77"/>
  <c r="BU108" i="77"/>
  <c r="BQ33" i="16"/>
  <c r="BQ148" i="16"/>
  <c r="BQ150" i="16" s="1"/>
  <c r="BR23" i="17"/>
  <c r="BR17" i="17" s="1"/>
  <c r="BQ23" i="17"/>
  <c r="BQ146" i="19"/>
  <c r="BQ148" i="19"/>
  <c r="BU13" i="77"/>
  <c r="BU19" i="77"/>
  <c r="BQ157" i="16"/>
  <c r="BQ159" i="16" s="1"/>
  <c r="BQ160" i="16" s="1"/>
  <c r="BQ161" i="16" s="1"/>
  <c r="BQ56" i="16"/>
  <c r="BQ137" i="19"/>
  <c r="BQ123" i="19"/>
  <c r="BQ133" i="16"/>
  <c r="BQ135" i="16" s="1"/>
  <c r="BQ136" i="16" s="1"/>
  <c r="BQ137" i="16" s="1"/>
  <c r="BQ131" i="16" s="1"/>
  <c r="BU145" i="19"/>
  <c r="BU146" i="19" s="1"/>
  <c r="BU132" i="19"/>
  <c r="BU20" i="19"/>
  <c r="BU64" i="19"/>
  <c r="BU80" i="16"/>
  <c r="BU79" i="16"/>
  <c r="BQ14" i="17"/>
  <c r="BU73" i="19"/>
  <c r="BU79" i="19" s="1"/>
  <c r="CM61" i="19" l="1"/>
  <c r="CI61" i="19"/>
  <c r="CI405" i="18"/>
  <c r="CI62" i="19"/>
  <c r="CI63" i="19"/>
  <c r="CO471" i="18"/>
  <c r="CO468" i="18"/>
  <c r="CS466" i="18"/>
  <c r="CM70" i="19"/>
  <c r="CM76" i="19" s="1"/>
  <c r="CI135" i="19"/>
  <c r="CI136" i="19" s="1"/>
  <c r="CI92" i="19"/>
  <c r="CI96" i="19" s="1"/>
  <c r="CI122" i="19" s="1"/>
  <c r="CI143" i="19"/>
  <c r="CI144" i="19" s="1"/>
  <c r="CI72" i="19"/>
  <c r="CM72" i="19" s="1"/>
  <c r="CM18" i="19"/>
  <c r="CO21" i="18"/>
  <c r="CO9" i="77"/>
  <c r="CS408" i="18"/>
  <c r="CM404" i="18"/>
  <c r="CM406" i="18" s="1"/>
  <c r="CI46" i="19"/>
  <c r="CI14" i="16"/>
  <c r="CI26" i="16"/>
  <c r="CM156" i="16"/>
  <c r="CM132" i="16"/>
  <c r="CM81" i="16"/>
  <c r="CM16" i="19"/>
  <c r="CM67" i="16"/>
  <c r="CS161" i="19"/>
  <c r="CU16" i="18"/>
  <c r="CS235" i="18"/>
  <c r="CS17" i="18"/>
  <c r="CS229" i="18"/>
  <c r="CI84" i="19"/>
  <c r="CI87" i="19" s="1"/>
  <c r="CI120" i="19" s="1"/>
  <c r="CI131" i="19"/>
  <c r="CI50" i="19"/>
  <c r="CI29" i="17"/>
  <c r="CM29" i="17" s="1"/>
  <c r="CM94" i="16"/>
  <c r="CM95" i="16" s="1"/>
  <c r="CO16" i="16"/>
  <c r="CO13" i="16"/>
  <c r="CO156" i="16"/>
  <c r="CO94" i="16"/>
  <c r="CO17" i="19"/>
  <c r="CO18" i="19"/>
  <c r="CO60" i="19"/>
  <c r="CO132" i="16"/>
  <c r="CS9" i="19"/>
  <c r="CI140" i="16"/>
  <c r="CJ20" i="17"/>
  <c r="CI20" i="17"/>
  <c r="CS472" i="18"/>
  <c r="CM468" i="18"/>
  <c r="CM470" i="18" s="1"/>
  <c r="CI88" i="19"/>
  <c r="CI91" i="19" s="1"/>
  <c r="CI121" i="19" s="1"/>
  <c r="CI71" i="19"/>
  <c r="CM71" i="19" s="1"/>
  <c r="CI133" i="19"/>
  <c r="CI134" i="19" s="1"/>
  <c r="CI19" i="19"/>
  <c r="CI27" i="16" s="1"/>
  <c r="CI141" i="19"/>
  <c r="CI142" i="19" s="1"/>
  <c r="CM17" i="19"/>
  <c r="CM46" i="19"/>
  <c r="CM69" i="16"/>
  <c r="CM68" i="16"/>
  <c r="CI469" i="18"/>
  <c r="CS232" i="18"/>
  <c r="CI138" i="16"/>
  <c r="CJ18" i="17"/>
  <c r="CI18" i="17"/>
  <c r="CO407" i="18"/>
  <c r="CO404" i="18"/>
  <c r="CS402" i="18"/>
  <c r="CS14" i="19"/>
  <c r="CS12" i="19" s="1"/>
  <c r="CO12" i="19"/>
  <c r="CO70" i="19"/>
  <c r="CM10" i="77"/>
  <c r="CM11" i="77"/>
  <c r="CM64" i="77"/>
  <c r="CM56" i="77"/>
  <c r="CM100" i="77"/>
  <c r="CM106" i="77"/>
  <c r="CM108" i="77" s="1"/>
  <c r="CM27" i="77"/>
  <c r="CM41" i="77"/>
  <c r="CI108" i="77"/>
  <c r="CI109" i="77"/>
  <c r="CM21" i="18"/>
  <c r="CM60" i="19"/>
  <c r="CM161" i="19"/>
  <c r="CI167" i="19"/>
  <c r="CO167" i="19"/>
  <c r="CC16" i="19"/>
  <c r="CI51" i="19" s="1"/>
  <c r="CG68" i="16"/>
  <c r="CM472" i="18"/>
  <c r="CM471" i="18"/>
  <c r="CM408" i="18"/>
  <c r="CM407" i="18"/>
  <c r="CG81" i="16"/>
  <c r="CG67" i="16"/>
  <c r="CA78" i="19"/>
  <c r="CA77" i="19"/>
  <c r="BW139" i="16"/>
  <c r="BX19" i="17"/>
  <c r="BW19" i="17"/>
  <c r="CA135" i="19"/>
  <c r="CA136" i="19" s="1"/>
  <c r="CA143" i="19"/>
  <c r="CA144" i="19" s="1"/>
  <c r="CA92" i="19"/>
  <c r="CA96" i="19" s="1"/>
  <c r="CA122" i="19" s="1"/>
  <c r="CA63" i="19"/>
  <c r="CA470" i="18"/>
  <c r="CA469" i="18"/>
  <c r="CA133" i="19"/>
  <c r="CA134" i="19" s="1"/>
  <c r="CA141" i="19"/>
  <c r="CA142" i="19" s="1"/>
  <c r="CA88" i="19"/>
  <c r="CA91" i="19" s="1"/>
  <c r="CA121" i="19" s="1"/>
  <c r="CA19" i="19"/>
  <c r="CA20" i="19" s="1"/>
  <c r="CA62" i="19"/>
  <c r="CG468" i="18"/>
  <c r="CG471" i="18"/>
  <c r="CC406" i="18"/>
  <c r="CC405" i="18"/>
  <c r="CG21" i="18"/>
  <c r="BW131" i="19"/>
  <c r="BW84" i="19"/>
  <c r="BW87" i="19" s="1"/>
  <c r="BW120" i="19" s="1"/>
  <c r="BW50" i="19"/>
  <c r="BW20" i="19"/>
  <c r="BW51" i="19"/>
  <c r="CG404" i="18"/>
  <c r="CG407" i="18"/>
  <c r="BW147" i="16"/>
  <c r="BX21" i="17"/>
  <c r="BW21" i="17"/>
  <c r="BW27" i="16"/>
  <c r="BW30" i="16" s="1"/>
  <c r="BW64" i="19"/>
  <c r="CA100" i="77"/>
  <c r="CA10" i="77"/>
  <c r="CA64" i="77"/>
  <c r="CA27" i="77"/>
  <c r="CA106" i="77"/>
  <c r="CA41" i="77"/>
  <c r="CA11" i="77"/>
  <c r="CA56" i="77"/>
  <c r="CG60" i="19"/>
  <c r="CG132" i="16"/>
  <c r="CG16" i="19"/>
  <c r="CG156" i="16"/>
  <c r="CA29" i="17"/>
  <c r="CG167" i="19"/>
  <c r="BW73" i="19"/>
  <c r="CC470" i="18"/>
  <c r="CC469" i="18"/>
  <c r="CA406" i="18"/>
  <c r="CA405" i="18"/>
  <c r="CG70" i="19"/>
  <c r="CG76" i="19" s="1"/>
  <c r="BW109" i="77"/>
  <c r="CA109" i="77" s="1"/>
  <c r="BW107" i="77"/>
  <c r="BW108" i="77"/>
  <c r="CA18" i="17"/>
  <c r="CC138" i="16"/>
  <c r="CD18" i="17"/>
  <c r="CC18" i="17"/>
  <c r="CC140" i="16"/>
  <c r="CD20" i="17"/>
  <c r="CC20" i="17"/>
  <c r="CA70" i="16"/>
  <c r="CA84" i="19"/>
  <c r="CA87" i="19" s="1"/>
  <c r="CA120" i="19" s="1"/>
  <c r="CA131" i="19"/>
  <c r="CA50" i="19"/>
  <c r="CA51" i="19"/>
  <c r="CC26" i="16"/>
  <c r="CC14" i="16"/>
  <c r="CC46" i="19"/>
  <c r="CC61" i="19"/>
  <c r="CC141" i="19"/>
  <c r="CC142" i="19" s="1"/>
  <c r="CC62" i="19"/>
  <c r="CC133" i="19"/>
  <c r="CC134" i="19" s="1"/>
  <c r="CC88" i="19"/>
  <c r="CC91" i="19" s="1"/>
  <c r="CC121" i="19" s="1"/>
  <c r="CC71" i="19"/>
  <c r="CG71" i="19" s="1"/>
  <c r="CC19" i="19"/>
  <c r="CG17" i="19"/>
  <c r="CC29" i="17"/>
  <c r="CG94" i="16"/>
  <c r="CG95" i="16" s="1"/>
  <c r="CA20" i="17"/>
  <c r="CG46" i="19"/>
  <c r="CG61" i="19"/>
  <c r="CG69" i="16"/>
  <c r="CC100" i="77"/>
  <c r="CC41" i="77"/>
  <c r="CC64" i="77"/>
  <c r="CC27" i="77"/>
  <c r="CC56" i="77"/>
  <c r="CC10" i="77"/>
  <c r="CC106" i="77"/>
  <c r="CG9" i="77"/>
  <c r="CC92" i="19"/>
  <c r="CC96" i="19" s="1"/>
  <c r="CC122" i="19" s="1"/>
  <c r="CC143" i="19"/>
  <c r="CC144" i="19" s="1"/>
  <c r="CC72" i="19"/>
  <c r="CG72" i="19" s="1"/>
  <c r="CC135" i="19"/>
  <c r="CC136" i="19" s="1"/>
  <c r="CC63" i="19"/>
  <c r="CG18" i="19"/>
  <c r="BU97" i="19"/>
  <c r="BU103" i="19" s="1"/>
  <c r="BU123" i="19" s="1"/>
  <c r="BU56" i="16"/>
  <c r="BU157" i="16"/>
  <c r="BU65" i="19"/>
  <c r="BU133" i="16"/>
  <c r="BU54" i="19"/>
  <c r="BU137" i="19"/>
  <c r="BU55" i="19"/>
  <c r="BU14" i="17"/>
  <c r="BU35" i="77"/>
  <c r="BU111" i="77"/>
  <c r="BU20" i="77"/>
  <c r="BU21" i="77" s="1"/>
  <c r="BU50" i="77"/>
  <c r="BQ149" i="19"/>
  <c r="BQ152" i="19"/>
  <c r="BQ17" i="17"/>
  <c r="BU23" i="17"/>
  <c r="BU17" i="17" s="1"/>
  <c r="BU16" i="77"/>
  <c r="BU17" i="77" s="1"/>
  <c r="BU113" i="77"/>
  <c r="BU44" i="77"/>
  <c r="BU30" i="77"/>
  <c r="BQ138" i="19"/>
  <c r="BQ147" i="19" s="1"/>
  <c r="BQ156" i="19"/>
  <c r="CI64" i="19" l="1"/>
  <c r="CM20" i="17"/>
  <c r="CM469" i="18"/>
  <c r="CO19" i="19"/>
  <c r="CO88" i="19"/>
  <c r="CO91" i="19" s="1"/>
  <c r="CO121" i="19" s="1"/>
  <c r="CO141" i="19"/>
  <c r="CO142" i="19" s="1"/>
  <c r="CO71" i="19"/>
  <c r="CS71" i="19" s="1"/>
  <c r="CO133" i="19"/>
  <c r="CO134" i="19" s="1"/>
  <c r="CO62" i="19"/>
  <c r="CS17" i="19"/>
  <c r="CO61" i="19"/>
  <c r="CO46" i="19"/>
  <c r="CO14" i="16"/>
  <c r="CO26" i="16"/>
  <c r="CI148" i="16"/>
  <c r="CJ23" i="17"/>
  <c r="CI23" i="17"/>
  <c r="CI145" i="19"/>
  <c r="CI146" i="19" s="1"/>
  <c r="CI132" i="19"/>
  <c r="CO100" i="77"/>
  <c r="CO56" i="77"/>
  <c r="CO106" i="77"/>
  <c r="CO107" i="77" s="1"/>
  <c r="CO41" i="77"/>
  <c r="CO27" i="77"/>
  <c r="CO10" i="77"/>
  <c r="CO64" i="77"/>
  <c r="CS9" i="77"/>
  <c r="CS46" i="19"/>
  <c r="CS61" i="19"/>
  <c r="CS68" i="16"/>
  <c r="CS69" i="16"/>
  <c r="CS156" i="16"/>
  <c r="CS132" i="16"/>
  <c r="CS60" i="19"/>
  <c r="CS81" i="16"/>
  <c r="CS16" i="19"/>
  <c r="CS67" i="16"/>
  <c r="CO138" i="16"/>
  <c r="CP18" i="17"/>
  <c r="CO18" i="17"/>
  <c r="CI73" i="19"/>
  <c r="CM405" i="18"/>
  <c r="CS407" i="18"/>
  <c r="CS404" i="18"/>
  <c r="CM77" i="19"/>
  <c r="CO16" i="19"/>
  <c r="CO140" i="16"/>
  <c r="CP20" i="17"/>
  <c r="CO20" i="17"/>
  <c r="CI20" i="19"/>
  <c r="CI147" i="16"/>
  <c r="CI30" i="16"/>
  <c r="CI33" i="16" s="1"/>
  <c r="CJ21" i="17"/>
  <c r="CI21" i="17"/>
  <c r="CS471" i="18"/>
  <c r="CS468" i="18"/>
  <c r="CM18" i="17"/>
  <c r="CM88" i="19"/>
  <c r="CM91" i="19" s="1"/>
  <c r="CM121" i="19" s="1"/>
  <c r="CM141" i="19"/>
  <c r="CM142" i="19" s="1"/>
  <c r="CM19" i="19"/>
  <c r="CM133" i="19"/>
  <c r="CM134" i="19" s="1"/>
  <c r="CO406" i="18"/>
  <c r="CO405" i="18"/>
  <c r="CM70" i="16"/>
  <c r="CI139" i="16"/>
  <c r="CJ19" i="17"/>
  <c r="CI19" i="17"/>
  <c r="CM143" i="19"/>
  <c r="CM144" i="19" s="1"/>
  <c r="CM92" i="19"/>
  <c r="CM96" i="19" s="1"/>
  <c r="CM122" i="19" s="1"/>
  <c r="CM135" i="19"/>
  <c r="CM136" i="19" s="1"/>
  <c r="CO470" i="18"/>
  <c r="CO469" i="18"/>
  <c r="CO135" i="19"/>
  <c r="CO136" i="19" s="1"/>
  <c r="CO143" i="19"/>
  <c r="CO144" i="19" s="1"/>
  <c r="CO92" i="19"/>
  <c r="CO96" i="19" s="1"/>
  <c r="CO122" i="19" s="1"/>
  <c r="CO72" i="19"/>
  <c r="CS72" i="19" s="1"/>
  <c r="CO63" i="19"/>
  <c r="CS18" i="19"/>
  <c r="CS70" i="19"/>
  <c r="CS76" i="19" s="1"/>
  <c r="CO29" i="17"/>
  <c r="CS29" i="17" s="1"/>
  <c r="CS94" i="16"/>
  <c r="CS95" i="16" s="1"/>
  <c r="CS21" i="18"/>
  <c r="CM50" i="19"/>
  <c r="CM84" i="19"/>
  <c r="CM87" i="19" s="1"/>
  <c r="CM120" i="19" s="1"/>
  <c r="CM131" i="19"/>
  <c r="CM78" i="19"/>
  <c r="CM51" i="19"/>
  <c r="CM63" i="19"/>
  <c r="CM62" i="19"/>
  <c r="CM109" i="77"/>
  <c r="CM19" i="77"/>
  <c r="CM13" i="77"/>
  <c r="CC51" i="19"/>
  <c r="CC131" i="19"/>
  <c r="CC132" i="19" s="1"/>
  <c r="CS167" i="19"/>
  <c r="CM167" i="19"/>
  <c r="CC84" i="19"/>
  <c r="CC87" i="19" s="1"/>
  <c r="CC120" i="19" s="1"/>
  <c r="CC50" i="19"/>
  <c r="CC20" i="19"/>
  <c r="CC97" i="19" s="1"/>
  <c r="CC103" i="19" s="1"/>
  <c r="CC123" i="19" s="1"/>
  <c r="CA55" i="19"/>
  <c r="CA21" i="17"/>
  <c r="CG78" i="19"/>
  <c r="CA65" i="19"/>
  <c r="CC108" i="77"/>
  <c r="CC109" i="77"/>
  <c r="CC107" i="77"/>
  <c r="CG141" i="19"/>
  <c r="CG142" i="19" s="1"/>
  <c r="CG19" i="19"/>
  <c r="CG133" i="19"/>
  <c r="CG134" i="19" s="1"/>
  <c r="CG88" i="19"/>
  <c r="CG91" i="19" s="1"/>
  <c r="CG121" i="19" s="1"/>
  <c r="CG62" i="19"/>
  <c r="CA132" i="19"/>
  <c r="CA145" i="19"/>
  <c r="CA146" i="19" s="1"/>
  <c r="CG50" i="19"/>
  <c r="CG131" i="19"/>
  <c r="CG84" i="19"/>
  <c r="CG87" i="19" s="1"/>
  <c r="CG120" i="19" s="1"/>
  <c r="CG51" i="19"/>
  <c r="CA13" i="77"/>
  <c r="CA19" i="77"/>
  <c r="CC139" i="16"/>
  <c r="CD19" i="17"/>
  <c r="CC19" i="17"/>
  <c r="CG70" i="16"/>
  <c r="CG405" i="18"/>
  <c r="CG406" i="18"/>
  <c r="CG143" i="19"/>
  <c r="CG144" i="19" s="1"/>
  <c r="CG135" i="19"/>
  <c r="CG136" i="19" s="1"/>
  <c r="CG92" i="19"/>
  <c r="CG96" i="19" s="1"/>
  <c r="CG122" i="19" s="1"/>
  <c r="CG63" i="19"/>
  <c r="CA54" i="19"/>
  <c r="CA157" i="16"/>
  <c r="CA97" i="19"/>
  <c r="CA103" i="19" s="1"/>
  <c r="CA123" i="19" s="1"/>
  <c r="CA56" i="16"/>
  <c r="CA133" i="16"/>
  <c r="CA137" i="19"/>
  <c r="CC73" i="19"/>
  <c r="BW79" i="19"/>
  <c r="BW14" i="17"/>
  <c r="CA73" i="19"/>
  <c r="CA79" i="19" s="1"/>
  <c r="BW145" i="19"/>
  <c r="BW146" i="19" s="1"/>
  <c r="BW132" i="19"/>
  <c r="CG64" i="77"/>
  <c r="CG27" i="77"/>
  <c r="CG11" i="77"/>
  <c r="CG10" i="77"/>
  <c r="CG106" i="77"/>
  <c r="CG107" i="77" s="1"/>
  <c r="CG41" i="77"/>
  <c r="CG100" i="77"/>
  <c r="CG56" i="77"/>
  <c r="CG29" i="17"/>
  <c r="CG20" i="17"/>
  <c r="CA107" i="77"/>
  <c r="CA108" i="77"/>
  <c r="BW148" i="16"/>
  <c r="BW150" i="16" s="1"/>
  <c r="BX23" i="17"/>
  <c r="BX17" i="17" s="1"/>
  <c r="BW23" i="17"/>
  <c r="CG470" i="18"/>
  <c r="CG469" i="18"/>
  <c r="CA19" i="17"/>
  <c r="CC27" i="16"/>
  <c r="CC30" i="16" s="1"/>
  <c r="CC64" i="19"/>
  <c r="CG77" i="19"/>
  <c r="CC147" i="16"/>
  <c r="CD21" i="17"/>
  <c r="CC21" i="17"/>
  <c r="CG18" i="17"/>
  <c r="BW157" i="16"/>
  <c r="BW159" i="16" s="1"/>
  <c r="BW160" i="16" s="1"/>
  <c r="BW161" i="16" s="1"/>
  <c r="BW54" i="19"/>
  <c r="BW97" i="19"/>
  <c r="BW103" i="19" s="1"/>
  <c r="BW123" i="19" s="1"/>
  <c r="BW133" i="16"/>
  <c r="BW135" i="16" s="1"/>
  <c r="BW136" i="16" s="1"/>
  <c r="BW137" i="16" s="1"/>
  <c r="BW56" i="16"/>
  <c r="BW137" i="19"/>
  <c r="BW65" i="19"/>
  <c r="BW55" i="19"/>
  <c r="CA80" i="16"/>
  <c r="CA79" i="16"/>
  <c r="CA64" i="19"/>
  <c r="BW33" i="16"/>
  <c r="BQ173" i="19"/>
  <c r="BQ157" i="19"/>
  <c r="BQ164" i="19"/>
  <c r="BU138" i="19"/>
  <c r="BU147" i="19" s="1"/>
  <c r="BU156" i="19"/>
  <c r="BQ153" i="19"/>
  <c r="BQ66" i="19" l="1"/>
  <c r="CS78" i="19"/>
  <c r="CM21" i="17"/>
  <c r="CM23" i="17"/>
  <c r="CS469" i="18"/>
  <c r="CS470" i="18"/>
  <c r="CM79" i="16"/>
  <c r="CM80" i="16"/>
  <c r="CO84" i="19"/>
  <c r="CO87" i="19" s="1"/>
  <c r="CO120" i="19" s="1"/>
  <c r="CO131" i="19"/>
  <c r="CO50" i="19"/>
  <c r="CO20" i="19"/>
  <c r="CO51" i="19"/>
  <c r="CS18" i="17"/>
  <c r="CM132" i="19"/>
  <c r="CM145" i="19"/>
  <c r="CM146" i="19" s="1"/>
  <c r="CM19" i="17"/>
  <c r="CJ17" i="17"/>
  <c r="CI150" i="16"/>
  <c r="CS70" i="16"/>
  <c r="CO108" i="77"/>
  <c r="CO109" i="77"/>
  <c r="CS109" i="77" s="1"/>
  <c r="CO147" i="16"/>
  <c r="CP21" i="17"/>
  <c r="CO21" i="17"/>
  <c r="CS41" i="77"/>
  <c r="CS27" i="77"/>
  <c r="CS10" i="77"/>
  <c r="CS106" i="77"/>
  <c r="CS108" i="77" s="1"/>
  <c r="CS11" i="77"/>
  <c r="CS100" i="77"/>
  <c r="CS64" i="77"/>
  <c r="CS56" i="77"/>
  <c r="CS406" i="18"/>
  <c r="CS405" i="18"/>
  <c r="CM64" i="19"/>
  <c r="CM20" i="19"/>
  <c r="CO73" i="19"/>
  <c r="CI17" i="17"/>
  <c r="CI137" i="19"/>
  <c r="CI97" i="19"/>
  <c r="CI103" i="19" s="1"/>
  <c r="CI123" i="19" s="1"/>
  <c r="CI157" i="16"/>
  <c r="CI159" i="16" s="1"/>
  <c r="CI160" i="16" s="1"/>
  <c r="CI161" i="16" s="1"/>
  <c r="CI133" i="16"/>
  <c r="CI135" i="16" s="1"/>
  <c r="CI136" i="16" s="1"/>
  <c r="CI137" i="16" s="1"/>
  <c r="CI56" i="16"/>
  <c r="CI54" i="19"/>
  <c r="CS50" i="19"/>
  <c r="CS51" i="19"/>
  <c r="CS131" i="19"/>
  <c r="CS84" i="19"/>
  <c r="CS87" i="19" s="1"/>
  <c r="CS120" i="19" s="1"/>
  <c r="CO139" i="16"/>
  <c r="CP19" i="17"/>
  <c r="CO19" i="17"/>
  <c r="CS88" i="19"/>
  <c r="CS91" i="19" s="1"/>
  <c r="CS121" i="19" s="1"/>
  <c r="CS133" i="19"/>
  <c r="CS134" i="19" s="1"/>
  <c r="CS19" i="19"/>
  <c r="CS20" i="19" s="1"/>
  <c r="CS62" i="19"/>
  <c r="CS141" i="19"/>
  <c r="CS142" i="19" s="1"/>
  <c r="CS77" i="19"/>
  <c r="CS143" i="19"/>
  <c r="CS144" i="19" s="1"/>
  <c r="CS63" i="19"/>
  <c r="CS135" i="19"/>
  <c r="CS136" i="19" s="1"/>
  <c r="CS92" i="19"/>
  <c r="CS96" i="19" s="1"/>
  <c r="CS122" i="19" s="1"/>
  <c r="CS20" i="17"/>
  <c r="CI79" i="19"/>
  <c r="CI14" i="17"/>
  <c r="CM14" i="17" s="1"/>
  <c r="CM73" i="19"/>
  <c r="CM79" i="19" s="1"/>
  <c r="CO64" i="19"/>
  <c r="CO27" i="16"/>
  <c r="CO30" i="16" s="1"/>
  <c r="CO33" i="16" s="1"/>
  <c r="CC145" i="19"/>
  <c r="CC146" i="19" s="1"/>
  <c r="CM16" i="77"/>
  <c r="CM17" i="77" s="1"/>
  <c r="CM30" i="77"/>
  <c r="CM44" i="77"/>
  <c r="CM113" i="77"/>
  <c r="CM20" i="77"/>
  <c r="CM21" i="77" s="1"/>
  <c r="CM50" i="77"/>
  <c r="CM35" i="77"/>
  <c r="CM111" i="77"/>
  <c r="CC65" i="19"/>
  <c r="CC55" i="19"/>
  <c r="CI55" i="19"/>
  <c r="CI65" i="19"/>
  <c r="CC157" i="16"/>
  <c r="CC159" i="16" s="1"/>
  <c r="CC160" i="16" s="1"/>
  <c r="CC161" i="16" s="1"/>
  <c r="CC133" i="16"/>
  <c r="CC135" i="16" s="1"/>
  <c r="CC136" i="16" s="1"/>
  <c r="CC137" i="16" s="1"/>
  <c r="CC56" i="16"/>
  <c r="CC137" i="19"/>
  <c r="CC156" i="19" s="1"/>
  <c r="CC54" i="19"/>
  <c r="CG109" i="77"/>
  <c r="CM107" i="77" s="1"/>
  <c r="CI107" i="77"/>
  <c r="CG19" i="17"/>
  <c r="CG132" i="19"/>
  <c r="CG145" i="19"/>
  <c r="CG146" i="19" s="1"/>
  <c r="CG20" i="19"/>
  <c r="CG80" i="16"/>
  <c r="CG64" i="19"/>
  <c r="CG79" i="16"/>
  <c r="CC79" i="19"/>
  <c r="CC14" i="17"/>
  <c r="CG73" i="19"/>
  <c r="CG79" i="19" s="1"/>
  <c r="BW138" i="19"/>
  <c r="BW147" i="19" s="1"/>
  <c r="BW156" i="19"/>
  <c r="CA111" i="77"/>
  <c r="CA50" i="77"/>
  <c r="CA20" i="77"/>
  <c r="CA21" i="77" s="1"/>
  <c r="CA35" i="77"/>
  <c r="CG21" i="17"/>
  <c r="CG108" i="77"/>
  <c r="CA16" i="77"/>
  <c r="CA17" i="77" s="1"/>
  <c r="CA30" i="77"/>
  <c r="CA44" i="77"/>
  <c r="CA113" i="77"/>
  <c r="CC33" i="16"/>
  <c r="CA23" i="17"/>
  <c r="CA17" i="17" s="1"/>
  <c r="BW17" i="17"/>
  <c r="CG19" i="77"/>
  <c r="CG13" i="77"/>
  <c r="CC148" i="16"/>
  <c r="CC150" i="16" s="1"/>
  <c r="CD23" i="17"/>
  <c r="CD17" i="17" s="1"/>
  <c r="CC23" i="17"/>
  <c r="CC17" i="17" s="1"/>
  <c r="CA138" i="19"/>
  <c r="CA147" i="19" s="1"/>
  <c r="CA156" i="19"/>
  <c r="CA14" i="17"/>
  <c r="BQ158" i="19"/>
  <c r="BQ128" i="19"/>
  <c r="BQ165" i="19"/>
  <c r="BU173" i="19"/>
  <c r="BU157" i="19"/>
  <c r="BU164" i="19"/>
  <c r="BQ56" i="19" l="1"/>
  <c r="CS107" i="77"/>
  <c r="CS19" i="17"/>
  <c r="CS21" i="17"/>
  <c r="CM17" i="17"/>
  <c r="CO14" i="17"/>
  <c r="CS14" i="17" s="1"/>
  <c r="CO79" i="19"/>
  <c r="CS73" i="19"/>
  <c r="CS79" i="19" s="1"/>
  <c r="CM133" i="16"/>
  <c r="CM157" i="16"/>
  <c r="CM54" i="19"/>
  <c r="CM97" i="19"/>
  <c r="CM103" i="19" s="1"/>
  <c r="CM123" i="19" s="1"/>
  <c r="CM137" i="19"/>
  <c r="CM56" i="16"/>
  <c r="CS55" i="19"/>
  <c r="CS65" i="19"/>
  <c r="CS133" i="16"/>
  <c r="CS157" i="16"/>
  <c r="CS97" i="19"/>
  <c r="CS103" i="19" s="1"/>
  <c r="CS123" i="19" s="1"/>
  <c r="CS54" i="19"/>
  <c r="CS137" i="19"/>
  <c r="CS56" i="16"/>
  <c r="CO145" i="19"/>
  <c r="CO146" i="19" s="1"/>
  <c r="CO132" i="19"/>
  <c r="CO148" i="16"/>
  <c r="CO150" i="16" s="1"/>
  <c r="CP23" i="17"/>
  <c r="CP17" i="17" s="1"/>
  <c r="CO23" i="17"/>
  <c r="CS145" i="19"/>
  <c r="CS146" i="19" s="1"/>
  <c r="CS132" i="19"/>
  <c r="CS64" i="19"/>
  <c r="CS80" i="16"/>
  <c r="CS79" i="16"/>
  <c r="CI156" i="19"/>
  <c r="CI138" i="19"/>
  <c r="CI147" i="19" s="1"/>
  <c r="CO54" i="19"/>
  <c r="CO133" i="16"/>
  <c r="CO135" i="16" s="1"/>
  <c r="CO136" i="16" s="1"/>
  <c r="CO137" i="16" s="1"/>
  <c r="CO157" i="16"/>
  <c r="CO159" i="16" s="1"/>
  <c r="CO160" i="16" s="1"/>
  <c r="CO161" i="16" s="1"/>
  <c r="CO65" i="19"/>
  <c r="CO97" i="19"/>
  <c r="CO103" i="19" s="1"/>
  <c r="CO123" i="19" s="1"/>
  <c r="CO56" i="16"/>
  <c r="CO55" i="19"/>
  <c r="CO137" i="19"/>
  <c r="CS13" i="77"/>
  <c r="CS19" i="77"/>
  <c r="CC138" i="19"/>
  <c r="CC147" i="19" s="1"/>
  <c r="CM55" i="19"/>
  <c r="CM65" i="19"/>
  <c r="CA173" i="19"/>
  <c r="CA157" i="19"/>
  <c r="CA164" i="19"/>
  <c r="CC164" i="19"/>
  <c r="CC157" i="19"/>
  <c r="CG20" i="77"/>
  <c r="CG21" i="77" s="1"/>
  <c r="CG50" i="77"/>
  <c r="CG35" i="77"/>
  <c r="CG111" i="77"/>
  <c r="CG23" i="17"/>
  <c r="CG17" i="17" s="1"/>
  <c r="BW157" i="19"/>
  <c r="BW164" i="19"/>
  <c r="CG14" i="17"/>
  <c r="CG54" i="19"/>
  <c r="CG56" i="16"/>
  <c r="CG137" i="19"/>
  <c r="CG97" i="19"/>
  <c r="CG103" i="19" s="1"/>
  <c r="CG123" i="19" s="1"/>
  <c r="CG55" i="19"/>
  <c r="CG157" i="16"/>
  <c r="CG133" i="16"/>
  <c r="CG65" i="19"/>
  <c r="CG44" i="77"/>
  <c r="CG113" i="77"/>
  <c r="CG30" i="77"/>
  <c r="CG16" i="77"/>
  <c r="CG17" i="77" s="1"/>
  <c r="BU66" i="19"/>
  <c r="BU165" i="19"/>
  <c r="BQ166" i="19"/>
  <c r="BU158" i="19"/>
  <c r="BQ10" i="17"/>
  <c r="BQ86" i="16"/>
  <c r="BQ38" i="16"/>
  <c r="CS23" i="17" l="1"/>
  <c r="CS17" i="17" s="1"/>
  <c r="CO17" i="17"/>
  <c r="CS111" i="77"/>
  <c r="CS20" i="77"/>
  <c r="CS21" i="77" s="1"/>
  <c r="CS50" i="77"/>
  <c r="CS35" i="77"/>
  <c r="CS113" i="77"/>
  <c r="CS16" i="77"/>
  <c r="CS17" i="77" s="1"/>
  <c r="CS30" i="77"/>
  <c r="CS44" i="77"/>
  <c r="CO156" i="19"/>
  <c r="CO138" i="19"/>
  <c r="CO147" i="19" s="1"/>
  <c r="CM156" i="19"/>
  <c r="CM138" i="19"/>
  <c r="CM147" i="19" s="1"/>
  <c r="CS138" i="19"/>
  <c r="CS147" i="19" s="1"/>
  <c r="CS156" i="19"/>
  <c r="CI157" i="19"/>
  <c r="CI158" i="19" s="1"/>
  <c r="CI164" i="19"/>
  <c r="CA158" i="19"/>
  <c r="CA165" i="19"/>
  <c r="BW165" i="19"/>
  <c r="BW66" i="19"/>
  <c r="CC165" i="19"/>
  <c r="CC66" i="19"/>
  <c r="BW158" i="19"/>
  <c r="CC158" i="19"/>
  <c r="CA66" i="19"/>
  <c r="CG138" i="19"/>
  <c r="CG147" i="19" s="1"/>
  <c r="CG156" i="19"/>
  <c r="BQ89" i="16"/>
  <c r="BU56" i="19"/>
  <c r="BU166" i="19"/>
  <c r="CM157" i="19" l="1"/>
  <c r="CM164" i="19"/>
  <c r="CS157" i="19"/>
  <c r="CS164" i="19"/>
  <c r="CS173" i="19"/>
  <c r="CI165" i="19"/>
  <c r="CI66" i="19"/>
  <c r="CO157" i="19"/>
  <c r="CO158" i="19" s="1"/>
  <c r="CO164" i="19"/>
  <c r="CM173" i="19"/>
  <c r="BW56" i="19"/>
  <c r="BW166" i="19"/>
  <c r="CG164" i="19"/>
  <c r="CG173" i="19"/>
  <c r="CG157" i="19"/>
  <c r="CA56" i="19"/>
  <c r="CA166" i="19"/>
  <c r="CC166" i="19"/>
  <c r="CC56" i="19"/>
  <c r="CS158" i="19" l="1"/>
  <c r="CI56" i="19"/>
  <c r="CI166" i="19"/>
  <c r="CS165" i="19"/>
  <c r="CS66" i="19"/>
  <c r="CO165" i="19"/>
  <c r="CO66" i="19"/>
  <c r="CM165" i="19"/>
  <c r="CM56" i="19" s="1"/>
  <c r="CM66" i="19"/>
  <c r="CM158" i="19"/>
  <c r="CG165" i="19"/>
  <c r="CG66" i="19"/>
  <c r="CG158" i="19"/>
  <c r="CM166" i="19" l="1"/>
  <c r="CO166" i="19"/>
  <c r="CO56" i="19"/>
  <c r="CS56" i="19"/>
  <c r="CS166" i="19"/>
  <c r="CG56" i="19"/>
  <c r="CG166" i="19"/>
  <c r="BN74" i="16" l="1"/>
  <c r="BN73" i="16"/>
  <c r="BO29" i="17"/>
  <c r="BN54" i="17"/>
  <c r="BO31" i="17"/>
  <c r="BN22" i="19"/>
  <c r="BO22" i="19" s="1"/>
  <c r="BN21" i="19"/>
  <c r="BN51" i="17"/>
  <c r="BN114" i="16"/>
  <c r="BO12" i="17"/>
  <c r="BN94" i="16"/>
  <c r="BO94" i="16" s="1"/>
  <c r="BO95" i="16" s="1"/>
  <c r="BN101" i="16"/>
  <c r="BO11" i="17"/>
  <c r="BO98" i="16" l="1"/>
  <c r="BU93" i="16" s="1"/>
  <c r="BU98" i="16" s="1"/>
  <c r="CA93" i="16" s="1"/>
  <c r="CA98" i="16" s="1"/>
  <c r="BN55" i="17"/>
  <c r="BN56" i="17" s="1"/>
  <c r="BN75" i="16"/>
  <c r="BO26" i="17"/>
  <c r="BN115" i="16"/>
  <c r="BN116" i="16"/>
  <c r="BO116" i="16" s="1"/>
  <c r="BO114" i="16"/>
  <c r="BN95" i="16"/>
  <c r="BN98" i="16"/>
  <c r="BN102" i="16"/>
  <c r="BO101" i="16"/>
  <c r="BN23" i="19"/>
  <c r="BO21" i="19"/>
  <c r="BN24" i="19"/>
  <c r="BO34" i="17"/>
  <c r="BN76" i="16" l="1"/>
  <c r="BO108" i="16"/>
  <c r="BQ93" i="16"/>
  <c r="BQ101" i="16" s="1"/>
  <c r="BW93" i="16"/>
  <c r="BW98" i="16" s="1"/>
  <c r="BN104" i="16"/>
  <c r="BN108" i="16"/>
  <c r="BN57" i="16"/>
  <c r="BN55" i="16"/>
  <c r="BO24" i="19"/>
  <c r="BO23" i="19"/>
  <c r="BO74" i="16"/>
  <c r="BO54" i="17"/>
  <c r="BO47" i="17"/>
  <c r="CG93" i="16"/>
  <c r="CG98" i="16" s="1"/>
  <c r="CC93" i="16"/>
  <c r="BO115" i="16"/>
  <c r="BO117" i="16"/>
  <c r="BQ98" i="16"/>
  <c r="BO102" i="16"/>
  <c r="BW101" i="16" l="1"/>
  <c r="BW108" i="16" s="1"/>
  <c r="CM93" i="16"/>
  <c r="CM98" i="16" s="1"/>
  <c r="CI93" i="16"/>
  <c r="BU112" i="16"/>
  <c r="BQ112" i="16"/>
  <c r="BX93" i="16"/>
  <c r="BR93" i="16"/>
  <c r="BQ108" i="16"/>
  <c r="CC101" i="16"/>
  <c r="CC98" i="16"/>
  <c r="BO75" i="16"/>
  <c r="BO55" i="17"/>
  <c r="BO58" i="17" s="1"/>
  <c r="BO73" i="16"/>
  <c r="BO49" i="17"/>
  <c r="BQ11" i="17"/>
  <c r="BO57" i="16"/>
  <c r="BO55" i="16"/>
  <c r="BN109" i="16"/>
  <c r="BN103" i="16"/>
  <c r="BO103" i="16" s="1"/>
  <c r="BO104" i="16" s="1"/>
  <c r="BW11" i="17" l="1"/>
  <c r="BW21" i="19" s="1"/>
  <c r="CS93" i="16"/>
  <c r="CS98" i="16" s="1"/>
  <c r="CO93" i="16"/>
  <c r="CI98" i="16"/>
  <c r="CI101" i="16"/>
  <c r="CI11" i="17" s="1"/>
  <c r="CI21" i="19" s="1"/>
  <c r="BO109" i="16"/>
  <c r="BU100" i="16"/>
  <c r="BQ100" i="16"/>
  <c r="BQ104" i="16" s="1"/>
  <c r="BO106" i="16"/>
  <c r="BR98" i="16"/>
  <c r="BR101" i="16"/>
  <c r="CC11" i="17"/>
  <c r="CC108" i="16"/>
  <c r="CD93" i="16"/>
  <c r="BX101" i="16"/>
  <c r="BX98" i="16"/>
  <c r="BO51" i="17"/>
  <c r="BQ48" i="17"/>
  <c r="BU48" i="17"/>
  <c r="BQ117" i="16"/>
  <c r="BQ115" i="16"/>
  <c r="BQ26" i="17"/>
  <c r="BO76" i="16"/>
  <c r="BO56" i="17"/>
  <c r="BU115" i="16"/>
  <c r="BU117" i="16"/>
  <c r="CI23" i="19" l="1"/>
  <c r="CI24" i="19"/>
  <c r="CI55" i="16" s="1"/>
  <c r="CO98" i="16"/>
  <c r="CO101" i="16"/>
  <c r="CO11" i="17" s="1"/>
  <c r="CO21" i="19" s="1"/>
  <c r="CI108" i="16"/>
  <c r="CJ93" i="16"/>
  <c r="BX108" i="16"/>
  <c r="BY93" i="16"/>
  <c r="BR108" i="16"/>
  <c r="BS93" i="16"/>
  <c r="BX11" i="17"/>
  <c r="CC21" i="19"/>
  <c r="BQ54" i="17"/>
  <c r="BQ74" i="16"/>
  <c r="BR100" i="16"/>
  <c r="BR104" i="16" s="1"/>
  <c r="BR106" i="16" s="1"/>
  <c r="BR18" i="16" s="1"/>
  <c r="BQ109" i="16"/>
  <c r="BQ106" i="16"/>
  <c r="BQ18" i="16" s="1"/>
  <c r="BR11" i="17"/>
  <c r="CD98" i="16"/>
  <c r="CD101" i="16"/>
  <c r="BQ21" i="16"/>
  <c r="BR112" i="16"/>
  <c r="BW24" i="19"/>
  <c r="BW23" i="19"/>
  <c r="CA112" i="16"/>
  <c r="BW112" i="16"/>
  <c r="CO23" i="19" l="1"/>
  <c r="CO24" i="19"/>
  <c r="CO55" i="16" s="1"/>
  <c r="CO108" i="16"/>
  <c r="CP93" i="16"/>
  <c r="CJ98" i="16"/>
  <c r="CJ101" i="16"/>
  <c r="CJ11" i="17" s="1"/>
  <c r="CJ21" i="19" s="1"/>
  <c r="BR141" i="16"/>
  <c r="BQ55" i="17"/>
  <c r="BQ75" i="16"/>
  <c r="BQ55" i="16"/>
  <c r="BS98" i="16"/>
  <c r="BS101" i="16"/>
  <c r="BW55" i="16"/>
  <c r="BR109" i="16"/>
  <c r="BS100" i="16"/>
  <c r="BR115" i="16"/>
  <c r="BR117" i="16"/>
  <c r="CD108" i="16"/>
  <c r="CE93" i="16"/>
  <c r="BQ144" i="16"/>
  <c r="BR21" i="19"/>
  <c r="BQ141" i="16"/>
  <c r="CD11" i="17"/>
  <c r="CC24" i="19"/>
  <c r="CC23" i="19"/>
  <c r="BY101" i="16"/>
  <c r="BY98" i="16"/>
  <c r="BW115" i="16"/>
  <c r="BW117" i="16"/>
  <c r="CA115" i="16"/>
  <c r="CA117" i="16"/>
  <c r="BX21" i="19"/>
  <c r="CJ23" i="19" l="1"/>
  <c r="CJ24" i="19"/>
  <c r="CJ55" i="16" s="1"/>
  <c r="CP101" i="16"/>
  <c r="CP11" i="17" s="1"/>
  <c r="CP21" i="19" s="1"/>
  <c r="CP98" i="16"/>
  <c r="CJ108" i="16"/>
  <c r="CK93" i="16"/>
  <c r="BS104" i="16"/>
  <c r="BS109" i="16" s="1"/>
  <c r="BW21" i="16"/>
  <c r="BX112" i="16"/>
  <c r="BS112" i="16"/>
  <c r="BR21" i="16"/>
  <c r="BS11" i="17"/>
  <c r="BR24" i="19"/>
  <c r="BR23" i="19"/>
  <c r="BQ56" i="17"/>
  <c r="BQ76" i="16"/>
  <c r="BY108" i="16"/>
  <c r="BZ93" i="16"/>
  <c r="BS108" i="16"/>
  <c r="BT93" i="16"/>
  <c r="CD21" i="19"/>
  <c r="CG112" i="16"/>
  <c r="CC112" i="16"/>
  <c r="CC55" i="16"/>
  <c r="BQ145" i="16"/>
  <c r="BQ152" i="16" s="1"/>
  <c r="BR153" i="16" s="1"/>
  <c r="CE101" i="16"/>
  <c r="CE98" i="16"/>
  <c r="BY11" i="17"/>
  <c r="BX24" i="19"/>
  <c r="BX23" i="19"/>
  <c r="CP23" i="19" l="1"/>
  <c r="CP24" i="19"/>
  <c r="CP55" i="16" s="1"/>
  <c r="CP108" i="16"/>
  <c r="CQ93" i="16"/>
  <c r="CK98" i="16"/>
  <c r="CK101" i="16"/>
  <c r="CK11" i="17" s="1"/>
  <c r="CK21" i="19" s="1"/>
  <c r="BT100" i="16"/>
  <c r="BS106" i="16"/>
  <c r="BS18" i="16" s="1"/>
  <c r="BR131" i="16"/>
  <c r="BT98" i="16"/>
  <c r="BT101" i="16"/>
  <c r="BX55" i="16"/>
  <c r="BS21" i="19"/>
  <c r="BZ98" i="16"/>
  <c r="BZ101" i="16"/>
  <c r="BR144" i="16"/>
  <c r="BR145" i="16" s="1"/>
  <c r="BR152" i="16" s="1"/>
  <c r="BS153" i="16" s="1"/>
  <c r="CE108" i="16"/>
  <c r="CF93" i="16"/>
  <c r="CG115" i="16"/>
  <c r="CG117" i="16"/>
  <c r="BX115" i="16"/>
  <c r="BX117" i="16"/>
  <c r="CD24" i="19"/>
  <c r="CD23" i="19"/>
  <c r="CC117" i="16"/>
  <c r="CC115" i="16"/>
  <c r="BS115" i="16"/>
  <c r="BS117" i="16"/>
  <c r="BY21" i="19"/>
  <c r="CE11" i="17"/>
  <c r="BR55" i="16"/>
  <c r="BW144" i="16"/>
  <c r="CK23" i="19" l="1"/>
  <c r="CK24" i="19"/>
  <c r="CK55" i="16" s="1"/>
  <c r="CQ101" i="16"/>
  <c r="CQ11" i="17" s="1"/>
  <c r="CQ21" i="19" s="1"/>
  <c r="CQ98" i="16"/>
  <c r="BS141" i="16"/>
  <c r="CM112" i="16"/>
  <c r="CI112" i="16"/>
  <c r="CL93" i="16"/>
  <c r="CK108" i="16"/>
  <c r="BZ108" i="16"/>
  <c r="BT108" i="16"/>
  <c r="BZ11" i="17"/>
  <c r="CA101" i="16"/>
  <c r="BT11" i="17"/>
  <c r="BU101" i="16"/>
  <c r="BS21" i="16"/>
  <c r="BT112" i="16"/>
  <c r="CF101" i="16"/>
  <c r="CF98" i="16"/>
  <c r="CD55" i="16"/>
  <c r="CC21" i="16"/>
  <c r="CD112" i="16"/>
  <c r="BY112" i="16"/>
  <c r="BX21" i="16"/>
  <c r="BY23" i="19"/>
  <c r="BY24" i="19"/>
  <c r="BS23" i="19"/>
  <c r="BS24" i="19"/>
  <c r="BT104" i="16"/>
  <c r="BT109" i="16" s="1"/>
  <c r="CE21" i="19"/>
  <c r="BS131" i="16"/>
  <c r="CQ23" i="19" l="1"/>
  <c r="CQ24" i="19"/>
  <c r="CQ55" i="16" s="1"/>
  <c r="CQ108" i="16"/>
  <c r="CR93" i="16"/>
  <c r="CL98" i="16"/>
  <c r="CL101" i="16"/>
  <c r="CI117" i="16"/>
  <c r="CI115" i="16"/>
  <c r="CM117" i="16"/>
  <c r="CM115" i="16"/>
  <c r="CF11" i="17"/>
  <c r="CG101" i="16"/>
  <c r="CA102" i="16"/>
  <c r="CA108" i="16"/>
  <c r="CF108" i="16"/>
  <c r="CD115" i="16"/>
  <c r="CD117" i="16"/>
  <c r="CC144" i="16"/>
  <c r="BU102" i="16"/>
  <c r="BU108" i="16"/>
  <c r="BU104" i="16"/>
  <c r="BT106" i="16"/>
  <c r="BT18" i="16" s="1"/>
  <c r="BY117" i="16"/>
  <c r="BY115" i="16"/>
  <c r="BT117" i="16"/>
  <c r="BT21" i="16" s="1"/>
  <c r="BT115" i="16"/>
  <c r="BY55" i="16"/>
  <c r="BT21" i="19"/>
  <c r="BU11" i="17"/>
  <c r="BS55" i="16"/>
  <c r="BX144" i="16"/>
  <c r="BZ21" i="19"/>
  <c r="CA11" i="17"/>
  <c r="BS144" i="16"/>
  <c r="BS145" i="16" s="1"/>
  <c r="BS152" i="16" s="1"/>
  <c r="BT153" i="16" s="1"/>
  <c r="CE23" i="19"/>
  <c r="CE24" i="19"/>
  <c r="CM101" i="16" l="1"/>
  <c r="CM108" i="16" s="1"/>
  <c r="CL11" i="17"/>
  <c r="CL21" i="19" s="1"/>
  <c r="CR101" i="16"/>
  <c r="CR98" i="16"/>
  <c r="CS112" i="16"/>
  <c r="CO112" i="16"/>
  <c r="CJ112" i="16"/>
  <c r="CI21" i="16"/>
  <c r="CI144" i="16" s="1"/>
  <c r="CL108" i="16"/>
  <c r="BZ23" i="19"/>
  <c r="BZ24" i="19"/>
  <c r="CA21" i="19"/>
  <c r="CD21" i="16"/>
  <c r="CE112" i="16"/>
  <c r="BU21" i="16"/>
  <c r="BT144" i="16"/>
  <c r="BZ112" i="16"/>
  <c r="BY21" i="16"/>
  <c r="BU109" i="16"/>
  <c r="BW100" i="16"/>
  <c r="BW104" i="16" s="1"/>
  <c r="CA100" i="16"/>
  <c r="CA104" i="16" s="1"/>
  <c r="BU106" i="16"/>
  <c r="CG102" i="16"/>
  <c r="CG108" i="16"/>
  <c r="BT24" i="19"/>
  <c r="BT23" i="19"/>
  <c r="BU21" i="19"/>
  <c r="CE55" i="16"/>
  <c r="BT141" i="16"/>
  <c r="BU18" i="16"/>
  <c r="BT131" i="16"/>
  <c r="CF21" i="19"/>
  <c r="CG11" i="17"/>
  <c r="CM102" i="16" l="1"/>
  <c r="BT145" i="16"/>
  <c r="BT152" i="16" s="1"/>
  <c r="CL23" i="19"/>
  <c r="CL24" i="19"/>
  <c r="CL55" i="16" s="1"/>
  <c r="CM21" i="19"/>
  <c r="CM11" i="17"/>
  <c r="CS101" i="16"/>
  <c r="CS102" i="16" s="1"/>
  <c r="CR11" i="17"/>
  <c r="CR21" i="19" s="1"/>
  <c r="CS117" i="16"/>
  <c r="CS115" i="16"/>
  <c r="CR108" i="16"/>
  <c r="CO117" i="16"/>
  <c r="CO115" i="16"/>
  <c r="CJ117" i="16"/>
  <c r="CJ115" i="16"/>
  <c r="BU144" i="16"/>
  <c r="CF24" i="19"/>
  <c r="CF23" i="19"/>
  <c r="CG21" i="19"/>
  <c r="BU24" i="19"/>
  <c r="BU23" i="19"/>
  <c r="CA23" i="19"/>
  <c r="CA24" i="19"/>
  <c r="BT55" i="16"/>
  <c r="BY144" i="16"/>
  <c r="BX100" i="16"/>
  <c r="BX104" i="16" s="1"/>
  <c r="BW109" i="16"/>
  <c r="BW106" i="16"/>
  <c r="BW18" i="16" s="1"/>
  <c r="BZ55" i="16"/>
  <c r="CE115" i="16"/>
  <c r="CE117" i="16"/>
  <c r="CD144" i="16"/>
  <c r="BU141" i="16"/>
  <c r="CA109" i="16"/>
  <c r="CC100" i="16"/>
  <c r="CC104" i="16" s="1"/>
  <c r="CG100" i="16"/>
  <c r="CG104" i="16" s="1"/>
  <c r="CA106" i="16"/>
  <c r="BZ115" i="16"/>
  <c r="BZ117" i="16"/>
  <c r="BZ21" i="16" s="1"/>
  <c r="CS108" i="16" l="1"/>
  <c r="CR23" i="19"/>
  <c r="CR24" i="19"/>
  <c r="CR55" i="16" s="1"/>
  <c r="CS21" i="19"/>
  <c r="CM23" i="19"/>
  <c r="CM24" i="19"/>
  <c r="CM55" i="16" s="1"/>
  <c r="CS11" i="17"/>
  <c r="CP112" i="16"/>
  <c r="CO21" i="16"/>
  <c r="CO144" i="16" s="1"/>
  <c r="CM100" i="16"/>
  <c r="CM104" i="16" s="1"/>
  <c r="CI100" i="16"/>
  <c r="CI104" i="16" s="1"/>
  <c r="CJ21" i="16"/>
  <c r="CJ144" i="16" s="1"/>
  <c r="CK112" i="16"/>
  <c r="BU145" i="16"/>
  <c r="BU152" i="16" s="1"/>
  <c r="CA153" i="16" s="1"/>
  <c r="BW141" i="16"/>
  <c r="BW145" i="16" s="1"/>
  <c r="BW152" i="16" s="1"/>
  <c r="BX153" i="16" s="1"/>
  <c r="CG23" i="19"/>
  <c r="CG24" i="19"/>
  <c r="CA21" i="16"/>
  <c r="BZ144" i="16"/>
  <c r="BY100" i="16"/>
  <c r="BY104" i="16" s="1"/>
  <c r="BX109" i="16"/>
  <c r="BX106" i="16"/>
  <c r="BX18" i="16" s="1"/>
  <c r="CF55" i="16"/>
  <c r="CA55" i="16"/>
  <c r="CG109" i="16"/>
  <c r="CG106" i="16"/>
  <c r="CE21" i="16"/>
  <c r="CF112" i="16"/>
  <c r="CD100" i="16"/>
  <c r="CD104" i="16" s="1"/>
  <c r="CC109" i="16"/>
  <c r="CC106" i="16"/>
  <c r="CC18" i="16" s="1"/>
  <c r="BU55" i="16"/>
  <c r="CS23" i="19" l="1"/>
  <c r="CS24" i="19"/>
  <c r="CS55" i="16" s="1"/>
  <c r="CO100" i="16"/>
  <c r="CO104" i="16" s="1"/>
  <c r="CS100" i="16"/>
  <c r="CS104" i="16" s="1"/>
  <c r="CP117" i="16"/>
  <c r="CP115" i="16"/>
  <c r="CJ100" i="16"/>
  <c r="CJ104" i="16" s="1"/>
  <c r="CI109" i="16"/>
  <c r="CI106" i="16"/>
  <c r="CI18" i="16" s="1"/>
  <c r="CI141" i="16" s="1"/>
  <c r="CI145" i="16" s="1"/>
  <c r="CI152" i="16" s="1"/>
  <c r="CJ153" i="16" s="1"/>
  <c r="CJ131" i="16" s="1"/>
  <c r="CK117" i="16"/>
  <c r="CK115" i="16"/>
  <c r="CM109" i="16"/>
  <c r="CM106" i="16"/>
  <c r="BW153" i="16"/>
  <c r="BW131" i="16" s="1"/>
  <c r="CG55" i="16"/>
  <c r="CC141" i="16"/>
  <c r="CC145" i="16" s="1"/>
  <c r="CC152" i="16" s="1"/>
  <c r="CD153" i="16" s="1"/>
  <c r="BX141" i="16"/>
  <c r="BX145" i="16" s="1"/>
  <c r="BX152" i="16" s="1"/>
  <c r="BY153" i="16" s="1"/>
  <c r="CA144" i="16"/>
  <c r="BX131" i="16"/>
  <c r="CE100" i="16"/>
  <c r="CE104" i="16" s="1"/>
  <c r="CD109" i="16"/>
  <c r="CD106" i="16"/>
  <c r="CD18" i="16" s="1"/>
  <c r="BZ100" i="16"/>
  <c r="BZ104" i="16" s="1"/>
  <c r="BY109" i="16"/>
  <c r="BY106" i="16"/>
  <c r="BY18" i="16" s="1"/>
  <c r="CF115" i="16"/>
  <c r="CF117" i="16"/>
  <c r="CF21" i="16" s="1"/>
  <c r="CE144" i="16"/>
  <c r="CP21" i="16" l="1"/>
  <c r="CP144" i="16" s="1"/>
  <c r="CQ112" i="16"/>
  <c r="CS109" i="16"/>
  <c r="CS106" i="16"/>
  <c r="CP100" i="16"/>
  <c r="CP104" i="16" s="1"/>
  <c r="CO109" i="16"/>
  <c r="CO106" i="16"/>
  <c r="CO18" i="16" s="1"/>
  <c r="CO141" i="16" s="1"/>
  <c r="CO145" i="16" s="1"/>
  <c r="CO152" i="16" s="1"/>
  <c r="CP153" i="16" s="1"/>
  <c r="CP131" i="16" s="1"/>
  <c r="CK21" i="16"/>
  <c r="CK144" i="16" s="1"/>
  <c r="CL112" i="16"/>
  <c r="CK100" i="16"/>
  <c r="CK104" i="16" s="1"/>
  <c r="CJ109" i="16"/>
  <c r="CJ106" i="16"/>
  <c r="CJ18" i="16" s="1"/>
  <c r="CJ141" i="16" s="1"/>
  <c r="CJ145" i="16" s="1"/>
  <c r="CJ152" i="16" s="1"/>
  <c r="CK153" i="16" s="1"/>
  <c r="CK131" i="16" s="1"/>
  <c r="BY141" i="16"/>
  <c r="BY145" i="16" s="1"/>
  <c r="BY152" i="16" s="1"/>
  <c r="BZ153" i="16" s="1"/>
  <c r="CE109" i="16"/>
  <c r="CF100" i="16"/>
  <c r="CF104" i="16" s="1"/>
  <c r="CE106" i="16"/>
  <c r="CE18" i="16" s="1"/>
  <c r="CD131" i="16"/>
  <c r="BY131" i="16"/>
  <c r="BZ109" i="16"/>
  <c r="BZ106" i="16"/>
  <c r="BZ18" i="16" s="1"/>
  <c r="CG21" i="16"/>
  <c r="CF144" i="16"/>
  <c r="CD141" i="16"/>
  <c r="CD145" i="16" s="1"/>
  <c r="CD152" i="16" s="1"/>
  <c r="CE153" i="16" s="1"/>
  <c r="CQ100" i="16" l="1"/>
  <c r="CQ104" i="16" s="1"/>
  <c r="CP109" i="16"/>
  <c r="CP106" i="16"/>
  <c r="CP18" i="16" s="1"/>
  <c r="CP141" i="16" s="1"/>
  <c r="CP145" i="16" s="1"/>
  <c r="CP152" i="16" s="1"/>
  <c r="CQ153" i="16" s="1"/>
  <c r="CQ131" i="16" s="1"/>
  <c r="CQ117" i="16"/>
  <c r="CQ115" i="16"/>
  <c r="CL100" i="16"/>
  <c r="CL104" i="16" s="1"/>
  <c r="CK109" i="16"/>
  <c r="CK106" i="16"/>
  <c r="CK18" i="16" s="1"/>
  <c r="CK141" i="16" s="1"/>
  <c r="CK145" i="16" s="1"/>
  <c r="CK152" i="16" s="1"/>
  <c r="CL153" i="16" s="1"/>
  <c r="CL131" i="16" s="1"/>
  <c r="CL117" i="16"/>
  <c r="CL21" i="16" s="1"/>
  <c r="CL115" i="16"/>
  <c r="CE131" i="16"/>
  <c r="CE141" i="16"/>
  <c r="CE145" i="16" s="1"/>
  <c r="CE152" i="16" s="1"/>
  <c r="CF153" i="16" s="1"/>
  <c r="CG144" i="16"/>
  <c r="BZ141" i="16"/>
  <c r="BZ145" i="16" s="1"/>
  <c r="BZ152" i="16" s="1"/>
  <c r="CA18" i="16"/>
  <c r="BZ131" i="16"/>
  <c r="CF109" i="16"/>
  <c r="CF106" i="16"/>
  <c r="CF18" i="16" s="1"/>
  <c r="CR112" i="16" l="1"/>
  <c r="CQ21" i="16"/>
  <c r="CQ144" i="16" s="1"/>
  <c r="CR100" i="16"/>
  <c r="CR104" i="16" s="1"/>
  <c r="CQ109" i="16"/>
  <c r="CQ106" i="16"/>
  <c r="CQ18" i="16" s="1"/>
  <c r="CQ141" i="16" s="1"/>
  <c r="CM21" i="16"/>
  <c r="CM144" i="16" s="1"/>
  <c r="CL144" i="16"/>
  <c r="CL109" i="16"/>
  <c r="CL106" i="16"/>
  <c r="CL18" i="16" s="1"/>
  <c r="CA141" i="16"/>
  <c r="CA145" i="16" s="1"/>
  <c r="CA152" i="16" s="1"/>
  <c r="CF141" i="16"/>
  <c r="CF145" i="16" s="1"/>
  <c r="CF152" i="16" s="1"/>
  <c r="CG18" i="16"/>
  <c r="CF131" i="16"/>
  <c r="CQ145" i="16" l="1"/>
  <c r="CQ152" i="16" s="1"/>
  <c r="CR153" i="16" s="1"/>
  <c r="CR131" i="16" s="1"/>
  <c r="CR109" i="16"/>
  <c r="CR106" i="16"/>
  <c r="CR18" i="16" s="1"/>
  <c r="CR117" i="16"/>
  <c r="CR21" i="16" s="1"/>
  <c r="CR115" i="16"/>
  <c r="CL141" i="16"/>
  <c r="CL145" i="16" s="1"/>
  <c r="CL152" i="16" s="1"/>
  <c r="CM18" i="16"/>
  <c r="CM141" i="16" s="1"/>
  <c r="CM145" i="16" s="1"/>
  <c r="CM152" i="16" s="1"/>
  <c r="CC153" i="16"/>
  <c r="CG153" i="16"/>
  <c r="CG141" i="16"/>
  <c r="CG145" i="16" s="1"/>
  <c r="CG152" i="16" s="1"/>
  <c r="CS153" i="16" l="1"/>
  <c r="CO153" i="16"/>
  <c r="CO131" i="16" s="1"/>
  <c r="CS21" i="16"/>
  <c r="CS144" i="16" s="1"/>
  <c r="CR144" i="16"/>
  <c r="CR141" i="16"/>
  <c r="CS18" i="16"/>
  <c r="CS141" i="16" s="1"/>
  <c r="CS145" i="16" s="1"/>
  <c r="CS152" i="16" s="1"/>
  <c r="CI153" i="16"/>
  <c r="CI131" i="16" s="1"/>
  <c r="CM153" i="16"/>
  <c r="CC131" i="16"/>
  <c r="CR145" i="16" l="1"/>
  <c r="CR152" i="16" s="1"/>
  <c r="CG43" i="17"/>
  <c r="CC37" i="17"/>
  <c r="CC43" i="17" l="1"/>
  <c r="CD37" i="17"/>
  <c r="CD43" i="17" s="1"/>
  <c r="CE37" i="17" l="1"/>
  <c r="CE43" i="17" s="1"/>
  <c r="CF37" i="17" l="1"/>
  <c r="CF43" i="17" s="1"/>
  <c r="CA43" i="17"/>
  <c r="BW37" i="17"/>
  <c r="BW43" i="17" l="1"/>
  <c r="BX37" i="17"/>
  <c r="BX43" i="17" l="1"/>
  <c r="BY37" i="17"/>
  <c r="BY43" i="17" s="1"/>
  <c r="BZ37" i="17" l="1"/>
  <c r="BZ43" i="17" s="1"/>
  <c r="BU43" i="17"/>
  <c r="BQ37" i="17"/>
  <c r="BR37" i="17" l="1"/>
  <c r="BR43" i="17" s="1"/>
  <c r="BQ43" i="17"/>
  <c r="BQ31" i="17" s="1"/>
  <c r="BQ36" i="16"/>
  <c r="BQ34" i="17" l="1"/>
  <c r="BQ47" i="17" s="1"/>
  <c r="BQ12" i="16"/>
  <c r="BR36" i="16"/>
  <c r="BQ85" i="16"/>
  <c r="BQ40" i="16"/>
  <c r="BS37" i="17"/>
  <c r="BQ90" i="16" l="1"/>
  <c r="BR84" i="16" s="1"/>
  <c r="BS43" i="17"/>
  <c r="BT37" i="17"/>
  <c r="BT43" i="17" s="1"/>
  <c r="BQ58" i="16"/>
  <c r="BQ50" i="16"/>
  <c r="BQ171" i="16"/>
  <c r="BQ41" i="16"/>
  <c r="BR85" i="16"/>
  <c r="BS36" i="16"/>
  <c r="BQ73" i="16"/>
  <c r="BQ49" i="17"/>
  <c r="BS85" i="16" l="1"/>
  <c r="BT36" i="16"/>
  <c r="BQ11" i="16"/>
  <c r="BR48" i="17"/>
  <c r="BT85" i="16" l="1"/>
  <c r="BU85" i="16" s="1"/>
  <c r="BU36" i="16"/>
  <c r="BQ17" i="16"/>
  <c r="BQ10" i="16"/>
  <c r="BQ51" i="17"/>
  <c r="BQ174" i="16" l="1"/>
  <c r="BQ46" i="16"/>
  <c r="BQ63" i="16"/>
  <c r="BR60" i="48"/>
  <c r="BR61" i="48" s="1"/>
  <c r="BQ62" i="16"/>
  <c r="BQ64" i="16"/>
  <c r="BQ61" i="16"/>
  <c r="BQ24" i="16"/>
  <c r="BW36" i="16"/>
  <c r="BR25" i="19" l="1"/>
  <c r="BW85" i="16"/>
  <c r="BX36" i="16"/>
  <c r="BQ51" i="16"/>
  <c r="BQ42" i="16"/>
  <c r="BQ47" i="16"/>
  <c r="BQ57" i="16"/>
  <c r="BQ178" i="16"/>
  <c r="BQ181" i="16" s="1"/>
  <c r="BQ52" i="16" s="1"/>
  <c r="BQ177" i="16"/>
  <c r="BQ180" i="16" s="1"/>
  <c r="BR27" i="19" l="1"/>
  <c r="BR148" i="19"/>
  <c r="BX85" i="16"/>
  <c r="BY36" i="16"/>
  <c r="BR152" i="19" l="1"/>
  <c r="BR149" i="19"/>
  <c r="BY85" i="16"/>
  <c r="BZ36" i="16"/>
  <c r="BR28" i="19"/>
  <c r="BR30" i="19" s="1"/>
  <c r="BR153" i="19" l="1"/>
  <c r="BZ85" i="16"/>
  <c r="CA85" i="16" s="1"/>
  <c r="CA36" i="16"/>
  <c r="BR128" i="19"/>
  <c r="BR58" i="19"/>
  <c r="BR105" i="19"/>
  <c r="BR117" i="19" s="1"/>
  <c r="BR32" i="19"/>
  <c r="BR33" i="19"/>
  <c r="CC36" i="16" l="1"/>
  <c r="BR34" i="19"/>
  <c r="BR10" i="17"/>
  <c r="BR38" i="16"/>
  <c r="BR86" i="16"/>
  <c r="BR67" i="19"/>
  <c r="BR89" i="16" l="1"/>
  <c r="BR90" i="16" s="1"/>
  <c r="BS84" i="16" s="1"/>
  <c r="BR40" i="16"/>
  <c r="CC85" i="16"/>
  <c r="CD36" i="16"/>
  <c r="BR26" i="17"/>
  <c r="BR54" i="17" l="1"/>
  <c r="BR74" i="16"/>
  <c r="BR31" i="17"/>
  <c r="BR58" i="16"/>
  <c r="BR41" i="16"/>
  <c r="BR171" i="16"/>
  <c r="BR50" i="16"/>
  <c r="CD85" i="16"/>
  <c r="CE36" i="16"/>
  <c r="BR34" i="17" l="1"/>
  <c r="BR47" i="17" s="1"/>
  <c r="BR12" i="16"/>
  <c r="CE85" i="16"/>
  <c r="CF36" i="16"/>
  <c r="BR55" i="17"/>
  <c r="BR75" i="16"/>
  <c r="BR76" i="16" l="1"/>
  <c r="BR56" i="17"/>
  <c r="BR73" i="16"/>
  <c r="BR49" i="17"/>
  <c r="CF85" i="16"/>
  <c r="CG85" i="16" s="1"/>
  <c r="CG36" i="16"/>
  <c r="CI36" i="16" s="1"/>
  <c r="CJ36" i="16" l="1"/>
  <c r="CI85" i="16"/>
  <c r="BR11" i="16"/>
  <c r="BS48" i="17"/>
  <c r="CK36" i="16" l="1"/>
  <c r="CJ85" i="16"/>
  <c r="BR10" i="16"/>
  <c r="BR17" i="16"/>
  <c r="BR51" i="17"/>
  <c r="CL36" i="16" l="1"/>
  <c r="CK85" i="16"/>
  <c r="BR61" i="16"/>
  <c r="BR64" i="16"/>
  <c r="BR24" i="16"/>
  <c r="BR63" i="16"/>
  <c r="BR174" i="16"/>
  <c r="BR46" i="16"/>
  <c r="BR62" i="16"/>
  <c r="BS60" i="48"/>
  <c r="BS61" i="48" s="1"/>
  <c r="CM36" i="16" l="1"/>
  <c r="CO36" i="16" s="1"/>
  <c r="CL85" i="16"/>
  <c r="CM85" i="16" s="1"/>
  <c r="BR178" i="16"/>
  <c r="BR181" i="16" s="1"/>
  <c r="BR52" i="16" s="1"/>
  <c r="BR177" i="16"/>
  <c r="BR180" i="16" s="1"/>
  <c r="BS25" i="19"/>
  <c r="BR51" i="16"/>
  <c r="BR42" i="16"/>
  <c r="BR57" i="16"/>
  <c r="BR47" i="16"/>
  <c r="CP36" i="16" l="1"/>
  <c r="CO85" i="16"/>
  <c r="BS27" i="19"/>
  <c r="BS148" i="19"/>
  <c r="CQ36" i="16" l="1"/>
  <c r="CP85" i="16"/>
  <c r="BS149" i="19"/>
  <c r="BS152" i="19"/>
  <c r="BS28" i="19"/>
  <c r="BS30" i="19" s="1"/>
  <c r="CR36" i="16" l="1"/>
  <c r="CQ85" i="16"/>
  <c r="BS128" i="19"/>
  <c r="BS33" i="19"/>
  <c r="BS58" i="19"/>
  <c r="BS32" i="19"/>
  <c r="BS105" i="19"/>
  <c r="BS117" i="19" s="1"/>
  <c r="BS153" i="19"/>
  <c r="CS36" i="16" l="1"/>
  <c r="CR85" i="16"/>
  <c r="CS85" i="16" s="1"/>
  <c r="BS67" i="19"/>
  <c r="BS34" i="19"/>
  <c r="BS10" i="17"/>
  <c r="BS86" i="16"/>
  <c r="BS38" i="16"/>
  <c r="BS26" i="17" l="1"/>
  <c r="BS89" i="16"/>
  <c r="BS90" i="16" s="1"/>
  <c r="BT84" i="16" s="1"/>
  <c r="BS40" i="16"/>
  <c r="BS54" i="17" l="1"/>
  <c r="BS74" i="16"/>
  <c r="BS31" i="17"/>
  <c r="BS58" i="16"/>
  <c r="BS41" i="16"/>
  <c r="BS171" i="16"/>
  <c r="BS50" i="16"/>
  <c r="BS34" i="17" l="1"/>
  <c r="BS47" i="17" s="1"/>
  <c r="BS12" i="16"/>
  <c r="BS75" i="16"/>
  <c r="BS55" i="17"/>
  <c r="BS56" i="17" l="1"/>
  <c r="BS76" i="16"/>
  <c r="BS73" i="16"/>
  <c r="BS49" i="17"/>
  <c r="BS11" i="16" l="1"/>
  <c r="BT48" i="17"/>
  <c r="BS17" i="16" l="1"/>
  <c r="BS10" i="16"/>
  <c r="BS51" i="17"/>
  <c r="BS61" i="16" l="1"/>
  <c r="BS24" i="16"/>
  <c r="BS64" i="16"/>
  <c r="BS62" i="16"/>
  <c r="BS174" i="16"/>
  <c r="BS63" i="16"/>
  <c r="BS46" i="16"/>
  <c r="BT60" i="48"/>
  <c r="BT61" i="48" s="1"/>
  <c r="BS51" i="16" l="1"/>
  <c r="BS42" i="16"/>
  <c r="BT25" i="19"/>
  <c r="BU61" i="48"/>
  <c r="BU62" i="48" s="1"/>
  <c r="BS47" i="16"/>
  <c r="BS57" i="16"/>
  <c r="BS177" i="16"/>
  <c r="BS180" i="16" s="1"/>
  <c r="BS178" i="16"/>
  <c r="BS181" i="16" s="1"/>
  <c r="BS52" i="16" s="1"/>
  <c r="BT27" i="19" l="1"/>
  <c r="BT148" i="19"/>
  <c r="BU25" i="19"/>
  <c r="BU27" i="19" l="1"/>
  <c r="BT149" i="19"/>
  <c r="BT152" i="19"/>
  <c r="BU148" i="19"/>
  <c r="BU149" i="19" s="1"/>
  <c r="BT28" i="19"/>
  <c r="BT30" i="19" s="1"/>
  <c r="BT58" i="19" l="1"/>
  <c r="BT33" i="19"/>
  <c r="BT128" i="19"/>
  <c r="BT105" i="19"/>
  <c r="BT117" i="19" s="1"/>
  <c r="BT32" i="19"/>
  <c r="BT153" i="19"/>
  <c r="BU152" i="19"/>
  <c r="BU153" i="19" s="1"/>
  <c r="BU28" i="19"/>
  <c r="BU57" i="19" l="1"/>
  <c r="BT34" i="19"/>
  <c r="BT10" i="17"/>
  <c r="BT86" i="16"/>
  <c r="BT38" i="16"/>
  <c r="BU30" i="19"/>
  <c r="BT67" i="19"/>
  <c r="BU33" i="19"/>
  <c r="BU58" i="19" l="1"/>
  <c r="BU128" i="19"/>
  <c r="BU105" i="19"/>
  <c r="BU117" i="19" s="1"/>
  <c r="BU32" i="19"/>
  <c r="BT89" i="16"/>
  <c r="BU89" i="16" s="1"/>
  <c r="BU38" i="16"/>
  <c r="BT40" i="16"/>
  <c r="BU86" i="16"/>
  <c r="BU34" i="19"/>
  <c r="BU126" i="19"/>
  <c r="BU158" i="16"/>
  <c r="BU159" i="16" s="1"/>
  <c r="BU160" i="16" s="1"/>
  <c r="BU134" i="16"/>
  <c r="BU135" i="16" s="1"/>
  <c r="BU136" i="16" s="1"/>
  <c r="BU137" i="16" s="1"/>
  <c r="BU131" i="16" s="1"/>
  <c r="BU67" i="19"/>
  <c r="BT26" i="17"/>
  <c r="BU10" i="17"/>
  <c r="BU26" i="17" s="1"/>
  <c r="BU74" i="16" l="1"/>
  <c r="BU54" i="17"/>
  <c r="BT74" i="16"/>
  <c r="BT54" i="17"/>
  <c r="BT31" i="17"/>
  <c r="BU90" i="16"/>
  <c r="BU161" i="16"/>
  <c r="BT58" i="16"/>
  <c r="BT41" i="16"/>
  <c r="BT171" i="16"/>
  <c r="BT50" i="16"/>
  <c r="BT90" i="16"/>
  <c r="BU40" i="16"/>
  <c r="BU50" i="16" s="1"/>
  <c r="BT34" i="17" l="1"/>
  <c r="BT47" i="17" s="1"/>
  <c r="BU31" i="17"/>
  <c r="BU34" i="17" s="1"/>
  <c r="BU47" i="17" s="1"/>
  <c r="BT12" i="16"/>
  <c r="BU12" i="16" s="1"/>
  <c r="BU75" i="16"/>
  <c r="BU55" i="17"/>
  <c r="CA84" i="16"/>
  <c r="BW84" i="16"/>
  <c r="BU58" i="16"/>
  <c r="BU171" i="16"/>
  <c r="BU41" i="16"/>
  <c r="BT75" i="16"/>
  <c r="BT55" i="17"/>
  <c r="BU73" i="16" l="1"/>
  <c r="BU49" i="17"/>
  <c r="BU58" i="17"/>
  <c r="BU76" i="16"/>
  <c r="BU56" i="17"/>
  <c r="BT76" i="16"/>
  <c r="BT56" i="17"/>
  <c r="BT73" i="16"/>
  <c r="BT49" i="17"/>
  <c r="BT11" i="16" l="1"/>
  <c r="CA48" i="17"/>
  <c r="BW48" i="17"/>
  <c r="BT17" i="16" l="1"/>
  <c r="BT10" i="16"/>
  <c r="BU11" i="16"/>
  <c r="BT51" i="17"/>
  <c r="BU17" i="16" l="1"/>
  <c r="BU10" i="16"/>
  <c r="BU51" i="17"/>
  <c r="BT174" i="16"/>
  <c r="BT46" i="16"/>
  <c r="BT63" i="16"/>
  <c r="BT62" i="16"/>
  <c r="BT61" i="16"/>
  <c r="BT64" i="16"/>
  <c r="BT24" i="16"/>
  <c r="BT57" i="16" l="1"/>
  <c r="BT47" i="16"/>
  <c r="BU63" i="16"/>
  <c r="BU62" i="16"/>
  <c r="BU174" i="16"/>
  <c r="BU46" i="16"/>
  <c r="BW60" i="48"/>
  <c r="BT51" i="16"/>
  <c r="BT42" i="16"/>
  <c r="BT178" i="16"/>
  <c r="BT177" i="16"/>
  <c r="BU64" i="16"/>
  <c r="BU61" i="16"/>
  <c r="BU24" i="16"/>
  <c r="CA60" i="48" l="1"/>
  <c r="BW61" i="48"/>
  <c r="BU178" i="16"/>
  <c r="BT181" i="16"/>
  <c r="BT52" i="16" s="1"/>
  <c r="BU181" i="16"/>
  <c r="BU52" i="16" s="1"/>
  <c r="BU51" i="16"/>
  <c r="BU42" i="16"/>
  <c r="BU177" i="16"/>
  <c r="BT180" i="16"/>
  <c r="BU180" i="16"/>
  <c r="BU47" i="16"/>
  <c r="BU57" i="16"/>
  <c r="BW25" i="19" l="1"/>
  <c r="BW148" i="19" l="1"/>
  <c r="BW27" i="19"/>
  <c r="BW28" i="19" l="1"/>
  <c r="BW149" i="19"/>
  <c r="BW152" i="19"/>
  <c r="BW153" i="19" l="1"/>
  <c r="BW30" i="19"/>
  <c r="BW128" i="19" l="1"/>
  <c r="BW58" i="19"/>
  <c r="BW33" i="19"/>
  <c r="BW32" i="19"/>
  <c r="BW105" i="19"/>
  <c r="BW117" i="19" s="1"/>
  <c r="BW34" i="19" l="1"/>
  <c r="BW86" i="16"/>
  <c r="BW10" i="17"/>
  <c r="BW38" i="16"/>
  <c r="BW67" i="19"/>
  <c r="BW89" i="16" l="1"/>
  <c r="BW90" i="16" s="1"/>
  <c r="BX84" i="16" s="1"/>
  <c r="BW40" i="16"/>
  <c r="BW26" i="17"/>
  <c r="BW74" i="16" l="1"/>
  <c r="BW54" i="17"/>
  <c r="BW31" i="17"/>
  <c r="BW41" i="16"/>
  <c r="BW58" i="16"/>
  <c r="BW171" i="16"/>
  <c r="BW50" i="16"/>
  <c r="BW75" i="16" l="1"/>
  <c r="BW55" i="17"/>
  <c r="BW34" i="17"/>
  <c r="BW47" i="17" s="1"/>
  <c r="BW12" i="16"/>
  <c r="BW73" i="16" l="1"/>
  <c r="BW49" i="17"/>
  <c r="BW76" i="16"/>
  <c r="BW56" i="17"/>
  <c r="BW11" i="16" l="1"/>
  <c r="BX48" i="17"/>
  <c r="BW17" i="16" l="1"/>
  <c r="BW10" i="16"/>
  <c r="BW51" i="17"/>
  <c r="BW174" i="16" l="1"/>
  <c r="BW62" i="16"/>
  <c r="BW46" i="16"/>
  <c r="BW63" i="16"/>
  <c r="BX60" i="48"/>
  <c r="BX61" i="48" s="1"/>
  <c r="BW61" i="16"/>
  <c r="BW24" i="16"/>
  <c r="BW64" i="16"/>
  <c r="BW51" i="16" l="1"/>
  <c r="BW42" i="16"/>
  <c r="BW47" i="16"/>
  <c r="BW57" i="16"/>
  <c r="BX25" i="19"/>
  <c r="BW177" i="16"/>
  <c r="BW180" i="16" s="1"/>
  <c r="BW178" i="16"/>
  <c r="BW181" i="16" s="1"/>
  <c r="BW52" i="16" s="1"/>
  <c r="BX148" i="19" l="1"/>
  <c r="BX27" i="19"/>
  <c r="BX28" i="19" l="1"/>
  <c r="BX149" i="19"/>
  <c r="BX152" i="19"/>
  <c r="BX153" i="19" l="1"/>
  <c r="BX30" i="19"/>
  <c r="BX128" i="19" l="1"/>
  <c r="BX58" i="19"/>
  <c r="BX105" i="19"/>
  <c r="BX117" i="19" s="1"/>
  <c r="BX33" i="19"/>
  <c r="BX32" i="19"/>
  <c r="BX10" i="17" l="1"/>
  <c r="BX34" i="19"/>
  <c r="BX86" i="16"/>
  <c r="BX38" i="16"/>
  <c r="BX67" i="19"/>
  <c r="BX89" i="16" l="1"/>
  <c r="BX90" i="16" s="1"/>
  <c r="BY84" i="16" s="1"/>
  <c r="BX40" i="16"/>
  <c r="BX26" i="17"/>
  <c r="BX58" i="16" l="1"/>
  <c r="BX41" i="16"/>
  <c r="BX171" i="16"/>
  <c r="BX50" i="16"/>
  <c r="BX54" i="17"/>
  <c r="BX74" i="16"/>
  <c r="BX31" i="17"/>
  <c r="BX34" i="17" l="1"/>
  <c r="BX47" i="17" s="1"/>
  <c r="BX12" i="16"/>
  <c r="BX55" i="17"/>
  <c r="BX75" i="16"/>
  <c r="BX56" i="17" l="1"/>
  <c r="BX76" i="16"/>
  <c r="BX73" i="16"/>
  <c r="BX49" i="17"/>
  <c r="BY48" i="17" l="1"/>
  <c r="BX11" i="16"/>
  <c r="BX17" i="16" l="1"/>
  <c r="BX10" i="16"/>
  <c r="BX51" i="17"/>
  <c r="BX174" i="16" l="1"/>
  <c r="BX62" i="16"/>
  <c r="BX46" i="16"/>
  <c r="BX63" i="16"/>
  <c r="BY60" i="48"/>
  <c r="BY61" i="48" s="1"/>
  <c r="BX64" i="16"/>
  <c r="BX61" i="16"/>
  <c r="BX24" i="16"/>
  <c r="BY25" i="19" l="1"/>
  <c r="BX51" i="16"/>
  <c r="BX42" i="16"/>
  <c r="BX47" i="16"/>
  <c r="BX57" i="16"/>
  <c r="BX177" i="16"/>
  <c r="BX180" i="16" s="1"/>
  <c r="BX178" i="16"/>
  <c r="BX181" i="16" s="1"/>
  <c r="BX52" i="16" s="1"/>
  <c r="BY148" i="19" l="1"/>
  <c r="BY27" i="19"/>
  <c r="BY28" i="19" l="1"/>
  <c r="BY30" i="19" s="1"/>
  <c r="BY149" i="19"/>
  <c r="BY152" i="19"/>
  <c r="BY58" i="19" l="1"/>
  <c r="BY128" i="19"/>
  <c r="BY105" i="19"/>
  <c r="BY117" i="19" s="1"/>
  <c r="BY33" i="19"/>
  <c r="BY32" i="19"/>
  <c r="BY153" i="19"/>
  <c r="BY67" i="19" l="1"/>
  <c r="BY86" i="16"/>
  <c r="BY34" i="19"/>
  <c r="BY10" i="17"/>
  <c r="BY38" i="16"/>
  <c r="BY89" i="16" l="1"/>
  <c r="BY90" i="16" s="1"/>
  <c r="BZ84" i="16" s="1"/>
  <c r="BY40" i="16"/>
  <c r="BY26" i="17"/>
  <c r="BY58" i="16" l="1"/>
  <c r="BY41" i="16"/>
  <c r="BY171" i="16"/>
  <c r="BY50" i="16"/>
  <c r="BY74" i="16"/>
  <c r="BY31" i="17"/>
  <c r="BY54" i="17"/>
  <c r="BY34" i="17" l="1"/>
  <c r="BY47" i="17" s="1"/>
  <c r="BY12" i="16"/>
  <c r="BY75" i="16"/>
  <c r="BY55" i="17"/>
  <c r="BY73" i="16" l="1"/>
  <c r="BY49" i="17"/>
  <c r="BY76" i="16"/>
  <c r="BY56" i="17"/>
  <c r="BZ48" i="17" l="1"/>
  <c r="BY11" i="16"/>
  <c r="BY17" i="16" l="1"/>
  <c r="BY10" i="16"/>
  <c r="BY51" i="17"/>
  <c r="BY62" i="16" l="1"/>
  <c r="BY63" i="16"/>
  <c r="BY46" i="16"/>
  <c r="BY174" i="16"/>
  <c r="BZ60" i="48"/>
  <c r="BZ61" i="48" s="1"/>
  <c r="BY24" i="16"/>
  <c r="BY61" i="16"/>
  <c r="BY64" i="16"/>
  <c r="BY51" i="16" l="1"/>
  <c r="BY42" i="16"/>
  <c r="BY177" i="16"/>
  <c r="BY180" i="16" s="1"/>
  <c r="BY178" i="16"/>
  <c r="BY181" i="16" s="1"/>
  <c r="BY52" i="16" s="1"/>
  <c r="BZ25" i="19"/>
  <c r="CA61" i="48"/>
  <c r="CA62" i="48" s="1"/>
  <c r="BY57" i="16"/>
  <c r="BY47" i="16"/>
  <c r="BZ27" i="19" l="1"/>
  <c r="BZ148" i="19"/>
  <c r="CA25" i="19"/>
  <c r="CA27" i="19" l="1"/>
  <c r="BZ149" i="19"/>
  <c r="BZ152" i="19"/>
  <c r="CA148" i="19"/>
  <c r="CA149" i="19" s="1"/>
  <c r="BZ28" i="19"/>
  <c r="BZ30" i="19" s="1"/>
  <c r="BZ33" i="19" l="1"/>
  <c r="BZ58" i="19"/>
  <c r="BZ105" i="19"/>
  <c r="BZ117" i="19" s="1"/>
  <c r="BZ32" i="19"/>
  <c r="BZ128" i="19"/>
  <c r="BZ153" i="19"/>
  <c r="CA152" i="19"/>
  <c r="CA153" i="19" s="1"/>
  <c r="CA28" i="19"/>
  <c r="CA30" i="19" s="1"/>
  <c r="BZ86" i="16" l="1"/>
  <c r="BZ10" i="17"/>
  <c r="BZ34" i="19"/>
  <c r="BZ38" i="16"/>
  <c r="CA57" i="19"/>
  <c r="BZ67" i="19"/>
  <c r="CA33" i="19"/>
  <c r="CA58" i="19"/>
  <c r="CA128" i="19"/>
  <c r="CA32" i="19"/>
  <c r="CA105" i="19"/>
  <c r="CA117" i="19" s="1"/>
  <c r="CA34" i="19" l="1"/>
  <c r="CA67" i="19"/>
  <c r="BZ26" i="17"/>
  <c r="CA10" i="17"/>
  <c r="CA26" i="17" s="1"/>
  <c r="CA38" i="16"/>
  <c r="BZ89" i="16"/>
  <c r="CA89" i="16" s="1"/>
  <c r="BZ40" i="16"/>
  <c r="CA126" i="19"/>
  <c r="CA158" i="16"/>
  <c r="CA159" i="16" s="1"/>
  <c r="CA160" i="16" s="1"/>
  <c r="CA134" i="16"/>
  <c r="CA135" i="16" s="1"/>
  <c r="CA136" i="16" s="1"/>
  <c r="CA137" i="16" s="1"/>
  <c r="CA131" i="16" s="1"/>
  <c r="CA86" i="16"/>
  <c r="BZ90" i="16" l="1"/>
  <c r="CA90" i="16"/>
  <c r="CC84" i="16" s="1"/>
  <c r="BZ58" i="16"/>
  <c r="BZ171" i="16"/>
  <c r="BZ41" i="16"/>
  <c r="BZ50" i="16"/>
  <c r="CA74" i="16"/>
  <c r="CA54" i="17"/>
  <c r="CA161" i="16"/>
  <c r="CA40" i="16"/>
  <c r="BZ74" i="16"/>
  <c r="BZ54" i="17"/>
  <c r="BZ31" i="17"/>
  <c r="CG84" i="16" l="1"/>
  <c r="BZ34" i="17"/>
  <c r="BZ47" i="17" s="1"/>
  <c r="CA31" i="17"/>
  <c r="CA34" i="17" s="1"/>
  <c r="CA47" i="17" s="1"/>
  <c r="BZ12" i="16"/>
  <c r="CA12" i="16" s="1"/>
  <c r="BZ75" i="16"/>
  <c r="BZ55" i="17"/>
  <c r="CA55" i="17"/>
  <c r="CA75" i="16"/>
  <c r="CA58" i="16"/>
  <c r="CA41" i="16"/>
  <c r="CA171" i="16"/>
  <c r="CA50" i="16"/>
  <c r="BZ76" i="16" l="1"/>
  <c r="BZ56" i="17"/>
  <c r="CA56" i="17"/>
  <c r="CA76" i="16"/>
  <c r="CA58" i="17"/>
  <c r="CA73" i="16"/>
  <c r="CA49" i="17"/>
  <c r="BZ73" i="16"/>
  <c r="BZ49" i="17"/>
  <c r="CG48" i="17" l="1"/>
  <c r="CC48" i="17"/>
  <c r="BZ11" i="16"/>
  <c r="BZ10" i="16" l="1"/>
  <c r="BZ17" i="16"/>
  <c r="CA11" i="16"/>
  <c r="BZ51" i="17"/>
  <c r="BZ24" i="16" l="1"/>
  <c r="BZ61" i="16"/>
  <c r="BZ64" i="16"/>
  <c r="CA17" i="16"/>
  <c r="CA10" i="16"/>
  <c r="CC60" i="48" s="1"/>
  <c r="CA51" i="17"/>
  <c r="BZ63" i="16"/>
  <c r="BZ46" i="16"/>
  <c r="BZ62" i="16"/>
  <c r="BZ174" i="16"/>
  <c r="CC61" i="48" l="1"/>
  <c r="CG60" i="48"/>
  <c r="CA61" i="16"/>
  <c r="CA64" i="16"/>
  <c r="CA24" i="16"/>
  <c r="CA63" i="16"/>
  <c r="CA174" i="16"/>
  <c r="CA46" i="16"/>
  <c r="CA62" i="16"/>
  <c r="BZ177" i="16"/>
  <c r="BZ178" i="16"/>
  <c r="BZ57" i="16"/>
  <c r="BZ47" i="16"/>
  <c r="BZ51" i="16"/>
  <c r="BZ42" i="16"/>
  <c r="CA178" i="16" l="1"/>
  <c r="BZ181" i="16"/>
  <c r="BZ52" i="16" s="1"/>
  <c r="CA181" i="16"/>
  <c r="CA52" i="16" s="1"/>
  <c r="CA51" i="16"/>
  <c r="CA42" i="16"/>
  <c r="CA177" i="16"/>
  <c r="BZ180" i="16"/>
  <c r="CA180" i="16"/>
  <c r="CA47" i="16"/>
  <c r="CA57" i="16"/>
  <c r="CC25" i="19" l="1"/>
  <c r="CC27" i="19" l="1"/>
  <c r="CC148" i="19"/>
  <c r="CC152" i="19" l="1"/>
  <c r="CC149" i="19"/>
  <c r="CC28" i="19"/>
  <c r="CC30" i="19" l="1"/>
  <c r="CC153" i="19"/>
  <c r="CC58" i="19" l="1"/>
  <c r="CC128" i="19"/>
  <c r="CC105" i="19"/>
  <c r="CC117" i="19" s="1"/>
  <c r="CC33" i="19"/>
  <c r="CC32" i="19"/>
  <c r="CC10" i="17" l="1"/>
  <c r="CC86" i="16"/>
  <c r="CC34" i="19"/>
  <c r="CC38" i="16"/>
  <c r="CC67" i="19"/>
  <c r="CC26" i="17" l="1"/>
  <c r="CC89" i="16"/>
  <c r="CC40" i="16"/>
  <c r="CC41" i="16" l="1"/>
  <c r="CC171" i="16"/>
  <c r="CC58" i="16"/>
  <c r="CC50" i="16"/>
  <c r="CC90" i="16"/>
  <c r="CD84" i="16" s="1"/>
  <c r="CC74" i="16"/>
  <c r="CC54" i="17"/>
  <c r="CC31" i="17"/>
  <c r="CC55" i="17" l="1"/>
  <c r="CC75" i="16"/>
  <c r="CC34" i="17"/>
  <c r="CC47" i="17" s="1"/>
  <c r="CC12" i="16"/>
  <c r="CC73" i="16" l="1"/>
  <c r="CC49" i="17"/>
  <c r="CC56" i="17"/>
  <c r="CC76" i="16"/>
  <c r="CC11" i="16" l="1"/>
  <c r="CD48" i="17"/>
  <c r="CC10" i="16" l="1"/>
  <c r="CD60" i="48" s="1"/>
  <c r="CD61" i="48" s="1"/>
  <c r="CC17" i="16"/>
  <c r="CC51" i="17"/>
  <c r="CC24" i="16" l="1"/>
  <c r="CC64" i="16"/>
  <c r="CC61" i="16"/>
  <c r="CC63" i="16"/>
  <c r="CC62" i="16"/>
  <c r="CC174" i="16"/>
  <c r="CC46" i="16"/>
  <c r="CC57" i="16" l="1"/>
  <c r="CC47" i="16"/>
  <c r="CC177" i="16"/>
  <c r="CC180" i="16" s="1"/>
  <c r="CC178" i="16"/>
  <c r="CC181" i="16" s="1"/>
  <c r="CC52" i="16" s="1"/>
  <c r="CD25" i="19"/>
  <c r="CC51" i="16"/>
  <c r="CC42" i="16"/>
  <c r="CD148" i="19" l="1"/>
  <c r="CD27" i="19"/>
  <c r="CD28" i="19" l="1"/>
  <c r="CD30" i="19" s="1"/>
  <c r="CD152" i="19"/>
  <c r="CD149" i="19"/>
  <c r="CD153" i="19" l="1"/>
  <c r="CD128" i="19"/>
  <c r="CD33" i="19"/>
  <c r="CD58" i="19"/>
  <c r="CD105" i="19"/>
  <c r="CD117" i="19" s="1"/>
  <c r="CD32" i="19"/>
  <c r="CD67" i="19" l="1"/>
  <c r="CD86" i="16"/>
  <c r="CD34" i="19"/>
  <c r="CD10" i="17"/>
  <c r="CD38" i="16"/>
  <c r="CD89" i="16" l="1"/>
  <c r="CD90" i="16" s="1"/>
  <c r="CE84" i="16" s="1"/>
  <c r="CD40" i="16"/>
  <c r="CD26" i="17"/>
  <c r="CD41" i="16" l="1"/>
  <c r="CD171" i="16"/>
  <c r="CD58" i="16"/>
  <c r="CD50" i="16"/>
  <c r="CD74" i="16"/>
  <c r="CD54" i="17"/>
  <c r="CD31" i="17"/>
  <c r="CD34" i="17" l="1"/>
  <c r="CD47" i="17" s="1"/>
  <c r="CD12" i="16"/>
  <c r="CD75" i="16"/>
  <c r="CD55" i="17"/>
  <c r="CD73" i="16" l="1"/>
  <c r="CD49" i="17"/>
  <c r="CD76" i="16"/>
  <c r="CD56" i="17"/>
  <c r="CD11" i="16" l="1"/>
  <c r="CE48" i="17"/>
  <c r="CD17" i="16" l="1"/>
  <c r="CD10" i="16"/>
  <c r="CE60" i="48" s="1"/>
  <c r="CE61" i="48" s="1"/>
  <c r="CD51" i="17"/>
  <c r="CD174" i="16" l="1"/>
  <c r="CD62" i="16"/>
  <c r="CD46" i="16"/>
  <c r="CD63" i="16"/>
  <c r="CD64" i="16"/>
  <c r="CD61" i="16"/>
  <c r="CD24" i="16"/>
  <c r="CE25" i="19" l="1"/>
  <c r="CD51" i="16"/>
  <c r="CD42" i="16"/>
  <c r="CD178" i="16"/>
  <c r="CD181" i="16" s="1"/>
  <c r="CD52" i="16" s="1"/>
  <c r="CD177" i="16"/>
  <c r="CD180" i="16" s="1"/>
  <c r="CD57" i="16"/>
  <c r="CD47" i="16"/>
  <c r="CE148" i="19" l="1"/>
  <c r="CE27" i="19"/>
  <c r="CE149" i="19" l="1"/>
  <c r="CE152" i="19"/>
  <c r="CE28" i="19"/>
  <c r="CE30" i="19" l="1"/>
  <c r="CE153" i="19"/>
  <c r="CE58" i="19" l="1"/>
  <c r="CE33" i="19"/>
  <c r="CE105" i="19"/>
  <c r="CE117" i="19" s="1"/>
  <c r="CE128" i="19"/>
  <c r="CE32" i="19"/>
  <c r="CE86" i="16" l="1"/>
  <c r="CE34" i="19"/>
  <c r="CE10" i="17"/>
  <c r="CE38" i="16"/>
  <c r="CE67" i="19"/>
  <c r="CE26" i="17" l="1"/>
  <c r="CE89" i="16"/>
  <c r="CE40" i="16"/>
  <c r="CE74" i="16" l="1"/>
  <c r="CE54" i="17"/>
  <c r="CE31" i="17"/>
  <c r="CE58" i="16"/>
  <c r="CE41" i="16"/>
  <c r="CE171" i="16"/>
  <c r="CE50" i="16"/>
  <c r="CE90" i="16"/>
  <c r="CF84" i="16" s="1"/>
  <c r="CE55" i="17" l="1"/>
  <c r="CE75" i="16"/>
  <c r="CE34" i="17"/>
  <c r="CE47" i="17" s="1"/>
  <c r="CE12" i="16"/>
  <c r="CE56" i="17" l="1"/>
  <c r="CE76" i="16"/>
  <c r="CE73" i="16"/>
  <c r="CE49" i="17"/>
  <c r="CE11" i="16" l="1"/>
  <c r="CE51" i="17" s="1"/>
  <c r="CF48" i="17"/>
  <c r="CE17" i="16" l="1"/>
  <c r="CE10" i="16"/>
  <c r="CF60" i="48" s="1"/>
  <c r="CF61" i="48" s="1"/>
  <c r="CG61" i="48" s="1"/>
  <c r="CG62" i="48" s="1"/>
  <c r="CE61" i="16" l="1"/>
  <c r="CE64" i="16"/>
  <c r="CE24" i="16"/>
  <c r="CE63" i="16"/>
  <c r="CE174" i="16"/>
  <c r="CE46" i="16"/>
  <c r="CE62" i="16"/>
  <c r="CE178" i="16" l="1"/>
  <c r="CE181" i="16" s="1"/>
  <c r="CE52" i="16" s="1"/>
  <c r="CE177" i="16"/>
  <c r="CE180" i="16" s="1"/>
  <c r="CE51" i="16"/>
  <c r="CE42" i="16"/>
  <c r="CE47" i="16"/>
  <c r="CE57" i="16"/>
  <c r="CF25" i="19"/>
  <c r="CF148" i="19" l="1"/>
  <c r="CF27" i="19"/>
  <c r="CG25" i="19"/>
  <c r="CG27" i="19" l="1"/>
  <c r="CF28" i="19"/>
  <c r="CF149" i="19"/>
  <c r="CF152" i="19"/>
  <c r="CG148" i="19"/>
  <c r="CG149" i="19" s="1"/>
  <c r="CF153" i="19" l="1"/>
  <c r="CG152" i="19"/>
  <c r="CG28" i="19"/>
  <c r="CG30" i="19" s="1"/>
  <c r="CF30" i="19"/>
  <c r="CG153" i="19" l="1"/>
  <c r="CG128" i="19"/>
  <c r="CG58" i="19"/>
  <c r="CG32" i="19"/>
  <c r="CG105" i="19"/>
  <c r="CG117" i="19" s="1"/>
  <c r="CF58" i="19"/>
  <c r="CF105" i="19"/>
  <c r="CF117" i="19" s="1"/>
  <c r="CF128" i="19"/>
  <c r="CF33" i="19"/>
  <c r="CF32" i="19"/>
  <c r="CG57" i="19"/>
  <c r="CG126" i="19" l="1"/>
  <c r="CG134" i="16"/>
  <c r="CG135" i="16" s="1"/>
  <c r="CG136" i="16" s="1"/>
  <c r="CG137" i="16" s="1"/>
  <c r="CG131" i="16" s="1"/>
  <c r="CG158" i="16"/>
  <c r="CG159" i="16" s="1"/>
  <c r="CG160" i="16" s="1"/>
  <c r="CF86" i="16"/>
  <c r="CF34" i="19"/>
  <c r="CF10" i="17"/>
  <c r="CF38" i="16"/>
  <c r="CF67" i="19"/>
  <c r="CG33" i="19"/>
  <c r="CG86" i="16" l="1"/>
  <c r="CG67" i="19"/>
  <c r="CF89" i="16"/>
  <c r="CG89" i="16" s="1"/>
  <c r="CG38" i="16"/>
  <c r="CF40" i="16"/>
  <c r="CF26" i="17"/>
  <c r="CG10" i="17"/>
  <c r="CG26" i="17" s="1"/>
  <c r="CG161" i="16"/>
  <c r="CG34" i="19"/>
  <c r="CG40" i="16" l="1"/>
  <c r="CG41" i="16" s="1"/>
  <c r="CF54" i="17"/>
  <c r="CF74" i="16"/>
  <c r="CF31" i="17"/>
  <c r="CF90" i="16"/>
  <c r="CG74" i="16"/>
  <c r="CG54" i="17"/>
  <c r="CF58" i="16"/>
  <c r="CF41" i="16"/>
  <c r="CF171" i="16"/>
  <c r="CF50" i="16"/>
  <c r="CG90" i="16"/>
  <c r="CG58" i="16" l="1"/>
  <c r="CG171" i="16"/>
  <c r="CG50" i="16"/>
  <c r="CM84" i="16"/>
  <c r="CI84" i="16"/>
  <c r="CG55" i="17"/>
  <c r="CG75" i="16"/>
  <c r="CF75" i="16"/>
  <c r="CF55" i="17"/>
  <c r="CF34" i="17"/>
  <c r="CF47" i="17" s="1"/>
  <c r="CG31" i="17"/>
  <c r="CG34" i="17" s="1"/>
  <c r="CG47" i="17" s="1"/>
  <c r="CF12" i="16"/>
  <c r="CG12" i="16" s="1"/>
  <c r="CF73" i="16" l="1"/>
  <c r="CF49" i="17"/>
  <c r="CG73" i="16"/>
  <c r="CG49" i="17"/>
  <c r="CF56" i="17"/>
  <c r="CF76" i="16"/>
  <c r="CG58" i="17"/>
  <c r="CG56" i="17"/>
  <c r="CG76" i="16"/>
  <c r="CM48" i="17" l="1"/>
  <c r="CI48" i="17"/>
  <c r="CF11" i="16"/>
  <c r="CF17" i="16" l="1"/>
  <c r="CG11" i="16"/>
  <c r="CF10" i="16"/>
  <c r="CF51" i="17"/>
  <c r="CF62" i="16" l="1"/>
  <c r="CF174" i="16"/>
  <c r="CF46" i="16"/>
  <c r="CF63" i="16"/>
  <c r="CG10" i="16"/>
  <c r="CI60" i="48" s="1"/>
  <c r="CG17" i="16"/>
  <c r="CG51" i="17"/>
  <c r="CF24" i="16"/>
  <c r="CF61" i="16"/>
  <c r="CF64" i="16"/>
  <c r="CM60" i="48" l="1"/>
  <c r="CI61" i="48"/>
  <c r="CG61" i="16"/>
  <c r="CG24" i="16"/>
  <c r="CG64" i="16"/>
  <c r="CG62" i="16"/>
  <c r="CG174" i="16"/>
  <c r="CG46" i="16"/>
  <c r="CG63" i="16"/>
  <c r="CF47" i="16"/>
  <c r="CF57" i="16"/>
  <c r="CF177" i="16"/>
  <c r="CF178" i="16"/>
  <c r="CF51" i="16"/>
  <c r="CF42" i="16"/>
  <c r="CI25" i="19" l="1"/>
  <c r="CF181" i="16"/>
  <c r="CF52" i="16" s="1"/>
  <c r="CG178" i="16"/>
  <c r="CG181" i="16"/>
  <c r="CG52" i="16" s="1"/>
  <c r="CG177" i="16"/>
  <c r="CF180" i="16"/>
  <c r="CG180" i="16"/>
  <c r="CG57" i="16"/>
  <c r="CG47" i="16"/>
  <c r="CG51" i="16"/>
  <c r="CG42" i="16"/>
  <c r="CI27" i="19" l="1"/>
  <c r="CI148" i="19"/>
  <c r="CI28" i="19" l="1"/>
  <c r="CI152" i="19"/>
  <c r="CI149" i="19"/>
  <c r="CI30" i="19" l="1"/>
  <c r="CI128" i="19" s="1"/>
  <c r="CI153" i="19"/>
  <c r="CI58" i="19" l="1"/>
  <c r="CI32" i="19"/>
  <c r="CI38" i="16" s="1"/>
  <c r="CI33" i="19"/>
  <c r="CI67" i="19" s="1"/>
  <c r="CI105" i="19"/>
  <c r="CI117" i="19" s="1"/>
  <c r="CI10" i="17" l="1"/>
  <c r="CI26" i="17" s="1"/>
  <c r="CI34" i="19"/>
  <c r="CI86" i="16"/>
  <c r="CI89" i="16" s="1"/>
  <c r="CI90" i="16" s="1"/>
  <c r="CJ84" i="16" s="1"/>
  <c r="CI40" i="16"/>
  <c r="CI54" i="17" l="1"/>
  <c r="CI74" i="16"/>
  <c r="CI31" i="17"/>
  <c r="CI58" i="16"/>
  <c r="CI171" i="16"/>
  <c r="CI41" i="16"/>
  <c r="CI50" i="16"/>
  <c r="CI12" i="16" l="1"/>
  <c r="CI34" i="17"/>
  <c r="CI47" i="17" s="1"/>
  <c r="CI75" i="16"/>
  <c r="CI55" i="17"/>
  <c r="CI49" i="17" l="1"/>
  <c r="CI73" i="16"/>
  <c r="CI56" i="17"/>
  <c r="CI76" i="16"/>
  <c r="CJ48" i="17" l="1"/>
  <c r="CI11" i="16"/>
  <c r="CI51" i="17" l="1"/>
  <c r="CI10" i="16"/>
  <c r="CJ60" i="48" s="1"/>
  <c r="CJ61" i="48" s="1"/>
  <c r="CI17" i="16"/>
  <c r="CJ25" i="19" l="1"/>
  <c r="CI64" i="16"/>
  <c r="CI24" i="16"/>
  <c r="CI61" i="16"/>
  <c r="CI174" i="16"/>
  <c r="CI63" i="16"/>
  <c r="CI62" i="16"/>
  <c r="CI46" i="16"/>
  <c r="CJ27" i="19" l="1"/>
  <c r="CJ28" i="19" s="1"/>
  <c r="CJ148" i="19"/>
  <c r="CI47" i="16"/>
  <c r="CI57" i="16"/>
  <c r="CI51" i="16"/>
  <c r="CI42" i="16"/>
  <c r="CI177" i="16"/>
  <c r="CI180" i="16" s="1"/>
  <c r="CI178" i="16"/>
  <c r="CI181" i="16" s="1"/>
  <c r="CI52" i="16" s="1"/>
  <c r="CJ149" i="19" l="1"/>
  <c r="CJ152" i="19"/>
  <c r="CJ30" i="19"/>
  <c r="CJ105" i="19" l="1"/>
  <c r="CJ117" i="19" s="1"/>
  <c r="CJ58" i="19"/>
  <c r="CJ32" i="19"/>
  <c r="CJ128" i="19"/>
  <c r="CJ33" i="19"/>
  <c r="CJ153" i="19"/>
  <c r="CJ67" i="19" l="1"/>
  <c r="CJ10" i="17"/>
  <c r="CJ86" i="16"/>
  <c r="CJ34" i="19"/>
  <c r="CJ38" i="16"/>
  <c r="CJ26" i="17" l="1"/>
  <c r="CJ89" i="16"/>
  <c r="CJ90" i="16" s="1"/>
  <c r="CK84" i="16" s="1"/>
  <c r="CJ40" i="16"/>
  <c r="CJ58" i="16" l="1"/>
  <c r="CJ41" i="16"/>
  <c r="CJ171" i="16"/>
  <c r="CJ50" i="16"/>
  <c r="CJ54" i="17"/>
  <c r="CJ74" i="16"/>
  <c r="CJ31" i="17"/>
  <c r="CJ75" i="16" l="1"/>
  <c r="CJ55" i="17"/>
  <c r="CJ34" i="17"/>
  <c r="CJ47" i="17" s="1"/>
  <c r="CJ12" i="16"/>
  <c r="CJ49" i="17" l="1"/>
  <c r="CJ73" i="16"/>
  <c r="CJ56" i="17"/>
  <c r="CJ76" i="16"/>
  <c r="CJ11" i="16" l="1"/>
  <c r="CJ51" i="17" s="1"/>
  <c r="CK48" i="17"/>
  <c r="CJ17" i="16" l="1"/>
  <c r="CJ10" i="16"/>
  <c r="CK60" i="48" l="1"/>
  <c r="CK61" i="48" s="1"/>
  <c r="CJ62" i="16"/>
  <c r="CJ46" i="16"/>
  <c r="CJ174" i="16"/>
  <c r="CJ63" i="16"/>
  <c r="CJ64" i="16"/>
  <c r="CJ61" i="16"/>
  <c r="CJ24" i="16"/>
  <c r="CJ47" i="16" l="1"/>
  <c r="CJ57" i="16"/>
  <c r="CJ51" i="16"/>
  <c r="CJ42" i="16"/>
  <c r="CJ177" i="16"/>
  <c r="CJ180" i="16" s="1"/>
  <c r="CJ178" i="16"/>
  <c r="CJ181" i="16" s="1"/>
  <c r="CJ52" i="16" s="1"/>
  <c r="CK25" i="19"/>
  <c r="CK27" i="19" l="1"/>
  <c r="CK28" i="19" s="1"/>
  <c r="CK148" i="19"/>
  <c r="CK149" i="19" l="1"/>
  <c r="CK152" i="19"/>
  <c r="CK30" i="19"/>
  <c r="CK153" i="19" l="1"/>
  <c r="CK58" i="19"/>
  <c r="CK105" i="19"/>
  <c r="CK117" i="19" s="1"/>
  <c r="CK32" i="19"/>
  <c r="CK128" i="19"/>
  <c r="CK33" i="19"/>
  <c r="CK86" i="16" l="1"/>
  <c r="CK10" i="17"/>
  <c r="CK34" i="19"/>
  <c r="CK38" i="16"/>
  <c r="CK67" i="19"/>
  <c r="CK26" i="17" l="1"/>
  <c r="CK89" i="16"/>
  <c r="CK90" i="16" s="1"/>
  <c r="CL84" i="16" s="1"/>
  <c r="CK40" i="16"/>
  <c r="CK58" i="16" l="1"/>
  <c r="CK41" i="16"/>
  <c r="CK171" i="16"/>
  <c r="CK50" i="16"/>
  <c r="CK74" i="16"/>
  <c r="CK54" i="17"/>
  <c r="CK31" i="17"/>
  <c r="CK75" i="16" l="1"/>
  <c r="CK55" i="17"/>
  <c r="CK34" i="17"/>
  <c r="CK47" i="17" s="1"/>
  <c r="CK12" i="16"/>
  <c r="CK73" i="16" l="1"/>
  <c r="CK49" i="17"/>
  <c r="CK76" i="16"/>
  <c r="CK56" i="17"/>
  <c r="CL48" i="17" l="1"/>
  <c r="CK11" i="16"/>
  <c r="CK51" i="17" s="1"/>
  <c r="CK17" i="16" l="1"/>
  <c r="CK10" i="16"/>
  <c r="CL60" i="48" l="1"/>
  <c r="CL61" i="48" s="1"/>
  <c r="CK62" i="16"/>
  <c r="CK174" i="16"/>
  <c r="CK46" i="16"/>
  <c r="CK63" i="16"/>
  <c r="CK64" i="16"/>
  <c r="CK24" i="16"/>
  <c r="CK61" i="16"/>
  <c r="CK51" i="16" l="1"/>
  <c r="CK42" i="16"/>
  <c r="CK47" i="16"/>
  <c r="CK57" i="16"/>
  <c r="CK177" i="16"/>
  <c r="CK180" i="16" s="1"/>
  <c r="CK178" i="16"/>
  <c r="CK181" i="16" s="1"/>
  <c r="CK52" i="16" s="1"/>
  <c r="CL25" i="19"/>
  <c r="CM61" i="48"/>
  <c r="CM62" i="48" s="1"/>
  <c r="CL148" i="19" l="1"/>
  <c r="CL27" i="19"/>
  <c r="CL28" i="19" s="1"/>
  <c r="CM25" i="19"/>
  <c r="CM27" i="19" s="1"/>
  <c r="CL30" i="19" l="1"/>
  <c r="CM28" i="19"/>
  <c r="CM57" i="19" s="1"/>
  <c r="CL149" i="19"/>
  <c r="CL152" i="19"/>
  <c r="CM148" i="19"/>
  <c r="CM149" i="19" s="1"/>
  <c r="CM30" i="19" l="1"/>
  <c r="CM134" i="16"/>
  <c r="CM135" i="16" s="1"/>
  <c r="CM136" i="16" s="1"/>
  <c r="CM137" i="16" s="1"/>
  <c r="CM131" i="16" s="1"/>
  <c r="CM158" i="16"/>
  <c r="CM159" i="16" s="1"/>
  <c r="CM160" i="16" s="1"/>
  <c r="CM126" i="19"/>
  <c r="CL153" i="19"/>
  <c r="CM152" i="19"/>
  <c r="CM153" i="19" s="1"/>
  <c r="CL105" i="19"/>
  <c r="CL117" i="19" s="1"/>
  <c r="CL58" i="19"/>
  <c r="CL32" i="19"/>
  <c r="CL128" i="19"/>
  <c r="CL33" i="19"/>
  <c r="CM32" i="19" l="1"/>
  <c r="CM58" i="19"/>
  <c r="CM128" i="19"/>
  <c r="CM105" i="19"/>
  <c r="CM117" i="19" s="1"/>
  <c r="CL67" i="19"/>
  <c r="CM33" i="19"/>
  <c r="CL10" i="17"/>
  <c r="CL86" i="16"/>
  <c r="CL34" i="19"/>
  <c r="CM34" i="19" s="1"/>
  <c r="CL38" i="16"/>
  <c r="CM161" i="16"/>
  <c r="CM67" i="19" l="1"/>
  <c r="CM86" i="16"/>
  <c r="CL26" i="17"/>
  <c r="CM10" i="17"/>
  <c r="CM26" i="17" s="1"/>
  <c r="CL40" i="16"/>
  <c r="CL89" i="16"/>
  <c r="CM89" i="16" s="1"/>
  <c r="CM38" i="16"/>
  <c r="CM90" i="16" l="1"/>
  <c r="CS84" i="16" s="1"/>
  <c r="CM40" i="16"/>
  <c r="CL58" i="16"/>
  <c r="CL41" i="16"/>
  <c r="CL171" i="16"/>
  <c r="CL50" i="16"/>
  <c r="CM74" i="16"/>
  <c r="CM54" i="17"/>
  <c r="CL74" i="16"/>
  <c r="CL54" i="17"/>
  <c r="CL31" i="17"/>
  <c r="CL90" i="16"/>
  <c r="CO84" i="16"/>
  <c r="CM55" i="17" l="1"/>
  <c r="CM75" i="16"/>
  <c r="CL34" i="17"/>
  <c r="CL47" i="17" s="1"/>
  <c r="CM31" i="17"/>
  <c r="CM34" i="17" s="1"/>
  <c r="CM47" i="17" s="1"/>
  <c r="CL12" i="16"/>
  <c r="CM12" i="16" s="1"/>
  <c r="CL55" i="17"/>
  <c r="CL75" i="16"/>
  <c r="CM171" i="16"/>
  <c r="CM58" i="16"/>
  <c r="CM41" i="16"/>
  <c r="CM50" i="16"/>
  <c r="CM49" i="17" l="1"/>
  <c r="CM73" i="16"/>
  <c r="CM76" i="16"/>
  <c r="CM56" i="17"/>
  <c r="CM58" i="17"/>
  <c r="CL73" i="16"/>
  <c r="CL49" i="17"/>
  <c r="CL11" i="16" s="1"/>
  <c r="CL56" i="17"/>
  <c r="CL76" i="16"/>
  <c r="CL51" i="17" l="1"/>
  <c r="CL10" i="16"/>
  <c r="CL17" i="16"/>
  <c r="CM11" i="16"/>
  <c r="CM51" i="17" s="1"/>
  <c r="CO48" i="17"/>
  <c r="CS48" i="17"/>
  <c r="CL64" i="16" l="1"/>
  <c r="CL24" i="16"/>
  <c r="CL61" i="16"/>
  <c r="CL62" i="16"/>
  <c r="CL63" i="16"/>
  <c r="CL46" i="16"/>
  <c r="CL174" i="16"/>
  <c r="CM10" i="16"/>
  <c r="CM17" i="16"/>
  <c r="CL177" i="16" l="1"/>
  <c r="CL178" i="16"/>
  <c r="CL57" i="16"/>
  <c r="CL47" i="16"/>
  <c r="CM61" i="16"/>
  <c r="CM64" i="16"/>
  <c r="CM24" i="16"/>
  <c r="CL51" i="16"/>
  <c r="CL42" i="16"/>
  <c r="CO60" i="48"/>
  <c r="CM63" i="16"/>
  <c r="CM174" i="16"/>
  <c r="CM62" i="16"/>
  <c r="CM46" i="16"/>
  <c r="CO61" i="48" l="1"/>
  <c r="CS60" i="48"/>
  <c r="CM178" i="16"/>
  <c r="CL181" i="16"/>
  <c r="CL52" i="16" s="1"/>
  <c r="CM181" i="16"/>
  <c r="CM52" i="16" s="1"/>
  <c r="CM51" i="16"/>
  <c r="CM42" i="16"/>
  <c r="CM47" i="16"/>
  <c r="CM57" i="16"/>
  <c r="CL180" i="16"/>
  <c r="CM177" i="16"/>
  <c r="CM180" i="16"/>
  <c r="CO25" i="19" l="1"/>
  <c r="CO27" i="19" l="1"/>
  <c r="CO148" i="19"/>
  <c r="CO28" i="19" l="1"/>
  <c r="CO30" i="19" s="1"/>
  <c r="CO152" i="19"/>
  <c r="CO149" i="19"/>
  <c r="CO153" i="19" l="1"/>
  <c r="CO128" i="19"/>
  <c r="CO105" i="19"/>
  <c r="CO117" i="19" s="1"/>
  <c r="CO33" i="19"/>
  <c r="CO32" i="19"/>
  <c r="CO58" i="19"/>
  <c r="CO67" i="19" l="1"/>
  <c r="CO10" i="17"/>
  <c r="CO86" i="16"/>
  <c r="CO34" i="19"/>
  <c r="CO38" i="16"/>
  <c r="CO89" i="16" l="1"/>
  <c r="CO90" i="16" s="1"/>
  <c r="CP84" i="16" s="1"/>
  <c r="CO40" i="16"/>
  <c r="CO26" i="17"/>
  <c r="CO54" i="17" l="1"/>
  <c r="CO31" i="17"/>
  <c r="CO74" i="16"/>
  <c r="CO58" i="16"/>
  <c r="CO171" i="16"/>
  <c r="CO41" i="16"/>
  <c r="CO50" i="16"/>
  <c r="CO34" i="17" l="1"/>
  <c r="CO47" i="17" s="1"/>
  <c r="CO12" i="16"/>
  <c r="CO55" i="17"/>
  <c r="CO75" i="16"/>
  <c r="CO56" i="17" l="1"/>
  <c r="CO76" i="16"/>
  <c r="CO73" i="16"/>
  <c r="CO49" i="17"/>
  <c r="CO11" i="16" l="1"/>
  <c r="CP48" i="17"/>
  <c r="CO51" i="17" l="1"/>
  <c r="CO10" i="16"/>
  <c r="CO17" i="16"/>
  <c r="CO61" i="16" l="1"/>
  <c r="CO24" i="16"/>
  <c r="CO64" i="16"/>
  <c r="CP60" i="48"/>
  <c r="CP61" i="48" s="1"/>
  <c r="CO62" i="16"/>
  <c r="CO63" i="16"/>
  <c r="CO46" i="16"/>
  <c r="CO174" i="16"/>
  <c r="CP25" i="19" l="1"/>
  <c r="CO178" i="16"/>
  <c r="CO181" i="16" s="1"/>
  <c r="CO52" i="16" s="1"/>
  <c r="CO177" i="16"/>
  <c r="CO180" i="16" s="1"/>
  <c r="CO57" i="16"/>
  <c r="CO47" i="16"/>
  <c r="CO51" i="16"/>
  <c r="CO42" i="16"/>
  <c r="CP27" i="19" l="1"/>
  <c r="CP28" i="19" s="1"/>
  <c r="CP148" i="19"/>
  <c r="CP149" i="19" l="1"/>
  <c r="CP152" i="19"/>
  <c r="CP30" i="19"/>
  <c r="CP58" i="19" l="1"/>
  <c r="CP105" i="19"/>
  <c r="CP117" i="19" s="1"/>
  <c r="CP32" i="19"/>
  <c r="CP128" i="19"/>
  <c r="CP33" i="19"/>
  <c r="CP153" i="19"/>
  <c r="CP67" i="19" l="1"/>
  <c r="CP10" i="17"/>
  <c r="CP86" i="16"/>
  <c r="CP34" i="19"/>
  <c r="CP38" i="16"/>
  <c r="CP40" i="16" l="1"/>
  <c r="CP89" i="16"/>
  <c r="CP90" i="16" s="1"/>
  <c r="CQ84" i="16" s="1"/>
  <c r="CP26" i="17"/>
  <c r="CP54" i="17" l="1"/>
  <c r="CP74" i="16"/>
  <c r="CP31" i="17"/>
  <c r="CP58" i="16"/>
  <c r="CP41" i="16"/>
  <c r="CP171" i="16"/>
  <c r="CP50" i="16"/>
  <c r="CP34" i="17" l="1"/>
  <c r="CP47" i="17" s="1"/>
  <c r="CP12" i="16"/>
  <c r="CP75" i="16"/>
  <c r="CP55" i="17"/>
  <c r="CP76" i="16" l="1"/>
  <c r="CP56" i="17"/>
  <c r="CP73" i="16"/>
  <c r="CP49" i="17"/>
  <c r="CQ48" i="17" l="1"/>
  <c r="CP11" i="16"/>
  <c r="CP17" i="16" l="1"/>
  <c r="CP10" i="16"/>
  <c r="CP51" i="17"/>
  <c r="CQ60" i="48" l="1"/>
  <c r="CQ61" i="48" s="1"/>
  <c r="CP174" i="16"/>
  <c r="CP62" i="16"/>
  <c r="CP46" i="16"/>
  <c r="CP63" i="16"/>
  <c r="CP64" i="16"/>
  <c r="CP61" i="16"/>
  <c r="CP24" i="16"/>
  <c r="CP51" i="16" l="1"/>
  <c r="CP42" i="16"/>
  <c r="CP47" i="16"/>
  <c r="CP57" i="16"/>
  <c r="CP178" i="16"/>
  <c r="CP181" i="16" s="1"/>
  <c r="CP52" i="16" s="1"/>
  <c r="CP177" i="16"/>
  <c r="CP180" i="16" s="1"/>
  <c r="CQ25" i="19"/>
  <c r="CQ27" i="19" l="1"/>
  <c r="CQ148" i="19"/>
  <c r="CQ149" i="19" l="1"/>
  <c r="CQ152" i="19"/>
  <c r="CQ28" i="19"/>
  <c r="CQ30" i="19" l="1"/>
  <c r="CQ153" i="19"/>
  <c r="CQ58" i="19" l="1"/>
  <c r="CQ105" i="19"/>
  <c r="CQ117" i="19" s="1"/>
  <c r="CQ32" i="19"/>
  <c r="CQ128" i="19"/>
  <c r="CQ33" i="19"/>
  <c r="CQ10" i="17" l="1"/>
  <c r="CQ86" i="16"/>
  <c r="CQ34" i="19"/>
  <c r="CQ38" i="16"/>
  <c r="CQ67" i="19"/>
  <c r="CQ89" i="16" l="1"/>
  <c r="CQ90" i="16" s="1"/>
  <c r="CR84" i="16" s="1"/>
  <c r="CQ40" i="16"/>
  <c r="CQ26" i="17"/>
  <c r="CQ41" i="16" l="1"/>
  <c r="CQ171" i="16"/>
  <c r="CQ58" i="16"/>
  <c r="CQ50" i="16"/>
  <c r="CQ54" i="17"/>
  <c r="CQ74" i="16"/>
  <c r="CQ31" i="17"/>
  <c r="CQ34" i="17" l="1"/>
  <c r="CQ47" i="17" s="1"/>
  <c r="CQ12" i="16"/>
  <c r="CQ55" i="17"/>
  <c r="CQ75" i="16"/>
  <c r="CQ56" i="17" l="1"/>
  <c r="CQ76" i="16"/>
  <c r="CQ73" i="16"/>
  <c r="CQ49" i="17"/>
  <c r="CR48" i="17" l="1"/>
  <c r="CQ11" i="16"/>
  <c r="CQ51" i="17" s="1"/>
  <c r="CQ10" i="16" l="1"/>
  <c r="CQ17" i="16"/>
  <c r="CQ61" i="16" l="1"/>
  <c r="CQ24" i="16"/>
  <c r="CQ64" i="16"/>
  <c r="CR60" i="48"/>
  <c r="CR61" i="48" s="1"/>
  <c r="CQ63" i="16"/>
  <c r="CQ62" i="16"/>
  <c r="CQ174" i="16"/>
  <c r="CQ46" i="16"/>
  <c r="CQ57" i="16" l="1"/>
  <c r="CQ47" i="16"/>
  <c r="CQ178" i="16"/>
  <c r="CQ181" i="16" s="1"/>
  <c r="CQ52" i="16" s="1"/>
  <c r="CQ177" i="16"/>
  <c r="CQ180" i="16" s="1"/>
  <c r="CR25" i="19"/>
  <c r="CS61" i="48"/>
  <c r="CS62" i="48" s="1"/>
  <c r="CQ51" i="16"/>
  <c r="CQ42" i="16"/>
  <c r="CR148" i="19" l="1"/>
  <c r="CR27" i="19"/>
  <c r="CS25" i="19"/>
  <c r="CS27" i="19" s="1"/>
  <c r="CR28" i="19" l="1"/>
  <c r="CS28" i="19" s="1"/>
  <c r="CS57" i="19" s="1"/>
  <c r="CR149" i="19"/>
  <c r="CR152" i="19"/>
  <c r="CS148" i="19"/>
  <c r="CS149" i="19" s="1"/>
  <c r="CR30" i="19" l="1"/>
  <c r="CR128" i="19" s="1"/>
  <c r="CR153" i="19"/>
  <c r="CS152" i="19"/>
  <c r="CS153" i="19" s="1"/>
  <c r="CS158" i="16"/>
  <c r="CS159" i="16" s="1"/>
  <c r="CS160" i="16" s="1"/>
  <c r="CS126" i="19"/>
  <c r="CS134" i="16"/>
  <c r="CS135" i="16" s="1"/>
  <c r="CS136" i="16" s="1"/>
  <c r="CS137" i="16" s="1"/>
  <c r="CS131" i="16" s="1"/>
  <c r="CS30" i="19"/>
  <c r="CR33" i="19" l="1"/>
  <c r="CR67" i="19" s="1"/>
  <c r="CR32" i="19"/>
  <c r="CR38" i="16" s="1"/>
  <c r="CR58" i="19"/>
  <c r="CR105" i="19"/>
  <c r="CR117" i="19" s="1"/>
  <c r="CS161" i="16"/>
  <c r="CS58" i="19"/>
  <c r="CS128" i="19"/>
  <c r="CS105" i="19"/>
  <c r="CS117" i="19" s="1"/>
  <c r="CS32" i="19"/>
  <c r="CS33" i="19" l="1"/>
  <c r="CS67" i="19" s="1"/>
  <c r="CR34" i="19"/>
  <c r="CS34" i="19" s="1"/>
  <c r="CR86" i="16"/>
  <c r="CS86" i="16" s="1"/>
  <c r="CR10" i="17"/>
  <c r="CR26" i="17" s="1"/>
  <c r="CR40" i="16"/>
  <c r="CS38" i="16"/>
  <c r="CS40" i="16" s="1"/>
  <c r="CS50" i="16" s="1"/>
  <c r="CR89" i="16" l="1"/>
  <c r="CS89" i="16" s="1"/>
  <c r="CS90" i="16" s="1"/>
  <c r="CS10" i="17"/>
  <c r="CS26" i="17" s="1"/>
  <c r="CS74" i="16" s="1"/>
  <c r="CR74" i="16"/>
  <c r="CR54" i="17"/>
  <c r="CR31" i="17"/>
  <c r="CS58" i="16"/>
  <c r="CS171" i="16"/>
  <c r="CS41" i="16"/>
  <c r="CR41" i="16"/>
  <c r="CR171" i="16"/>
  <c r="CR58" i="16"/>
  <c r="CR50" i="16"/>
  <c r="CR90" i="16" l="1"/>
  <c r="CS54" i="17"/>
  <c r="CS75" i="16" s="1"/>
  <c r="CR34" i="17"/>
  <c r="CR47" i="17" s="1"/>
  <c r="CS31" i="17"/>
  <c r="CS34" i="17" s="1"/>
  <c r="CS47" i="17" s="1"/>
  <c r="CR12" i="16"/>
  <c r="CS12" i="16" s="1"/>
  <c r="CR55" i="17"/>
  <c r="CR75" i="16"/>
  <c r="CS55" i="17" l="1"/>
  <c r="CS76" i="16" s="1"/>
  <c r="CR56" i="17"/>
  <c r="CR76" i="16"/>
  <c r="CR73" i="16"/>
  <c r="CR49" i="17"/>
  <c r="CS73" i="16"/>
  <c r="CS49" i="17"/>
  <c r="CS58" i="17" l="1"/>
  <c r="CS56" i="17"/>
  <c r="CR11" i="16"/>
  <c r="CS11" i="16" l="1"/>
  <c r="CR17" i="16"/>
  <c r="CR10" i="16"/>
  <c r="CR51" i="17"/>
  <c r="CR62" i="16" l="1"/>
  <c r="CR63" i="16"/>
  <c r="CR46" i="16"/>
  <c r="CR174" i="16"/>
  <c r="CR24" i="16"/>
  <c r="CR64" i="16"/>
  <c r="CR61" i="16"/>
  <c r="CS10" i="16"/>
  <c r="CS17" i="16"/>
  <c r="CS51" i="17"/>
  <c r="CS62" i="16" l="1"/>
  <c r="CS63" i="16"/>
  <c r="CS46" i="16"/>
  <c r="CS174" i="16"/>
  <c r="CR51" i="16"/>
  <c r="CR42" i="16"/>
  <c r="CR177" i="16"/>
  <c r="CR178" i="16"/>
  <c r="CR47" i="16"/>
  <c r="CR57" i="16"/>
  <c r="CS64" i="16"/>
  <c r="CS24" i="16"/>
  <c r="CS61" i="16"/>
  <c r="CR180" i="16" l="1"/>
  <c r="CS177" i="16"/>
  <c r="CS180" i="16"/>
  <c r="CS178" i="16"/>
  <c r="CR181" i="16"/>
  <c r="CR52" i="16" s="1"/>
  <c r="CS181" i="16"/>
  <c r="CS52" i="16" s="1"/>
  <c r="CS51" i="16"/>
  <c r="CS42" i="16"/>
  <c r="CS47" i="16"/>
  <c r="CS57" i="16"/>
</calcChain>
</file>

<file path=xl/comments1.xml><?xml version="1.0" encoding="utf-8"?>
<comments xmlns="http://schemas.openxmlformats.org/spreadsheetml/2006/main">
  <authors>
    <author>gorinaar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儡亄-䱉乍䅞䝖倨偟䥒䕃ㄨ⼰㄰㈯〰ⰹ㈱㌯⼱〲㤰Ⱜ单⥄착_x0018_＀＀_x0018_＀＀_x0008_＀＀_x0001_＀＀_x0001_＀＀菡㸏샸䁀儡亄-䱉乍䅞䝖倨偟䥒䕃〨⼱㄰㈯〰ⰸ㌰㌯⼱〲㠰Ⱜ单⥄착_x0018_＀＀_x0018_＀＀_x0008_＀＀_x0001_＀＀_x0001_＀＀ꗒ혖ᩪ䁁Û亄-䱉乍䅞䝖倨偟䥒䕃ㄨ⼲ㄳ㈯〰ⰴ㌰㌯⼱〲㔰Ⱜ单⥄착_x0018_＀＀_x0018_＀＀_x0008_＀＀_x0001_＀＀_x0001_＀＀얏撪魩䀑儡亄+䱉乍䅞䝖倨偟䥒䕃ㄨㄯ㈯〰ⰵ㈱㌯⼱〲㔰Ⱜ单⥄착_x0018_＀＀_x0018_＀＀_x0008_＀＀_x0001_＀＀_x0001_＀＀疀뼑䈂䀗儡亄-䱉乍䅞䝖倨偟䥒䕃〨⼷㄰㈯〰ⰴ㤰㌯⼰〲㐰Ⱜ单⥄착_x0018_＀＀_x0018_＀＀_x0008_＀＀_x0001_＀＀_x0001_＀＀埑納郕䀆儡亄-䱉乍䅞䝖倨偟䥒䕃〨⼴㄰㈯〰ⰵ㘰㌯⼰〲㔰Ⱜ单⥄착_x0018_＀＀_x0018_＀＀_x0008_＀＀_x0001_＀＀_x0001_＀＀㖐犛䀔˛亄-䱉乍䅞䝖倨偟䥒䕃〨⼱〱㈯㄰ⰰ㈱㌯⼱〲〱Ⱜ单⥄착_x0018_＀＀_x0018_＀＀_x0008_＀＀_x0001_＀＀_x0001_＀＀晨晦_xD836_䁆儡亄-䱉乍䅞䝖倨偟䥒䕃〨⼴㄰㈯〰ⰹ㘰㌯⼰〲㤰Ⱜ单⥄착_x0018_＀＀_x0018_＀＀_x0008_＀＀_x0001_＀＀_x0001_＀＀_xDAF7_㖄䛃䁂˛亄-䱉乍䅞䝖倨偟䥒䕃〨⼱㐰㈯〰ⰵ㘰㌯⼰〲㔰Ⱜ单⥄착_x0018_＀＀_x0018_＀＀_x0008_＀＀_x0001_＀＀_x0001_＀＀롑ࠞ䀓˛亄-䱉乍䅞䝖倨偟䥒䕃〨⼱㐰㈯〰ⰹ㘰㌯⼰〲㤰Ⱜ单⥄착_x0018_＀＀_x0018_＀＀_x0008_＀＀_x0001_＀＀_x0001_＀＀჉뫇ↈ䁁Û亄-䱉乍䅞䝖倨偟䥒䕃ㄨ⼲ㄳ㈯〰ⰸ㌰㌯⼱〲㤰Ⱜ单⥄착_x0018_＀＀_x0018_＀＀_x0008_＀＀_x0001_＀＀_x0001_＀＀⁉ᡫ럭䀿儡亄+䱉乍䅞䝖倨偟䥒䕃ㄨㄯ㈯〰ⰹ㈱㌯⼱〲㤰Ⱜ单⥄착_x0018_＀＀_x0018_＀＀_x0008_＀＀_x0001_＀＀_x0001_＀＀됀糞䉰䁁儡亄-䱉乍䅞䝖倨偟䥒䕃〨⼷㄰㈯〰ⰸ㤰㌯⼰〲㠰Ⱜ单⥄착_x0018_＀＀_x0018_＀＀_x0008_＀＀_x0001_＀＀_x0001_＀＀㌵㌳쌳䁅儡亄-䱉乍䅞䝖倨偟䥒䕃ㄨ⼰㄰㈯〰ⰶ㈱㌯⼱〲㘰Ⱜ单⥄착_x0018_＀＀_x0018_＀＀_x0008_＀＀_x0001_＀＀_x0001_＀＀ﺾ䀳儡亄-䱉乍䅞䝖倨偟䥒䕃〨⼱㄰㈯〰ⰵ㌰㌯⼱〲㔰Ⱜ单⥄착_x0018_＀＀_x0018_＀＀_x0008_＀＀_x0001_＀＀_x0001_＀＀얏撪魩䀑˛亄-䱉乍䅞䝖倨偟䥒䕃〨⼱〱㈯〰ⰷ㈱㌯⼱〲㜰Ⱜ单⥄착_x0018_＀＀_x0018_＀＀_x0008_＀＀_x0001_＀＀_x0001_＀＀祐䟊눴䀵Û亄-䱉乍䅞䝖倨偟䥒䕃ㄨ⼲ㄳ㈯〰ⰹ㌰㌯⼱〲〱Ⱜ单⥄착_x0018_＀＀_x0018_＀＀_x0008_＀＀_x0001_＀＀_x0001_＀＀쏻㟄鯎䁂儡亄-䱉乍䅞䝖倨偟䥒䕃〨⼱㄰㈯〰ⰹ㌰㌯⼱〲㤰Ⱜ单⥄착_x0018_＀＀_x0018_＀＀_x0008_＀＀_x0001_＀＀_x0001_＀＀馗香캙䀿Û亄-䱉乍䅞䝖倨偟䥒䕃ㄨ⼲ㄳ㈯〰ⰵ㌰㌯⼱〲㘰Ⱜ单⥄착_x0018_＀＀_x0018_＀＀_x0008_＀＀_x0001_＀＀_x0001_＀＀뙳杔啋䀦˛亄-䱉乍䅞䝖倨偟䥒䕃〨⼱ㄳ㈯〰ⰴ㌰㌯⼱〲㐰Ⱜ单⥄착_x0018_＀＀_x0018_＀＀_x0008_＀＀_x0001_＀＀_x0001_＀＀뫇趸䀆䀍儡亄-䱉乍䅞䝖倨偟䥒䕃〨⼷㄰㈯〰ⰵ㤰㌯⼰〲㔰Ⱜ单⥄착_x0018_＀＀_x0018_＀＀_x0008_＀＀_x0001_＀＀_x0001_＀＀戏⃤ๆ䀙儡亄-䱉乍䅞䝖倨偟䥒䕃〨⼴㄰㈯〰ⰶ㘰㌯⼰〲㘰Ⱜ单⥄착_x0018_＀＀_x0018_＀＀_x0008_＀＀_x0001_＀＀_x0001_＀＀꡾蟩庚䀫˛亄-䱉乍䅞䝖倨偟䥒䕃〨⼱㐰㈯〰ⰶ㘰㌯⼰〲㘰Ⱜ单⥄착_x0018_＀＀_x0018_＀＀_x0008_＀＀_x0001_＀＀_x0001_＀＀휉炣ᬽ䀩儡亄+䱉乍䅞䝖倨偟䥒䕃ㄨㄯ㈯〰ⰶ㈱㌯⼱〲㘰Ⱜ单⥄착_x0018_＀＀_x0018_＀＀_x0008_＀＀_x0001_＀＀_x0001_＀＀䄊虾_xDFCC_䀮儡亄-䱉乍䅞䝖倨偟䥒䕃〨⼷㄰㈯〰ⰹ㤰㌯⼰〲㤰Ⱜ单⥄착_x0018_＀＀_x0018_＀＀_x0008_＀＀_x0001_＀＀_x0001_＀＀枥穂ᐦ䁂儡亄-䱉乍䅞䝖倨偟䥒䕃ㄨ⼰㄰㈯㄰ⰰ㈱㌯⼱〲〱Ⱜ单⥄착_x0018_＀＀_x0018_＀＀_x0008_＀＀_x0001_＀＀_x0001_＀＀辯調쮘䁌˛亄-䱉乍䅞䝖倨偟䥒䕃〨⼱㐰㈯㄰ⰰ㘰㌯⼰〲〱Ⱜ单⥄착_x0018_＀＀_x0018_＀＀_x0008_＀＀_x0001_＀＀_x0001_＀＀轝ꛈ䁃儡亄+䱉乍䅞䝖倨偟䥒䕃ㄨㄯ㈯㄰ⰰ㈱㌯⼱〲〱Ⱜ单⥄착_x0018_＀＀_x0018_＀＀_x0008_＀＀_x0001_＀＀_x0001_＀＀웣譯듶䁆儡亄-䱉乍䅞䝖倨偟䥒䕃〨⼴㄰㈯㄰ⰰ㘰㌯⼰〲〱Ⱜ单⥄착_x0018_＀＀_x0018_＀＀_x0008_＀＀_x0001_＀＀_x0001_＀＀Ê陳迍䁄˛亄-䱉乍䅞䝖倨偟䥒䕃〨⼱〱㈯〰ⰴ㈱㌯⼱〲㐰Ⱜ单⥄착_x0018_＀＀_x0018_＀＀_x0008_＀＀_x0001_＀＀_x0001_＀＀ᐔ옿餜䀋儡亄-䱉乍䅞䝖倨偟䥒䕃〨⼱㄰㈯〰ⰶ㌰㌯⼱〲㘰Ⱜ单⥄착_x0018_＀＀_x0018_＀＀_x0008_＀＀_x0001_＀＀_x0001_＀＀뙳杔啋䀦˛亄-䱉乍䅞䝖倨偟䥒䕃〨⼱ㄳ㈯〰ⰵ㌰㌯⼱〲㔰Ⱜ单⥄착_x0018_＀＀_x0018_＀＀_x0008_＀＀_x0001_＀＀_x0001_＀＀魷띣嘹䀑儡亄-䱉乍䅞䝖倨偟䥒䕃ㄨ⼰㄰㈯〰ⰷ㈱㌯⼱〲㜰Ⱜ单⥄착_x0018_＀＀_x0018_＀＀_x0008_＀＀_x0001_＀＀_x0001_＀＀棠踞䇦䀼˛亄-䱉乍䅞䝖倨偟䥒䕃〨⼱〱㈯〰ⰸ㈱㌯⼱〲㠰Ⱜ单⥄착_x0018_＀＀_x0018_＀＀_x0008_＀＀_x0001_＀＀_x0001_＀＀뵪鑵䁁僪亄+䱉乍䅞䝖倨偟䥒䕃ㄨㄯ㈯〰ⰳ㈱㌯⼱〲㌰Ⱜ单⥄착_x0018_＀＀_x0018_＀＀_x0008_＀＀_x0001_＀＀_x0001_＀＀穲ണ➜㿿˛亄-䱉乍䅞䝖倨偟䥒䕃〨⼱㐰㈯〰ⰷ㘰㌯⼰〲㜰Ⱜ单⥄착_x0018_＀＀_x0018_＀＀_x0008_＀＀_x0001_＀＀_x0001_＀＀鬴䍸唸䀱Û亄-䱉乍䅞䝖倨偟䥒䕃ㄨ⼲ㄳ㈯〰ⰶ㌰㌯⼱〲㜰Ⱜ单⥄착_x0018_＀＀_x0018_＀＀_x0008_＀＀_x0001_＀＀_x0001_＀＀檐䊇눐䀱儡亄+䱉乍䅞䝖倨偟䥒䕃ㄨㄯ㈯〰ⰷ㈱㌯⼱〲㜰Ⱜ单⥄착_x0018_＀＀_x0018_＀＀_x0008_＀＀_x0001_＀＀_x0001_＀＀뾒巂ꌃ䀵儡亄-䱉乍䅞䝖倨偟䥒䕃〨⼷㄰㈯〰ⰶ㤰㌯⼰〲㘰Ⱜ单⥄착_x0018_＀＀_x0018_＀＀_x0008_＀＀_x0001_＀＀_x0001_＀＀_xD899_襶䀰㔶亹-䱉乍䅞䝖倨偟䥒䕃ㄨ⼰㄰㈯㄰ⰱ㈱㌯⼱〲ㄱⰬ单⥄착_x0018_＀＀_x0018_＀＀_x0008_＀＀_x0001_＀＀_x0001_＀＀炥਽䀿儡亄-䱉乍䅞䝖倨偟䥒䕃〨⼴㄰㈯〰ⰷ㘰㌯⼰〲㜰Ⱜ单⥄착_x0018_＀＀_x0018_＀＀_x0008_＀＀_x0001_＀＀_x0001_＀＀ࢰ謄၀䀱儡亄-䱉乍䅞䝖倨偟䥒䕃〨⼱㄰㈯㄰ⰰ㌰㌯⼱〲〱Ⱜ单⥄착_x0018_＀＀_x0018_＀＀_x0008_＀＀_x0001_＀＀_x0001_＀＀ᑼ䞮꣡䁂Û亄-䱉乍䅞䝖倨偟䥒䕃ㄨ⼲ㄳ㈯㄰ⰰ㌰㌯⼱〲ㄱⰬ单⥄착_x0018_＀＀_x0018_＀＀_x0008_＀＀_x0001_＀＀_x0001_＀＀术ﳙس䁑儡亄-䱉乍䅞䝖倨偟䥒䕃〨⼷㄰㈯㄰ⰰ㤰㌯⼰〲〱Ⱜ单⥄착_x0018_＀＀_x0018_＀＀_x0008_＀＀_x0001_＀＀_x0001_＀＀갹썽Ꟛ䁆儡亄-䱉乍䅞䝖倨偟䥒䕃〨⼴㄰㈯㄰ⰱ㘰㌯⼰〲ㄱⰬ单⥄착_x0018_＀＀_x0018_＀＀_x0008_＀＀_x0001_＀＀_x0001_＀＀⃬䁑Û亄-䱉乍䅞䝖倨偟䥒䕃〨⼱㐰㈯㄰ⰱ㘰㌯⼰〲ㄱⰬ单⥄착_x0018_＀＀_x0018_＀＀_x0008_＀＀_x0001_＀＀_x0001_＀＀䞬竡綄䁑儡亄-䱉乍䅞䝖倨偟䥒䕃ㄨ⼰㄰㈯〰ⰴ㈱㌯⼱〲㐰Ⱜ单⥄착_x0018_＀＀_x0018_＀＀_x0008_＀＀_x0001_＀＀_x0001_＀＀㙐擙趓䀍˛亄-䱉乍䅞䝖倨偟䥒䕃〨⼱〱㈯〰ⰵ㈱㌯⼱〲㔰Ⱜ单⥄착_x0018_＀＀_x0018_＀＀_x0008_＀＀_x0001_＀＀_x0001_＀＀▔_xDDE8_挆䀗儡亄-䱉乍䅞䝖倨偟䥒䕃〨⼴㄰㈯〰ⰴ㘰㌯⼰〲㐰Ⱜ单⥄착_x0018_＀＀_x0018_＀＀_x0008_＀＀_x0001_＀＀_x0001_＀＀_xD80B_︃톪䀋儡亄-䱉乍䅞䝖倨偟䥒䕃ㄨ⼰㄰㈯〰ⰸ㈱㌯⼱〲㠰Ⱜ单⥄착_x0018_＀＀_x0018_＀＀_x0008_＀＀_x0001_＀＀_x0001_＀＀턤䀹儡亄-䱉乍䅞䝖倨偟䥒䕃〨⼱㄰㈯〰ⰷ㌰㌯⼱〲㜰Ⱜ单⥄착_x0018_＀＀_x0018_＀＀_x0008_＀＀_x0001_＀＀_x0001_＀＀ⶩꦣ꩘䀱˛亄-䱉乍䅞䝖倨偟䥒䕃〨⼱〱㈯〰ⰹ㈱㌯⼱〲㤰Ⱜ单⥄착_x0018_＀＀_x0018_＀＀_x0008_＀＀_x0001_＀＀_x0001_＀＀슌৓孆䁁˛亄-䱉乍䅞䝖倨偟䥒䕃〨⼱㐰㈯〰ⰴ㘰㌯⼰〲㐰Ⱜ单⥄착_x0018_＀＀_x0018_＀＀_x0008_＀＀_x0001_＀＀_x0001_＀＀⯐㿾䦦䀍Û亄-䱉乍䅞䝖倨偟䥒䕃ㄨ⼲ㄳ㈯〰ⰳ㌰㌯⼱〲㐰Ⱜ单⥄착_x0018_＀＀_x0018_＀＀_x0008_＀＀_x0001_＀＀_x0001_＀＀㢱မ덿䀎儡亄+䱉乍䅞䝖倨偟䥒䕃ㄨㄯ㈯〰ⰴ㈱㌯⼱〲㐰Ⱜ单⥄착_x0018_＀＀_x0018_＀＀_x0008_＀＀_x0001_＀＀_x0001_＀＀썙섨꠵䀋Û亄-䱉乍䅞䝖倨偟䥒䕃ㄨ⼲ㄳ㈯〰ⰷ㌰㌯⼱〲㠰Ⱜ单⥄착_x0018_＀＀_x0018_＀＀_x0008_＀＀_x0001_＀＀_x0001_＀＀賷뫳ᆊ䁁儡亄+䱉乍䅞䝖倨偟䥒䕃ㄨㄯ㈯〰ⰸ㈱㌯⼱〲㠰Ⱜ单⥄착_x0018_＀＀_x0018_＀＀_x0008_＀＀_x0001_＀＀_x0001_＀＀닞肳_xDE32_䁁儡亄-䱉乍䅞䝖倨偟䥒䕃〨⼷㄰㈯〰ⰷ㤰㌯⼰〲㜰Ⱜ单⥄착_x0018_＀＀_x0018_＀＀_x0008_＀＀_x0001_＀＀_x0001_＀＀蒁䟽忘䀷儡亄-䱉乍䅞䝖倨偟䥒䕃〨⼴㄰㈯〰ⰸ㘰㌯⼰〲㠰Ⱜ单⥄착_x0018_＀＀_x0018_＀＀_x0008_＀＀_x0001_＀＀_x0001_＀＀⠩ꗴ䁃儡亄-䱉乍䅞䝖倨偟䥒䕃〨⼱㄰㈯㄰ⰱ㌰㌯⼱〲ㄱⰬ单⥄착_x0018_＀＀_x0018_＀＀_x0008_＀＀_x0001_＀＀_x0001_＀＀术ﳙس䁑˛亄-䱉乍䅞䝖倨偟䥒䕃〨⼱㐰㈯〰ⰸ㘰㌯⼰〲㠰Ⱜ单⥄착_x0018_＀＀_x0018_＀＀_x0008_＀＀_x0001_＀＀_x0001_＀＀톚疤䁂亸,䱉乍䅞䝖倨偟䥒䕃〨⼷㄰㈯㄰ⰱ⼹〳㈯㄰ⰱ唬䑓⤩_x0018_＀＀_x0018_＀＀_x0008_＀＀_x0001_＀＀_x0001_＀＀븵䜻䁌㔥亹-䱉乍䅞䝖倨偟䥒䕃〨⼷㄰㈯㄰ⰱ㤰㌯⼰〲ㄱⰬ单⥄착_x0018_＀＀_x0018_＀＀_x0008_＀＀_x0001_＀＀_x0001_＀＀晥晦ⷦ䁌儡亄-䱉乍䅞䝖倨偟䥒䕃ㄨ⼰㄰㈯〰ⰵ㈱㌯⼱〲㔰Ⱜ单⥄착_x0018_＀＀_x0018_＀＀_x0008_＀＀_x0001_＀＀_x0001_＀＀祒镁퐗䀝儡亄-䱉乍䅞䝖倨偟䥒䕃〨⼱㄰㈯〰ⰴ㌰㌯⼱〲㐰Ⱜ单⥄착_x0018_＀＀_x0018_＀＀_x0008_＀＀_x0001_＀＀_x0001_＀＀融_xD86B_뵘䀎˛亄-䱉乍䅞䝖倨偟䥒䕃〨⼱〱㈯〰ⰶ㈱㌯⼱〲㘰Ⱜ单⥄착_x0018_＀＀_x0018_＀＀_x0008_＀＀_x0001_＀＀_x0001_＀＀놞㹓乍䀯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2966</t>
        </r>
      </text>
    </comment>
  </commentList>
</comments>
</file>

<file path=xl/sharedStrings.xml><?xml version="1.0" encoding="utf-8"?>
<sst xmlns="http://schemas.openxmlformats.org/spreadsheetml/2006/main" count="2472" uniqueCount="1270">
  <si>
    <t>Other Long-term Liabilities</t>
  </si>
  <si>
    <t>Operating Liabilities</t>
  </si>
  <si>
    <t>Free Cash Flow</t>
  </si>
  <si>
    <t>Shareholders Equity</t>
  </si>
  <si>
    <t>Whole Genome (GWAS, includes Omni Express)</t>
  </si>
  <si>
    <t>SG&amp;A</t>
  </si>
  <si>
    <t>R&amp;D</t>
  </si>
  <si>
    <t>Tax rate</t>
  </si>
  <si>
    <t>NA</t>
  </si>
  <si>
    <t>HiSeq 2000</t>
  </si>
  <si>
    <t>nm</t>
  </si>
  <si>
    <t>Cum. System Shipments (~installed base)</t>
  </si>
  <si>
    <t>Avg. ASP ('000s)</t>
  </si>
  <si>
    <t xml:space="preserve">           check</t>
  </si>
  <si>
    <t>Diluted EPS (GAAP)</t>
  </si>
  <si>
    <t>Cumulative shipments</t>
  </si>
  <si>
    <t xml:space="preserve"> </t>
  </si>
  <si>
    <t xml:space="preserve">  Instruments</t>
  </si>
  <si>
    <t xml:space="preserve">  Product Sales</t>
  </si>
  <si>
    <t>Illumina Inc.</t>
  </si>
  <si>
    <t>Net Income (GAAP)</t>
  </si>
  <si>
    <t>ILMN.O,mscalc:closePriceCurrencyCalc</t>
  </si>
  <si>
    <t>ILMN.O,mscalc:targetPrice,,,,USD</t>
  </si>
  <si>
    <t>ILMN.O,mscalc:sedolCodeCalc</t>
  </si>
  <si>
    <t>Net Operating Assets</t>
  </si>
  <si>
    <t>Asset Turnover</t>
  </si>
  <si>
    <t>HiSeq 2500</t>
  </si>
  <si>
    <t>% HS 2000 upgrades</t>
  </si>
  <si>
    <t xml:space="preserve">     HiSeq 2500</t>
  </si>
  <si>
    <t>Total Revenues</t>
  </si>
  <si>
    <t>2015-Q1</t>
  </si>
  <si>
    <t>2015-Q2</t>
  </si>
  <si>
    <t>2015-Q3</t>
  </si>
  <si>
    <t>2015-Q4</t>
  </si>
  <si>
    <t>2015-FY</t>
  </si>
  <si>
    <t>Interest Income</t>
  </si>
  <si>
    <t>Growth (Y/Y)</t>
  </si>
  <si>
    <t>Growth (Seq)</t>
  </si>
  <si>
    <t xml:space="preserve">     Instruments</t>
  </si>
  <si>
    <t xml:space="preserve">     Consumables</t>
  </si>
  <si>
    <t xml:space="preserve">     HiSeq 2000</t>
  </si>
  <si>
    <t>Service Revenues</t>
  </si>
  <si>
    <t>Service/Other Revenues</t>
  </si>
  <si>
    <t>Momentum</t>
  </si>
  <si>
    <t xml:space="preserve">     check</t>
  </si>
  <si>
    <t>USD</t>
  </si>
  <si>
    <t>Amortization expense</t>
  </si>
  <si>
    <t>This sheet contains Factset binary data for use with this workbook's =FDS codes.  Modifying the worksheet's contents may damage the workbook's =FDS functionality.</t>
  </si>
  <si>
    <t>Free Cash Flow (FCF)</t>
  </si>
  <si>
    <t>FCF per share</t>
  </si>
  <si>
    <t>Free Cash Flow Yield</t>
  </si>
  <si>
    <t>Avg. Share Price</t>
  </si>
  <si>
    <t>Options Oustanding BOP</t>
  </si>
  <si>
    <t>Options Granted</t>
  </si>
  <si>
    <t>Options Excercised</t>
  </si>
  <si>
    <t>Options Cancelled/Forfeited</t>
  </si>
  <si>
    <t>Options Oustanding EOP</t>
  </si>
  <si>
    <t>Wtd Avg Exercise Price (of excercised)</t>
  </si>
  <si>
    <t>Y/Y Growth</t>
  </si>
  <si>
    <t>Exercised shares as a % of outstanding</t>
  </si>
  <si>
    <t>Options lapsed as a % of outstanding</t>
  </si>
  <si>
    <t>Options granted - Y/Y Growth</t>
  </si>
  <si>
    <t>Repurchases</t>
  </si>
  <si>
    <t>Shares repurchased</t>
  </si>
  <si>
    <t>Cost of repurchases</t>
  </si>
  <si>
    <t>Avg cost</t>
  </si>
  <si>
    <t>% change</t>
  </si>
  <si>
    <t>Allocations</t>
  </si>
  <si>
    <t>Proceeds from options issuance ($mm)</t>
  </si>
  <si>
    <t>Bull Case</t>
  </si>
  <si>
    <t>Bear Case</t>
  </si>
  <si>
    <t>Currency</t>
  </si>
  <si>
    <t>Current Stock Price</t>
  </si>
  <si>
    <t>Operating Profit (non-GAAP)</t>
  </si>
  <si>
    <t>EPS(non-GAAP)</t>
  </si>
  <si>
    <t>Cash at Beginning of Period</t>
  </si>
  <si>
    <t>Cash at End of Period</t>
  </si>
  <si>
    <t>Count</t>
  </si>
  <si>
    <t>Cost of Product Revenue</t>
  </si>
  <si>
    <t>Non-Cash Interest Expense</t>
  </si>
  <si>
    <t>Headquarter Relocation Expense</t>
  </si>
  <si>
    <t>Amortization of Acquired Intangible Assets</t>
  </si>
  <si>
    <t>Loss on Extinguishment of Debt</t>
  </si>
  <si>
    <t>Contingent Compensation Expense</t>
  </si>
  <si>
    <t>Acquisition Related (Gain) Expense, net</t>
  </si>
  <si>
    <t>Incremental Non-GAAP Tax Expense</t>
  </si>
  <si>
    <t>GAAP Net Income</t>
  </si>
  <si>
    <t xml:space="preserve">Change in fair value of contingent consideration </t>
  </si>
  <si>
    <t>Other Pro Forma Adjustments</t>
  </si>
  <si>
    <t>Acquired R&amp;D</t>
  </si>
  <si>
    <t>Impairment of Equipment</t>
  </si>
  <si>
    <t>4Q13</t>
  </si>
  <si>
    <t>3Q13</t>
  </si>
  <si>
    <t>2Q13</t>
  </si>
  <si>
    <t>1Q13</t>
  </si>
  <si>
    <t>Sequencing Consumables</t>
  </si>
  <si>
    <t>Net Income (Non-GAAP)</t>
  </si>
  <si>
    <t>Number of Tests (000s)</t>
  </si>
  <si>
    <t>0% Convertible Senior Notes due 2019</t>
  </si>
  <si>
    <t>0.5% Convertible Senior Notes due 2021</t>
  </si>
  <si>
    <t>4Q12</t>
  </si>
  <si>
    <t>3Q12</t>
  </si>
  <si>
    <t>1Q09</t>
  </si>
  <si>
    <t>2Q09</t>
  </si>
  <si>
    <t>3Q09</t>
  </si>
  <si>
    <t>4Q09</t>
  </si>
  <si>
    <t>1Q10</t>
  </si>
  <si>
    <t>2Q10</t>
  </si>
  <si>
    <t>3Q10</t>
  </si>
  <si>
    <t>4Q10</t>
  </si>
  <si>
    <t>1Q11</t>
  </si>
  <si>
    <t>2Q11</t>
  </si>
  <si>
    <t>3Q11</t>
  </si>
  <si>
    <t>4Q11</t>
  </si>
  <si>
    <t>1Q12</t>
  </si>
  <si>
    <t>1Q14</t>
  </si>
  <si>
    <t>2Q14</t>
  </si>
  <si>
    <t>3Q14</t>
  </si>
  <si>
    <t>4Q14</t>
  </si>
  <si>
    <t>2613990</t>
  </si>
  <si>
    <t>SGNT.O,mscalc:closePriceCurrencyCalc</t>
  </si>
  <si>
    <t>SGNT.O,mscalc:sedolCodeCalc</t>
  </si>
  <si>
    <t>SGNT.O,mscalc:targetPrice,,,,USD</t>
  </si>
  <si>
    <t>B687XN8</t>
  </si>
  <si>
    <t>29</t>
  </si>
  <si>
    <t>,mscalc:closePriceCurrencyCalc</t>
  </si>
  <si>
    <t>,mscalc:targetPrice,,,,USD</t>
  </si>
  <si>
    <t>Illumina</t>
  </si>
  <si>
    <t>Quarterly Income Statement</t>
  </si>
  <si>
    <t>Dollars in millions, except per share data</t>
  </si>
  <si>
    <t>Fiscal year ends Dec. 31</t>
  </si>
  <si>
    <t>2007-Q1</t>
  </si>
  <si>
    <t>2007-Q2</t>
  </si>
  <si>
    <t>2007-Q3</t>
  </si>
  <si>
    <t>2007-Q4</t>
  </si>
  <si>
    <t>2007-FY</t>
  </si>
  <si>
    <t>2008-Q1</t>
  </si>
  <si>
    <t>2008-Q2</t>
  </si>
  <si>
    <t>2008-Q3</t>
  </si>
  <si>
    <t>2008-Q4</t>
  </si>
  <si>
    <t>2008-FY</t>
  </si>
  <si>
    <t>2009-Q1</t>
  </si>
  <si>
    <t>2009-Q2</t>
  </si>
  <si>
    <t>2009-Q3</t>
  </si>
  <si>
    <t>2009-Q4</t>
  </si>
  <si>
    <t>2009-FY</t>
  </si>
  <si>
    <t>2010-Q1</t>
  </si>
  <si>
    <t>2010-Q2</t>
  </si>
  <si>
    <t>2010-Q3</t>
  </si>
  <si>
    <t>2010-Q4</t>
  </si>
  <si>
    <t>2010-FY</t>
  </si>
  <si>
    <t>2011-Q1</t>
  </si>
  <si>
    <t>2011-Q2</t>
  </si>
  <si>
    <t>2011-Q3</t>
  </si>
  <si>
    <t>2011-Q4</t>
  </si>
  <si>
    <t>2011-FY</t>
  </si>
  <si>
    <t>2012-Q1</t>
  </si>
  <si>
    <t>2012-Q2</t>
  </si>
  <si>
    <t>2012-Q3</t>
  </si>
  <si>
    <t>2012-Q4</t>
  </si>
  <si>
    <t>2012-FY</t>
  </si>
  <si>
    <t>2013-Q1</t>
  </si>
  <si>
    <t>2013-Q2</t>
  </si>
  <si>
    <t>2013-Q3</t>
  </si>
  <si>
    <t>2013-Q4</t>
  </si>
  <si>
    <t>2013-FY</t>
  </si>
  <si>
    <t>2014-Q1</t>
  </si>
  <si>
    <t>2014-Q2</t>
  </si>
  <si>
    <t>2014-Q3</t>
  </si>
  <si>
    <t>2014-Q4</t>
  </si>
  <si>
    <t>2014-FY</t>
  </si>
  <si>
    <t>Product</t>
  </si>
  <si>
    <t>Service and Other</t>
  </si>
  <si>
    <t>Total Revenue</t>
  </si>
  <si>
    <t>Service</t>
  </si>
  <si>
    <t>Total Cost of Goods Sold</t>
  </si>
  <si>
    <t>Gross Profit</t>
  </si>
  <si>
    <t xml:space="preserve">   R&amp;D</t>
  </si>
  <si>
    <t xml:space="preserve">   SG&amp;A</t>
  </si>
  <si>
    <t>Total Operating Expenses</t>
  </si>
  <si>
    <t>Amortization</t>
  </si>
  <si>
    <t>EBITDA</t>
  </si>
  <si>
    <t>Interest (Expense)/Income/Other</t>
  </si>
  <si>
    <t>Pretax Income</t>
  </si>
  <si>
    <t>Basic Shares Outstanding</t>
  </si>
  <si>
    <t>Average Basic Shares</t>
  </si>
  <si>
    <t>Dilutive equity awards</t>
  </si>
  <si>
    <t>Dilutive warrants from Solexa</t>
  </si>
  <si>
    <t>Average Share Price in the quarter</t>
  </si>
  <si>
    <t>Margin Adjustments</t>
  </si>
  <si>
    <t xml:space="preserve">     Stock based comp</t>
  </si>
  <si>
    <t xml:space="preserve">     Amortization of acq. Intang</t>
  </si>
  <si>
    <t>GAAP Gross Profit</t>
  </si>
  <si>
    <t>Non-GAAP Gross Profit</t>
  </si>
  <si>
    <t>GAAP R&amp;D expense</t>
  </si>
  <si>
    <t>Non-GAAP R&amp;D expense</t>
  </si>
  <si>
    <t>GAAP SG&amp;A</t>
  </si>
  <si>
    <t>Non-GAAP SG&amp;A</t>
  </si>
  <si>
    <t xml:space="preserve">     Contingent comp gain</t>
  </si>
  <si>
    <t>GAAP Operating Profit</t>
  </si>
  <si>
    <t xml:space="preserve">     HQ relocation expense</t>
  </si>
  <si>
    <t>Non-GAAP Operating Profit</t>
  </si>
  <si>
    <t xml:space="preserve">     Contingent compensation gain</t>
  </si>
  <si>
    <t>Instruments</t>
  </si>
  <si>
    <t>Other</t>
  </si>
  <si>
    <t>EBIT</t>
  </si>
  <si>
    <t>Net Income</t>
  </si>
  <si>
    <t>Total Debt</t>
  </si>
  <si>
    <t>Intangibles</t>
  </si>
  <si>
    <t>Revenue Breakdown</t>
  </si>
  <si>
    <t xml:space="preserve">  Consumables</t>
  </si>
  <si>
    <t>Product Sales</t>
  </si>
  <si>
    <t>Service and Other Revenue</t>
  </si>
  <si>
    <t>Consumables</t>
  </si>
  <si>
    <t>ModelWare</t>
  </si>
  <si>
    <t>Statutory Tax</t>
  </si>
  <si>
    <t>Goodwill</t>
  </si>
  <si>
    <t>Microarray</t>
  </si>
  <si>
    <t>Units Shipped (~units sold)</t>
  </si>
  <si>
    <t>% Growth (y/y)</t>
  </si>
  <si>
    <t>Average Installed Base</t>
  </si>
  <si>
    <t>Total</t>
  </si>
  <si>
    <t>Sequencing</t>
  </si>
  <si>
    <t>ASP ($'000s)</t>
  </si>
  <si>
    <t>Upgrades &amp; Replacements</t>
  </si>
  <si>
    <t>% GAII upgrades/replacements</t>
  </si>
  <si>
    <t>New Placements</t>
  </si>
  <si>
    <t>BGI Revenue Recognition</t>
  </si>
  <si>
    <t>Units Placed</t>
  </si>
  <si>
    <t>Total Current Value</t>
  </si>
  <si>
    <t>MiSeq</t>
  </si>
  <si>
    <t>GAII and later</t>
  </si>
  <si>
    <t>Total Sequencing Consumables Sales</t>
  </si>
  <si>
    <t>85%+</t>
  </si>
  <si>
    <t>HiSeq X10</t>
  </si>
  <si>
    <t>Total Sequencing Sales</t>
  </si>
  <si>
    <t>Product Mix</t>
  </si>
  <si>
    <t xml:space="preserve">Cash Flow Statement </t>
  </si>
  <si>
    <t>Fiscal year ends Dec</t>
  </si>
  <si>
    <t>From Operating Activity</t>
  </si>
  <si>
    <t>Net Income (loss)</t>
  </si>
  <si>
    <t xml:space="preserve"> Depreciation </t>
  </si>
  <si>
    <t xml:space="preserve"> Amortization of intangible assets</t>
  </si>
  <si>
    <t xml:space="preserve"> Charge for acquired in-process technology</t>
  </si>
  <si>
    <t xml:space="preserve"> Stock-based compensation</t>
  </si>
  <si>
    <t xml:space="preserve">  Other Adjustments to Net Income</t>
  </si>
  <si>
    <t>Net Change in Working Capital</t>
  </si>
  <si>
    <t xml:space="preserve">        Accounts Receivable</t>
  </si>
  <si>
    <t xml:space="preserve">        Inventories</t>
  </si>
  <si>
    <t xml:space="preserve">        Prepaid Expenses/Other Current Assets</t>
  </si>
  <si>
    <t xml:space="preserve">        Accounts Payable</t>
  </si>
  <si>
    <t xml:space="preserve">        Deferred income taxes</t>
  </si>
  <si>
    <t>Cost of Service and Other Revenue</t>
  </si>
  <si>
    <t>Growth Analysis</t>
  </si>
  <si>
    <t>Revenues</t>
  </si>
  <si>
    <t>Total Stock Based Comp</t>
  </si>
  <si>
    <t xml:space="preserve">        Accrued Liabilities</t>
  </si>
  <si>
    <t xml:space="preserve">        Other Assets</t>
  </si>
  <si>
    <t>NM</t>
  </si>
  <si>
    <t xml:space="preserve">        Other Liabilities</t>
  </si>
  <si>
    <t xml:space="preserve">  Cash From Operations</t>
  </si>
  <si>
    <t>From Investing Activity</t>
  </si>
  <si>
    <t>Cap Ex</t>
  </si>
  <si>
    <t>Purchases of available for sale securities</t>
  </si>
  <si>
    <t>ILMN.O</t>
  </si>
  <si>
    <t>Sales and Maturities of available for sale securities</t>
  </si>
  <si>
    <t>Acquisitions</t>
  </si>
  <si>
    <t xml:space="preserve"> Net from Investing</t>
  </si>
  <si>
    <t>From Financing Activity</t>
  </si>
  <si>
    <t>Proceeds from issuance of common stock</t>
  </si>
  <si>
    <t>Issuance/Payment of Debt</t>
  </si>
  <si>
    <t>2Q12</t>
  </si>
  <si>
    <t>Excess tax benefits for stock based compensation</t>
  </si>
  <si>
    <t>Sales (Purchase) of Convert Hedges and Warrants</t>
  </si>
  <si>
    <t>Repurchases of Common Stock</t>
  </si>
  <si>
    <t xml:space="preserve"> Net from Financing</t>
  </si>
  <si>
    <t>Effect of exchange rate change</t>
  </si>
  <si>
    <t>Net Cash Flow</t>
  </si>
  <si>
    <t xml:space="preserve">Balance Sheet </t>
  </si>
  <si>
    <t>Assets</t>
  </si>
  <si>
    <t>Cash and Investments</t>
  </si>
  <si>
    <t>Cash</t>
  </si>
  <si>
    <t>ST Investments</t>
  </si>
  <si>
    <t>Accounts Receivables, Net</t>
  </si>
  <si>
    <t>Inventory, net</t>
  </si>
  <si>
    <t>Deferred tax assets, current portion</t>
  </si>
  <si>
    <t>Prepaid Expenses &amp; Other Current Assets</t>
  </si>
  <si>
    <t>Total Current Assets</t>
  </si>
  <si>
    <t>Net Property, Plant &amp; Equipment</t>
  </si>
  <si>
    <t>Long term Investments</t>
  </si>
  <si>
    <t>Intangible Assets</t>
  </si>
  <si>
    <t>Deferred Tax Assets</t>
  </si>
  <si>
    <t>Total Assets</t>
  </si>
  <si>
    <t>Liabilities</t>
  </si>
  <si>
    <t>Accounts Payable</t>
  </si>
  <si>
    <t>Accrued Liabilities</t>
  </si>
  <si>
    <t>Other Current Liabilities</t>
  </si>
  <si>
    <t>Current Maturities of Long-Term Debt</t>
  </si>
  <si>
    <t>Total Current Liabilities</t>
  </si>
  <si>
    <t>Other Liabilities</t>
  </si>
  <si>
    <t>Long-term Debt &amp; Conversion Option</t>
  </si>
  <si>
    <t>Total Liabilities</t>
  </si>
  <si>
    <t>Preferred Stock</t>
  </si>
  <si>
    <t>Common Stock</t>
  </si>
  <si>
    <t>Additional Paid in Capital</t>
  </si>
  <si>
    <t>Accumulated other comprehensive</t>
  </si>
  <si>
    <t>Treasury at Cost</t>
  </si>
  <si>
    <t>Shareholders' Equity</t>
  </si>
  <si>
    <t>Total Liabilities &amp; Shareholders' Equity</t>
  </si>
  <si>
    <t>Check</t>
  </si>
  <si>
    <t>Financial Metrics</t>
  </si>
  <si>
    <t>Net debt (debt-cash)</t>
  </si>
  <si>
    <t>Net cash per share</t>
  </si>
  <si>
    <t>Returns</t>
  </si>
  <si>
    <t>Return on Equity (ROE)</t>
  </si>
  <si>
    <t>Return on Assets (ROA)</t>
  </si>
  <si>
    <t>Return on Invested Capital (ROIC)</t>
  </si>
  <si>
    <t>Debt Coverage/Leverage</t>
  </si>
  <si>
    <t>EBITDA Coverage</t>
  </si>
  <si>
    <t>EBIT Coverage</t>
  </si>
  <si>
    <t>Net Debt / EBITDA</t>
  </si>
  <si>
    <t>Debt / Capital</t>
  </si>
  <si>
    <t>Liquidity</t>
  </si>
  <si>
    <t>Current Ratio (CA/CL)</t>
  </si>
  <si>
    <t>Quick Ratio ((Cash+Mkt Sec+AR)/CL)</t>
  </si>
  <si>
    <t>Cash Ratio</t>
  </si>
  <si>
    <t>Acid-Test Ratio</t>
  </si>
  <si>
    <t>Working Capital Metrics</t>
  </si>
  <si>
    <t>Days Sales Oustanding (DSO)</t>
  </si>
  <si>
    <t>Inventory Days (DIO)</t>
  </si>
  <si>
    <t>Days Payable Outstanding (DPO)</t>
  </si>
  <si>
    <t>Cash Conversion Cycle</t>
  </si>
  <si>
    <t>Additional balance Sheet Metrics</t>
  </si>
  <si>
    <t>Accrued Liabilities (% of OpExp)</t>
  </si>
  <si>
    <t>Other Current Liabilities (% of OpExp)</t>
  </si>
  <si>
    <t>Prepaid Expenses &amp; Other (% of Rev)</t>
  </si>
  <si>
    <t>Changes in Shareholders' Equity</t>
  </si>
  <si>
    <t>Opening Balance</t>
  </si>
  <si>
    <t>Issue of Shares (including premium)</t>
  </si>
  <si>
    <t>Dividend</t>
  </si>
  <si>
    <t>AOCI</t>
  </si>
  <si>
    <t>Other AOCI</t>
  </si>
  <si>
    <t>Closing Balance</t>
  </si>
  <si>
    <t>PP&amp;E</t>
  </si>
  <si>
    <t>PP&amp;E, gross - BoP</t>
  </si>
  <si>
    <t>Capex</t>
  </si>
  <si>
    <t>% of sales</t>
  </si>
  <si>
    <t>PP&amp;E, gross - EoP</t>
  </si>
  <si>
    <t>Accumulated depreciation - BoP</t>
  </si>
  <si>
    <t>Depreciation</t>
  </si>
  <si>
    <t>% of beg gross</t>
  </si>
  <si>
    <t>Accum Depreciation - EoP</t>
  </si>
  <si>
    <t>PP&amp;E, net</t>
  </si>
  <si>
    <t>Assumed depreciable life</t>
  </si>
  <si>
    <t>Average Age of Assets</t>
  </si>
  <si>
    <t>Intangibles - BoP</t>
  </si>
  <si>
    <t>% of beg bal</t>
  </si>
  <si>
    <t>Intangibles - EoP</t>
  </si>
  <si>
    <t>Beg Balance</t>
  </si>
  <si>
    <t>Acquisitions / write-offs</t>
  </si>
  <si>
    <t>Ending Balance</t>
  </si>
  <si>
    <t>Europe</t>
  </si>
  <si>
    <t>Total sales per platform</t>
  </si>
  <si>
    <t>ASP-new ($'000s)</t>
  </si>
  <si>
    <t>ASP-upgrade ($'000s)</t>
  </si>
  <si>
    <t>EBIT (Non-GAAP)</t>
  </si>
  <si>
    <t>Diluted Shares Outstanding (GAAP)</t>
  </si>
  <si>
    <t>ND</t>
  </si>
  <si>
    <t>Non-GAAP Shares</t>
  </si>
  <si>
    <t>One Time Charges</t>
  </si>
  <si>
    <t>Income Tax Expense (benefit)</t>
  </si>
  <si>
    <t>Service GM</t>
  </si>
  <si>
    <t>Non-GAAP R&amp;D % of revs</t>
  </si>
  <si>
    <t>Non-GAAP SG&amp;A % of revs</t>
  </si>
  <si>
    <t>Non-GAAP Net Income</t>
  </si>
  <si>
    <t>Stock comp as % of Non-GAAP revs</t>
  </si>
  <si>
    <t xml:space="preserve">     Acquisition related (gain) expense &amp; other</t>
  </si>
  <si>
    <t>GAAP Margins</t>
  </si>
  <si>
    <t>United States</t>
  </si>
  <si>
    <t>Model Ware EPS</t>
  </si>
  <si>
    <t>Instruments Revenues</t>
  </si>
  <si>
    <t>Consumable Revenues</t>
  </si>
  <si>
    <t>GAIIx Revenues</t>
  </si>
  <si>
    <t>Custom (75% Ag) / Focused (Human or Ag)</t>
  </si>
  <si>
    <t>Total Sequencing Install Base</t>
  </si>
  <si>
    <t>Other Product Revenue</t>
  </si>
  <si>
    <t>Total Product Revenue</t>
  </si>
  <si>
    <t>GAIIe/GAIIx &amp; Later</t>
  </si>
  <si>
    <r>
      <t>HiSeq 2000</t>
    </r>
    <r>
      <rPr>
        <sz val="8"/>
        <rFont val="Arial"/>
        <family val="2"/>
      </rPr>
      <t xml:space="preserve"> Instrument Revenues</t>
    </r>
  </si>
  <si>
    <r>
      <t>HiSeq 2500</t>
    </r>
    <r>
      <rPr>
        <sz val="8"/>
        <rFont val="Arial"/>
        <family val="2"/>
      </rPr>
      <t xml:space="preserve"> Instrument Revenues</t>
    </r>
  </si>
  <si>
    <t>New Sequencing UNIT instrument placements</t>
  </si>
  <si>
    <t>New Sequencing UNIT instrument placements (including upgrades)</t>
  </si>
  <si>
    <t>Total Sequencing Instruments REVS</t>
  </si>
  <si>
    <t>Retained (deficit) Earnings</t>
  </si>
  <si>
    <t>Consumables &amp; Other Product Revs</t>
  </si>
  <si>
    <t>Total COGS</t>
  </si>
  <si>
    <t>Instruments GM</t>
  </si>
  <si>
    <t>Consumables GM</t>
  </si>
  <si>
    <t>Stk Comp in Cost of Product Revenue</t>
  </si>
  <si>
    <t>Stk Comp in Cost of Service and Other Revenue</t>
  </si>
  <si>
    <t>Stk Comp in R&amp;D</t>
  </si>
  <si>
    <t>Stk Comp in SG&amp;A</t>
  </si>
  <si>
    <t>Stock Repurchases / Issuances</t>
  </si>
  <si>
    <t>0.25% Convertible Senior Notes due 2016</t>
  </si>
  <si>
    <t>Carrying amount of liability component</t>
  </si>
  <si>
    <t>Unamortized discount of liability component</t>
  </si>
  <si>
    <t>Net carrying amount of liability component</t>
  </si>
  <si>
    <t>Long-term debt</t>
  </si>
  <si>
    <t>Current portion</t>
  </si>
  <si>
    <t>Conversion option subject to cash settlement</t>
  </si>
  <si>
    <t>Carrying value of equity component</t>
  </si>
  <si>
    <t>Average Stock Price</t>
  </si>
  <si>
    <t>Issuances / (Repayments)</t>
  </si>
  <si>
    <t>Clinical Oncology</t>
  </si>
  <si>
    <t>CAGR</t>
  </si>
  <si>
    <t>Total Installs</t>
  </si>
  <si>
    <t>Accretion Expense</t>
  </si>
  <si>
    <t>Cash Interest Expense</t>
  </si>
  <si>
    <t>Total GAAP Interest Expense</t>
  </si>
  <si>
    <t>Warrants with 2014 Convertible Notes</t>
  </si>
  <si>
    <t>Dilution from Convertible Notes</t>
  </si>
  <si>
    <t>Total long term debt &amp; conversion option</t>
  </si>
  <si>
    <t>Change in Record Debt - APIC</t>
  </si>
  <si>
    <t>Organic Growth</t>
  </si>
  <si>
    <t>Total Service &amp; Other Revenue</t>
  </si>
  <si>
    <t>ASP ($)</t>
  </si>
  <si>
    <r>
      <t>MiSeq</t>
    </r>
    <r>
      <rPr>
        <sz val="8"/>
        <rFont val="Arial"/>
        <family val="2"/>
      </rPr>
      <t xml:space="preserve"> Instrument Revenues</t>
    </r>
  </si>
  <si>
    <r>
      <t>HiSeq Franchise</t>
    </r>
    <r>
      <rPr>
        <sz val="8"/>
        <rFont val="Arial"/>
        <family val="2"/>
      </rPr>
      <t xml:space="preserve"> Instrument Revenues</t>
    </r>
  </si>
  <si>
    <t>% Growth (Y/Y)</t>
  </si>
  <si>
    <t>COGS (Non-GAAP)</t>
  </si>
  <si>
    <t>R&amp;D (Non-GAAP)</t>
  </si>
  <si>
    <t>SG&amp;A (Non-GAAP)</t>
  </si>
  <si>
    <t>Verinata Revenue</t>
  </si>
  <si>
    <t>Americas</t>
  </si>
  <si>
    <t>China</t>
  </si>
  <si>
    <t>Asia</t>
  </si>
  <si>
    <t xml:space="preserve">    Fast Track: # of genomes shipped</t>
  </si>
  <si>
    <t xml:space="preserve">    IGN: orders</t>
  </si>
  <si>
    <t>Diluted EPS (Non-GAAP)</t>
  </si>
  <si>
    <t>Japan</t>
  </si>
  <si>
    <t>Big</t>
  </si>
  <si>
    <t>Shipment Regional Growth</t>
  </si>
  <si>
    <t>Total Sequencing Consumables</t>
  </si>
  <si>
    <t>Amortization of acq intang assets &amp; other</t>
  </si>
  <si>
    <t>Incremental Gross Profit</t>
  </si>
  <si>
    <t>Incremental Operating Profit</t>
  </si>
  <si>
    <r>
      <t>NextSeq</t>
    </r>
    <r>
      <rPr>
        <sz val="8"/>
        <rFont val="Arial"/>
        <family val="2"/>
      </rPr>
      <t xml:space="preserve"> Instrument Revenues</t>
    </r>
  </si>
  <si>
    <t>NextSeq</t>
  </si>
  <si>
    <t>HiSeq X Ten</t>
  </si>
  <si>
    <t>NextSeq Cum. Shipments (~install base)</t>
  </si>
  <si>
    <t>GAIIx and Later Cum. Shipments (~install base)</t>
  </si>
  <si>
    <t>MiSeq Cum. Shipments (~install base)</t>
  </si>
  <si>
    <t>HiSeq 2000 Cum. Shipments (~install base)</t>
  </si>
  <si>
    <t>HiSeq 2500 Cum. Shipments (~install base)</t>
  </si>
  <si>
    <t>HiSeq X Ten Cum. Shipments (~install base)</t>
  </si>
  <si>
    <t>2018-Q1</t>
  </si>
  <si>
    <t>2018-Q2</t>
  </si>
  <si>
    <t>2018-Q3</t>
  </si>
  <si>
    <t>2018-Q4</t>
  </si>
  <si>
    <t>2018-FY</t>
  </si>
  <si>
    <t xml:space="preserve">  Total OPEX (Non-GAAP)</t>
  </si>
  <si>
    <t xml:space="preserve"> Excess tax benefits for stk based comp/cont. comp exp</t>
  </si>
  <si>
    <t>Margin Analysis</t>
  </si>
  <si>
    <t>Revenue Build</t>
  </si>
  <si>
    <t>Total Sequencing Instrument Sales</t>
  </si>
  <si>
    <t>Quarterly Debt</t>
  </si>
  <si>
    <t>(Dollars in millions, except per share data)</t>
  </si>
  <si>
    <t>2016-Q1</t>
  </si>
  <si>
    <t>2016-Q2</t>
  </si>
  <si>
    <t>2016-Q3</t>
  </si>
  <si>
    <t>2016-Q4</t>
  </si>
  <si>
    <t>2016-FY</t>
  </si>
  <si>
    <t>2017-Q1</t>
  </si>
  <si>
    <t>2017-Q2</t>
  </si>
  <si>
    <t>2017-Q3</t>
  </si>
  <si>
    <t>2017-Q4</t>
  </si>
  <si>
    <t>2017-FY</t>
  </si>
  <si>
    <t>Borrowings</t>
  </si>
  <si>
    <t>Short-term borrowings and current maturities of long-term debt</t>
  </si>
  <si>
    <t>Cash Balance (BOP)</t>
  </si>
  <si>
    <t>Implied Interest Rate</t>
  </si>
  <si>
    <t>0.625% Convertible Senior Notes due 2014</t>
  </si>
  <si>
    <t>Annualized Cons Pull Through ($'000)</t>
  </si>
  <si>
    <t>M&amp;A Accounting</t>
  </si>
  <si>
    <t>Total Purchase Price</t>
  </si>
  <si>
    <t>Sales</t>
  </si>
  <si>
    <t>Tax Rate</t>
  </si>
  <si>
    <t>Taxes</t>
  </si>
  <si>
    <t>NOPAT</t>
  </si>
  <si>
    <t>,mscalc:sedolCodeCalc</t>
  </si>
  <si>
    <t>ILMN.O,mscalc:targetPrice</t>
  </si>
  <si>
    <t>$T$2</t>
  </si>
  <si>
    <t>NOPAT Margin</t>
  </si>
  <si>
    <t>Accounts Receivables</t>
  </si>
  <si>
    <t>Inventory</t>
  </si>
  <si>
    <t>Other Current Assets</t>
  </si>
  <si>
    <t>Net PP&amp;E</t>
  </si>
  <si>
    <t>Noncurrent Assets</t>
  </si>
  <si>
    <t>Deferred tax</t>
  </si>
  <si>
    <t>Goodwill &amp; Other Intangibles</t>
  </si>
  <si>
    <t>Operating Assets</t>
  </si>
  <si>
    <t>Additional Information</t>
  </si>
  <si>
    <t>Average Consumables/Unit ($'000s)</t>
  </si>
  <si>
    <t>Strong</t>
  </si>
  <si>
    <t>Down</t>
  </si>
  <si>
    <t>Ex X10</t>
  </si>
  <si>
    <t>Units Orders</t>
  </si>
  <si>
    <t>Backlog (units)</t>
  </si>
  <si>
    <t>Backlog Conversion (%)</t>
  </si>
  <si>
    <t>1Q15</t>
  </si>
  <si>
    <t>2Q15</t>
  </si>
  <si>
    <t>3Q15</t>
  </si>
  <si>
    <t>4Q15</t>
  </si>
  <si>
    <r>
      <t>HiSeq 3000</t>
    </r>
    <r>
      <rPr>
        <sz val="8"/>
        <rFont val="Arial"/>
        <family val="2"/>
      </rPr>
      <t xml:space="preserve"> Instrument Revenues</t>
    </r>
  </si>
  <si>
    <r>
      <t>HiSeq 4000</t>
    </r>
    <r>
      <rPr>
        <sz val="8"/>
        <rFont val="Arial"/>
        <family val="2"/>
      </rPr>
      <t xml:space="preserve"> Instrument Revenues</t>
    </r>
  </si>
  <si>
    <r>
      <t>HiSeq X</t>
    </r>
    <r>
      <rPr>
        <b/>
        <sz val="8"/>
        <rFont val="Arial"/>
        <family val="2"/>
      </rPr>
      <t>10</t>
    </r>
    <r>
      <rPr>
        <sz val="8"/>
        <rFont val="Arial"/>
        <family val="2"/>
      </rPr>
      <t xml:space="preserve"> instrument Revenues</t>
    </r>
  </si>
  <si>
    <r>
      <t>HiSeq X5</t>
    </r>
    <r>
      <rPr>
        <sz val="8"/>
        <rFont val="Arial"/>
        <family val="2"/>
      </rPr>
      <t xml:space="preserve"> instrument Revenues</t>
    </r>
  </si>
  <si>
    <t>HiSeq 3000</t>
  </si>
  <si>
    <t>HiSeq 4000</t>
  </si>
  <si>
    <t>HiSeq X Five</t>
  </si>
  <si>
    <t>HiSeq 3000 Cum. Shipments (~install base)</t>
  </si>
  <si>
    <t>HiSeq 4000 Cum. Shipments (~install base)</t>
  </si>
  <si>
    <t>HiSeq X Five Cum. Shipments (~install base)</t>
  </si>
  <si>
    <t xml:space="preserve">     HiSeq 3000</t>
  </si>
  <si>
    <t xml:space="preserve">     HiSeq 4000</t>
  </si>
  <si>
    <t xml:space="preserve">    Total HiSeq </t>
  </si>
  <si>
    <t xml:space="preserve">     MiSeq</t>
  </si>
  <si>
    <t xml:space="preserve">     NextSeq</t>
  </si>
  <si>
    <t xml:space="preserve">     HiSeq X Five</t>
  </si>
  <si>
    <t xml:space="preserve">     HiSeq X Ten</t>
  </si>
  <si>
    <t>Ex X5/10</t>
  </si>
  <si>
    <r>
      <t>NeoPrep</t>
    </r>
    <r>
      <rPr>
        <sz val="8"/>
        <rFont val="Arial"/>
        <family val="2"/>
      </rPr>
      <t xml:space="preserve"> Instrument Revenues</t>
    </r>
  </si>
  <si>
    <t>% HS upgrades/replace</t>
  </si>
  <si>
    <t>Upgrades from 3000</t>
  </si>
  <si>
    <t>Replacements of 2500</t>
  </si>
  <si>
    <t>Fx impact</t>
  </si>
  <si>
    <t>Y/Y Reported Growth</t>
  </si>
  <si>
    <t>Upgrades</t>
  </si>
  <si>
    <t>Upgrade Revenue</t>
  </si>
  <si>
    <t>Total X Unit Orders</t>
  </si>
  <si>
    <t xml:space="preserve">    Genome England Revenue</t>
  </si>
  <si>
    <t>Total HiSeq 2500-4000</t>
  </si>
  <si>
    <t>HiSeq X5</t>
  </si>
  <si>
    <t>Total X Units</t>
  </si>
  <si>
    <t>Unit Shipments</t>
  </si>
  <si>
    <t>Install/qr Vs Installed Base</t>
  </si>
  <si>
    <t>Declined</t>
  </si>
  <si>
    <t>Weak</t>
  </si>
  <si>
    <t>Total X Backlog</t>
  </si>
  <si>
    <t>Backlog</t>
  </si>
  <si>
    <t>Instrument</t>
  </si>
  <si>
    <t>1Q16</t>
  </si>
  <si>
    <t>2Q16</t>
  </si>
  <si>
    <t>3Q16</t>
  </si>
  <si>
    <t>4Q16</t>
  </si>
  <si>
    <t>Okay</t>
  </si>
  <si>
    <t>Summary Cash Flow</t>
  </si>
  <si>
    <t>Operating Cash Flow</t>
  </si>
  <si>
    <t>FCF/Share</t>
  </si>
  <si>
    <t>4Q16E</t>
  </si>
  <si>
    <t>% growth</t>
  </si>
  <si>
    <t>Instrument Revenues ($ mn)</t>
  </si>
  <si>
    <t>Instrument Placements (#)</t>
  </si>
  <si>
    <t>% of Total Shipments</t>
  </si>
  <si>
    <t>Consumables Revenues ($ mn)</t>
  </si>
  <si>
    <t>EOP Installed Base (#)</t>
  </si>
  <si>
    <t>Clinical Shipments (#)</t>
  </si>
  <si>
    <t>% Clinical &amp; Translation / Total</t>
  </si>
  <si>
    <t>Total Company Data</t>
  </si>
  <si>
    <t>% of Total Consumables Rev.</t>
  </si>
  <si>
    <t>Total Oncology Revenues ($ mn)</t>
  </si>
  <si>
    <t>Minority Interest</t>
  </si>
  <si>
    <t>Total Net HS 2000-4000 Installs</t>
  </si>
  <si>
    <t xml:space="preserve">Sequencing Installed Base </t>
  </si>
  <si>
    <t xml:space="preserve">Total Installed Base </t>
  </si>
  <si>
    <t>Non-cash Stock Comp expense</t>
  </si>
  <si>
    <t>Stock comp as % of revs</t>
  </si>
  <si>
    <t>Non-GAAP Net</t>
  </si>
  <si>
    <t>1Q17E</t>
  </si>
  <si>
    <t>2Q17E</t>
  </si>
  <si>
    <t>3Q17E</t>
  </si>
  <si>
    <t>1Q18E</t>
  </si>
  <si>
    <t>2Q18E</t>
  </si>
  <si>
    <t>3Q18E</t>
  </si>
  <si>
    <t>4Q18E</t>
  </si>
  <si>
    <t>Instrument Revs Ex-FX ($ mn)</t>
  </si>
  <si>
    <t xml:space="preserve">     MiSeq </t>
  </si>
  <si>
    <t>Other Volume (000s)</t>
  </si>
  <si>
    <t>SQNM Volume (000s)</t>
  </si>
  <si>
    <t>NTRA Volume (000s)</t>
  </si>
  <si>
    <t>US + Europe Market (000s)</t>
  </si>
  <si>
    <t>Average ASP Ex-FX ($K)</t>
  </si>
  <si>
    <t>Nominal Avg. ASP ($K)</t>
  </si>
  <si>
    <t>% Ex-FX Growth (Y/Y)</t>
  </si>
  <si>
    <t>Nominal Avg. Pullthrough ($K)</t>
  </si>
  <si>
    <t>Average Pullthrough Ex-FX ($K)</t>
  </si>
  <si>
    <t>Instrument Revenues Ex-FX ($ mn)</t>
  </si>
  <si>
    <t>Consumables Revenues Ex-FX ($ mn)</t>
  </si>
  <si>
    <t>% Total Consumab. Rev. Ex-FX</t>
  </si>
  <si>
    <t>% Total Shipments</t>
  </si>
  <si>
    <t>% FX impact</t>
  </si>
  <si>
    <t>% Total Instrument Rev. Ex-FX</t>
  </si>
  <si>
    <t>Avg. Other + China ASP ($)</t>
  </si>
  <si>
    <t>Avg. Global  ASP ($)</t>
  </si>
  <si>
    <t>Global Number of Tests (000s)</t>
  </si>
  <si>
    <t>% of US + Europe NIPT mkt</t>
  </si>
  <si>
    <t>ASP Ex-FX ($)</t>
  </si>
  <si>
    <t>Total NIPT Revenues Ex-FX ($mn)</t>
  </si>
  <si>
    <t>% Total Clinical Rev</t>
  </si>
  <si>
    <t>Nominal NIPT Instr. Rev. ($mn)</t>
  </si>
  <si>
    <t>Nominal Other Clinical Rev. ($mn)</t>
  </si>
  <si>
    <t xml:space="preserve">NIPT </t>
  </si>
  <si>
    <t>% Total Revenues</t>
  </si>
  <si>
    <r>
      <t>MiniSeq</t>
    </r>
    <r>
      <rPr>
        <sz val="8"/>
        <rFont val="Arial"/>
        <family val="2"/>
      </rPr>
      <t xml:space="preserve"> Instrument Revenues</t>
    </r>
  </si>
  <si>
    <t>MiniSeq Cum. Shipments (~install base)</t>
  </si>
  <si>
    <t>MiniSeq</t>
  </si>
  <si>
    <t xml:space="preserve">     MiniSeq </t>
  </si>
  <si>
    <t>Replacements of 2000</t>
  </si>
  <si>
    <t>End Market Revenue Build</t>
  </si>
  <si>
    <t>Academic &amp; Gov. Rev. Ex-FX ($ mn)</t>
  </si>
  <si>
    <t>Nominal Academic &amp; Gov. Rev. ($ mn)</t>
  </si>
  <si>
    <t>Consolidated Revenues Ex-FX ($ mn)</t>
  </si>
  <si>
    <t>Nominal Consolidated Rev. ($mn)</t>
  </si>
  <si>
    <t>Total Clinical Revenues Ex-FX ($ mn)</t>
  </si>
  <si>
    <t>Total Clinical Nominal Rev. ($mn)</t>
  </si>
  <si>
    <t>EOP Installed Clinical Base (#)</t>
  </si>
  <si>
    <t>Academic &amp; Govt. Shipments (#)</t>
  </si>
  <si>
    <t>% of Total Consumables Rev. Ex-FX</t>
  </si>
  <si>
    <t>Clinical Oncology Revenues Ex-FX ($ mn)</t>
  </si>
  <si>
    <t>Nominal Clinical Oncology Rev. ($mn)</t>
  </si>
  <si>
    <t>NIPT Instrument Revenues Ex-FX ($ mn)</t>
  </si>
  <si>
    <t>Other Clinical Revenues Ex-FX ($mn)</t>
  </si>
  <si>
    <t>Total Clinical</t>
  </si>
  <si>
    <t>Other Clinical Excluding NIPT &amp; Oncology</t>
  </si>
  <si>
    <t>China NIPT Revenues Ex-FX ($mn)</t>
  </si>
  <si>
    <t>Nominal Verinata Revenues ($mn)</t>
  </si>
  <si>
    <t>Verinata Revenues Ex-FX ($mn)</t>
  </si>
  <si>
    <t>Nominal Total NIPT Revenues ($mn)</t>
  </si>
  <si>
    <t>Other Labs NIPT Revenues Ex-FX ($mn)</t>
  </si>
  <si>
    <t>Other Applications Revenue Ex-FX ($ mn)</t>
  </si>
  <si>
    <t>Nominal Other Applications Rev. ($mn)</t>
  </si>
  <si>
    <t>Shipments Data</t>
  </si>
  <si>
    <t>Non-Academic &amp; Government Shipments (#)</t>
  </si>
  <si>
    <t>EOP Non-A&amp;G Installed Base (#)</t>
  </si>
  <si>
    <t>Total Oncology Revenues (includes Clinical, Translational &amp; Research)</t>
  </si>
  <si>
    <t>Total Oncology Nominal Rev. ($mn)</t>
  </si>
  <si>
    <t>% Clinical Oncology / Total Oncology</t>
  </si>
  <si>
    <t>Consumables &amp; Verinata Revs Ex-FX ($ mn)</t>
  </si>
  <si>
    <t xml:space="preserve">% of Non-A&amp;G Shipments </t>
  </si>
  <si>
    <t>Other Applications Shipments (#)</t>
  </si>
  <si>
    <t>Backlog Adjusted</t>
  </si>
  <si>
    <t>% relative to revenues</t>
  </si>
  <si>
    <t>% relative to inventory</t>
  </si>
  <si>
    <t>Book-to-Bill</t>
  </si>
  <si>
    <t>&gt;1</t>
  </si>
  <si>
    <t>XFive</t>
  </si>
  <si>
    <t>XTen</t>
  </si>
  <si>
    <t>Gb per Day</t>
  </si>
  <si>
    <t>Annualized Capacity (mn of Gb)</t>
  </si>
  <si>
    <t>Yr/Yr Growth</t>
  </si>
  <si>
    <t>$ consumables/Gb of capacity</t>
  </si>
  <si>
    <t>GA II</t>
  </si>
  <si>
    <t>Qr/Qr Growth</t>
  </si>
  <si>
    <t>% of Average Consumable Pullthrough</t>
  </si>
  <si>
    <t>Sequencing consumables revenues</t>
  </si>
  <si>
    <t>% consumables revenue growth</t>
  </si>
  <si>
    <t xml:space="preserve">%  less installed capacity growth </t>
  </si>
  <si>
    <t>Installed Throughput Capacity</t>
  </si>
  <si>
    <t>Product Specifications</t>
  </si>
  <si>
    <t>$ Price / Gb</t>
  </si>
  <si>
    <t>Low end of utilization ($K)</t>
  </si>
  <si>
    <t>High end of utilization ($K)</t>
  </si>
  <si>
    <t>Low end of utilization (mm of Gb)</t>
  </si>
  <si>
    <t>High end of utilization (mm of Gb)</t>
  </si>
  <si>
    <t>Output / run (Gb)</t>
  </si>
  <si>
    <t>Low end implied runs (#)</t>
  </si>
  <si>
    <t>High end implied runs (#)</t>
  </si>
  <si>
    <t>% of installed throughput capacity</t>
  </si>
  <si>
    <t>High end of utilization (Gb)</t>
  </si>
  <si>
    <t>HiSeq X</t>
  </si>
  <si>
    <t>Annual Capacity HiSeq 3000 (mn of Gb)</t>
  </si>
  <si>
    <t>HiSeq 3000 Ending Installed Base (#)</t>
  </si>
  <si>
    <t>HiSeq 3000 Placements (#)</t>
  </si>
  <si>
    <t>Average HiSeq 3000 Installed Base (#)</t>
  </si>
  <si>
    <t>Instrument Revenues ($mn)</t>
  </si>
  <si>
    <t>Consumable Revenues ($mn)</t>
  </si>
  <si>
    <t>Upgrades of 3000 (#)</t>
  </si>
  <si>
    <t>HiSeq 4000 Ending Installed Base (#)</t>
  </si>
  <si>
    <t>HiSeq 4000 New Placements (#)</t>
  </si>
  <si>
    <t>Average HiSeq 4000 Installed Base (#)</t>
  </si>
  <si>
    <t>Annual Capacity HiSeq 4000 (mn of Gb)</t>
  </si>
  <si>
    <t>% Incremental Growth (Y/Y)</t>
  </si>
  <si>
    <t>Incremental Revenues</t>
  </si>
  <si>
    <t>Base Revenues</t>
  </si>
  <si>
    <t>Revised Instrument Placement</t>
  </si>
  <si>
    <t>Revised Capacity (mn of Gb)</t>
  </si>
  <si>
    <t>% Increase Relative to Reported</t>
  </si>
  <si>
    <t>% Base Revenues (Y/Y)</t>
  </si>
  <si>
    <t>Revised Forecasts</t>
  </si>
  <si>
    <t>Incremental Rev. HiSeq 3000 ($mn)</t>
  </si>
  <si>
    <t>Incremental Rev. HiSeq 4000 ($mn)</t>
  </si>
  <si>
    <t>Incremental Yr/Yr Growth (mm of Gb)</t>
  </si>
  <si>
    <t>Incremental Qr/Qr Growth  (mm of Gb)</t>
  </si>
  <si>
    <t>Incremental Placements (#)</t>
  </si>
  <si>
    <t>% Incremental Growth (%)</t>
  </si>
  <si>
    <t>Historical Analysis of Placements</t>
  </si>
  <si>
    <t xml:space="preserve">% of 3000 installed base </t>
  </si>
  <si>
    <t xml:space="preserve">% of 4000 installed base </t>
  </si>
  <si>
    <t xml:space="preserve">% of HiSeq 2000-4000 install base </t>
  </si>
  <si>
    <t xml:space="preserve">% of HiSeq 2000 installed base </t>
  </si>
  <si>
    <t>HiSeq 2000 Placements</t>
  </si>
  <si>
    <t>HiSeq 2500 Placements</t>
  </si>
  <si>
    <t xml:space="preserve">% of HiSeq 2500 installed base </t>
  </si>
  <si>
    <t>HiSeq 2000-4000 Installed Base (#)</t>
  </si>
  <si>
    <t>Backlog ($m)</t>
  </si>
  <si>
    <t>Backlog Adjusted ($m)*</t>
  </si>
  <si>
    <t>2008</t>
  </si>
  <si>
    <t>2009</t>
  </si>
  <si>
    <t>2010</t>
  </si>
  <si>
    <t>2011</t>
  </si>
  <si>
    <t>2012</t>
  </si>
  <si>
    <t>2013</t>
  </si>
  <si>
    <t>2014</t>
  </si>
  <si>
    <t>2015</t>
  </si>
  <si>
    <t>Base Case HiSeq 3000-4000 Placements</t>
  </si>
  <si>
    <t xml:space="preserve">% Total of HiSeq install base </t>
  </si>
  <si>
    <t>SG&amp;A HELIX &amp; GRAIL</t>
  </si>
  <si>
    <t>R&amp;D HELIX &amp; GRAIL</t>
  </si>
  <si>
    <t>R&amp;D excl. HELIX &amp; GRAIL</t>
  </si>
  <si>
    <t>SG&amp;A excl. HELIX &amp; GRAIL</t>
  </si>
  <si>
    <t>Net Income (Non-GAAP) excl H&amp;G</t>
  </si>
  <si>
    <t>EPS (Non-GAAP) excl H&amp;G</t>
  </si>
  <si>
    <t>Non-GAAP Net Income % of revs</t>
  </si>
  <si>
    <t>Oncology Market Estimate ($ mn)</t>
  </si>
  <si>
    <t>% Share of Oncology Market</t>
  </si>
  <si>
    <t>Slightly Up</t>
  </si>
  <si>
    <t>Total HiSeq installs</t>
  </si>
  <si>
    <t>2019-Q1</t>
  </si>
  <si>
    <t>2019-Q2</t>
  </si>
  <si>
    <t>2019-Q3</t>
  </si>
  <si>
    <t>2019-Q4</t>
  </si>
  <si>
    <t>2019-FY</t>
  </si>
  <si>
    <t>2020-Q1</t>
  </si>
  <si>
    <t>2020-Q2</t>
  </si>
  <si>
    <t>2020-Q3</t>
  </si>
  <si>
    <t>2020-Q4</t>
  </si>
  <si>
    <t>2020-FY</t>
  </si>
  <si>
    <t>Non-GAAP GP % of revs</t>
  </si>
  <si>
    <t>GRAIL spend</t>
  </si>
  <si>
    <r>
      <t>NovaSeq 5000</t>
    </r>
    <r>
      <rPr>
        <sz val="8"/>
        <rFont val="Arial"/>
        <family val="2"/>
      </rPr>
      <t xml:space="preserve"> Instrument Revenues</t>
    </r>
  </si>
  <si>
    <r>
      <t>NovaSeq 6000</t>
    </r>
    <r>
      <rPr>
        <sz val="8"/>
        <rFont val="Arial"/>
        <family val="2"/>
      </rPr>
      <t xml:space="preserve"> Instrument Revenues</t>
    </r>
  </si>
  <si>
    <t>Replacements of 2000/2500</t>
  </si>
  <si>
    <r>
      <t>NovaSeq Franchise</t>
    </r>
    <r>
      <rPr>
        <sz val="8"/>
        <rFont val="Arial"/>
        <family val="2"/>
      </rPr>
      <t xml:space="preserve"> Instrument Revenues</t>
    </r>
  </si>
  <si>
    <t>NovaSeq 5000-6000 Shipments</t>
  </si>
  <si>
    <t>NovaSeq5000 Cum. Shipments (~install base)</t>
  </si>
  <si>
    <t>NovaSeq6000 Cum. Shipments (~install base)</t>
  </si>
  <si>
    <t>Install/qr Vs HiSeq Installed Base</t>
  </si>
  <si>
    <t>NovaSeq 5000</t>
  </si>
  <si>
    <t>NovaSeq 6000</t>
  </si>
  <si>
    <t>HiSeq/Nova 2000-6000 Shipments</t>
  </si>
  <si>
    <t>1Q19E</t>
  </si>
  <si>
    <t>2Q19E</t>
  </si>
  <si>
    <t>3Q19E</t>
  </si>
  <si>
    <t>4Q19E</t>
  </si>
  <si>
    <t>1Q20E</t>
  </si>
  <si>
    <t>2Q20E</t>
  </si>
  <si>
    <t>3Q20E</t>
  </si>
  <si>
    <t>4Q20E</t>
  </si>
  <si>
    <t>Total NovaSeq</t>
  </si>
  <si>
    <t>10-15%</t>
  </si>
  <si>
    <t>GRAIL instruments</t>
  </si>
  <si>
    <t>Revenue growth ex-GRAIL</t>
  </si>
  <si>
    <t>1Q17</t>
  </si>
  <si>
    <t>Total High Throughput Instruments</t>
  </si>
  <si>
    <t>Cannibalization factor</t>
  </si>
  <si>
    <t>GRAIL R&amp;D</t>
  </si>
  <si>
    <t>Helix R&amp;D</t>
  </si>
  <si>
    <t>Helix SG&amp;A</t>
  </si>
  <si>
    <t>GRAIL SG&amp;A</t>
  </si>
  <si>
    <t>Total VIE R&amp;D</t>
  </si>
  <si>
    <t>Total VIE SG&amp;A</t>
  </si>
  <si>
    <t>WGS CAGR</t>
  </si>
  <si>
    <t>Genomes done</t>
  </si>
  <si>
    <t>WGS utilization of all runs</t>
  </si>
  <si>
    <t>Underling incremental margin</t>
  </si>
  <si>
    <t>EPS HELIX impact</t>
  </si>
  <si>
    <t>EPS GRAIL impact</t>
  </si>
  <si>
    <t>Backlog conversion</t>
  </si>
  <si>
    <t>% of revenues</t>
  </si>
  <si>
    <t>Weakness</t>
  </si>
  <si>
    <t>Microarray Products (Svc. Below)</t>
  </si>
  <si>
    <t>% y/y growth</t>
  </si>
  <si>
    <t>Employee Headcount</t>
  </si>
  <si>
    <t>HELIX spend</t>
  </si>
  <si>
    <t>EBIT ex-GRAIL &amp; HELIX</t>
  </si>
  <si>
    <t>EBIT % ex-GRAIL &amp; HELIX</t>
  </si>
  <si>
    <t>Tax Rate %</t>
  </si>
  <si>
    <t>Seqencing consumables growth % y/y</t>
  </si>
  <si>
    <t>2Q17</t>
  </si>
  <si>
    <t>3Q17</t>
  </si>
  <si>
    <t>4Q17</t>
  </si>
  <si>
    <t>Total underlying</t>
  </si>
  <si>
    <t>FX impact</t>
  </si>
  <si>
    <t>Acquisition impact</t>
  </si>
  <si>
    <t>Assumed FX drop-through EBIT</t>
  </si>
  <si>
    <t>EBIT (Non-GAAP) ex-GRAIL, HELIX</t>
  </si>
  <si>
    <t>ex-GRAIL, HELIX EBIT % of revs</t>
  </si>
  <si>
    <t>HELIX and GRAIL impact</t>
  </si>
  <si>
    <t>Core EBIT Margin %</t>
  </si>
  <si>
    <t xml:space="preserve">    Y/Y Core Margin change</t>
  </si>
  <si>
    <t xml:space="preserve">Core ILMN EBIT Bridge </t>
  </si>
  <si>
    <t>Core EBIT ex-items</t>
  </si>
  <si>
    <t>Reported EBIT</t>
  </si>
  <si>
    <t>GRAIL and HELIX EBIT % impact</t>
  </si>
  <si>
    <t>% EPS growth ex-GRAIL, HELIX</t>
  </si>
  <si>
    <t xml:space="preserve">    Y/Y Margin change</t>
  </si>
  <si>
    <t xml:space="preserve">EBIT Margin % </t>
  </si>
  <si>
    <t xml:space="preserve">    Y/Y Change in items</t>
  </si>
  <si>
    <t xml:space="preserve">Non-GAAP Reported EBIT </t>
  </si>
  <si>
    <t>Est. Restocking impact</t>
  </si>
  <si>
    <t>Est. Destocking impact</t>
  </si>
  <si>
    <t>Consumables destock/restock</t>
  </si>
  <si>
    <t>Pre-'17 Average</t>
  </si>
  <si>
    <t>'17-'20e Average</t>
  </si>
  <si>
    <t>cons revs</t>
  </si>
  <si>
    <t>cons EBIT</t>
  </si>
  <si>
    <t xml:space="preserve">Mse reported incrementals </t>
  </si>
  <si>
    <t>cons incrementals</t>
  </si>
  <si>
    <t xml:space="preserve">$177.76 </t>
  </si>
  <si>
    <t>Upgrades of 2000/2500</t>
  </si>
  <si>
    <t>Adoption % of HS install base</t>
  </si>
  <si>
    <t>% of HS install base adoption</t>
  </si>
  <si>
    <t>IMPLIED DATA GENERATION</t>
  </si>
  <si>
    <t>Project Firefly</t>
  </si>
  <si>
    <t>GenomeAnalyzer</t>
  </si>
  <si>
    <t>NovaSeq5000</t>
  </si>
  <si>
    <t>NovaSeq6000</t>
  </si>
  <si>
    <t>HiSeq4000</t>
  </si>
  <si>
    <t>HiSeq3000</t>
  </si>
  <si>
    <t>HiSeq2500</t>
  </si>
  <si>
    <t>Cost /Gb ($)</t>
  </si>
  <si>
    <t>$/GB</t>
  </si>
  <si>
    <t>Production</t>
  </si>
  <si>
    <t>$ consumables/Gb of data generated</t>
  </si>
  <si>
    <t>Sequencing Services</t>
  </si>
  <si>
    <t>% mix of total services</t>
  </si>
  <si>
    <t>Microarrays Services</t>
  </si>
  <si>
    <t>Microarray Products (Ex-services)</t>
  </si>
  <si>
    <t>Sequencing Products (Ex-services)</t>
  </si>
  <si>
    <t>Return on Assets (GAAP)</t>
  </si>
  <si>
    <t xml:space="preserve">Adjusted EBIT </t>
  </si>
  <si>
    <t>Cash Taxes</t>
  </si>
  <si>
    <t>NOPAT (adjusted)</t>
  </si>
  <si>
    <t>NOPAT margin</t>
  </si>
  <si>
    <t>Debt</t>
  </si>
  <si>
    <t>Net Deferred Tax Liabilities</t>
  </si>
  <si>
    <t>Other Long-Term Liabilities</t>
  </si>
  <si>
    <t>Off-balance sheet operating leases</t>
  </si>
  <si>
    <t>Equity</t>
  </si>
  <si>
    <t>Preferred Equity</t>
  </si>
  <si>
    <t>Accumulated Asset write-downs</t>
  </si>
  <si>
    <t>Non-performing Assets</t>
  </si>
  <si>
    <t>(Less cash)</t>
  </si>
  <si>
    <t>(Less unconsolidated investments)</t>
  </si>
  <si>
    <t>(Less Goodwill)</t>
  </si>
  <si>
    <t>Total Invested Capital (inc-Goodwill)</t>
  </si>
  <si>
    <t>Total Invested Capital (ex-Goodwill)</t>
  </si>
  <si>
    <t>ROIC (inc-Goodwill)</t>
  </si>
  <si>
    <t>ROIC (ex-Goodwill)</t>
  </si>
  <si>
    <t>Return on Invested Capital (ROIC)(ex-Goodwill)</t>
  </si>
  <si>
    <t>Academic &amp; Government Research</t>
  </si>
  <si>
    <t>Clinical/Translational</t>
  </si>
  <si>
    <t>Pharma/Biotech</t>
  </si>
  <si>
    <t>Consumer (NGS + Array genotyping)</t>
  </si>
  <si>
    <t>Total Other Applications</t>
  </si>
  <si>
    <t>Applied (Agbio, Forensics, Animals etc)</t>
  </si>
  <si>
    <t>BlueGnome (IVF/reproductive)</t>
  </si>
  <si>
    <t>Seq Services</t>
  </si>
  <si>
    <t>Array Services</t>
  </si>
  <si>
    <t>Total Sequencing (instr, cons &amp; services)</t>
  </si>
  <si>
    <t>Total Arrays (instr, cons &amp; services)</t>
  </si>
  <si>
    <t>2016</t>
  </si>
  <si>
    <t>2017</t>
  </si>
  <si>
    <t>Total revenue ($m)</t>
  </si>
  <si>
    <t>2018</t>
  </si>
  <si>
    <t>backlog % of future rev</t>
  </si>
  <si>
    <t>2021-FY</t>
  </si>
  <si>
    <t>2022-FY</t>
  </si>
  <si>
    <t>1Q21E</t>
  </si>
  <si>
    <t>2Q21E</t>
  </si>
  <si>
    <t>3Q21E</t>
  </si>
  <si>
    <t>4Q21E</t>
  </si>
  <si>
    <t>1Q22E</t>
  </si>
  <si>
    <t>2Q22E</t>
  </si>
  <si>
    <t>3Q22E</t>
  </si>
  <si>
    <t>4Q22E</t>
  </si>
  <si>
    <t>2021-Q1</t>
  </si>
  <si>
    <t>2021-Q2</t>
  </si>
  <si>
    <t>2021-Q3</t>
  </si>
  <si>
    <t>2021-Q4</t>
  </si>
  <si>
    <t>2022-Q1</t>
  </si>
  <si>
    <t>2022-Q2</t>
  </si>
  <si>
    <t>2022-Q3</t>
  </si>
  <si>
    <t>2022-Q4</t>
  </si>
  <si>
    <t>170</t>
  </si>
  <si>
    <t>Research</t>
  </si>
  <si>
    <t>MSA12974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</si>
  <si>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</si>
  <si>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</si>
  <si>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</si>
  <si>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</si>
  <si>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</si>
  <si>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</si>
  <si>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Steve Beuchaw</t>
  </si>
  <si>
    <t>Date: 25 Apr 2018</t>
  </si>
  <si>
    <t>Ticker: ILMN.O</t>
  </si>
  <si>
    <t>Stock Rating: Underweight</t>
  </si>
  <si>
    <t>Industry: Life Science Tools &amp; Diagnostics</t>
  </si>
  <si>
    <t>Industry View: In-Line</t>
  </si>
  <si>
    <t>Price as of 25 Apr 2018: 238.50</t>
  </si>
  <si>
    <t>Target Price: 180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</si>
  <si>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</si>
  <si>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</si>
  <si>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</si>
  <si>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</si>
  <si>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Illumina Inc..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</si>
  <si>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</si>
  <si>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</si>
  <si>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</si>
  <si>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</si>
  <si>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</si>
  <si>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</si>
  <si>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</si>
  <si>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</si>
  <si>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</si>
  <si>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</si>
  <si>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</si>
  <si>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</si>
  <si>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</si>
  <si>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</si>
  <si>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</si>
  <si>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</si>
  <si>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</si>
  <si>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</si>
  <si>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</si>
  <si>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</si>
  <si>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</si>
  <si>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</si>
  <si>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</si>
  <si>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</si>
  <si>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</si>
  <si>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</si>
  <si>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</si>
  <si>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</si>
  <si>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</si>
  <si>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</si>
  <si>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</si>
  <si>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</si>
  <si>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</si>
  <si>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</si>
  <si>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</si>
  <si>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</si>
  <si>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</si>
  <si>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</si>
  <si>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</si>
  <si>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</si>
  <si>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</si>
  <si>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</si>
  <si>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</si>
  <si>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</si>
  <si>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</si>
  <si>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</si>
  <si>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</si>
  <si>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</si>
  <si>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</si>
  <si>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</si>
  <si>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</si>
  <si>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</si>
  <si>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</si>
  <si>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</si>
  <si>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</si>
  <si>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</si>
  <si>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</si>
  <si>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</si>
  <si>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</si>
  <si>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</si>
  <si>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</si>
  <si>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</si>
  <si>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</si>
  <si>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</si>
  <si>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</si>
  <si>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</si>
  <si>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</si>
  <si>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</si>
  <si>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</si>
  <si>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</si>
  <si>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</si>
  <si>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</si>
  <si>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</si>
  <si>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</si>
  <si>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</si>
  <si>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</si>
  <si>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</si>
  <si>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</si>
  <si>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</si>
  <si>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</si>
  <si>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</si>
  <si>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</si>
  <si>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</si>
  <si>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</si>
  <si>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</si>
  <si>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</si>
  <si>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</si>
  <si>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</si>
  <si>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</si>
  <si>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</si>
  <si>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</si>
  <si>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</si>
  <si>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</si>
  <si>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</si>
  <si>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</si>
  <si>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</si>
  <si>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</si>
  <si>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</si>
  <si>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</si>
  <si>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</si>
  <si>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</si>
  <si>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</si>
  <si>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</si>
  <si>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</si>
  <si>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</si>
  <si>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</si>
  <si>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</si>
  <si>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</si>
  <si>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</si>
  <si>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</si>
  <si>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</si>
  <si>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</si>
  <si>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</si>
  <si>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</si>
  <si>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</si>
  <si>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</si>
  <si>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</si>
  <si>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</si>
  <si>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</si>
  <si>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</si>
  <si>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</si>
  <si>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</si>
  <si>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</si>
  <si>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</si>
  <si>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</si>
  <si>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</si>
  <si>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</si>
  <si>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</si>
  <si>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</si>
  <si>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</si>
  <si>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</si>
  <si>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</si>
  <si>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</si>
  <si>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</si>
  <si>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</si>
  <si>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</si>
  <si>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</si>
  <si>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</si>
  <si>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</si>
  <si>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</si>
  <si>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</si>
  <si>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</si>
  <si>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</si>
  <si>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</si>
  <si>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</si>
  <si>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</si>
  <si>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</si>
  <si>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</si>
  <si>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</si>
  <si>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</si>
  <si>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</si>
  <si>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</si>
  <si>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</si>
  <si>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</si>
  <si>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</si>
  <si>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</si>
  <si>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</si>
  <si>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</si>
  <si>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</si>
  <si>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</si>
  <si>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</si>
  <si>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</si>
  <si>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</si>
  <si>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</si>
  <si>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</si>
  <si>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</si>
  <si>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</si>
  <si>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</si>
  <si>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</si>
  <si>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</si>
  <si>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</si>
  <si>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</si>
  <si>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</si>
  <si>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</si>
  <si>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</si>
  <si>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</si>
  <si>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</si>
  <si>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</si>
  <si>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</si>
  <si>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</si>
  <si>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</si>
  <si>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</si>
  <si>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</si>
  <si>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</si>
  <si>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</si>
  <si>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</si>
  <si>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</si>
  <si>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</si>
  <si>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</si>
  <si>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</si>
  <si>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</si>
  <si>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</si>
  <si>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</si>
  <si>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</si>
  <si>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</si>
  <si>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</si>
  <si>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</si>
  <si>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</si>
  <si>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</si>
  <si>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</si>
  <si>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</si>
  <si>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</si>
  <si>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</si>
  <si>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</si>
  <si>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</si>
  <si>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</si>
  <si>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</si>
  <si>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</si>
  <si>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</si>
  <si>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</si>
  <si>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</si>
  <si>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</si>
  <si>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</si>
  <si>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</si>
  <si>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</si>
  <si>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</si>
  <si>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</si>
  <si>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</si>
  <si>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</si>
  <si>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</si>
  <si>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</si>
  <si>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</si>
  <si>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</si>
  <si>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</si>
  <si>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</si>
  <si>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</si>
  <si>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</si>
  <si>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</si>
  <si>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</si>
  <si>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</si>
  <si>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</si>
  <si>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</si>
  <si>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</si>
  <si>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</si>
  <si>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</si>
  <si>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</si>
  <si>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</si>
  <si>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</si>
  <si>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</si>
  <si>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</si>
  <si>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</si>
  <si>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</si>
  <si>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</si>
  <si>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Illumina Inc..</t>
  </si>
  <si>
    <t>Within the last 12 months, Morgan Stanley has provided or is providing investment banking services to,</t>
  </si>
  <si>
    <t>or has an investment banking client relationship with, the following company: Illumina Inc..</t>
  </si>
  <si>
    <t>Within the last 12 months, Morgan Stanley has received compensation for products and services other than</t>
  </si>
  <si>
    <t>investment banking services from Illumina Inc..</t>
  </si>
  <si>
    <t>In the next 3 months, Morgan Stanley expects to receive or intends to seek compensation for investment</t>
  </si>
  <si>
    <t>banking services from Illumina Inc..</t>
  </si>
  <si>
    <t>As of March 29, 2018, Morgan Stanley beneficially owned 1% or more of a class of common equity</t>
  </si>
  <si>
    <t>securities of the following companies covered in Morgan Stanley Research: Illumina Inc..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</si>
  <si>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</si>
  <si>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</si>
  <si>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</si>
  <si>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</si>
  <si>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</si>
  <si>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Steve Beuchaw.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</si>
  <si>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</si>
  <si>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</si>
  <si>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</si>
  <si>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</si>
  <si>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</si>
  <si>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</si>
  <si>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</si>
  <si>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</si>
  <si>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</si>
  <si>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</si>
  <si>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</si>
  <si>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</si>
  <si>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</si>
  <si>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</si>
  <si>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</si>
  <si>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</si>
  <si>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</si>
  <si>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</si>
  <si>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</si>
  <si>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</si>
  <si>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</si>
  <si>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</si>
  <si>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</si>
  <si>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</si>
  <si>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</si>
  <si>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</si>
  <si>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</si>
  <si>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</si>
  <si>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</si>
  <si>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</si>
  <si>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</si>
  <si>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</si>
  <si>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</si>
  <si>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</si>
  <si>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</si>
  <si>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</si>
  <si>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</si>
  <si>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</si>
  <si>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</si>
  <si>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</si>
  <si>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</si>
  <si>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</si>
  <si>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</si>
  <si>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</si>
  <si>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</si>
  <si>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</si>
  <si>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</si>
  <si>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</si>
  <si>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</si>
  <si>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</si>
  <si>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</si>
  <si>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</si>
  <si>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</si>
  <si>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</si>
  <si>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</si>
  <si>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</si>
  <si>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</si>
  <si>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</si>
  <si>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</si>
  <si>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</si>
  <si>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</si>
  <si>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</si>
  <si>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</si>
  <si>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</si>
  <si>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</si>
  <si>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</si>
  <si>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</si>
  <si>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</si>
  <si>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Underweight / In-Line</t>
  </si>
  <si>
    <t>Quarterly Update</t>
  </si>
  <si>
    <t>NorthAmerica</t>
  </si>
  <si>
    <t>wachter</t>
  </si>
  <si>
    <t>L:\HEALTH\Tools\Models\Published models\ILMN_Published.xlsm</t>
  </si>
  <si>
    <t>[BRO MSA]</t>
  </si>
  <si>
    <t>[PRODUCT MODEL]</t>
  </si>
  <si>
    <t>[EMAIL_ALERT YES]</t>
  </si>
  <si>
    <t>[DISCIPLINE Company]</t>
  </si>
  <si>
    <t>[SUPPRESSED NO]</t>
  </si>
  <si>
    <t>[DOCDAT 2018-04-25]</t>
  </si>
  <si>
    <t>[DOCTIME 09:28]</t>
  </si>
  <si>
    <t>[PSYM ILMN.O(S&amp;P) (None)]</t>
  </si>
  <si>
    <t>[COU 1]</t>
  </si>
  <si>
    <t>[ANA ]</t>
  </si>
  <si>
    <t>[HL ILMN.O Model]</t>
  </si>
  <si>
    <t>[IND HLTHCR]</t>
  </si>
  <si>
    <t>[PANA MSA12974]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</si>
</sst>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_);[Red]\(&quot;$&quot;#,##0.0\)"/>
    <numFmt numFmtId="165" formatCode="&quot;$&quot;#,##0.00"/>
    <numFmt numFmtId="166" formatCode="0.0"/>
    <numFmt numFmtId="167" formatCode="0.0%"/>
    <numFmt numFmtId="168" formatCode="&quot;$&quot;#,##0.0_);\(&quot;$&quot;#,##0.0\)"/>
    <numFmt numFmtId="169" formatCode="_(* #,##0.0_);_(* \(#,##0.0\);_(* &quot;-&quot;_);_(@_)"/>
    <numFmt numFmtId="170" formatCode="_(&quot;$&quot;* #,##0.0_);_(&quot;$&quot;* \(#,##0.0\);_(&quot;$&quot;* &quot;-&quot;??_);_(@_)"/>
    <numFmt numFmtId="171" formatCode="[$-409]mmm\-yy;@"/>
    <numFmt numFmtId="172" formatCode="#,##0.0_);\(#,##0.0\)"/>
    <numFmt numFmtId="173" formatCode="&quot;$&quot;#,##0.000_);\(&quot;$&quot;#,##0.000\)"/>
    <numFmt numFmtId="174" formatCode="_(* #,##0.00_);_(* \(#,##0.00\);_(* &quot;-&quot;_);_(@_)"/>
    <numFmt numFmtId="175" formatCode="_(* #,##0.000_);_(* \(#,##0.000\);_(* &quot;-&quot;_);_(@_)"/>
    <numFmt numFmtId="176" formatCode="_(* #,##0.0_);_(* \(#,##0.0\);_(* &quot;-&quot;??_);_(@_)"/>
    <numFmt numFmtId="177" formatCode="0.000"/>
    <numFmt numFmtId="178" formatCode="0_);\(0\)"/>
    <numFmt numFmtId="179" formatCode="_(* #,##0_);_(* \(#,##0\);_(* &quot;-&quot;??_);_(@_)"/>
    <numFmt numFmtId="180" formatCode="&quot;$&quot;#,##0"/>
    <numFmt numFmtId="181" formatCode="&quot;$&quot;#,##0.0"/>
    <numFmt numFmtId="182" formatCode="0.0_);\(0.0\)"/>
    <numFmt numFmtId="183" formatCode="_(* #,##0_);_(* \(#,##0\);_(* &quot;-&quot;?_);_(@_)"/>
    <numFmt numFmtId="184" formatCode="0_);[Red]\(0\)"/>
    <numFmt numFmtId="185" formatCode="_(* #,##0.0_);_(* \(#,##0.0\);_(* &quot;-&quot;?_);_(@_)"/>
    <numFmt numFmtId="186" formatCode="_(* #,##0.000_);_(* \(#,##0.000\);_(* &quot;-&quot;?_);_(@_)"/>
    <numFmt numFmtId="187" formatCode="_(* #,##0.00_);_(* \(#,##0.00\);_(* &quot;-&quot;?_);_(@_)"/>
    <numFmt numFmtId="188" formatCode="0.0\x"/>
    <numFmt numFmtId="192" formatCode="_(&quot;$&quot;* #,##0_);_(&quot;$&quot;* \(#,##0\);_(&quot;$&quot;* &quot;-&quot;??_);_(@_)"/>
    <numFmt numFmtId="194" formatCode="0.00_);\(0.00\)"/>
    <numFmt numFmtId="198" formatCode="_(* #,##0.000_);_(* \(#,##0.000\);_(* &quot;-&quot;??_);_(@_)"/>
    <numFmt numFmtId="199" formatCode="#,##0.00000000000_);\(#,##0.00000000000\)"/>
    <numFmt numFmtId="200" formatCode="0&quot;A&quot;"/>
    <numFmt numFmtId="201" formatCode="0&quot;E&quot;"/>
    <numFmt numFmtId="203" formatCode="#,##0.0%_);\(#,##0.0%\)"/>
    <numFmt numFmtId="204" formatCode="#,##0.0_);\(#,##0.0\);&quot;-&quot;"/>
    <numFmt numFmtId="205" formatCode="#,##0.000_);\(#,##0.000\);&quot;-&quot;"/>
    <numFmt numFmtId="206" formatCode="0.000%"/>
    <numFmt numFmtId="207" formatCode="#,##0.000_);\(#,##0.000\)"/>
    <numFmt numFmtId="208" formatCode="_(* #,##0.0000_);_(* \(#,##0.0000\);_(* &quot;-&quot;?_);_(@_)"/>
    <numFmt numFmtId="209" formatCode="_(* #,##0.000000_);_(* \(#,##0.000000\);_(* &quot;-&quot;?_);_(@_)"/>
    <numFmt numFmtId="210" formatCode="_(* #,##0.000000000_);_(* \(#,##0.000000000\);_(* &quot;-&quot;?_);_(@_)"/>
    <numFmt numFmtId="211" formatCode="&quot;$&quot;#,##0.0000_);\(&quot;$&quot;#,##0.0000\)"/>
    <numFmt numFmtId="212" formatCode="_(* #,##0.0000_);_(* \(#,##0.0000\);_(* &quot;-&quot;??_);_(@_)"/>
    <numFmt numFmtId="213" formatCode="#,##0.0"/>
    <numFmt numFmtId="215" formatCode="#,##0.000"/>
    <numFmt numFmtId="219" formatCode="#,##0.0000"/>
    <numFmt numFmtId="222" formatCode="_(&quot;$&quot;* #,##0.000_);_(&quot;$&quot;* \(#,##0.000\);_(&quot;$&quot;* &quot;-&quot;??_);_(@_)"/>
    <numFmt numFmtId="225" formatCode="0_)"/>
    <numFmt numFmtId="226" formatCode="0.000_);\(0.000\)"/>
    <numFmt numFmtId="229" formatCode="#,##0.0000000000000"/>
    <numFmt numFmtId="232" formatCode="#,##0.000000000000_);\(#,##0.000000000000\)"/>
    <numFmt numFmtId="233" formatCode="#,##0.0000000000_);\(#,##0.0000000000\)"/>
    <numFmt numFmtId="234" formatCode="_-&quot;£&quot;* #,##0.00_-;\-&quot;£&quot;* #,##0.00_-;_-&quot;£&quot;* &quot;-&quot;??_-;_-@_-"/>
    <numFmt numFmtId="238" formatCode="[Red]#,##0_);[Red]\(#,##0\)"/>
    <numFmt numFmtId="239" formatCode="0.0%;[Red]\(0.0%\)"/>
    <numFmt numFmtId="240" formatCode="0%;[Red]\(0%\)"/>
    <numFmt numFmtId="241" formatCode="0.0%;\(0.0%\)"/>
    <numFmt numFmtId="242" formatCode="0%;\(0%\)"/>
    <numFmt numFmtId="243" formatCode="&quot;   &quot;@"/>
    <numFmt numFmtId="244" formatCode="_(* #,##0_);_(* \(#,##0\);_(* &quot;-&quot;_)"/>
    <numFmt numFmtId="245" formatCode="_(* #,##0.00000_);_(* \(#,##0.00000\);_(* &quot;-&quot;??_);_(@_)"/>
    <numFmt numFmtId="251" formatCode="mm/dd/yy\ hh:mm"/>
  </numFmts>
  <fonts count="189">
    <font>
      <sz val="10"/>
      <name val="Arial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name val="Times"/>
      <family val="1"/>
    </font>
    <font>
      <sz val="10"/>
      <name val="Helv"/>
    </font>
    <font>
      <b/>
      <sz val="10"/>
      <name val="Arial"/>
      <family val="2"/>
    </font>
    <font>
      <i/>
      <sz val="8"/>
      <color indexed="8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color indexed="12"/>
      <name val="Arial"/>
      <family val="2"/>
    </font>
    <font>
      <sz val="8"/>
      <color indexed="8"/>
      <name val="Arial"/>
      <family val="2"/>
    </font>
    <font>
      <sz val="8"/>
      <color indexed="8"/>
      <name val="Arial"/>
      <family val="2"/>
    </font>
    <font>
      <sz val="8"/>
      <name val="CIR Trade Gothic Light"/>
    </font>
    <font>
      <sz val="8"/>
      <color indexed="12"/>
      <name val="CIR Trade Gothic Light"/>
    </font>
    <font>
      <i/>
      <sz val="8"/>
      <name val="CIR Trade Gothic Light"/>
    </font>
    <font>
      <b/>
      <sz val="8"/>
      <name val="Arial"/>
      <family val="2"/>
    </font>
    <font>
      <b/>
      <sz val="8"/>
      <name val="CIR Trade Gothic Light"/>
    </font>
    <font>
      <b/>
      <i/>
      <sz val="8"/>
      <name val="Arial"/>
      <family val="2"/>
    </font>
    <font>
      <i/>
      <sz val="8"/>
      <color indexed="12"/>
      <name val="Arial"/>
      <family val="2"/>
    </font>
    <font>
      <i/>
      <sz val="10"/>
      <name val="Arial"/>
      <family val="2"/>
    </font>
    <font>
      <b/>
      <sz val="8"/>
      <color indexed="10"/>
      <name val="Arial"/>
      <family val="2"/>
    </font>
    <font>
      <i/>
      <sz val="8"/>
      <color indexed="10"/>
      <name val="Arial"/>
      <family val="2"/>
    </font>
    <font>
      <sz val="8"/>
      <color indexed="10"/>
      <name val="Arial"/>
      <family val="2"/>
    </font>
    <font>
      <b/>
      <sz val="8"/>
      <color indexed="12"/>
      <name val="Arial"/>
      <family val="2"/>
    </font>
    <font>
      <b/>
      <sz val="8"/>
      <color indexed="8"/>
      <name val="Arial"/>
      <family val="2"/>
    </font>
    <font>
      <b/>
      <sz val="8"/>
      <color indexed="9"/>
      <name val="Arial"/>
      <family val="2"/>
    </font>
    <font>
      <b/>
      <u/>
      <sz val="8"/>
      <name val="Arial"/>
      <family val="2"/>
    </font>
    <font>
      <b/>
      <u/>
      <sz val="8"/>
      <color indexed="9"/>
      <name val="Arial"/>
      <family val="2"/>
    </font>
    <font>
      <sz val="8"/>
      <color indexed="9"/>
      <name val="Arial"/>
      <family val="2"/>
    </font>
    <font>
      <sz val="8"/>
      <name val="Arial"/>
      <family val="2"/>
    </font>
    <font>
      <b/>
      <sz val="8"/>
      <color indexed="12"/>
      <name val="Arial"/>
      <family val="2"/>
    </font>
    <font>
      <b/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i/>
      <sz val="8"/>
      <color indexed="10"/>
      <name val="Arial"/>
      <family val="2"/>
    </font>
    <font>
      <sz val="8"/>
      <color indexed="12"/>
      <name val="Times"/>
      <family val="1"/>
    </font>
    <font>
      <sz val="9"/>
      <name val="Times New Roman"/>
      <family val="1"/>
    </font>
    <font>
      <sz val="11"/>
      <name val="Arial"/>
      <family val="2"/>
    </font>
    <font>
      <sz val="8"/>
      <name val="Tms Rmn"/>
    </font>
    <font>
      <i/>
      <sz val="8"/>
      <color indexed="9"/>
      <name val="Arial"/>
      <family val="2"/>
    </font>
    <font>
      <b/>
      <sz val="12"/>
      <name val="Arial"/>
      <family val="2"/>
    </font>
    <font>
      <sz val="8"/>
      <name val="Times New Roman"/>
      <family val="1"/>
    </font>
    <font>
      <sz val="8"/>
      <color indexed="17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8"/>
      <color indexed="57"/>
      <name val="Arial"/>
      <family val="2"/>
    </font>
    <font>
      <sz val="8"/>
      <color indexed="17"/>
      <name val="Arial"/>
      <family val="2"/>
    </font>
    <font>
      <b/>
      <sz val="8"/>
      <color indexed="10"/>
      <name val="Arial"/>
      <family val="2"/>
    </font>
    <font>
      <i/>
      <u/>
      <sz val="8"/>
      <name val="Arial"/>
      <family val="2"/>
    </font>
    <font>
      <sz val="8"/>
      <color indexed="22"/>
      <name val="Arial"/>
      <family val="2"/>
    </font>
    <font>
      <sz val="9"/>
      <name val="Arial"/>
      <family val="2"/>
    </font>
    <font>
      <sz val="11"/>
      <color indexed="62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color indexed="57"/>
      <name val="CIR Trade Gothic Light"/>
    </font>
    <font>
      <sz val="8"/>
      <color indexed="9"/>
      <name val="Arial"/>
      <family val="2"/>
    </font>
    <font>
      <sz val="8"/>
      <color indexed="9"/>
      <name val="CIR Trade Gothic Light"/>
    </font>
    <font>
      <i/>
      <sz val="8"/>
      <color indexed="9"/>
      <name val="CIR Trade Gothic Light"/>
    </font>
    <font>
      <i/>
      <sz val="8"/>
      <color indexed="8"/>
      <name val="Arial"/>
      <family val="2"/>
    </font>
    <font>
      <b/>
      <i/>
      <u/>
      <sz val="8"/>
      <name val="Arial"/>
      <family val="2"/>
    </font>
    <font>
      <sz val="8"/>
      <color indexed="17"/>
      <name val="CIR Trade Gothic Light"/>
    </font>
    <font>
      <b/>
      <i/>
      <sz val="8"/>
      <color indexed="9"/>
      <name val="Arial"/>
      <family val="2"/>
    </font>
    <font>
      <b/>
      <i/>
      <sz val="10"/>
      <name val="Arial"/>
      <family val="2"/>
    </font>
    <font>
      <i/>
      <sz val="8"/>
      <color indexed="17"/>
      <name val="Arial"/>
      <family val="2"/>
    </font>
    <font>
      <sz val="8"/>
      <color indexed="24"/>
      <name val="Arial"/>
      <family val="2"/>
    </font>
    <font>
      <b/>
      <sz val="8"/>
      <color indexed="10"/>
      <name val="Arial"/>
      <family val="2"/>
    </font>
    <font>
      <sz val="8"/>
      <color indexed="9"/>
      <name val="Arial"/>
      <family val="2"/>
    </font>
    <font>
      <sz val="8"/>
      <color indexed="24"/>
      <name val="Arial"/>
      <family val="2"/>
    </font>
    <font>
      <i/>
      <sz val="8"/>
      <color indexed="24"/>
      <name val="Arial"/>
      <family val="2"/>
    </font>
    <font>
      <sz val="8"/>
      <color indexed="26"/>
      <name val="Arial"/>
      <family val="2"/>
    </font>
    <font>
      <b/>
      <sz val="8"/>
      <color indexed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9"/>
      <name val="Arial"/>
      <family val="2"/>
    </font>
    <font>
      <sz val="8"/>
      <color indexed="24"/>
      <name val="Arial"/>
      <family val="2"/>
    </font>
    <font>
      <sz val="8"/>
      <color indexed="19"/>
      <name val="Arial"/>
      <family val="2"/>
    </font>
    <font>
      <i/>
      <sz val="8"/>
      <color indexed="19"/>
      <name val="Arial"/>
      <family val="2"/>
    </font>
    <font>
      <sz val="8"/>
      <color indexed="24"/>
      <name val="Arial"/>
      <family val="2"/>
    </font>
    <font>
      <sz val="8"/>
      <color indexed="32"/>
      <name val="Arial"/>
      <family val="2"/>
    </font>
    <font>
      <i/>
      <sz val="8"/>
      <color indexed="32"/>
      <name val="Arial"/>
      <family val="2"/>
    </font>
    <font>
      <sz val="8"/>
      <color indexed="17"/>
      <name val="Arial"/>
      <family val="2"/>
    </font>
    <font>
      <b/>
      <sz val="8"/>
      <color indexed="9"/>
      <name val="Arial"/>
      <family val="2"/>
    </font>
    <font>
      <i/>
      <sz val="8"/>
      <color indexed="24"/>
      <name val="Arial"/>
      <family val="2"/>
    </font>
    <font>
      <i/>
      <sz val="8"/>
      <color indexed="18"/>
      <name val="Arial"/>
      <family val="2"/>
    </font>
    <font>
      <sz val="8"/>
      <color indexed="24"/>
      <name val="CIR Trade Gothic Light"/>
    </font>
    <font>
      <sz val="11"/>
      <color indexed="8"/>
      <name val="Arial"/>
      <family val="2"/>
    </font>
    <font>
      <sz val="8"/>
      <color indexed="24"/>
      <name val="Arial"/>
      <family val="2"/>
    </font>
    <font>
      <i/>
      <sz val="8"/>
      <color indexed="24"/>
      <name val="Arial"/>
      <family val="2"/>
    </font>
    <font>
      <sz val="8"/>
      <color indexed="18"/>
      <name val="Arial"/>
      <family val="2"/>
    </font>
    <font>
      <b/>
      <sz val="8"/>
      <color indexed="24"/>
      <name val="Arial"/>
      <family val="2"/>
    </font>
    <font>
      <sz val="8"/>
      <color indexed="18"/>
      <name val="Arial"/>
      <family val="2"/>
    </font>
    <font>
      <i/>
      <sz val="8"/>
      <color indexed="24"/>
      <name val="Arial"/>
      <family val="2"/>
    </font>
    <font>
      <sz val="8"/>
      <color indexed="24"/>
      <name val="Arial"/>
      <family val="2"/>
    </font>
    <font>
      <i/>
      <sz val="8"/>
      <color indexed="18"/>
      <name val="Arial"/>
      <family val="2"/>
    </font>
    <font>
      <i/>
      <sz val="8"/>
      <color indexed="58"/>
      <name val="Arial"/>
      <family val="2"/>
    </font>
    <font>
      <sz val="8"/>
      <color indexed="58"/>
      <name val="Arial"/>
      <family val="2"/>
    </font>
    <font>
      <sz val="8"/>
      <color indexed="24"/>
      <name val="CIR Trade Gothic Light"/>
    </font>
    <font>
      <sz val="8"/>
      <color indexed="18"/>
      <name val="Arial"/>
      <family val="2"/>
    </font>
    <font>
      <sz val="8"/>
      <color indexed="17"/>
      <name val="Arial"/>
      <family val="2"/>
    </font>
    <font>
      <sz val="8"/>
      <color indexed="24"/>
      <name val="Arial"/>
      <family val="2"/>
    </font>
    <font>
      <i/>
      <sz val="8"/>
      <color indexed="24"/>
      <name val="Arial"/>
      <family val="2"/>
    </font>
    <font>
      <i/>
      <sz val="8"/>
      <color indexed="17"/>
      <name val="Arial"/>
      <family val="2"/>
    </font>
    <font>
      <sz val="8"/>
      <color indexed="24"/>
      <name val="Arial"/>
      <family val="2"/>
    </font>
    <font>
      <sz val="10"/>
      <color indexed="24"/>
      <name val="Arial"/>
      <family val="2"/>
    </font>
    <font>
      <sz val="8"/>
      <color indexed="26"/>
      <name val="Arial"/>
      <family val="2"/>
    </font>
    <font>
      <b/>
      <sz val="8"/>
      <color indexed="24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b/>
      <i/>
      <sz val="8"/>
      <color indexed="24"/>
      <name val="Arial"/>
      <family val="2"/>
    </font>
    <font>
      <sz val="8"/>
      <color indexed="17"/>
      <name val="Arial"/>
      <family val="2"/>
    </font>
    <font>
      <i/>
      <sz val="8"/>
      <color indexed="24"/>
      <name val="Arial"/>
      <family val="2"/>
    </font>
    <font>
      <b/>
      <i/>
      <sz val="8"/>
      <color indexed="17"/>
      <name val="Arial"/>
      <family val="2"/>
    </font>
    <font>
      <i/>
      <sz val="8"/>
      <color indexed="17"/>
      <name val="Arial"/>
      <family val="2"/>
    </font>
    <font>
      <sz val="8"/>
      <color indexed="58"/>
      <name val="Arial"/>
      <family val="2"/>
    </font>
    <font>
      <sz val="11"/>
      <color theme="1"/>
      <name val="Arial"/>
      <family val="2"/>
    </font>
    <font>
      <sz val="8"/>
      <color rgb="FF008000"/>
      <name val="Arial"/>
      <family val="2"/>
    </font>
    <font>
      <b/>
      <sz val="8"/>
      <color rgb="FFFF0000"/>
      <name val="Arial"/>
      <family val="2"/>
    </font>
    <font>
      <sz val="8"/>
      <color rgb="FF00B050"/>
      <name val="Arial"/>
      <family val="2"/>
    </font>
    <font>
      <sz val="8"/>
      <color rgb="FF0070C0"/>
      <name val="Arial"/>
      <family val="2"/>
    </font>
    <font>
      <sz val="8"/>
      <color rgb="FF0070C0"/>
      <name val="CIR Trade Gothic Light"/>
    </font>
    <font>
      <b/>
      <sz val="8"/>
      <color theme="0"/>
      <name val="Arial"/>
      <family val="2"/>
    </font>
    <font>
      <sz val="10"/>
      <color theme="0"/>
      <name val="Arial"/>
      <family val="2"/>
    </font>
    <font>
      <sz val="8"/>
      <color rgb="FF7030A0"/>
      <name val="Arial"/>
      <family val="2"/>
    </font>
    <font>
      <sz val="8"/>
      <color theme="0"/>
      <name val="Arial"/>
      <family val="2"/>
    </font>
    <font>
      <b/>
      <sz val="8"/>
      <color rgb="FF0070C0"/>
      <name val="Arial"/>
      <family val="2"/>
    </font>
    <font>
      <sz val="8"/>
      <color rgb="FFFF0000"/>
      <name val="Arial"/>
      <family val="2"/>
    </font>
    <font>
      <i/>
      <sz val="8"/>
      <color rgb="FF0070C0"/>
      <name val="Arial"/>
      <family val="2"/>
    </font>
    <font>
      <sz val="8"/>
      <color theme="6"/>
      <name val="Arial"/>
      <family val="2"/>
    </font>
    <font>
      <sz val="8"/>
      <color theme="4"/>
      <name val="Arial"/>
      <family val="2"/>
    </font>
    <font>
      <sz val="8"/>
      <color theme="3" tint="0.39997558519241921"/>
      <name val="Arial"/>
      <family val="2"/>
    </font>
    <font>
      <b/>
      <i/>
      <sz val="8"/>
      <color indexed="12"/>
      <name val="Arial"/>
      <family val="2"/>
    </font>
    <font>
      <i/>
      <sz val="8"/>
      <color rgb="FF7030A0"/>
      <name val="Arial"/>
      <family val="2"/>
    </font>
    <font>
      <sz val="8"/>
      <color rgb="FF00B050"/>
      <name val="CIR Trade Gothic Light"/>
    </font>
    <font>
      <b/>
      <i/>
      <sz val="8"/>
      <name val="CIR Trade Gothic Light"/>
    </font>
    <font>
      <b/>
      <sz val="8"/>
      <color rgb="FF7030A0"/>
      <name val="CIR Trade Gothic Light"/>
    </font>
    <font>
      <i/>
      <sz val="8"/>
      <color rgb="FF00B050"/>
      <name val="CIR Trade Gothic Light"/>
    </font>
    <font>
      <sz val="8"/>
      <color rgb="FF2270AB"/>
      <name val="Arial"/>
      <family val="2"/>
    </font>
    <font>
      <i/>
      <sz val="8"/>
      <color rgb="FF0070C0"/>
      <name val="CIR Trade Gothic Light"/>
    </font>
    <font>
      <sz val="8"/>
      <color rgb="FF7030A0"/>
      <name val="CIR Trade Gothic Light"/>
    </font>
    <font>
      <sz val="10"/>
      <name val="Segoe UI"/>
      <family val="2"/>
    </font>
    <font>
      <sz val="10"/>
      <color indexed="4"/>
      <name val="Segoe UI"/>
      <family val="2"/>
    </font>
    <font>
      <b/>
      <sz val="10"/>
      <color indexed="0"/>
      <name val="Segoe UI"/>
      <family val="2"/>
    </font>
    <font>
      <sz val="10"/>
      <color indexed="2"/>
      <name val="Segoe UI"/>
      <family val="2"/>
    </font>
    <font>
      <b/>
      <i/>
      <sz val="10"/>
      <color indexed="4"/>
      <name val="Segoe UI"/>
      <family val="2"/>
    </font>
    <font>
      <b/>
      <u/>
      <sz val="8"/>
      <color theme="0"/>
      <name val="Arial"/>
      <family val="2"/>
    </font>
    <font>
      <sz val="8"/>
      <color rgb="FF366092"/>
      <name val="Arial"/>
      <family val="2"/>
    </font>
    <font>
      <sz val="8"/>
      <name val="Arial"/>
      <family val="2"/>
      <scheme val="minor"/>
    </font>
    <font>
      <i/>
      <sz val="8"/>
      <color rgb="FF0000FF"/>
      <name val="CIR Trade Gothic Light"/>
    </font>
    <font>
      <sz val="8"/>
      <color rgb="FF0000FF"/>
      <name val="Arial"/>
      <family val="2"/>
    </font>
    <font>
      <sz val="8"/>
      <color rgb="FF0000FF"/>
      <name val="CIR Trade Gothic Light"/>
    </font>
    <font>
      <sz val="10"/>
      <color rgb="FF0000FF"/>
      <name val="Arial"/>
      <family val="2"/>
    </font>
    <font>
      <sz val="8"/>
      <color rgb="FF0000FF"/>
      <name val="Arial"/>
      <family val="2"/>
      <scheme val="minor"/>
    </font>
    <font>
      <i/>
      <sz val="8"/>
      <color rgb="FF366092"/>
      <name val="Arial"/>
      <family val="2"/>
    </font>
    <font>
      <sz val="10"/>
      <color rgb="FF366092"/>
      <name val="Arial"/>
      <family val="2"/>
    </font>
    <font>
      <b/>
      <i/>
      <sz val="8"/>
      <color rgb="FF0070C0"/>
      <name val="Arial"/>
      <family val="2"/>
    </font>
    <font>
      <i/>
      <sz val="8"/>
      <color rgb="FF00B050"/>
      <name val="Arial"/>
      <family val="2"/>
    </font>
    <font>
      <sz val="8"/>
      <color theme="6" tint="-0.249977111117893"/>
      <name val="Arial"/>
      <family val="2"/>
    </font>
    <font>
      <sz val="10"/>
      <name val="Times New Roman"/>
      <family val="1"/>
    </font>
    <font>
      <sz val="10"/>
      <name val="Geneva"/>
    </font>
    <font>
      <sz val="10"/>
      <color theme="1"/>
      <name val="Tahoma"/>
      <family val="2"/>
    </font>
    <font>
      <sz val="10"/>
      <color indexed="8"/>
      <name val="Arial"/>
      <family val="2"/>
    </font>
    <font>
      <i/>
      <sz val="8"/>
      <color rgb="FF0000FF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6609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65"/>
        <bgColor indexed="64"/>
      </patternFill>
    </fill>
  </fills>
  <borders count="8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342">
    <xf numFmtId="213" fontId="0" fillId="0" borderId="0"/>
    <xf numFmtId="0" fontId="40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/>
    <xf numFmtId="0" fontId="50" fillId="0" borderId="0"/>
    <xf numFmtId="225" fontId="50" fillId="0" borderId="0"/>
    <xf numFmtId="225" fontId="50" fillId="0" borderId="0"/>
    <xf numFmtId="0" fontId="50" fillId="0" borderId="0"/>
    <xf numFmtId="0" fontId="61" fillId="2" borderId="0" applyNumberFormat="0" applyBorder="0" applyAlignment="0" applyProtection="0"/>
    <xf numFmtId="0" fontId="61" fillId="3" borderId="0" applyNumberFormat="0" applyBorder="0" applyAlignment="0" applyProtection="0"/>
    <xf numFmtId="0" fontId="61" fillId="4" borderId="0" applyNumberFormat="0" applyBorder="0" applyAlignment="0" applyProtection="0"/>
    <xf numFmtId="0" fontId="61" fillId="2" borderId="0" applyNumberFormat="0" applyBorder="0" applyAlignment="0" applyProtection="0"/>
    <xf numFmtId="0" fontId="61" fillId="5" borderId="0" applyNumberFormat="0" applyBorder="0" applyAlignment="0" applyProtection="0"/>
    <xf numFmtId="0" fontId="61" fillId="4" borderId="0" applyNumberFormat="0" applyBorder="0" applyAlignment="0" applyProtection="0"/>
    <xf numFmtId="0" fontId="61" fillId="6" borderId="0" applyNumberFormat="0" applyBorder="0" applyAlignment="0" applyProtection="0"/>
    <xf numFmtId="0" fontId="61" fillId="3" borderId="0" applyNumberFormat="0" applyBorder="0" applyAlignment="0" applyProtection="0"/>
    <xf numFmtId="0" fontId="61" fillId="4" borderId="0" applyNumberFormat="0" applyBorder="0" applyAlignment="0" applyProtection="0"/>
    <xf numFmtId="0" fontId="61" fillId="6" borderId="0" applyNumberFormat="0" applyBorder="0" applyAlignment="0" applyProtection="0"/>
    <xf numFmtId="0" fontId="61" fillId="7" borderId="0" applyNumberFormat="0" applyBorder="0" applyAlignment="0" applyProtection="0"/>
    <xf numFmtId="0" fontId="61" fillId="4" borderId="0" applyNumberFormat="0" applyBorder="0" applyAlignment="0" applyProtection="0"/>
    <xf numFmtId="0" fontId="62" fillId="8" borderId="0" applyNumberFormat="0" applyBorder="0" applyAlignment="0" applyProtection="0"/>
    <xf numFmtId="0" fontId="62" fillId="3" borderId="0" applyNumberFormat="0" applyBorder="0" applyAlignment="0" applyProtection="0"/>
    <xf numFmtId="0" fontId="62" fillId="9" borderId="0" applyNumberFormat="0" applyBorder="0" applyAlignment="0" applyProtection="0"/>
    <xf numFmtId="0" fontId="62" fillId="6" borderId="0" applyNumberFormat="0" applyBorder="0" applyAlignment="0" applyProtection="0"/>
    <xf numFmtId="0" fontId="62" fillId="8" borderId="0" applyNumberFormat="0" applyBorder="0" applyAlignment="0" applyProtection="0"/>
    <xf numFmtId="0" fontId="62" fillId="4" borderId="0" applyNumberFormat="0" applyBorder="0" applyAlignment="0" applyProtection="0"/>
    <xf numFmtId="0" fontId="62" fillId="8" borderId="0" applyNumberFormat="0" applyBorder="0" applyAlignment="0" applyProtection="0"/>
    <xf numFmtId="0" fontId="62" fillId="3" borderId="0" applyNumberFormat="0" applyBorder="0" applyAlignment="0" applyProtection="0"/>
    <xf numFmtId="0" fontId="62" fillId="9" borderId="0" applyNumberFormat="0" applyBorder="0" applyAlignment="0" applyProtection="0"/>
    <xf numFmtId="0" fontId="62" fillId="10" borderId="0" applyNumberFormat="0" applyBorder="0" applyAlignment="0" applyProtection="0"/>
    <xf numFmtId="0" fontId="62" fillId="8" borderId="0" applyNumberFormat="0" applyBorder="0" applyAlignment="0" applyProtection="0"/>
    <xf numFmtId="0" fontId="62" fillId="3" borderId="0" applyNumberFormat="0" applyBorder="0" applyAlignment="0" applyProtection="0"/>
    <xf numFmtId="0" fontId="63" fillId="11" borderId="0" applyNumberFormat="0" applyBorder="0" applyAlignment="0" applyProtection="0"/>
    <xf numFmtId="0" fontId="42" fillId="0" borderId="0" applyNumberFormat="0" applyFill="0" applyBorder="0" applyAlignment="0" applyProtection="0"/>
    <xf numFmtId="0" fontId="51" fillId="0" borderId="0"/>
    <xf numFmtId="0" fontId="64" fillId="12" borderId="1" applyNumberFormat="0" applyAlignment="0" applyProtection="0"/>
    <xf numFmtId="0" fontId="65" fillId="13" borderId="2" applyNumberFormat="0" applyAlignment="0" applyProtection="0"/>
    <xf numFmtId="43" fontId="5" fillId="0" borderId="0" applyFont="0" applyFill="0" applyBorder="0" applyAlignment="0" applyProtection="0"/>
    <xf numFmtId="43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66" fillId="0" borderId="0" applyNumberFormat="0" applyFill="0" applyBorder="0" applyAlignment="0" applyProtection="0"/>
    <xf numFmtId="0" fontId="67" fillId="14" borderId="0" applyNumberFormat="0" applyBorder="0" applyAlignment="0" applyProtection="0"/>
    <xf numFmtId="0" fontId="68" fillId="0" borderId="3" applyNumberFormat="0" applyFill="0" applyAlignment="0" applyProtection="0"/>
    <xf numFmtId="0" fontId="69" fillId="0" borderId="4" applyNumberFormat="0" applyFill="0" applyAlignment="0" applyProtection="0"/>
    <xf numFmtId="0" fontId="70" fillId="0" borderId="5" applyNumberFormat="0" applyFill="0" applyAlignment="0" applyProtection="0"/>
    <xf numFmtId="0" fontId="70" fillId="0" borderId="0" applyNumberFormat="0" applyFill="0" applyBorder="0" applyAlignment="0" applyProtection="0"/>
    <xf numFmtId="0" fontId="60" fillId="4" borderId="1" applyNumberFormat="0" applyAlignment="0" applyProtection="0"/>
    <xf numFmtId="0" fontId="71" fillId="0" borderId="6" applyNumberFormat="0" applyFill="0" applyAlignment="0" applyProtection="0"/>
    <xf numFmtId="0" fontId="72" fillId="4" borderId="0" applyNumberFormat="0" applyBorder="0" applyAlignment="0" applyProtection="0"/>
    <xf numFmtId="0" fontId="5" fillId="0" borderId="0"/>
    <xf numFmtId="0" fontId="40" fillId="0" borderId="0"/>
    <xf numFmtId="213" fontId="40" fillId="0" borderId="0"/>
    <xf numFmtId="0" fontId="138" fillId="0" borderId="0"/>
    <xf numFmtId="0" fontId="95" fillId="0" borderId="0"/>
    <xf numFmtId="0" fontId="96" fillId="0" borderId="0"/>
    <xf numFmtId="0" fontId="40" fillId="0" borderId="0"/>
    <xf numFmtId="0" fontId="7" fillId="0" borderId="0"/>
    <xf numFmtId="0" fontId="45" fillId="0" borderId="0"/>
    <xf numFmtId="0" fontId="45" fillId="0" borderId="0"/>
    <xf numFmtId="0" fontId="45" fillId="0" borderId="0"/>
    <xf numFmtId="0" fontId="40" fillId="0" borderId="0" applyNumberFormat="0" applyFill="0" applyBorder="0" applyAlignment="0" applyProtection="0"/>
    <xf numFmtId="0" fontId="5" fillId="0" borderId="0"/>
    <xf numFmtId="0" fontId="40" fillId="0" borderId="0" applyNumberFormat="0" applyFill="0" applyBorder="0" applyAlignment="0" applyProtection="0"/>
    <xf numFmtId="0" fontId="8" fillId="0" borderId="0"/>
    <xf numFmtId="0" fontId="48" fillId="0" borderId="0"/>
    <xf numFmtId="0" fontId="5" fillId="4" borderId="7" applyNumberFormat="0" applyFont="0" applyAlignment="0" applyProtection="0"/>
    <xf numFmtId="0" fontId="73" fillId="12" borderId="8" applyNumberFormat="0" applyAlignment="0" applyProtection="0"/>
    <xf numFmtId="0" fontId="43" fillId="0" borderId="0">
      <alignment vertical="center"/>
    </xf>
    <xf numFmtId="9" fontId="5" fillId="0" borderId="0" applyFont="0" applyFill="0" applyBorder="0" applyAlignment="0" applyProtection="0"/>
    <xf numFmtId="9" fontId="95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109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40" fillId="15" borderId="0" applyNumberFormat="0" applyFont="0" applyBorder="0" applyAlignment="0" applyProtection="0"/>
    <xf numFmtId="0" fontId="52" fillId="0" borderId="0"/>
    <xf numFmtId="0" fontId="52" fillId="0" borderId="9">
      <alignment horizontal="centerContinuous"/>
    </xf>
    <xf numFmtId="0" fontId="53" fillId="0" borderId="9"/>
    <xf numFmtId="0" fontId="40" fillId="0" borderId="0" applyFill="0" applyAlignment="0">
      <protection locked="0"/>
    </xf>
    <xf numFmtId="0" fontId="74" fillId="0" borderId="0" applyNumberFormat="0" applyFill="0" applyBorder="0" applyAlignment="0" applyProtection="0"/>
    <xf numFmtId="0" fontId="75" fillId="0" borderId="10" applyNumberFormat="0" applyFill="0" applyAlignment="0" applyProtection="0"/>
    <xf numFmtId="0" fontId="76" fillId="0" borderId="0" applyNumberFormat="0" applyFill="0" applyBorder="0" applyAlignment="0" applyProtection="0"/>
    <xf numFmtId="213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/>
    <xf numFmtId="0" fontId="5" fillId="0" borderId="0" applyFont="0" applyFill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0" borderId="0"/>
    <xf numFmtId="0" fontId="51" fillId="0" borderId="0"/>
    <xf numFmtId="0" fontId="51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NumberFormat="0" applyFill="0" applyBorder="0" applyAlignment="0" applyProtection="0"/>
    <xf numFmtId="9" fontId="5" fillId="0" borderId="0" applyFont="0" applyFill="0" applyBorder="0" applyAlignment="0" applyProtection="0"/>
    <xf numFmtId="0" fontId="5" fillId="15" borderId="0" applyNumberFormat="0" applyFont="0" applyBorder="0" applyAlignment="0" applyProtection="0"/>
    <xf numFmtId="0" fontId="52" fillId="0" borderId="0"/>
    <xf numFmtId="0" fontId="52" fillId="0" borderId="0"/>
    <xf numFmtId="0" fontId="52" fillId="0" borderId="9">
      <alignment horizontal="centerContinuous"/>
    </xf>
    <xf numFmtId="0" fontId="52" fillId="0" borderId="9">
      <alignment horizontal="centerContinuous"/>
    </xf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/>
    <xf numFmtId="0" fontId="5" fillId="0" borderId="0"/>
    <xf numFmtId="0" fontId="163" fillId="0" borderId="0"/>
    <xf numFmtId="0" fontId="166" fillId="0" borderId="0"/>
    <xf numFmtId="0" fontId="165" fillId="31" borderId="0"/>
    <xf numFmtId="0" fontId="163" fillId="0" borderId="0">
      <alignment wrapText="1"/>
    </xf>
    <xf numFmtId="0" fontId="165" fillId="0" borderId="0"/>
    <xf numFmtId="0" fontId="167" fillId="0" borderId="0"/>
    <xf numFmtId="0" fontId="164" fillId="0" borderId="0"/>
    <xf numFmtId="0" fontId="164" fillId="0" borderId="0"/>
    <xf numFmtId="0" fontId="163" fillId="0" borderId="0"/>
    <xf numFmtId="0" fontId="5" fillId="15" borderId="0" applyNumberFormat="0" applyFont="0" applyBorder="0" applyAlignment="0" applyProtection="0"/>
    <xf numFmtId="23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5" fillId="0" borderId="0"/>
    <xf numFmtId="0" fontId="64" fillId="12" borderId="61" applyNumberFormat="0" applyAlignment="0" applyProtection="0"/>
    <xf numFmtId="0" fontId="60" fillId="4" borderId="61" applyNumberFormat="0" applyAlignment="0" applyProtection="0"/>
    <xf numFmtId="0" fontId="64" fillId="12" borderId="57" applyNumberFormat="0" applyAlignment="0" applyProtection="0"/>
    <xf numFmtId="44" fontId="5" fillId="0" borderId="0" applyFont="0" applyFill="0" applyBorder="0" applyAlignment="0" applyProtection="0"/>
    <xf numFmtId="0" fontId="60" fillId="4" borderId="57" applyNumberFormat="0" applyAlignment="0" applyProtection="0"/>
    <xf numFmtId="0" fontId="5" fillId="0" borderId="0"/>
    <xf numFmtId="213" fontId="5" fillId="0" borderId="0"/>
    <xf numFmtId="0" fontId="5" fillId="0" borderId="0"/>
    <xf numFmtId="0" fontId="5" fillId="0" borderId="0"/>
    <xf numFmtId="0" fontId="5" fillId="0" borderId="0"/>
    <xf numFmtId="0" fontId="75" fillId="0" borderId="63" applyNumberFormat="0" applyFill="0" applyAlignment="0" applyProtection="0"/>
    <xf numFmtId="0" fontId="73" fillId="12" borderId="62" applyNumberFormat="0" applyAlignment="0" applyProtection="0"/>
    <xf numFmtId="0" fontId="73" fillId="12" borderId="58" applyNumberFormat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 applyFill="0" applyAlignment="0">
      <protection locked="0"/>
    </xf>
    <xf numFmtId="0" fontId="75" fillId="0" borderId="59" applyNumberFormat="0" applyFill="0" applyAlignment="0" applyProtection="0"/>
    <xf numFmtId="0" fontId="64" fillId="12" borderId="60" applyNumberFormat="0" applyAlignment="0" applyProtection="0"/>
    <xf numFmtId="0" fontId="3" fillId="0" borderId="0"/>
    <xf numFmtId="9" fontId="3" fillId="0" borderId="0" applyFont="0" applyFill="0" applyBorder="0" applyAlignment="0" applyProtection="0"/>
    <xf numFmtId="0" fontId="60" fillId="4" borderId="60" applyNumberFormat="0" applyAlignment="0" applyProtection="0"/>
    <xf numFmtId="0" fontId="5" fillId="0" borderId="0" applyNumberFormat="0" applyFill="0" applyBorder="0" applyAlignment="0" applyProtection="0"/>
    <xf numFmtId="44" fontId="5" fillId="0" borderId="0" applyFont="0" applyFill="0" applyBorder="0" applyAlignment="0" applyProtection="0"/>
    <xf numFmtId="0" fontId="181" fillId="0" borderId="0" applyNumberFormat="0" applyFill="0" applyBorder="0" applyAlignment="0" applyProtection="0"/>
    <xf numFmtId="0" fontId="181" fillId="0" borderId="0" applyNumberFormat="0" applyFill="0" applyBorder="0" applyAlignment="0" applyProtection="0"/>
    <xf numFmtId="0" fontId="181" fillId="0" borderId="0" applyNumberFormat="0" applyFill="0" applyBorder="0" applyAlignment="0" applyProtection="0"/>
    <xf numFmtId="0" fontId="181" fillId="0" borderId="0" applyNumberFormat="0" applyFill="0" applyBorder="0" applyAlignment="0" applyProtection="0"/>
    <xf numFmtId="238" fontId="5" fillId="0" borderId="0" applyFill="0" applyBorder="0" applyAlignment="0"/>
    <xf numFmtId="172" fontId="8" fillId="0" borderId="0" applyFill="0" applyBorder="0" applyAlignment="0"/>
    <xf numFmtId="212" fontId="8" fillId="0" borderId="0" applyFill="0" applyBorder="0" applyAlignment="0"/>
    <xf numFmtId="239" fontId="8" fillId="0" borderId="0" applyFill="0" applyBorder="0" applyAlignment="0"/>
    <xf numFmtId="240" fontId="8" fillId="0" borderId="0" applyFill="0" applyBorder="0" applyAlignment="0"/>
    <xf numFmtId="44" fontId="8" fillId="0" borderId="0" applyFill="0" applyBorder="0" applyAlignment="0"/>
    <xf numFmtId="241" fontId="8" fillId="0" borderId="0" applyFill="0" applyBorder="0" applyAlignment="0"/>
    <xf numFmtId="172" fontId="8" fillId="0" borderId="0" applyFill="0" applyBorder="0" applyAlignment="0"/>
    <xf numFmtId="44" fontId="8" fillId="0" borderId="0" applyFont="0" applyFill="0" applyBorder="0" applyAlignment="0" applyProtection="0"/>
    <xf numFmtId="0" fontId="182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43" fontId="183" fillId="0" borderId="0" applyFont="0" applyFill="0" applyBorder="0" applyAlignment="0" applyProtection="0"/>
    <xf numFmtId="172" fontId="8" fillId="0" borderId="0" applyFont="0" applyFill="0" applyBorder="0" applyAlignment="0" applyProtection="0"/>
    <xf numFmtId="168" fontId="182" fillId="0" borderId="0" applyFont="0" applyFill="0" applyBorder="0" applyAlignment="0" applyProtection="0"/>
    <xf numFmtId="14" fontId="184" fillId="0" borderId="0" applyFill="0" applyBorder="0" applyAlignment="0"/>
    <xf numFmtId="44" fontId="8" fillId="0" borderId="0" applyFill="0" applyBorder="0" applyAlignment="0"/>
    <xf numFmtId="172" fontId="8" fillId="0" borderId="0" applyFill="0" applyBorder="0" applyAlignment="0"/>
    <xf numFmtId="44" fontId="8" fillId="0" borderId="0" applyFill="0" applyBorder="0" applyAlignment="0"/>
    <xf numFmtId="241" fontId="8" fillId="0" borderId="0" applyFill="0" applyBorder="0" applyAlignment="0"/>
    <xf numFmtId="172" fontId="8" fillId="0" borderId="0" applyFill="0" applyBorder="0" applyAlignment="0"/>
    <xf numFmtId="0" fontId="47" fillId="0" borderId="55" applyNumberFormat="0" applyAlignment="0" applyProtection="0">
      <alignment horizontal="left" vertical="center"/>
    </xf>
    <xf numFmtId="0" fontId="47" fillId="0" borderId="67">
      <alignment horizontal="left" vertical="center"/>
    </xf>
    <xf numFmtId="0" fontId="47" fillId="0" borderId="67">
      <alignment horizontal="left" vertical="center"/>
    </xf>
    <xf numFmtId="0" fontId="47" fillId="0" borderId="67">
      <alignment horizontal="left" vertical="center"/>
    </xf>
    <xf numFmtId="44" fontId="8" fillId="0" borderId="0" applyFill="0" applyBorder="0" applyAlignment="0"/>
    <xf numFmtId="172" fontId="8" fillId="0" borderId="0" applyFill="0" applyBorder="0" applyAlignment="0"/>
    <xf numFmtId="44" fontId="8" fillId="0" borderId="0" applyFill="0" applyBorder="0" applyAlignment="0"/>
    <xf numFmtId="241" fontId="8" fillId="0" borderId="0" applyFill="0" applyBorder="0" applyAlignment="0"/>
    <xf numFmtId="172" fontId="8" fillId="0" borderId="0" applyFill="0" applyBorder="0" applyAlignment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40" fontId="8" fillId="0" borderId="0" applyFont="0" applyFill="0" applyBorder="0" applyAlignment="0" applyProtection="0"/>
    <xf numFmtId="242" fontId="5" fillId="0" borderId="0" applyFont="0" applyFill="0" applyBorder="0" applyAlignment="0" applyProtection="0"/>
    <xf numFmtId="242" fontId="5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18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83" fillId="0" borderId="0" applyFont="0" applyFill="0" applyBorder="0" applyAlignment="0" applyProtection="0"/>
    <xf numFmtId="44" fontId="8" fillId="0" borderId="0" applyFill="0" applyBorder="0" applyAlignment="0"/>
    <xf numFmtId="172" fontId="8" fillId="0" borderId="0" applyFill="0" applyBorder="0" applyAlignment="0"/>
    <xf numFmtId="44" fontId="8" fillId="0" borderId="0" applyFill="0" applyBorder="0" applyAlignment="0"/>
    <xf numFmtId="241" fontId="8" fillId="0" borderId="0" applyFill="0" applyBorder="0" applyAlignment="0"/>
    <xf numFmtId="172" fontId="8" fillId="0" borderId="0" applyFill="0" applyBorder="0" applyAlignment="0"/>
    <xf numFmtId="0" fontId="181" fillId="0" borderId="0" applyNumberFormat="0" applyFill="0" applyBorder="0" applyAlignment="0" applyProtection="0"/>
    <xf numFmtId="49" fontId="184" fillId="0" borderId="0" applyFill="0" applyBorder="0" applyAlignment="0"/>
    <xf numFmtId="243" fontId="8" fillId="0" borderId="0" applyFill="0" applyBorder="0" applyAlignment="0"/>
    <xf numFmtId="244" fontId="8" fillId="0" borderId="0" applyFill="0" applyBorder="0" applyAlignment="0"/>
    <xf numFmtId="0" fontId="1" fillId="0" borderId="0"/>
    <xf numFmtId="9" fontId="1" fillId="0" borderId="0" applyFont="0" applyFill="0" applyBorder="0" applyAlignment="0" applyProtection="0"/>
    <xf numFmtId="0" fontId="186" fillId="0" borderId="0"/>
  </cellStyleXfs>
  <cellXfs count="3096">
    <xf numFmtId="213" fontId="0" fillId="0" borderId="0" xfId="0"/>
    <xf numFmtId="213" fontId="6" fillId="0" borderId="0" xfId="0" applyFont="1" applyFill="1"/>
    <xf numFmtId="172" fontId="6" fillId="0" borderId="0" xfId="0" applyNumberFormat="1" applyFont="1" applyFill="1"/>
    <xf numFmtId="213" fontId="9" fillId="0" borderId="0" xfId="0" applyFont="1"/>
    <xf numFmtId="213" fontId="6" fillId="0" borderId="0" xfId="0" applyFont="1" applyFill="1" applyBorder="1"/>
    <xf numFmtId="213" fontId="6" fillId="0" borderId="0" xfId="0" applyFont="1" applyBorder="1"/>
    <xf numFmtId="213" fontId="6" fillId="0" borderId="0" xfId="0" applyFont="1"/>
    <xf numFmtId="172" fontId="14" fillId="0" borderId="0" xfId="0" applyNumberFormat="1" applyFont="1" applyFill="1" applyBorder="1"/>
    <xf numFmtId="213" fontId="0" fillId="0" borderId="0" xfId="0" applyBorder="1"/>
    <xf numFmtId="172" fontId="6" fillId="0" borderId="0" xfId="0" applyNumberFormat="1" applyFont="1" applyFill="1" applyBorder="1"/>
    <xf numFmtId="172" fontId="6" fillId="0" borderId="0" xfId="71" applyNumberFormat="1" applyFont="1" applyFill="1" applyBorder="1" applyAlignment="1" applyProtection="1">
      <alignment horizontal="right"/>
    </xf>
    <xf numFmtId="172" fontId="6" fillId="0" borderId="0" xfId="34" applyNumberFormat="1" applyFont="1" applyFill="1" applyBorder="1" applyAlignment="1" applyProtection="1">
      <alignment horizontal="right"/>
    </xf>
    <xf numFmtId="172" fontId="14" fillId="0" borderId="0" xfId="34" applyNumberFormat="1" applyFont="1" applyFill="1" applyBorder="1" applyAlignment="1" applyProtection="1">
      <alignment horizontal="right"/>
    </xf>
    <xf numFmtId="172" fontId="17" fillId="0" borderId="11" xfId="0" applyNumberFormat="1" applyFont="1" applyFill="1" applyBorder="1" applyAlignment="1">
      <alignment horizontal="right"/>
    </xf>
    <xf numFmtId="172" fontId="14" fillId="0" borderId="11" xfId="34" applyNumberFormat="1" applyFont="1" applyFill="1" applyBorder="1" applyAlignment="1" applyProtection="1">
      <alignment horizontal="right"/>
    </xf>
    <xf numFmtId="172" fontId="6" fillId="0" borderId="0" xfId="0" applyNumberFormat="1" applyFont="1" applyFill="1" applyBorder="1" applyAlignment="1">
      <alignment horizontal="right"/>
    </xf>
    <xf numFmtId="172" fontId="14" fillId="0" borderId="0" xfId="0" applyNumberFormat="1" applyFont="1" applyFill="1" applyBorder="1" applyAlignment="1">
      <alignment horizontal="right"/>
    </xf>
    <xf numFmtId="172" fontId="14" fillId="0" borderId="0" xfId="34" applyNumberFormat="1" applyFont="1" applyFill="1" applyAlignment="1" applyProtection="1">
      <alignment horizontal="right"/>
    </xf>
    <xf numFmtId="172" fontId="34" fillId="0" borderId="12" xfId="38" applyNumberFormat="1" applyFont="1" applyFill="1" applyBorder="1" applyAlignment="1"/>
    <xf numFmtId="172" fontId="34" fillId="0" borderId="11" xfId="38" applyNumberFormat="1" applyFont="1" applyFill="1" applyBorder="1" applyAlignment="1"/>
    <xf numFmtId="172" fontId="34" fillId="0" borderId="0" xfId="38" applyNumberFormat="1" applyFont="1" applyFill="1" applyBorder="1" applyAlignment="1"/>
    <xf numFmtId="172" fontId="37" fillId="0" borderId="0" xfId="38" applyNumberFormat="1" applyFont="1" applyFill="1" applyBorder="1" applyAlignment="1"/>
    <xf numFmtId="172" fontId="34" fillId="0" borderId="13" xfId="38" applyNumberFormat="1" applyFont="1" applyFill="1" applyBorder="1" applyAlignment="1"/>
    <xf numFmtId="213" fontId="33" fillId="0" borderId="0" xfId="0" applyFont="1" applyFill="1" applyBorder="1"/>
    <xf numFmtId="9" fontId="11" fillId="0" borderId="0" xfId="0" applyNumberFormat="1" applyFont="1" applyFill="1" applyBorder="1"/>
    <xf numFmtId="0" fontId="11" fillId="0" borderId="0" xfId="59" applyFont="1" applyFill="1" applyAlignment="1">
      <alignment horizontal="left"/>
    </xf>
    <xf numFmtId="172" fontId="14" fillId="0" borderId="0" xfId="71" applyNumberFormat="1" applyFont="1" applyFill="1" applyBorder="1" applyAlignment="1" applyProtection="1">
      <alignment horizontal="right"/>
    </xf>
    <xf numFmtId="213" fontId="15" fillId="16" borderId="0" xfId="0" quotePrefix="1" applyFont="1" applyFill="1" applyAlignment="1" applyProtection="1">
      <alignment horizontal="left"/>
    </xf>
    <xf numFmtId="0" fontId="30" fillId="17" borderId="14" xfId="80" applyFont="1" applyFill="1" applyBorder="1">
      <protection locked="0"/>
    </xf>
    <xf numFmtId="37" fontId="33" fillId="17" borderId="15" xfId="0" applyNumberFormat="1" applyFont="1" applyFill="1" applyBorder="1" applyAlignment="1">
      <alignment horizontal="center"/>
    </xf>
    <xf numFmtId="37" fontId="33" fillId="17" borderId="16" xfId="0" applyNumberFormat="1" applyFont="1" applyFill="1" applyBorder="1"/>
    <xf numFmtId="213" fontId="34" fillId="0" borderId="0" xfId="0" applyFont="1"/>
    <xf numFmtId="172" fontId="37" fillId="0" borderId="13" xfId="0" applyNumberFormat="1" applyFont="1" applyFill="1" applyBorder="1" applyAlignment="1">
      <alignment horizontal="right"/>
    </xf>
    <xf numFmtId="172" fontId="20" fillId="0" borderId="13" xfId="0" applyNumberFormat="1" applyFont="1" applyFill="1" applyBorder="1" applyAlignment="1">
      <alignment horizontal="right"/>
    </xf>
    <xf numFmtId="37" fontId="37" fillId="0" borderId="13" xfId="0" applyNumberFormat="1" applyFont="1" applyFill="1" applyBorder="1" applyAlignment="1">
      <alignment horizontal="right"/>
    </xf>
    <xf numFmtId="167" fontId="34" fillId="16" borderId="0" xfId="0" applyNumberFormat="1" applyFont="1" applyFill="1" applyBorder="1" applyAlignment="1">
      <alignment horizontal="right"/>
    </xf>
    <xf numFmtId="167" fontId="34" fillId="0" borderId="13" xfId="71" applyNumberFormat="1" applyFont="1" applyFill="1" applyBorder="1" applyAlignment="1">
      <alignment horizontal="right"/>
    </xf>
    <xf numFmtId="37" fontId="34" fillId="0" borderId="13" xfId="0" applyNumberFormat="1" applyFont="1" applyFill="1" applyBorder="1" applyAlignment="1">
      <alignment horizontal="right"/>
    </xf>
    <xf numFmtId="167" fontId="34" fillId="16" borderId="17" xfId="0" applyNumberFormat="1" applyFont="1" applyFill="1" applyBorder="1" applyAlignment="1">
      <alignment horizontal="right"/>
    </xf>
    <xf numFmtId="37" fontId="33" fillId="17" borderId="15" xfId="0" applyNumberFormat="1" applyFont="1" applyFill="1" applyBorder="1" applyAlignment="1">
      <alignment horizontal="right"/>
    </xf>
    <xf numFmtId="37" fontId="33" fillId="17" borderId="16" xfId="0" applyNumberFormat="1" applyFont="1" applyFill="1" applyBorder="1" applyAlignment="1">
      <alignment horizontal="right"/>
    </xf>
    <xf numFmtId="167" fontId="34" fillId="0" borderId="11" xfId="80" applyNumberFormat="1" applyFont="1" applyFill="1" applyBorder="1">
      <protection locked="0"/>
    </xf>
    <xf numFmtId="167" fontId="34" fillId="0" borderId="18" xfId="80" applyNumberFormat="1" applyFont="1" applyFill="1" applyBorder="1">
      <protection locked="0"/>
    </xf>
    <xf numFmtId="182" fontId="6" fillId="0" borderId="0" xfId="0" applyNumberFormat="1" applyFont="1" applyFill="1"/>
    <xf numFmtId="182" fontId="6" fillId="0" borderId="0" xfId="0" applyNumberFormat="1" applyFont="1" applyFill="1" applyBorder="1"/>
    <xf numFmtId="167" fontId="34" fillId="0" borderId="19" xfId="0" applyNumberFormat="1" applyFont="1" applyFill="1" applyBorder="1" applyAlignment="1">
      <alignment horizontal="right"/>
    </xf>
    <xf numFmtId="167" fontId="34" fillId="0" borderId="0" xfId="0" applyNumberFormat="1" applyFont="1" applyFill="1" applyBorder="1" applyAlignment="1">
      <alignment horizontal="right"/>
    </xf>
    <xf numFmtId="167" fontId="34" fillId="0" borderId="13" xfId="38" applyNumberFormat="1" applyFont="1" applyFill="1" applyBorder="1" applyAlignment="1">
      <alignment horizontal="right"/>
    </xf>
    <xf numFmtId="167" fontId="34" fillId="0" borderId="20" xfId="0" applyNumberFormat="1" applyFont="1" applyFill="1" applyBorder="1" applyAlignment="1">
      <alignment horizontal="right"/>
    </xf>
    <xf numFmtId="167" fontId="34" fillId="0" borderId="17" xfId="0" applyNumberFormat="1" applyFont="1" applyFill="1" applyBorder="1" applyAlignment="1">
      <alignment horizontal="right"/>
    </xf>
    <xf numFmtId="0" fontId="32" fillId="17" borderId="14" xfId="80" applyFont="1" applyFill="1" applyBorder="1">
      <protection locked="0"/>
    </xf>
    <xf numFmtId="183" fontId="33" fillId="17" borderId="15" xfId="0" applyNumberFormat="1" applyFont="1" applyFill="1" applyBorder="1" applyAlignment="1" applyProtection="1">
      <alignment horizontal="center"/>
    </xf>
    <xf numFmtId="185" fontId="33" fillId="17" borderId="15" xfId="0" applyNumberFormat="1" applyFont="1" applyFill="1" applyBorder="1" applyAlignment="1" applyProtection="1">
      <alignment horizontal="center"/>
    </xf>
    <xf numFmtId="187" fontId="33" fillId="17" borderId="15" xfId="0" applyNumberFormat="1" applyFont="1" applyFill="1" applyBorder="1" applyAlignment="1" applyProtection="1">
      <alignment horizontal="center"/>
    </xf>
    <xf numFmtId="183" fontId="33" fillId="17" borderId="16" xfId="0" applyNumberFormat="1" applyFont="1" applyFill="1" applyBorder="1" applyAlignment="1" applyProtection="1">
      <alignment horizontal="center"/>
    </xf>
    <xf numFmtId="0" fontId="34" fillId="0" borderId="11" xfId="80" applyFont="1" applyFill="1" applyBorder="1">
      <protection locked="0"/>
    </xf>
    <xf numFmtId="0" fontId="34" fillId="0" borderId="11" xfId="80" applyFont="1" applyFill="1" applyBorder="1" applyAlignment="1">
      <alignment horizontal="left" indent="1"/>
      <protection locked="0"/>
    </xf>
    <xf numFmtId="0" fontId="34" fillId="0" borderId="18" xfId="80" applyFont="1" applyFill="1" applyBorder="1" applyAlignment="1">
      <alignment horizontal="left" indent="1"/>
      <protection locked="0"/>
    </xf>
    <xf numFmtId="188" fontId="34" fillId="16" borderId="11" xfId="80" applyNumberFormat="1" applyFont="1" applyFill="1" applyBorder="1">
      <protection locked="0"/>
    </xf>
    <xf numFmtId="166" fontId="34" fillId="16" borderId="11" xfId="62" applyNumberFormat="1" applyFont="1" applyFill="1" applyBorder="1"/>
    <xf numFmtId="213" fontId="34" fillId="0" borderId="0" xfId="0" applyFont="1" applyFill="1" applyBorder="1"/>
    <xf numFmtId="213" fontId="34" fillId="18" borderId="0" xfId="0" applyFont="1" applyFill="1" applyBorder="1"/>
    <xf numFmtId="213" fontId="20" fillId="0" borderId="0" xfId="0" applyFont="1" applyFill="1" applyBorder="1"/>
    <xf numFmtId="213" fontId="34" fillId="0" borderId="0" xfId="0" applyFont="1" applyFill="1"/>
    <xf numFmtId="49" fontId="0" fillId="0" borderId="0" xfId="0" applyNumberFormat="1"/>
    <xf numFmtId="172" fontId="34" fillId="0" borderId="0" xfId="34" applyNumberFormat="1" applyFont="1" applyFill="1" applyAlignment="1" applyProtection="1">
      <alignment horizontal="right"/>
    </xf>
    <xf numFmtId="9" fontId="22" fillId="18" borderId="15" xfId="0" applyNumberFormat="1" applyFont="1" applyFill="1" applyBorder="1" applyAlignment="1">
      <alignment horizontal="right"/>
    </xf>
    <xf numFmtId="167" fontId="22" fillId="18" borderId="15" xfId="0" applyNumberFormat="1" applyFont="1" applyFill="1" applyBorder="1" applyAlignment="1">
      <alignment horizontal="right"/>
    </xf>
    <xf numFmtId="213" fontId="34" fillId="0" borderId="0" xfId="0" applyFont="1" applyBorder="1"/>
    <xf numFmtId="172" fontId="34" fillId="0" borderId="0" xfId="0" applyNumberFormat="1" applyFont="1" applyFill="1"/>
    <xf numFmtId="168" fontId="34" fillId="0" borderId="0" xfId="0" applyNumberFormat="1" applyFont="1" applyBorder="1"/>
    <xf numFmtId="213" fontId="6" fillId="18" borderId="0" xfId="0" applyFont="1" applyFill="1" applyBorder="1" applyAlignment="1">
      <alignment horizontal="center"/>
    </xf>
    <xf numFmtId="172" fontId="14" fillId="18" borderId="23" xfId="0" applyNumberFormat="1" applyFont="1" applyFill="1" applyBorder="1"/>
    <xf numFmtId="172" fontId="6" fillId="18" borderId="21" xfId="0" applyNumberFormat="1" applyFont="1" applyFill="1" applyBorder="1"/>
    <xf numFmtId="172" fontId="6" fillId="18" borderId="24" xfId="0" applyNumberFormat="1" applyFont="1" applyFill="1" applyBorder="1"/>
    <xf numFmtId="172" fontId="6" fillId="18" borderId="25" xfId="0" applyNumberFormat="1" applyFont="1" applyFill="1" applyBorder="1"/>
    <xf numFmtId="172" fontId="6" fillId="18" borderId="23" xfId="0" applyNumberFormat="1" applyFont="1" applyFill="1" applyBorder="1"/>
    <xf numFmtId="172" fontId="29" fillId="18" borderId="18" xfId="0" applyNumberFormat="1" applyFont="1" applyFill="1" applyBorder="1" applyAlignment="1" applyProtection="1">
      <alignment horizontal="right" vertical="center"/>
    </xf>
    <xf numFmtId="172" fontId="29" fillId="18" borderId="17" xfId="0" applyNumberFormat="1" applyFont="1" applyFill="1" applyBorder="1" applyAlignment="1" applyProtection="1">
      <alignment horizontal="right" vertical="center"/>
    </xf>
    <xf numFmtId="172" fontId="29" fillId="18" borderId="26" xfId="0" applyNumberFormat="1" applyFont="1" applyFill="1" applyBorder="1" applyAlignment="1" applyProtection="1">
      <alignment horizontal="right" vertical="center"/>
    </xf>
    <xf numFmtId="172" fontId="29" fillId="18" borderId="20" xfId="0" applyNumberFormat="1" applyFont="1" applyFill="1" applyBorder="1" applyAlignment="1" applyProtection="1">
      <alignment horizontal="right" vertical="center"/>
    </xf>
    <xf numFmtId="168" fontId="11" fillId="0" borderId="0" xfId="0" applyNumberFormat="1" applyFont="1" applyFill="1" applyBorder="1"/>
    <xf numFmtId="213" fontId="59" fillId="0" borderId="0" xfId="0" applyFont="1"/>
    <xf numFmtId="9" fontId="11" fillId="0" borderId="0" xfId="71" applyFont="1" applyFill="1" applyBorder="1" applyAlignment="1">
      <alignment horizontal="center"/>
    </xf>
    <xf numFmtId="7" fontId="34" fillId="0" borderId="13" xfId="40" applyNumberFormat="1" applyFont="1" applyFill="1" applyBorder="1" applyAlignment="1">
      <alignment horizontal="right"/>
    </xf>
    <xf numFmtId="213" fontId="20" fillId="0" borderId="22" xfId="0" applyFont="1" applyFill="1" applyBorder="1"/>
    <xf numFmtId="172" fontId="11" fillId="0" borderId="0" xfId="0" applyNumberFormat="1" applyFont="1" applyFill="1" applyBorder="1"/>
    <xf numFmtId="172" fontId="12" fillId="0" borderId="0" xfId="0" applyNumberFormat="1" applyFont="1" applyFill="1"/>
    <xf numFmtId="172" fontId="11" fillId="0" borderId="13" xfId="0" applyNumberFormat="1" applyFont="1" applyFill="1" applyBorder="1"/>
    <xf numFmtId="172" fontId="6" fillId="0" borderId="11" xfId="0" applyNumberFormat="1" applyFont="1" applyFill="1" applyBorder="1"/>
    <xf numFmtId="172" fontId="6" fillId="0" borderId="27" xfId="0" applyNumberFormat="1" applyFont="1" applyFill="1" applyBorder="1"/>
    <xf numFmtId="172" fontId="6" fillId="0" borderId="11" xfId="71" applyNumberFormat="1" applyFont="1" applyFill="1" applyBorder="1" applyAlignment="1" applyProtection="1">
      <alignment horizontal="right"/>
    </xf>
    <xf numFmtId="172" fontId="6" fillId="0" borderId="27" xfId="71" applyNumberFormat="1" applyFont="1" applyFill="1" applyBorder="1" applyAlignment="1" applyProtection="1">
      <alignment horizontal="right"/>
    </xf>
    <xf numFmtId="172" fontId="14" fillId="0" borderId="11" xfId="71" applyNumberFormat="1" applyFont="1" applyFill="1" applyBorder="1" applyAlignment="1" applyProtection="1">
      <alignment horizontal="right"/>
    </xf>
    <xf numFmtId="172" fontId="14" fillId="0" borderId="27" xfId="71" applyNumberFormat="1" applyFont="1" applyFill="1" applyBorder="1" applyAlignment="1" applyProtection="1">
      <alignment horizontal="right"/>
    </xf>
    <xf numFmtId="172" fontId="14" fillId="0" borderId="11" xfId="0" applyNumberFormat="1" applyFont="1" applyFill="1" applyBorder="1"/>
    <xf numFmtId="172" fontId="14" fillId="0" borderId="27" xfId="0" applyNumberFormat="1" applyFont="1" applyFill="1" applyBorder="1"/>
    <xf numFmtId="172" fontId="34" fillId="0" borderId="11" xfId="34" applyNumberFormat="1" applyFont="1" applyFill="1" applyBorder="1" applyAlignment="1" applyProtection="1">
      <alignment horizontal="right"/>
    </xf>
    <xf numFmtId="172" fontId="34" fillId="0" borderId="0" xfId="34" applyNumberFormat="1" applyFont="1" applyFill="1" applyBorder="1" applyAlignment="1" applyProtection="1">
      <alignment horizontal="right"/>
    </xf>
    <xf numFmtId="172" fontId="34" fillId="0" borderId="27" xfId="34" applyNumberFormat="1" applyFont="1" applyFill="1" applyBorder="1" applyAlignment="1" applyProtection="1">
      <alignment horizontal="right"/>
    </xf>
    <xf numFmtId="172" fontId="6" fillId="0" borderId="11" xfId="34" applyNumberFormat="1" applyFont="1" applyFill="1" applyBorder="1" applyAlignment="1" applyProtection="1">
      <alignment horizontal="right"/>
    </xf>
    <xf numFmtId="172" fontId="6" fillId="0" borderId="27" xfId="34" applyNumberFormat="1" applyFont="1" applyFill="1" applyBorder="1" applyAlignment="1" applyProtection="1">
      <alignment horizontal="right"/>
    </xf>
    <xf numFmtId="172" fontId="6" fillId="0" borderId="11" xfId="0" applyNumberFormat="1" applyFont="1" applyFill="1" applyBorder="1" applyAlignment="1">
      <alignment horizontal="right"/>
    </xf>
    <xf numFmtId="172" fontId="6" fillId="0" borderId="27" xfId="0" applyNumberFormat="1" applyFont="1" applyFill="1" applyBorder="1" applyAlignment="1">
      <alignment horizontal="right"/>
    </xf>
    <xf numFmtId="172" fontId="14" fillId="0" borderId="11" xfId="0" applyNumberFormat="1" applyFont="1" applyFill="1" applyBorder="1" applyAlignment="1">
      <alignment horizontal="right"/>
    </xf>
    <xf numFmtId="172" fontId="14" fillId="0" borderId="27" xfId="0" applyNumberFormat="1" applyFont="1" applyFill="1" applyBorder="1" applyAlignment="1">
      <alignment horizontal="right"/>
    </xf>
    <xf numFmtId="167" fontId="34" fillId="0" borderId="28" xfId="0" applyNumberFormat="1" applyFont="1" applyFill="1" applyBorder="1" applyAlignment="1">
      <alignment horizontal="right"/>
    </xf>
    <xf numFmtId="167" fontId="34" fillId="0" borderId="11" xfId="0" applyNumberFormat="1" applyFont="1" applyFill="1" applyBorder="1" applyAlignment="1">
      <alignment horizontal="right"/>
    </xf>
    <xf numFmtId="167" fontId="34" fillId="0" borderId="18" xfId="0" applyNumberFormat="1" applyFont="1" applyFill="1" applyBorder="1" applyAlignment="1">
      <alignment horizontal="right"/>
    </xf>
    <xf numFmtId="172" fontId="37" fillId="0" borderId="11" xfId="38" applyNumberFormat="1" applyFont="1" applyFill="1" applyBorder="1" applyAlignment="1"/>
    <xf numFmtId="172" fontId="12" fillId="0" borderId="18" xfId="0" applyNumberFormat="1" applyFont="1" applyFill="1" applyBorder="1" applyAlignment="1" applyProtection="1">
      <alignment horizontal="right" vertical="center"/>
    </xf>
    <xf numFmtId="0" fontId="32" fillId="17" borderId="15" xfId="80" applyFont="1" applyFill="1" applyBorder="1">
      <protection locked="0"/>
    </xf>
    <xf numFmtId="172" fontId="14" fillId="0" borderId="0" xfId="0" applyNumberFormat="1" applyFont="1" applyFill="1" applyAlignment="1">
      <alignment horizontal="right"/>
    </xf>
    <xf numFmtId="9" fontId="11" fillId="0" borderId="0" xfId="71" applyFont="1" applyFill="1" applyBorder="1"/>
    <xf numFmtId="9" fontId="23" fillId="0" borderId="0" xfId="0" applyNumberFormat="1" applyFont="1" applyFill="1" applyBorder="1"/>
    <xf numFmtId="0" fontId="81" fillId="0" borderId="29" xfId="60" applyFont="1" applyFill="1" applyBorder="1" applyAlignment="1" applyProtection="1">
      <alignment horizontal="left"/>
    </xf>
    <xf numFmtId="213" fontId="6" fillId="0" borderId="29" xfId="0" applyFont="1" applyFill="1" applyBorder="1"/>
    <xf numFmtId="37" fontId="6" fillId="0" borderId="29" xfId="0" applyNumberFormat="1" applyFont="1" applyFill="1" applyBorder="1"/>
    <xf numFmtId="179" fontId="6" fillId="0" borderId="29" xfId="38" applyNumberFormat="1" applyFont="1" applyFill="1" applyBorder="1"/>
    <xf numFmtId="198" fontId="6" fillId="0" borderId="29" xfId="38" applyNumberFormat="1" applyFont="1" applyFill="1" applyBorder="1"/>
    <xf numFmtId="0" fontId="6" fillId="0" borderId="0" xfId="60" applyFont="1" applyFill="1" applyBorder="1" applyAlignment="1">
      <alignment horizontal="left"/>
    </xf>
    <xf numFmtId="213" fontId="6" fillId="0" borderId="0" xfId="0" applyFont="1" applyFill="1" applyBorder="1" applyAlignment="1">
      <alignment horizontal="center"/>
    </xf>
    <xf numFmtId="0" fontId="6" fillId="0" borderId="0" xfId="60" applyFont="1" applyFill="1" applyBorder="1" applyAlignment="1">
      <alignment horizontal="center"/>
    </xf>
    <xf numFmtId="213" fontId="6" fillId="18" borderId="0" xfId="0" applyFont="1" applyFill="1" applyBorder="1" applyAlignment="1" applyProtection="1">
      <alignment horizontal="center"/>
    </xf>
    <xf numFmtId="0" fontId="6" fillId="18" borderId="0" xfId="63" applyFont="1" applyFill="1" applyBorder="1"/>
    <xf numFmtId="213" fontId="12" fillId="0" borderId="0" xfId="0" applyFont="1" applyFill="1" applyBorder="1" applyAlignment="1" applyProtection="1">
      <alignment horizontal="left"/>
    </xf>
    <xf numFmtId="200" fontId="12" fillId="0" borderId="19" xfId="0" applyNumberFormat="1" applyFont="1" applyFill="1" applyBorder="1" applyAlignment="1">
      <alignment horizontal="center"/>
    </xf>
    <xf numFmtId="200" fontId="12" fillId="0" borderId="28" xfId="0" applyNumberFormat="1" applyFont="1" applyFill="1" applyBorder="1" applyAlignment="1">
      <alignment horizontal="centerContinuous"/>
    </xf>
    <xf numFmtId="200" fontId="12" fillId="0" borderId="12" xfId="0" applyNumberFormat="1" applyFont="1" applyFill="1" applyBorder="1" applyAlignment="1">
      <alignment horizontal="centerContinuous"/>
    </xf>
    <xf numFmtId="201" fontId="12" fillId="0" borderId="28" xfId="0" applyNumberFormat="1" applyFont="1" applyFill="1" applyBorder="1" applyAlignment="1">
      <alignment horizontal="centerContinuous"/>
    </xf>
    <xf numFmtId="201" fontId="12" fillId="0" borderId="19" xfId="0" applyNumberFormat="1" applyFont="1" applyFill="1" applyBorder="1" applyAlignment="1">
      <alignment horizontal="center"/>
    </xf>
    <xf numFmtId="172" fontId="6" fillId="0" borderId="0" xfId="0" applyNumberFormat="1" applyFont="1" applyFill="1" applyAlignment="1">
      <alignment horizontal="right"/>
    </xf>
    <xf numFmtId="172" fontId="49" fillId="0" borderId="0" xfId="0" applyNumberFormat="1" applyFont="1" applyFill="1" applyBorder="1" applyAlignment="1">
      <alignment horizontal="right"/>
    </xf>
    <xf numFmtId="213" fontId="6" fillId="0" borderId="28" xfId="0" applyFont="1" applyFill="1" applyBorder="1"/>
    <xf numFmtId="213" fontId="6" fillId="0" borderId="12" xfId="0" applyFont="1" applyFill="1" applyBorder="1"/>
    <xf numFmtId="213" fontId="6" fillId="0" borderId="12" xfId="0" applyFont="1" applyBorder="1"/>
    <xf numFmtId="172" fontId="6" fillId="0" borderId="19" xfId="0" applyNumberFormat="1" applyFont="1" applyBorder="1"/>
    <xf numFmtId="172" fontId="6" fillId="0" borderId="28" xfId="0" applyNumberFormat="1" applyFont="1" applyBorder="1"/>
    <xf numFmtId="172" fontId="6" fillId="0" borderId="12" xfId="0" applyNumberFormat="1" applyFont="1" applyBorder="1"/>
    <xf numFmtId="172" fontId="6" fillId="0" borderId="30" xfId="0" applyNumberFormat="1" applyFont="1" applyBorder="1"/>
    <xf numFmtId="213" fontId="6" fillId="0" borderId="11" xfId="0" applyFont="1" applyFill="1" applyBorder="1"/>
    <xf numFmtId="172" fontId="6" fillId="0" borderId="13" xfId="0" applyNumberFormat="1" applyFont="1" applyBorder="1"/>
    <xf numFmtId="172" fontId="6" fillId="0" borderId="27" xfId="0" applyNumberFormat="1" applyFont="1" applyBorder="1"/>
    <xf numFmtId="172" fontId="6" fillId="0" borderId="11" xfId="0" applyNumberFormat="1" applyFont="1" applyBorder="1"/>
    <xf numFmtId="172" fontId="6" fillId="0" borderId="0" xfId="0" applyNumberFormat="1" applyFont="1" applyBorder="1"/>
    <xf numFmtId="213" fontId="6" fillId="0" borderId="18" xfId="0" applyFont="1" applyFill="1" applyBorder="1"/>
    <xf numFmtId="213" fontId="6" fillId="0" borderId="17" xfId="0" applyFont="1" applyFill="1" applyBorder="1"/>
    <xf numFmtId="213" fontId="6" fillId="0" borderId="17" xfId="0" applyFont="1" applyBorder="1"/>
    <xf numFmtId="167" fontId="6" fillId="0" borderId="17" xfId="0" applyNumberFormat="1" applyFont="1" applyBorder="1"/>
    <xf numFmtId="167" fontId="6" fillId="0" borderId="20" xfId="0" applyNumberFormat="1" applyFont="1" applyBorder="1"/>
    <xf numFmtId="200" fontId="12" fillId="0" borderId="0" xfId="0" applyNumberFormat="1" applyFont="1" applyFill="1" applyBorder="1" applyAlignment="1">
      <alignment horizontal="centerContinuous"/>
    </xf>
    <xf numFmtId="213" fontId="6" fillId="0" borderId="0" xfId="0" applyFont="1" applyFill="1" applyBorder="1" applyAlignment="1" applyProtection="1">
      <alignment horizontal="center"/>
    </xf>
    <xf numFmtId="0" fontId="6" fillId="0" borderId="0" xfId="63" applyFont="1" applyFill="1" applyBorder="1"/>
    <xf numFmtId="167" fontId="6" fillId="0" borderId="0" xfId="71" applyNumberFormat="1" applyFont="1" applyFill="1" applyBorder="1"/>
    <xf numFmtId="167" fontId="6" fillId="0" borderId="0" xfId="0" applyNumberFormat="1" applyFont="1" applyFill="1" applyBorder="1"/>
    <xf numFmtId="167" fontId="6" fillId="0" borderId="0" xfId="0" applyNumberFormat="1" applyFont="1" applyFill="1" applyBorder="1" applyAlignment="1">
      <alignment horizontal="right"/>
    </xf>
    <xf numFmtId="0" fontId="6" fillId="0" borderId="11" xfId="66" applyFont="1" applyFill="1" applyBorder="1"/>
    <xf numFmtId="172" fontId="6" fillId="0" borderId="11" xfId="66" applyNumberFormat="1" applyFont="1" applyFill="1" applyBorder="1" applyAlignment="1">
      <alignment horizontal="left"/>
    </xf>
    <xf numFmtId="200" fontId="12" fillId="0" borderId="14" xfId="0" applyNumberFormat="1" applyFont="1" applyFill="1" applyBorder="1" applyAlignment="1">
      <alignment horizontal="centerContinuous"/>
    </xf>
    <xf numFmtId="182" fontId="12" fillId="0" borderId="15" xfId="0" applyNumberFormat="1" applyFont="1" applyFill="1" applyBorder="1" applyAlignment="1">
      <alignment horizontal="centerContinuous"/>
    </xf>
    <xf numFmtId="167" fontId="14" fillId="0" borderId="17" xfId="71" applyNumberFormat="1" applyFont="1" applyBorder="1"/>
    <xf numFmtId="167" fontId="14" fillId="0" borderId="26" xfId="71" applyNumberFormat="1" applyFont="1" applyBorder="1"/>
    <xf numFmtId="167" fontId="6" fillId="0" borderId="18" xfId="0" applyNumberFormat="1" applyFont="1" applyBorder="1"/>
    <xf numFmtId="168" fontId="34" fillId="0" borderId="0" xfId="0" applyNumberFormat="1" applyFont="1" applyFill="1"/>
    <xf numFmtId="9" fontId="33" fillId="0" borderId="0" xfId="0" applyNumberFormat="1" applyFont="1" applyFill="1" applyBorder="1"/>
    <xf numFmtId="41" fontId="20" fillId="0" borderId="0" xfId="0" applyNumberFormat="1" applyFont="1" applyAlignment="1">
      <alignment horizontal="center"/>
    </xf>
    <xf numFmtId="172" fontId="34" fillId="18" borderId="0" xfId="67" applyNumberFormat="1" applyFont="1" applyFill="1" applyBorder="1" applyAlignment="1">
      <alignment horizontal="center"/>
    </xf>
    <xf numFmtId="213" fontId="34" fillId="18" borderId="0" xfId="0" applyFont="1" applyFill="1" applyBorder="1" applyAlignment="1">
      <alignment horizontal="right"/>
    </xf>
    <xf numFmtId="182" fontId="34" fillId="18" borderId="0" xfId="0" applyNumberFormat="1" applyFont="1" applyFill="1" applyBorder="1" applyAlignment="1">
      <alignment horizontal="right"/>
    </xf>
    <xf numFmtId="0" fontId="20" fillId="0" borderId="0" xfId="64" applyFont="1" applyFill="1" applyBorder="1" applyAlignment="1">
      <alignment horizontal="center"/>
    </xf>
    <xf numFmtId="184" fontId="12" fillId="0" borderId="0" xfId="0" applyNumberFormat="1" applyFont="1" applyFill="1" applyBorder="1" applyAlignment="1">
      <alignment horizontal="right"/>
    </xf>
    <xf numFmtId="201" fontId="12" fillId="0" borderId="14" xfId="0" applyNumberFormat="1" applyFont="1" applyFill="1" applyBorder="1" applyAlignment="1">
      <alignment horizontal="centerContinuous"/>
    </xf>
    <xf numFmtId="171" fontId="13" fillId="17" borderId="32" xfId="0" applyNumberFormat="1" applyFont="1" applyFill="1" applyBorder="1" applyAlignment="1">
      <alignment horizontal="center"/>
    </xf>
    <xf numFmtId="171" fontId="13" fillId="17" borderId="33" xfId="0" applyNumberFormat="1" applyFont="1" applyFill="1" applyBorder="1" applyAlignment="1">
      <alignment horizontal="center"/>
    </xf>
    <xf numFmtId="171" fontId="12" fillId="0" borderId="34" xfId="0" applyNumberFormat="1" applyFont="1" applyFill="1" applyBorder="1" applyAlignment="1">
      <alignment horizontal="right"/>
    </xf>
    <xf numFmtId="171" fontId="20" fillId="0" borderId="22" xfId="64" applyNumberFormat="1" applyFont="1" applyFill="1" applyBorder="1" applyAlignment="1">
      <alignment horizontal="center"/>
    </xf>
    <xf numFmtId="171" fontId="12" fillId="0" borderId="22" xfId="0" applyNumberFormat="1" applyFont="1" applyFill="1" applyBorder="1" applyAlignment="1">
      <alignment horizontal="right"/>
    </xf>
    <xf numFmtId="171" fontId="12" fillId="0" borderId="33" xfId="0" applyNumberFormat="1" applyFont="1" applyFill="1" applyBorder="1" applyAlignment="1">
      <alignment horizontal="center"/>
    </xf>
    <xf numFmtId="171" fontId="12" fillId="0" borderId="32" xfId="0" applyNumberFormat="1" applyFont="1" applyFill="1" applyBorder="1" applyAlignment="1">
      <alignment horizontal="center"/>
    </xf>
    <xf numFmtId="171" fontId="12" fillId="0" borderId="35" xfId="0" applyNumberFormat="1" applyFont="1" applyFill="1" applyBorder="1" applyAlignment="1">
      <alignment horizontal="center"/>
    </xf>
    <xf numFmtId="41" fontId="20" fillId="0" borderId="0" xfId="0" applyNumberFormat="1" applyFont="1" applyFill="1" applyAlignment="1">
      <alignment horizontal="center"/>
    </xf>
    <xf numFmtId="213" fontId="20" fillId="0" borderId="0" xfId="0" applyFont="1" applyFill="1" applyBorder="1" applyAlignment="1">
      <alignment horizontal="center"/>
    </xf>
    <xf numFmtId="43" fontId="12" fillId="0" borderId="0" xfId="38" applyFont="1" applyFill="1" applyBorder="1" applyAlignment="1">
      <alignment horizontal="center"/>
    </xf>
    <xf numFmtId="168" fontId="20" fillId="0" borderId="15" xfId="0" applyNumberFormat="1" applyFont="1" applyFill="1" applyBorder="1"/>
    <xf numFmtId="0" fontId="11" fillId="0" borderId="0" xfId="61" applyFont="1" applyFill="1" applyBorder="1" applyAlignment="1">
      <alignment horizontal="left"/>
    </xf>
    <xf numFmtId="41" fontId="34" fillId="18" borderId="0" xfId="0" applyNumberFormat="1" applyFont="1" applyFill="1"/>
    <xf numFmtId="213" fontId="33" fillId="0" borderId="17" xfId="0" applyFont="1" applyFill="1" applyBorder="1"/>
    <xf numFmtId="168" fontId="20" fillId="0" borderId="0" xfId="0" applyNumberFormat="1" applyFont="1" applyFill="1" applyBorder="1"/>
    <xf numFmtId="172" fontId="6" fillId="0" borderId="13" xfId="0" applyNumberFormat="1" applyFont="1" applyFill="1" applyBorder="1"/>
    <xf numFmtId="172" fontId="20" fillId="0" borderId="0" xfId="0" applyNumberFormat="1" applyFont="1" applyFill="1" applyBorder="1"/>
    <xf numFmtId="0" fontId="10" fillId="0" borderId="29" xfId="59" applyFont="1" applyFill="1" applyBorder="1" applyAlignment="1" applyProtection="1">
      <alignment horizontal="left"/>
    </xf>
    <xf numFmtId="172" fontId="34" fillId="0" borderId="13" xfId="0" applyNumberFormat="1" applyFont="1" applyFill="1" applyBorder="1"/>
    <xf numFmtId="172" fontId="20" fillId="0" borderId="11" xfId="0" applyNumberFormat="1" applyFont="1" applyFill="1" applyBorder="1"/>
    <xf numFmtId="172" fontId="34" fillId="0" borderId="18" xfId="0" applyNumberFormat="1" applyFont="1" applyFill="1" applyBorder="1"/>
    <xf numFmtId="213" fontId="11" fillId="0" borderId="0" xfId="0" applyFont="1" applyFill="1" applyBorder="1"/>
    <xf numFmtId="9" fontId="6" fillId="0" borderId="0" xfId="71" applyFont="1" applyFill="1" applyBorder="1"/>
    <xf numFmtId="167" fontId="11" fillId="0" borderId="0" xfId="0" applyNumberFormat="1" applyFont="1" applyFill="1" applyBorder="1"/>
    <xf numFmtId="172" fontId="12" fillId="0" borderId="0" xfId="0" applyNumberFormat="1" applyFont="1" applyFill="1" applyBorder="1"/>
    <xf numFmtId="168" fontId="34" fillId="0" borderId="0" xfId="40" applyNumberFormat="1" applyFont="1" applyFill="1" applyBorder="1"/>
    <xf numFmtId="168" fontId="34" fillId="0" borderId="13" xfId="40" applyNumberFormat="1" applyFont="1" applyFill="1" applyBorder="1"/>
    <xf numFmtId="168" fontId="37" fillId="0" borderId="0" xfId="40" applyNumberFormat="1" applyFont="1" applyFill="1" applyBorder="1"/>
    <xf numFmtId="168" fontId="34" fillId="0" borderId="0" xfId="0" applyNumberFormat="1" applyFont="1" applyFill="1" applyBorder="1"/>
    <xf numFmtId="168" fontId="34" fillId="0" borderId="27" xfId="0" applyNumberFormat="1" applyFont="1" applyFill="1" applyBorder="1"/>
    <xf numFmtId="168" fontId="34" fillId="0" borderId="13" xfId="0" applyNumberFormat="1" applyFont="1" applyFill="1" applyBorder="1"/>
    <xf numFmtId="168" fontId="37" fillId="0" borderId="0" xfId="0" applyNumberFormat="1" applyFont="1" applyFill="1" applyBorder="1"/>
    <xf numFmtId="172" fontId="34" fillId="0" borderId="0" xfId="0" applyNumberFormat="1" applyFont="1" applyFill="1" applyBorder="1"/>
    <xf numFmtId="172" fontId="34" fillId="0" borderId="11" xfId="66" applyNumberFormat="1" applyFont="1" applyFill="1" applyBorder="1" applyAlignment="1"/>
    <xf numFmtId="172" fontId="34" fillId="0" borderId="0" xfId="0" applyNumberFormat="1" applyFont="1" applyFill="1" applyBorder="1" applyAlignment="1"/>
    <xf numFmtId="0" fontId="11" fillId="0" borderId="11" xfId="66" applyFont="1" applyFill="1" applyBorder="1" applyAlignment="1">
      <alignment horizontal="left" indent="2"/>
    </xf>
    <xf numFmtId="9" fontId="11" fillId="0" borderId="13" xfId="0" applyNumberFormat="1" applyFont="1" applyFill="1" applyBorder="1"/>
    <xf numFmtId="9" fontId="11" fillId="0" borderId="27" xfId="0" applyNumberFormat="1" applyFont="1" applyFill="1" applyBorder="1"/>
    <xf numFmtId="180" fontId="11" fillId="0" borderId="0" xfId="0" applyNumberFormat="1" applyFont="1" applyFill="1" applyBorder="1"/>
    <xf numFmtId="172" fontId="23" fillId="0" borderId="0" xfId="0" applyNumberFormat="1" applyFont="1" applyFill="1" applyBorder="1"/>
    <xf numFmtId="9" fontId="11" fillId="0" borderId="0" xfId="0" applyNumberFormat="1" applyFont="1" applyFill="1" applyBorder="1" applyAlignment="1">
      <alignment horizontal="right"/>
    </xf>
    <xf numFmtId="9" fontId="11" fillId="0" borderId="13" xfId="0" applyNumberFormat="1" applyFont="1" applyFill="1" applyBorder="1" applyAlignment="1">
      <alignment horizontal="right"/>
    </xf>
    <xf numFmtId="9" fontId="34" fillId="0" borderId="0" xfId="0" applyNumberFormat="1" applyFont="1" applyFill="1" applyBorder="1"/>
    <xf numFmtId="9" fontId="22" fillId="0" borderId="0" xfId="0" applyNumberFormat="1" applyFont="1" applyFill="1" applyBorder="1"/>
    <xf numFmtId="168" fontId="20" fillId="0" borderId="0" xfId="38" applyNumberFormat="1" applyFont="1" applyFill="1" applyBorder="1"/>
    <xf numFmtId="172" fontId="20" fillId="0" borderId="13" xfId="0" applyNumberFormat="1" applyFont="1" applyFill="1" applyBorder="1"/>
    <xf numFmtId="167" fontId="23" fillId="0" borderId="0" xfId="0" applyNumberFormat="1" applyFont="1" applyFill="1" applyBorder="1"/>
    <xf numFmtId="172" fontId="11" fillId="0" borderId="0" xfId="40" applyNumberFormat="1" applyFont="1" applyFill="1" applyBorder="1"/>
    <xf numFmtId="172" fontId="34" fillId="0" borderId="13" xfId="40" applyNumberFormat="1" applyFont="1" applyFill="1" applyBorder="1"/>
    <xf numFmtId="172" fontId="34" fillId="0" borderId="0" xfId="40" applyNumberFormat="1" applyFont="1" applyFill="1" applyBorder="1"/>
    <xf numFmtId="166" fontId="11" fillId="0" borderId="0" xfId="0" applyNumberFormat="1" applyFont="1" applyFill="1" applyBorder="1"/>
    <xf numFmtId="166" fontId="34" fillId="0" borderId="13" xfId="0" applyNumberFormat="1" applyFont="1" applyFill="1" applyBorder="1"/>
    <xf numFmtId="9" fontId="11" fillId="0" borderId="11" xfId="0" applyNumberFormat="1" applyFont="1" applyFill="1" applyBorder="1"/>
    <xf numFmtId="1" fontId="34" fillId="0" borderId="0" xfId="0" applyNumberFormat="1" applyFont="1" applyFill="1" applyBorder="1"/>
    <xf numFmtId="168" fontId="34" fillId="0" borderId="0" xfId="0" applyNumberFormat="1" applyFont="1" applyFill="1" applyBorder="1" applyAlignment="1">
      <alignment horizontal="right"/>
    </xf>
    <xf numFmtId="43" fontId="27" fillId="0" borderId="0" xfId="38" applyFont="1" applyFill="1" applyBorder="1"/>
    <xf numFmtId="167" fontId="22" fillId="0" borderId="0" xfId="38" applyNumberFormat="1" applyFont="1" applyFill="1" applyBorder="1"/>
    <xf numFmtId="0" fontId="20" fillId="0" borderId="11" xfId="66" applyFont="1" applyFill="1" applyBorder="1"/>
    <xf numFmtId="9" fontId="22" fillId="0" borderId="0" xfId="71" applyFont="1" applyFill="1" applyBorder="1" applyAlignment="1">
      <alignment horizontal="center"/>
    </xf>
    <xf numFmtId="0" fontId="34" fillId="0" borderId="11" xfId="66" applyFont="1" applyFill="1" applyBorder="1"/>
    <xf numFmtId="0" fontId="20" fillId="0" borderId="18" xfId="66" applyFont="1" applyFill="1" applyBorder="1"/>
    <xf numFmtId="213" fontId="20" fillId="0" borderId="17" xfId="0" applyFont="1" applyFill="1" applyBorder="1"/>
    <xf numFmtId="8" fontId="22" fillId="0" borderId="0" xfId="0" applyNumberFormat="1" applyFont="1" applyFill="1" applyBorder="1"/>
    <xf numFmtId="168" fontId="22" fillId="0" borderId="0" xfId="38" applyNumberFormat="1" applyFont="1" applyFill="1" applyBorder="1"/>
    <xf numFmtId="8" fontId="22" fillId="0" borderId="0" xfId="0" applyNumberFormat="1" applyFont="1" applyFill="1" applyBorder="1" applyAlignment="1">
      <alignment horizontal="center"/>
    </xf>
    <xf numFmtId="168" fontId="22" fillId="0" borderId="0" xfId="38" applyNumberFormat="1" applyFont="1" applyFill="1" applyBorder="1" applyAlignment="1">
      <alignment horizontal="center"/>
    </xf>
    <xf numFmtId="5" fontId="22" fillId="0" borderId="0" xfId="38" applyNumberFormat="1" applyFont="1" applyFill="1" applyBorder="1" applyAlignment="1">
      <alignment horizontal="center"/>
    </xf>
    <xf numFmtId="9" fontId="22" fillId="0" borderId="0" xfId="38" applyNumberFormat="1" applyFont="1" applyFill="1" applyBorder="1" applyAlignment="1">
      <alignment horizontal="center"/>
    </xf>
    <xf numFmtId="167" fontId="22" fillId="0" borderId="0" xfId="38" applyNumberFormat="1" applyFont="1" applyFill="1" applyBorder="1" applyAlignment="1">
      <alignment horizontal="center"/>
    </xf>
    <xf numFmtId="9" fontId="34" fillId="0" borderId="0" xfId="71" applyFont="1" applyFill="1" applyBorder="1" applyAlignment="1">
      <alignment horizontal="center"/>
    </xf>
    <xf numFmtId="0" fontId="15" fillId="0" borderId="0" xfId="59" applyFont="1" applyFill="1" applyBorder="1" applyAlignment="1" applyProtection="1">
      <alignment horizontal="left"/>
    </xf>
    <xf numFmtId="0" fontId="27" fillId="0" borderId="0" xfId="59" applyFont="1" applyFill="1" applyBorder="1" applyProtection="1"/>
    <xf numFmtId="0" fontId="6" fillId="0" borderId="0" xfId="59" applyFont="1" applyFill="1" applyBorder="1"/>
    <xf numFmtId="0" fontId="27" fillId="0" borderId="0" xfId="59" applyFont="1" applyFill="1" applyBorder="1"/>
    <xf numFmtId="213" fontId="25" fillId="0" borderId="0" xfId="0" applyFont="1" applyFill="1" applyBorder="1" applyAlignment="1" applyProtection="1">
      <alignment horizontal="left"/>
    </xf>
    <xf numFmtId="172" fontId="34" fillId="0" borderId="11" xfId="80" applyNumberFormat="1" applyFont="1" applyFill="1" applyBorder="1" applyAlignment="1">
      <alignment horizontal="left"/>
      <protection locked="0"/>
    </xf>
    <xf numFmtId="172" fontId="34" fillId="0" borderId="0" xfId="80" applyNumberFormat="1" applyFont="1" applyFill="1" applyBorder="1" applyAlignment="1">
      <alignment horizontal="left"/>
      <protection locked="0"/>
    </xf>
    <xf numFmtId="0" fontId="34" fillId="0" borderId="20" xfId="80" applyFont="1" applyFill="1" applyBorder="1">
      <protection locked="0"/>
    </xf>
    <xf numFmtId="0" fontId="34" fillId="0" borderId="18" xfId="80" applyFont="1" applyFill="1" applyBorder="1">
      <protection locked="0"/>
    </xf>
    <xf numFmtId="0" fontId="34" fillId="0" borderId="0" xfId="80" applyFont="1" applyFill="1" applyBorder="1">
      <protection locked="0"/>
    </xf>
    <xf numFmtId="188" fontId="34" fillId="0" borderId="11" xfId="80" applyNumberFormat="1" applyFont="1" applyFill="1" applyBorder="1">
      <protection locked="0"/>
    </xf>
    <xf numFmtId="166" fontId="34" fillId="0" borderId="11" xfId="80" applyNumberFormat="1" applyFont="1" applyFill="1" applyBorder="1">
      <protection locked="0"/>
    </xf>
    <xf numFmtId="166" fontId="34" fillId="0" borderId="18" xfId="80" applyNumberFormat="1" applyFont="1" applyFill="1" applyBorder="1">
      <protection locked="0"/>
    </xf>
    <xf numFmtId="166" fontId="34" fillId="0" borderId="0" xfId="80" applyNumberFormat="1" applyFont="1" applyFill="1" applyBorder="1">
      <protection locked="0"/>
    </xf>
    <xf numFmtId="166" fontId="34" fillId="0" borderId="18" xfId="62" applyNumberFormat="1" applyFont="1" applyFill="1" applyBorder="1"/>
    <xf numFmtId="166" fontId="34" fillId="0" borderId="0" xfId="62" applyNumberFormat="1" applyFont="1" applyFill="1" applyBorder="1"/>
    <xf numFmtId="172" fontId="34" fillId="0" borderId="11" xfId="80" applyNumberFormat="1" applyFont="1" applyFill="1" applyBorder="1" applyAlignment="1">
      <alignment horizontal="left" indent="1"/>
      <protection locked="0"/>
    </xf>
    <xf numFmtId="172" fontId="34" fillId="0" borderId="18" xfId="80" applyNumberFormat="1" applyFont="1" applyFill="1" applyBorder="1" applyAlignment="1">
      <alignment horizontal="left"/>
      <protection locked="0"/>
    </xf>
    <xf numFmtId="172" fontId="34" fillId="0" borderId="17" xfId="80" applyNumberFormat="1" applyFont="1" applyFill="1" applyBorder="1" applyAlignment="1">
      <alignment horizontal="left"/>
      <protection locked="0"/>
    </xf>
    <xf numFmtId="172" fontId="34" fillId="0" borderId="11" xfId="80" applyNumberFormat="1" applyFont="1" applyFill="1" applyBorder="1">
      <protection locked="0"/>
    </xf>
    <xf numFmtId="0" fontId="11" fillId="0" borderId="11" xfId="80" applyFont="1" applyFill="1" applyBorder="1" applyAlignment="1">
      <alignment horizontal="left" indent="2"/>
      <protection locked="0"/>
    </xf>
    <xf numFmtId="167" fontId="11" fillId="0" borderId="11" xfId="80" applyNumberFormat="1" applyFont="1" applyFill="1" applyBorder="1" applyAlignment="1">
      <alignment horizontal="left" indent="2"/>
      <protection locked="0"/>
    </xf>
    <xf numFmtId="41" fontId="34" fillId="0" borderId="11" xfId="80" applyNumberFormat="1" applyFont="1" applyFill="1" applyBorder="1">
      <protection locked="0"/>
    </xf>
    <xf numFmtId="41" fontId="34" fillId="0" borderId="0" xfId="80" applyNumberFormat="1" applyFont="1" applyFill="1" applyBorder="1">
      <protection locked="0"/>
    </xf>
    <xf numFmtId="41" fontId="34" fillId="0" borderId="11" xfId="80" applyNumberFormat="1" applyFont="1" applyFill="1" applyBorder="1" applyAlignment="1">
      <alignment horizontal="left" indent="1"/>
      <protection locked="0"/>
    </xf>
    <xf numFmtId="41" fontId="34" fillId="0" borderId="0" xfId="80" applyNumberFormat="1" applyFont="1" applyFill="1" applyBorder="1" applyAlignment="1">
      <alignment horizontal="left" indent="1"/>
      <protection locked="0"/>
    </xf>
    <xf numFmtId="0" fontId="34" fillId="0" borderId="11" xfId="80" applyFont="1" applyFill="1" applyBorder="1" applyAlignment="1">
      <alignment horizontal="left" indent="2"/>
      <protection locked="0"/>
    </xf>
    <xf numFmtId="0" fontId="34" fillId="0" borderId="0" xfId="80" applyFont="1" applyFill="1" applyBorder="1" applyAlignment="1">
      <alignment horizontal="left" indent="2"/>
      <protection locked="0"/>
    </xf>
    <xf numFmtId="41" fontId="34" fillId="0" borderId="18" xfId="80" applyNumberFormat="1" applyFont="1" applyFill="1" applyBorder="1">
      <protection locked="0"/>
    </xf>
    <xf numFmtId="41" fontId="34" fillId="0" borderId="17" xfId="80" applyNumberFormat="1" applyFont="1" applyFill="1" applyBorder="1">
      <protection locked="0"/>
    </xf>
    <xf numFmtId="167" fontId="37" fillId="0" borderId="11" xfId="71" applyNumberFormat="1" applyFont="1" applyFill="1" applyBorder="1" applyAlignment="1">
      <alignment horizontal="right"/>
    </xf>
    <xf numFmtId="167" fontId="37" fillId="0" borderId="0" xfId="71" applyNumberFormat="1" applyFont="1" applyFill="1" applyBorder="1" applyAlignment="1">
      <alignment horizontal="right"/>
    </xf>
    <xf numFmtId="167" fontId="37" fillId="0" borderId="13" xfId="71" applyNumberFormat="1" applyFont="1" applyFill="1" applyBorder="1" applyAlignment="1">
      <alignment horizontal="right"/>
    </xf>
    <xf numFmtId="167" fontId="37" fillId="0" borderId="27" xfId="71" applyNumberFormat="1" applyFont="1" applyFill="1" applyBorder="1" applyAlignment="1">
      <alignment horizontal="right"/>
    </xf>
    <xf numFmtId="167" fontId="37" fillId="0" borderId="18" xfId="71" applyNumberFormat="1" applyFont="1" applyFill="1" applyBorder="1" applyAlignment="1">
      <alignment horizontal="right"/>
    </xf>
    <xf numFmtId="167" fontId="37" fillId="0" borderId="17" xfId="71" applyNumberFormat="1" applyFont="1" applyFill="1" applyBorder="1" applyAlignment="1">
      <alignment horizontal="right"/>
    </xf>
    <xf numFmtId="167" fontId="37" fillId="0" borderId="20" xfId="71" applyNumberFormat="1" applyFont="1" applyFill="1" applyBorder="1" applyAlignment="1">
      <alignment horizontal="right"/>
    </xf>
    <xf numFmtId="167" fontId="37" fillId="0" borderId="26" xfId="71" applyNumberFormat="1" applyFont="1" applyFill="1" applyBorder="1" applyAlignment="1">
      <alignment horizontal="right"/>
    </xf>
    <xf numFmtId="167" fontId="11" fillId="0" borderId="11" xfId="0" applyNumberFormat="1" applyFont="1" applyFill="1" applyBorder="1" applyAlignment="1">
      <alignment horizontal="right"/>
    </xf>
    <xf numFmtId="167" fontId="11" fillId="0" borderId="0" xfId="0" applyNumberFormat="1" applyFont="1" applyFill="1" applyBorder="1" applyAlignment="1">
      <alignment horizontal="right"/>
    </xf>
    <xf numFmtId="167" fontId="11" fillId="0" borderId="13" xfId="0" applyNumberFormat="1" applyFont="1" applyFill="1" applyBorder="1" applyAlignment="1">
      <alignment horizontal="right"/>
    </xf>
    <xf numFmtId="9" fontId="11" fillId="0" borderId="11" xfId="0" applyNumberFormat="1" applyFont="1" applyFill="1" applyBorder="1" applyAlignment="1">
      <alignment horizontal="right"/>
    </xf>
    <xf numFmtId="9" fontId="11" fillId="0" borderId="27" xfId="0" applyNumberFormat="1" applyFont="1" applyFill="1" applyBorder="1" applyAlignment="1">
      <alignment horizontal="right"/>
    </xf>
    <xf numFmtId="185" fontId="34" fillId="0" borderId="13" xfId="0" applyNumberFormat="1" applyFont="1" applyFill="1" applyBorder="1" applyAlignment="1">
      <alignment horizontal="center"/>
    </xf>
    <xf numFmtId="0" fontId="34" fillId="0" borderId="11" xfId="52" applyFont="1" applyFill="1" applyBorder="1"/>
    <xf numFmtId="0" fontId="34" fillId="0" borderId="0" xfId="52" applyFont="1" applyFill="1" applyBorder="1"/>
    <xf numFmtId="185" fontId="34" fillId="0" borderId="11" xfId="0" applyNumberFormat="1" applyFont="1" applyFill="1" applyBorder="1" applyAlignment="1">
      <alignment horizontal="center"/>
    </xf>
    <xf numFmtId="185" fontId="34" fillId="0" borderId="0" xfId="0" applyNumberFormat="1" applyFont="1" applyFill="1" applyBorder="1" applyAlignment="1">
      <alignment horizontal="center"/>
    </xf>
    <xf numFmtId="183" fontId="34" fillId="0" borderId="0" xfId="0" applyNumberFormat="1" applyFont="1" applyFill="1" applyBorder="1" applyAlignment="1">
      <alignment horizontal="center"/>
    </xf>
    <xf numFmtId="183" fontId="34" fillId="0" borderId="13" xfId="0" applyNumberFormat="1" applyFont="1" applyFill="1" applyBorder="1" applyAlignment="1">
      <alignment horizontal="center"/>
    </xf>
    <xf numFmtId="183" fontId="34" fillId="0" borderId="11" xfId="0" applyNumberFormat="1" applyFont="1" applyFill="1" applyBorder="1" applyAlignment="1">
      <alignment horizontal="center"/>
    </xf>
    <xf numFmtId="183" fontId="34" fillId="0" borderId="27" xfId="0" applyNumberFormat="1" applyFont="1" applyFill="1" applyBorder="1" applyAlignment="1">
      <alignment horizontal="center"/>
    </xf>
    <xf numFmtId="0" fontId="11" fillId="0" borderId="11" xfId="52" applyFont="1" applyFill="1" applyBorder="1"/>
    <xf numFmtId="0" fontId="11" fillId="0" borderId="0" xfId="52" applyFont="1" applyFill="1" applyBorder="1"/>
    <xf numFmtId="185" fontId="11" fillId="0" borderId="11" xfId="0" applyNumberFormat="1" applyFont="1" applyFill="1" applyBorder="1" applyAlignment="1">
      <alignment horizontal="center"/>
    </xf>
    <xf numFmtId="185" fontId="11" fillId="0" borderId="0" xfId="0" applyNumberFormat="1" applyFont="1" applyFill="1" applyBorder="1" applyAlignment="1">
      <alignment horizontal="center"/>
    </xf>
    <xf numFmtId="185" fontId="11" fillId="0" borderId="13" xfId="0" applyNumberFormat="1" applyFont="1" applyFill="1" applyBorder="1" applyAlignment="1">
      <alignment horizontal="center"/>
    </xf>
    <xf numFmtId="183" fontId="11" fillId="0" borderId="0" xfId="0" applyNumberFormat="1" applyFont="1" applyFill="1" applyBorder="1" applyAlignment="1">
      <alignment horizontal="center"/>
    </xf>
    <xf numFmtId="183" fontId="11" fillId="0" borderId="13" xfId="0" applyNumberFormat="1" applyFont="1" applyFill="1" applyBorder="1" applyAlignment="1">
      <alignment horizontal="center"/>
    </xf>
    <xf numFmtId="183" fontId="11" fillId="0" borderId="11" xfId="0" applyNumberFormat="1" applyFont="1" applyFill="1" applyBorder="1" applyAlignment="1">
      <alignment horizontal="center"/>
    </xf>
    <xf numFmtId="183" fontId="11" fillId="0" borderId="27" xfId="0" applyNumberFormat="1" applyFont="1" applyFill="1" applyBorder="1" applyAlignment="1">
      <alignment horizontal="center"/>
    </xf>
    <xf numFmtId="182" fontId="14" fillId="0" borderId="11" xfId="0" applyNumberFormat="1" applyFont="1" applyFill="1" applyBorder="1"/>
    <xf numFmtId="182" fontId="14" fillId="0" borderId="0" xfId="0" applyNumberFormat="1" applyFont="1" applyFill="1" applyBorder="1"/>
    <xf numFmtId="182" fontId="14" fillId="0" borderId="27" xfId="0" applyNumberFormat="1" applyFont="1" applyFill="1" applyBorder="1"/>
    <xf numFmtId="182" fontId="14" fillId="0" borderId="13" xfId="0" applyNumberFormat="1" applyFont="1" applyFill="1" applyBorder="1"/>
    <xf numFmtId="182" fontId="14" fillId="0" borderId="0" xfId="0" applyNumberFormat="1" applyFont="1" applyFill="1"/>
    <xf numFmtId="182" fontId="14" fillId="0" borderId="23" xfId="0" applyNumberFormat="1" applyFont="1" applyFill="1" applyBorder="1"/>
    <xf numFmtId="172" fontId="21" fillId="0" borderId="11" xfId="0" applyNumberFormat="1" applyFont="1" applyFill="1" applyBorder="1" applyAlignment="1">
      <alignment horizontal="right"/>
    </xf>
    <xf numFmtId="172" fontId="35" fillId="0" borderId="11" xfId="0" applyNumberFormat="1" applyFont="1" applyFill="1" applyBorder="1"/>
    <xf numFmtId="172" fontId="35" fillId="0" borderId="0" xfId="0" applyNumberFormat="1" applyFont="1" applyFill="1" applyBorder="1"/>
    <xf numFmtId="172" fontId="35" fillId="0" borderId="27" xfId="0" applyNumberFormat="1" applyFont="1" applyFill="1" applyBorder="1"/>
    <xf numFmtId="172" fontId="12" fillId="0" borderId="13" xfId="0" applyNumberFormat="1" applyFont="1" applyFill="1" applyBorder="1"/>
    <xf numFmtId="172" fontId="12" fillId="0" borderId="11" xfId="0" applyNumberFormat="1" applyFont="1" applyFill="1" applyBorder="1"/>
    <xf numFmtId="172" fontId="12" fillId="0" borderId="27" xfId="0" applyNumberFormat="1" applyFont="1" applyFill="1" applyBorder="1"/>
    <xf numFmtId="172" fontId="34" fillId="0" borderId="0" xfId="0" applyNumberFormat="1" applyFont="1" applyFill="1" applyAlignment="1" applyProtection="1">
      <alignment horizontal="left"/>
    </xf>
    <xf numFmtId="172" fontId="12" fillId="0" borderId="11" xfId="34" applyNumberFormat="1" applyFont="1" applyFill="1" applyBorder="1" applyAlignment="1" applyProtection="1">
      <alignment horizontal="right"/>
    </xf>
    <xf numFmtId="172" fontId="12" fillId="0" borderId="0" xfId="34" applyNumberFormat="1" applyFont="1" applyFill="1" applyBorder="1" applyAlignment="1" applyProtection="1">
      <alignment horizontal="right"/>
    </xf>
    <xf numFmtId="172" fontId="12" fillId="0" borderId="27" xfId="34" applyNumberFormat="1" applyFont="1" applyFill="1" applyBorder="1" applyAlignment="1" applyProtection="1">
      <alignment horizontal="right"/>
    </xf>
    <xf numFmtId="172" fontId="34" fillId="0" borderId="13" xfId="34" applyNumberFormat="1" applyFont="1" applyFill="1" applyBorder="1" applyAlignment="1" applyProtection="1">
      <alignment horizontal="right"/>
    </xf>
    <xf numFmtId="172" fontId="14" fillId="0" borderId="27" xfId="34" applyNumberFormat="1" applyFont="1" applyFill="1" applyBorder="1" applyAlignment="1" applyProtection="1">
      <alignment horizontal="right"/>
    </xf>
    <xf numFmtId="172" fontId="12" fillId="0" borderId="17" xfId="0" applyNumberFormat="1" applyFont="1" applyFill="1" applyBorder="1" applyAlignment="1" applyProtection="1">
      <alignment horizontal="right" vertical="center"/>
    </xf>
    <xf numFmtId="172" fontId="12" fillId="0" borderId="26" xfId="0" applyNumberFormat="1" applyFont="1" applyFill="1" applyBorder="1" applyAlignment="1" applyProtection="1">
      <alignment horizontal="right" vertical="center"/>
    </xf>
    <xf numFmtId="172" fontId="12" fillId="0" borderId="20" xfId="0" applyNumberFormat="1" applyFont="1" applyFill="1" applyBorder="1" applyAlignment="1" applyProtection="1">
      <alignment horizontal="right" vertical="center"/>
    </xf>
    <xf numFmtId="172" fontId="6" fillId="0" borderId="13" xfId="0" applyNumberFormat="1" applyFont="1" applyFill="1" applyBorder="1" applyAlignment="1">
      <alignment horizontal="right"/>
    </xf>
    <xf numFmtId="9" fontId="6" fillId="0" borderId="0" xfId="0" applyNumberFormat="1" applyFont="1" applyFill="1" applyAlignment="1">
      <alignment horizontal="right"/>
    </xf>
    <xf numFmtId="172" fontId="17" fillId="0" borderId="13" xfId="0" applyNumberFormat="1" applyFont="1" applyFill="1" applyBorder="1" applyAlignment="1">
      <alignment horizontal="right"/>
    </xf>
    <xf numFmtId="172" fontId="6" fillId="0" borderId="13" xfId="34" applyNumberFormat="1" applyFont="1" applyFill="1" applyBorder="1" applyAlignment="1" applyProtection="1">
      <alignment horizontal="right"/>
    </xf>
    <xf numFmtId="182" fontId="6" fillId="0" borderId="13" xfId="0" applyNumberFormat="1" applyFont="1" applyFill="1" applyBorder="1"/>
    <xf numFmtId="182" fontId="6" fillId="0" borderId="11" xfId="0" applyNumberFormat="1" applyFont="1" applyFill="1" applyBorder="1"/>
    <xf numFmtId="172" fontId="16" fillId="0" borderId="0" xfId="0" applyNumberFormat="1" applyFont="1" applyFill="1" applyBorder="1" applyAlignment="1">
      <alignment horizontal="right"/>
    </xf>
    <xf numFmtId="172" fontId="16" fillId="0" borderId="27" xfId="0" applyNumberFormat="1" applyFont="1" applyFill="1" applyBorder="1" applyAlignment="1">
      <alignment horizontal="right"/>
    </xf>
    <xf numFmtId="172" fontId="29" fillId="0" borderId="18" xfId="0" applyNumberFormat="1" applyFont="1" applyFill="1" applyBorder="1" applyAlignment="1" applyProtection="1">
      <alignment horizontal="right" vertical="center"/>
    </xf>
    <xf numFmtId="172" fontId="29" fillId="0" borderId="17" xfId="0" applyNumberFormat="1" applyFont="1" applyFill="1" applyBorder="1" applyAlignment="1" applyProtection="1">
      <alignment horizontal="right" vertical="center"/>
    </xf>
    <xf numFmtId="172" fontId="29" fillId="0" borderId="26" xfId="0" applyNumberFormat="1" applyFont="1" applyFill="1" applyBorder="1" applyAlignment="1" applyProtection="1">
      <alignment horizontal="right" vertical="center"/>
    </xf>
    <xf numFmtId="172" fontId="37" fillId="0" borderId="11" xfId="34" applyNumberFormat="1" applyFont="1" applyFill="1" applyBorder="1" applyAlignment="1" applyProtection="1">
      <alignment horizontal="right"/>
    </xf>
    <xf numFmtId="172" fontId="37" fillId="0" borderId="0" xfId="34" applyNumberFormat="1" applyFont="1" applyFill="1" applyBorder="1" applyAlignment="1" applyProtection="1">
      <alignment horizontal="right"/>
    </xf>
    <xf numFmtId="172" fontId="37" fillId="0" borderId="27" xfId="34" applyNumberFormat="1" applyFont="1" applyFill="1" applyBorder="1" applyAlignment="1" applyProtection="1">
      <alignment horizontal="right"/>
    </xf>
    <xf numFmtId="172" fontId="37" fillId="0" borderId="0" xfId="34" applyNumberFormat="1" applyFont="1" applyFill="1" applyAlignment="1" applyProtection="1">
      <alignment horizontal="right"/>
    </xf>
    <xf numFmtId="172" fontId="12" fillId="0" borderId="32" xfId="0" applyNumberFormat="1" applyFont="1" applyFill="1" applyBorder="1" applyAlignment="1" applyProtection="1">
      <alignment horizontal="right"/>
    </xf>
    <xf numFmtId="172" fontId="29" fillId="0" borderId="32" xfId="0" applyNumberFormat="1" applyFont="1" applyFill="1" applyBorder="1" applyAlignment="1" applyProtection="1">
      <alignment horizontal="right"/>
    </xf>
    <xf numFmtId="172" fontId="29" fillId="0" borderId="33" xfId="0" applyNumberFormat="1" applyFont="1" applyFill="1" applyBorder="1" applyAlignment="1" applyProtection="1">
      <alignment horizontal="right"/>
    </xf>
    <xf numFmtId="172" fontId="29" fillId="0" borderId="35" xfId="0" applyNumberFormat="1" applyFont="1" applyFill="1" applyBorder="1" applyAlignment="1" applyProtection="1">
      <alignment horizontal="right"/>
    </xf>
    <xf numFmtId="172" fontId="12" fillId="0" borderId="36" xfId="0" applyNumberFormat="1" applyFont="1" applyFill="1" applyBorder="1" applyAlignment="1" applyProtection="1">
      <alignment horizontal="right"/>
    </xf>
    <xf numFmtId="172" fontId="29" fillId="0" borderId="36" xfId="0" applyNumberFormat="1" applyFont="1" applyFill="1" applyBorder="1" applyAlignment="1" applyProtection="1">
      <alignment horizontal="right"/>
    </xf>
    <xf numFmtId="172" fontId="12" fillId="0" borderId="0" xfId="0" applyNumberFormat="1" applyFont="1" applyFill="1" applyBorder="1" applyAlignment="1" applyProtection="1">
      <alignment horizontal="left" vertical="center"/>
      <protection locked="0"/>
    </xf>
    <xf numFmtId="172" fontId="29" fillId="0" borderId="0" xfId="0" applyNumberFormat="1" applyFont="1" applyFill="1" applyBorder="1" applyAlignment="1" applyProtection="1">
      <alignment horizontal="right" vertical="center"/>
    </xf>
    <xf numFmtId="9" fontId="29" fillId="0" borderId="0" xfId="71" applyFont="1" applyFill="1" applyBorder="1" applyAlignment="1" applyProtection="1">
      <alignment horizontal="right" vertical="center"/>
    </xf>
    <xf numFmtId="43" fontId="29" fillId="0" borderId="0" xfId="38" applyFont="1" applyFill="1" applyBorder="1" applyAlignment="1" applyProtection="1">
      <alignment horizontal="right" vertical="center"/>
    </xf>
    <xf numFmtId="43" fontId="15" fillId="0" borderId="0" xfId="38" applyFont="1" applyFill="1" applyBorder="1" applyAlignment="1" applyProtection="1">
      <alignment horizontal="right" vertical="center"/>
    </xf>
    <xf numFmtId="213" fontId="41" fillId="0" borderId="0" xfId="0" applyFont="1" applyFill="1" applyBorder="1"/>
    <xf numFmtId="168" fontId="34" fillId="0" borderId="11" xfId="80" applyNumberFormat="1" applyFont="1" applyFill="1" applyBorder="1">
      <protection locked="0"/>
    </xf>
    <xf numFmtId="168" fontId="34" fillId="0" borderId="28" xfId="0" applyNumberFormat="1" applyFont="1" applyFill="1" applyBorder="1" applyAlignment="1">
      <alignment horizontal="right"/>
    </xf>
    <xf numFmtId="168" fontId="34" fillId="0" borderId="19" xfId="0" applyNumberFormat="1" applyFont="1" applyFill="1" applyBorder="1" applyAlignment="1">
      <alignment horizontal="right"/>
    </xf>
    <xf numFmtId="7" fontId="34" fillId="0" borderId="11" xfId="80" applyNumberFormat="1" applyFont="1" applyFill="1" applyBorder="1">
      <protection locked="0"/>
    </xf>
    <xf numFmtId="7" fontId="34" fillId="0" borderId="0" xfId="40" applyNumberFormat="1" applyFont="1" applyFill="1" applyBorder="1" applyAlignment="1">
      <alignment horizontal="right"/>
    </xf>
    <xf numFmtId="7" fontId="34" fillId="0" borderId="11" xfId="40" applyNumberFormat="1" applyFont="1" applyFill="1" applyBorder="1" applyAlignment="1">
      <alignment horizontal="right"/>
    </xf>
    <xf numFmtId="167" fontId="37" fillId="0" borderId="0" xfId="71" applyNumberFormat="1" applyFont="1" applyFill="1"/>
    <xf numFmtId="7" fontId="34" fillId="0" borderId="0" xfId="0" applyNumberFormat="1" applyFont="1" applyFill="1"/>
    <xf numFmtId="167" fontId="34" fillId="0" borderId="11" xfId="71" applyNumberFormat="1" applyFont="1" applyFill="1" applyBorder="1"/>
    <xf numFmtId="167" fontId="34" fillId="0" borderId="0" xfId="71" applyNumberFormat="1" applyFont="1" applyFill="1" applyBorder="1" applyAlignment="1">
      <alignment horizontal="right"/>
    </xf>
    <xf numFmtId="167" fontId="34" fillId="0" borderId="11" xfId="71" applyNumberFormat="1" applyFont="1" applyFill="1" applyBorder="1" applyAlignment="1">
      <alignment horizontal="right"/>
    </xf>
    <xf numFmtId="167" fontId="34" fillId="0" borderId="0" xfId="0" applyNumberFormat="1" applyFont="1" applyFill="1"/>
    <xf numFmtId="7" fontId="10" fillId="0" borderId="18" xfId="0" applyNumberFormat="1" applyFont="1" applyFill="1" applyBorder="1" applyAlignment="1" applyProtection="1">
      <alignment horizontal="left"/>
    </xf>
    <xf numFmtId="7" fontId="15" fillId="0" borderId="17" xfId="0" applyNumberFormat="1" applyFont="1" applyFill="1" applyBorder="1" applyAlignment="1">
      <alignment horizontal="right"/>
    </xf>
    <xf numFmtId="7" fontId="15" fillId="0" borderId="18" xfId="0" applyNumberFormat="1" applyFont="1" applyFill="1" applyBorder="1" applyAlignment="1">
      <alignment horizontal="right"/>
    </xf>
    <xf numFmtId="7" fontId="15" fillId="0" borderId="20" xfId="0" applyNumberFormat="1" applyFont="1" applyFill="1" applyBorder="1" applyAlignment="1">
      <alignment horizontal="right"/>
    </xf>
    <xf numFmtId="7" fontId="34" fillId="0" borderId="17" xfId="0" applyNumberFormat="1" applyFont="1" applyFill="1" applyBorder="1" applyAlignment="1">
      <alignment horizontal="right"/>
    </xf>
    <xf numFmtId="7" fontId="34" fillId="0" borderId="20" xfId="0" applyNumberFormat="1" applyFont="1" applyFill="1" applyBorder="1" applyAlignment="1">
      <alignment horizontal="right"/>
    </xf>
    <xf numFmtId="7" fontId="34" fillId="0" borderId="18" xfId="0" applyNumberFormat="1" applyFont="1" applyFill="1" applyBorder="1" applyAlignment="1">
      <alignment horizontal="right"/>
    </xf>
    <xf numFmtId="37" fontId="34" fillId="0" borderId="0" xfId="0" applyNumberFormat="1" applyFont="1" applyFill="1" applyBorder="1" applyAlignment="1">
      <alignment horizontal="right"/>
    </xf>
    <xf numFmtId="37" fontId="34" fillId="0" borderId="28" xfId="0" applyNumberFormat="1" applyFont="1" applyFill="1" applyBorder="1" applyAlignment="1">
      <alignment horizontal="right"/>
    </xf>
    <xf numFmtId="37" fontId="34" fillId="0" borderId="19" xfId="0" applyNumberFormat="1" applyFont="1" applyFill="1" applyBorder="1" applyAlignment="1">
      <alignment horizontal="right"/>
    </xf>
    <xf numFmtId="37" fontId="34" fillId="0" borderId="0" xfId="0" applyNumberFormat="1" applyFont="1" applyFill="1"/>
    <xf numFmtId="172" fontId="34" fillId="0" borderId="0" xfId="0" applyNumberFormat="1" applyFont="1" applyFill="1" applyBorder="1" applyAlignment="1">
      <alignment horizontal="right"/>
    </xf>
    <xf numFmtId="172" fontId="34" fillId="0" borderId="11" xfId="0" applyNumberFormat="1" applyFont="1" applyFill="1" applyBorder="1" applyAlignment="1">
      <alignment horizontal="right"/>
    </xf>
    <xf numFmtId="172" fontId="29" fillId="0" borderId="13" xfId="0" applyNumberFormat="1" applyFont="1" applyFill="1" applyBorder="1" applyAlignment="1">
      <alignment horizontal="right"/>
    </xf>
    <xf numFmtId="172" fontId="34" fillId="0" borderId="13" xfId="0" applyNumberFormat="1" applyFont="1" applyFill="1" applyBorder="1" applyAlignment="1">
      <alignment horizontal="right"/>
    </xf>
    <xf numFmtId="172" fontId="20" fillId="0" borderId="0" xfId="0" applyNumberFormat="1" applyFont="1" applyFill="1" applyBorder="1" applyAlignment="1">
      <alignment horizontal="right"/>
    </xf>
    <xf numFmtId="172" fontId="20" fillId="0" borderId="11" xfId="0" applyNumberFormat="1" applyFont="1" applyFill="1" applyBorder="1" applyAlignment="1">
      <alignment horizontal="right"/>
    </xf>
    <xf numFmtId="37" fontId="34" fillId="0" borderId="11" xfId="0" applyNumberFormat="1" applyFont="1" applyFill="1" applyBorder="1" applyAlignment="1">
      <alignment horizontal="right"/>
    </xf>
    <xf numFmtId="7" fontId="37" fillId="0" borderId="13" xfId="40" applyNumberFormat="1" applyFont="1" applyFill="1" applyBorder="1" applyAlignment="1">
      <alignment horizontal="right"/>
    </xf>
    <xf numFmtId="167" fontId="11" fillId="0" borderId="11" xfId="80" applyNumberFormat="1" applyFont="1" applyFill="1" applyBorder="1">
      <protection locked="0"/>
    </xf>
    <xf numFmtId="9" fontId="34" fillId="0" borderId="0" xfId="71" applyNumberFormat="1" applyFont="1" applyFill="1" applyBorder="1" applyAlignment="1">
      <alignment horizontal="right"/>
    </xf>
    <xf numFmtId="9" fontId="34" fillId="0" borderId="11" xfId="71" applyNumberFormat="1" applyFont="1" applyFill="1" applyBorder="1" applyAlignment="1">
      <alignment horizontal="right"/>
    </xf>
    <xf numFmtId="9" fontId="34" fillId="0" borderId="13" xfId="71" applyNumberFormat="1" applyFont="1" applyFill="1" applyBorder="1" applyAlignment="1">
      <alignment horizontal="right"/>
    </xf>
    <xf numFmtId="168" fontId="34" fillId="0" borderId="11" xfId="0" applyNumberFormat="1" applyFont="1" applyFill="1" applyBorder="1" applyAlignment="1">
      <alignment horizontal="right"/>
    </xf>
    <xf numFmtId="168" fontId="34" fillId="0" borderId="13" xfId="0" applyNumberFormat="1" applyFont="1" applyFill="1" applyBorder="1" applyAlignment="1">
      <alignment horizontal="right"/>
    </xf>
    <xf numFmtId="0" fontId="31" fillId="0" borderId="11" xfId="80" applyFont="1" applyFill="1" applyBorder="1">
      <protection locked="0"/>
    </xf>
    <xf numFmtId="7" fontId="34" fillId="0" borderId="0" xfId="38" applyNumberFormat="1" applyFont="1" applyFill="1" applyBorder="1" applyAlignment="1">
      <alignment horizontal="right"/>
    </xf>
    <xf numFmtId="7" fontId="34" fillId="0" borderId="11" xfId="38" applyNumberFormat="1" applyFont="1" applyFill="1" applyBorder="1" applyAlignment="1">
      <alignment horizontal="right"/>
    </xf>
    <xf numFmtId="7" fontId="34" fillId="0" borderId="13" xfId="38" applyNumberFormat="1" applyFont="1" applyFill="1" applyBorder="1" applyAlignment="1">
      <alignment horizontal="right"/>
    </xf>
    <xf numFmtId="7" fontId="34" fillId="0" borderId="0" xfId="0" applyNumberFormat="1" applyFont="1" applyFill="1" applyBorder="1" applyAlignment="1">
      <alignment horizontal="right"/>
    </xf>
    <xf numFmtId="167" fontId="11" fillId="0" borderId="18" xfId="80" applyNumberFormat="1" applyFont="1" applyFill="1" applyBorder="1" applyAlignment="1">
      <alignment horizontal="left" indent="1"/>
      <protection locked="0"/>
    </xf>
    <xf numFmtId="167" fontId="34" fillId="0" borderId="18" xfId="71" applyNumberFormat="1" applyFont="1" applyFill="1" applyBorder="1" applyAlignment="1">
      <alignment horizontal="right"/>
    </xf>
    <xf numFmtId="167" fontId="34" fillId="0" borderId="17" xfId="71" applyNumberFormat="1" applyFont="1" applyFill="1" applyBorder="1" applyAlignment="1">
      <alignment horizontal="right"/>
    </xf>
    <xf numFmtId="167" fontId="34" fillId="0" borderId="20" xfId="71" applyNumberFormat="1" applyFont="1" applyFill="1" applyBorder="1" applyAlignment="1">
      <alignment horizontal="right"/>
    </xf>
    <xf numFmtId="213" fontId="15" fillId="0" borderId="0" xfId="0" quotePrefix="1" applyFont="1" applyFill="1" applyAlignment="1" applyProtection="1">
      <alignment horizontal="left"/>
    </xf>
    <xf numFmtId="213" fontId="6" fillId="0" borderId="0" xfId="0" applyFont="1" applyFill="1" applyBorder="1" applyProtection="1"/>
    <xf numFmtId="7" fontId="6" fillId="0" borderId="0" xfId="0" applyNumberFormat="1" applyFont="1" applyFill="1" applyBorder="1" applyProtection="1"/>
    <xf numFmtId="43" fontId="6" fillId="0" borderId="0" xfId="0" applyNumberFormat="1" applyFont="1" applyFill="1" applyBorder="1" applyProtection="1"/>
    <xf numFmtId="164" fontId="6" fillId="0" borderId="0" xfId="0" applyNumberFormat="1" applyFont="1" applyFill="1" applyBorder="1" applyProtection="1"/>
    <xf numFmtId="165" fontId="6" fillId="0" borderId="0" xfId="0" applyNumberFormat="1" applyFont="1" applyFill="1" applyBorder="1" applyAlignment="1" applyProtection="1">
      <alignment vertical="center"/>
    </xf>
    <xf numFmtId="213" fontId="6" fillId="0" borderId="0" xfId="0" applyFont="1" applyFill="1" applyBorder="1" applyAlignment="1" applyProtection="1">
      <alignment vertical="center"/>
    </xf>
    <xf numFmtId="9" fontId="6" fillId="0" borderId="0" xfId="0" applyNumberFormat="1" applyFont="1" applyFill="1" applyBorder="1" applyProtection="1"/>
    <xf numFmtId="44" fontId="6" fillId="0" borderId="0" xfId="40" applyFont="1" applyFill="1" applyBorder="1" applyProtection="1"/>
    <xf numFmtId="2" fontId="6" fillId="0" borderId="0" xfId="0" applyNumberFormat="1" applyFont="1" applyFill="1" applyBorder="1" applyProtection="1"/>
    <xf numFmtId="9" fontId="6" fillId="0" borderId="0" xfId="40" applyNumberFormat="1" applyFont="1" applyFill="1" applyBorder="1" applyProtection="1"/>
    <xf numFmtId="166" fontId="6" fillId="0" borderId="0" xfId="0" applyNumberFormat="1" applyFont="1" applyFill="1" applyBorder="1" applyProtection="1"/>
    <xf numFmtId="167" fontId="6" fillId="0" borderId="0" xfId="40" applyNumberFormat="1" applyFont="1" applyFill="1" applyBorder="1" applyProtection="1"/>
    <xf numFmtId="168" fontId="12" fillId="0" borderId="0" xfId="0" applyNumberFormat="1" applyFont="1" applyFill="1" applyBorder="1" applyProtection="1"/>
    <xf numFmtId="41" fontId="12" fillId="0" borderId="0" xfId="0" applyNumberFormat="1" applyFont="1" applyFill="1" applyBorder="1" applyProtection="1"/>
    <xf numFmtId="4" fontId="11" fillId="0" borderId="0" xfId="59" applyNumberFormat="1" applyFont="1" applyFill="1" applyBorder="1" applyAlignment="1" applyProtection="1">
      <alignment horizontal="left"/>
    </xf>
    <xf numFmtId="4" fontId="6" fillId="0" borderId="0" xfId="0" applyNumberFormat="1" applyFont="1" applyFill="1" applyBorder="1" applyProtection="1"/>
    <xf numFmtId="213" fontId="6" fillId="0" borderId="11" xfId="0" applyFont="1" applyFill="1" applyBorder="1" applyProtection="1"/>
    <xf numFmtId="41" fontId="6" fillId="0" borderId="0" xfId="0" applyNumberFormat="1" applyFont="1" applyFill="1" applyBorder="1" applyProtection="1"/>
    <xf numFmtId="200" fontId="12" fillId="0" borderId="14" xfId="0" applyNumberFormat="1" applyFont="1" applyFill="1" applyBorder="1" applyAlignment="1" applyProtection="1">
      <alignment horizontal="centerContinuous"/>
    </xf>
    <xf numFmtId="182" fontId="12" fillId="0" borderId="15" xfId="0" applyNumberFormat="1" applyFont="1" applyFill="1" applyBorder="1" applyAlignment="1" applyProtection="1">
      <alignment horizontal="centerContinuous"/>
    </xf>
    <xf numFmtId="200" fontId="12" fillId="0" borderId="19" xfId="0" applyNumberFormat="1" applyFont="1" applyFill="1" applyBorder="1" applyAlignment="1" applyProtection="1">
      <alignment horizontal="center"/>
    </xf>
    <xf numFmtId="201" fontId="12" fillId="0" borderId="14" xfId="0" applyNumberFormat="1" applyFont="1" applyFill="1" applyBorder="1" applyAlignment="1" applyProtection="1">
      <alignment horizontal="centerContinuous"/>
    </xf>
    <xf numFmtId="201" fontId="12" fillId="0" borderId="19" xfId="0" applyNumberFormat="1" applyFont="1" applyFill="1" applyBorder="1" applyAlignment="1" applyProtection="1">
      <alignment horizontal="center"/>
    </xf>
    <xf numFmtId="168" fontId="12" fillId="0" borderId="11" xfId="0" applyNumberFormat="1" applyFont="1" applyFill="1" applyBorder="1" applyProtection="1"/>
    <xf numFmtId="168" fontId="12" fillId="0" borderId="11" xfId="40" applyNumberFormat="1" applyFont="1" applyFill="1" applyBorder="1" applyProtection="1"/>
    <xf numFmtId="168" fontId="12" fillId="0" borderId="0" xfId="40" applyNumberFormat="1" applyFont="1" applyFill="1" applyBorder="1" applyProtection="1"/>
    <xf numFmtId="168" fontId="12" fillId="0" borderId="27" xfId="40" applyNumberFormat="1" applyFont="1" applyFill="1" applyBorder="1" applyProtection="1"/>
    <xf numFmtId="168" fontId="12" fillId="0" borderId="13" xfId="40" applyNumberFormat="1" applyFont="1" applyFill="1" applyBorder="1" applyProtection="1"/>
    <xf numFmtId="172" fontId="6" fillId="0" borderId="0" xfId="0" applyNumberFormat="1" applyFont="1" applyFill="1" applyBorder="1" applyProtection="1"/>
    <xf numFmtId="172" fontId="14" fillId="0" borderId="11" xfId="0" applyNumberFormat="1" applyFont="1" applyFill="1" applyBorder="1" applyProtection="1"/>
    <xf numFmtId="172" fontId="14" fillId="0" borderId="0" xfId="0" applyNumberFormat="1" applyFont="1" applyFill="1" applyBorder="1" applyProtection="1"/>
    <xf numFmtId="172" fontId="14" fillId="0" borderId="27" xfId="0" applyNumberFormat="1" applyFont="1" applyFill="1" applyBorder="1" applyProtection="1"/>
    <xf numFmtId="172" fontId="6" fillId="0" borderId="13" xfId="0" applyNumberFormat="1" applyFont="1" applyFill="1" applyBorder="1" applyProtection="1"/>
    <xf numFmtId="172" fontId="6" fillId="0" borderId="27" xfId="0" applyNumberFormat="1" applyFont="1" applyFill="1" applyBorder="1" applyProtection="1"/>
    <xf numFmtId="172" fontId="6" fillId="0" borderId="11" xfId="0" applyNumberFormat="1" applyFont="1" applyFill="1" applyBorder="1" applyProtection="1"/>
    <xf numFmtId="172" fontId="6" fillId="0" borderId="0" xfId="0" applyNumberFormat="1" applyFont="1" applyFill="1" applyProtection="1"/>
    <xf numFmtId="168" fontId="12" fillId="0" borderId="27" xfId="0" applyNumberFormat="1" applyFont="1" applyFill="1" applyBorder="1" applyProtection="1"/>
    <xf numFmtId="168" fontId="12" fillId="0" borderId="13" xfId="0" applyNumberFormat="1" applyFont="1" applyFill="1" applyBorder="1" applyProtection="1"/>
    <xf numFmtId="172" fontId="18" fillId="0" borderId="11" xfId="0" applyNumberFormat="1" applyFont="1" applyFill="1" applyBorder="1" applyAlignment="1" applyProtection="1">
      <alignment horizontal="right"/>
    </xf>
    <xf numFmtId="172" fontId="18" fillId="0" borderId="0" xfId="0" applyNumberFormat="1" applyFont="1" applyFill="1" applyBorder="1" applyAlignment="1" applyProtection="1">
      <alignment horizontal="right"/>
    </xf>
    <xf numFmtId="172" fontId="18" fillId="0" borderId="27" xfId="0" applyNumberFormat="1" applyFont="1" applyFill="1" applyBorder="1" applyAlignment="1" applyProtection="1">
      <alignment horizontal="right"/>
    </xf>
    <xf numFmtId="172" fontId="34" fillId="0" borderId="13" xfId="0" applyNumberFormat="1" applyFont="1" applyFill="1" applyBorder="1" applyProtection="1"/>
    <xf numFmtId="172" fontId="17" fillId="0" borderId="27" xfId="0" applyNumberFormat="1" applyFont="1" applyFill="1" applyBorder="1" applyAlignment="1" applyProtection="1">
      <alignment horizontal="right"/>
    </xf>
    <xf numFmtId="172" fontId="17" fillId="0" borderId="11" xfId="0" applyNumberFormat="1" applyFont="1" applyFill="1" applyBorder="1" applyAlignment="1" applyProtection="1">
      <alignment horizontal="right"/>
    </xf>
    <xf numFmtId="172" fontId="17" fillId="0" borderId="0" xfId="0" applyNumberFormat="1" applyFont="1" applyFill="1" applyBorder="1" applyAlignment="1" applyProtection="1">
      <alignment horizontal="right"/>
    </xf>
    <xf numFmtId="168" fontId="20" fillId="0" borderId="18" xfId="0" applyNumberFormat="1" applyFont="1" applyFill="1" applyBorder="1" applyProtection="1"/>
    <xf numFmtId="168" fontId="20" fillId="0" borderId="17" xfId="0" applyNumberFormat="1" applyFont="1" applyFill="1" applyBorder="1" applyProtection="1"/>
    <xf numFmtId="168" fontId="20" fillId="0" borderId="26" xfId="0" applyNumberFormat="1" applyFont="1" applyFill="1" applyBorder="1" applyProtection="1"/>
    <xf numFmtId="168" fontId="20" fillId="0" borderId="20" xfId="0" applyNumberFormat="1" applyFont="1" applyFill="1" applyBorder="1" applyProtection="1"/>
    <xf numFmtId="168" fontId="20" fillId="0" borderId="11" xfId="0" applyNumberFormat="1" applyFont="1" applyFill="1" applyBorder="1" applyProtection="1"/>
    <xf numFmtId="172" fontId="49" fillId="0" borderId="11" xfId="0" applyNumberFormat="1" applyFont="1" applyFill="1" applyBorder="1" applyProtection="1"/>
    <xf numFmtId="172" fontId="49" fillId="0" borderId="0" xfId="0" applyNumberFormat="1" applyFont="1" applyFill="1" applyBorder="1" applyProtection="1"/>
    <xf numFmtId="172" fontId="49" fillId="0" borderId="27" xfId="0" applyNumberFormat="1" applyFont="1" applyFill="1" applyBorder="1" applyProtection="1"/>
    <xf numFmtId="172" fontId="20" fillId="0" borderId="11" xfId="0" applyNumberFormat="1" applyFont="1" applyFill="1" applyBorder="1" applyProtection="1"/>
    <xf numFmtId="172" fontId="20" fillId="0" borderId="0" xfId="0" applyNumberFormat="1" applyFont="1" applyFill="1" applyBorder="1" applyProtection="1"/>
    <xf numFmtId="168" fontId="20" fillId="0" borderId="0" xfId="0" applyNumberFormat="1" applyFont="1" applyFill="1" applyBorder="1" applyProtection="1"/>
    <xf numFmtId="168" fontId="20" fillId="0" borderId="27" xfId="0" applyNumberFormat="1" applyFont="1" applyFill="1" applyBorder="1" applyProtection="1"/>
    <xf numFmtId="168" fontId="20" fillId="0" borderId="13" xfId="0" applyNumberFormat="1" applyFont="1" applyFill="1" applyBorder="1" applyProtection="1"/>
    <xf numFmtId="172" fontId="6" fillId="0" borderId="12" xfId="0" applyNumberFormat="1" applyFont="1" applyFill="1" applyBorder="1" applyProtection="1"/>
    <xf numFmtId="168" fontId="20" fillId="0" borderId="28" xfId="0" applyNumberFormat="1" applyFont="1" applyFill="1" applyBorder="1" applyProtection="1"/>
    <xf numFmtId="168" fontId="20" fillId="0" borderId="12" xfId="0" applyNumberFormat="1" applyFont="1" applyFill="1" applyBorder="1" applyProtection="1"/>
    <xf numFmtId="168" fontId="20" fillId="0" borderId="30" xfId="0" applyNumberFormat="1" applyFont="1" applyFill="1" applyBorder="1" applyProtection="1"/>
    <xf numFmtId="168" fontId="20" fillId="0" borderId="19" xfId="0" applyNumberFormat="1" applyFont="1" applyFill="1" applyBorder="1" applyProtection="1"/>
    <xf numFmtId="172" fontId="6" fillId="0" borderId="17" xfId="0" applyNumberFormat="1" applyFont="1" applyFill="1" applyBorder="1" applyProtection="1"/>
    <xf numFmtId="172" fontId="18" fillId="0" borderId="18" xfId="0" applyNumberFormat="1" applyFont="1" applyFill="1" applyBorder="1" applyAlignment="1" applyProtection="1">
      <alignment horizontal="right"/>
    </xf>
    <xf numFmtId="172" fontId="18" fillId="0" borderId="17" xfId="0" applyNumberFormat="1" applyFont="1" applyFill="1" applyBorder="1" applyAlignment="1" applyProtection="1">
      <alignment horizontal="right"/>
    </xf>
    <xf numFmtId="172" fontId="18" fillId="0" borderId="26" xfId="0" applyNumberFormat="1" applyFont="1" applyFill="1" applyBorder="1" applyAlignment="1" applyProtection="1">
      <alignment horizontal="right"/>
    </xf>
    <xf numFmtId="172" fontId="6" fillId="0" borderId="20" xfId="0" applyNumberFormat="1" applyFont="1" applyFill="1" applyBorder="1" applyProtection="1"/>
    <xf numFmtId="172" fontId="17" fillId="0" borderId="26" xfId="0" applyNumberFormat="1" applyFont="1" applyFill="1" applyBorder="1" applyAlignment="1" applyProtection="1">
      <alignment horizontal="right"/>
    </xf>
    <xf numFmtId="172" fontId="17" fillId="0" borderId="18" xfId="0" applyNumberFormat="1" applyFont="1" applyFill="1" applyBorder="1" applyAlignment="1" applyProtection="1">
      <alignment horizontal="right"/>
    </xf>
    <xf numFmtId="172" fontId="17" fillId="0" borderId="17" xfId="0" applyNumberFormat="1" applyFont="1" applyFill="1" applyBorder="1" applyAlignment="1" applyProtection="1">
      <alignment horizontal="right"/>
    </xf>
    <xf numFmtId="168" fontId="12" fillId="0" borderId="17" xfId="0" applyNumberFormat="1" applyFont="1" applyFill="1" applyBorder="1" applyProtection="1"/>
    <xf numFmtId="172" fontId="11" fillId="0" borderId="0" xfId="0" applyNumberFormat="1" applyFont="1" applyFill="1" applyBorder="1" applyProtection="1"/>
    <xf numFmtId="172" fontId="11" fillId="0" borderId="11" xfId="0" applyNumberFormat="1" applyFont="1" applyFill="1" applyBorder="1" applyProtection="1"/>
    <xf numFmtId="172" fontId="11" fillId="0" borderId="27" xfId="0" applyNumberFormat="1" applyFont="1" applyFill="1" applyBorder="1" applyProtection="1"/>
    <xf numFmtId="172" fontId="11" fillId="0" borderId="13" xfId="0" applyNumberFormat="1" applyFont="1" applyFill="1" applyBorder="1" applyProtection="1"/>
    <xf numFmtId="172" fontId="14" fillId="0" borderId="13" xfId="0" applyNumberFormat="1" applyFont="1" applyFill="1" applyBorder="1" applyProtection="1"/>
    <xf numFmtId="169" fontId="23" fillId="0" borderId="11" xfId="0" applyNumberFormat="1" applyFont="1" applyFill="1" applyBorder="1" applyProtection="1"/>
    <xf numFmtId="169" fontId="23" fillId="0" borderId="0" xfId="0" applyNumberFormat="1" applyFont="1" applyFill="1" applyBorder="1" applyProtection="1"/>
    <xf numFmtId="169" fontId="23" fillId="0" borderId="27" xfId="0" applyNumberFormat="1" applyFont="1" applyFill="1" applyBorder="1" applyAlignment="1" applyProtection="1">
      <alignment horizontal="right"/>
    </xf>
    <xf numFmtId="169" fontId="23" fillId="0" borderId="13" xfId="0" applyNumberFormat="1" applyFont="1" applyFill="1" applyBorder="1" applyProtection="1"/>
    <xf numFmtId="169" fontId="11" fillId="0" borderId="27" xfId="0" applyNumberFormat="1" applyFont="1" applyFill="1" applyBorder="1" applyProtection="1"/>
    <xf numFmtId="169" fontId="11" fillId="0" borderId="13" xfId="0" applyNumberFormat="1" applyFont="1" applyFill="1" applyBorder="1" applyProtection="1"/>
    <xf numFmtId="169" fontId="11" fillId="0" borderId="11" xfId="0" applyNumberFormat="1" applyFont="1" applyFill="1" applyBorder="1" applyProtection="1"/>
    <xf numFmtId="169" fontId="11" fillId="0" borderId="0" xfId="0" applyNumberFormat="1" applyFont="1" applyFill="1" applyBorder="1" applyProtection="1"/>
    <xf numFmtId="41" fontId="25" fillId="0" borderId="0" xfId="0" applyNumberFormat="1" applyFont="1" applyFill="1" applyBorder="1" applyProtection="1"/>
    <xf numFmtId="7" fontId="26" fillId="0" borderId="11" xfId="0" applyNumberFormat="1" applyFont="1" applyFill="1" applyBorder="1" applyProtection="1"/>
    <xf numFmtId="7" fontId="26" fillId="0" borderId="0" xfId="0" applyNumberFormat="1" applyFont="1" applyFill="1" applyBorder="1" applyProtection="1"/>
    <xf numFmtId="7" fontId="26" fillId="0" borderId="27" xfId="0" applyNumberFormat="1" applyFont="1" applyFill="1" applyBorder="1" applyProtection="1"/>
    <xf numFmtId="7" fontId="27" fillId="0" borderId="13" xfId="0" applyNumberFormat="1" applyFont="1" applyFill="1" applyBorder="1" applyProtection="1"/>
    <xf numFmtId="7" fontId="25" fillId="0" borderId="0" xfId="0" applyNumberFormat="1" applyFont="1" applyFill="1" applyBorder="1" applyProtection="1"/>
    <xf numFmtId="7" fontId="25" fillId="0" borderId="11" xfId="0" applyNumberFormat="1" applyFont="1" applyFill="1" applyBorder="1" applyProtection="1"/>
    <xf numFmtId="7" fontId="34" fillId="0" borderId="13" xfId="0" applyNumberFormat="1" applyFont="1" applyFill="1" applyBorder="1" applyProtection="1"/>
    <xf numFmtId="7" fontId="20" fillId="0" borderId="0" xfId="0" applyNumberFormat="1" applyFont="1" applyFill="1" applyBorder="1" applyProtection="1"/>
    <xf numFmtId="7" fontId="11" fillId="0" borderId="11" xfId="0" applyNumberFormat="1" applyFont="1" applyFill="1" applyBorder="1" applyProtection="1"/>
    <xf numFmtId="7" fontId="11" fillId="0" borderId="0" xfId="0" applyNumberFormat="1" applyFont="1" applyFill="1" applyBorder="1" applyProtection="1"/>
    <xf numFmtId="7" fontId="11" fillId="0" borderId="27" xfId="0" applyNumberFormat="1" applyFont="1" applyFill="1" applyBorder="1" applyProtection="1"/>
    <xf numFmtId="169" fontId="34" fillId="0" borderId="11" xfId="0" applyNumberFormat="1" applyFont="1" applyFill="1" applyBorder="1" applyProtection="1"/>
    <xf numFmtId="172" fontId="6" fillId="0" borderId="15" xfId="0" applyNumberFormat="1" applyFont="1" applyFill="1" applyBorder="1" applyProtection="1"/>
    <xf numFmtId="172" fontId="18" fillId="0" borderId="14" xfId="0" applyNumberFormat="1" applyFont="1" applyFill="1" applyBorder="1" applyAlignment="1" applyProtection="1">
      <alignment horizontal="right"/>
    </xf>
    <xf numFmtId="172" fontId="18" fillId="0" borderId="15" xfId="0" applyNumberFormat="1" applyFont="1" applyFill="1" applyBorder="1" applyAlignment="1" applyProtection="1">
      <alignment horizontal="right"/>
    </xf>
    <xf numFmtId="172" fontId="14" fillId="0" borderId="16" xfId="0" applyNumberFormat="1" applyFont="1" applyFill="1" applyBorder="1" applyProtection="1"/>
    <xf numFmtId="172" fontId="14" fillId="0" borderId="31" xfId="0" applyNumberFormat="1" applyFont="1" applyFill="1" applyBorder="1" applyProtection="1"/>
    <xf numFmtId="7" fontId="25" fillId="0" borderId="15" xfId="0" applyNumberFormat="1" applyFont="1" applyFill="1" applyBorder="1" applyProtection="1"/>
    <xf numFmtId="172" fontId="14" fillId="0" borderId="14" xfId="0" applyNumberFormat="1" applyFont="1" applyFill="1" applyBorder="1" applyProtection="1"/>
    <xf numFmtId="172" fontId="14" fillId="0" borderId="15" xfId="0" applyNumberFormat="1" applyFont="1" applyFill="1" applyBorder="1" applyProtection="1"/>
    <xf numFmtId="7" fontId="20" fillId="0" borderId="15" xfId="0" applyNumberFormat="1" applyFont="1" applyFill="1" applyBorder="1" applyProtection="1"/>
    <xf numFmtId="169" fontId="34" fillId="0" borderId="15" xfId="0" applyNumberFormat="1" applyFont="1" applyFill="1" applyBorder="1" applyProtection="1"/>
    <xf numFmtId="172" fontId="17" fillId="0" borderId="16" xfId="0" applyNumberFormat="1" applyFont="1" applyFill="1" applyBorder="1" applyAlignment="1" applyProtection="1">
      <alignment horizontal="right"/>
    </xf>
    <xf numFmtId="172" fontId="16" fillId="0" borderId="31" xfId="0" applyNumberFormat="1" applyFont="1" applyFill="1" applyBorder="1" applyProtection="1"/>
    <xf numFmtId="172" fontId="17" fillId="0" borderId="14" xfId="0" applyNumberFormat="1" applyFont="1" applyFill="1" applyBorder="1" applyAlignment="1" applyProtection="1">
      <alignment horizontal="right"/>
    </xf>
    <xf numFmtId="172" fontId="17" fillId="0" borderId="15" xfId="0" applyNumberFormat="1" applyFont="1" applyFill="1" applyBorder="1" applyAlignment="1" applyProtection="1">
      <alignment horizontal="right"/>
    </xf>
    <xf numFmtId="172" fontId="14" fillId="0" borderId="18" xfId="0" applyNumberFormat="1" applyFont="1" applyFill="1" applyBorder="1" applyProtection="1"/>
    <xf numFmtId="172" fontId="14" fillId="0" borderId="17" xfId="0" applyNumberFormat="1" applyFont="1" applyFill="1" applyBorder="1" applyProtection="1"/>
    <xf numFmtId="172" fontId="14" fillId="0" borderId="26" xfId="0" applyNumberFormat="1" applyFont="1" applyFill="1" applyBorder="1" applyProtection="1"/>
    <xf numFmtId="172" fontId="14" fillId="0" borderId="20" xfId="0" applyNumberFormat="1" applyFont="1" applyFill="1" applyBorder="1" applyProtection="1"/>
    <xf numFmtId="172" fontId="17" fillId="0" borderId="20" xfId="0" applyNumberFormat="1" applyFont="1" applyFill="1" applyBorder="1" applyAlignment="1" applyProtection="1">
      <alignment horizontal="right"/>
    </xf>
    <xf numFmtId="41" fontId="6" fillId="0" borderId="17" xfId="0" applyNumberFormat="1" applyFont="1" applyFill="1" applyBorder="1" applyProtection="1"/>
    <xf numFmtId="213" fontId="11" fillId="0" borderId="0" xfId="0" applyFont="1" applyFill="1" applyBorder="1" applyProtection="1"/>
    <xf numFmtId="174" fontId="17" fillId="0" borderId="11" xfId="0" applyNumberFormat="1" applyFont="1" applyFill="1" applyBorder="1" applyAlignment="1" applyProtection="1">
      <alignment horizontal="right"/>
    </xf>
    <xf numFmtId="174" fontId="17" fillId="0" borderId="0" xfId="0" applyNumberFormat="1" applyFont="1" applyFill="1" applyBorder="1" applyAlignment="1" applyProtection="1">
      <alignment horizontal="right"/>
    </xf>
    <xf numFmtId="174" fontId="17" fillId="0" borderId="27" xfId="0" applyNumberFormat="1" applyFont="1" applyFill="1" applyBorder="1" applyAlignment="1" applyProtection="1">
      <alignment horizontal="right"/>
    </xf>
    <xf numFmtId="169" fontId="6" fillId="0" borderId="19" xfId="0" applyNumberFormat="1" applyFont="1" applyFill="1" applyBorder="1" applyProtection="1"/>
    <xf numFmtId="174" fontId="19" fillId="0" borderId="11" xfId="0" applyNumberFormat="1" applyFont="1" applyFill="1" applyBorder="1" applyAlignment="1" applyProtection="1">
      <alignment horizontal="right"/>
    </xf>
    <xf numFmtId="174" fontId="19" fillId="0" borderId="0" xfId="0" applyNumberFormat="1" applyFont="1" applyFill="1" applyBorder="1" applyAlignment="1" applyProtection="1">
      <alignment horizontal="right"/>
    </xf>
    <xf numFmtId="174" fontId="19" fillId="0" borderId="27" xfId="0" applyNumberFormat="1" applyFont="1" applyFill="1" applyBorder="1" applyAlignment="1" applyProtection="1">
      <alignment horizontal="right"/>
    </xf>
    <xf numFmtId="41" fontId="11" fillId="0" borderId="0" xfId="0" applyNumberFormat="1" applyFont="1" applyFill="1" applyBorder="1" applyProtection="1"/>
    <xf numFmtId="175" fontId="19" fillId="0" borderId="0" xfId="0" applyNumberFormat="1" applyFont="1" applyFill="1" applyBorder="1" applyAlignment="1" applyProtection="1">
      <alignment horizontal="right"/>
    </xf>
    <xf numFmtId="7" fontId="6" fillId="0" borderId="13" xfId="0" applyNumberFormat="1" applyFont="1" applyFill="1" applyBorder="1" applyAlignment="1" applyProtection="1">
      <alignment horizontal="center"/>
    </xf>
    <xf numFmtId="213" fontId="32" fillId="17" borderId="0" xfId="0" applyFont="1" applyFill="1" applyBorder="1" applyProtection="1"/>
    <xf numFmtId="41" fontId="78" fillId="17" borderId="0" xfId="0" applyNumberFormat="1" applyFont="1" applyFill="1" applyBorder="1" applyProtection="1"/>
    <xf numFmtId="174" fontId="79" fillId="17" borderId="11" xfId="0" applyNumberFormat="1" applyFont="1" applyFill="1" applyBorder="1" applyAlignment="1" applyProtection="1">
      <alignment horizontal="right"/>
    </xf>
    <xf numFmtId="174" fontId="79" fillId="17" borderId="0" xfId="0" applyNumberFormat="1" applyFont="1" applyFill="1" applyBorder="1" applyAlignment="1" applyProtection="1">
      <alignment horizontal="right"/>
    </xf>
    <xf numFmtId="174" fontId="79" fillId="17" borderId="27" xfId="0" applyNumberFormat="1" applyFont="1" applyFill="1" applyBorder="1" applyAlignment="1" applyProtection="1">
      <alignment horizontal="right"/>
    </xf>
    <xf numFmtId="169" fontId="78" fillId="17" borderId="13" xfId="0" applyNumberFormat="1" applyFont="1" applyFill="1" applyBorder="1" applyProtection="1"/>
    <xf numFmtId="174" fontId="80" fillId="17" borderId="11" xfId="0" applyNumberFormat="1" applyFont="1" applyFill="1" applyBorder="1" applyAlignment="1" applyProtection="1">
      <alignment horizontal="right"/>
    </xf>
    <xf numFmtId="174" fontId="80" fillId="17" borderId="0" xfId="0" applyNumberFormat="1" applyFont="1" applyFill="1" applyBorder="1" applyAlignment="1" applyProtection="1">
      <alignment horizontal="right"/>
    </xf>
    <xf numFmtId="174" fontId="80" fillId="17" borderId="27" xfId="0" applyNumberFormat="1" applyFont="1" applyFill="1" applyBorder="1" applyAlignment="1" applyProtection="1">
      <alignment horizontal="right"/>
    </xf>
    <xf numFmtId="169" fontId="46" fillId="17" borderId="13" xfId="0" applyNumberFormat="1" applyFont="1" applyFill="1" applyBorder="1" applyProtection="1"/>
    <xf numFmtId="41" fontId="46" fillId="17" borderId="0" xfId="0" applyNumberFormat="1" applyFont="1" applyFill="1" applyBorder="1" applyProtection="1"/>
    <xf numFmtId="175" fontId="78" fillId="17" borderId="11" xfId="0" applyNumberFormat="1" applyFont="1" applyFill="1" applyBorder="1" applyProtection="1"/>
    <xf numFmtId="175" fontId="78" fillId="17" borderId="0" xfId="0" applyNumberFormat="1" applyFont="1" applyFill="1" applyBorder="1" applyProtection="1"/>
    <xf numFmtId="175" fontId="78" fillId="17" borderId="27" xfId="0" applyNumberFormat="1" applyFont="1" applyFill="1" applyBorder="1" applyProtection="1"/>
    <xf numFmtId="175" fontId="78" fillId="17" borderId="13" xfId="0" applyNumberFormat="1" applyFont="1" applyFill="1" applyBorder="1" applyProtection="1"/>
    <xf numFmtId="7" fontId="78" fillId="17" borderId="13" xfId="0" applyNumberFormat="1" applyFont="1" applyFill="1" applyBorder="1" applyAlignment="1" applyProtection="1">
      <alignment horizontal="center"/>
    </xf>
    <xf numFmtId="213" fontId="34" fillId="0" borderId="0" xfId="0" applyFont="1" applyFill="1" applyBorder="1" applyProtection="1"/>
    <xf numFmtId="167" fontId="17" fillId="0" borderId="11" xfId="71" applyNumberFormat="1" applyFont="1" applyFill="1" applyBorder="1" applyAlignment="1" applyProtection="1"/>
    <xf numFmtId="167" fontId="17" fillId="0" borderId="0" xfId="71" applyNumberFormat="1" applyFont="1" applyFill="1" applyBorder="1" applyAlignment="1" applyProtection="1"/>
    <xf numFmtId="167" fontId="17" fillId="0" borderId="27" xfId="71" applyNumberFormat="1" applyFont="1" applyFill="1" applyBorder="1" applyAlignment="1" applyProtection="1"/>
    <xf numFmtId="167" fontId="17" fillId="0" borderId="13" xfId="71" applyNumberFormat="1" applyFont="1" applyFill="1" applyBorder="1" applyAlignment="1" applyProtection="1"/>
    <xf numFmtId="41" fontId="6" fillId="0" borderId="0" xfId="0" applyNumberFormat="1" applyFont="1" applyFill="1" applyBorder="1" applyAlignment="1" applyProtection="1"/>
    <xf numFmtId="41" fontId="34" fillId="0" borderId="0" xfId="0" applyNumberFormat="1" applyFont="1" applyFill="1" applyBorder="1" applyAlignment="1" applyProtection="1"/>
    <xf numFmtId="167" fontId="34" fillId="0" borderId="0" xfId="0" applyNumberFormat="1" applyFont="1" applyFill="1" applyBorder="1" applyProtection="1"/>
    <xf numFmtId="167" fontId="6" fillId="0" borderId="0" xfId="0" applyNumberFormat="1" applyFont="1" applyFill="1" applyBorder="1" applyProtection="1"/>
    <xf numFmtId="167" fontId="34" fillId="0" borderId="11" xfId="71" applyNumberFormat="1" applyFont="1" applyFill="1" applyBorder="1" applyAlignment="1" applyProtection="1"/>
    <xf numFmtId="167" fontId="34" fillId="0" borderId="0" xfId="71" applyNumberFormat="1" applyFont="1" applyFill="1" applyBorder="1" applyAlignment="1" applyProtection="1"/>
    <xf numFmtId="167" fontId="34" fillId="0" borderId="27" xfId="71" applyNumberFormat="1" applyFont="1" applyFill="1" applyBorder="1" applyAlignment="1" applyProtection="1"/>
    <xf numFmtId="167" fontId="34" fillId="0" borderId="13" xfId="71" applyNumberFormat="1" applyFont="1" applyFill="1" applyBorder="1" applyAlignment="1" applyProtection="1"/>
    <xf numFmtId="167" fontId="34" fillId="0" borderId="13" xfId="0" applyNumberFormat="1" applyFont="1" applyFill="1" applyBorder="1" applyAlignment="1" applyProtection="1"/>
    <xf numFmtId="167" fontId="6" fillId="0" borderId="0" xfId="0" applyNumberFormat="1" applyFont="1" applyFill="1" applyBorder="1" applyAlignment="1" applyProtection="1"/>
    <xf numFmtId="167" fontId="37" fillId="0" borderId="27" xfId="0" applyNumberFormat="1" applyFont="1" applyFill="1" applyBorder="1" applyAlignment="1" applyProtection="1"/>
    <xf numFmtId="167" fontId="37" fillId="0" borderId="11" xfId="0" applyNumberFormat="1" applyFont="1" applyFill="1" applyBorder="1" applyAlignment="1" applyProtection="1"/>
    <xf numFmtId="167" fontId="37" fillId="0" borderId="0" xfId="0" applyNumberFormat="1" applyFont="1" applyFill="1" applyBorder="1" applyAlignment="1" applyProtection="1"/>
    <xf numFmtId="167" fontId="34" fillId="0" borderId="11" xfId="0" applyNumberFormat="1" applyFont="1" applyFill="1" applyBorder="1" applyAlignment="1" applyProtection="1"/>
    <xf numFmtId="167" fontId="34" fillId="0" borderId="0" xfId="0" applyNumberFormat="1" applyFont="1" applyFill="1" applyBorder="1" applyAlignment="1" applyProtection="1"/>
    <xf numFmtId="167" fontId="34" fillId="0" borderId="27" xfId="0" applyNumberFormat="1" applyFont="1" applyFill="1" applyBorder="1" applyAlignment="1" applyProtection="1"/>
    <xf numFmtId="213" fontId="34" fillId="0" borderId="0" xfId="0" applyFont="1" applyFill="1" applyBorder="1" applyAlignment="1" applyProtection="1"/>
    <xf numFmtId="167" fontId="15" fillId="0" borderId="11" xfId="0" applyNumberFormat="1" applyFont="1" applyFill="1" applyBorder="1" applyAlignment="1" applyProtection="1"/>
    <xf numFmtId="167" fontId="15" fillId="0" borderId="0" xfId="0" applyNumberFormat="1" applyFont="1" applyFill="1" applyBorder="1" applyAlignment="1" applyProtection="1"/>
    <xf numFmtId="167" fontId="15" fillId="0" borderId="27" xfId="0" applyNumberFormat="1" applyFont="1" applyFill="1" applyBorder="1" applyAlignment="1" applyProtection="1"/>
    <xf numFmtId="167" fontId="15" fillId="0" borderId="13" xfId="0" applyNumberFormat="1" applyFont="1" applyFill="1" applyBorder="1" applyAlignment="1" applyProtection="1"/>
    <xf numFmtId="167" fontId="6" fillId="0" borderId="11" xfId="0" applyNumberFormat="1" applyFont="1" applyFill="1" applyBorder="1" applyAlignment="1" applyProtection="1"/>
    <xf numFmtId="167" fontId="6" fillId="0" borderId="0" xfId="0" applyNumberFormat="1" applyFont="1" applyFill="1" applyAlignment="1" applyProtection="1"/>
    <xf numFmtId="213" fontId="20" fillId="0" borderId="0" xfId="0" applyFont="1" applyFill="1" applyBorder="1" applyProtection="1"/>
    <xf numFmtId="167" fontId="29" fillId="0" borderId="11" xfId="0" applyNumberFormat="1" applyFont="1" applyFill="1" applyBorder="1" applyAlignment="1" applyProtection="1"/>
    <xf numFmtId="167" fontId="29" fillId="0" borderId="0" xfId="0" applyNumberFormat="1" applyFont="1" applyFill="1" applyBorder="1" applyAlignment="1" applyProtection="1"/>
    <xf numFmtId="167" fontId="29" fillId="0" borderId="27" xfId="0" applyNumberFormat="1" applyFont="1" applyFill="1" applyBorder="1" applyAlignment="1" applyProtection="1"/>
    <xf numFmtId="167" fontId="29" fillId="0" borderId="13" xfId="0" applyNumberFormat="1" applyFont="1" applyFill="1" applyBorder="1" applyAlignment="1" applyProtection="1"/>
    <xf numFmtId="41" fontId="12" fillId="0" borderId="0" xfId="0" applyNumberFormat="1" applyFont="1" applyFill="1" applyBorder="1" applyAlignment="1" applyProtection="1"/>
    <xf numFmtId="41" fontId="20" fillId="0" borderId="0" xfId="0" applyNumberFormat="1" applyFont="1" applyFill="1" applyBorder="1" applyAlignment="1" applyProtection="1"/>
    <xf numFmtId="41" fontId="12" fillId="0" borderId="11" xfId="0" applyNumberFormat="1" applyFont="1" applyFill="1" applyBorder="1" applyAlignment="1" applyProtection="1"/>
    <xf numFmtId="9" fontId="6" fillId="0" borderId="0" xfId="71" applyFont="1" applyFill="1" applyBorder="1" applyProtection="1"/>
    <xf numFmtId="167" fontId="6" fillId="0" borderId="0" xfId="71" applyNumberFormat="1" applyFont="1" applyFill="1" applyBorder="1" applyAlignment="1" applyProtection="1"/>
    <xf numFmtId="167" fontId="20" fillId="0" borderId="0" xfId="0" applyNumberFormat="1" applyFont="1" applyFill="1" applyBorder="1" applyProtection="1"/>
    <xf numFmtId="213" fontId="32" fillId="17" borderId="17" xfId="0" applyFont="1" applyFill="1" applyBorder="1" applyProtection="1"/>
    <xf numFmtId="41" fontId="78" fillId="17" borderId="17" xfId="0" applyNumberFormat="1" applyFont="1" applyFill="1" applyBorder="1" applyProtection="1"/>
    <xf numFmtId="174" fontId="79" fillId="17" borderId="18" xfId="0" applyNumberFormat="1" applyFont="1" applyFill="1" applyBorder="1" applyAlignment="1" applyProtection="1">
      <alignment horizontal="right"/>
    </xf>
    <xf numFmtId="174" fontId="79" fillId="17" borderId="17" xfId="0" applyNumberFormat="1" applyFont="1" applyFill="1" applyBorder="1" applyAlignment="1" applyProtection="1">
      <alignment horizontal="right"/>
    </xf>
    <xf numFmtId="174" fontId="79" fillId="17" borderId="26" xfId="0" applyNumberFormat="1" applyFont="1" applyFill="1" applyBorder="1" applyAlignment="1" applyProtection="1">
      <alignment horizontal="right"/>
    </xf>
    <xf numFmtId="169" fontId="78" fillId="17" borderId="20" xfId="0" applyNumberFormat="1" applyFont="1" applyFill="1" applyBorder="1" applyProtection="1"/>
    <xf numFmtId="174" fontId="80" fillId="17" borderId="18" xfId="0" applyNumberFormat="1" applyFont="1" applyFill="1" applyBorder="1" applyAlignment="1" applyProtection="1">
      <alignment horizontal="right"/>
    </xf>
    <xf numFmtId="174" fontId="80" fillId="17" borderId="17" xfId="0" applyNumberFormat="1" applyFont="1" applyFill="1" applyBorder="1" applyAlignment="1" applyProtection="1">
      <alignment horizontal="right"/>
    </xf>
    <xf numFmtId="174" fontId="80" fillId="17" borderId="26" xfId="0" applyNumberFormat="1" applyFont="1" applyFill="1" applyBorder="1" applyAlignment="1" applyProtection="1">
      <alignment horizontal="right"/>
    </xf>
    <xf numFmtId="169" fontId="46" fillId="17" borderId="20" xfId="0" applyNumberFormat="1" applyFont="1" applyFill="1" applyBorder="1" applyProtection="1"/>
    <xf numFmtId="41" fontId="46" fillId="17" borderId="17" xfId="0" applyNumberFormat="1" applyFont="1" applyFill="1" applyBorder="1" applyProtection="1"/>
    <xf numFmtId="175" fontId="78" fillId="17" borderId="18" xfId="0" applyNumberFormat="1" applyFont="1" applyFill="1" applyBorder="1" applyProtection="1"/>
    <xf numFmtId="175" fontId="78" fillId="17" borderId="17" xfId="0" applyNumberFormat="1" applyFont="1" applyFill="1" applyBorder="1" applyProtection="1"/>
    <xf numFmtId="175" fontId="78" fillId="17" borderId="26" xfId="0" applyNumberFormat="1" applyFont="1" applyFill="1" applyBorder="1" applyProtection="1"/>
    <xf numFmtId="175" fontId="78" fillId="17" borderId="20" xfId="0" applyNumberFormat="1" applyFont="1" applyFill="1" applyBorder="1" applyProtection="1"/>
    <xf numFmtId="7" fontId="78" fillId="17" borderId="20" xfId="0" applyNumberFormat="1" applyFont="1" applyFill="1" applyBorder="1" applyAlignment="1" applyProtection="1">
      <alignment horizontal="center"/>
    </xf>
    <xf numFmtId="167" fontId="6" fillId="0" borderId="11" xfId="71" applyNumberFormat="1" applyFont="1" applyFill="1" applyBorder="1" applyProtection="1"/>
    <xf numFmtId="167" fontId="6" fillId="0" borderId="0" xfId="71" applyNumberFormat="1" applyFont="1" applyFill="1" applyBorder="1" applyProtection="1"/>
    <xf numFmtId="167" fontId="6" fillId="0" borderId="27" xfId="71" applyNumberFormat="1" applyFont="1" applyFill="1" applyBorder="1" applyProtection="1"/>
    <xf numFmtId="167" fontId="6" fillId="0" borderId="13" xfId="71" applyNumberFormat="1" applyFont="1" applyFill="1" applyBorder="1" applyProtection="1"/>
    <xf numFmtId="213" fontId="34" fillId="0" borderId="0" xfId="0" applyFont="1" applyFill="1" applyBorder="1" applyAlignment="1" applyProtection="1">
      <alignment horizontal="left" indent="1"/>
    </xf>
    <xf numFmtId="169" fontId="18" fillId="0" borderId="11" xfId="0" applyNumberFormat="1" applyFont="1" applyFill="1" applyBorder="1" applyAlignment="1" applyProtection="1">
      <alignment horizontal="right"/>
    </xf>
    <xf numFmtId="169" fontId="18" fillId="0" borderId="0" xfId="0" applyNumberFormat="1" applyFont="1" applyFill="1" applyBorder="1" applyAlignment="1" applyProtection="1">
      <alignment horizontal="right"/>
    </xf>
    <xf numFmtId="169" fontId="18" fillId="0" borderId="27" xfId="0" applyNumberFormat="1" applyFont="1" applyFill="1" applyBorder="1" applyAlignment="1" applyProtection="1">
      <alignment horizontal="right"/>
    </xf>
    <xf numFmtId="169" fontId="17" fillId="0" borderId="27" xfId="0" applyNumberFormat="1" applyFont="1" applyFill="1" applyBorder="1" applyAlignment="1" applyProtection="1">
      <alignment horizontal="right"/>
    </xf>
    <xf numFmtId="169" fontId="17" fillId="0" borderId="11" xfId="0" applyNumberFormat="1" applyFont="1" applyFill="1" applyBorder="1" applyAlignment="1" applyProtection="1">
      <alignment horizontal="right"/>
    </xf>
    <xf numFmtId="169" fontId="17" fillId="0" borderId="0" xfId="0" applyNumberFormat="1" applyFont="1" applyFill="1" applyBorder="1" applyAlignment="1" applyProtection="1">
      <alignment horizontal="right"/>
    </xf>
    <xf numFmtId="213" fontId="20" fillId="0" borderId="15" xfId="0" applyFont="1" applyFill="1" applyBorder="1" applyProtection="1"/>
    <xf numFmtId="41" fontId="12" fillId="0" borderId="15" xfId="0" applyNumberFormat="1" applyFont="1" applyFill="1" applyBorder="1" applyProtection="1"/>
    <xf numFmtId="168" fontId="21" fillId="0" borderId="14" xfId="0" applyNumberFormat="1" applyFont="1" applyFill="1" applyBorder="1" applyAlignment="1" applyProtection="1">
      <alignment horizontal="right" vertical="center"/>
    </xf>
    <xf numFmtId="168" fontId="21" fillId="0" borderId="15" xfId="0" applyNumberFormat="1" applyFont="1" applyFill="1" applyBorder="1" applyAlignment="1" applyProtection="1">
      <alignment horizontal="right" vertical="center"/>
    </xf>
    <xf numFmtId="168" fontId="21" fillId="0" borderId="16" xfId="0" applyNumberFormat="1" applyFont="1" applyFill="1" applyBorder="1" applyAlignment="1" applyProtection="1">
      <alignment horizontal="right" vertical="center"/>
    </xf>
    <xf numFmtId="168" fontId="21" fillId="0" borderId="31" xfId="0" applyNumberFormat="1" applyFont="1" applyFill="1" applyBorder="1" applyAlignment="1" applyProtection="1">
      <alignment horizontal="right" vertical="center"/>
    </xf>
    <xf numFmtId="41" fontId="22" fillId="0" borderId="15" xfId="0" applyNumberFormat="1" applyFont="1" applyFill="1" applyBorder="1" applyProtection="1"/>
    <xf numFmtId="41" fontId="6" fillId="0" borderId="15" xfId="0" applyNumberFormat="1" applyFont="1" applyFill="1" applyBorder="1" applyProtection="1"/>
    <xf numFmtId="213" fontId="57" fillId="0" borderId="0" xfId="0" applyFont="1" applyFill="1" applyBorder="1" applyProtection="1"/>
    <xf numFmtId="175" fontId="6" fillId="0" borderId="13" xfId="0" applyNumberFormat="1" applyFont="1" applyFill="1" applyBorder="1" applyProtection="1"/>
    <xf numFmtId="167" fontId="34" fillId="0" borderId="0" xfId="0" applyNumberFormat="1" applyFont="1" applyFill="1" applyBorder="1" applyAlignment="1" applyProtection="1">
      <alignment horizontal="left" indent="1"/>
    </xf>
    <xf numFmtId="167" fontId="19" fillId="0" borderId="11" xfId="0" applyNumberFormat="1" applyFont="1" applyFill="1" applyBorder="1" applyAlignment="1" applyProtection="1">
      <alignment horizontal="right"/>
    </xf>
    <xf numFmtId="167" fontId="19" fillId="0" borderId="0" xfId="0" applyNumberFormat="1" applyFont="1" applyFill="1" applyBorder="1" applyAlignment="1" applyProtection="1">
      <alignment horizontal="right"/>
    </xf>
    <xf numFmtId="167" fontId="19" fillId="0" borderId="27" xfId="0" applyNumberFormat="1" applyFont="1" applyFill="1" applyBorder="1" applyAlignment="1" applyProtection="1">
      <alignment horizontal="right"/>
    </xf>
    <xf numFmtId="167" fontId="19" fillId="0" borderId="13" xfId="71" applyNumberFormat="1" applyFont="1" applyFill="1" applyBorder="1" applyAlignment="1" applyProtection="1">
      <alignment horizontal="right"/>
    </xf>
    <xf numFmtId="167" fontId="11" fillId="0" borderId="0" xfId="0" applyNumberFormat="1" applyFont="1" applyFill="1" applyBorder="1" applyProtection="1"/>
    <xf numFmtId="167" fontId="19" fillId="0" borderId="11" xfId="71" applyNumberFormat="1" applyFont="1" applyFill="1" applyBorder="1" applyAlignment="1" applyProtection="1">
      <alignment horizontal="right"/>
    </xf>
    <xf numFmtId="167" fontId="19" fillId="0" borderId="0" xfId="71" applyNumberFormat="1" applyFont="1" applyFill="1" applyBorder="1" applyAlignment="1" applyProtection="1">
      <alignment horizontal="right"/>
    </xf>
    <xf numFmtId="167" fontId="19" fillId="0" borderId="27" xfId="71" applyNumberFormat="1" applyFont="1" applyFill="1" applyBorder="1" applyAlignment="1" applyProtection="1">
      <alignment horizontal="right"/>
    </xf>
    <xf numFmtId="167" fontId="11" fillId="0" borderId="0" xfId="71" applyNumberFormat="1" applyFont="1" applyFill="1" applyBorder="1" applyProtection="1"/>
    <xf numFmtId="169" fontId="6" fillId="0" borderId="13" xfId="0" applyNumberFormat="1" applyFont="1" applyFill="1" applyBorder="1" applyProtection="1"/>
    <xf numFmtId="174" fontId="19" fillId="0" borderId="17" xfId="0" applyNumberFormat="1" applyFont="1" applyFill="1" applyBorder="1" applyAlignment="1" applyProtection="1">
      <alignment horizontal="right"/>
    </xf>
    <xf numFmtId="213" fontId="32" fillId="17" borderId="12" xfId="0" applyFont="1" applyFill="1" applyBorder="1" applyProtection="1"/>
    <xf numFmtId="41" fontId="78" fillId="17" borderId="12" xfId="0" applyNumberFormat="1" applyFont="1" applyFill="1" applyBorder="1" applyProtection="1"/>
    <xf numFmtId="174" fontId="79" fillId="17" borderId="28" xfId="0" applyNumberFormat="1" applyFont="1" applyFill="1" applyBorder="1" applyAlignment="1" applyProtection="1">
      <alignment horizontal="right"/>
    </xf>
    <xf numFmtId="174" fontId="79" fillId="17" borderId="12" xfId="0" applyNumberFormat="1" applyFont="1" applyFill="1" applyBorder="1" applyAlignment="1" applyProtection="1">
      <alignment horizontal="right"/>
    </xf>
    <xf numFmtId="174" fontId="79" fillId="17" borderId="30" xfId="0" applyNumberFormat="1" applyFont="1" applyFill="1" applyBorder="1" applyAlignment="1" applyProtection="1">
      <alignment horizontal="right"/>
    </xf>
    <xf numFmtId="169" fontId="78" fillId="17" borderId="19" xfId="0" applyNumberFormat="1" applyFont="1" applyFill="1" applyBorder="1" applyProtection="1"/>
    <xf numFmtId="174" fontId="80" fillId="17" borderId="28" xfId="0" applyNumberFormat="1" applyFont="1" applyFill="1" applyBorder="1" applyAlignment="1" applyProtection="1">
      <alignment horizontal="right"/>
    </xf>
    <xf numFmtId="174" fontId="80" fillId="17" borderId="12" xfId="0" applyNumberFormat="1" applyFont="1" applyFill="1" applyBorder="1" applyAlignment="1" applyProtection="1">
      <alignment horizontal="right"/>
    </xf>
    <xf numFmtId="169" fontId="79" fillId="17" borderId="0" xfId="0" applyNumberFormat="1" applyFont="1" applyFill="1" applyBorder="1" applyAlignment="1" applyProtection="1">
      <alignment horizontal="right"/>
    </xf>
    <xf numFmtId="174" fontId="80" fillId="17" borderId="30" xfId="0" applyNumberFormat="1" applyFont="1" applyFill="1" applyBorder="1" applyAlignment="1" applyProtection="1">
      <alignment horizontal="right"/>
    </xf>
    <xf numFmtId="169" fontId="46" fillId="17" borderId="19" xfId="0" applyNumberFormat="1" applyFont="1" applyFill="1" applyBorder="1" applyProtection="1"/>
    <xf numFmtId="41" fontId="46" fillId="17" borderId="12" xfId="0" applyNumberFormat="1" applyFont="1" applyFill="1" applyBorder="1" applyProtection="1"/>
    <xf numFmtId="175" fontId="80" fillId="17" borderId="12" xfId="0" applyNumberFormat="1" applyFont="1" applyFill="1" applyBorder="1" applyAlignment="1" applyProtection="1">
      <alignment horizontal="right"/>
    </xf>
    <xf numFmtId="175" fontId="78" fillId="17" borderId="19" xfId="0" applyNumberFormat="1" applyFont="1" applyFill="1" applyBorder="1" applyProtection="1"/>
    <xf numFmtId="7" fontId="78" fillId="17" borderId="19" xfId="0" applyNumberFormat="1" applyFont="1" applyFill="1" applyBorder="1" applyAlignment="1" applyProtection="1">
      <alignment horizontal="center"/>
    </xf>
    <xf numFmtId="169" fontId="17" fillId="0" borderId="13" xfId="0" applyNumberFormat="1" applyFont="1" applyFill="1" applyBorder="1" applyAlignment="1" applyProtection="1">
      <alignment horizontal="right"/>
    </xf>
    <xf numFmtId="169" fontId="6" fillId="0" borderId="0" xfId="0" applyNumberFormat="1" applyFont="1" applyFill="1" applyBorder="1" applyProtection="1"/>
    <xf numFmtId="41" fontId="22" fillId="0" borderId="0" xfId="0" applyNumberFormat="1" applyFont="1" applyFill="1" applyBorder="1" applyProtection="1"/>
    <xf numFmtId="169" fontId="77" fillId="0" borderId="27" xfId="0" applyNumberFormat="1" applyFont="1" applyFill="1" applyBorder="1" applyAlignment="1" applyProtection="1">
      <alignment horizontal="right"/>
    </xf>
    <xf numFmtId="169" fontId="77" fillId="0" borderId="11" xfId="0" applyNumberFormat="1" applyFont="1" applyFill="1" applyBorder="1" applyAlignment="1" applyProtection="1">
      <alignment horizontal="right"/>
    </xf>
    <xf numFmtId="169" fontId="77" fillId="0" borderId="0" xfId="0" applyNumberFormat="1" applyFont="1" applyFill="1" applyBorder="1" applyAlignment="1" applyProtection="1">
      <alignment horizontal="right"/>
    </xf>
    <xf numFmtId="213" fontId="34" fillId="0" borderId="17" xfId="0" applyFont="1" applyFill="1" applyBorder="1" applyProtection="1"/>
    <xf numFmtId="169" fontId="17" fillId="0" borderId="18" xfId="0" applyNumberFormat="1" applyFont="1" applyFill="1" applyBorder="1" applyAlignment="1" applyProtection="1">
      <alignment horizontal="right"/>
    </xf>
    <xf numFmtId="169" fontId="17" fillId="0" borderId="17" xfId="0" applyNumberFormat="1" applyFont="1" applyFill="1" applyBorder="1" applyAlignment="1" applyProtection="1">
      <alignment horizontal="right"/>
    </xf>
    <xf numFmtId="169" fontId="17" fillId="0" borderId="26" xfId="0" applyNumberFormat="1" applyFont="1" applyFill="1" applyBorder="1" applyAlignment="1" applyProtection="1">
      <alignment horizontal="right"/>
    </xf>
    <xf numFmtId="169" fontId="17" fillId="0" borderId="20" xfId="0" applyNumberFormat="1" applyFont="1" applyFill="1" applyBorder="1" applyAlignment="1" applyProtection="1">
      <alignment horizontal="right"/>
    </xf>
    <xf numFmtId="169" fontId="18" fillId="0" borderId="18" xfId="0" applyNumberFormat="1" applyFont="1" applyFill="1" applyBorder="1" applyAlignment="1" applyProtection="1">
      <alignment horizontal="right"/>
    </xf>
    <xf numFmtId="41" fontId="11" fillId="0" borderId="17" xfId="0" applyNumberFormat="1" applyFont="1" applyFill="1" applyBorder="1" applyProtection="1"/>
    <xf numFmtId="169" fontId="18" fillId="0" borderId="17" xfId="0" applyNumberFormat="1" applyFont="1" applyFill="1" applyBorder="1" applyAlignment="1" applyProtection="1">
      <alignment horizontal="right"/>
    </xf>
    <xf numFmtId="169" fontId="18" fillId="0" borderId="26" xfId="0" applyNumberFormat="1" applyFont="1" applyFill="1" applyBorder="1" applyAlignment="1" applyProtection="1">
      <alignment horizontal="right"/>
    </xf>
    <xf numFmtId="169" fontId="6" fillId="0" borderId="17" xfId="0" applyNumberFormat="1" applyFont="1" applyFill="1" applyBorder="1" applyProtection="1"/>
    <xf numFmtId="169" fontId="21" fillId="0" borderId="14" xfId="0" applyNumberFormat="1" applyFont="1" applyFill="1" applyBorder="1" applyAlignment="1" applyProtection="1">
      <alignment horizontal="right"/>
    </xf>
    <xf numFmtId="169" fontId="21" fillId="0" borderId="15" xfId="0" applyNumberFormat="1" applyFont="1" applyFill="1" applyBorder="1" applyAlignment="1" applyProtection="1">
      <alignment horizontal="right"/>
    </xf>
    <xf numFmtId="169" fontId="21" fillId="0" borderId="16" xfId="0" applyNumberFormat="1" applyFont="1" applyFill="1" applyBorder="1" applyAlignment="1" applyProtection="1">
      <alignment horizontal="right"/>
    </xf>
    <xf numFmtId="169" fontId="21" fillId="0" borderId="31" xfId="0" applyNumberFormat="1" applyFont="1" applyFill="1" applyBorder="1" applyAlignment="1" applyProtection="1">
      <alignment horizontal="right"/>
    </xf>
    <xf numFmtId="169" fontId="12" fillId="0" borderId="15" xfId="0" applyNumberFormat="1" applyFont="1" applyFill="1" applyBorder="1" applyProtection="1"/>
    <xf numFmtId="174" fontId="19" fillId="0" borderId="13" xfId="0" applyNumberFormat="1" applyFont="1" applyFill="1" applyBorder="1" applyAlignment="1" applyProtection="1">
      <alignment horizontal="right"/>
    </xf>
    <xf numFmtId="177" fontId="20" fillId="0" borderId="15" xfId="0" applyNumberFormat="1" applyFont="1" applyFill="1" applyBorder="1" applyProtection="1"/>
    <xf numFmtId="177" fontId="12" fillId="0" borderId="15" xfId="0" applyNumberFormat="1" applyFont="1" applyFill="1" applyBorder="1" applyProtection="1"/>
    <xf numFmtId="213" fontId="34" fillId="0" borderId="12" xfId="0" applyFont="1" applyFill="1" applyBorder="1" applyAlignment="1" applyProtection="1">
      <alignment horizontal="left" indent="1"/>
    </xf>
    <xf numFmtId="41" fontId="6" fillId="0" borderId="12" xfId="0" applyNumberFormat="1" applyFont="1" applyFill="1" applyBorder="1" applyProtection="1"/>
    <xf numFmtId="172" fontId="14" fillId="0" borderId="28" xfId="0" applyNumberFormat="1" applyFont="1" applyFill="1" applyBorder="1" applyProtection="1"/>
    <xf numFmtId="172" fontId="14" fillId="0" borderId="12" xfId="0" applyNumberFormat="1" applyFont="1" applyFill="1" applyBorder="1" applyProtection="1"/>
    <xf numFmtId="172" fontId="18" fillId="0" borderId="30" xfId="0" applyNumberFormat="1" applyFont="1" applyFill="1" applyBorder="1" applyAlignment="1" applyProtection="1">
      <alignment horizontal="right" vertical="center"/>
    </xf>
    <xf numFmtId="172" fontId="17" fillId="0" borderId="19" xfId="0" applyNumberFormat="1" applyFont="1" applyFill="1" applyBorder="1" applyAlignment="1" applyProtection="1">
      <alignment horizontal="right" vertical="center"/>
    </xf>
    <xf numFmtId="168" fontId="21" fillId="0" borderId="28" xfId="0" applyNumberFormat="1" applyFont="1" applyFill="1" applyBorder="1" applyAlignment="1" applyProtection="1">
      <alignment horizontal="right" vertical="center"/>
    </xf>
    <xf numFmtId="172" fontId="18" fillId="0" borderId="28" xfId="0" applyNumberFormat="1" applyFont="1" applyFill="1" applyBorder="1" applyAlignment="1" applyProtection="1">
      <alignment horizontal="right" vertical="center"/>
    </xf>
    <xf numFmtId="172" fontId="18" fillId="0" borderId="12" xfId="0" applyNumberFormat="1" applyFont="1" applyFill="1" applyBorder="1" applyAlignment="1" applyProtection="1">
      <alignment horizontal="right" vertical="center"/>
    </xf>
    <xf numFmtId="168" fontId="17" fillId="0" borderId="28" xfId="0" applyNumberFormat="1" applyFont="1" applyFill="1" applyBorder="1" applyAlignment="1" applyProtection="1">
      <alignment horizontal="right" vertical="center"/>
    </xf>
    <xf numFmtId="172" fontId="17" fillId="0" borderId="28" xfId="0" applyNumberFormat="1" applyFont="1" applyFill="1" applyBorder="1" applyAlignment="1" applyProtection="1">
      <alignment horizontal="right" vertical="center"/>
    </xf>
    <xf numFmtId="172" fontId="18" fillId="0" borderId="27" xfId="0" applyNumberFormat="1" applyFont="1" applyFill="1" applyBorder="1" applyAlignment="1" applyProtection="1">
      <alignment horizontal="right" vertical="center"/>
    </xf>
    <xf numFmtId="172" fontId="17" fillId="0" borderId="13" xfId="0" applyNumberFormat="1" applyFont="1" applyFill="1" applyBorder="1" applyAlignment="1" applyProtection="1">
      <alignment horizontal="right" vertical="center"/>
    </xf>
    <xf numFmtId="168" fontId="21" fillId="0" borderId="11" xfId="0" applyNumberFormat="1" applyFont="1" applyFill="1" applyBorder="1" applyAlignment="1" applyProtection="1">
      <alignment horizontal="right" vertical="center"/>
    </xf>
    <xf numFmtId="172" fontId="18" fillId="0" borderId="11" xfId="0" applyNumberFormat="1" applyFont="1" applyFill="1" applyBorder="1" applyAlignment="1" applyProtection="1">
      <alignment horizontal="right" vertical="center"/>
    </xf>
    <xf numFmtId="172" fontId="18" fillId="0" borderId="0" xfId="0" applyNumberFormat="1" applyFont="1" applyFill="1" applyBorder="1" applyAlignment="1" applyProtection="1">
      <alignment horizontal="right" vertical="center"/>
    </xf>
    <xf numFmtId="168" fontId="17" fillId="0" borderId="11" xfId="0" applyNumberFormat="1" applyFont="1" applyFill="1" applyBorder="1" applyAlignment="1" applyProtection="1">
      <alignment horizontal="right" vertical="center"/>
    </xf>
    <xf numFmtId="172" fontId="17" fillId="0" borderId="11" xfId="0" applyNumberFormat="1" applyFont="1" applyFill="1" applyBorder="1" applyAlignment="1" applyProtection="1">
      <alignment horizontal="right" vertical="center"/>
    </xf>
    <xf numFmtId="213" fontId="34" fillId="0" borderId="17" xfId="0" applyFont="1" applyFill="1" applyBorder="1" applyAlignment="1" applyProtection="1">
      <alignment horizontal="left" indent="1"/>
    </xf>
    <xf numFmtId="168" fontId="21" fillId="0" borderId="18" xfId="0" applyNumberFormat="1" applyFont="1" applyFill="1" applyBorder="1" applyAlignment="1" applyProtection="1">
      <alignment horizontal="right" vertical="center"/>
    </xf>
    <xf numFmtId="172" fontId="18" fillId="0" borderId="18" xfId="0" applyNumberFormat="1" applyFont="1" applyFill="1" applyBorder="1" applyAlignment="1" applyProtection="1">
      <alignment horizontal="right" vertical="center"/>
    </xf>
    <xf numFmtId="172" fontId="18" fillId="0" borderId="26" xfId="0" applyNumberFormat="1" applyFont="1" applyFill="1" applyBorder="1" applyAlignment="1" applyProtection="1">
      <alignment horizontal="right" vertical="center"/>
    </xf>
    <xf numFmtId="168" fontId="17" fillId="0" borderId="18" xfId="0" applyNumberFormat="1" applyFont="1" applyFill="1" applyBorder="1" applyAlignment="1" applyProtection="1">
      <alignment horizontal="right" vertical="center"/>
    </xf>
    <xf numFmtId="172" fontId="17" fillId="0" borderId="18" xfId="0" applyNumberFormat="1" applyFont="1" applyFill="1" applyBorder="1" applyAlignment="1" applyProtection="1">
      <alignment horizontal="right" vertical="center"/>
    </xf>
    <xf numFmtId="43" fontId="34" fillId="0" borderId="0" xfId="38" applyFont="1" applyFill="1" applyBorder="1" applyProtection="1"/>
    <xf numFmtId="43" fontId="6" fillId="0" borderId="0" xfId="38" applyFont="1" applyFill="1" applyBorder="1" applyProtection="1"/>
    <xf numFmtId="43" fontId="17" fillId="0" borderId="28" xfId="38" applyFont="1" applyFill="1" applyBorder="1" applyAlignment="1" applyProtection="1">
      <alignment horizontal="right"/>
    </xf>
    <xf numFmtId="43" fontId="17" fillId="0" borderId="12" xfId="38" applyFont="1" applyFill="1" applyBorder="1" applyAlignment="1" applyProtection="1">
      <alignment horizontal="right"/>
    </xf>
    <xf numFmtId="43" fontId="17" fillId="0" borderId="30" xfId="38" applyFont="1" applyFill="1" applyBorder="1" applyAlignment="1" applyProtection="1">
      <alignment horizontal="right"/>
    </xf>
    <xf numFmtId="43" fontId="6" fillId="0" borderId="19" xfId="38" applyFont="1" applyFill="1" applyBorder="1" applyProtection="1"/>
    <xf numFmtId="43" fontId="19" fillId="0" borderId="12" xfId="38" applyFont="1" applyFill="1" applyBorder="1" applyAlignment="1" applyProtection="1">
      <alignment horizontal="right"/>
    </xf>
    <xf numFmtId="43" fontId="19" fillId="0" borderId="30" xfId="38" applyFont="1" applyFill="1" applyBorder="1" applyAlignment="1" applyProtection="1">
      <alignment horizontal="right"/>
    </xf>
    <xf numFmtId="43" fontId="21" fillId="0" borderId="19" xfId="38" applyFont="1" applyFill="1" applyBorder="1" applyAlignment="1" applyProtection="1">
      <alignment horizontal="right"/>
    </xf>
    <xf numFmtId="43" fontId="11" fillId="0" borderId="0" xfId="38" applyFont="1" applyFill="1" applyBorder="1" applyProtection="1"/>
    <xf numFmtId="43" fontId="21" fillId="0" borderId="28" xfId="38" applyFont="1" applyFill="1" applyBorder="1" applyAlignment="1" applyProtection="1">
      <alignment horizontal="right"/>
    </xf>
    <xf numFmtId="43" fontId="21" fillId="0" borderId="12" xfId="38" applyFont="1" applyFill="1" applyBorder="1" applyAlignment="1" applyProtection="1">
      <alignment horizontal="right"/>
    </xf>
    <xf numFmtId="43" fontId="21" fillId="0" borderId="30" xfId="38" applyFont="1" applyFill="1" applyBorder="1" applyAlignment="1" applyProtection="1">
      <alignment horizontal="right"/>
    </xf>
    <xf numFmtId="43" fontId="12" fillId="0" borderId="0" xfId="38" applyFont="1" applyFill="1" applyBorder="1" applyProtection="1"/>
    <xf numFmtId="175" fontId="78" fillId="17" borderId="13" xfId="0" applyNumberFormat="1" applyFont="1" applyFill="1" applyBorder="1" applyAlignment="1" applyProtection="1">
      <alignment horizontal="center"/>
    </xf>
    <xf numFmtId="41" fontId="33" fillId="17" borderId="0" xfId="0" applyNumberFormat="1" applyFont="1" applyFill="1" applyBorder="1" applyAlignment="1" applyProtection="1">
      <alignment horizontal="center"/>
    </xf>
    <xf numFmtId="175" fontId="78" fillId="17" borderId="11" xfId="0" applyNumberFormat="1" applyFont="1" applyFill="1" applyBorder="1" applyAlignment="1" applyProtection="1">
      <alignment horizontal="center"/>
    </xf>
    <xf numFmtId="175" fontId="78" fillId="17" borderId="0" xfId="0" applyNumberFormat="1" applyFont="1" applyFill="1" applyBorder="1" applyAlignment="1" applyProtection="1">
      <alignment horizontal="center"/>
    </xf>
    <xf numFmtId="175" fontId="78" fillId="17" borderId="27" xfId="0" applyNumberFormat="1" applyFont="1" applyFill="1" applyBorder="1" applyAlignment="1" applyProtection="1">
      <alignment horizontal="center"/>
    </xf>
    <xf numFmtId="41" fontId="78" fillId="17" borderId="0" xfId="0" applyNumberFormat="1" applyFont="1" applyFill="1" applyBorder="1" applyAlignment="1" applyProtection="1">
      <alignment horizontal="center"/>
    </xf>
    <xf numFmtId="174" fontId="79" fillId="17" borderId="11" xfId="0" applyNumberFormat="1" applyFont="1" applyFill="1" applyBorder="1" applyAlignment="1" applyProtection="1">
      <alignment horizontal="center"/>
    </xf>
    <xf numFmtId="174" fontId="79" fillId="17" borderId="0" xfId="0" applyNumberFormat="1" applyFont="1" applyFill="1" applyBorder="1" applyAlignment="1" applyProtection="1">
      <alignment horizontal="center"/>
    </xf>
    <xf numFmtId="174" fontId="79" fillId="17" borderId="27" xfId="0" applyNumberFormat="1" applyFont="1" applyFill="1" applyBorder="1" applyAlignment="1" applyProtection="1">
      <alignment horizontal="center"/>
    </xf>
    <xf numFmtId="213" fontId="20" fillId="18" borderId="17" xfId="0" applyFont="1" applyFill="1" applyBorder="1" applyProtection="1"/>
    <xf numFmtId="41" fontId="12" fillId="18" borderId="17" xfId="0" applyNumberFormat="1" applyFont="1" applyFill="1" applyBorder="1" applyProtection="1"/>
    <xf numFmtId="167" fontId="21" fillId="18" borderId="18" xfId="71" applyNumberFormat="1" applyFont="1" applyFill="1" applyBorder="1" applyAlignment="1" applyProtection="1"/>
    <xf numFmtId="167" fontId="21" fillId="18" borderId="17" xfId="71" applyNumberFormat="1" applyFont="1" applyFill="1" applyBorder="1" applyAlignment="1" applyProtection="1"/>
    <xf numFmtId="167" fontId="21" fillId="18" borderId="20" xfId="71" applyNumberFormat="1" applyFont="1" applyFill="1" applyBorder="1" applyAlignment="1" applyProtection="1"/>
    <xf numFmtId="41" fontId="12" fillId="18" borderId="17" xfId="0" applyNumberFormat="1" applyFont="1" applyFill="1" applyBorder="1" applyAlignment="1" applyProtection="1"/>
    <xf numFmtId="41" fontId="20" fillId="18" borderId="17" xfId="0" applyNumberFormat="1" applyFont="1" applyFill="1" applyBorder="1" applyAlignment="1" applyProtection="1"/>
    <xf numFmtId="213" fontId="6" fillId="0" borderId="0" xfId="0" applyFont="1" applyFill="1" applyProtection="1"/>
    <xf numFmtId="167" fontId="14" fillId="0" borderId="0" xfId="0" applyNumberFormat="1" applyFont="1" applyFill="1" applyProtection="1"/>
    <xf numFmtId="167" fontId="6" fillId="0" borderId="0" xfId="0" applyNumberFormat="1" applyFont="1" applyFill="1" applyProtection="1"/>
    <xf numFmtId="172" fontId="14" fillId="0" borderId="0" xfId="0" applyNumberFormat="1" applyFont="1" applyFill="1" applyProtection="1"/>
    <xf numFmtId="172" fontId="20" fillId="0" borderId="11" xfId="66" applyNumberFormat="1" applyFont="1" applyFill="1" applyBorder="1" applyAlignment="1">
      <alignment horizontal="left" indent="1"/>
    </xf>
    <xf numFmtId="0" fontId="11" fillId="0" borderId="11" xfId="66" applyFont="1" applyFill="1" applyBorder="1" applyAlignment="1">
      <alignment horizontal="left" indent="5"/>
    </xf>
    <xf numFmtId="9" fontId="11" fillId="0" borderId="17" xfId="71" applyFont="1" applyFill="1" applyBorder="1"/>
    <xf numFmtId="192" fontId="20" fillId="0" borderId="17" xfId="40" applyNumberFormat="1" applyFont="1" applyFill="1" applyBorder="1"/>
    <xf numFmtId="172" fontId="20" fillId="0" borderId="28" xfId="66" applyNumberFormat="1" applyFont="1" applyFill="1" applyBorder="1" applyAlignment="1">
      <alignment horizontal="left" indent="1"/>
    </xf>
    <xf numFmtId="168" fontId="34" fillId="0" borderId="11" xfId="66" applyNumberFormat="1" applyFont="1" applyFill="1" applyBorder="1" applyAlignment="1">
      <alignment horizontal="left" indent="3"/>
    </xf>
    <xf numFmtId="213" fontId="34" fillId="0" borderId="13" xfId="0" applyFont="1" applyFill="1" applyBorder="1"/>
    <xf numFmtId="37" fontId="20" fillId="0" borderId="0" xfId="0" applyNumberFormat="1" applyFont="1" applyFill="1" applyBorder="1"/>
    <xf numFmtId="37" fontId="37" fillId="0" borderId="0" xfId="0" applyNumberFormat="1" applyFont="1" applyFill="1" applyBorder="1"/>
    <xf numFmtId="37" fontId="34" fillId="0" borderId="13" xfId="0" applyNumberFormat="1" applyFont="1" applyFill="1" applyBorder="1"/>
    <xf numFmtId="37" fontId="34" fillId="0" borderId="0" xfId="0" applyNumberFormat="1" applyFont="1" applyFill="1" applyBorder="1"/>
    <xf numFmtId="37" fontId="34" fillId="0" borderId="27" xfId="0" applyNumberFormat="1" applyFont="1" applyFill="1" applyBorder="1"/>
    <xf numFmtId="37" fontId="34" fillId="0" borderId="0" xfId="0" applyNumberFormat="1" applyFont="1" applyFill="1" applyBorder="1" applyAlignment="1"/>
    <xf numFmtId="37" fontId="34" fillId="0" borderId="13" xfId="0" applyNumberFormat="1" applyFont="1" applyFill="1" applyBorder="1" applyAlignment="1"/>
    <xf numFmtId="37" fontId="34" fillId="0" borderId="27" xfId="0" applyNumberFormat="1" applyFont="1" applyFill="1" applyBorder="1" applyAlignment="1"/>
    <xf numFmtId="37" fontId="34" fillId="0" borderId="11" xfId="0" applyNumberFormat="1" applyFont="1" applyFill="1" applyBorder="1" applyAlignment="1"/>
    <xf numFmtId="172" fontId="37" fillId="0" borderId="0" xfId="0" applyNumberFormat="1" applyFont="1" applyFill="1" applyBorder="1"/>
    <xf numFmtId="168" fontId="34" fillId="0" borderId="11" xfId="40" applyNumberFormat="1" applyFont="1" applyFill="1" applyBorder="1"/>
    <xf numFmtId="37" fontId="37" fillId="0" borderId="11" xfId="0" applyNumberFormat="1" applyFont="1" applyFill="1" applyBorder="1"/>
    <xf numFmtId="37" fontId="37" fillId="0" borderId="11" xfId="0" applyNumberFormat="1" applyFont="1" applyFill="1" applyBorder="1" applyAlignment="1"/>
    <xf numFmtId="172" fontId="34" fillId="0" borderId="11" xfId="0" applyNumberFormat="1" applyFont="1" applyFill="1" applyBorder="1"/>
    <xf numFmtId="168" fontId="34" fillId="0" borderId="11" xfId="0" applyNumberFormat="1" applyFont="1" applyFill="1" applyBorder="1"/>
    <xf numFmtId="213" fontId="34" fillId="0" borderId="11" xfId="0" applyFont="1" applyFill="1" applyBorder="1"/>
    <xf numFmtId="1" fontId="34" fillId="0" borderId="11" xfId="0" applyNumberFormat="1" applyFont="1" applyFill="1" applyBorder="1"/>
    <xf numFmtId="168" fontId="34" fillId="0" borderId="27" xfId="40" applyNumberFormat="1" applyFont="1" applyFill="1" applyBorder="1"/>
    <xf numFmtId="172" fontId="11" fillId="0" borderId="11" xfId="40" applyNumberFormat="1" applyFont="1" applyFill="1" applyBorder="1"/>
    <xf numFmtId="168" fontId="11" fillId="0" borderId="11" xfId="0" applyNumberFormat="1" applyFont="1" applyFill="1" applyBorder="1"/>
    <xf numFmtId="172" fontId="11" fillId="0" borderId="11" xfId="0" applyNumberFormat="1" applyFont="1" applyFill="1" applyBorder="1"/>
    <xf numFmtId="166" fontId="11" fillId="0" borderId="11" xfId="0" applyNumberFormat="1" applyFont="1" applyFill="1" applyBorder="1"/>
    <xf numFmtId="37" fontId="34" fillId="0" borderId="11" xfId="66" applyNumberFormat="1" applyFont="1" applyFill="1" applyBorder="1" applyAlignment="1">
      <alignment horizontal="left" indent="3"/>
    </xf>
    <xf numFmtId="37" fontId="34" fillId="0" borderId="11" xfId="0" applyNumberFormat="1" applyFont="1" applyFill="1" applyBorder="1"/>
    <xf numFmtId="37" fontId="11" fillId="0" borderId="11" xfId="0" applyNumberFormat="1" applyFont="1" applyFill="1" applyBorder="1"/>
    <xf numFmtId="37" fontId="11" fillId="0" borderId="0" xfId="0" applyNumberFormat="1" applyFont="1" applyFill="1" applyBorder="1"/>
    <xf numFmtId="37" fontId="34" fillId="0" borderId="11" xfId="66" applyNumberFormat="1" applyFont="1" applyFill="1" applyBorder="1" applyAlignment="1">
      <alignment horizontal="left" indent="4"/>
    </xf>
    <xf numFmtId="168" fontId="37" fillId="0" borderId="11" xfId="40" applyNumberFormat="1" applyFont="1" applyFill="1" applyBorder="1"/>
    <xf numFmtId="167" fontId="23" fillId="0" borderId="11" xfId="0" applyNumberFormat="1" applyFont="1" applyFill="1" applyBorder="1"/>
    <xf numFmtId="168" fontId="37" fillId="0" borderId="27" xfId="0" applyNumberFormat="1" applyFont="1" applyFill="1" applyBorder="1"/>
    <xf numFmtId="172" fontId="11" fillId="0" borderId="27" xfId="0" applyNumberFormat="1" applyFont="1" applyFill="1" applyBorder="1"/>
    <xf numFmtId="168" fontId="37" fillId="0" borderId="11" xfId="0" applyNumberFormat="1" applyFont="1" applyFill="1" applyBorder="1"/>
    <xf numFmtId="9" fontId="23" fillId="0" borderId="11" xfId="0" applyNumberFormat="1" applyFont="1" applyFill="1" applyBorder="1"/>
    <xf numFmtId="172" fontId="23" fillId="0" borderId="11" xfId="0" applyNumberFormat="1" applyFont="1" applyFill="1" applyBorder="1"/>
    <xf numFmtId="172" fontId="34" fillId="0" borderId="11" xfId="40" applyNumberFormat="1" applyFont="1" applyFill="1" applyBorder="1"/>
    <xf numFmtId="172" fontId="37" fillId="0" borderId="27" xfId="0" applyNumberFormat="1" applyFont="1" applyFill="1" applyBorder="1"/>
    <xf numFmtId="37" fontId="37" fillId="0" borderId="27" xfId="0" applyNumberFormat="1" applyFont="1" applyFill="1" applyBorder="1"/>
    <xf numFmtId="172" fontId="56" fillId="0" borderId="0" xfId="0" applyNumberFormat="1" applyFont="1" applyFill="1" applyBorder="1" applyAlignment="1" applyProtection="1">
      <alignment horizontal="left" vertical="center"/>
      <protection locked="0"/>
    </xf>
    <xf numFmtId="9" fontId="11" fillId="0" borderId="20" xfId="0" applyNumberFormat="1" applyFont="1" applyFill="1" applyBorder="1" applyAlignment="1">
      <alignment horizontal="right"/>
    </xf>
    <xf numFmtId="172" fontId="37" fillId="0" borderId="11" xfId="0" applyNumberFormat="1" applyFont="1" applyFill="1" applyBorder="1"/>
    <xf numFmtId="9" fontId="6" fillId="0" borderId="0" xfId="71" applyFont="1" applyFill="1"/>
    <xf numFmtId="9" fontId="6" fillId="0" borderId="0" xfId="0" applyNumberFormat="1" applyFont="1" applyFill="1"/>
    <xf numFmtId="0" fontId="36" fillId="0" borderId="0" xfId="60" applyFont="1" applyFill="1" applyBorder="1" applyAlignment="1" applyProtection="1">
      <alignment horizontal="left"/>
    </xf>
    <xf numFmtId="172" fontId="34" fillId="0" borderId="28" xfId="66" applyNumberFormat="1" applyFont="1" applyFill="1" applyBorder="1" applyAlignment="1">
      <alignment horizontal="left"/>
    </xf>
    <xf numFmtId="172" fontId="34" fillId="0" borderId="12" xfId="0" applyNumberFormat="1" applyFont="1" applyFill="1" applyBorder="1"/>
    <xf numFmtId="172" fontId="34" fillId="0" borderId="28" xfId="0" applyNumberFormat="1" applyFont="1" applyFill="1" applyBorder="1"/>
    <xf numFmtId="172" fontId="34" fillId="0" borderId="19" xfId="0" applyNumberFormat="1" applyFont="1" applyFill="1" applyBorder="1"/>
    <xf numFmtId="172" fontId="34" fillId="0" borderId="11" xfId="66" applyNumberFormat="1" applyFont="1" applyFill="1" applyBorder="1"/>
    <xf numFmtId="172" fontId="37" fillId="0" borderId="12" xfId="0" applyNumberFormat="1" applyFont="1" applyFill="1" applyBorder="1"/>
    <xf numFmtId="172" fontId="37" fillId="0" borderId="28" xfId="0" applyNumberFormat="1" applyFont="1" applyFill="1" applyBorder="1"/>
    <xf numFmtId="172" fontId="37" fillId="0" borderId="30" xfId="0" applyNumberFormat="1" applyFont="1" applyFill="1" applyBorder="1"/>
    <xf numFmtId="172" fontId="34" fillId="0" borderId="12" xfId="40" applyNumberFormat="1" applyFont="1" applyFill="1" applyBorder="1"/>
    <xf numFmtId="172" fontId="34" fillId="0" borderId="27" xfId="0" applyNumberFormat="1" applyFont="1" applyFill="1" applyBorder="1"/>
    <xf numFmtId="9" fontId="11" fillId="0" borderId="11" xfId="0" applyNumberFormat="1" applyFont="1" applyFill="1" applyBorder="1" applyAlignment="1">
      <alignment horizontal="center"/>
    </xf>
    <xf numFmtId="180" fontId="11" fillId="0" borderId="27" xfId="0" applyNumberFormat="1" applyFont="1" applyFill="1" applyBorder="1"/>
    <xf numFmtId="172" fontId="34" fillId="0" borderId="28" xfId="38" applyNumberFormat="1" applyFont="1" applyFill="1" applyBorder="1" applyAlignment="1">
      <alignment horizontal="left" indent="1"/>
    </xf>
    <xf numFmtId="172" fontId="34" fillId="0" borderId="12" xfId="38" applyNumberFormat="1" applyFont="1" applyFill="1" applyBorder="1"/>
    <xf numFmtId="172" fontId="34" fillId="0" borderId="28" xfId="38" applyNumberFormat="1" applyFont="1" applyFill="1" applyBorder="1"/>
    <xf numFmtId="172" fontId="34" fillId="0" borderId="19" xfId="38" applyNumberFormat="1" applyFont="1" applyFill="1" applyBorder="1"/>
    <xf numFmtId="172" fontId="34" fillId="0" borderId="11" xfId="66" applyNumberFormat="1" applyFont="1" applyFill="1" applyBorder="1" applyAlignment="1">
      <alignment horizontal="left" indent="1"/>
    </xf>
    <xf numFmtId="172" fontId="20" fillId="0" borderId="28" xfId="66" applyNumberFormat="1" applyFont="1" applyFill="1" applyBorder="1" applyAlignment="1">
      <alignment horizontal="left" indent="2"/>
    </xf>
    <xf numFmtId="172" fontId="20" fillId="0" borderId="11" xfId="66" applyNumberFormat="1" applyFont="1" applyFill="1" applyBorder="1" applyAlignment="1">
      <alignment horizontal="left" indent="2"/>
    </xf>
    <xf numFmtId="0" fontId="34" fillId="0" borderId="18" xfId="66" applyFont="1" applyFill="1" applyBorder="1" applyAlignment="1">
      <alignment horizontal="left" indent="4"/>
    </xf>
    <xf numFmtId="213" fontId="34" fillId="0" borderId="17" xfId="0" applyFont="1" applyFill="1" applyBorder="1"/>
    <xf numFmtId="213" fontId="34" fillId="0" borderId="18" xfId="0" applyFont="1" applyFill="1" applyBorder="1"/>
    <xf numFmtId="213" fontId="34" fillId="0" borderId="20" xfId="0" applyFont="1" applyFill="1" applyBorder="1"/>
    <xf numFmtId="1" fontId="34" fillId="0" borderId="18" xfId="0" applyNumberFormat="1" applyFont="1" applyFill="1" applyBorder="1"/>
    <xf numFmtId="1" fontId="34" fillId="0" borderId="17" xfId="0" applyNumberFormat="1" applyFont="1" applyFill="1" applyBorder="1"/>
    <xf numFmtId="166" fontId="11" fillId="0" borderId="18" xfId="0" applyNumberFormat="1" applyFont="1" applyFill="1" applyBorder="1"/>
    <xf numFmtId="166" fontId="11" fillId="0" borderId="17" xfId="0" applyNumberFormat="1" applyFont="1" applyFill="1" applyBorder="1"/>
    <xf numFmtId="166" fontId="34" fillId="0" borderId="20" xfId="0" applyNumberFormat="1" applyFont="1" applyFill="1" applyBorder="1"/>
    <xf numFmtId="172" fontId="34" fillId="0" borderId="14" xfId="66" applyNumberFormat="1" applyFont="1" applyFill="1" applyBorder="1"/>
    <xf numFmtId="172" fontId="34" fillId="0" borderId="15" xfId="0" applyNumberFormat="1" applyFont="1" applyFill="1" applyBorder="1"/>
    <xf numFmtId="172" fontId="34" fillId="0" borderId="14" xfId="0" applyNumberFormat="1" applyFont="1" applyFill="1" applyBorder="1"/>
    <xf numFmtId="172" fontId="34" fillId="0" borderId="31" xfId="0" applyNumberFormat="1" applyFont="1" applyFill="1" applyBorder="1"/>
    <xf numFmtId="172" fontId="34" fillId="0" borderId="16" xfId="0" applyNumberFormat="1" applyFont="1" applyFill="1" applyBorder="1"/>
    <xf numFmtId="172" fontId="37" fillId="0" borderId="15" xfId="0" applyNumberFormat="1" applyFont="1" applyFill="1" applyBorder="1"/>
    <xf numFmtId="0" fontId="11" fillId="0" borderId="17" xfId="66" applyFont="1" applyFill="1" applyBorder="1"/>
    <xf numFmtId="213" fontId="37" fillId="0" borderId="0" xfId="0" applyFont="1" applyFill="1" applyBorder="1"/>
    <xf numFmtId="172" fontId="34" fillId="18" borderId="14" xfId="0" applyNumberFormat="1" applyFont="1" applyFill="1" applyBorder="1"/>
    <xf numFmtId="172" fontId="34" fillId="18" borderId="15" xfId="0" applyNumberFormat="1" applyFont="1" applyFill="1" applyBorder="1"/>
    <xf numFmtId="172" fontId="34" fillId="18" borderId="31" xfId="0" applyNumberFormat="1" applyFont="1" applyFill="1" applyBorder="1"/>
    <xf numFmtId="9" fontId="22" fillId="0" borderId="11" xfId="71" applyFont="1" applyFill="1" applyBorder="1" applyAlignment="1">
      <alignment horizontal="right"/>
    </xf>
    <xf numFmtId="9" fontId="22" fillId="0" borderId="0" xfId="71" applyFont="1" applyFill="1" applyBorder="1" applyAlignment="1">
      <alignment horizontal="right"/>
    </xf>
    <xf numFmtId="9" fontId="22" fillId="0" borderId="13" xfId="71" applyFont="1" applyFill="1" applyBorder="1" applyAlignment="1">
      <alignment horizontal="right"/>
    </xf>
    <xf numFmtId="9" fontId="22" fillId="0" borderId="27" xfId="71" applyFont="1" applyFill="1" applyBorder="1" applyAlignment="1">
      <alignment horizontal="right"/>
    </xf>
    <xf numFmtId="9" fontId="11" fillId="0" borderId="11" xfId="71" applyFont="1" applyFill="1" applyBorder="1" applyAlignment="1">
      <alignment horizontal="right"/>
    </xf>
    <xf numFmtId="9" fontId="11" fillId="0" borderId="0" xfId="71" applyFont="1" applyFill="1" applyBorder="1" applyAlignment="1">
      <alignment horizontal="right"/>
    </xf>
    <xf numFmtId="9" fontId="11" fillId="0" borderId="13" xfId="71" applyFont="1" applyFill="1" applyBorder="1" applyAlignment="1">
      <alignment horizontal="right"/>
    </xf>
    <xf numFmtId="213" fontId="20" fillId="0" borderId="17" xfId="0" applyFont="1" applyFill="1" applyBorder="1" applyAlignment="1">
      <alignment horizontal="right"/>
    </xf>
    <xf numFmtId="9" fontId="22" fillId="0" borderId="18" xfId="71" applyFont="1" applyFill="1" applyBorder="1" applyAlignment="1">
      <alignment horizontal="right"/>
    </xf>
    <xf numFmtId="9" fontId="22" fillId="0" borderId="17" xfId="71" applyFont="1" applyFill="1" applyBorder="1" applyAlignment="1">
      <alignment horizontal="right"/>
    </xf>
    <xf numFmtId="9" fontId="22" fillId="0" borderId="20" xfId="71" applyFont="1" applyFill="1" applyBorder="1" applyAlignment="1">
      <alignment horizontal="right"/>
    </xf>
    <xf numFmtId="9" fontId="22" fillId="0" borderId="26" xfId="71" applyFont="1" applyFill="1" applyBorder="1" applyAlignment="1">
      <alignment horizontal="right"/>
    </xf>
    <xf numFmtId="0" fontId="20" fillId="0" borderId="11" xfId="66" applyFont="1" applyFill="1" applyBorder="1" applyAlignment="1">
      <alignment horizontal="left"/>
    </xf>
    <xf numFmtId="0" fontId="34" fillId="0" borderId="11" xfId="66" applyFont="1" applyFill="1" applyBorder="1" applyAlignment="1">
      <alignment horizontal="left"/>
    </xf>
    <xf numFmtId="0" fontId="20" fillId="0" borderId="18" xfId="66" applyFont="1" applyFill="1" applyBorder="1" applyAlignment="1">
      <alignment horizontal="left"/>
    </xf>
    <xf numFmtId="9" fontId="23" fillId="0" borderId="11" xfId="71" applyFont="1" applyFill="1" applyBorder="1" applyAlignment="1">
      <alignment horizontal="right"/>
    </xf>
    <xf numFmtId="9" fontId="23" fillId="0" borderId="0" xfId="71" applyFont="1" applyFill="1" applyBorder="1" applyAlignment="1">
      <alignment horizontal="right"/>
    </xf>
    <xf numFmtId="9" fontId="23" fillId="0" borderId="13" xfId="71" applyFont="1" applyFill="1" applyBorder="1" applyAlignment="1">
      <alignment horizontal="right"/>
    </xf>
    <xf numFmtId="9" fontId="11" fillId="0" borderId="27" xfId="71" applyFont="1" applyFill="1" applyBorder="1" applyAlignment="1">
      <alignment horizontal="right"/>
    </xf>
    <xf numFmtId="9" fontId="34" fillId="0" borderId="0" xfId="71" applyFont="1" applyFill="1" applyBorder="1" applyAlignment="1">
      <alignment horizontal="right"/>
    </xf>
    <xf numFmtId="167" fontId="23" fillId="0" borderId="11" xfId="71" applyNumberFormat="1" applyFont="1" applyFill="1" applyBorder="1" applyAlignment="1"/>
    <xf numFmtId="167" fontId="11" fillId="0" borderId="0" xfId="71" applyNumberFormat="1" applyFont="1" applyFill="1" applyBorder="1" applyAlignment="1"/>
    <xf numFmtId="8" fontId="22" fillId="0" borderId="13" xfId="0" applyNumberFormat="1" applyFont="1" applyFill="1" applyBorder="1" applyAlignment="1"/>
    <xf numFmtId="167" fontId="11" fillId="0" borderId="11" xfId="71" applyNumberFormat="1" applyFont="1" applyFill="1" applyBorder="1" applyAlignment="1"/>
    <xf numFmtId="167" fontId="11" fillId="0" borderId="27" xfId="71" applyNumberFormat="1" applyFont="1" applyFill="1" applyBorder="1" applyAlignment="1"/>
    <xf numFmtId="9" fontId="22" fillId="0" borderId="13" xfId="71" applyFont="1" applyFill="1" applyBorder="1" applyAlignment="1"/>
    <xf numFmtId="9" fontId="11" fillId="0" borderId="11" xfId="71" applyFont="1" applyFill="1" applyBorder="1" applyAlignment="1"/>
    <xf numFmtId="9" fontId="11" fillId="0" borderId="0" xfId="71" applyFont="1" applyFill="1" applyBorder="1" applyAlignment="1"/>
    <xf numFmtId="9" fontId="11" fillId="0" borderId="27" xfId="71" applyFont="1" applyFill="1" applyBorder="1" applyAlignment="1"/>
    <xf numFmtId="167" fontId="23" fillId="0" borderId="18" xfId="71" applyNumberFormat="1" applyFont="1" applyFill="1" applyBorder="1" applyAlignment="1"/>
    <xf numFmtId="167" fontId="11" fillId="0" borderId="17" xfId="71" applyNumberFormat="1" applyFont="1" applyFill="1" applyBorder="1" applyAlignment="1"/>
    <xf numFmtId="8" fontId="22" fillId="0" borderId="20" xfId="0" applyNumberFormat="1" applyFont="1" applyFill="1" applyBorder="1" applyAlignment="1"/>
    <xf numFmtId="167" fontId="11" fillId="0" borderId="18" xfId="71" applyNumberFormat="1" applyFont="1" applyFill="1" applyBorder="1" applyAlignment="1"/>
    <xf numFmtId="167" fontId="11" fillId="0" borderId="26" xfId="71" applyNumberFormat="1" applyFont="1" applyFill="1" applyBorder="1" applyAlignment="1"/>
    <xf numFmtId="9" fontId="22" fillId="0" borderId="20" xfId="71" applyFont="1" applyFill="1" applyBorder="1" applyAlignment="1"/>
    <xf numFmtId="9" fontId="11" fillId="0" borderId="18" xfId="71" applyFont="1" applyFill="1" applyBorder="1" applyAlignment="1"/>
    <xf numFmtId="9" fontId="11" fillId="0" borderId="17" xfId="71" applyFont="1" applyFill="1" applyBorder="1" applyAlignment="1"/>
    <xf numFmtId="9" fontId="11" fillId="0" borderId="26" xfId="71" applyFont="1" applyFill="1" applyBorder="1" applyAlignment="1"/>
    <xf numFmtId="167" fontId="21" fillId="0" borderId="11" xfId="71" applyNumberFormat="1" applyFont="1" applyFill="1" applyBorder="1" applyAlignment="1" applyProtection="1"/>
    <xf numFmtId="167" fontId="21" fillId="0" borderId="0" xfId="71" applyNumberFormat="1" applyFont="1" applyFill="1" applyBorder="1" applyAlignment="1" applyProtection="1"/>
    <xf numFmtId="167" fontId="21" fillId="0" borderId="27" xfId="71" applyNumberFormat="1" applyFont="1" applyFill="1" applyBorder="1" applyAlignment="1" applyProtection="1"/>
    <xf numFmtId="167" fontId="21" fillId="0" borderId="13" xfId="71" applyNumberFormat="1" applyFont="1" applyFill="1" applyBorder="1" applyAlignment="1" applyProtection="1"/>
    <xf numFmtId="167" fontId="20" fillId="0" borderId="11" xfId="0" applyNumberFormat="1" applyFont="1" applyFill="1" applyBorder="1" applyAlignment="1" applyProtection="1"/>
    <xf numFmtId="167" fontId="20" fillId="0" borderId="0" xfId="0" applyNumberFormat="1" applyFont="1" applyFill="1" applyBorder="1" applyAlignment="1" applyProtection="1"/>
    <xf numFmtId="167" fontId="20" fillId="0" borderId="27" xfId="0" applyNumberFormat="1" applyFont="1" applyFill="1" applyBorder="1" applyAlignment="1" applyProtection="1"/>
    <xf numFmtId="167" fontId="20" fillId="0" borderId="13" xfId="0" applyNumberFormat="1" applyFont="1" applyFill="1" applyBorder="1" applyAlignment="1" applyProtection="1"/>
    <xf numFmtId="7" fontId="55" fillId="0" borderId="11" xfId="0" applyNumberFormat="1" applyFont="1" applyFill="1" applyBorder="1" applyProtection="1"/>
    <xf numFmtId="7" fontId="55" fillId="0" borderId="0" xfId="0" applyNumberFormat="1" applyFont="1" applyFill="1" applyBorder="1" applyProtection="1"/>
    <xf numFmtId="7" fontId="55" fillId="0" borderId="27" xfId="0" applyNumberFormat="1" applyFont="1" applyFill="1" applyBorder="1" applyProtection="1"/>
    <xf numFmtId="7" fontId="55" fillId="0" borderId="13" xfId="0" applyNumberFormat="1" applyFont="1" applyFill="1" applyBorder="1" applyProtection="1"/>
    <xf numFmtId="213" fontId="6" fillId="0" borderId="15" xfId="0" applyFont="1" applyFill="1" applyBorder="1"/>
    <xf numFmtId="172" fontId="34" fillId="0" borderId="0" xfId="0" applyNumberFormat="1" applyFont="1" applyFill="1" applyAlignment="1">
      <alignment horizontal="right"/>
    </xf>
    <xf numFmtId="0" fontId="12" fillId="0" borderId="0" xfId="60" applyFont="1" applyFill="1" applyBorder="1" applyAlignment="1" applyProtection="1">
      <alignment horizontal="left"/>
    </xf>
    <xf numFmtId="199" fontId="6" fillId="0" borderId="17" xfId="0" applyNumberFormat="1" applyFont="1" applyFill="1" applyBorder="1"/>
    <xf numFmtId="172" fontId="6" fillId="0" borderId="0" xfId="0" applyNumberFormat="1" applyFont="1"/>
    <xf numFmtId="182" fontId="6" fillId="0" borderId="0" xfId="0" applyNumberFormat="1" applyFont="1"/>
    <xf numFmtId="169" fontId="23" fillId="0" borderId="27" xfId="0" applyNumberFormat="1" applyFont="1" applyFill="1" applyBorder="1" applyProtection="1"/>
    <xf numFmtId="172" fontId="23" fillId="0" borderId="13" xfId="0" applyNumberFormat="1" applyFont="1" applyFill="1" applyBorder="1" applyProtection="1"/>
    <xf numFmtId="172" fontId="49" fillId="0" borderId="11" xfId="0" applyNumberFormat="1" applyFont="1" applyFill="1" applyBorder="1" applyAlignment="1">
      <alignment horizontal="right"/>
    </xf>
    <xf numFmtId="172" fontId="49" fillId="0" borderId="27" xfId="0" applyNumberFormat="1" applyFont="1" applyFill="1" applyBorder="1" applyAlignment="1">
      <alignment horizontal="right"/>
    </xf>
    <xf numFmtId="172" fontId="83" fillId="0" borderId="11" xfId="0" applyNumberFormat="1" applyFont="1" applyFill="1" applyBorder="1" applyAlignment="1" applyProtection="1">
      <alignment horizontal="right"/>
    </xf>
    <xf numFmtId="172" fontId="83" fillId="0" borderId="0" xfId="0" applyNumberFormat="1" applyFont="1" applyFill="1" applyBorder="1" applyAlignment="1" applyProtection="1">
      <alignment horizontal="right"/>
    </xf>
    <xf numFmtId="172" fontId="83" fillId="0" borderId="27" xfId="0" applyNumberFormat="1" applyFont="1" applyFill="1" applyBorder="1" applyAlignment="1" applyProtection="1">
      <alignment horizontal="right"/>
    </xf>
    <xf numFmtId="182" fontId="14" fillId="0" borderId="0" xfId="0" applyNumberFormat="1" applyFont="1" applyBorder="1"/>
    <xf numFmtId="0" fontId="81" fillId="0" borderId="0" xfId="60" applyFont="1" applyFill="1" applyBorder="1" applyAlignment="1" applyProtection="1">
      <alignment horizontal="left"/>
    </xf>
    <xf numFmtId="10" fontId="6" fillId="0" borderId="0" xfId="0" applyNumberFormat="1" applyFont="1" applyFill="1" applyBorder="1"/>
    <xf numFmtId="213" fontId="6" fillId="0" borderId="11" xfId="0" applyFont="1" applyBorder="1"/>
    <xf numFmtId="172" fontId="14" fillId="0" borderId="11" xfId="0" applyNumberFormat="1" applyFont="1" applyBorder="1"/>
    <xf numFmtId="172" fontId="14" fillId="0" borderId="0" xfId="0" applyNumberFormat="1" applyFont="1" applyBorder="1"/>
    <xf numFmtId="182" fontId="6" fillId="0" borderId="0" xfId="0" applyNumberFormat="1" applyFont="1" applyBorder="1"/>
    <xf numFmtId="182" fontId="6" fillId="0" borderId="11" xfId="0" applyNumberFormat="1" applyFont="1" applyBorder="1"/>
    <xf numFmtId="172" fontId="6" fillId="0" borderId="18" xfId="0" applyNumberFormat="1" applyFont="1" applyBorder="1"/>
    <xf numFmtId="172" fontId="6" fillId="0" borderId="17" xfId="0" applyNumberFormat="1" applyFont="1" applyBorder="1"/>
    <xf numFmtId="213" fontId="6" fillId="0" borderId="13" xfId="0" applyFont="1" applyBorder="1"/>
    <xf numFmtId="182" fontId="6" fillId="0" borderId="13" xfId="0" applyNumberFormat="1" applyFont="1" applyBorder="1"/>
    <xf numFmtId="172" fontId="6" fillId="0" borderId="20" xfId="0" applyNumberFormat="1" applyFont="1" applyBorder="1"/>
    <xf numFmtId="213" fontId="20" fillId="0" borderId="28" xfId="0" applyFont="1" applyFill="1" applyBorder="1"/>
    <xf numFmtId="206" fontId="6" fillId="0" borderId="12" xfId="0" applyNumberFormat="1" applyFont="1" applyFill="1" applyBorder="1"/>
    <xf numFmtId="14" fontId="6" fillId="0" borderId="12" xfId="0" applyNumberFormat="1" applyFont="1" applyFill="1" applyBorder="1"/>
    <xf numFmtId="213" fontId="6" fillId="0" borderId="28" xfId="0" applyFont="1" applyBorder="1"/>
    <xf numFmtId="213" fontId="6" fillId="0" borderId="19" xfId="0" applyFont="1" applyBorder="1"/>
    <xf numFmtId="213" fontId="6" fillId="0" borderId="11" xfId="0" applyFont="1" applyFill="1" applyBorder="1" applyAlignment="1">
      <alignment horizontal="left" indent="1"/>
    </xf>
    <xf numFmtId="172" fontId="14" fillId="0" borderId="17" xfId="0" applyNumberFormat="1" applyFont="1" applyBorder="1"/>
    <xf numFmtId="172" fontId="14" fillId="0" borderId="18" xfId="0" applyNumberFormat="1" applyFont="1" applyBorder="1"/>
    <xf numFmtId="182" fontId="14" fillId="0" borderId="17" xfId="0" applyNumberFormat="1" applyFont="1" applyBorder="1"/>
    <xf numFmtId="10" fontId="6" fillId="0" borderId="12" xfId="0" applyNumberFormat="1" applyFont="1" applyFill="1" applyBorder="1"/>
    <xf numFmtId="14" fontId="6" fillId="0" borderId="12" xfId="0" applyNumberFormat="1" applyFont="1" applyBorder="1" applyAlignment="1">
      <alignment horizontal="center"/>
    </xf>
    <xf numFmtId="178" fontId="6" fillId="0" borderId="12" xfId="0" applyNumberFormat="1" applyFont="1" applyBorder="1" applyAlignment="1">
      <alignment horizontal="center"/>
    </xf>
    <xf numFmtId="14" fontId="6" fillId="0" borderId="28" xfId="0" applyNumberFormat="1" applyFont="1" applyBorder="1" applyAlignment="1">
      <alignment horizontal="center"/>
    </xf>
    <xf numFmtId="178" fontId="6" fillId="0" borderId="19" xfId="0" applyNumberFormat="1" applyFont="1" applyBorder="1" applyAlignment="1">
      <alignment horizontal="center"/>
    </xf>
    <xf numFmtId="213" fontId="6" fillId="0" borderId="14" xfId="0" applyFont="1" applyFill="1" applyBorder="1"/>
    <xf numFmtId="7" fontId="6" fillId="0" borderId="15" xfId="0" applyNumberFormat="1" applyFont="1" applyBorder="1"/>
    <xf numFmtId="213" fontId="6" fillId="0" borderId="15" xfId="0" applyFont="1" applyBorder="1"/>
    <xf numFmtId="7" fontId="6" fillId="0" borderId="14" xfId="0" applyNumberFormat="1" applyFont="1" applyBorder="1"/>
    <xf numFmtId="7" fontId="6" fillId="0" borderId="31" xfId="0" applyNumberFormat="1" applyFont="1" applyBorder="1"/>
    <xf numFmtId="182" fontId="6" fillId="0" borderId="19" xfId="0" applyNumberFormat="1" applyFont="1" applyBorder="1"/>
    <xf numFmtId="182" fontId="6" fillId="0" borderId="17" xfId="0" applyNumberFormat="1" applyFont="1" applyBorder="1"/>
    <xf numFmtId="213" fontId="6" fillId="0" borderId="20" xfId="0" applyFont="1" applyBorder="1"/>
    <xf numFmtId="167" fontId="14" fillId="0" borderId="18" xfId="71" applyNumberFormat="1" applyFont="1" applyBorder="1"/>
    <xf numFmtId="182" fontId="14" fillId="0" borderId="11" xfId="0" applyNumberFormat="1" applyFont="1" applyBorder="1"/>
    <xf numFmtId="182" fontId="14" fillId="0" borderId="18" xfId="0" applyNumberFormat="1" applyFont="1" applyBorder="1"/>
    <xf numFmtId="0" fontId="29" fillId="0" borderId="0" xfId="59" applyFont="1" applyFill="1" applyBorder="1" applyAlignment="1" applyProtection="1">
      <alignment horizontal="left"/>
    </xf>
    <xf numFmtId="213" fontId="6" fillId="0" borderId="0" xfId="0" applyFont="1" applyProtection="1"/>
    <xf numFmtId="0" fontId="20" fillId="0" borderId="0" xfId="59" applyFont="1" applyFill="1" applyBorder="1" applyAlignment="1" applyProtection="1">
      <alignment horizontal="left"/>
    </xf>
    <xf numFmtId="168" fontId="6" fillId="0" borderId="0" xfId="0" applyNumberFormat="1" applyFont="1" applyFill="1" applyBorder="1" applyProtection="1"/>
    <xf numFmtId="168" fontId="6" fillId="0" borderId="11" xfId="0" applyNumberFormat="1" applyFont="1" applyFill="1" applyBorder="1" applyProtection="1"/>
    <xf numFmtId="213" fontId="20" fillId="0" borderId="11" xfId="0" applyFont="1" applyFill="1" applyBorder="1" applyProtection="1"/>
    <xf numFmtId="213" fontId="12" fillId="0" borderId="11" xfId="0" applyFont="1" applyFill="1" applyBorder="1" applyProtection="1"/>
    <xf numFmtId="213" fontId="12" fillId="0" borderId="0" xfId="0" applyFont="1" applyFill="1" applyBorder="1" applyProtection="1"/>
    <xf numFmtId="213" fontId="12" fillId="0" borderId="0" xfId="0" applyFont="1" applyProtection="1"/>
    <xf numFmtId="213" fontId="27" fillId="0" borderId="11" xfId="0" applyFont="1" applyFill="1" applyBorder="1" applyProtection="1"/>
    <xf numFmtId="213" fontId="27" fillId="0" borderId="0" xfId="0" applyFont="1" applyFill="1" applyBorder="1" applyProtection="1"/>
    <xf numFmtId="213" fontId="34" fillId="0" borderId="11" xfId="0" applyFont="1" applyFill="1" applyBorder="1" applyProtection="1"/>
    <xf numFmtId="213" fontId="6" fillId="0" borderId="27" xfId="0" applyFont="1" applyFill="1" applyBorder="1" applyProtection="1"/>
    <xf numFmtId="213" fontId="6" fillId="0" borderId="13" xfId="0" applyFont="1" applyFill="1" applyBorder="1" applyAlignment="1" applyProtection="1">
      <alignment horizontal="center"/>
    </xf>
    <xf numFmtId="213" fontId="6" fillId="0" borderId="0" xfId="0" applyFont="1" applyFill="1" applyAlignment="1" applyProtection="1">
      <alignment horizontal="center"/>
    </xf>
    <xf numFmtId="213" fontId="6" fillId="0" borderId="11" xfId="0" applyFont="1" applyFill="1" applyBorder="1" applyAlignment="1" applyProtection="1">
      <alignment horizontal="center"/>
    </xf>
    <xf numFmtId="213" fontId="6" fillId="0" borderId="27" xfId="0" applyFont="1" applyFill="1" applyBorder="1" applyAlignment="1" applyProtection="1">
      <alignment horizontal="center"/>
    </xf>
    <xf numFmtId="213" fontId="6" fillId="0" borderId="13" xfId="0" applyFont="1" applyFill="1" applyBorder="1" applyProtection="1"/>
    <xf numFmtId="167" fontId="6" fillId="0" borderId="11" xfId="0" applyNumberFormat="1" applyFont="1" applyFill="1" applyBorder="1" applyProtection="1"/>
    <xf numFmtId="177" fontId="6" fillId="0" borderId="11" xfId="0" applyNumberFormat="1" applyFont="1" applyFill="1" applyBorder="1" applyProtection="1"/>
    <xf numFmtId="177" fontId="6" fillId="0" borderId="0" xfId="0" applyNumberFormat="1" applyFont="1" applyFill="1" applyBorder="1" applyProtection="1"/>
    <xf numFmtId="43" fontId="6" fillId="0" borderId="11" xfId="38" applyFont="1" applyFill="1" applyBorder="1" applyProtection="1"/>
    <xf numFmtId="9" fontId="6" fillId="0" borderId="11" xfId="71" applyFont="1" applyFill="1" applyBorder="1" applyProtection="1"/>
    <xf numFmtId="213" fontId="6" fillId="0" borderId="12" xfId="0" applyFont="1" applyFill="1" applyBorder="1" applyProtection="1"/>
    <xf numFmtId="7" fontId="6" fillId="0" borderId="0" xfId="0" applyNumberFormat="1" applyFont="1" applyFill="1" applyProtection="1"/>
    <xf numFmtId="0" fontId="20" fillId="0" borderId="17" xfId="59" applyFont="1" applyFill="1" applyBorder="1" applyAlignment="1" applyProtection="1">
      <alignment horizontal="left"/>
    </xf>
    <xf numFmtId="213" fontId="34" fillId="0" borderId="29" xfId="0" applyFont="1" applyFill="1" applyBorder="1"/>
    <xf numFmtId="43" fontId="34" fillId="0" borderId="29" xfId="0" applyNumberFormat="1" applyFont="1" applyFill="1" applyBorder="1"/>
    <xf numFmtId="166" fontId="34" fillId="0" borderId="29" xfId="0" applyNumberFormat="1" applyFont="1" applyFill="1" applyBorder="1"/>
    <xf numFmtId="9" fontId="34" fillId="0" borderId="29" xfId="71" applyFont="1" applyFill="1" applyBorder="1"/>
    <xf numFmtId="43" fontId="34" fillId="0" borderId="0" xfId="0" applyNumberFormat="1" applyFont="1" applyFill="1" applyBorder="1"/>
    <xf numFmtId="166" fontId="34" fillId="0" borderId="0" xfId="0" applyNumberFormat="1" applyFont="1" applyFill="1" applyBorder="1"/>
    <xf numFmtId="9" fontId="34" fillId="0" borderId="0" xfId="71" applyFont="1" applyFill="1" applyBorder="1"/>
    <xf numFmtId="213" fontId="20" fillId="18" borderId="0" xfId="0" applyFont="1" applyFill="1" applyBorder="1" applyAlignment="1">
      <alignment horizontal="center"/>
    </xf>
    <xf numFmtId="213" fontId="20" fillId="0" borderId="0" xfId="0" applyFont="1" applyAlignment="1">
      <alignment horizontal="center"/>
    </xf>
    <xf numFmtId="200" fontId="20" fillId="0" borderId="14" xfId="0" applyNumberFormat="1" applyFont="1" applyFill="1" applyBorder="1" applyAlignment="1">
      <alignment horizontal="centerContinuous"/>
    </xf>
    <xf numFmtId="182" fontId="20" fillId="0" borderId="15" xfId="0" applyNumberFormat="1" applyFont="1" applyFill="1" applyBorder="1" applyAlignment="1">
      <alignment horizontal="centerContinuous"/>
    </xf>
    <xf numFmtId="200" fontId="20" fillId="0" borderId="19" xfId="0" applyNumberFormat="1" applyFont="1" applyFill="1" applyBorder="1" applyAlignment="1">
      <alignment horizontal="center"/>
    </xf>
    <xf numFmtId="182" fontId="20" fillId="0" borderId="16" xfId="0" applyNumberFormat="1" applyFont="1" applyFill="1" applyBorder="1" applyAlignment="1">
      <alignment horizontal="centerContinuous"/>
    </xf>
    <xf numFmtId="184" fontId="20" fillId="0" borderId="0" xfId="0" applyNumberFormat="1" applyFont="1" applyFill="1" applyBorder="1" applyAlignment="1">
      <alignment horizontal="right"/>
    </xf>
    <xf numFmtId="201" fontId="20" fillId="0" borderId="14" xfId="0" applyNumberFormat="1" applyFont="1" applyFill="1" applyBorder="1" applyAlignment="1">
      <alignment horizontal="centerContinuous"/>
    </xf>
    <xf numFmtId="201" fontId="20" fillId="0" borderId="19" xfId="0" applyNumberFormat="1" applyFont="1" applyFill="1" applyBorder="1" applyAlignment="1">
      <alignment horizontal="center"/>
    </xf>
    <xf numFmtId="213" fontId="20" fillId="0" borderId="0" xfId="0" applyFont="1" applyFill="1" applyAlignment="1">
      <alignment horizontal="center"/>
    </xf>
    <xf numFmtId="171" fontId="30" fillId="17" borderId="32" xfId="0" applyNumberFormat="1" applyFont="1" applyFill="1" applyBorder="1" applyAlignment="1">
      <alignment horizontal="center"/>
    </xf>
    <xf numFmtId="171" fontId="30" fillId="17" borderId="33" xfId="0" applyNumberFormat="1" applyFont="1" applyFill="1" applyBorder="1" applyAlignment="1">
      <alignment horizontal="center"/>
    </xf>
    <xf numFmtId="171" fontId="20" fillId="0" borderId="34" xfId="0" applyNumberFormat="1" applyFont="1" applyFill="1" applyBorder="1" applyAlignment="1">
      <alignment horizontal="right"/>
    </xf>
    <xf numFmtId="171" fontId="30" fillId="17" borderId="35" xfId="0" applyNumberFormat="1" applyFont="1" applyFill="1" applyBorder="1" applyAlignment="1">
      <alignment horizontal="center"/>
    </xf>
    <xf numFmtId="171" fontId="20" fillId="0" borderId="22" xfId="0" applyNumberFormat="1" applyFont="1" applyFill="1" applyBorder="1" applyAlignment="1">
      <alignment horizontal="right"/>
    </xf>
    <xf numFmtId="171" fontId="20" fillId="0" borderId="33" xfId="0" applyNumberFormat="1" applyFont="1" applyFill="1" applyBorder="1" applyAlignment="1">
      <alignment horizontal="center"/>
    </xf>
    <xf numFmtId="171" fontId="20" fillId="0" borderId="32" xfId="0" applyNumberFormat="1" applyFont="1" applyFill="1" applyBorder="1" applyAlignment="1">
      <alignment horizontal="center"/>
    </xf>
    <xf numFmtId="171" fontId="20" fillId="0" borderId="35" xfId="0" applyNumberFormat="1" applyFont="1" applyFill="1" applyBorder="1" applyAlignment="1">
      <alignment horizontal="center"/>
    </xf>
    <xf numFmtId="0" fontId="30" fillId="17" borderId="14" xfId="66" applyFont="1" applyFill="1" applyBorder="1" applyAlignment="1">
      <alignment vertical="center"/>
    </xf>
    <xf numFmtId="213" fontId="34" fillId="17" borderId="15" xfId="0" applyFont="1" applyFill="1" applyBorder="1"/>
    <xf numFmtId="213" fontId="34" fillId="17" borderId="14" xfId="0" applyFont="1" applyFill="1" applyBorder="1"/>
    <xf numFmtId="213" fontId="37" fillId="17" borderId="31" xfId="0" applyFont="1" applyFill="1" applyBorder="1"/>
    <xf numFmtId="213" fontId="34" fillId="17" borderId="16" xfId="0" applyFont="1" applyFill="1" applyBorder="1"/>
    <xf numFmtId="172" fontId="34" fillId="0" borderId="11" xfId="0" applyNumberFormat="1" applyFont="1" applyFill="1" applyBorder="1" applyAlignment="1">
      <alignment horizontal="left"/>
    </xf>
    <xf numFmtId="172" fontId="37" fillId="0" borderId="11" xfId="0" applyNumberFormat="1" applyFont="1" applyFill="1" applyBorder="1" applyAlignment="1">
      <alignment horizontal="right"/>
    </xf>
    <xf numFmtId="172" fontId="37" fillId="0" borderId="0" xfId="0" applyNumberFormat="1" applyFont="1" applyFill="1" applyBorder="1" applyAlignment="1">
      <alignment horizontal="right"/>
    </xf>
    <xf numFmtId="172" fontId="34" fillId="0" borderId="27" xfId="0" applyNumberFormat="1" applyFont="1" applyFill="1" applyBorder="1" applyAlignment="1">
      <alignment horizontal="right"/>
    </xf>
    <xf numFmtId="172" fontId="34" fillId="0" borderId="0" xfId="0" applyNumberFormat="1" applyFont="1" applyFill="1" applyBorder="1" applyAlignment="1">
      <alignment horizontal="center"/>
    </xf>
    <xf numFmtId="172" fontId="27" fillId="0" borderId="11" xfId="66" applyNumberFormat="1" applyFont="1" applyFill="1" applyBorder="1" applyAlignment="1">
      <alignment horizontal="left"/>
    </xf>
    <xf numFmtId="205" fontId="27" fillId="0" borderId="11" xfId="0" applyNumberFormat="1" applyFont="1" applyFill="1" applyBorder="1" applyAlignment="1">
      <alignment horizontal="right"/>
    </xf>
    <xf numFmtId="204" fontId="27" fillId="0" borderId="0" xfId="0" applyNumberFormat="1" applyFont="1" applyFill="1" applyBorder="1" applyAlignment="1">
      <alignment horizontal="right"/>
    </xf>
    <xf numFmtId="204" fontId="27" fillId="0" borderId="13" xfId="0" applyNumberFormat="1" applyFont="1" applyFill="1" applyBorder="1" applyAlignment="1">
      <alignment horizontal="right"/>
    </xf>
    <xf numFmtId="204" fontId="27" fillId="0" borderId="11" xfId="0" applyNumberFormat="1" applyFont="1" applyFill="1" applyBorder="1" applyAlignment="1">
      <alignment horizontal="right"/>
    </xf>
    <xf numFmtId="204" fontId="27" fillId="0" borderId="27" xfId="0" applyNumberFormat="1" applyFont="1" applyFill="1" applyBorder="1" applyAlignment="1">
      <alignment horizontal="right"/>
    </xf>
    <xf numFmtId="168" fontId="34" fillId="0" borderId="11" xfId="66" applyNumberFormat="1" applyFont="1" applyFill="1" applyBorder="1" applyAlignment="1">
      <alignment horizontal="left"/>
    </xf>
    <xf numFmtId="168" fontId="34" fillId="0" borderId="0" xfId="0" applyNumberFormat="1" applyFont="1" applyFill="1" applyBorder="1" applyAlignment="1">
      <alignment horizontal="center"/>
    </xf>
    <xf numFmtId="168" fontId="20" fillId="0" borderId="0" xfId="0" applyNumberFormat="1" applyFont="1" applyFill="1" applyBorder="1" applyAlignment="1">
      <alignment horizontal="center"/>
    </xf>
    <xf numFmtId="176" fontId="28" fillId="0" borderId="17" xfId="38" applyNumberFormat="1" applyFont="1" applyFill="1" applyBorder="1"/>
    <xf numFmtId="176" fontId="37" fillId="0" borderId="17" xfId="38" applyNumberFormat="1" applyFont="1" applyFill="1" applyBorder="1"/>
    <xf numFmtId="176" fontId="28" fillId="0" borderId="0" xfId="38" applyNumberFormat="1" applyFont="1" applyFill="1" applyBorder="1"/>
    <xf numFmtId="176" fontId="28" fillId="0" borderId="0" xfId="38" applyNumberFormat="1" applyFont="1" applyFill="1" applyBorder="1" applyAlignment="1">
      <alignment horizontal="center"/>
    </xf>
    <xf numFmtId="176" fontId="37" fillId="0" borderId="17" xfId="38" applyNumberFormat="1" applyFont="1" applyFill="1" applyBorder="1" applyAlignment="1">
      <alignment horizontal="center"/>
    </xf>
    <xf numFmtId="176" fontId="28" fillId="0" borderId="17" xfId="38" applyNumberFormat="1" applyFont="1" applyFill="1" applyBorder="1" applyAlignment="1">
      <alignment horizontal="center"/>
    </xf>
    <xf numFmtId="168" fontId="28" fillId="0" borderId="0" xfId="40" applyNumberFormat="1" applyFont="1" applyFill="1" applyBorder="1"/>
    <xf numFmtId="168" fontId="28" fillId="0" borderId="17" xfId="40" applyNumberFormat="1" applyFont="1" applyFill="1" applyBorder="1"/>
    <xf numFmtId="168" fontId="28" fillId="0" borderId="0" xfId="0" applyNumberFormat="1" applyFont="1" applyFill="1" applyBorder="1"/>
    <xf numFmtId="176" fontId="37" fillId="0" borderId="0" xfId="38" applyNumberFormat="1" applyFont="1" applyFill="1" applyBorder="1"/>
    <xf numFmtId="213" fontId="34" fillId="17" borderId="31" xfId="0" applyFont="1" applyFill="1" applyBorder="1"/>
    <xf numFmtId="213" fontId="34" fillId="17" borderId="28" xfId="0" applyFont="1" applyFill="1" applyBorder="1"/>
    <xf numFmtId="213" fontId="34" fillId="17" borderId="12" xfId="0" applyFont="1" applyFill="1" applyBorder="1"/>
    <xf numFmtId="213" fontId="34" fillId="17" borderId="19" xfId="0" applyFont="1" applyFill="1" applyBorder="1"/>
    <xf numFmtId="213" fontId="34" fillId="17" borderId="30" xfId="0" applyFont="1" applyFill="1" applyBorder="1"/>
    <xf numFmtId="168" fontId="34" fillId="0" borderId="11" xfId="66" applyNumberFormat="1" applyFont="1" applyFill="1" applyBorder="1" applyAlignment="1">
      <alignment horizontal="left" indent="1"/>
    </xf>
    <xf numFmtId="168" fontId="37" fillId="0" borderId="27" xfId="40" applyNumberFormat="1" applyFont="1" applyFill="1" applyBorder="1"/>
    <xf numFmtId="37" fontId="34" fillId="0" borderId="11" xfId="66" applyNumberFormat="1" applyFont="1" applyFill="1" applyBorder="1" applyAlignment="1">
      <alignment horizontal="left" indent="1"/>
    </xf>
    <xf numFmtId="172" fontId="34" fillId="0" borderId="17" xfId="0" applyNumberFormat="1" applyFont="1" applyFill="1" applyBorder="1"/>
    <xf numFmtId="172" fontId="34" fillId="0" borderId="20" xfId="0" applyNumberFormat="1" applyFont="1" applyFill="1" applyBorder="1"/>
    <xf numFmtId="172" fontId="34" fillId="0" borderId="26" xfId="0" applyNumberFormat="1" applyFont="1" applyFill="1" applyBorder="1"/>
    <xf numFmtId="172" fontId="37" fillId="0" borderId="13" xfId="0" applyNumberFormat="1" applyFont="1" applyFill="1" applyBorder="1"/>
    <xf numFmtId="166" fontId="37" fillId="0" borderId="11" xfId="0" applyNumberFormat="1" applyFont="1" applyFill="1" applyBorder="1"/>
    <xf numFmtId="166" fontId="37" fillId="0" borderId="0" xfId="0" applyNumberFormat="1" applyFont="1" applyFill="1" applyBorder="1"/>
    <xf numFmtId="166" fontId="37" fillId="0" borderId="13" xfId="0" applyNumberFormat="1" applyFont="1" applyFill="1" applyBorder="1"/>
    <xf numFmtId="180" fontId="37" fillId="0" borderId="11" xfId="0" applyNumberFormat="1" applyFont="1" applyFill="1" applyBorder="1"/>
    <xf numFmtId="180" fontId="37" fillId="0" borderId="0" xfId="0" applyNumberFormat="1" applyFont="1" applyFill="1" applyBorder="1"/>
    <xf numFmtId="180" fontId="34" fillId="0" borderId="0" xfId="0" applyNumberFormat="1" applyFont="1" applyFill="1" applyBorder="1"/>
    <xf numFmtId="166" fontId="34" fillId="0" borderId="11" xfId="0" applyNumberFormat="1" applyFont="1" applyFill="1" applyBorder="1"/>
    <xf numFmtId="172" fontId="23" fillId="0" borderId="13" xfId="0" applyNumberFormat="1" applyFont="1" applyFill="1" applyBorder="1"/>
    <xf numFmtId="0" fontId="27" fillId="0" borderId="0" xfId="66" applyFont="1" applyFill="1" applyBorder="1"/>
    <xf numFmtId="166" fontId="20" fillId="0" borderId="0" xfId="0" applyNumberFormat="1" applyFont="1" applyFill="1" applyBorder="1"/>
    <xf numFmtId="180" fontId="20" fillId="0" borderId="0" xfId="0" applyNumberFormat="1" applyFont="1" applyFill="1" applyBorder="1"/>
    <xf numFmtId="167" fontId="20" fillId="0" borderId="0" xfId="0" applyNumberFormat="1" applyFont="1" applyFill="1" applyBorder="1"/>
    <xf numFmtId="181" fontId="20" fillId="0" borderId="0" xfId="0" applyNumberFormat="1" applyFont="1" applyFill="1" applyBorder="1"/>
    <xf numFmtId="9" fontId="20" fillId="0" borderId="0" xfId="71" applyFont="1" applyFill="1" applyBorder="1"/>
    <xf numFmtId="213" fontId="37" fillId="17" borderId="16" xfId="0" applyFont="1" applyFill="1" applyBorder="1"/>
    <xf numFmtId="168" fontId="34" fillId="0" borderId="0" xfId="38" applyNumberFormat="1" applyFont="1" applyFill="1" applyBorder="1"/>
    <xf numFmtId="168" fontId="34" fillId="0" borderId="11" xfId="66" applyNumberFormat="1" applyFont="1" applyFill="1" applyBorder="1" applyAlignment="1">
      <alignment horizontal="left" indent="2"/>
    </xf>
    <xf numFmtId="172" fontId="34" fillId="0" borderId="11" xfId="66" applyNumberFormat="1" applyFont="1" applyFill="1" applyBorder="1" applyAlignment="1">
      <alignment horizontal="left" indent="2"/>
    </xf>
    <xf numFmtId="37" fontId="37" fillId="0" borderId="13" xfId="0" applyNumberFormat="1" applyFont="1" applyFill="1" applyBorder="1"/>
    <xf numFmtId="37" fontId="34" fillId="0" borderId="17" xfId="0" applyNumberFormat="1" applyFont="1" applyFill="1" applyBorder="1"/>
    <xf numFmtId="37" fontId="34" fillId="0" borderId="18" xfId="0" applyNumberFormat="1" applyFont="1" applyFill="1" applyBorder="1"/>
    <xf numFmtId="37" fontId="34" fillId="0" borderId="20" xfId="0" applyNumberFormat="1" applyFont="1" applyFill="1" applyBorder="1"/>
    <xf numFmtId="172" fontId="34" fillId="0" borderId="18" xfId="66" applyNumberFormat="1" applyFont="1" applyFill="1" applyBorder="1" applyAlignment="1">
      <alignment horizontal="left" indent="2"/>
    </xf>
    <xf numFmtId="37" fontId="37" fillId="0" borderId="18" xfId="0" applyNumberFormat="1" applyFont="1" applyFill="1" applyBorder="1"/>
    <xf numFmtId="37" fontId="37" fillId="0" borderId="17" xfId="0" applyNumberFormat="1" applyFont="1" applyFill="1" applyBorder="1"/>
    <xf numFmtId="172" fontId="34" fillId="0" borderId="11" xfId="66" applyNumberFormat="1" applyFont="1" applyFill="1" applyBorder="1" applyAlignment="1">
      <alignment horizontal="left" indent="3"/>
    </xf>
    <xf numFmtId="37" fontId="34" fillId="0" borderId="18" xfId="66" applyNumberFormat="1" applyFont="1" applyFill="1" applyBorder="1" applyAlignment="1">
      <alignment horizontal="left" indent="4"/>
    </xf>
    <xf numFmtId="172" fontId="34" fillId="0" borderId="0" xfId="71" applyNumberFormat="1" applyFont="1" applyFill="1" applyBorder="1"/>
    <xf numFmtId="168" fontId="54" fillId="0" borderId="11" xfId="0" applyNumberFormat="1" applyFont="1" applyFill="1" applyBorder="1"/>
    <xf numFmtId="168" fontId="54" fillId="0" borderId="0" xfId="0" applyNumberFormat="1" applyFont="1" applyFill="1" applyBorder="1"/>
    <xf numFmtId="0" fontId="30" fillId="17" borderId="11" xfId="66" applyFont="1" applyFill="1" applyBorder="1"/>
    <xf numFmtId="213" fontId="33" fillId="17" borderId="0" xfId="0" applyFont="1" applyFill="1" applyBorder="1"/>
    <xf numFmtId="166" fontId="33" fillId="17" borderId="11" xfId="0" applyNumberFormat="1" applyFont="1" applyFill="1" applyBorder="1"/>
    <xf numFmtId="166" fontId="33" fillId="17" borderId="0" xfId="0" applyNumberFormat="1" applyFont="1" applyFill="1" applyBorder="1"/>
    <xf numFmtId="166" fontId="33" fillId="17" borderId="13" xfId="0" applyNumberFormat="1" applyFont="1" applyFill="1" applyBorder="1"/>
    <xf numFmtId="9" fontId="33" fillId="17" borderId="0" xfId="71" applyFont="1" applyFill="1" applyBorder="1"/>
    <xf numFmtId="9" fontId="33" fillId="17" borderId="13" xfId="0" applyNumberFormat="1" applyFont="1" applyFill="1" applyBorder="1"/>
    <xf numFmtId="213" fontId="33" fillId="17" borderId="11" xfId="0" applyFont="1" applyFill="1" applyBorder="1"/>
    <xf numFmtId="213" fontId="33" fillId="17" borderId="13" xfId="0" applyFont="1" applyFill="1" applyBorder="1"/>
    <xf numFmtId="181" fontId="33" fillId="17" borderId="0" xfId="0" applyNumberFormat="1" applyFont="1" applyFill="1" applyBorder="1"/>
    <xf numFmtId="172" fontId="34" fillId="0" borderId="12" xfId="71" applyNumberFormat="1" applyFont="1" applyFill="1" applyBorder="1"/>
    <xf numFmtId="172" fontId="37" fillId="0" borderId="19" xfId="0" applyNumberFormat="1" applyFont="1" applyFill="1" applyBorder="1"/>
    <xf numFmtId="180" fontId="20" fillId="0" borderId="17" xfId="0" applyNumberFormat="1" applyFont="1" applyFill="1" applyBorder="1"/>
    <xf numFmtId="168" fontId="20" fillId="0" borderId="15" xfId="66" applyNumberFormat="1" applyFont="1" applyFill="1" applyBorder="1"/>
    <xf numFmtId="168" fontId="20" fillId="18" borderId="14" xfId="66" applyNumberFormat="1" applyFont="1" applyFill="1" applyBorder="1"/>
    <xf numFmtId="168" fontId="20" fillId="18" borderId="15" xfId="0" applyNumberFormat="1" applyFont="1" applyFill="1" applyBorder="1"/>
    <xf numFmtId="168" fontId="20" fillId="18" borderId="14" xfId="0" applyNumberFormat="1" applyFont="1" applyFill="1" applyBorder="1"/>
    <xf numFmtId="168" fontId="20" fillId="18" borderId="31" xfId="0" applyNumberFormat="1" applyFont="1" applyFill="1" applyBorder="1"/>
    <xf numFmtId="168" fontId="20" fillId="0" borderId="0" xfId="66" applyNumberFormat="1" applyFont="1" applyFill="1" applyBorder="1"/>
    <xf numFmtId="168" fontId="20" fillId="18" borderId="16" xfId="0" applyNumberFormat="1" applyFont="1" applyFill="1" applyBorder="1"/>
    <xf numFmtId="43" fontId="25" fillId="0" borderId="0" xfId="38" applyFont="1" applyFill="1" applyBorder="1"/>
    <xf numFmtId="43" fontId="34" fillId="0" borderId="0" xfId="38" applyFont="1" applyFill="1" applyBorder="1"/>
    <xf numFmtId="0" fontId="30" fillId="17" borderId="28" xfId="66" applyFont="1" applyFill="1" applyBorder="1"/>
    <xf numFmtId="213" fontId="30" fillId="17" borderId="12" xfId="0" applyFont="1" applyFill="1" applyBorder="1"/>
    <xf numFmtId="168" fontId="30" fillId="17" borderId="28" xfId="0" applyNumberFormat="1" applyFont="1" applyFill="1" applyBorder="1"/>
    <xf numFmtId="168" fontId="30" fillId="17" borderId="12" xfId="0" applyNumberFormat="1" applyFont="1" applyFill="1" applyBorder="1"/>
    <xf numFmtId="8" fontId="84" fillId="17" borderId="19" xfId="0" applyNumberFormat="1" applyFont="1" applyFill="1" applyBorder="1"/>
    <xf numFmtId="168" fontId="84" fillId="17" borderId="28" xfId="38" applyNumberFormat="1" applyFont="1" applyFill="1" applyBorder="1"/>
    <xf numFmtId="168" fontId="84" fillId="17" borderId="12" xfId="38" applyNumberFormat="1" applyFont="1" applyFill="1" applyBorder="1"/>
    <xf numFmtId="9" fontId="30" fillId="17" borderId="12" xfId="0" applyNumberFormat="1" applyFont="1" applyFill="1" applyBorder="1"/>
    <xf numFmtId="5" fontId="84" fillId="17" borderId="12" xfId="38" applyNumberFormat="1" applyFont="1" applyFill="1" applyBorder="1"/>
    <xf numFmtId="5" fontId="84" fillId="17" borderId="19" xfId="38" applyNumberFormat="1" applyFont="1" applyFill="1" applyBorder="1"/>
    <xf numFmtId="43" fontId="30" fillId="17" borderId="12" xfId="38" applyFont="1" applyFill="1" applyBorder="1"/>
    <xf numFmtId="7" fontId="30" fillId="17" borderId="28" xfId="38" applyNumberFormat="1" applyFont="1" applyFill="1" applyBorder="1"/>
    <xf numFmtId="7" fontId="30" fillId="17" borderId="12" xfId="38" applyNumberFormat="1" applyFont="1" applyFill="1" applyBorder="1"/>
    <xf numFmtId="43" fontId="30" fillId="17" borderId="28" xfId="38" applyFont="1" applyFill="1" applyBorder="1"/>
    <xf numFmtId="43" fontId="30" fillId="17" borderId="30" xfId="38" applyFont="1" applyFill="1" applyBorder="1"/>
    <xf numFmtId="9" fontId="84" fillId="17" borderId="19" xfId="38" applyNumberFormat="1" applyFont="1" applyFill="1" applyBorder="1"/>
    <xf numFmtId="167" fontId="84" fillId="17" borderId="19" xfId="38" applyNumberFormat="1" applyFont="1" applyFill="1" applyBorder="1"/>
    <xf numFmtId="213" fontId="20" fillId="0" borderId="0" xfId="0" applyFont="1" applyFill="1" applyBorder="1" applyAlignment="1">
      <alignment horizontal="right"/>
    </xf>
    <xf numFmtId="0" fontId="20" fillId="0" borderId="0" xfId="66" applyFont="1" applyFill="1" applyBorder="1"/>
    <xf numFmtId="9" fontId="20" fillId="0" borderId="0" xfId="0" applyNumberFormat="1" applyFont="1" applyFill="1" applyBorder="1"/>
    <xf numFmtId="43" fontId="20" fillId="0" borderId="0" xfId="38" applyFont="1" applyFill="1" applyBorder="1" applyAlignment="1">
      <alignment horizontal="center"/>
    </xf>
    <xf numFmtId="7" fontId="20" fillId="0" borderId="0" xfId="38" applyNumberFormat="1" applyFont="1" applyFill="1" applyBorder="1" applyAlignment="1">
      <alignment horizontal="center"/>
    </xf>
    <xf numFmtId="9" fontId="30" fillId="17" borderId="30" xfId="0" applyNumberFormat="1" applyFont="1" applyFill="1" applyBorder="1"/>
    <xf numFmtId="8" fontId="84" fillId="17" borderId="19" xfId="0" applyNumberFormat="1" applyFont="1" applyFill="1" applyBorder="1" applyAlignment="1">
      <alignment horizontal="center"/>
    </xf>
    <xf numFmtId="168" fontId="30" fillId="17" borderId="12" xfId="0" applyNumberFormat="1" applyFont="1" applyFill="1" applyBorder="1" applyAlignment="1">
      <alignment horizontal="center"/>
    </xf>
    <xf numFmtId="168" fontId="84" fillId="17" borderId="28" xfId="38" applyNumberFormat="1" applyFont="1" applyFill="1" applyBorder="1" applyAlignment="1">
      <alignment horizontal="center"/>
    </xf>
    <xf numFmtId="168" fontId="84" fillId="17" borderId="12" xfId="38" applyNumberFormat="1" applyFont="1" applyFill="1" applyBorder="1" applyAlignment="1">
      <alignment horizontal="center"/>
    </xf>
    <xf numFmtId="5" fontId="84" fillId="17" borderId="12" xfId="38" applyNumberFormat="1" applyFont="1" applyFill="1" applyBorder="1" applyAlignment="1">
      <alignment horizontal="center"/>
    </xf>
    <xf numFmtId="5" fontId="84" fillId="17" borderId="19" xfId="38" applyNumberFormat="1" applyFont="1" applyFill="1" applyBorder="1" applyAlignment="1">
      <alignment horizontal="center"/>
    </xf>
    <xf numFmtId="43" fontId="30" fillId="17" borderId="12" xfId="38" applyFont="1" applyFill="1" applyBorder="1" applyAlignment="1">
      <alignment horizontal="center"/>
    </xf>
    <xf numFmtId="7" fontId="30" fillId="17" borderId="28" xfId="38" applyNumberFormat="1" applyFont="1" applyFill="1" applyBorder="1" applyAlignment="1">
      <alignment horizontal="center"/>
    </xf>
    <xf numFmtId="7" fontId="30" fillId="17" borderId="12" xfId="38" applyNumberFormat="1" applyFont="1" applyFill="1" applyBorder="1" applyAlignment="1">
      <alignment horizontal="center"/>
    </xf>
    <xf numFmtId="43" fontId="30" fillId="17" borderId="28" xfId="38" applyFont="1" applyFill="1" applyBorder="1" applyAlignment="1">
      <alignment horizontal="center"/>
    </xf>
    <xf numFmtId="43" fontId="30" fillId="17" borderId="30" xfId="38" applyFont="1" applyFill="1" applyBorder="1" applyAlignment="1">
      <alignment horizontal="center"/>
    </xf>
    <xf numFmtId="9" fontId="84" fillId="17" borderId="19" xfId="38" applyNumberFormat="1" applyFont="1" applyFill="1" applyBorder="1" applyAlignment="1">
      <alignment horizontal="center"/>
    </xf>
    <xf numFmtId="167" fontId="84" fillId="17" borderId="19" xfId="38" applyNumberFormat="1" applyFont="1" applyFill="1" applyBorder="1" applyAlignment="1">
      <alignment horizontal="center"/>
    </xf>
    <xf numFmtId="213" fontId="30" fillId="17" borderId="0" xfId="0" applyFont="1" applyFill="1" applyBorder="1"/>
    <xf numFmtId="168" fontId="30" fillId="17" borderId="11" xfId="0" applyNumberFormat="1" applyFont="1" applyFill="1" applyBorder="1"/>
    <xf numFmtId="168" fontId="30" fillId="17" borderId="0" xfId="0" applyNumberFormat="1" applyFont="1" applyFill="1" applyBorder="1"/>
    <xf numFmtId="168" fontId="84" fillId="17" borderId="11" xfId="38" applyNumberFormat="1" applyFont="1" applyFill="1" applyBorder="1"/>
    <xf numFmtId="168" fontId="84" fillId="17" borderId="0" xfId="38" applyNumberFormat="1" applyFont="1" applyFill="1" applyBorder="1"/>
    <xf numFmtId="9" fontId="30" fillId="17" borderId="27" xfId="0" applyNumberFormat="1" applyFont="1" applyFill="1" applyBorder="1"/>
    <xf numFmtId="8" fontId="84" fillId="17" borderId="13" xfId="0" applyNumberFormat="1" applyFont="1" applyFill="1" applyBorder="1"/>
    <xf numFmtId="43" fontId="30" fillId="17" borderId="0" xfId="38" applyFont="1" applyFill="1" applyBorder="1"/>
    <xf numFmtId="7" fontId="30" fillId="17" borderId="11" xfId="38" applyNumberFormat="1" applyFont="1" applyFill="1" applyBorder="1"/>
    <xf numFmtId="7" fontId="30" fillId="17" borderId="0" xfId="38" applyNumberFormat="1" applyFont="1" applyFill="1" applyBorder="1"/>
    <xf numFmtId="5" fontId="84" fillId="17" borderId="13" xfId="38" applyNumberFormat="1" applyFont="1" applyFill="1" applyBorder="1"/>
    <xf numFmtId="43" fontId="30" fillId="17" borderId="11" xfId="38" applyFont="1" applyFill="1" applyBorder="1"/>
    <xf numFmtId="43" fontId="30" fillId="17" borderId="27" xfId="38" applyFont="1" applyFill="1" applyBorder="1"/>
    <xf numFmtId="9" fontId="84" fillId="17" borderId="13" xfId="38" applyNumberFormat="1" applyFont="1" applyFill="1" applyBorder="1"/>
    <xf numFmtId="167" fontId="84" fillId="17" borderId="13" xfId="38" applyNumberFormat="1" applyFont="1" applyFill="1" applyBorder="1"/>
    <xf numFmtId="168" fontId="20" fillId="0" borderId="0" xfId="0" applyNumberFormat="1" applyFont="1" applyFill="1" applyBorder="1" applyAlignment="1"/>
    <xf numFmtId="9" fontId="20" fillId="0" borderId="0" xfId="71" applyFont="1" applyFill="1" applyBorder="1" applyAlignment="1"/>
    <xf numFmtId="168" fontId="20" fillId="0" borderId="17" xfId="0" applyNumberFormat="1" applyFont="1" applyFill="1" applyBorder="1" applyAlignment="1"/>
    <xf numFmtId="9" fontId="20" fillId="0" borderId="17" xfId="71" applyFont="1" applyFill="1" applyBorder="1" applyAlignment="1"/>
    <xf numFmtId="9" fontId="20" fillId="0" borderId="0" xfId="71" applyFont="1" applyFill="1" applyBorder="1" applyAlignment="1">
      <alignment horizontal="center"/>
    </xf>
    <xf numFmtId="176" fontId="34" fillId="0" borderId="0" xfId="38" applyNumberFormat="1" applyFont="1" applyFill="1"/>
    <xf numFmtId="166" fontId="34" fillId="0" borderId="0" xfId="0" applyNumberFormat="1" applyFont="1" applyFill="1"/>
    <xf numFmtId="0" fontId="34" fillId="0" borderId="0" xfId="59" applyFont="1" applyFill="1" applyBorder="1"/>
    <xf numFmtId="0" fontId="34" fillId="0" borderId="0" xfId="59" applyFont="1" applyFill="1" applyBorder="1" applyProtection="1"/>
    <xf numFmtId="0" fontId="34" fillId="0" borderId="0" xfId="59" applyFont="1" applyFill="1" applyBorder="1" applyAlignment="1" applyProtection="1">
      <alignment horizontal="center"/>
    </xf>
    <xf numFmtId="0" fontId="27" fillId="0" borderId="29" xfId="59" applyFont="1" applyFill="1" applyBorder="1" applyProtection="1"/>
    <xf numFmtId="0" fontId="34" fillId="0" borderId="29" xfId="59" applyFont="1" applyFill="1" applyBorder="1" applyProtection="1"/>
    <xf numFmtId="0" fontId="34" fillId="0" borderId="0" xfId="59" applyFont="1" applyFill="1" applyAlignment="1">
      <alignment horizontal="left"/>
    </xf>
    <xf numFmtId="213" fontId="20" fillId="0" borderId="0" xfId="0" applyFont="1" applyFill="1" applyAlignment="1" applyProtection="1">
      <alignment horizontal="left"/>
    </xf>
    <xf numFmtId="213" fontId="34" fillId="0" borderId="23" xfId="0" applyFont="1" applyFill="1" applyBorder="1" applyAlignment="1">
      <alignment horizontal="center"/>
    </xf>
    <xf numFmtId="213" fontId="34" fillId="0" borderId="0" xfId="0" applyFont="1" applyFill="1" applyAlignment="1">
      <alignment horizontal="center"/>
    </xf>
    <xf numFmtId="213" fontId="34" fillId="0" borderId="37" xfId="0" applyFont="1" applyFill="1" applyBorder="1" applyAlignment="1">
      <alignment horizontal="center"/>
    </xf>
    <xf numFmtId="213" fontId="34" fillId="0" borderId="0" xfId="0" applyFont="1" applyFill="1" applyBorder="1" applyAlignment="1">
      <alignment horizontal="center"/>
    </xf>
    <xf numFmtId="168" fontId="34" fillId="0" borderId="0" xfId="0" applyNumberFormat="1" applyFont="1" applyFill="1" applyAlignment="1">
      <alignment horizontal="center"/>
    </xf>
    <xf numFmtId="213" fontId="34" fillId="0" borderId="13" xfId="0" applyFont="1" applyFill="1" applyBorder="1" applyAlignment="1">
      <alignment horizontal="center"/>
    </xf>
    <xf numFmtId="213" fontId="34" fillId="0" borderId="11" xfId="0" applyFont="1" applyFill="1" applyBorder="1" applyAlignment="1">
      <alignment horizontal="center"/>
    </xf>
    <xf numFmtId="213" fontId="34" fillId="0" borderId="38" xfId="0" applyFont="1" applyFill="1" applyBorder="1" applyAlignment="1">
      <alignment horizontal="center"/>
    </xf>
    <xf numFmtId="213" fontId="34" fillId="0" borderId="27" xfId="0" applyFont="1" applyFill="1" applyBorder="1" applyAlignment="1">
      <alignment horizontal="center"/>
    </xf>
    <xf numFmtId="185" fontId="34" fillId="0" borderId="38" xfId="0" applyNumberFormat="1" applyFont="1" applyFill="1" applyBorder="1" applyAlignment="1">
      <alignment horizontal="center"/>
    </xf>
    <xf numFmtId="213" fontId="34" fillId="0" borderId="0" xfId="0" applyFont="1" applyFill="1" applyAlignment="1" applyProtection="1">
      <alignment horizontal="left"/>
    </xf>
    <xf numFmtId="168" fontId="34" fillId="0" borderId="0" xfId="0" applyNumberFormat="1" applyFont="1" applyFill="1" applyAlignment="1">
      <alignment horizontal="right"/>
    </xf>
    <xf numFmtId="168" fontId="34" fillId="0" borderId="37" xfId="0" applyNumberFormat="1" applyFont="1" applyFill="1" applyBorder="1" applyAlignment="1">
      <alignment horizontal="right"/>
    </xf>
    <xf numFmtId="168" fontId="34" fillId="0" borderId="38" xfId="0" applyNumberFormat="1" applyFont="1" applyFill="1" applyBorder="1" applyAlignment="1">
      <alignment horizontal="right"/>
    </xf>
    <xf numFmtId="168" fontId="34" fillId="0" borderId="27" xfId="0" applyNumberFormat="1" applyFont="1" applyFill="1" applyBorder="1" applyAlignment="1">
      <alignment horizontal="right"/>
    </xf>
    <xf numFmtId="185" fontId="34" fillId="0" borderId="0" xfId="0" applyNumberFormat="1" applyFont="1" applyFill="1"/>
    <xf numFmtId="213" fontId="15" fillId="0" borderId="0" xfId="0" applyFont="1" applyFill="1" applyAlignment="1" applyProtection="1">
      <alignment horizontal="left" indent="1"/>
    </xf>
    <xf numFmtId="185" fontId="37" fillId="0" borderId="11" xfId="0" applyNumberFormat="1" applyFont="1" applyFill="1" applyBorder="1" applyAlignment="1">
      <alignment horizontal="center"/>
    </xf>
    <xf numFmtId="185" fontId="37" fillId="0" borderId="0" xfId="0" applyNumberFormat="1" applyFont="1" applyFill="1" applyAlignment="1">
      <alignment horizontal="center"/>
    </xf>
    <xf numFmtId="185" fontId="15" fillId="0" borderId="37" xfId="0" applyNumberFormat="1" applyFont="1" applyFill="1" applyBorder="1" applyAlignment="1">
      <alignment horizontal="center"/>
    </xf>
    <xf numFmtId="185" fontId="15" fillId="0" borderId="0" xfId="0" applyNumberFormat="1" applyFont="1" applyFill="1" applyBorder="1" applyAlignment="1">
      <alignment horizontal="center"/>
    </xf>
    <xf numFmtId="185" fontId="34" fillId="0" borderId="13" xfId="0" applyNumberFormat="1" applyFont="1" applyFill="1" applyBorder="1" applyAlignment="1" applyProtection="1">
      <alignment horizontal="center"/>
    </xf>
    <xf numFmtId="185" fontId="34" fillId="0" borderId="0" xfId="0" applyNumberFormat="1" applyFont="1" applyFill="1" applyBorder="1" applyAlignment="1" applyProtection="1">
      <alignment horizontal="center"/>
    </xf>
    <xf numFmtId="185" fontId="37" fillId="0" borderId="0" xfId="0" applyNumberFormat="1" applyFont="1" applyFill="1" applyBorder="1" applyAlignment="1">
      <alignment horizontal="center"/>
    </xf>
    <xf numFmtId="185" fontId="15" fillId="0" borderId="38" xfId="0" applyNumberFormat="1" applyFont="1" applyFill="1" applyBorder="1" applyAlignment="1">
      <alignment horizontal="center"/>
    </xf>
    <xf numFmtId="185" fontId="15" fillId="0" borderId="27" xfId="0" applyNumberFormat="1" applyFont="1" applyFill="1" applyBorder="1" applyAlignment="1">
      <alignment horizontal="center"/>
    </xf>
    <xf numFmtId="185" fontId="37" fillId="0" borderId="11" xfId="0" applyNumberFormat="1" applyFont="1" applyFill="1" applyBorder="1" applyAlignment="1" applyProtection="1">
      <alignment horizontal="center"/>
    </xf>
    <xf numFmtId="185" fontId="37" fillId="0" borderId="0" xfId="0" applyNumberFormat="1" applyFont="1" applyFill="1" applyAlignment="1" applyProtection="1">
      <alignment horizontal="center"/>
    </xf>
    <xf numFmtId="185" fontId="15" fillId="0" borderId="0" xfId="0" applyNumberFormat="1" applyFont="1" applyFill="1" applyAlignment="1" applyProtection="1">
      <alignment horizontal="center"/>
    </xf>
    <xf numFmtId="183" fontId="34" fillId="0" borderId="0" xfId="0" applyNumberFormat="1" applyFont="1" applyFill="1" applyAlignment="1" applyProtection="1">
      <alignment horizontal="center"/>
    </xf>
    <xf numFmtId="185" fontId="15" fillId="0" borderId="11" xfId="0" applyNumberFormat="1" applyFont="1" applyFill="1" applyBorder="1" applyAlignment="1" applyProtection="1">
      <alignment horizontal="center"/>
    </xf>
    <xf numFmtId="183" fontId="34" fillId="0" borderId="0" xfId="0" applyNumberFormat="1" applyFont="1" applyFill="1" applyBorder="1" applyAlignment="1" applyProtection="1">
      <alignment horizontal="center"/>
    </xf>
    <xf numFmtId="185" fontId="15" fillId="0" borderId="38" xfId="0" applyNumberFormat="1" applyFont="1" applyFill="1" applyBorder="1" applyAlignment="1" applyProtection="1">
      <alignment horizontal="center"/>
    </xf>
    <xf numFmtId="185" fontId="15" fillId="0" borderId="0" xfId="0" applyNumberFormat="1" applyFont="1" applyFill="1" applyBorder="1" applyAlignment="1" applyProtection="1">
      <alignment horizontal="center"/>
    </xf>
    <xf numFmtId="185" fontId="15" fillId="0" borderId="27" xfId="0" applyNumberFormat="1" applyFont="1" applyFill="1" applyBorder="1" applyAlignment="1" applyProtection="1">
      <alignment horizontal="center"/>
    </xf>
    <xf numFmtId="213" fontId="20" fillId="0" borderId="17" xfId="0" applyFont="1" applyFill="1" applyBorder="1" applyAlignment="1" applyProtection="1">
      <alignment horizontal="left"/>
    </xf>
    <xf numFmtId="185" fontId="20" fillId="0" borderId="18" xfId="0" applyNumberFormat="1" applyFont="1" applyFill="1" applyBorder="1" applyAlignment="1" applyProtection="1">
      <alignment horizontal="center"/>
    </xf>
    <xf numFmtId="185" fontId="20" fillId="0" borderId="17" xfId="0" applyNumberFormat="1" applyFont="1" applyFill="1" applyBorder="1" applyAlignment="1" applyProtection="1">
      <alignment horizontal="center"/>
    </xf>
    <xf numFmtId="185" fontId="20" fillId="0" borderId="39" xfId="0" applyNumberFormat="1" applyFont="1" applyFill="1" applyBorder="1" applyAlignment="1" applyProtection="1">
      <alignment horizontal="center"/>
    </xf>
    <xf numFmtId="185" fontId="20" fillId="0" borderId="20" xfId="0" applyNumberFormat="1" applyFont="1" applyFill="1" applyBorder="1" applyAlignment="1" applyProtection="1">
      <alignment horizontal="center"/>
    </xf>
    <xf numFmtId="185" fontId="20" fillId="0" borderId="40" xfId="0" applyNumberFormat="1" applyFont="1" applyFill="1" applyBorder="1" applyAlignment="1" applyProtection="1">
      <alignment horizontal="center"/>
    </xf>
    <xf numFmtId="185" fontId="20" fillId="0" borderId="26" xfId="0" applyNumberFormat="1" applyFont="1" applyFill="1" applyBorder="1" applyAlignment="1" applyProtection="1">
      <alignment horizontal="center"/>
    </xf>
    <xf numFmtId="186" fontId="34" fillId="0" borderId="0" xfId="0" applyNumberFormat="1" applyFont="1" applyFill="1"/>
    <xf numFmtId="183" fontId="34" fillId="0" borderId="13" xfId="0" applyNumberFormat="1" applyFont="1" applyFill="1" applyBorder="1" applyAlignment="1" applyProtection="1">
      <alignment horizontal="center"/>
    </xf>
    <xf numFmtId="43" fontId="34" fillId="0" borderId="0" xfId="0" applyNumberFormat="1" applyFont="1" applyFill="1"/>
    <xf numFmtId="185" fontId="15" fillId="0" borderId="13" xfId="0" applyNumberFormat="1" applyFont="1" applyFill="1" applyBorder="1" applyAlignment="1" applyProtection="1">
      <alignment horizontal="center"/>
    </xf>
    <xf numFmtId="185" fontId="34" fillId="0" borderId="0" xfId="0" applyNumberFormat="1" applyFont="1" applyFill="1" applyAlignment="1" applyProtection="1">
      <alignment horizontal="center"/>
    </xf>
    <xf numFmtId="183" fontId="34" fillId="0" borderId="0" xfId="0" applyNumberFormat="1" applyFont="1" applyFill="1" applyAlignment="1">
      <alignment horizontal="center"/>
    </xf>
    <xf numFmtId="183" fontId="34" fillId="0" borderId="37" xfId="0" applyNumberFormat="1" applyFont="1" applyFill="1" applyBorder="1" applyAlignment="1">
      <alignment horizontal="center"/>
    </xf>
    <xf numFmtId="183" fontId="34" fillId="0" borderId="38" xfId="0" applyNumberFormat="1" applyFont="1" applyFill="1" applyBorder="1" applyAlignment="1">
      <alignment horizontal="center"/>
    </xf>
    <xf numFmtId="185" fontId="55" fillId="0" borderId="0" xfId="0" applyNumberFormat="1" applyFont="1" applyFill="1" applyAlignment="1">
      <alignment horizontal="center"/>
    </xf>
    <xf numFmtId="185" fontId="55" fillId="0" borderId="11" xfId="0" applyNumberFormat="1" applyFont="1" applyFill="1" applyBorder="1" applyAlignment="1">
      <alignment horizontal="center"/>
    </xf>
    <xf numFmtId="185" fontId="55" fillId="0" borderId="0" xfId="0" applyNumberFormat="1" applyFont="1" applyFill="1" applyAlignment="1" applyProtection="1">
      <alignment horizontal="center"/>
    </xf>
    <xf numFmtId="185" fontId="55" fillId="0" borderId="11" xfId="0" applyNumberFormat="1" applyFont="1" applyFill="1" applyBorder="1" applyAlignment="1" applyProtection="1">
      <alignment horizontal="center"/>
    </xf>
    <xf numFmtId="213" fontId="34" fillId="0" borderId="0" xfId="0" applyFont="1" applyFill="1" applyBorder="1" applyAlignment="1" applyProtection="1">
      <alignment horizontal="left"/>
    </xf>
    <xf numFmtId="183" fontId="34" fillId="0" borderId="37" xfId="0" applyNumberFormat="1" applyFont="1" applyFill="1" applyBorder="1" applyAlignment="1" applyProtection="1">
      <alignment horizontal="center"/>
    </xf>
    <xf numFmtId="183" fontId="34" fillId="0" borderId="19" xfId="0" applyNumberFormat="1" applyFont="1" applyFill="1" applyBorder="1" applyAlignment="1" applyProtection="1">
      <alignment horizontal="center"/>
    </xf>
    <xf numFmtId="183" fontId="34" fillId="0" borderId="11" xfId="0" applyNumberFormat="1" applyFont="1" applyFill="1" applyBorder="1" applyAlignment="1" applyProtection="1">
      <alignment horizontal="center"/>
    </xf>
    <xf numFmtId="183" fontId="34" fillId="0" borderId="38" xfId="0" applyNumberFormat="1" applyFont="1" applyFill="1" applyBorder="1" applyAlignment="1" applyProtection="1">
      <alignment horizontal="center"/>
    </xf>
    <xf numFmtId="183" fontId="34" fillId="0" borderId="27" xfId="0" applyNumberFormat="1" applyFont="1" applyFill="1" applyBorder="1" applyAlignment="1" applyProtection="1">
      <alignment horizontal="center"/>
    </xf>
    <xf numFmtId="185" fontId="34" fillId="0" borderId="11" xfId="0" applyNumberFormat="1" applyFont="1" applyFill="1" applyBorder="1" applyAlignment="1" applyProtection="1">
      <alignment horizontal="center"/>
    </xf>
    <xf numFmtId="185" fontId="34" fillId="0" borderId="38" xfId="0" applyNumberFormat="1" applyFont="1" applyFill="1" applyBorder="1" applyAlignment="1" applyProtection="1">
      <alignment horizontal="center"/>
    </xf>
    <xf numFmtId="185" fontId="34" fillId="0" borderId="27" xfId="0" applyNumberFormat="1" applyFont="1" applyFill="1" applyBorder="1" applyAlignment="1" applyProtection="1">
      <alignment horizontal="center"/>
    </xf>
    <xf numFmtId="185" fontId="28" fillId="0" borderId="18" xfId="0" applyNumberFormat="1" applyFont="1" applyFill="1" applyBorder="1" applyAlignment="1" applyProtection="1">
      <alignment horizontal="center"/>
    </xf>
    <xf numFmtId="185" fontId="28" fillId="0" borderId="17" xfId="0" applyNumberFormat="1" applyFont="1" applyFill="1" applyBorder="1" applyAlignment="1" applyProtection="1">
      <alignment horizontal="center"/>
    </xf>
    <xf numFmtId="213" fontId="20" fillId="0" borderId="41" xfId="0" applyFont="1" applyFill="1" applyBorder="1" applyAlignment="1" applyProtection="1">
      <alignment horizontal="left"/>
    </xf>
    <xf numFmtId="185" fontId="20" fillId="0" borderId="42" xfId="0" applyNumberFormat="1" applyFont="1" applyFill="1" applyBorder="1" applyAlignment="1" applyProtection="1">
      <alignment horizontal="center"/>
    </xf>
    <xf numFmtId="185" fontId="20" fillId="0" borderId="41" xfId="0" applyNumberFormat="1" applyFont="1" applyFill="1" applyBorder="1" applyAlignment="1" applyProtection="1">
      <alignment horizontal="center"/>
    </xf>
    <xf numFmtId="185" fontId="20" fillId="0" borderId="43" xfId="0" applyNumberFormat="1" applyFont="1" applyFill="1" applyBorder="1" applyAlignment="1" applyProtection="1">
      <alignment horizontal="center"/>
    </xf>
    <xf numFmtId="185" fontId="20" fillId="0" borderId="44" xfId="0" applyNumberFormat="1" applyFont="1" applyFill="1" applyBorder="1" applyAlignment="1" applyProtection="1">
      <alignment horizontal="center"/>
    </xf>
    <xf numFmtId="185" fontId="20" fillId="0" borderId="45" xfId="0" applyNumberFormat="1" applyFont="1" applyFill="1" applyBorder="1" applyAlignment="1" applyProtection="1">
      <alignment horizontal="center"/>
    </xf>
    <xf numFmtId="185" fontId="20" fillId="0" borderId="46" xfId="0" applyNumberFormat="1" applyFont="1" applyFill="1" applyBorder="1" applyAlignment="1" applyProtection="1">
      <alignment horizontal="center"/>
    </xf>
    <xf numFmtId="187" fontId="34" fillId="0" borderId="0" xfId="0" applyNumberFormat="1" applyFont="1" applyFill="1" applyAlignment="1" applyProtection="1">
      <alignment horizontal="center"/>
    </xf>
    <xf numFmtId="186" fontId="34" fillId="0" borderId="0" xfId="0" applyNumberFormat="1" applyFont="1" applyFill="1" applyAlignment="1" applyProtection="1">
      <alignment horizontal="center"/>
    </xf>
    <xf numFmtId="172" fontId="34" fillId="0" borderId="28" xfId="0" applyNumberFormat="1" applyFont="1" applyFill="1" applyBorder="1" applyAlignment="1" applyProtection="1">
      <alignment horizontal="right"/>
    </xf>
    <xf numFmtId="172" fontId="34" fillId="0" borderId="0" xfId="0" applyNumberFormat="1" applyFont="1" applyFill="1" applyBorder="1" applyAlignment="1" applyProtection="1">
      <alignment horizontal="right"/>
    </xf>
    <xf numFmtId="172" fontId="34" fillId="0" borderId="13" xfId="0" applyNumberFormat="1" applyFont="1" applyFill="1" applyBorder="1" applyAlignment="1" applyProtection="1">
      <alignment horizontal="right"/>
    </xf>
    <xf numFmtId="172" fontId="34" fillId="0" borderId="11" xfId="0" applyNumberFormat="1" applyFont="1" applyFill="1" applyBorder="1" applyAlignment="1" applyProtection="1">
      <alignment horizontal="right"/>
    </xf>
    <xf numFmtId="7" fontId="34" fillId="0" borderId="18" xfId="0" applyNumberFormat="1" applyFont="1" applyFill="1" applyBorder="1" applyAlignment="1" applyProtection="1">
      <alignment horizontal="right"/>
    </xf>
    <xf numFmtId="7" fontId="34" fillId="0" borderId="17" xfId="0" applyNumberFormat="1" applyFont="1" applyFill="1" applyBorder="1" applyAlignment="1" applyProtection="1">
      <alignment horizontal="right"/>
    </xf>
    <xf numFmtId="7" fontId="34" fillId="0" borderId="20" xfId="0" applyNumberFormat="1" applyFont="1" applyFill="1" applyBorder="1" applyAlignment="1" applyProtection="1">
      <alignment horizontal="right"/>
    </xf>
    <xf numFmtId="167" fontId="34" fillId="0" borderId="28" xfId="71" applyNumberFormat="1" applyFont="1" applyFill="1" applyBorder="1" applyAlignment="1" applyProtection="1">
      <alignment horizontal="center"/>
    </xf>
    <xf numFmtId="167" fontId="34" fillId="0" borderId="12" xfId="71" applyNumberFormat="1" applyFont="1" applyFill="1" applyBorder="1" applyAlignment="1" applyProtection="1">
      <alignment horizontal="center"/>
    </xf>
    <xf numFmtId="167" fontId="34" fillId="0" borderId="19" xfId="71" applyNumberFormat="1" applyFont="1" applyFill="1" applyBorder="1" applyAlignment="1" applyProtection="1">
      <alignment horizontal="center"/>
    </xf>
    <xf numFmtId="183" fontId="34" fillId="0" borderId="12" xfId="0" applyNumberFormat="1" applyFont="1" applyFill="1" applyBorder="1" applyAlignment="1" applyProtection="1">
      <alignment horizontal="center"/>
    </xf>
    <xf numFmtId="167" fontId="34" fillId="0" borderId="11" xfId="71" applyNumberFormat="1" applyFont="1" applyFill="1" applyBorder="1" applyAlignment="1" applyProtection="1">
      <alignment horizontal="center"/>
    </xf>
    <xf numFmtId="167" fontId="34" fillId="0" borderId="0" xfId="71" applyNumberFormat="1" applyFont="1" applyFill="1" applyBorder="1" applyAlignment="1" applyProtection="1">
      <alignment horizontal="center"/>
    </xf>
    <xf numFmtId="167" fontId="34" fillId="0" borderId="13" xfId="71" applyNumberFormat="1" applyFont="1" applyFill="1" applyBorder="1" applyAlignment="1" applyProtection="1">
      <alignment horizontal="center"/>
    </xf>
    <xf numFmtId="167" fontId="34" fillId="0" borderId="18" xfId="71" applyNumberFormat="1" applyFont="1" applyFill="1" applyBorder="1" applyAlignment="1" applyProtection="1">
      <alignment horizontal="center"/>
    </xf>
    <xf numFmtId="167" fontId="34" fillId="0" borderId="17" xfId="71" applyNumberFormat="1" applyFont="1" applyFill="1" applyBorder="1" applyAlignment="1" applyProtection="1">
      <alignment horizontal="center"/>
    </xf>
    <xf numFmtId="167" fontId="34" fillId="0" borderId="20" xfId="71" applyNumberFormat="1" applyFont="1" applyFill="1" applyBorder="1" applyAlignment="1" applyProtection="1">
      <alignment horizontal="center"/>
    </xf>
    <xf numFmtId="187" fontId="34" fillId="0" borderId="17" xfId="0" applyNumberFormat="1" applyFont="1" applyFill="1" applyBorder="1" applyAlignment="1" applyProtection="1">
      <alignment horizontal="center"/>
    </xf>
    <xf numFmtId="183" fontId="34" fillId="0" borderId="17" xfId="0" applyNumberFormat="1" applyFont="1" applyFill="1" applyBorder="1" applyAlignment="1" applyProtection="1">
      <alignment horizontal="center"/>
    </xf>
    <xf numFmtId="185" fontId="34" fillId="0" borderId="28" xfId="0" applyNumberFormat="1" applyFont="1" applyFill="1" applyBorder="1" applyAlignment="1" applyProtection="1">
      <alignment horizontal="right"/>
    </xf>
    <xf numFmtId="185" fontId="34" fillId="0" borderId="12" xfId="0" applyNumberFormat="1" applyFont="1" applyFill="1" applyBorder="1" applyAlignment="1" applyProtection="1">
      <alignment horizontal="right"/>
    </xf>
    <xf numFmtId="185" fontId="34" fillId="0" borderId="19" xfId="0" applyNumberFormat="1" applyFont="1" applyFill="1" applyBorder="1" applyAlignment="1" applyProtection="1">
      <alignment horizontal="right"/>
    </xf>
    <xf numFmtId="185" fontId="34" fillId="0" borderId="11" xfId="0" applyNumberFormat="1" applyFont="1" applyFill="1" applyBorder="1" applyAlignment="1" applyProtection="1">
      <alignment horizontal="right"/>
    </xf>
    <xf numFmtId="185" fontId="34" fillId="0" borderId="0" xfId="0" applyNumberFormat="1" applyFont="1" applyFill="1" applyBorder="1" applyAlignment="1" applyProtection="1">
      <alignment horizontal="right"/>
    </xf>
    <xf numFmtId="185" fontId="34" fillId="0" borderId="13" xfId="0" applyNumberFormat="1" applyFont="1" applyFill="1" applyBorder="1" applyAlignment="1" applyProtection="1">
      <alignment horizontal="right"/>
    </xf>
    <xf numFmtId="185" fontId="34" fillId="0" borderId="18" xfId="0" applyNumberFormat="1" applyFont="1" applyFill="1" applyBorder="1" applyAlignment="1" applyProtection="1">
      <alignment horizontal="center"/>
    </xf>
    <xf numFmtId="185" fontId="34" fillId="0" borderId="17" xfId="0" applyNumberFormat="1" applyFont="1" applyFill="1" applyBorder="1" applyAlignment="1" applyProtection="1">
      <alignment horizontal="center"/>
    </xf>
    <xf numFmtId="185" fontId="34" fillId="0" borderId="20" xfId="0" applyNumberFormat="1" applyFont="1" applyFill="1" applyBorder="1" applyAlignment="1" applyProtection="1">
      <alignment horizontal="center"/>
    </xf>
    <xf numFmtId="188" fontId="34" fillId="0" borderId="28" xfId="80" applyNumberFormat="1" applyFont="1" applyFill="1" applyBorder="1" applyAlignment="1">
      <alignment horizontal="right"/>
      <protection locked="0"/>
    </xf>
    <xf numFmtId="188" fontId="34" fillId="0" borderId="12" xfId="80" applyNumberFormat="1" applyFont="1" applyFill="1" applyBorder="1" applyAlignment="1">
      <alignment horizontal="right"/>
      <protection locked="0"/>
    </xf>
    <xf numFmtId="188" fontId="34" fillId="0" borderId="19" xfId="80" applyNumberFormat="1" applyFont="1" applyFill="1" applyBorder="1" applyAlignment="1">
      <alignment horizontal="right"/>
      <protection locked="0"/>
    </xf>
    <xf numFmtId="188" fontId="34" fillId="0" borderId="11" xfId="80" applyNumberFormat="1" applyFont="1" applyFill="1" applyBorder="1" applyAlignment="1">
      <alignment horizontal="right"/>
      <protection locked="0"/>
    </xf>
    <xf numFmtId="188" fontId="34" fillId="0" borderId="0" xfId="80" applyNumberFormat="1" applyFont="1" applyFill="1" applyBorder="1" applyAlignment="1">
      <alignment horizontal="right"/>
      <protection locked="0"/>
    </xf>
    <xf numFmtId="188" fontId="34" fillId="0" borderId="13" xfId="80" applyNumberFormat="1" applyFont="1" applyFill="1" applyBorder="1" applyAlignment="1">
      <alignment horizontal="right"/>
      <protection locked="0"/>
    </xf>
    <xf numFmtId="166" fontId="34" fillId="0" borderId="11" xfId="62" applyNumberFormat="1" applyFont="1" applyFill="1" applyBorder="1"/>
    <xf numFmtId="166" fontId="34" fillId="16" borderId="18" xfId="62" applyNumberFormat="1" applyFont="1" applyFill="1" applyBorder="1"/>
    <xf numFmtId="188" fontId="34" fillId="0" borderId="18" xfId="80" applyNumberFormat="1" applyFont="1" applyFill="1" applyBorder="1" applyAlignment="1">
      <alignment horizontal="right"/>
      <protection locked="0"/>
    </xf>
    <xf numFmtId="188" fontId="34" fillId="0" borderId="17" xfId="80" applyNumberFormat="1" applyFont="1" applyFill="1" applyBorder="1" applyAlignment="1">
      <alignment horizontal="right"/>
      <protection locked="0"/>
    </xf>
    <xf numFmtId="188" fontId="34" fillId="0" borderId="20" xfId="80" applyNumberFormat="1" applyFont="1" applyFill="1" applyBorder="1" applyAlignment="1">
      <alignment horizontal="right"/>
      <protection locked="0"/>
    </xf>
    <xf numFmtId="185" fontId="34" fillId="0" borderId="28" xfId="0" applyNumberFormat="1" applyFont="1" applyFill="1" applyBorder="1" applyAlignment="1" applyProtection="1">
      <alignment horizontal="center"/>
    </xf>
    <xf numFmtId="185" fontId="34" fillId="0" borderId="12" xfId="0" applyNumberFormat="1" applyFont="1" applyFill="1" applyBorder="1" applyAlignment="1" applyProtection="1">
      <alignment horizontal="center"/>
    </xf>
    <xf numFmtId="185" fontId="34" fillId="0" borderId="19" xfId="0" applyNumberFormat="1" applyFont="1" applyFill="1" applyBorder="1" applyAlignment="1" applyProtection="1">
      <alignment horizontal="center"/>
    </xf>
    <xf numFmtId="167" fontId="34" fillId="0" borderId="28" xfId="71" applyNumberFormat="1" applyFont="1" applyFill="1" applyBorder="1" applyAlignment="1" applyProtection="1">
      <alignment horizontal="right"/>
    </xf>
    <xf numFmtId="167" fontId="34" fillId="0" borderId="12" xfId="71" applyNumberFormat="1" applyFont="1" applyFill="1" applyBorder="1" applyAlignment="1" applyProtection="1">
      <alignment horizontal="right"/>
    </xf>
    <xf numFmtId="167" fontId="34" fillId="0" borderId="19" xfId="71" applyNumberFormat="1" applyFont="1" applyFill="1" applyBorder="1" applyAlignment="1" applyProtection="1">
      <alignment horizontal="right"/>
    </xf>
    <xf numFmtId="167" fontId="34" fillId="0" borderId="11" xfId="71" applyNumberFormat="1" applyFont="1" applyFill="1" applyBorder="1" applyAlignment="1" applyProtection="1">
      <alignment horizontal="right"/>
    </xf>
    <xf numFmtId="167" fontId="34" fillId="0" borderId="0" xfId="71" applyNumberFormat="1" applyFont="1" applyFill="1" applyBorder="1" applyAlignment="1" applyProtection="1">
      <alignment horizontal="right"/>
    </xf>
    <xf numFmtId="167" fontId="34" fillId="0" borderId="13" xfId="71" applyNumberFormat="1" applyFont="1" applyFill="1" applyBorder="1" applyAlignment="1" applyProtection="1">
      <alignment horizontal="right"/>
    </xf>
    <xf numFmtId="167" fontId="34" fillId="0" borderId="18" xfId="71" applyNumberFormat="1" applyFont="1" applyFill="1" applyBorder="1" applyAlignment="1" applyProtection="1">
      <alignment horizontal="right"/>
    </xf>
    <xf numFmtId="167" fontId="34" fillId="0" borderId="17" xfId="71" applyNumberFormat="1" applyFont="1" applyFill="1" applyBorder="1" applyAlignment="1" applyProtection="1">
      <alignment horizontal="right"/>
    </xf>
    <xf numFmtId="167" fontId="34" fillId="0" borderId="20" xfId="71" applyNumberFormat="1" applyFont="1" applyFill="1" applyBorder="1" applyAlignment="1" applyProtection="1">
      <alignment horizontal="right"/>
    </xf>
    <xf numFmtId="172" fontId="37" fillId="0" borderId="28" xfId="0" applyNumberFormat="1" applyFont="1" applyFill="1" applyBorder="1" applyAlignment="1" applyProtection="1">
      <alignment horizontal="right"/>
    </xf>
    <xf numFmtId="172" fontId="34" fillId="0" borderId="12" xfId="0" applyNumberFormat="1" applyFont="1" applyFill="1" applyBorder="1" applyAlignment="1" applyProtection="1">
      <alignment horizontal="right"/>
    </xf>
    <xf numFmtId="172" fontId="34" fillId="0" borderId="19" xfId="0" applyNumberFormat="1" applyFont="1" applyFill="1" applyBorder="1" applyAlignment="1" applyProtection="1">
      <alignment horizontal="right"/>
    </xf>
    <xf numFmtId="172" fontId="37" fillId="0" borderId="11" xfId="0" applyNumberFormat="1" applyFont="1" applyFill="1" applyBorder="1" applyAlignment="1" applyProtection="1">
      <alignment horizontal="right"/>
    </xf>
    <xf numFmtId="172" fontId="37" fillId="0" borderId="0" xfId="0" applyNumberFormat="1" applyFont="1" applyFill="1" applyBorder="1" applyAlignment="1" applyProtection="1">
      <alignment horizontal="right"/>
    </xf>
    <xf numFmtId="172" fontId="34" fillId="0" borderId="18" xfId="0" applyNumberFormat="1" applyFont="1" applyFill="1" applyBorder="1" applyAlignment="1" applyProtection="1">
      <alignment horizontal="right"/>
    </xf>
    <xf numFmtId="172" fontId="34" fillId="0" borderId="17" xfId="0" applyNumberFormat="1" applyFont="1" applyFill="1" applyBorder="1" applyAlignment="1" applyProtection="1">
      <alignment horizontal="right"/>
    </xf>
    <xf numFmtId="172" fontId="34" fillId="0" borderId="20" xfId="0" applyNumberFormat="1" applyFont="1" applyFill="1" applyBorder="1" applyAlignment="1" applyProtection="1">
      <alignment horizontal="right"/>
    </xf>
    <xf numFmtId="172" fontId="34" fillId="0" borderId="15" xfId="0" applyNumberFormat="1" applyFont="1" applyFill="1" applyBorder="1" applyAlignment="1" applyProtection="1">
      <alignment horizontal="right"/>
    </xf>
    <xf numFmtId="172" fontId="34" fillId="0" borderId="26" xfId="0" applyNumberFormat="1" applyFont="1" applyFill="1" applyBorder="1" applyAlignment="1" applyProtection="1">
      <alignment horizontal="right"/>
    </xf>
    <xf numFmtId="172" fontId="15" fillId="0" borderId="19" xfId="0" applyNumberFormat="1" applyFont="1" applyFill="1" applyBorder="1"/>
    <xf numFmtId="172" fontId="15" fillId="0" borderId="12" xfId="0" applyNumberFormat="1" applyFont="1" applyFill="1" applyBorder="1"/>
    <xf numFmtId="172" fontId="15" fillId="0" borderId="13" xfId="0" applyNumberFormat="1" applyFont="1" applyFill="1" applyBorder="1"/>
    <xf numFmtId="172" fontId="15" fillId="0" borderId="0" xfId="0" applyNumberFormat="1" applyFont="1" applyFill="1" applyBorder="1"/>
    <xf numFmtId="167" fontId="34" fillId="0" borderId="0" xfId="71" applyNumberFormat="1" applyFont="1" applyFill="1" applyBorder="1"/>
    <xf numFmtId="167" fontId="34" fillId="0" borderId="13" xfId="71" applyNumberFormat="1" applyFont="1" applyFill="1" applyBorder="1"/>
    <xf numFmtId="167" fontId="37" fillId="0" borderId="0" xfId="71" applyNumberFormat="1" applyFont="1" applyFill="1" applyBorder="1"/>
    <xf numFmtId="167" fontId="37" fillId="0" borderId="11" xfId="71" applyNumberFormat="1" applyFont="1" applyFill="1" applyBorder="1"/>
    <xf numFmtId="172" fontId="15" fillId="0" borderId="11" xfId="0" applyNumberFormat="1" applyFont="1" applyFill="1" applyBorder="1"/>
    <xf numFmtId="166" fontId="15" fillId="0" borderId="13" xfId="0" applyNumberFormat="1" applyFont="1" applyFill="1" applyBorder="1"/>
    <xf numFmtId="166" fontId="15" fillId="0" borderId="0" xfId="0" applyNumberFormat="1" applyFont="1" applyFill="1" applyBorder="1"/>
    <xf numFmtId="43" fontId="37" fillId="0" borderId="11" xfId="38" applyFont="1" applyFill="1" applyBorder="1"/>
    <xf numFmtId="43" fontId="37" fillId="0" borderId="0" xfId="38" applyFont="1" applyFill="1" applyBorder="1"/>
    <xf numFmtId="43" fontId="37" fillId="0" borderId="13" xfId="38" applyFont="1" applyFill="1" applyBorder="1"/>
    <xf numFmtId="187" fontId="37" fillId="0" borderId="19" xfId="0" applyNumberFormat="1" applyFont="1" applyFill="1" applyBorder="1" applyAlignment="1" applyProtection="1">
      <alignment horizontal="center"/>
    </xf>
    <xf numFmtId="187" fontId="34" fillId="0" borderId="12" xfId="0" applyNumberFormat="1" applyFont="1" applyFill="1" applyBorder="1" applyAlignment="1" applyProtection="1">
      <alignment horizontal="center"/>
    </xf>
    <xf numFmtId="183" fontId="34" fillId="0" borderId="28" xfId="0" applyNumberFormat="1" applyFont="1" applyFill="1" applyBorder="1" applyAlignment="1" applyProtection="1">
      <alignment horizontal="center"/>
    </xf>
    <xf numFmtId="187" fontId="34" fillId="0" borderId="13" xfId="0" applyNumberFormat="1" applyFont="1" applyFill="1" applyBorder="1" applyAlignment="1" applyProtection="1">
      <alignment horizontal="center"/>
    </xf>
    <xf numFmtId="187" fontId="34" fillId="0" borderId="0" xfId="0" applyNumberFormat="1" applyFont="1" applyFill="1" applyBorder="1" applyAlignment="1" applyProtection="1">
      <alignment horizontal="center"/>
    </xf>
    <xf numFmtId="185" fontId="37" fillId="0" borderId="0" xfId="0" applyNumberFormat="1" applyFont="1" applyFill="1" applyBorder="1" applyAlignment="1" applyProtection="1">
      <alignment horizontal="center"/>
    </xf>
    <xf numFmtId="185" fontId="37" fillId="0" borderId="13" xfId="0" applyNumberFormat="1" applyFont="1" applyFill="1" applyBorder="1" applyAlignment="1" applyProtection="1">
      <alignment horizontal="center"/>
    </xf>
    <xf numFmtId="9" fontId="34" fillId="0" borderId="13" xfId="71" applyNumberFormat="1" applyFont="1" applyFill="1" applyBorder="1" applyAlignment="1" applyProtection="1">
      <alignment horizontal="right"/>
    </xf>
    <xf numFmtId="187" fontId="34" fillId="0" borderId="11" xfId="0" applyNumberFormat="1" applyFont="1" applyFill="1" applyBorder="1" applyAlignment="1" applyProtection="1">
      <alignment horizontal="center"/>
    </xf>
    <xf numFmtId="183" fontId="15" fillId="0" borderId="0" xfId="0" applyNumberFormat="1" applyFont="1" applyFill="1" applyBorder="1" applyAlignment="1" applyProtection="1">
      <alignment horizontal="center"/>
    </xf>
    <xf numFmtId="183" fontId="15" fillId="0" borderId="11" xfId="0" applyNumberFormat="1" applyFont="1" applyFill="1" applyBorder="1" applyAlignment="1" applyProtection="1">
      <alignment horizontal="center"/>
    </xf>
    <xf numFmtId="185" fontId="37" fillId="0" borderId="17" xfId="0" applyNumberFormat="1" applyFont="1" applyFill="1" applyBorder="1" applyAlignment="1" applyProtection="1">
      <alignment horizontal="center"/>
    </xf>
    <xf numFmtId="185" fontId="37" fillId="0" borderId="20" xfId="0" applyNumberFormat="1" applyFont="1" applyFill="1" applyBorder="1" applyAlignment="1" applyProtection="1">
      <alignment horizontal="center"/>
    </xf>
    <xf numFmtId="183" fontId="34" fillId="0" borderId="18" xfId="0" applyNumberFormat="1" applyFont="1" applyFill="1" applyBorder="1" applyAlignment="1" applyProtection="1">
      <alignment horizontal="center"/>
    </xf>
    <xf numFmtId="185" fontId="37" fillId="0" borderId="28" xfId="0" applyNumberFormat="1" applyFont="1" applyFill="1" applyBorder="1" applyAlignment="1" applyProtection="1">
      <alignment horizontal="center"/>
    </xf>
    <xf numFmtId="183" fontId="37" fillId="0" borderId="0" xfId="0" applyNumberFormat="1" applyFont="1" applyFill="1" applyBorder="1" applyAlignment="1" applyProtection="1">
      <alignment horizontal="center"/>
    </xf>
    <xf numFmtId="183" fontId="37" fillId="0" borderId="11" xfId="0" applyNumberFormat="1" applyFont="1" applyFill="1" applyBorder="1" applyAlignment="1" applyProtection="1">
      <alignment horizontal="center"/>
    </xf>
    <xf numFmtId="187" fontId="34" fillId="0" borderId="19" xfId="0" applyNumberFormat="1" applyFont="1" applyFill="1" applyBorder="1" applyAlignment="1" applyProtection="1">
      <alignment horizontal="center"/>
    </xf>
    <xf numFmtId="183" fontId="34" fillId="0" borderId="30" xfId="0" applyNumberFormat="1" applyFont="1" applyFill="1" applyBorder="1" applyAlignment="1" applyProtection="1">
      <alignment horizontal="center"/>
    </xf>
    <xf numFmtId="0" fontId="20" fillId="18" borderId="15" xfId="52" applyFont="1" applyFill="1" applyBorder="1"/>
    <xf numFmtId="185" fontId="34" fillId="0" borderId="28" xfId="0" applyNumberFormat="1" applyFont="1" applyFill="1" applyBorder="1" applyAlignment="1">
      <alignment horizontal="center"/>
    </xf>
    <xf numFmtId="185" fontId="34" fillId="0" borderId="27" xfId="0" applyNumberFormat="1" applyFont="1" applyFill="1" applyBorder="1" applyAlignment="1">
      <alignment horizontal="center"/>
    </xf>
    <xf numFmtId="0" fontId="20" fillId="0" borderId="11" xfId="52" applyFont="1" applyFill="1" applyBorder="1"/>
    <xf numFmtId="0" fontId="20" fillId="0" borderId="0" xfId="52" applyFont="1" applyFill="1" applyBorder="1"/>
    <xf numFmtId="213" fontId="11" fillId="0" borderId="0" xfId="0" applyFont="1" applyFill="1"/>
    <xf numFmtId="0" fontId="34" fillId="0" borderId="18" xfId="52" applyFont="1" applyFill="1" applyBorder="1"/>
    <xf numFmtId="0" fontId="34" fillId="0" borderId="17" xfId="52" applyFont="1" applyFill="1" applyBorder="1"/>
    <xf numFmtId="166" fontId="34" fillId="0" borderId="18" xfId="0" applyNumberFormat="1" applyFont="1" applyFill="1" applyBorder="1" applyAlignment="1">
      <alignment horizontal="right"/>
    </xf>
    <xf numFmtId="166" fontId="34" fillId="0" borderId="17" xfId="0" applyNumberFormat="1" applyFont="1" applyFill="1" applyBorder="1" applyAlignment="1">
      <alignment horizontal="right"/>
    </xf>
    <xf numFmtId="166" fontId="34" fillId="0" borderId="20" xfId="0" applyNumberFormat="1" applyFont="1" applyFill="1" applyBorder="1" applyAlignment="1">
      <alignment horizontal="right"/>
    </xf>
    <xf numFmtId="0" fontId="27" fillId="0" borderId="0" xfId="59" applyFont="1" applyFill="1" applyBorder="1" applyAlignment="1" applyProtection="1">
      <alignment horizontal="center"/>
    </xf>
    <xf numFmtId="0" fontId="15" fillId="0" borderId="0" xfId="59" applyFont="1" applyFill="1" applyBorder="1" applyProtection="1"/>
    <xf numFmtId="0" fontId="28" fillId="0" borderId="0" xfId="59" applyFont="1" applyFill="1" applyBorder="1" applyProtection="1"/>
    <xf numFmtId="0" fontId="15" fillId="0" borderId="29" xfId="59" applyFont="1" applyFill="1" applyBorder="1" applyProtection="1"/>
    <xf numFmtId="172" fontId="27" fillId="0" borderId="29" xfId="59" applyNumberFormat="1" applyFont="1" applyFill="1" applyBorder="1" applyProtection="1"/>
    <xf numFmtId="213" fontId="58" fillId="0" borderId="0" xfId="0" applyFont="1" applyFill="1" applyBorder="1" applyAlignment="1">
      <alignment horizontal="center"/>
    </xf>
    <xf numFmtId="200" fontId="12" fillId="0" borderId="15" xfId="0" applyNumberFormat="1" applyFont="1" applyFill="1" applyBorder="1" applyAlignment="1">
      <alignment horizontal="centerContinuous"/>
    </xf>
    <xf numFmtId="200" fontId="12" fillId="0" borderId="16" xfId="0" applyNumberFormat="1" applyFont="1" applyFill="1" applyBorder="1" applyAlignment="1">
      <alignment horizontal="centerContinuous"/>
    </xf>
    <xf numFmtId="176" fontId="6" fillId="0" borderId="11" xfId="38" applyNumberFormat="1" applyFont="1" applyBorder="1"/>
    <xf numFmtId="176" fontId="6" fillId="0" borderId="0" xfId="38" applyNumberFormat="1" applyFont="1" applyBorder="1"/>
    <xf numFmtId="207" fontId="34" fillId="0" borderId="0" xfId="0" applyNumberFormat="1" applyFont="1" applyFill="1" applyBorder="1"/>
    <xf numFmtId="9" fontId="37" fillId="0" borderId="0" xfId="71" applyFont="1" applyFill="1" applyBorder="1"/>
    <xf numFmtId="5" fontId="34" fillId="0" borderId="0" xfId="0" applyNumberFormat="1" applyFont="1" applyFill="1" applyBorder="1"/>
    <xf numFmtId="168" fontId="34" fillId="0" borderId="17" xfId="0" applyNumberFormat="1" applyFont="1" applyFill="1" applyBorder="1"/>
    <xf numFmtId="168" fontId="34" fillId="0" borderId="18" xfId="0" applyNumberFormat="1" applyFont="1" applyFill="1" applyBorder="1"/>
    <xf numFmtId="168" fontId="34" fillId="0" borderId="20" xfId="0" applyNumberFormat="1" applyFont="1" applyFill="1" applyBorder="1"/>
    <xf numFmtId="168" fontId="34" fillId="0" borderId="26" xfId="0" applyNumberFormat="1" applyFont="1" applyFill="1" applyBorder="1"/>
    <xf numFmtId="172" fontId="20" fillId="0" borderId="12" xfId="0" applyNumberFormat="1" applyFont="1" applyFill="1" applyBorder="1"/>
    <xf numFmtId="172" fontId="20" fillId="0" borderId="28" xfId="0" applyNumberFormat="1" applyFont="1" applyFill="1" applyBorder="1"/>
    <xf numFmtId="172" fontId="20" fillId="0" borderId="19" xfId="0" applyNumberFormat="1" applyFont="1" applyFill="1" applyBorder="1"/>
    <xf numFmtId="172" fontId="20" fillId="0" borderId="30" xfId="0" applyNumberFormat="1" applyFont="1" applyFill="1" applyBorder="1"/>
    <xf numFmtId="172" fontId="18" fillId="0" borderId="16" xfId="0" applyNumberFormat="1" applyFont="1" applyFill="1" applyBorder="1" applyAlignment="1" applyProtection="1">
      <alignment horizontal="right"/>
    </xf>
    <xf numFmtId="167" fontId="34" fillId="0" borderId="0" xfId="0" applyNumberFormat="1" applyFont="1" applyFill="1" applyBorder="1"/>
    <xf numFmtId="10" fontId="20" fillId="0" borderId="0" xfId="0" applyNumberFormat="1" applyFont="1" applyFill="1" applyBorder="1"/>
    <xf numFmtId="167" fontId="34" fillId="0" borderId="18" xfId="0" applyNumberFormat="1" applyFont="1" applyFill="1" applyBorder="1"/>
    <xf numFmtId="167" fontId="34" fillId="0" borderId="17" xfId="0" applyNumberFormat="1" applyFont="1" applyFill="1" applyBorder="1"/>
    <xf numFmtId="167" fontId="34" fillId="0" borderId="20" xfId="0" applyNumberFormat="1" applyFont="1" applyFill="1" applyBorder="1"/>
    <xf numFmtId="167" fontId="34" fillId="0" borderId="13" xfId="0" applyNumberFormat="1" applyFont="1" applyFill="1" applyBorder="1"/>
    <xf numFmtId="213" fontId="12" fillId="0" borderId="0" xfId="0" applyFont="1"/>
    <xf numFmtId="167" fontId="37" fillId="0" borderId="19" xfId="0" applyNumberFormat="1" applyFont="1" applyFill="1" applyBorder="1" applyAlignment="1">
      <alignment horizontal="right"/>
    </xf>
    <xf numFmtId="167" fontId="37" fillId="0" borderId="13" xfId="0" applyNumberFormat="1" applyFont="1" applyFill="1" applyBorder="1" applyAlignment="1">
      <alignment horizontal="right"/>
    </xf>
    <xf numFmtId="167" fontId="37" fillId="0" borderId="20" xfId="0" applyNumberFormat="1" applyFont="1" applyFill="1" applyBorder="1" applyAlignment="1">
      <alignment horizontal="right"/>
    </xf>
    <xf numFmtId="173" fontId="20" fillId="0" borderId="0" xfId="0" applyNumberFormat="1" applyFont="1" applyFill="1" applyBorder="1"/>
    <xf numFmtId="207" fontId="34" fillId="0" borderId="11" xfId="0" applyNumberFormat="1" applyFont="1" applyFill="1" applyBorder="1"/>
    <xf numFmtId="173" fontId="28" fillId="0" borderId="0" xfId="40" applyNumberFormat="1" applyFont="1" applyFill="1" applyBorder="1"/>
    <xf numFmtId="167" fontId="20" fillId="0" borderId="0" xfId="71" applyNumberFormat="1" applyFont="1" applyFill="1" applyBorder="1"/>
    <xf numFmtId="208" fontId="34" fillId="0" borderId="0" xfId="0" applyNumberFormat="1" applyFont="1" applyFill="1" applyBorder="1" applyAlignment="1" applyProtection="1">
      <alignment horizontal="center"/>
    </xf>
    <xf numFmtId="43" fontId="15" fillId="0" borderId="0" xfId="38" applyNumberFormat="1" applyFont="1" applyFill="1" applyBorder="1" applyAlignment="1" applyProtection="1">
      <alignment horizontal="right" vertical="center"/>
    </xf>
    <xf numFmtId="172" fontId="18" fillId="0" borderId="20" xfId="0" applyNumberFormat="1" applyFont="1" applyFill="1" applyBorder="1" applyAlignment="1" applyProtection="1">
      <alignment horizontal="right"/>
    </xf>
    <xf numFmtId="0" fontId="34" fillId="0" borderId="11" xfId="66" applyFont="1" applyFill="1" applyBorder="1" applyAlignment="1">
      <alignment horizontal="left" indent="2"/>
    </xf>
    <xf numFmtId="198" fontId="27" fillId="0" borderId="0" xfId="38" applyNumberFormat="1" applyFont="1" applyFill="1" applyBorder="1"/>
    <xf numFmtId="213" fontId="33" fillId="17" borderId="15" xfId="0" applyFont="1" applyFill="1" applyBorder="1"/>
    <xf numFmtId="39" fontId="34" fillId="0" borderId="0" xfId="0" applyNumberFormat="1" applyFont="1" applyFill="1" applyBorder="1"/>
    <xf numFmtId="213" fontId="34" fillId="0" borderId="0" xfId="0" applyFont="1" applyFill="1" applyBorder="1" applyAlignment="1" applyProtection="1">
      <alignment horizontal="left" indent="2"/>
    </xf>
    <xf numFmtId="9" fontId="33" fillId="17" borderId="15" xfId="0" applyNumberFormat="1" applyFont="1" applyFill="1" applyBorder="1"/>
    <xf numFmtId="211" fontId="28" fillId="0" borderId="0" xfId="40" applyNumberFormat="1" applyFont="1" applyFill="1" applyBorder="1"/>
    <xf numFmtId="173" fontId="20" fillId="0" borderId="15" xfId="0" applyNumberFormat="1" applyFont="1" applyFill="1" applyBorder="1"/>
    <xf numFmtId="37" fontId="0" fillId="0" borderId="0" xfId="0" applyNumberFormat="1"/>
    <xf numFmtId="9" fontId="0" fillId="0" borderId="0" xfId="71" applyFont="1"/>
    <xf numFmtId="213" fontId="24" fillId="0" borderId="0" xfId="0" applyFont="1"/>
    <xf numFmtId="172" fontId="55" fillId="0" borderId="11" xfId="0" applyNumberFormat="1" applyFont="1" applyFill="1" applyBorder="1" applyAlignment="1" applyProtection="1">
      <alignment horizontal="right"/>
    </xf>
    <xf numFmtId="172" fontId="55" fillId="0" borderId="0" xfId="0" applyNumberFormat="1" applyFont="1" applyFill="1" applyBorder="1" applyAlignment="1" applyProtection="1">
      <alignment horizontal="right"/>
    </xf>
    <xf numFmtId="194" fontId="6" fillId="0" borderId="0" xfId="0" applyNumberFormat="1" applyFont="1" applyFill="1"/>
    <xf numFmtId="172" fontId="49" fillId="0" borderId="0" xfId="0" applyNumberFormat="1" applyFont="1" applyFill="1" applyBorder="1"/>
    <xf numFmtId="213" fontId="6" fillId="0" borderId="27" xfId="0" applyFont="1" applyBorder="1"/>
    <xf numFmtId="37" fontId="6" fillId="0" borderId="0" xfId="0" applyNumberFormat="1" applyFont="1" applyFill="1"/>
    <xf numFmtId="210" fontId="34" fillId="0" borderId="0" xfId="0" applyNumberFormat="1" applyFont="1" applyFill="1" applyBorder="1" applyAlignment="1" applyProtection="1">
      <alignment horizontal="center"/>
    </xf>
    <xf numFmtId="172" fontId="17" fillId="0" borderId="12" xfId="0" applyNumberFormat="1" applyFont="1" applyFill="1" applyBorder="1" applyAlignment="1" applyProtection="1">
      <alignment horizontal="right" vertical="center"/>
    </xf>
    <xf numFmtId="172" fontId="17" fillId="0" borderId="0" xfId="0" applyNumberFormat="1" applyFont="1" applyFill="1" applyBorder="1" applyAlignment="1" applyProtection="1">
      <alignment horizontal="right" vertical="center"/>
    </xf>
    <xf numFmtId="172" fontId="17" fillId="0" borderId="17" xfId="0" applyNumberFormat="1" applyFont="1" applyFill="1" applyBorder="1" applyAlignment="1" applyProtection="1">
      <alignment horizontal="right" vertical="center"/>
    </xf>
    <xf numFmtId="9" fontId="6" fillId="0" borderId="0" xfId="71" applyFont="1"/>
    <xf numFmtId="178" fontId="34" fillId="0" borderId="20" xfId="0" applyNumberFormat="1" applyFont="1" applyFill="1" applyBorder="1"/>
    <xf numFmtId="178" fontId="34" fillId="0" borderId="17" xfId="0" applyNumberFormat="1" applyFont="1" applyFill="1" applyBorder="1"/>
    <xf numFmtId="178" fontId="37" fillId="0" borderId="17" xfId="0" applyNumberFormat="1" applyFont="1" applyFill="1" applyBorder="1"/>
    <xf numFmtId="172" fontId="34" fillId="18" borderId="14" xfId="66" applyNumberFormat="1" applyFont="1" applyFill="1" applyBorder="1"/>
    <xf numFmtId="9" fontId="23" fillId="20" borderId="13" xfId="71" applyFont="1" applyFill="1" applyBorder="1" applyAlignment="1">
      <alignment horizontal="right"/>
    </xf>
    <xf numFmtId="9" fontId="11" fillId="20" borderId="0" xfId="71" applyFont="1" applyFill="1" applyBorder="1" applyAlignment="1">
      <alignment horizontal="right"/>
    </xf>
    <xf numFmtId="0" fontId="22" fillId="18" borderId="11" xfId="66" applyFont="1" applyFill="1" applyBorder="1" applyAlignment="1">
      <alignment horizontal="left" indent="2"/>
    </xf>
    <xf numFmtId="213" fontId="20" fillId="20" borderId="0" xfId="0" applyFont="1" applyFill="1" applyBorder="1"/>
    <xf numFmtId="9" fontId="23" fillId="20" borderId="11" xfId="71" applyFont="1" applyFill="1" applyBorder="1" applyAlignment="1">
      <alignment horizontal="right"/>
    </xf>
    <xf numFmtId="9" fontId="23" fillId="20" borderId="0" xfId="71" applyFont="1" applyFill="1" applyBorder="1" applyAlignment="1">
      <alignment horizontal="right"/>
    </xf>
    <xf numFmtId="9" fontId="11" fillId="20" borderId="11" xfId="71" applyFont="1" applyFill="1" applyBorder="1" applyAlignment="1">
      <alignment horizontal="right"/>
    </xf>
    <xf numFmtId="9" fontId="11" fillId="20" borderId="27" xfId="71" applyFont="1" applyFill="1" applyBorder="1" applyAlignment="1">
      <alignment horizontal="right"/>
    </xf>
    <xf numFmtId="9" fontId="11" fillId="20" borderId="13" xfId="71" applyFont="1" applyFill="1" applyBorder="1" applyAlignment="1">
      <alignment horizontal="right"/>
    </xf>
    <xf numFmtId="0" fontId="20" fillId="20" borderId="11" xfId="66" applyFont="1" applyFill="1" applyBorder="1" applyAlignment="1">
      <alignment horizontal="left" indent="2"/>
    </xf>
    <xf numFmtId="213" fontId="12" fillId="0" borderId="0" xfId="0" applyFont="1" applyFill="1" applyBorder="1"/>
    <xf numFmtId="172" fontId="6" fillId="0" borderId="17" xfId="0" applyNumberFormat="1" applyFont="1" applyFill="1" applyBorder="1"/>
    <xf numFmtId="172" fontId="6" fillId="0" borderId="12" xfId="0" applyNumberFormat="1" applyFont="1" applyFill="1" applyBorder="1"/>
    <xf numFmtId="172" fontId="6" fillId="0" borderId="0" xfId="40" applyNumberFormat="1" applyFont="1" applyFill="1" applyBorder="1"/>
    <xf numFmtId="213" fontId="12" fillId="0" borderId="0" xfId="0" applyFont="1" applyBorder="1"/>
    <xf numFmtId="7" fontId="86" fillId="0" borderId="0" xfId="0" applyNumberFormat="1" applyFont="1" applyFill="1" applyBorder="1" applyProtection="1"/>
    <xf numFmtId="213" fontId="0" fillId="0" borderId="0" xfId="0" applyFill="1"/>
    <xf numFmtId="39" fontId="34" fillId="0" borderId="0" xfId="0" applyNumberFormat="1" applyFont="1" applyFill="1" applyBorder="1" applyAlignment="1">
      <alignment horizontal="right"/>
    </xf>
    <xf numFmtId="213" fontId="6" fillId="18" borderId="0" xfId="0" applyFont="1" applyFill="1" applyBorder="1"/>
    <xf numFmtId="167" fontId="6" fillId="0" borderId="11" xfId="0" applyNumberFormat="1" applyFont="1" applyFill="1" applyBorder="1"/>
    <xf numFmtId="167" fontId="6" fillId="0" borderId="13" xfId="0" applyNumberFormat="1" applyFont="1" applyFill="1" applyBorder="1"/>
    <xf numFmtId="167" fontId="6" fillId="0" borderId="18" xfId="0" applyNumberFormat="1" applyFont="1" applyFill="1" applyBorder="1"/>
    <xf numFmtId="167" fontId="6" fillId="0" borderId="17" xfId="0" applyNumberFormat="1" applyFont="1" applyFill="1" applyBorder="1"/>
    <xf numFmtId="167" fontId="6" fillId="0" borderId="20" xfId="0" applyNumberFormat="1" applyFont="1" applyFill="1" applyBorder="1"/>
    <xf numFmtId="213" fontId="6" fillId="0" borderId="27" xfId="0" applyFont="1" applyFill="1" applyBorder="1"/>
    <xf numFmtId="0" fontId="13" fillId="17" borderId="11" xfId="66" applyFont="1" applyFill="1" applyBorder="1"/>
    <xf numFmtId="9" fontId="6" fillId="0" borderId="0" xfId="71" applyFont="1" applyBorder="1"/>
    <xf numFmtId="172" fontId="6" fillId="0" borderId="0" xfId="0" applyNumberFormat="1" applyFont="1" applyFill="1" applyBorder="1" applyAlignment="1">
      <alignment horizontal="center"/>
    </xf>
    <xf numFmtId="168" fontId="6" fillId="0" borderId="0" xfId="0" applyNumberFormat="1" applyFont="1" applyFill="1" applyBorder="1"/>
    <xf numFmtId="172" fontId="37" fillId="0" borderId="11" xfId="0" applyNumberFormat="1" applyFont="1" applyFill="1" applyBorder="1" applyProtection="1"/>
    <xf numFmtId="185" fontId="27" fillId="0" borderId="0" xfId="0" applyNumberFormat="1" applyFont="1" applyFill="1"/>
    <xf numFmtId="183" fontId="27" fillId="0" borderId="0" xfId="0" applyNumberFormat="1" applyFont="1" applyFill="1"/>
    <xf numFmtId="186" fontId="27" fillId="0" borderId="0" xfId="0" applyNumberFormat="1" applyFont="1" applyFill="1"/>
    <xf numFmtId="198" fontId="27" fillId="0" borderId="0" xfId="0" applyNumberFormat="1" applyFont="1" applyFill="1"/>
    <xf numFmtId="198" fontId="27" fillId="0" borderId="0" xfId="0" applyNumberFormat="1" applyFont="1" applyFill="1" applyBorder="1"/>
    <xf numFmtId="198" fontId="27" fillId="0" borderId="0" xfId="38" applyNumberFormat="1" applyFont="1" applyFill="1"/>
    <xf numFmtId="213" fontId="27" fillId="0" borderId="0" xfId="0" applyFont="1" applyFill="1"/>
    <xf numFmtId="213" fontId="12" fillId="0" borderId="12" xfId="0" applyFont="1" applyFill="1" applyBorder="1"/>
    <xf numFmtId="213" fontId="34" fillId="0" borderId="12" xfId="0" applyFont="1" applyFill="1" applyBorder="1"/>
    <xf numFmtId="213" fontId="34" fillId="0" borderId="28" xfId="0" applyFont="1" applyFill="1" applyBorder="1"/>
    <xf numFmtId="213" fontId="34" fillId="0" borderId="19" xfId="0" applyFont="1" applyFill="1" applyBorder="1"/>
    <xf numFmtId="166" fontId="12" fillId="0" borderId="19" xfId="0" applyNumberFormat="1" applyFont="1" applyFill="1" applyBorder="1"/>
    <xf numFmtId="213" fontId="6" fillId="17" borderId="15" xfId="0" applyFont="1" applyFill="1" applyBorder="1"/>
    <xf numFmtId="213" fontId="6" fillId="17" borderId="14" xfId="0" applyFont="1" applyFill="1" applyBorder="1"/>
    <xf numFmtId="213" fontId="14" fillId="17" borderId="31" xfId="0" applyFont="1" applyFill="1" applyBorder="1"/>
    <xf numFmtId="213" fontId="6" fillId="17" borderId="16" xfId="0" applyFont="1" applyFill="1" applyBorder="1"/>
    <xf numFmtId="167" fontId="6" fillId="0" borderId="11" xfId="71" applyNumberFormat="1" applyFont="1" applyFill="1" applyBorder="1"/>
    <xf numFmtId="167" fontId="6" fillId="0" borderId="13" xfId="71" applyNumberFormat="1" applyFont="1" applyFill="1" applyBorder="1"/>
    <xf numFmtId="167" fontId="6" fillId="0" borderId="0" xfId="71" applyNumberFormat="1" applyFont="1" applyFill="1" applyBorder="1" applyAlignment="1">
      <alignment horizontal="right"/>
    </xf>
    <xf numFmtId="176" fontId="6" fillId="0" borderId="0" xfId="38" applyNumberFormat="1" applyFont="1" applyFill="1" applyBorder="1" applyAlignment="1">
      <alignment horizontal="right"/>
    </xf>
    <xf numFmtId="176" fontId="6" fillId="0" borderId="0" xfId="38" applyNumberFormat="1" applyFont="1" applyFill="1" applyBorder="1"/>
    <xf numFmtId="176" fontId="6" fillId="0" borderId="13" xfId="38" applyNumberFormat="1" applyFont="1" applyFill="1" applyBorder="1"/>
    <xf numFmtId="176" fontId="6" fillId="0" borderId="11" xfId="38" applyNumberFormat="1" applyFont="1" applyFill="1" applyBorder="1"/>
    <xf numFmtId="176" fontId="12" fillId="0" borderId="28" xfId="38" applyNumberFormat="1" applyFont="1" applyFill="1" applyBorder="1"/>
    <xf numFmtId="176" fontId="12" fillId="0" borderId="12" xfId="38" applyNumberFormat="1" applyFont="1" applyFill="1" applyBorder="1"/>
    <xf numFmtId="176" fontId="6" fillId="0" borderId="18" xfId="38" applyNumberFormat="1" applyFont="1" applyFill="1" applyBorder="1"/>
    <xf numFmtId="7" fontId="49" fillId="0" borderId="11" xfId="0" applyNumberFormat="1" applyFont="1" applyFill="1" applyBorder="1" applyProtection="1"/>
    <xf numFmtId="168" fontId="14" fillId="0" borderId="11" xfId="0" applyNumberFormat="1" applyFont="1" applyFill="1" applyBorder="1"/>
    <xf numFmtId="37" fontId="6" fillId="0" borderId="11" xfId="0" applyNumberFormat="1" applyFont="1" applyFill="1" applyBorder="1" applyAlignment="1"/>
    <xf numFmtId="37" fontId="6" fillId="0" borderId="11" xfId="0" applyNumberFormat="1" applyFont="1" applyFill="1" applyBorder="1"/>
    <xf numFmtId="172" fontId="6" fillId="0" borderId="18" xfId="0" applyNumberFormat="1" applyFont="1" applyFill="1" applyBorder="1"/>
    <xf numFmtId="172" fontId="6" fillId="0" borderId="28" xfId="0" applyNumberFormat="1" applyFont="1" applyFill="1" applyBorder="1"/>
    <xf numFmtId="168" fontId="6" fillId="0" borderId="11" xfId="0" applyNumberFormat="1" applyFont="1" applyFill="1" applyBorder="1"/>
    <xf numFmtId="172" fontId="14" fillId="0" borderId="18" xfId="0" applyNumberFormat="1" applyFont="1" applyFill="1" applyBorder="1"/>
    <xf numFmtId="172" fontId="14" fillId="0" borderId="28" xfId="0" applyNumberFormat="1" applyFont="1" applyFill="1" applyBorder="1"/>
    <xf numFmtId="172" fontId="6" fillId="18" borderId="14" xfId="0" applyNumberFormat="1" applyFont="1" applyFill="1" applyBorder="1"/>
    <xf numFmtId="172" fontId="6" fillId="0" borderId="14" xfId="0" applyNumberFormat="1" applyFont="1" applyFill="1" applyBorder="1"/>
    <xf numFmtId="168" fontId="12" fillId="0" borderId="15" xfId="0" applyNumberFormat="1" applyFont="1" applyFill="1" applyBorder="1"/>
    <xf numFmtId="168" fontId="12" fillId="18" borderId="14" xfId="0" applyNumberFormat="1" applyFont="1" applyFill="1" applyBorder="1"/>
    <xf numFmtId="168" fontId="12" fillId="0" borderId="0" xfId="0" applyNumberFormat="1" applyFont="1" applyFill="1" applyBorder="1"/>
    <xf numFmtId="43" fontId="13" fillId="17" borderId="28" xfId="38" applyFont="1" applyFill="1" applyBorder="1"/>
    <xf numFmtId="43" fontId="13" fillId="17" borderId="28" xfId="38" applyFont="1" applyFill="1" applyBorder="1" applyAlignment="1">
      <alignment horizontal="center"/>
    </xf>
    <xf numFmtId="43" fontId="13" fillId="17" borderId="11" xfId="38" applyFont="1" applyFill="1" applyBorder="1"/>
    <xf numFmtId="213" fontId="6" fillId="0" borderId="38" xfId="0" applyFont="1" applyFill="1" applyBorder="1" applyAlignment="1">
      <alignment horizontal="center"/>
    </xf>
    <xf numFmtId="168" fontId="6" fillId="0" borderId="11" xfId="0" applyNumberFormat="1" applyFont="1" applyFill="1" applyBorder="1" applyAlignment="1">
      <alignment horizontal="right"/>
    </xf>
    <xf numFmtId="185" fontId="14" fillId="0" borderId="11" xfId="0" applyNumberFormat="1" applyFont="1" applyFill="1" applyBorder="1" applyAlignment="1">
      <alignment horizontal="center"/>
    </xf>
    <xf numFmtId="185" fontId="14" fillId="0" borderId="11" xfId="0" applyNumberFormat="1" applyFont="1" applyFill="1" applyBorder="1" applyAlignment="1" applyProtection="1">
      <alignment horizontal="center"/>
    </xf>
    <xf numFmtId="185" fontId="12" fillId="0" borderId="18" xfId="0" applyNumberFormat="1" applyFont="1" applyFill="1" applyBorder="1" applyAlignment="1" applyProtection="1">
      <alignment horizontal="center"/>
    </xf>
    <xf numFmtId="183" fontId="6" fillId="0" borderId="11" xfId="0" applyNumberFormat="1" applyFont="1" applyFill="1" applyBorder="1" applyAlignment="1">
      <alignment horizontal="center"/>
    </xf>
    <xf numFmtId="183" fontId="6" fillId="0" borderId="38" xfId="0" applyNumberFormat="1" applyFont="1" applyFill="1" applyBorder="1" applyAlignment="1" applyProtection="1">
      <alignment horizontal="center"/>
    </xf>
    <xf numFmtId="185" fontId="12" fillId="0" borderId="40" xfId="0" applyNumberFormat="1" applyFont="1" applyFill="1" applyBorder="1" applyAlignment="1" applyProtection="1">
      <alignment horizontal="center"/>
    </xf>
    <xf numFmtId="185" fontId="12" fillId="0" borderId="45" xfId="0" applyNumberFormat="1" applyFont="1" applyFill="1" applyBorder="1" applyAlignment="1" applyProtection="1">
      <alignment horizontal="center"/>
    </xf>
    <xf numFmtId="209" fontId="6" fillId="0" borderId="0" xfId="0" applyNumberFormat="1" applyFont="1" applyFill="1" applyBorder="1" applyAlignment="1" applyProtection="1">
      <alignment horizontal="center"/>
    </xf>
    <xf numFmtId="172" fontId="6" fillId="0" borderId="28" xfId="0" applyNumberFormat="1" applyFont="1" applyFill="1" applyBorder="1" applyAlignment="1" applyProtection="1">
      <alignment horizontal="right"/>
    </xf>
    <xf numFmtId="172" fontId="6" fillId="0" borderId="11" xfId="0" applyNumberFormat="1" applyFont="1" applyFill="1" applyBorder="1" applyAlignment="1" applyProtection="1">
      <alignment horizontal="right"/>
    </xf>
    <xf numFmtId="7" fontId="6" fillId="0" borderId="18" xfId="0" applyNumberFormat="1" applyFont="1" applyFill="1" applyBorder="1" applyAlignment="1" applyProtection="1">
      <alignment horizontal="right"/>
    </xf>
    <xf numFmtId="183" fontId="6" fillId="0" borderId="0" xfId="0" applyNumberFormat="1" applyFont="1" applyFill="1" applyAlignment="1" applyProtection="1">
      <alignment horizontal="center"/>
    </xf>
    <xf numFmtId="167" fontId="6" fillId="0" borderId="28" xfId="71" applyNumberFormat="1" applyFont="1" applyFill="1" applyBorder="1" applyAlignment="1" applyProtection="1">
      <alignment horizontal="center"/>
    </xf>
    <xf numFmtId="167" fontId="6" fillId="0" borderId="11" xfId="71" applyNumberFormat="1" applyFont="1" applyFill="1" applyBorder="1" applyAlignment="1" applyProtection="1">
      <alignment horizontal="center"/>
    </xf>
    <xf numFmtId="183" fontId="6" fillId="0" borderId="0" xfId="0" applyNumberFormat="1" applyFont="1" applyFill="1" applyBorder="1" applyAlignment="1" applyProtection="1">
      <alignment horizontal="center"/>
    </xf>
    <xf numFmtId="185" fontId="6" fillId="0" borderId="28" xfId="0" applyNumberFormat="1" applyFont="1" applyFill="1" applyBorder="1" applyAlignment="1" applyProtection="1">
      <alignment horizontal="right"/>
    </xf>
    <xf numFmtId="185" fontId="6" fillId="0" borderId="11" xfId="0" applyNumberFormat="1" applyFont="1" applyFill="1" applyBorder="1" applyAlignment="1" applyProtection="1">
      <alignment horizontal="right"/>
    </xf>
    <xf numFmtId="185" fontId="6" fillId="0" borderId="18" xfId="0" applyNumberFormat="1" applyFont="1" applyFill="1" applyBorder="1" applyAlignment="1" applyProtection="1">
      <alignment horizontal="center"/>
    </xf>
    <xf numFmtId="188" fontId="6" fillId="0" borderId="28" xfId="80" applyNumberFormat="1" applyFont="1" applyFill="1" applyBorder="1" applyAlignment="1">
      <alignment horizontal="right"/>
      <protection locked="0"/>
    </xf>
    <xf numFmtId="188" fontId="6" fillId="0" borderId="11" xfId="80" applyNumberFormat="1" applyFont="1" applyFill="1" applyBorder="1" applyAlignment="1">
      <alignment horizontal="right"/>
      <protection locked="0"/>
    </xf>
    <xf numFmtId="188" fontId="6" fillId="0" borderId="18" xfId="80" applyNumberFormat="1" applyFont="1" applyFill="1" applyBorder="1" applyAlignment="1">
      <alignment horizontal="right"/>
      <protection locked="0"/>
    </xf>
    <xf numFmtId="185" fontId="6" fillId="0" borderId="12" xfId="0" applyNumberFormat="1" applyFont="1" applyFill="1" applyBorder="1" applyAlignment="1" applyProtection="1">
      <alignment horizontal="center"/>
    </xf>
    <xf numFmtId="185" fontId="6" fillId="0" borderId="0" xfId="0" applyNumberFormat="1" applyFont="1" applyFill="1" applyBorder="1" applyAlignment="1" applyProtection="1">
      <alignment horizontal="center"/>
    </xf>
    <xf numFmtId="185" fontId="6" fillId="0" borderId="17" xfId="0" applyNumberFormat="1" applyFont="1" applyFill="1" applyBorder="1" applyAlignment="1" applyProtection="1">
      <alignment horizontal="center"/>
    </xf>
    <xf numFmtId="167" fontId="6" fillId="0" borderId="28" xfId="71" applyNumberFormat="1" applyFont="1" applyFill="1" applyBorder="1" applyAlignment="1" applyProtection="1">
      <alignment horizontal="right"/>
    </xf>
    <xf numFmtId="167" fontId="6" fillId="0" borderId="11" xfId="71" applyNumberFormat="1" applyFont="1" applyFill="1" applyBorder="1" applyAlignment="1" applyProtection="1">
      <alignment horizontal="right"/>
    </xf>
    <xf numFmtId="167" fontId="6" fillId="0" borderId="18" xfId="71" applyNumberFormat="1" applyFont="1" applyFill="1" applyBorder="1" applyAlignment="1" applyProtection="1">
      <alignment horizontal="right"/>
    </xf>
    <xf numFmtId="172" fontId="49" fillId="0" borderId="11" xfId="0" applyNumberFormat="1" applyFont="1" applyFill="1" applyBorder="1" applyAlignment="1" applyProtection="1">
      <alignment horizontal="right"/>
    </xf>
    <xf numFmtId="172" fontId="14" fillId="0" borderId="11" xfId="0" applyNumberFormat="1" applyFont="1" applyFill="1" applyBorder="1" applyAlignment="1" applyProtection="1">
      <alignment horizontal="right"/>
    </xf>
    <xf numFmtId="172" fontId="6" fillId="0" borderId="18" xfId="0" applyNumberFormat="1" applyFont="1" applyFill="1" applyBorder="1" applyAlignment="1" applyProtection="1">
      <alignment horizontal="right"/>
    </xf>
    <xf numFmtId="172" fontId="6" fillId="0" borderId="17" xfId="0" applyNumberFormat="1" applyFont="1" applyFill="1" applyBorder="1" applyAlignment="1" applyProtection="1">
      <alignment horizontal="right"/>
    </xf>
    <xf numFmtId="172" fontId="14" fillId="0" borderId="11" xfId="38" applyNumberFormat="1" applyFont="1" applyFill="1" applyBorder="1" applyAlignment="1"/>
    <xf numFmtId="166" fontId="6" fillId="0" borderId="11" xfId="0" applyNumberFormat="1" applyFont="1" applyFill="1" applyBorder="1"/>
    <xf numFmtId="166" fontId="14" fillId="0" borderId="11" xfId="0" applyNumberFormat="1" applyFont="1" applyFill="1" applyBorder="1"/>
    <xf numFmtId="185" fontId="6" fillId="0" borderId="28" xfId="0" applyNumberFormat="1" applyFont="1" applyFill="1" applyBorder="1" applyAlignment="1" applyProtection="1">
      <alignment horizontal="center"/>
    </xf>
    <xf numFmtId="185" fontId="6" fillId="0" borderId="11" xfId="0" applyNumberFormat="1" applyFont="1" applyFill="1" applyBorder="1" applyAlignment="1" applyProtection="1">
      <alignment horizontal="center"/>
    </xf>
    <xf numFmtId="187" fontId="6" fillId="0" borderId="11" xfId="0" applyNumberFormat="1" applyFont="1" applyFill="1" applyBorder="1" applyAlignment="1" applyProtection="1">
      <alignment horizontal="center"/>
    </xf>
    <xf numFmtId="183" fontId="6" fillId="0" borderId="28" xfId="0" applyNumberFormat="1" applyFont="1" applyFill="1" applyBorder="1" applyAlignment="1" applyProtection="1">
      <alignment horizontal="center"/>
    </xf>
    <xf numFmtId="167" fontId="14" fillId="0" borderId="11" xfId="71" applyNumberFormat="1" applyFont="1" applyFill="1" applyBorder="1" applyAlignment="1">
      <alignment horizontal="right"/>
    </xf>
    <xf numFmtId="167" fontId="14" fillId="0" borderId="18" xfId="71" applyNumberFormat="1" applyFont="1" applyFill="1" applyBorder="1" applyAlignment="1">
      <alignment horizontal="right"/>
    </xf>
    <xf numFmtId="185" fontId="6" fillId="0" borderId="28" xfId="0" applyNumberFormat="1" applyFont="1" applyFill="1" applyBorder="1" applyAlignment="1">
      <alignment horizontal="center"/>
    </xf>
    <xf numFmtId="185" fontId="6" fillId="0" borderId="11" xfId="0" applyNumberFormat="1" applyFont="1" applyFill="1" applyBorder="1" applyAlignment="1">
      <alignment horizontal="center"/>
    </xf>
    <xf numFmtId="213" fontId="6" fillId="0" borderId="11" xfId="0" applyFont="1" applyFill="1" applyBorder="1" applyAlignment="1">
      <alignment horizontal="center"/>
    </xf>
    <xf numFmtId="166" fontId="6" fillId="0" borderId="18" xfId="0" applyNumberFormat="1" applyFont="1" applyFill="1" applyBorder="1" applyAlignment="1">
      <alignment horizontal="right"/>
    </xf>
    <xf numFmtId="168" fontId="12" fillId="0" borderId="12" xfId="0" applyNumberFormat="1" applyFont="1" applyFill="1" applyBorder="1" applyProtection="1"/>
    <xf numFmtId="167" fontId="14" fillId="0" borderId="0" xfId="0" applyNumberFormat="1" applyFont="1" applyFill="1" applyBorder="1" applyAlignment="1" applyProtection="1"/>
    <xf numFmtId="167" fontId="12" fillId="0" borderId="0" xfId="0" applyNumberFormat="1" applyFont="1" applyFill="1" applyBorder="1" applyAlignment="1" applyProtection="1"/>
    <xf numFmtId="172" fontId="6" fillId="0" borderId="0" xfId="34" applyNumberFormat="1" applyFont="1" applyFill="1" applyAlignment="1" applyProtection="1">
      <alignment horizontal="right"/>
    </xf>
    <xf numFmtId="168" fontId="6" fillId="0" borderId="0" xfId="0" applyNumberFormat="1" applyFont="1" applyFill="1" applyBorder="1" applyAlignment="1">
      <alignment horizontal="right"/>
    </xf>
    <xf numFmtId="7" fontId="6" fillId="0" borderId="0" xfId="40" applyNumberFormat="1" applyFont="1" applyFill="1" applyBorder="1" applyAlignment="1">
      <alignment horizontal="right"/>
    </xf>
    <xf numFmtId="7" fontId="6" fillId="0" borderId="17" xfId="0" applyNumberFormat="1" applyFont="1" applyFill="1" applyBorder="1" applyAlignment="1">
      <alignment horizontal="right"/>
    </xf>
    <xf numFmtId="37" fontId="6" fillId="0" borderId="0" xfId="0" applyNumberFormat="1" applyFont="1" applyFill="1" applyBorder="1" applyAlignment="1">
      <alignment horizontal="right"/>
    </xf>
    <xf numFmtId="172" fontId="12" fillId="0" borderId="0" xfId="0" applyNumberFormat="1" applyFont="1" applyFill="1" applyBorder="1" applyAlignment="1">
      <alignment horizontal="right"/>
    </xf>
    <xf numFmtId="37" fontId="14" fillId="0" borderId="0" xfId="0" applyNumberFormat="1" applyFont="1" applyFill="1" applyBorder="1" applyAlignment="1">
      <alignment horizontal="right"/>
    </xf>
    <xf numFmtId="9" fontId="6" fillId="0" borderId="0" xfId="71" applyNumberFormat="1" applyFont="1" applyFill="1" applyBorder="1" applyAlignment="1">
      <alignment horizontal="right"/>
    </xf>
    <xf numFmtId="7" fontId="6" fillId="0" borderId="0" xfId="38" applyNumberFormat="1" applyFont="1" applyFill="1" applyBorder="1" applyAlignment="1">
      <alignment horizontal="right"/>
    </xf>
    <xf numFmtId="167" fontId="6" fillId="0" borderId="17" xfId="71" applyNumberFormat="1" applyFont="1" applyFill="1" applyBorder="1" applyAlignment="1">
      <alignment horizontal="right"/>
    </xf>
    <xf numFmtId="168" fontId="6" fillId="0" borderId="0" xfId="0" applyNumberFormat="1" applyFont="1" applyFill="1" applyAlignment="1">
      <alignment horizontal="right"/>
    </xf>
    <xf numFmtId="185" fontId="14" fillId="0" borderId="0" xfId="0" applyNumberFormat="1" applyFont="1" applyFill="1" applyAlignment="1">
      <alignment horizontal="center"/>
    </xf>
    <xf numFmtId="185" fontId="14" fillId="0" borderId="0" xfId="0" applyNumberFormat="1" applyFont="1" applyFill="1" applyAlignment="1" applyProtection="1">
      <alignment horizontal="center"/>
    </xf>
    <xf numFmtId="185" fontId="12" fillId="0" borderId="17" xfId="0" applyNumberFormat="1" applyFont="1" applyFill="1" applyBorder="1" applyAlignment="1" applyProtection="1">
      <alignment horizontal="center"/>
    </xf>
    <xf numFmtId="183" fontId="6" fillId="0" borderId="0" xfId="0" applyNumberFormat="1" applyFont="1" applyFill="1" applyAlignment="1">
      <alignment horizontal="center"/>
    </xf>
    <xf numFmtId="185" fontId="12" fillId="0" borderId="41" xfId="0" applyNumberFormat="1" applyFont="1" applyFill="1" applyBorder="1" applyAlignment="1" applyProtection="1">
      <alignment horizontal="center"/>
    </xf>
    <xf numFmtId="172" fontId="6" fillId="0" borderId="0" xfId="0" applyNumberFormat="1" applyFont="1" applyFill="1" applyBorder="1" applyAlignment="1" applyProtection="1">
      <alignment horizontal="right"/>
    </xf>
    <xf numFmtId="7" fontId="6" fillId="0" borderId="17" xfId="0" applyNumberFormat="1" applyFont="1" applyFill="1" applyBorder="1" applyAlignment="1" applyProtection="1">
      <alignment horizontal="right"/>
    </xf>
    <xf numFmtId="167" fontId="6" fillId="0" borderId="12" xfId="71" applyNumberFormat="1" applyFont="1" applyFill="1" applyBorder="1" applyAlignment="1" applyProtection="1">
      <alignment horizontal="center"/>
    </xf>
    <xf numFmtId="167" fontId="6" fillId="0" borderId="0" xfId="71" applyNumberFormat="1" applyFont="1" applyFill="1" applyBorder="1" applyAlignment="1" applyProtection="1">
      <alignment horizontal="center"/>
    </xf>
    <xf numFmtId="185" fontId="6" fillId="0" borderId="12" xfId="0" applyNumberFormat="1" applyFont="1" applyFill="1" applyBorder="1" applyAlignment="1" applyProtection="1">
      <alignment horizontal="right"/>
    </xf>
    <xf numFmtId="185" fontId="6" fillId="0" borderId="0" xfId="0" applyNumberFormat="1" applyFont="1" applyFill="1" applyBorder="1" applyAlignment="1" applyProtection="1">
      <alignment horizontal="right"/>
    </xf>
    <xf numFmtId="188" fontId="6" fillId="0" borderId="12" xfId="80" applyNumberFormat="1" applyFont="1" applyFill="1" applyBorder="1" applyAlignment="1">
      <alignment horizontal="right"/>
      <protection locked="0"/>
    </xf>
    <xf numFmtId="188" fontId="6" fillId="0" borderId="0" xfId="80" applyNumberFormat="1" applyFont="1" applyFill="1" applyBorder="1" applyAlignment="1">
      <alignment horizontal="right"/>
      <protection locked="0"/>
    </xf>
    <xf numFmtId="188" fontId="6" fillId="0" borderId="17" xfId="80" applyNumberFormat="1" applyFont="1" applyFill="1" applyBorder="1" applyAlignment="1">
      <alignment horizontal="right"/>
      <protection locked="0"/>
    </xf>
    <xf numFmtId="167" fontId="6" fillId="0" borderId="12" xfId="71" applyNumberFormat="1" applyFont="1" applyFill="1" applyBorder="1" applyAlignment="1" applyProtection="1">
      <alignment horizontal="right"/>
    </xf>
    <xf numFmtId="167" fontId="6" fillId="0" borderId="0" xfId="71" applyNumberFormat="1" applyFont="1" applyFill="1" applyBorder="1" applyAlignment="1" applyProtection="1">
      <alignment horizontal="right"/>
    </xf>
    <xf numFmtId="167" fontId="6" fillId="0" borderId="17" xfId="71" applyNumberFormat="1" applyFont="1" applyFill="1" applyBorder="1" applyAlignment="1" applyProtection="1">
      <alignment horizontal="right"/>
    </xf>
    <xf numFmtId="172" fontId="6" fillId="0" borderId="12" xfId="0" applyNumberFormat="1" applyFont="1" applyFill="1" applyBorder="1" applyAlignment="1" applyProtection="1">
      <alignment horizontal="right"/>
    </xf>
    <xf numFmtId="172" fontId="49" fillId="0" borderId="0" xfId="0" applyNumberFormat="1" applyFont="1" applyFill="1" applyBorder="1" applyAlignment="1" applyProtection="1">
      <alignment horizontal="right"/>
    </xf>
    <xf numFmtId="172" fontId="14" fillId="0" borderId="0" xfId="0" applyNumberFormat="1" applyFont="1" applyFill="1" applyBorder="1" applyAlignment="1" applyProtection="1">
      <alignment horizontal="right"/>
    </xf>
    <xf numFmtId="172" fontId="14" fillId="0" borderId="0" xfId="38" applyNumberFormat="1" applyFont="1" applyFill="1" applyBorder="1" applyAlignment="1"/>
    <xf numFmtId="166" fontId="6" fillId="0" borderId="0" xfId="0" applyNumberFormat="1" applyFont="1" applyFill="1" applyBorder="1"/>
    <xf numFmtId="166" fontId="14" fillId="0" borderId="0" xfId="0" applyNumberFormat="1" applyFont="1" applyFill="1" applyBorder="1"/>
    <xf numFmtId="187" fontId="6" fillId="0" borderId="0" xfId="0" applyNumberFormat="1" applyFont="1" applyFill="1" applyBorder="1" applyAlignment="1" applyProtection="1">
      <alignment horizontal="center"/>
    </xf>
    <xf numFmtId="183" fontId="6" fillId="0" borderId="12" xfId="0" applyNumberFormat="1" applyFont="1" applyFill="1" applyBorder="1" applyAlignment="1" applyProtection="1">
      <alignment horizontal="center"/>
    </xf>
    <xf numFmtId="167" fontId="14" fillId="0" borderId="0" xfId="71" applyNumberFormat="1" applyFont="1" applyFill="1" applyBorder="1" applyAlignment="1">
      <alignment horizontal="right"/>
    </xf>
    <xf numFmtId="167" fontId="14" fillId="0" borderId="17" xfId="71" applyNumberFormat="1" applyFont="1" applyFill="1" applyBorder="1" applyAlignment="1">
      <alignment horizontal="right"/>
    </xf>
    <xf numFmtId="185" fontId="6" fillId="0" borderId="0" xfId="0" applyNumberFormat="1" applyFont="1" applyFill="1" applyBorder="1" applyAlignment="1">
      <alignment horizontal="center"/>
    </xf>
    <xf numFmtId="183" fontId="6" fillId="0" borderId="0" xfId="0" applyNumberFormat="1" applyFont="1" applyFill="1" applyBorder="1" applyAlignment="1">
      <alignment horizontal="center"/>
    </xf>
    <xf numFmtId="166" fontId="6" fillId="0" borderId="17" xfId="0" applyNumberFormat="1" applyFont="1" applyFill="1" applyBorder="1" applyAlignment="1">
      <alignment horizontal="right"/>
    </xf>
    <xf numFmtId="172" fontId="14" fillId="0" borderId="17" xfId="0" applyNumberFormat="1" applyFont="1" applyFill="1" applyBorder="1"/>
    <xf numFmtId="172" fontId="87" fillId="0" borderId="0" xfId="0" applyNumberFormat="1" applyFont="1" applyFill="1" applyBorder="1" applyAlignment="1">
      <alignment horizontal="right"/>
    </xf>
    <xf numFmtId="168" fontId="87" fillId="0" borderId="0" xfId="0" applyNumberFormat="1" applyFont="1" applyFill="1" applyBorder="1"/>
    <xf numFmtId="215" fontId="89" fillId="17" borderId="14" xfId="0" applyNumberFormat="1" applyFont="1" applyFill="1" applyBorder="1"/>
    <xf numFmtId="215" fontId="89" fillId="17" borderId="15" xfId="0" applyNumberFormat="1" applyFont="1" applyFill="1" applyBorder="1"/>
    <xf numFmtId="43" fontId="25" fillId="0" borderId="0" xfId="38" applyNumberFormat="1" applyFont="1" applyFill="1" applyBorder="1"/>
    <xf numFmtId="7" fontId="28" fillId="0" borderId="0" xfId="40" applyNumberFormat="1" applyFont="1" applyFill="1" applyBorder="1"/>
    <xf numFmtId="172" fontId="90" fillId="0" borderId="0" xfId="0" applyNumberFormat="1" applyFont="1" applyFill="1" applyBorder="1"/>
    <xf numFmtId="5" fontId="87" fillId="0" borderId="11" xfId="0" applyNumberFormat="1" applyFont="1" applyFill="1" applyBorder="1"/>
    <xf numFmtId="5" fontId="87" fillId="0" borderId="0" xfId="0" applyNumberFormat="1" applyFont="1" applyFill="1" applyBorder="1"/>
    <xf numFmtId="37" fontId="87" fillId="0" borderId="17" xfId="0" applyNumberFormat="1" applyFont="1" applyFill="1" applyBorder="1"/>
    <xf numFmtId="169" fontId="91" fillId="0" borderId="13" xfId="0" applyNumberFormat="1" applyFont="1" applyFill="1" applyBorder="1" applyProtection="1"/>
    <xf numFmtId="169" fontId="91" fillId="0" borderId="11" xfId="0" applyNumberFormat="1" applyFont="1" applyFill="1" applyBorder="1" applyProtection="1"/>
    <xf numFmtId="213" fontId="12" fillId="0" borderId="11" xfId="0" applyFont="1" applyFill="1" applyBorder="1"/>
    <xf numFmtId="0" fontId="6" fillId="0" borderId="0" xfId="0" applyNumberFormat="1" applyFont="1" applyFill="1" applyBorder="1"/>
    <xf numFmtId="0" fontId="12" fillId="0" borderId="0" xfId="0" applyNumberFormat="1" applyFont="1" applyFill="1" applyBorder="1" applyAlignment="1">
      <alignment horizontal="center"/>
    </xf>
    <xf numFmtId="0" fontId="12" fillId="0" borderId="37" xfId="0" applyNumberFormat="1" applyFont="1" applyFill="1" applyBorder="1" applyAlignment="1">
      <alignment horizontal="right"/>
    </xf>
    <xf numFmtId="171" fontId="13" fillId="0" borderId="0" xfId="0" applyNumberFormat="1" applyFont="1" applyFill="1" applyBorder="1" applyAlignment="1">
      <alignment horizontal="right"/>
    </xf>
    <xf numFmtId="171" fontId="13" fillId="0" borderId="0" xfId="0" applyNumberFormat="1" applyFont="1" applyFill="1" applyBorder="1" applyAlignment="1">
      <alignment horizontal="center"/>
    </xf>
    <xf numFmtId="0" fontId="12" fillId="0" borderId="0" xfId="0" applyNumberFormat="1" applyFont="1" applyFill="1" applyBorder="1" applyAlignment="1">
      <alignment horizontal="right"/>
    </xf>
    <xf numFmtId="0" fontId="12" fillId="0" borderId="13" xfId="0" applyNumberFormat="1" applyFont="1" applyFill="1" applyBorder="1" applyAlignment="1">
      <alignment horizontal="right"/>
    </xf>
    <xf numFmtId="171" fontId="13" fillId="17" borderId="11" xfId="0" applyNumberFormat="1" applyFont="1" applyFill="1" applyBorder="1" applyAlignment="1">
      <alignment horizontal="right"/>
    </xf>
    <xf numFmtId="171" fontId="13" fillId="17" borderId="0" xfId="0" applyNumberFormat="1" applyFont="1" applyFill="1" applyBorder="1" applyAlignment="1">
      <alignment horizontal="center"/>
    </xf>
    <xf numFmtId="171" fontId="13" fillId="17" borderId="11" xfId="0" applyNumberFormat="1" applyFont="1" applyFill="1" applyBorder="1" applyAlignment="1">
      <alignment horizontal="center"/>
    </xf>
    <xf numFmtId="171" fontId="12" fillId="0" borderId="0" xfId="0" applyNumberFormat="1" applyFont="1" applyFill="1" applyBorder="1" applyAlignment="1">
      <alignment horizontal="center"/>
    </xf>
    <xf numFmtId="171" fontId="12" fillId="0" borderId="11" xfId="0" applyNumberFormat="1" applyFont="1" applyFill="1" applyBorder="1" applyAlignment="1">
      <alignment horizontal="right"/>
    </xf>
    <xf numFmtId="213" fontId="20" fillId="0" borderId="47" xfId="0" applyFont="1" applyFill="1" applyBorder="1"/>
    <xf numFmtId="213" fontId="6" fillId="0" borderId="48" xfId="0" applyFont="1" applyBorder="1"/>
    <xf numFmtId="213" fontId="6" fillId="0" borderId="49" xfId="0" applyFont="1" applyBorder="1"/>
    <xf numFmtId="213" fontId="6" fillId="0" borderId="29" xfId="0" applyFont="1" applyBorder="1"/>
    <xf numFmtId="213" fontId="6" fillId="0" borderId="50" xfId="0" applyFont="1" applyBorder="1"/>
    <xf numFmtId="213" fontId="12" fillId="0" borderId="38" xfId="0" applyFont="1" applyFill="1" applyBorder="1"/>
    <xf numFmtId="213" fontId="6" fillId="0" borderId="51" xfId="0" applyFont="1" applyBorder="1"/>
    <xf numFmtId="213" fontId="6" fillId="0" borderId="38" xfId="0" applyFont="1" applyFill="1" applyBorder="1"/>
    <xf numFmtId="213" fontId="6" fillId="0" borderId="38" xfId="0" applyFont="1" applyFill="1" applyBorder="1" applyAlignment="1">
      <alignment horizontal="left" indent="1"/>
    </xf>
    <xf numFmtId="213" fontId="6" fillId="0" borderId="52" xfId="0" applyFont="1" applyFill="1" applyBorder="1"/>
    <xf numFmtId="213" fontId="6" fillId="0" borderId="9" xfId="0" applyFont="1" applyFill="1" applyBorder="1"/>
    <xf numFmtId="213" fontId="6" fillId="0" borderId="53" xfId="0" applyFont="1" applyBorder="1"/>
    <xf numFmtId="213" fontId="6" fillId="0" borderId="54" xfId="0" applyFont="1" applyBorder="1"/>
    <xf numFmtId="213" fontId="6" fillId="0" borderId="9" xfId="0" applyFont="1" applyBorder="1"/>
    <xf numFmtId="172" fontId="6" fillId="0" borderId="9" xfId="0" applyNumberFormat="1" applyFont="1" applyBorder="1"/>
    <xf numFmtId="172" fontId="6" fillId="0" borderId="53" xfId="0" applyNumberFormat="1" applyFont="1" applyBorder="1"/>
    <xf numFmtId="172" fontId="6" fillId="0" borderId="54" xfId="0" applyNumberFormat="1" applyFont="1" applyBorder="1"/>
    <xf numFmtId="172" fontId="90" fillId="0" borderId="11" xfId="0" applyNumberFormat="1" applyFont="1" applyBorder="1"/>
    <xf numFmtId="172" fontId="90" fillId="0" borderId="0" xfId="0" applyNumberFormat="1" applyFont="1" applyBorder="1"/>
    <xf numFmtId="10" fontId="6" fillId="0" borderId="18" xfId="0" applyNumberFormat="1" applyFont="1" applyBorder="1"/>
    <xf numFmtId="10" fontId="6" fillId="0" borderId="17" xfId="71" applyNumberFormat="1" applyFont="1" applyBorder="1"/>
    <xf numFmtId="185" fontId="92" fillId="0" borderId="11" xfId="0" applyNumberFormat="1" applyFont="1" applyFill="1" applyBorder="1" applyAlignment="1" applyProtection="1">
      <alignment horizontal="center"/>
    </xf>
    <xf numFmtId="185" fontId="92" fillId="0" borderId="0" xfId="0" applyNumberFormat="1" applyFont="1" applyFill="1" applyBorder="1" applyAlignment="1" applyProtection="1">
      <alignment horizontal="center"/>
    </xf>
    <xf numFmtId="172" fontId="92" fillId="0" borderId="11" xfId="0" applyNumberFormat="1" applyFont="1" applyFill="1" applyBorder="1"/>
    <xf numFmtId="172" fontId="92" fillId="0" borderId="0" xfId="0" applyNumberFormat="1" applyFont="1" applyFill="1" applyBorder="1"/>
    <xf numFmtId="185" fontId="6" fillId="0" borderId="13" xfId="0" applyNumberFormat="1" applyFont="1" applyFill="1" applyBorder="1" applyAlignment="1" applyProtection="1">
      <alignment horizontal="center"/>
    </xf>
    <xf numFmtId="213" fontId="12" fillId="0" borderId="0" xfId="0" applyFont="1" applyFill="1"/>
    <xf numFmtId="172" fontId="34" fillId="22" borderId="0" xfId="0" applyNumberFormat="1" applyFont="1" applyFill="1" applyBorder="1"/>
    <xf numFmtId="172" fontId="6" fillId="0" borderId="11" xfId="66" applyNumberFormat="1" applyFont="1" applyFill="1" applyBorder="1" applyAlignment="1">
      <alignment horizontal="left" indent="1"/>
    </xf>
    <xf numFmtId="219" fontId="6" fillId="0" borderId="0" xfId="0" applyNumberFormat="1" applyFont="1" applyFill="1" applyBorder="1" applyProtection="1"/>
    <xf numFmtId="213" fontId="93" fillId="0" borderId="11" xfId="0" applyFont="1" applyFill="1" applyBorder="1" applyProtection="1"/>
    <xf numFmtId="0" fontId="13" fillId="0" borderId="0" xfId="65" applyFont="1" applyFill="1" applyBorder="1" applyAlignment="1">
      <alignment horizontal="left"/>
    </xf>
    <xf numFmtId="172" fontId="34" fillId="0" borderId="28" xfId="66" applyNumberFormat="1" applyFont="1" applyFill="1" applyBorder="1" applyAlignment="1">
      <alignment horizontal="left" indent="1"/>
    </xf>
    <xf numFmtId="172" fontId="11" fillId="0" borderId="18" xfId="66" applyNumberFormat="1" applyFont="1" applyFill="1" applyBorder="1" applyAlignment="1">
      <alignment horizontal="left" indent="2"/>
    </xf>
    <xf numFmtId="0" fontId="10" fillId="0" borderId="12" xfId="61" applyFont="1" applyFill="1" applyBorder="1" applyAlignment="1" applyProtection="1">
      <alignment horizontal="left"/>
    </xf>
    <xf numFmtId="215" fontId="6" fillId="0" borderId="0" xfId="0" applyNumberFormat="1" applyFont="1" applyFill="1" applyBorder="1" applyProtection="1"/>
    <xf numFmtId="39" fontId="6" fillId="0" borderId="0" xfId="0" applyNumberFormat="1" applyFont="1" applyFill="1" applyBorder="1"/>
    <xf numFmtId="4" fontId="6" fillId="0" borderId="0" xfId="0" applyNumberFormat="1" applyFont="1" applyProtection="1"/>
    <xf numFmtId="167" fontId="6" fillId="0" borderId="0" xfId="71" applyNumberFormat="1" applyFont="1" applyProtection="1"/>
    <xf numFmtId="213" fontId="31" fillId="0" borderId="0" xfId="0" applyFont="1" applyFill="1"/>
    <xf numFmtId="172" fontId="6" fillId="0" borderId="18" xfId="66" applyNumberFormat="1" applyFont="1" applyFill="1" applyBorder="1"/>
    <xf numFmtId="37" fontId="98" fillId="0" borderId="17" xfId="0" applyNumberFormat="1" applyFont="1" applyFill="1" applyBorder="1"/>
    <xf numFmtId="172" fontId="98" fillId="0" borderId="12" xfId="0" applyNumberFormat="1" applyFont="1" applyFill="1" applyBorder="1"/>
    <xf numFmtId="168" fontId="6" fillId="0" borderId="27" xfId="0" applyNumberFormat="1" applyFont="1" applyFill="1" applyBorder="1"/>
    <xf numFmtId="168" fontId="6" fillId="0" borderId="13" xfId="0" applyNumberFormat="1" applyFont="1" applyFill="1" applyBorder="1"/>
    <xf numFmtId="168" fontId="14" fillId="0" borderId="0" xfId="0" applyNumberFormat="1" applyFont="1" applyFill="1" applyBorder="1"/>
    <xf numFmtId="37" fontId="12" fillId="0" borderId="0" xfId="0" applyNumberFormat="1" applyFont="1" applyFill="1" applyBorder="1"/>
    <xf numFmtId="37" fontId="14" fillId="0" borderId="0" xfId="0" applyNumberFormat="1" applyFont="1" applyFill="1" applyBorder="1"/>
    <xf numFmtId="37" fontId="6" fillId="0" borderId="13" xfId="0" applyNumberFormat="1" applyFont="1" applyFill="1" applyBorder="1"/>
    <xf numFmtId="37" fontId="6" fillId="0" borderId="0" xfId="0" applyNumberFormat="1" applyFont="1" applyFill="1" applyBorder="1"/>
    <xf numFmtId="180" fontId="6" fillId="0" borderId="0" xfId="0" applyNumberFormat="1" applyFont="1" applyFill="1" applyBorder="1"/>
    <xf numFmtId="9" fontId="100" fillId="0" borderId="11" xfId="0" applyNumberFormat="1" applyFont="1" applyFill="1" applyBorder="1"/>
    <xf numFmtId="9" fontId="100" fillId="0" borderId="0" xfId="0" applyNumberFormat="1" applyFont="1" applyFill="1" applyBorder="1"/>
    <xf numFmtId="172" fontId="99" fillId="0" borderId="11" xfId="0" applyNumberFormat="1" applyFont="1" applyFill="1" applyBorder="1"/>
    <xf numFmtId="172" fontId="99" fillId="0" borderId="0" xfId="0" applyNumberFormat="1" applyFont="1" applyFill="1" applyBorder="1"/>
    <xf numFmtId="37" fontId="37" fillId="22" borderId="11" xfId="0" applyNumberFormat="1" applyFont="1" applyFill="1" applyBorder="1"/>
    <xf numFmtId="37" fontId="37" fillId="22" borderId="0" xfId="0" applyNumberFormat="1" applyFont="1" applyFill="1" applyBorder="1"/>
    <xf numFmtId="37" fontId="34" fillId="22" borderId="13" xfId="0" applyNumberFormat="1" applyFont="1" applyFill="1" applyBorder="1"/>
    <xf numFmtId="37" fontId="37" fillId="22" borderId="18" xfId="0" applyNumberFormat="1" applyFont="1" applyFill="1" applyBorder="1"/>
    <xf numFmtId="37" fontId="37" fillId="22" borderId="17" xfId="0" applyNumberFormat="1" applyFont="1" applyFill="1" applyBorder="1"/>
    <xf numFmtId="37" fontId="34" fillId="22" borderId="20" xfId="0" applyNumberFormat="1" applyFont="1" applyFill="1" applyBorder="1"/>
    <xf numFmtId="168" fontId="14" fillId="0" borderId="13" xfId="0" applyNumberFormat="1" applyFont="1" applyFill="1" applyBorder="1"/>
    <xf numFmtId="37" fontId="37" fillId="22" borderId="28" xfId="0" applyNumberFormat="1" applyFont="1" applyFill="1" applyBorder="1"/>
    <xf numFmtId="37" fontId="37" fillId="22" borderId="12" xfId="0" applyNumberFormat="1" applyFont="1" applyFill="1" applyBorder="1"/>
    <xf numFmtId="37" fontId="34" fillId="22" borderId="19" xfId="0" applyNumberFormat="1" applyFont="1" applyFill="1" applyBorder="1"/>
    <xf numFmtId="172" fontId="6" fillId="0" borderId="11" xfId="66" applyNumberFormat="1" applyFont="1" applyFill="1" applyBorder="1"/>
    <xf numFmtId="172" fontId="6" fillId="0" borderId="18" xfId="0" applyNumberFormat="1" applyFont="1" applyFill="1" applyBorder="1" applyAlignment="1">
      <alignment horizontal="right"/>
    </xf>
    <xf numFmtId="37" fontId="98" fillId="0" borderId="0" xfId="0" applyNumberFormat="1" applyFont="1" applyFill="1" applyBorder="1"/>
    <xf numFmtId="37" fontId="101" fillId="0" borderId="0" xfId="0" applyNumberFormat="1" applyFont="1" applyFill="1" applyBorder="1"/>
    <xf numFmtId="168" fontId="34" fillId="22" borderId="11" xfId="0" applyNumberFormat="1" applyFont="1" applyFill="1" applyBorder="1"/>
    <xf numFmtId="168" fontId="34" fillId="22" borderId="0" xfId="0" applyNumberFormat="1" applyFont="1" applyFill="1" applyBorder="1"/>
    <xf numFmtId="37" fontId="34" fillId="22" borderId="11" xfId="0" applyNumberFormat="1" applyFont="1" applyFill="1" applyBorder="1"/>
    <xf numFmtId="39" fontId="34" fillId="22" borderId="0" xfId="0" applyNumberFormat="1" applyFont="1" applyFill="1" applyBorder="1"/>
    <xf numFmtId="37" fontId="34" fillId="22" borderId="0" xfId="0" applyNumberFormat="1" applyFont="1" applyFill="1" applyBorder="1"/>
    <xf numFmtId="1" fontId="34" fillId="22" borderId="11" xfId="0" applyNumberFormat="1" applyFont="1" applyFill="1" applyBorder="1"/>
    <xf numFmtId="9" fontId="11" fillId="22" borderId="0" xfId="0" applyNumberFormat="1" applyFont="1" applyFill="1" applyBorder="1"/>
    <xf numFmtId="1" fontId="34" fillId="22" borderId="18" xfId="0" applyNumberFormat="1" applyFont="1" applyFill="1" applyBorder="1"/>
    <xf numFmtId="1" fontId="34" fillId="22" borderId="17" xfId="0" applyNumberFormat="1" applyFont="1" applyFill="1" applyBorder="1"/>
    <xf numFmtId="172" fontId="34" fillId="22" borderId="11" xfId="40" applyNumberFormat="1" applyFont="1" applyFill="1" applyBorder="1"/>
    <xf numFmtId="172" fontId="14" fillId="0" borderId="13" xfId="0" applyNumberFormat="1" applyFont="1" applyFill="1" applyBorder="1"/>
    <xf numFmtId="9" fontId="37" fillId="22" borderId="11" xfId="0" applyNumberFormat="1" applyFont="1" applyFill="1" applyBorder="1"/>
    <xf numFmtId="172" fontId="98" fillId="0" borderId="0" xfId="0" applyNumberFormat="1" applyFont="1" applyFill="1" applyBorder="1"/>
    <xf numFmtId="172" fontId="14" fillId="0" borderId="12" xfId="0" applyNumberFormat="1" applyFont="1" applyFill="1" applyBorder="1"/>
    <xf numFmtId="172" fontId="6" fillId="0" borderId="19" xfId="0" applyNumberFormat="1" applyFont="1" applyFill="1" applyBorder="1"/>
    <xf numFmtId="37" fontId="14" fillId="0" borderId="11" xfId="75" applyNumberFormat="1" applyFont="1" applyFill="1" applyBorder="1"/>
    <xf numFmtId="172" fontId="12" fillId="0" borderId="28" xfId="0" applyNumberFormat="1" applyFont="1" applyFill="1" applyBorder="1"/>
    <xf numFmtId="172" fontId="12" fillId="0" borderId="12" xfId="0" applyNumberFormat="1" applyFont="1" applyFill="1" applyBorder="1"/>
    <xf numFmtId="172" fontId="12" fillId="0" borderId="30" xfId="0" applyNumberFormat="1" applyFont="1" applyFill="1" applyBorder="1"/>
    <xf numFmtId="172" fontId="12" fillId="0" borderId="19" xfId="0" applyNumberFormat="1" applyFont="1" applyFill="1" applyBorder="1"/>
    <xf numFmtId="172" fontId="6" fillId="0" borderId="30" xfId="0" applyNumberFormat="1" applyFont="1" applyFill="1" applyBorder="1"/>
    <xf numFmtId="5" fontId="14" fillId="0" borderId="0" xfId="0" applyNumberFormat="1" applyFont="1" applyFill="1" applyBorder="1"/>
    <xf numFmtId="5" fontId="6" fillId="0" borderId="0" xfId="0" applyNumberFormat="1" applyFont="1" applyFill="1" applyBorder="1"/>
    <xf numFmtId="5" fontId="6" fillId="0" borderId="27" xfId="0" applyNumberFormat="1" applyFont="1" applyFill="1" applyBorder="1"/>
    <xf numFmtId="5" fontId="6" fillId="0" borderId="13" xfId="0" applyNumberFormat="1" applyFont="1" applyFill="1" applyBorder="1"/>
    <xf numFmtId="168" fontId="6" fillId="0" borderId="18" xfId="0" applyNumberFormat="1" applyFont="1" applyFill="1" applyBorder="1"/>
    <xf numFmtId="168" fontId="6" fillId="0" borderId="17" xfId="0" applyNumberFormat="1" applyFont="1" applyFill="1" applyBorder="1"/>
    <xf numFmtId="168" fontId="6" fillId="0" borderId="26" xfId="0" applyNumberFormat="1" applyFont="1" applyFill="1" applyBorder="1"/>
    <xf numFmtId="168" fontId="6" fillId="0" borderId="20" xfId="0" applyNumberFormat="1" applyFont="1" applyFill="1" applyBorder="1"/>
    <xf numFmtId="172" fontId="6" fillId="0" borderId="20" xfId="0" applyNumberFormat="1" applyFont="1" applyFill="1" applyBorder="1"/>
    <xf numFmtId="168" fontId="12" fillId="0" borderId="17" xfId="0" applyNumberFormat="1" applyFont="1" applyFill="1" applyBorder="1"/>
    <xf numFmtId="0" fontId="12" fillId="20" borderId="11" xfId="66" applyFont="1" applyFill="1" applyBorder="1" applyAlignment="1">
      <alignment horizontal="left" indent="2"/>
    </xf>
    <xf numFmtId="0" fontId="12" fillId="0" borderId="11" xfId="66" applyFont="1" applyFill="1" applyBorder="1" applyAlignment="1">
      <alignment horizontal="left" indent="2"/>
    </xf>
    <xf numFmtId="37" fontId="6" fillId="0" borderId="11" xfId="66" applyNumberFormat="1" applyFont="1" applyFill="1" applyBorder="1" applyAlignment="1">
      <alignment horizontal="left" indent="3"/>
    </xf>
    <xf numFmtId="172" fontId="87" fillId="0" borderId="0" xfId="0" applyNumberFormat="1" applyFont="1" applyBorder="1"/>
    <xf numFmtId="172" fontId="87" fillId="0" borderId="0" xfId="0" applyNumberFormat="1" applyFont="1" applyFill="1" applyBorder="1"/>
    <xf numFmtId="37" fontId="14" fillId="0" borderId="18" xfId="0" applyNumberFormat="1" applyFont="1" applyFill="1" applyBorder="1"/>
    <xf numFmtId="168" fontId="87" fillId="0" borderId="11" xfId="0" applyNumberFormat="1" applyFont="1" applyFill="1" applyBorder="1"/>
    <xf numFmtId="178" fontId="14" fillId="0" borderId="18" xfId="0" applyNumberFormat="1" applyFont="1" applyFill="1" applyBorder="1"/>
    <xf numFmtId="5" fontId="14" fillId="0" borderId="11" xfId="0" applyNumberFormat="1" applyFont="1" applyFill="1" applyBorder="1"/>
    <xf numFmtId="178" fontId="6" fillId="0" borderId="17" xfId="0" applyNumberFormat="1" applyFont="1" applyFill="1" applyBorder="1"/>
    <xf numFmtId="178" fontId="6" fillId="0" borderId="20" xfId="0" applyNumberFormat="1" applyFont="1" applyFill="1" applyBorder="1"/>
    <xf numFmtId="37" fontId="14" fillId="0" borderId="11" xfId="0" applyNumberFormat="1" applyFont="1" applyFill="1" applyBorder="1"/>
    <xf numFmtId="172" fontId="6" fillId="18" borderId="15" xfId="0" applyNumberFormat="1" applyFont="1" applyFill="1" applyBorder="1"/>
    <xf numFmtId="213" fontId="6" fillId="18" borderId="0" xfId="0" applyFont="1" applyFill="1" applyBorder="1" applyAlignment="1">
      <alignment horizontal="right"/>
    </xf>
    <xf numFmtId="176" fontId="14" fillId="0" borderId="17" xfId="38" applyNumberFormat="1" applyFont="1" applyFill="1" applyBorder="1" applyAlignment="1">
      <alignment horizontal="center"/>
    </xf>
    <xf numFmtId="213" fontId="6" fillId="17" borderId="30" xfId="0" applyFont="1" applyFill="1" applyBorder="1"/>
    <xf numFmtId="213" fontId="6" fillId="17" borderId="19" xfId="0" applyFont="1" applyFill="1" applyBorder="1"/>
    <xf numFmtId="37" fontId="6" fillId="0" borderId="27" xfId="0" applyNumberFormat="1" applyFont="1" applyFill="1" applyBorder="1"/>
    <xf numFmtId="37" fontId="6" fillId="0" borderId="27" xfId="0" applyNumberFormat="1" applyFont="1" applyFill="1" applyBorder="1" applyAlignment="1"/>
    <xf numFmtId="37" fontId="6" fillId="0" borderId="13" xfId="0" applyNumberFormat="1" applyFont="1" applyFill="1" applyBorder="1" applyAlignment="1"/>
    <xf numFmtId="37" fontId="6" fillId="0" borderId="0" xfId="0" applyNumberFormat="1" applyFont="1" applyFill="1" applyBorder="1" applyAlignment="1"/>
    <xf numFmtId="172" fontId="6" fillId="0" borderId="26" xfId="0" applyNumberFormat="1" applyFont="1" applyFill="1" applyBorder="1"/>
    <xf numFmtId="37" fontId="14" fillId="22" borderId="12" xfId="0" applyNumberFormat="1" applyFont="1" applyFill="1" applyBorder="1"/>
    <xf numFmtId="37" fontId="6" fillId="22" borderId="19" xfId="0" applyNumberFormat="1" applyFont="1" applyFill="1" applyBorder="1"/>
    <xf numFmtId="172" fontId="6" fillId="0" borderId="12" xfId="38" applyNumberFormat="1" applyFont="1" applyFill="1" applyBorder="1"/>
    <xf numFmtId="37" fontId="14" fillId="22" borderId="28" xfId="0" applyNumberFormat="1" applyFont="1" applyFill="1" applyBorder="1"/>
    <xf numFmtId="37" fontId="14" fillId="22" borderId="0" xfId="0" applyNumberFormat="1" applyFont="1" applyFill="1" applyBorder="1"/>
    <xf numFmtId="37" fontId="6" fillId="22" borderId="13" xfId="0" applyNumberFormat="1" applyFont="1" applyFill="1" applyBorder="1"/>
    <xf numFmtId="37" fontId="14" fillId="22" borderId="11" xfId="0" applyNumberFormat="1" applyFont="1" applyFill="1" applyBorder="1"/>
    <xf numFmtId="37" fontId="6" fillId="0" borderId="20" xfId="0" applyNumberFormat="1" applyFont="1" applyFill="1" applyBorder="1"/>
    <xf numFmtId="37" fontId="6" fillId="0" borderId="17" xfId="0" applyNumberFormat="1" applyFont="1" applyFill="1" applyBorder="1"/>
    <xf numFmtId="37" fontId="14" fillId="0" borderId="17" xfId="0" applyNumberFormat="1" applyFont="1" applyFill="1" applyBorder="1"/>
    <xf numFmtId="37" fontId="6" fillId="0" borderId="18" xfId="0" applyNumberFormat="1" applyFont="1" applyFill="1" applyBorder="1"/>
    <xf numFmtId="37" fontId="14" fillId="0" borderId="20" xfId="0" applyNumberFormat="1" applyFont="1" applyFill="1" applyBorder="1"/>
    <xf numFmtId="172" fontId="6" fillId="0" borderId="13" xfId="40" applyNumberFormat="1" applyFont="1" applyFill="1" applyBorder="1"/>
    <xf numFmtId="168" fontId="87" fillId="0" borderId="13" xfId="0" applyNumberFormat="1" applyFont="1" applyFill="1" applyBorder="1"/>
    <xf numFmtId="1" fontId="6" fillId="0" borderId="0" xfId="0" applyNumberFormat="1" applyFont="1" applyFill="1" applyBorder="1"/>
    <xf numFmtId="178" fontId="14" fillId="0" borderId="17" xfId="0" applyNumberFormat="1" applyFont="1" applyFill="1" applyBorder="1"/>
    <xf numFmtId="1" fontId="6" fillId="0" borderId="17" xfId="0" applyNumberFormat="1" applyFont="1" applyFill="1" applyBorder="1"/>
    <xf numFmtId="9" fontId="14" fillId="0" borderId="13" xfId="75" applyFont="1" applyFill="1" applyBorder="1"/>
    <xf numFmtId="9" fontId="14" fillId="0" borderId="13" xfId="0" applyNumberFormat="1" applyFont="1" applyFill="1" applyBorder="1"/>
    <xf numFmtId="9" fontId="6" fillId="0" borderId="0" xfId="0" applyNumberFormat="1" applyFont="1" applyFill="1" applyBorder="1"/>
    <xf numFmtId="172" fontId="14" fillId="0" borderId="19" xfId="0" applyNumberFormat="1" applyFont="1" applyFill="1" applyBorder="1"/>
    <xf numFmtId="172" fontId="6" fillId="18" borderId="31" xfId="0" applyNumberFormat="1" applyFont="1" applyFill="1" applyBorder="1"/>
    <xf numFmtId="172" fontId="6" fillId="0" borderId="15" xfId="0" applyNumberFormat="1" applyFont="1" applyFill="1" applyBorder="1"/>
    <xf numFmtId="172" fontId="6" fillId="0" borderId="31" xfId="0" applyNumberFormat="1" applyFont="1" applyFill="1" applyBorder="1"/>
    <xf numFmtId="168" fontId="12" fillId="18" borderId="15" xfId="0" applyNumberFormat="1" applyFont="1" applyFill="1" applyBorder="1"/>
    <xf numFmtId="168" fontId="12" fillId="18" borderId="31" xfId="0" applyNumberFormat="1" applyFont="1" applyFill="1" applyBorder="1"/>
    <xf numFmtId="9" fontId="12" fillId="0" borderId="0" xfId="0" applyNumberFormat="1" applyFont="1" applyFill="1" applyBorder="1"/>
    <xf numFmtId="9" fontId="12" fillId="0" borderId="15" xfId="75" applyFont="1" applyFill="1" applyBorder="1"/>
    <xf numFmtId="168" fontId="12" fillId="18" borderId="16" xfId="0" applyNumberFormat="1" applyFont="1" applyFill="1" applyBorder="1"/>
    <xf numFmtId="43" fontId="13" fillId="17" borderId="12" xfId="38" applyFont="1" applyFill="1" applyBorder="1"/>
    <xf numFmtId="43" fontId="13" fillId="17" borderId="30" xfId="38" applyFont="1" applyFill="1" applyBorder="1"/>
    <xf numFmtId="9" fontId="22" fillId="0" borderId="0" xfId="75" applyFont="1" applyFill="1" applyBorder="1" applyAlignment="1">
      <alignment horizontal="right"/>
    </xf>
    <xf numFmtId="9" fontId="22" fillId="0" borderId="13" xfId="75" applyFont="1" applyFill="1" applyBorder="1" applyAlignment="1">
      <alignment horizontal="right"/>
    </xf>
    <xf numFmtId="9" fontId="22" fillId="0" borderId="11" xfId="75" applyFont="1" applyFill="1" applyBorder="1" applyAlignment="1">
      <alignment horizontal="right"/>
    </xf>
    <xf numFmtId="9" fontId="22" fillId="0" borderId="27" xfId="75" applyFont="1" applyFill="1" applyBorder="1" applyAlignment="1">
      <alignment horizontal="right"/>
    </xf>
    <xf numFmtId="9" fontId="11" fillId="0" borderId="0" xfId="75" applyFont="1" applyFill="1" applyBorder="1" applyAlignment="1">
      <alignment horizontal="right"/>
    </xf>
    <xf numFmtId="9" fontId="11" fillId="0" borderId="13" xfId="75" applyFont="1" applyFill="1" applyBorder="1" applyAlignment="1">
      <alignment horizontal="right"/>
    </xf>
    <xf numFmtId="9" fontId="11" fillId="0" borderId="11" xfId="75" applyFont="1" applyFill="1" applyBorder="1" applyAlignment="1">
      <alignment horizontal="right"/>
    </xf>
    <xf numFmtId="9" fontId="22" fillId="0" borderId="17" xfId="75" applyFont="1" applyFill="1" applyBorder="1" applyAlignment="1">
      <alignment horizontal="right"/>
    </xf>
    <xf numFmtId="9" fontId="22" fillId="0" borderId="20" xfId="75" applyFont="1" applyFill="1" applyBorder="1" applyAlignment="1">
      <alignment horizontal="right"/>
    </xf>
    <xf numFmtId="9" fontId="22" fillId="0" borderId="18" xfId="75" applyFont="1" applyFill="1" applyBorder="1" applyAlignment="1">
      <alignment horizontal="right"/>
    </xf>
    <xf numFmtId="9" fontId="22" fillId="0" borderId="26" xfId="75" applyFont="1" applyFill="1" applyBorder="1" applyAlignment="1">
      <alignment horizontal="right"/>
    </xf>
    <xf numFmtId="43" fontId="13" fillId="17" borderId="12" xfId="38" applyFont="1" applyFill="1" applyBorder="1" applyAlignment="1">
      <alignment horizontal="center"/>
    </xf>
    <xf numFmtId="43" fontId="13" fillId="17" borderId="30" xfId="38" applyFont="1" applyFill="1" applyBorder="1" applyAlignment="1">
      <alignment horizontal="center"/>
    </xf>
    <xf numFmtId="9" fontId="11" fillId="0" borderId="27" xfId="75" applyFont="1" applyFill="1" applyBorder="1" applyAlignment="1">
      <alignment horizontal="right"/>
    </xf>
    <xf numFmtId="9" fontId="11" fillId="20" borderId="27" xfId="75" applyFont="1" applyFill="1" applyBorder="1" applyAlignment="1">
      <alignment horizontal="right"/>
    </xf>
    <xf numFmtId="9" fontId="11" fillId="20" borderId="13" xfId="75" applyFont="1" applyFill="1" applyBorder="1" applyAlignment="1">
      <alignment horizontal="right"/>
    </xf>
    <xf numFmtId="9" fontId="11" fillId="20" borderId="0" xfId="75" applyFont="1" applyFill="1" applyBorder="1" applyAlignment="1">
      <alignment horizontal="right"/>
    </xf>
    <xf numFmtId="9" fontId="11" fillId="20" borderId="11" xfId="75" applyFont="1" applyFill="1" applyBorder="1" applyAlignment="1">
      <alignment horizontal="right"/>
    </xf>
    <xf numFmtId="43" fontId="13" fillId="17" borderId="0" xfId="38" applyFont="1" applyFill="1" applyBorder="1"/>
    <xf numFmtId="43" fontId="13" fillId="17" borderId="27" xfId="38" applyFont="1" applyFill="1" applyBorder="1"/>
    <xf numFmtId="9" fontId="11" fillId="0" borderId="0" xfId="75" applyFont="1" applyFill="1" applyBorder="1" applyAlignment="1"/>
    <xf numFmtId="9" fontId="22" fillId="0" borderId="13" xfId="75" applyFont="1" applyFill="1" applyBorder="1" applyAlignment="1"/>
    <xf numFmtId="9" fontId="12" fillId="0" borderId="0" xfId="75" applyFont="1" applyFill="1" applyBorder="1" applyAlignment="1"/>
    <xf numFmtId="9" fontId="11" fillId="0" borderId="11" xfId="75" applyFont="1" applyFill="1" applyBorder="1" applyAlignment="1"/>
    <xf numFmtId="9" fontId="11" fillId="0" borderId="27" xfId="75" applyFont="1" applyFill="1" applyBorder="1" applyAlignment="1"/>
    <xf numFmtId="9" fontId="12" fillId="0" borderId="0" xfId="75" applyFont="1" applyFill="1" applyBorder="1" applyAlignment="1">
      <alignment horizontal="right"/>
    </xf>
    <xf numFmtId="9" fontId="11" fillId="0" borderId="17" xfId="75" applyFont="1" applyFill="1" applyBorder="1" applyAlignment="1"/>
    <xf numFmtId="9" fontId="22" fillId="0" borderId="20" xfId="75" applyFont="1" applyFill="1" applyBorder="1" applyAlignment="1"/>
    <xf numFmtId="9" fontId="12" fillId="0" borderId="17" xfId="75" applyFont="1" applyFill="1" applyBorder="1" applyAlignment="1"/>
    <xf numFmtId="9" fontId="11" fillId="0" borderId="18" xfId="75" applyFont="1" applyFill="1" applyBorder="1" applyAlignment="1"/>
    <xf numFmtId="9" fontId="12" fillId="0" borderId="0" xfId="75" applyFont="1" applyFill="1" applyBorder="1" applyAlignment="1">
      <alignment horizontal="center"/>
    </xf>
    <xf numFmtId="9" fontId="22" fillId="0" borderId="0" xfId="75" applyFont="1" applyFill="1" applyBorder="1" applyAlignment="1">
      <alignment horizontal="center"/>
    </xf>
    <xf numFmtId="172" fontId="12" fillId="0" borderId="11" xfId="66" applyNumberFormat="1" applyFont="1" applyFill="1" applyBorder="1" applyAlignment="1">
      <alignment horizontal="left" indent="2"/>
    </xf>
    <xf numFmtId="37" fontId="6" fillId="0" borderId="18" xfId="66" applyNumberFormat="1" applyFont="1" applyFill="1" applyBorder="1" applyAlignment="1">
      <alignment horizontal="left" indent="3"/>
    </xf>
    <xf numFmtId="172" fontId="6" fillId="0" borderId="11" xfId="66" applyNumberFormat="1" applyFont="1" applyFill="1" applyBorder="1" applyAlignment="1">
      <alignment horizontal="left" indent="2"/>
    </xf>
    <xf numFmtId="178" fontId="6" fillId="0" borderId="0" xfId="0" applyNumberFormat="1" applyFont="1" applyFill="1" applyBorder="1"/>
    <xf numFmtId="178" fontId="6" fillId="0" borderId="13" xfId="0" applyNumberFormat="1" applyFont="1" applyFill="1" applyBorder="1"/>
    <xf numFmtId="9" fontId="6" fillId="0" borderId="17" xfId="0" applyNumberFormat="1" applyFont="1" applyFill="1" applyBorder="1"/>
    <xf numFmtId="167" fontId="11" fillId="0" borderId="11" xfId="75" applyNumberFormat="1" applyFont="1" applyFill="1" applyBorder="1" applyAlignment="1"/>
    <xf numFmtId="167" fontId="11" fillId="0" borderId="0" xfId="75" applyNumberFormat="1" applyFont="1" applyFill="1" applyBorder="1" applyAlignment="1"/>
    <xf numFmtId="167" fontId="11" fillId="0" borderId="27" xfId="75" applyNumberFormat="1" applyFont="1" applyFill="1" applyBorder="1" applyAlignment="1"/>
    <xf numFmtId="0" fontId="11" fillId="20" borderId="11" xfId="75" applyNumberFormat="1" applyFont="1" applyFill="1" applyBorder="1" applyAlignment="1">
      <alignment horizontal="right"/>
    </xf>
    <xf numFmtId="9" fontId="11" fillId="20" borderId="0" xfId="75" applyNumberFormat="1" applyFont="1" applyFill="1" applyBorder="1" applyAlignment="1">
      <alignment horizontal="right"/>
    </xf>
    <xf numFmtId="9" fontId="11" fillId="20" borderId="27" xfId="75" applyNumberFormat="1" applyFont="1" applyFill="1" applyBorder="1" applyAlignment="1">
      <alignment horizontal="right"/>
    </xf>
    <xf numFmtId="9" fontId="11" fillId="20" borderId="13" xfId="75" applyNumberFormat="1" applyFont="1" applyFill="1" applyBorder="1" applyAlignment="1">
      <alignment horizontal="right"/>
    </xf>
    <xf numFmtId="0" fontId="6" fillId="20" borderId="11" xfId="66" applyFont="1" applyFill="1" applyBorder="1" applyAlignment="1">
      <alignment horizontal="left" indent="2"/>
    </xf>
    <xf numFmtId="9" fontId="11" fillId="0" borderId="13" xfId="71" quotePrefix="1" applyFont="1" applyFill="1" applyBorder="1" applyAlignment="1">
      <alignment horizontal="right"/>
    </xf>
    <xf numFmtId="9" fontId="11" fillId="0" borderId="13" xfId="75" quotePrefix="1" applyFont="1" applyFill="1" applyBorder="1" applyAlignment="1">
      <alignment horizontal="right"/>
    </xf>
    <xf numFmtId="178" fontId="14" fillId="0" borderId="26" xfId="0" applyNumberFormat="1" applyFont="1" applyFill="1" applyBorder="1"/>
    <xf numFmtId="4" fontId="6" fillId="0" borderId="0" xfId="0" applyNumberFormat="1" applyFont="1" applyFill="1"/>
    <xf numFmtId="37" fontId="6" fillId="0" borderId="11" xfId="66" applyNumberFormat="1" applyFont="1" applyFill="1" applyBorder="1" applyAlignment="1">
      <alignment horizontal="left" indent="4"/>
    </xf>
    <xf numFmtId="4" fontId="6" fillId="0" borderId="13" xfId="0" applyNumberFormat="1" applyFont="1" applyFill="1" applyBorder="1"/>
    <xf numFmtId="9" fontId="102" fillId="0" borderId="17" xfId="0" applyNumberFormat="1" applyFont="1" applyFill="1" applyBorder="1"/>
    <xf numFmtId="9" fontId="102" fillId="0" borderId="20" xfId="71" applyNumberFormat="1" applyFont="1" applyFill="1" applyBorder="1"/>
    <xf numFmtId="178" fontId="6" fillId="0" borderId="11" xfId="0" applyNumberFormat="1" applyFont="1" applyFill="1" applyBorder="1"/>
    <xf numFmtId="9" fontId="11" fillId="20" borderId="11" xfId="75" applyNumberFormat="1" applyFont="1" applyFill="1" applyBorder="1" applyAlignment="1">
      <alignment horizontal="right"/>
    </xf>
    <xf numFmtId="168" fontId="6" fillId="0" borderId="13" xfId="0" applyNumberFormat="1" applyFont="1" applyFill="1" applyBorder="1" applyAlignment="1">
      <alignment horizontal="right"/>
    </xf>
    <xf numFmtId="185" fontId="12" fillId="0" borderId="20" xfId="0" applyNumberFormat="1" applyFont="1" applyFill="1" applyBorder="1" applyAlignment="1" applyProtection="1">
      <alignment horizontal="center"/>
    </xf>
    <xf numFmtId="183" fontId="6" fillId="0" borderId="13" xfId="0" applyNumberFormat="1" applyFont="1" applyFill="1" applyBorder="1" applyAlignment="1" applyProtection="1">
      <alignment horizontal="center"/>
    </xf>
    <xf numFmtId="183" fontId="6" fillId="0" borderId="13" xfId="0" applyNumberFormat="1" applyFont="1" applyFill="1" applyBorder="1" applyAlignment="1">
      <alignment horizontal="center"/>
    </xf>
    <xf numFmtId="183" fontId="6" fillId="0" borderId="19" xfId="0" applyNumberFormat="1" applyFont="1" applyFill="1" applyBorder="1" applyAlignment="1" applyProtection="1">
      <alignment horizontal="center"/>
    </xf>
    <xf numFmtId="185" fontId="12" fillId="0" borderId="44" xfId="0" applyNumberFormat="1" applyFont="1" applyFill="1" applyBorder="1" applyAlignment="1" applyProtection="1">
      <alignment horizontal="center"/>
    </xf>
    <xf numFmtId="10" fontId="6" fillId="0" borderId="17" xfId="75" applyNumberFormat="1" applyFont="1" applyBorder="1"/>
    <xf numFmtId="168" fontId="20" fillId="0" borderId="28" xfId="0" applyNumberFormat="1" applyFont="1" applyFill="1" applyBorder="1"/>
    <xf numFmtId="168" fontId="34" fillId="0" borderId="12" xfId="0" applyNumberFormat="1" applyFont="1" applyFill="1" applyBorder="1"/>
    <xf numFmtId="172" fontId="20" fillId="0" borderId="28" xfId="0" applyNumberFormat="1" applyFont="1" applyFill="1" applyBorder="1" applyAlignment="1">
      <alignment horizontal="right"/>
    </xf>
    <xf numFmtId="172" fontId="20" fillId="0" borderId="12" xfId="0" applyNumberFormat="1" applyFont="1" applyFill="1" applyBorder="1" applyAlignment="1">
      <alignment horizontal="right"/>
    </xf>
    <xf numFmtId="172" fontId="20" fillId="0" borderId="19" xfId="0" applyNumberFormat="1" applyFont="1" applyFill="1" applyBorder="1" applyAlignment="1">
      <alignment horizontal="right"/>
    </xf>
    <xf numFmtId="172" fontId="34" fillId="0" borderId="12" xfId="0" applyNumberFormat="1" applyFont="1" applyFill="1" applyBorder="1" applyAlignment="1">
      <alignment horizontal="right"/>
    </xf>
    <xf numFmtId="172" fontId="20" fillId="0" borderId="30" xfId="0" applyNumberFormat="1" applyFont="1" applyFill="1" applyBorder="1" applyAlignment="1">
      <alignment horizontal="right"/>
    </xf>
    <xf numFmtId="172" fontId="12" fillId="0" borderId="28" xfId="0" applyNumberFormat="1" applyFont="1" applyFill="1" applyBorder="1" applyAlignment="1">
      <alignment horizontal="right"/>
    </xf>
    <xf numFmtId="172" fontId="12" fillId="0" borderId="12" xfId="0" applyNumberFormat="1" applyFont="1" applyFill="1" applyBorder="1" applyAlignment="1">
      <alignment horizontal="right"/>
    </xf>
    <xf numFmtId="172" fontId="12" fillId="0" borderId="19" xfId="0" applyNumberFormat="1" applyFont="1" applyFill="1" applyBorder="1" applyAlignment="1">
      <alignment horizontal="right"/>
    </xf>
    <xf numFmtId="172" fontId="6" fillId="0" borderId="12" xfId="0" applyNumberFormat="1" applyFont="1" applyFill="1" applyBorder="1" applyAlignment="1">
      <alignment horizontal="right"/>
    </xf>
    <xf numFmtId="172" fontId="12" fillId="0" borderId="30" xfId="0" applyNumberFormat="1" applyFont="1" applyFill="1" applyBorder="1" applyAlignment="1">
      <alignment horizontal="right"/>
    </xf>
    <xf numFmtId="0" fontId="6" fillId="0" borderId="11" xfId="66" applyFont="1" applyFill="1" applyBorder="1" applyAlignment="1">
      <alignment horizontal="left"/>
    </xf>
    <xf numFmtId="167" fontId="11" fillId="0" borderId="0" xfId="71" applyNumberFormat="1" applyFont="1" applyFill="1" applyBorder="1" applyAlignment="1">
      <alignment horizontal="right"/>
    </xf>
    <xf numFmtId="167" fontId="11" fillId="0" borderId="13" xfId="71" applyNumberFormat="1" applyFont="1" applyFill="1" applyBorder="1" applyAlignment="1">
      <alignment horizontal="right"/>
    </xf>
    <xf numFmtId="167" fontId="11" fillId="0" borderId="11" xfId="71" applyNumberFormat="1" applyFont="1" applyFill="1" applyBorder="1" applyAlignment="1">
      <alignment horizontal="right"/>
    </xf>
    <xf numFmtId="167" fontId="11" fillId="0" borderId="0" xfId="75" applyNumberFormat="1" applyFont="1" applyFill="1" applyBorder="1" applyAlignment="1">
      <alignment horizontal="right"/>
    </xf>
    <xf numFmtId="167" fontId="11" fillId="0" borderId="13" xfId="75" applyNumberFormat="1" applyFont="1" applyFill="1" applyBorder="1" applyAlignment="1">
      <alignment horizontal="right"/>
    </xf>
    <xf numFmtId="167" fontId="100" fillId="0" borderId="11" xfId="75" applyNumberFormat="1" applyFont="1" applyFill="1" applyBorder="1" applyAlignment="1">
      <alignment horizontal="right"/>
    </xf>
    <xf numFmtId="167" fontId="100" fillId="0" borderId="0" xfId="75" applyNumberFormat="1" applyFont="1" applyFill="1" applyBorder="1" applyAlignment="1">
      <alignment horizontal="right"/>
    </xf>
    <xf numFmtId="0" fontId="12" fillId="0" borderId="18" xfId="66" applyFont="1" applyFill="1" applyBorder="1" applyAlignment="1">
      <alignment horizontal="left"/>
    </xf>
    <xf numFmtId="213" fontId="12" fillId="0" borderId="17" xfId="0" applyFont="1" applyFill="1" applyBorder="1" applyAlignment="1">
      <alignment horizontal="right"/>
    </xf>
    <xf numFmtId="167" fontId="22" fillId="0" borderId="18" xfId="75" applyNumberFormat="1" applyFont="1" applyFill="1" applyBorder="1" applyAlignment="1">
      <alignment horizontal="right"/>
    </xf>
    <xf numFmtId="167" fontId="22" fillId="0" borderId="17" xfId="75" applyNumberFormat="1" applyFont="1" applyFill="1" applyBorder="1" applyAlignment="1">
      <alignment horizontal="right"/>
    </xf>
    <xf numFmtId="167" fontId="22" fillId="0" borderId="20" xfId="75" applyNumberFormat="1" applyFont="1" applyFill="1" applyBorder="1" applyAlignment="1">
      <alignment horizontal="right"/>
    </xf>
    <xf numFmtId="167" fontId="6" fillId="0" borderId="0" xfId="0" applyNumberFormat="1" applyFont="1" applyFill="1" applyBorder="1" applyAlignment="1">
      <alignment horizontal="left"/>
    </xf>
    <xf numFmtId="167" fontId="103" fillId="0" borderId="11" xfId="71" applyNumberFormat="1" applyFont="1" applyFill="1" applyBorder="1" applyAlignment="1">
      <alignment horizontal="right"/>
    </xf>
    <xf numFmtId="167" fontId="103" fillId="0" borderId="0" xfId="71" applyNumberFormat="1" applyFont="1" applyFill="1" applyBorder="1" applyAlignment="1">
      <alignment horizontal="right"/>
    </xf>
    <xf numFmtId="167" fontId="103" fillId="0" borderId="0" xfId="75" applyNumberFormat="1" applyFont="1" applyFill="1" applyBorder="1" applyAlignment="1">
      <alignment horizontal="right"/>
    </xf>
    <xf numFmtId="172" fontId="37" fillId="22" borderId="0" xfId="0" applyNumberFormat="1" applyFont="1" applyFill="1" applyBorder="1"/>
    <xf numFmtId="213" fontId="37" fillId="22" borderId="0" xfId="0" applyNumberFormat="1" applyFont="1" applyFill="1" applyBorder="1"/>
    <xf numFmtId="213" fontId="34" fillId="22" borderId="13" xfId="0" applyNumberFormat="1" applyFont="1" applyFill="1" applyBorder="1"/>
    <xf numFmtId="213" fontId="34" fillId="0" borderId="0" xfId="0" applyNumberFormat="1" applyFont="1" applyFill="1" applyBorder="1"/>
    <xf numFmtId="213" fontId="37" fillId="22" borderId="11" xfId="0" applyNumberFormat="1" applyFont="1" applyFill="1" applyBorder="1"/>
    <xf numFmtId="168" fontId="11" fillId="0" borderId="13" xfId="0" applyNumberFormat="1" applyFont="1" applyFill="1" applyBorder="1"/>
    <xf numFmtId="9" fontId="37" fillId="22" borderId="0" xfId="0" applyNumberFormat="1" applyFont="1" applyFill="1" applyBorder="1"/>
    <xf numFmtId="172" fontId="12" fillId="0" borderId="11" xfId="66" applyNumberFormat="1" applyFont="1" applyFill="1" applyBorder="1" applyAlignment="1">
      <alignment horizontal="left" indent="1"/>
    </xf>
    <xf numFmtId="172" fontId="20" fillId="0" borderId="27" xfId="0" applyNumberFormat="1" applyFont="1" applyFill="1" applyBorder="1"/>
    <xf numFmtId="168" fontId="6" fillId="0" borderId="18" xfId="66" applyNumberFormat="1" applyFont="1" applyFill="1" applyBorder="1" applyAlignment="1">
      <alignment horizontal="left" indent="2"/>
    </xf>
    <xf numFmtId="172" fontId="12" fillId="0" borderId="0" xfId="0" applyNumberFormat="1" applyFont="1" applyFill="1" applyBorder="1" applyProtection="1"/>
    <xf numFmtId="178" fontId="12" fillId="0" borderId="22" xfId="0" applyNumberFormat="1" applyFont="1" applyFill="1" applyBorder="1" applyAlignment="1">
      <alignment horizontal="right"/>
    </xf>
    <xf numFmtId="0" fontId="11" fillId="0" borderId="0" xfId="59" applyFont="1" applyFill="1" applyBorder="1" applyAlignment="1">
      <alignment horizontal="left"/>
    </xf>
    <xf numFmtId="9" fontId="6" fillId="0" borderId="11" xfId="0" applyNumberFormat="1" applyFont="1" applyFill="1" applyBorder="1"/>
    <xf numFmtId="3" fontId="6" fillId="0" borderId="0" xfId="0" applyNumberFormat="1" applyFont="1" applyFill="1" applyBorder="1" applyAlignment="1">
      <alignment horizontal="center"/>
    </xf>
    <xf numFmtId="3" fontId="6" fillId="20" borderId="0" xfId="0" applyNumberFormat="1" applyFont="1" applyFill="1" applyBorder="1" applyAlignment="1">
      <alignment horizontal="center"/>
    </xf>
    <xf numFmtId="203" fontId="6" fillId="20" borderId="0" xfId="0" applyNumberFormat="1" applyFont="1" applyFill="1" applyBorder="1" applyAlignment="1">
      <alignment horizontal="left"/>
    </xf>
    <xf numFmtId="203" fontId="6" fillId="0" borderId="0" xfId="0" applyNumberFormat="1" applyFont="1" applyFill="1" applyBorder="1" applyAlignment="1">
      <alignment horizontal="left"/>
    </xf>
    <xf numFmtId="168" fontId="11" fillId="0" borderId="0" xfId="0" applyNumberFormat="1" applyFont="1" applyFill="1" applyBorder="1" applyProtection="1"/>
    <xf numFmtId="8" fontId="12" fillId="22" borderId="0" xfId="0" applyNumberFormat="1" applyFont="1" applyFill="1" applyBorder="1" applyAlignment="1" applyProtection="1">
      <alignment vertical="center"/>
    </xf>
    <xf numFmtId="7" fontId="21" fillId="22" borderId="11" xfId="0" applyNumberFormat="1" applyFont="1" applyFill="1" applyBorder="1" applyAlignment="1" applyProtection="1">
      <alignment horizontal="right" vertical="center"/>
    </xf>
    <xf numFmtId="7" fontId="21" fillId="22" borderId="0" xfId="0" applyNumberFormat="1" applyFont="1" applyFill="1" applyBorder="1" applyAlignment="1" applyProtection="1">
      <alignment horizontal="right" vertical="center"/>
    </xf>
    <xf numFmtId="7" fontId="21" fillId="22" borderId="27" xfId="0" applyNumberFormat="1" applyFont="1" applyFill="1" applyBorder="1" applyAlignment="1" applyProtection="1">
      <alignment horizontal="right" vertical="center"/>
    </xf>
    <xf numFmtId="7" fontId="21" fillId="22" borderId="13" xfId="0" applyNumberFormat="1" applyFont="1" applyFill="1" applyBorder="1" applyAlignment="1" applyProtection="1">
      <alignment horizontal="right" vertical="center"/>
    </xf>
    <xf numFmtId="7" fontId="12" fillId="22" borderId="0" xfId="0" applyNumberFormat="1" applyFont="1" applyFill="1" applyBorder="1" applyAlignment="1" applyProtection="1">
      <alignment vertical="center"/>
    </xf>
    <xf numFmtId="8" fontId="6" fillId="22" borderId="0" xfId="0" applyNumberFormat="1" applyFont="1" applyFill="1" applyBorder="1" applyAlignment="1" applyProtection="1">
      <alignment vertical="center"/>
    </xf>
    <xf numFmtId="7" fontId="17" fillId="22" borderId="11" xfId="0" applyNumberFormat="1" applyFont="1" applyFill="1" applyBorder="1" applyAlignment="1" applyProtection="1">
      <alignment horizontal="right" vertical="center"/>
    </xf>
    <xf numFmtId="7" fontId="17" fillId="22" borderId="0" xfId="0" applyNumberFormat="1" applyFont="1" applyFill="1" applyBorder="1" applyAlignment="1" applyProtection="1">
      <alignment horizontal="right" vertical="center"/>
    </xf>
    <xf numFmtId="7" fontId="17" fillId="22" borderId="27" xfId="0" applyNumberFormat="1" applyFont="1" applyFill="1" applyBorder="1" applyAlignment="1" applyProtection="1">
      <alignment horizontal="right" vertical="center"/>
    </xf>
    <xf numFmtId="7" fontId="17" fillId="22" borderId="13" xfId="0" applyNumberFormat="1" applyFont="1" applyFill="1" applyBorder="1" applyAlignment="1" applyProtection="1">
      <alignment horizontal="right" vertical="center"/>
    </xf>
    <xf numFmtId="7" fontId="6" fillId="22" borderId="0" xfId="0" applyNumberFormat="1" applyFont="1" applyFill="1" applyBorder="1" applyAlignment="1" applyProtection="1">
      <alignment vertical="center"/>
    </xf>
    <xf numFmtId="7" fontId="6" fillId="22" borderId="11" xfId="0" applyNumberFormat="1" applyFont="1" applyFill="1" applyBorder="1" applyAlignment="1" applyProtection="1">
      <alignment vertical="center"/>
    </xf>
    <xf numFmtId="37" fontId="12" fillId="0" borderId="11" xfId="66" applyNumberFormat="1" applyFont="1" applyFill="1" applyBorder="1" applyAlignment="1">
      <alignment horizontal="left" indent="1"/>
    </xf>
    <xf numFmtId="37" fontId="34" fillId="0" borderId="0" xfId="71" applyNumberFormat="1" applyFont="1" applyFill="1" applyBorder="1"/>
    <xf numFmtId="213" fontId="6" fillId="0" borderId="13" xfId="0" applyFont="1" applyFill="1" applyBorder="1"/>
    <xf numFmtId="9" fontId="34" fillId="0" borderId="11" xfId="0" applyNumberFormat="1" applyFont="1" applyFill="1" applyBorder="1"/>
    <xf numFmtId="9" fontId="6" fillId="0" borderId="0" xfId="0" applyNumberFormat="1" applyFont="1" applyFill="1" applyBorder="1" applyAlignment="1">
      <alignment horizontal="right"/>
    </xf>
    <xf numFmtId="213" fontId="34" fillId="0" borderId="11" xfId="0" applyFont="1" applyFill="1" applyBorder="1" applyAlignment="1">
      <alignment horizontal="right"/>
    </xf>
    <xf numFmtId="213" fontId="6" fillId="0" borderId="0" xfId="0" applyFont="1" applyFill="1" applyBorder="1" applyAlignment="1">
      <alignment horizontal="right"/>
    </xf>
    <xf numFmtId="9" fontId="34" fillId="0" borderId="27" xfId="0" applyNumberFormat="1" applyFont="1" applyFill="1" applyBorder="1"/>
    <xf numFmtId="213" fontId="34" fillId="0" borderId="27" xfId="0" applyFont="1" applyFill="1" applyBorder="1"/>
    <xf numFmtId="213" fontId="34" fillId="0" borderId="0" xfId="0" applyFont="1" applyFill="1" applyBorder="1" applyAlignment="1">
      <alignment horizontal="right"/>
    </xf>
    <xf numFmtId="213" fontId="34" fillId="0" borderId="27" xfId="0" applyFont="1" applyFill="1" applyBorder="1" applyAlignment="1">
      <alignment horizontal="right"/>
    </xf>
    <xf numFmtId="176" fontId="34" fillId="0" borderId="11" xfId="38" applyNumberFormat="1" applyFont="1" applyFill="1" applyBorder="1"/>
    <xf numFmtId="9" fontId="34" fillId="0" borderId="27" xfId="71" applyFont="1" applyFill="1" applyBorder="1"/>
    <xf numFmtId="9" fontId="34" fillId="0" borderId="11" xfId="71" applyFont="1" applyFill="1" applyBorder="1"/>
    <xf numFmtId="213" fontId="6" fillId="0" borderId="11" xfId="0" applyFont="1" applyFill="1" applyBorder="1" applyAlignment="1">
      <alignment horizontal="right"/>
    </xf>
    <xf numFmtId="213" fontId="6" fillId="0" borderId="27" xfId="0" applyFont="1" applyFill="1" applyBorder="1" applyAlignment="1">
      <alignment horizontal="right"/>
    </xf>
    <xf numFmtId="176" fontId="34" fillId="0" borderId="0" xfId="38" applyNumberFormat="1" applyFont="1" applyFill="1" applyBorder="1"/>
    <xf numFmtId="176" fontId="34" fillId="0" borderId="13" xfId="38" applyNumberFormat="1" applyFont="1" applyFill="1" applyBorder="1"/>
    <xf numFmtId="172" fontId="14" fillId="0" borderId="11" xfId="75" applyNumberFormat="1" applyFont="1" applyFill="1" applyBorder="1" applyAlignment="1" applyProtection="1">
      <alignment horizontal="right"/>
    </xf>
    <xf numFmtId="207" fontId="6" fillId="0" borderId="11" xfId="0" applyNumberFormat="1" applyFont="1" applyFill="1" applyBorder="1" applyAlignment="1">
      <alignment horizontal="right"/>
    </xf>
    <xf numFmtId="183" fontId="6" fillId="0" borderId="38" xfId="0" applyNumberFormat="1" applyFont="1" applyFill="1" applyBorder="1" applyAlignment="1">
      <alignment horizontal="center"/>
    </xf>
    <xf numFmtId="172" fontId="87" fillId="0" borderId="11" xfId="0" applyNumberFormat="1" applyFont="1" applyFill="1" applyBorder="1"/>
    <xf numFmtId="182" fontId="14" fillId="0" borderId="18" xfId="0" applyNumberFormat="1" applyFont="1" applyFill="1" applyBorder="1"/>
    <xf numFmtId="168" fontId="12" fillId="0" borderId="19" xfId="0" applyNumberFormat="1" applyFont="1" applyFill="1" applyBorder="1" applyProtection="1"/>
    <xf numFmtId="172" fontId="6" fillId="0" borderId="13" xfId="0" applyNumberFormat="1" applyFont="1" applyFill="1" applyBorder="1" applyAlignment="1" applyProtection="1">
      <alignment horizontal="left" indent="1"/>
    </xf>
    <xf numFmtId="41" fontId="12" fillId="0" borderId="13" xfId="0" applyNumberFormat="1" applyFont="1" applyFill="1" applyBorder="1" applyAlignment="1" applyProtection="1">
      <alignment horizontal="left"/>
    </xf>
    <xf numFmtId="172" fontId="12" fillId="0" borderId="13" xfId="0" applyNumberFormat="1" applyFont="1" applyFill="1" applyBorder="1" applyAlignment="1" applyProtection="1">
      <alignment horizontal="left" indent="1"/>
    </xf>
    <xf numFmtId="172" fontId="20" fillId="0" borderId="13" xfId="0" applyNumberFormat="1" applyFont="1" applyFill="1" applyBorder="1" applyProtection="1"/>
    <xf numFmtId="172" fontId="17" fillId="0" borderId="13" xfId="0" applyNumberFormat="1" applyFont="1" applyFill="1" applyBorder="1" applyAlignment="1" applyProtection="1">
      <alignment horizontal="left" indent="1"/>
    </xf>
    <xf numFmtId="172" fontId="6" fillId="0" borderId="20" xfId="0" applyNumberFormat="1" applyFont="1" applyFill="1" applyBorder="1" applyAlignment="1" applyProtection="1">
      <alignment horizontal="left" indent="1"/>
    </xf>
    <xf numFmtId="172" fontId="20" fillId="0" borderId="19" xfId="0" applyNumberFormat="1" applyFont="1" applyFill="1" applyBorder="1" applyProtection="1"/>
    <xf numFmtId="172" fontId="11" fillId="0" borderId="13" xfId="66" applyNumberFormat="1" applyFont="1" applyFill="1" applyBorder="1" applyAlignment="1" applyProtection="1">
      <alignment horizontal="left" indent="1"/>
    </xf>
    <xf numFmtId="168" fontId="12" fillId="0" borderId="13" xfId="66" applyNumberFormat="1" applyFont="1" applyFill="1" applyBorder="1" applyAlignment="1" applyProtection="1">
      <alignment horizontal="left"/>
    </xf>
    <xf numFmtId="7" fontId="12" fillId="22" borderId="13" xfId="0" applyNumberFormat="1" applyFont="1" applyFill="1" applyBorder="1" applyAlignment="1" applyProtection="1">
      <alignment horizontal="left" vertical="center"/>
    </xf>
    <xf numFmtId="7" fontId="6" fillId="22" borderId="13" xfId="0" applyNumberFormat="1" applyFont="1" applyFill="1" applyBorder="1" applyAlignment="1" applyProtection="1">
      <alignment horizontal="left" vertical="center"/>
    </xf>
    <xf numFmtId="172" fontId="6" fillId="0" borderId="13" xfId="66" applyNumberFormat="1" applyFont="1" applyFill="1" applyBorder="1" applyProtection="1"/>
    <xf numFmtId="0" fontId="11" fillId="0" borderId="13" xfId="66" applyFont="1" applyFill="1" applyBorder="1" applyAlignment="1" applyProtection="1">
      <alignment horizontal="left" indent="1"/>
    </xf>
    <xf numFmtId="172" fontId="6" fillId="0" borderId="31" xfId="0" applyNumberFormat="1" applyFont="1" applyFill="1" applyBorder="1" applyAlignment="1" applyProtection="1">
      <alignment horizontal="left"/>
    </xf>
    <xf numFmtId="167" fontId="12" fillId="0" borderId="20" xfId="0" applyNumberFormat="1" applyFont="1" applyFill="1" applyBorder="1"/>
    <xf numFmtId="213" fontId="20" fillId="0" borderId="19" xfId="0" applyFont="1" applyFill="1" applyBorder="1" applyAlignment="1" applyProtection="1">
      <alignment horizontal="left"/>
    </xf>
    <xf numFmtId="213" fontId="34" fillId="0" borderId="13" xfId="0" applyFont="1" applyFill="1" applyBorder="1" applyAlignment="1" applyProtection="1">
      <alignment horizontal="left"/>
    </xf>
    <xf numFmtId="213" fontId="15" fillId="0" borderId="13" xfId="0" applyFont="1" applyFill="1" applyBorder="1" applyAlignment="1" applyProtection="1">
      <alignment horizontal="left" indent="1"/>
    </xf>
    <xf numFmtId="213" fontId="20" fillId="0" borderId="20" xfId="0" applyFont="1" applyFill="1" applyBorder="1" applyAlignment="1" applyProtection="1">
      <alignment horizontal="left"/>
    </xf>
    <xf numFmtId="172" fontId="34" fillId="0" borderId="13" xfId="0" applyNumberFormat="1" applyFont="1" applyFill="1" applyBorder="1" applyAlignment="1" applyProtection="1">
      <alignment horizontal="left"/>
    </xf>
    <xf numFmtId="213" fontId="20" fillId="0" borderId="13" xfId="0" applyFont="1" applyFill="1" applyBorder="1" applyAlignment="1" applyProtection="1">
      <alignment horizontal="left"/>
    </xf>
    <xf numFmtId="213" fontId="34" fillId="0" borderId="19" xfId="0" applyFont="1" applyFill="1" applyBorder="1" applyAlignment="1" applyProtection="1">
      <alignment horizontal="left"/>
    </xf>
    <xf numFmtId="213" fontId="20" fillId="0" borderId="31" xfId="0" applyFont="1" applyFill="1" applyBorder="1" applyAlignment="1" applyProtection="1">
      <alignment horizontal="left"/>
    </xf>
    <xf numFmtId="182" fontId="12" fillId="0" borderId="19" xfId="0" applyNumberFormat="1" applyFont="1" applyFill="1" applyBorder="1" applyAlignment="1" applyProtection="1">
      <alignment horizontal="left"/>
    </xf>
    <xf numFmtId="172" fontId="12" fillId="0" borderId="13" xfId="0" applyNumberFormat="1" applyFont="1" applyFill="1" applyBorder="1" applyAlignment="1" applyProtection="1">
      <alignment horizontal="left"/>
    </xf>
    <xf numFmtId="172" fontId="6" fillId="0" borderId="13" xfId="0" applyNumberFormat="1" applyFont="1" applyFill="1" applyBorder="1" applyAlignment="1" applyProtection="1">
      <alignment horizontal="left"/>
    </xf>
    <xf numFmtId="172" fontId="12" fillId="0" borderId="20" xfId="0" applyNumberFormat="1" applyFont="1" applyFill="1" applyBorder="1" applyAlignment="1" applyProtection="1">
      <alignment horizontal="left" vertical="center"/>
    </xf>
    <xf numFmtId="182" fontId="12" fillId="0" borderId="13" xfId="0" applyNumberFormat="1" applyFont="1" applyFill="1" applyBorder="1" applyAlignment="1" applyProtection="1">
      <alignment horizontal="left"/>
    </xf>
    <xf numFmtId="182" fontId="12" fillId="0" borderId="20" xfId="0" applyNumberFormat="1" applyFont="1" applyFill="1" applyBorder="1" applyAlignment="1" applyProtection="1">
      <alignment horizontal="left" vertical="center"/>
    </xf>
    <xf numFmtId="172" fontId="12" fillId="0" borderId="36" xfId="0" applyNumberFormat="1" applyFont="1" applyFill="1" applyBorder="1" applyAlignment="1" applyProtection="1">
      <alignment horizontal="left"/>
    </xf>
    <xf numFmtId="172" fontId="6" fillId="18" borderId="25" xfId="0" applyNumberFormat="1" applyFont="1" applyFill="1" applyBorder="1" applyAlignment="1" applyProtection="1">
      <alignment horizontal="left"/>
      <protection locked="0"/>
    </xf>
    <xf numFmtId="172" fontId="12" fillId="18" borderId="20" xfId="0" applyNumberFormat="1" applyFont="1" applyFill="1" applyBorder="1" applyAlignment="1" applyProtection="1">
      <alignment horizontal="left" vertical="center"/>
      <protection locked="0"/>
    </xf>
    <xf numFmtId="9" fontId="6" fillId="0" borderId="0" xfId="71" applyFont="1" applyProtection="1"/>
    <xf numFmtId="0" fontId="12" fillId="0" borderId="28" xfId="66" applyFont="1" applyFill="1" applyBorder="1" applyAlignment="1">
      <alignment horizontal="left" indent="2"/>
    </xf>
    <xf numFmtId="1" fontId="34" fillId="0" borderId="28" xfId="0" applyNumberFormat="1" applyFont="1" applyFill="1" applyBorder="1"/>
    <xf numFmtId="1" fontId="34" fillId="0" borderId="12" xfId="0" applyNumberFormat="1" applyFont="1" applyFill="1" applyBorder="1"/>
    <xf numFmtId="166" fontId="11" fillId="0" borderId="28" xfId="0" applyNumberFormat="1" applyFont="1" applyFill="1" applyBorder="1"/>
    <xf numFmtId="166" fontId="11" fillId="0" borderId="12" xfId="0" applyNumberFormat="1" applyFont="1" applyFill="1" applyBorder="1"/>
    <xf numFmtId="166" fontId="34" fillId="0" borderId="19" xfId="0" applyNumberFormat="1" applyFont="1" applyFill="1" applyBorder="1"/>
    <xf numFmtId="37" fontId="34" fillId="0" borderId="12" xfId="0" applyNumberFormat="1" applyFont="1" applyFill="1" applyBorder="1"/>
    <xf numFmtId="37" fontId="6" fillId="0" borderId="12" xfId="0" applyNumberFormat="1" applyFont="1" applyFill="1" applyBorder="1"/>
    <xf numFmtId="37" fontId="6" fillId="16" borderId="28" xfId="0" applyNumberFormat="1" applyFont="1" applyFill="1" applyBorder="1"/>
    <xf numFmtId="37" fontId="6" fillId="16" borderId="12" xfId="0" applyNumberFormat="1" applyFont="1" applyFill="1" applyBorder="1"/>
    <xf numFmtId="37" fontId="6" fillId="16" borderId="19" xfId="0" applyNumberFormat="1" applyFont="1" applyFill="1" applyBorder="1"/>
    <xf numFmtId="37" fontId="6" fillId="0" borderId="28" xfId="0" applyNumberFormat="1" applyFont="1" applyFill="1" applyBorder="1"/>
    <xf numFmtId="37" fontId="6" fillId="0" borderId="19" xfId="0" applyNumberFormat="1" applyFont="1" applyFill="1" applyBorder="1"/>
    <xf numFmtId="0" fontId="12" fillId="0" borderId="18" xfId="66" applyFont="1" applyFill="1" applyBorder="1" applyAlignment="1">
      <alignment horizontal="left" indent="2"/>
    </xf>
    <xf numFmtId="37" fontId="6" fillId="16" borderId="18" xfId="0" applyNumberFormat="1" applyFont="1" applyFill="1" applyBorder="1"/>
    <xf numFmtId="37" fontId="6" fillId="16" borderId="17" xfId="0" applyNumberFormat="1" applyFont="1" applyFill="1" applyBorder="1"/>
    <xf numFmtId="37" fontId="6" fillId="16" borderId="20" xfId="0" applyNumberFormat="1" applyFont="1" applyFill="1" applyBorder="1"/>
    <xf numFmtId="171" fontId="33" fillId="17" borderId="32" xfId="0" applyNumberFormat="1" applyFont="1" applyFill="1" applyBorder="1" applyAlignment="1" applyProtection="1">
      <alignment horizontal="center"/>
    </xf>
    <xf numFmtId="171" fontId="6" fillId="0" borderId="33" xfId="0" applyNumberFormat="1" applyFont="1" applyFill="1" applyBorder="1" applyAlignment="1" applyProtection="1">
      <alignment horizontal="center"/>
    </xf>
    <xf numFmtId="171" fontId="6" fillId="0" borderId="35" xfId="0" applyNumberFormat="1" applyFont="1" applyFill="1" applyBorder="1" applyAlignment="1" applyProtection="1">
      <alignment horizontal="center"/>
    </xf>
    <xf numFmtId="41" fontId="6" fillId="0" borderId="0" xfId="0" applyNumberFormat="1" applyFont="1" applyFill="1" applyBorder="1" applyAlignment="1" applyProtection="1">
      <alignment horizontal="center"/>
    </xf>
    <xf numFmtId="171" fontId="33" fillId="17" borderId="33" xfId="0" applyNumberFormat="1" applyFont="1" applyFill="1" applyBorder="1" applyAlignment="1" applyProtection="1">
      <alignment horizontal="center"/>
    </xf>
    <xf numFmtId="171" fontId="6" fillId="0" borderId="34" xfId="0" applyNumberFormat="1" applyFont="1" applyFill="1" applyBorder="1" applyAlignment="1" applyProtection="1">
      <alignment horizontal="right"/>
    </xf>
    <xf numFmtId="171" fontId="6" fillId="0" borderId="22" xfId="64" applyNumberFormat="1" applyFont="1" applyFill="1" applyBorder="1" applyAlignment="1" applyProtection="1">
      <alignment horizontal="center"/>
    </xf>
    <xf numFmtId="171" fontId="6" fillId="0" borderId="22" xfId="0" applyNumberFormat="1" applyFont="1" applyFill="1" applyBorder="1" applyAlignment="1" applyProtection="1">
      <alignment horizontal="right"/>
    </xf>
    <xf numFmtId="171" fontId="6" fillId="0" borderId="32" xfId="0" applyNumberFormat="1" applyFont="1" applyFill="1" applyBorder="1" applyAlignment="1" applyProtection="1">
      <alignment horizontal="center"/>
    </xf>
    <xf numFmtId="0" fontId="10" fillId="0" borderId="0" xfId="59" applyFont="1" applyFill="1" applyBorder="1" applyAlignment="1" applyProtection="1">
      <alignment horizontal="left"/>
    </xf>
    <xf numFmtId="44" fontId="6" fillId="0" borderId="0" xfId="0" applyNumberFormat="1" applyFont="1" applyFill="1" applyBorder="1" applyProtection="1"/>
    <xf numFmtId="10" fontId="6" fillId="0" borderId="0" xfId="0" applyNumberFormat="1" applyFont="1" applyFill="1" applyBorder="1" applyProtection="1"/>
    <xf numFmtId="7" fontId="21" fillId="0" borderId="0" xfId="0" applyNumberFormat="1" applyFont="1" applyFill="1" applyBorder="1" applyAlignment="1" applyProtection="1">
      <alignment horizontal="right" vertical="center"/>
    </xf>
    <xf numFmtId="7" fontId="12" fillId="0" borderId="0" xfId="0" applyNumberFormat="1" applyFont="1" applyFill="1" applyBorder="1" applyAlignment="1" applyProtection="1">
      <alignment vertical="center"/>
    </xf>
    <xf numFmtId="179" fontId="6" fillId="0" borderId="0" xfId="38" applyNumberFormat="1" applyFont="1" applyFill="1" applyBorder="1" applyProtection="1"/>
    <xf numFmtId="185" fontId="14" fillId="0" borderId="0" xfId="0" applyNumberFormat="1" applyFont="1" applyFill="1" applyBorder="1" applyAlignment="1" applyProtection="1">
      <alignment horizontal="center"/>
    </xf>
    <xf numFmtId="215" fontId="11" fillId="0" borderId="0" xfId="0" applyNumberFormat="1" applyFont="1"/>
    <xf numFmtId="213" fontId="6" fillId="0" borderId="0" xfId="0" applyFont="1" applyFill="1" applyBorder="1" applyAlignment="1" applyProtection="1">
      <alignment horizontal="left"/>
    </xf>
    <xf numFmtId="213" fontId="11" fillId="0" borderId="0" xfId="0" applyFont="1" applyFill="1" applyBorder="1" applyAlignment="1" applyProtection="1">
      <alignment horizontal="left"/>
    </xf>
    <xf numFmtId="201" fontId="105" fillId="17" borderId="19" xfId="0" applyNumberFormat="1" applyFont="1" applyFill="1" applyBorder="1" applyAlignment="1">
      <alignment horizontal="center"/>
    </xf>
    <xf numFmtId="9" fontId="34" fillId="0" borderId="0" xfId="71" applyFont="1" applyBorder="1"/>
    <xf numFmtId="10" fontId="6" fillId="0" borderId="0" xfId="71" applyNumberFormat="1" applyFont="1" applyFill="1" applyBorder="1" applyProtection="1"/>
    <xf numFmtId="222" fontId="6" fillId="0" borderId="0" xfId="40" applyNumberFormat="1" applyFont="1" applyFill="1" applyBorder="1" applyProtection="1"/>
    <xf numFmtId="167" fontId="6" fillId="0" borderId="13" xfId="65" applyNumberFormat="1" applyFont="1" applyFill="1" applyBorder="1" applyAlignment="1">
      <alignment horizontal="right"/>
    </xf>
    <xf numFmtId="167" fontId="6" fillId="0" borderId="11" xfId="65" applyNumberFormat="1" applyFont="1" applyFill="1" applyBorder="1" applyAlignment="1">
      <alignment horizontal="right"/>
    </xf>
    <xf numFmtId="167" fontId="6" fillId="0" borderId="0" xfId="65" applyNumberFormat="1" applyFont="1" applyFill="1" applyBorder="1" applyAlignment="1">
      <alignment horizontal="right"/>
    </xf>
    <xf numFmtId="167" fontId="6" fillId="0" borderId="27" xfId="65" applyNumberFormat="1" applyFont="1" applyFill="1" applyBorder="1" applyAlignment="1">
      <alignment horizontal="right"/>
    </xf>
    <xf numFmtId="213" fontId="6" fillId="0" borderId="0" xfId="0" applyFont="1" applyFill="1" applyAlignment="1">
      <alignment horizontal="right"/>
    </xf>
    <xf numFmtId="166" fontId="34" fillId="22" borderId="11" xfId="62" applyNumberFormat="1" applyFont="1" applyFill="1" applyBorder="1"/>
    <xf numFmtId="185" fontId="34" fillId="22" borderId="12" xfId="0" applyNumberFormat="1" applyFont="1" applyFill="1" applyBorder="1" applyAlignment="1" applyProtection="1">
      <alignment horizontal="center"/>
    </xf>
    <xf numFmtId="185" fontId="34" fillId="22" borderId="19" xfId="0" applyNumberFormat="1" applyFont="1" applyFill="1" applyBorder="1" applyAlignment="1" applyProtection="1">
      <alignment horizontal="center"/>
    </xf>
    <xf numFmtId="185" fontId="6" fillId="22" borderId="12" xfId="0" applyNumberFormat="1" applyFont="1" applyFill="1" applyBorder="1" applyAlignment="1" applyProtection="1">
      <alignment horizontal="center"/>
    </xf>
    <xf numFmtId="185" fontId="34" fillId="22" borderId="0" xfId="0" applyNumberFormat="1" applyFont="1" applyFill="1" applyBorder="1" applyAlignment="1" applyProtection="1">
      <alignment horizontal="center"/>
    </xf>
    <xf numFmtId="185" fontId="34" fillId="22" borderId="13" xfId="0" applyNumberFormat="1" applyFont="1" applyFill="1" applyBorder="1" applyAlignment="1" applyProtection="1">
      <alignment horizontal="center"/>
    </xf>
    <xf numFmtId="185" fontId="6" fillId="22" borderId="0" xfId="0" applyNumberFormat="1" applyFont="1" applyFill="1" applyBorder="1" applyAlignment="1" applyProtection="1">
      <alignment horizontal="center"/>
    </xf>
    <xf numFmtId="166" fontId="34" fillId="22" borderId="18" xfId="62" applyNumberFormat="1" applyFont="1" applyFill="1" applyBorder="1"/>
    <xf numFmtId="185" fontId="34" fillId="22" borderId="17" xfId="0" applyNumberFormat="1" applyFont="1" applyFill="1" applyBorder="1" applyAlignment="1" applyProtection="1">
      <alignment horizontal="center"/>
    </xf>
    <xf numFmtId="185" fontId="34" fillId="22" borderId="20" xfId="0" applyNumberFormat="1" applyFont="1" applyFill="1" applyBorder="1" applyAlignment="1" applyProtection="1">
      <alignment horizontal="center"/>
    </xf>
    <xf numFmtId="185" fontId="6" fillId="22" borderId="17" xfId="0" applyNumberFormat="1" applyFont="1" applyFill="1" applyBorder="1" applyAlignment="1" applyProtection="1">
      <alignment horizontal="center"/>
    </xf>
    <xf numFmtId="0" fontId="13" fillId="17" borderId="19" xfId="80" applyFont="1" applyFill="1" applyBorder="1" applyProtection="1"/>
    <xf numFmtId="172" fontId="6" fillId="22" borderId="13" xfId="62" applyNumberFormat="1" applyFont="1" applyFill="1" applyBorder="1"/>
    <xf numFmtId="172" fontId="6" fillId="22" borderId="20" xfId="62" applyNumberFormat="1" applyFont="1" applyFill="1" applyBorder="1"/>
    <xf numFmtId="171" fontId="33" fillId="17" borderId="32" xfId="0" applyNumberFormat="1" applyFont="1" applyFill="1" applyBorder="1" applyAlignment="1">
      <alignment horizontal="center"/>
    </xf>
    <xf numFmtId="171" fontId="33" fillId="17" borderId="33" xfId="0" applyNumberFormat="1" applyFont="1" applyFill="1" applyBorder="1" applyAlignment="1">
      <alignment horizontal="center"/>
    </xf>
    <xf numFmtId="173" fontId="12" fillId="0" borderId="15" xfId="0" applyNumberFormat="1" applyFont="1" applyFill="1" applyBorder="1"/>
    <xf numFmtId="0" fontId="13" fillId="17" borderId="14" xfId="66" applyFont="1" applyFill="1" applyBorder="1" applyAlignment="1">
      <alignment vertical="center"/>
    </xf>
    <xf numFmtId="9" fontId="101" fillId="0" borderId="11" xfId="0" applyNumberFormat="1" applyFont="1" applyFill="1" applyBorder="1"/>
    <xf numFmtId="9" fontId="101" fillId="0" borderId="0" xfId="0" applyNumberFormat="1" applyFont="1" applyFill="1" applyBorder="1"/>
    <xf numFmtId="9" fontId="6" fillId="0" borderId="13" xfId="71" applyFont="1" applyFill="1" applyBorder="1"/>
    <xf numFmtId="9" fontId="101" fillId="0" borderId="13" xfId="71" applyFont="1" applyFill="1" applyBorder="1"/>
    <xf numFmtId="170" fontId="34" fillId="0" borderId="11" xfId="40" applyNumberFormat="1" applyFont="1" applyFill="1" applyBorder="1"/>
    <xf numFmtId="170" fontId="34" fillId="0" borderId="0" xfId="40" applyNumberFormat="1" applyFont="1" applyFill="1" applyBorder="1"/>
    <xf numFmtId="170" fontId="34" fillId="0" borderId="13" xfId="40" applyNumberFormat="1" applyFont="1" applyFill="1" applyBorder="1"/>
    <xf numFmtId="192" fontId="34" fillId="0" borderId="0" xfId="40" applyNumberFormat="1" applyFont="1" applyFill="1" applyBorder="1"/>
    <xf numFmtId="192" fontId="6" fillId="0" borderId="0" xfId="40" applyNumberFormat="1" applyFont="1" applyFill="1" applyBorder="1"/>
    <xf numFmtId="9" fontId="6" fillId="0" borderId="27" xfId="0" applyNumberFormat="1" applyFont="1" applyFill="1" applyBorder="1"/>
    <xf numFmtId="213" fontId="101" fillId="0" borderId="0" xfId="0" applyFont="1" applyFill="1" applyBorder="1"/>
    <xf numFmtId="3" fontId="101" fillId="0" borderId="0" xfId="0" applyNumberFormat="1" applyFont="1" applyFill="1" applyBorder="1"/>
    <xf numFmtId="213" fontId="6" fillId="0" borderId="0" xfId="0" applyFont="1" applyFill="1" applyAlignment="1">
      <alignment horizontal="left" indent="2"/>
    </xf>
    <xf numFmtId="213" fontId="6" fillId="0" borderId="0" xfId="0" applyFont="1" applyFill="1" applyAlignment="1">
      <alignment horizontal="left" indent="1"/>
    </xf>
    <xf numFmtId="213" fontId="34" fillId="20" borderId="0" xfId="0" applyFont="1" applyFill="1" applyBorder="1"/>
    <xf numFmtId="213" fontId="34" fillId="20" borderId="11" xfId="0" applyFont="1" applyFill="1" applyBorder="1"/>
    <xf numFmtId="213" fontId="37" fillId="20" borderId="13" xfId="0" applyFont="1" applyFill="1" applyBorder="1"/>
    <xf numFmtId="213" fontId="37" fillId="20" borderId="27" xfId="0" applyFont="1" applyFill="1" applyBorder="1"/>
    <xf numFmtId="9" fontId="33" fillId="20" borderId="0" xfId="0" applyNumberFormat="1" applyFont="1" applyFill="1" applyBorder="1"/>
    <xf numFmtId="213" fontId="33" fillId="20" borderId="0" xfId="0" applyFont="1" applyFill="1" applyBorder="1"/>
    <xf numFmtId="215" fontId="89" fillId="20" borderId="11" xfId="0" applyNumberFormat="1" applyFont="1" applyFill="1" applyBorder="1"/>
    <xf numFmtId="215" fontId="89" fillId="20" borderId="0" xfId="0" applyNumberFormat="1" applyFont="1" applyFill="1" applyBorder="1"/>
    <xf numFmtId="213" fontId="6" fillId="20" borderId="0" xfId="0" applyFont="1" applyFill="1" applyBorder="1"/>
    <xf numFmtId="213" fontId="14" fillId="20" borderId="13" xfId="0" applyFont="1" applyFill="1" applyBorder="1"/>
    <xf numFmtId="213" fontId="6" fillId="20" borderId="11" xfId="0" applyFont="1" applyFill="1" applyBorder="1"/>
    <xf numFmtId="0" fontId="12" fillId="20" borderId="0" xfId="66" applyFont="1" applyFill="1" applyBorder="1" applyAlignment="1">
      <alignment vertical="center"/>
    </xf>
    <xf numFmtId="168" fontId="11" fillId="0" borderId="11" xfId="66" applyNumberFormat="1" applyFont="1" applyFill="1" applyBorder="1" applyAlignment="1">
      <alignment horizontal="left" indent="3"/>
    </xf>
    <xf numFmtId="37" fontId="11" fillId="0" borderId="13" xfId="0" applyNumberFormat="1" applyFont="1" applyFill="1" applyBorder="1"/>
    <xf numFmtId="213" fontId="11" fillId="0" borderId="0" xfId="0" applyFont="1" applyBorder="1"/>
    <xf numFmtId="167" fontId="11" fillId="0" borderId="11" xfId="0" applyNumberFormat="1" applyFont="1" applyFill="1" applyBorder="1"/>
    <xf numFmtId="167" fontId="11" fillId="0" borderId="27" xfId="0" applyNumberFormat="1" applyFont="1" applyFill="1" applyBorder="1"/>
    <xf numFmtId="167" fontId="11" fillId="0" borderId="13" xfId="71" applyNumberFormat="1" applyFont="1" applyFill="1" applyBorder="1"/>
    <xf numFmtId="168" fontId="11" fillId="0" borderId="11" xfId="66" applyNumberFormat="1" applyFont="1" applyFill="1" applyBorder="1" applyAlignment="1">
      <alignment horizontal="left" indent="2"/>
    </xf>
    <xf numFmtId="167" fontId="11" fillId="0" borderId="0" xfId="0" applyNumberFormat="1" applyFont="1" applyFill="1"/>
    <xf numFmtId="167" fontId="106" fillId="0" borderId="11" xfId="0" applyNumberFormat="1" applyFont="1" applyFill="1" applyBorder="1"/>
    <xf numFmtId="167" fontId="106" fillId="0" borderId="0" xfId="0" applyNumberFormat="1" applyFont="1" applyFill="1" applyBorder="1"/>
    <xf numFmtId="167" fontId="106" fillId="0" borderId="13" xfId="71" applyNumberFormat="1" applyFont="1" applyFill="1" applyBorder="1"/>
    <xf numFmtId="167" fontId="11" fillId="0" borderId="13" xfId="0" applyNumberFormat="1" applyFont="1" applyFill="1" applyBorder="1"/>
    <xf numFmtId="167" fontId="11" fillId="0" borderId="0" xfId="0" applyNumberFormat="1" applyFont="1" applyBorder="1"/>
    <xf numFmtId="167" fontId="106" fillId="0" borderId="27" xfId="0" applyNumberFormat="1" applyFont="1" applyFill="1" applyBorder="1"/>
    <xf numFmtId="167" fontId="11" fillId="0" borderId="27" xfId="71" applyNumberFormat="1" applyFont="1" applyFill="1" applyBorder="1"/>
    <xf numFmtId="7" fontId="11" fillId="0" borderId="0" xfId="0" applyNumberFormat="1" applyFont="1" applyFill="1"/>
    <xf numFmtId="7" fontId="11" fillId="0" borderId="11" xfId="0" applyNumberFormat="1" applyFont="1" applyFill="1" applyBorder="1"/>
    <xf numFmtId="7" fontId="11" fillId="0" borderId="0" xfId="0" applyNumberFormat="1" applyFont="1" applyFill="1" applyBorder="1"/>
    <xf numFmtId="7" fontId="11" fillId="0" borderId="13" xfId="0" applyNumberFormat="1" applyFont="1" applyFill="1" applyBorder="1"/>
    <xf numFmtId="167" fontId="11" fillId="0" borderId="11" xfId="71" applyNumberFormat="1" applyFont="1" applyFill="1" applyBorder="1"/>
    <xf numFmtId="167" fontId="11" fillId="0" borderId="0" xfId="71" applyNumberFormat="1" applyFont="1" applyFill="1" applyBorder="1"/>
    <xf numFmtId="167" fontId="11" fillId="0" borderId="0" xfId="71" applyNumberFormat="1" applyFont="1" applyFill="1"/>
    <xf numFmtId="167" fontId="107" fillId="0" borderId="0" xfId="71" applyNumberFormat="1" applyFont="1" applyFill="1"/>
    <xf numFmtId="167" fontId="106" fillId="0" borderId="11" xfId="71" applyNumberFormat="1" applyFont="1" applyFill="1" applyBorder="1"/>
    <xf numFmtId="167" fontId="106" fillId="0" borderId="0" xfId="71" applyNumberFormat="1" applyFont="1" applyFill="1" applyBorder="1"/>
    <xf numFmtId="167" fontId="106" fillId="0" borderId="27" xfId="71" applyNumberFormat="1" applyFont="1" applyFill="1" applyBorder="1"/>
    <xf numFmtId="172" fontId="59" fillId="0" borderId="0" xfId="0" applyNumberFormat="1" applyFont="1" applyFill="1" applyBorder="1"/>
    <xf numFmtId="168" fontId="59" fillId="0" borderId="0" xfId="0" applyNumberFormat="1" applyFont="1" applyFill="1" applyBorder="1"/>
    <xf numFmtId="9" fontId="97" fillId="0" borderId="0" xfId="71" applyFont="1" applyFill="1" applyBorder="1"/>
    <xf numFmtId="178" fontId="101" fillId="0" borderId="0" xfId="0" applyNumberFormat="1" applyFont="1" applyFill="1" applyBorder="1"/>
    <xf numFmtId="172" fontId="101" fillId="0" borderId="0" xfId="0" applyNumberFormat="1" applyFont="1" applyFill="1" applyBorder="1" applyAlignment="1">
      <alignment horizontal="right"/>
    </xf>
    <xf numFmtId="172" fontId="108" fillId="0" borderId="27" xfId="0" applyNumberFormat="1" applyFont="1" applyFill="1" applyBorder="1" applyAlignment="1" applyProtection="1">
      <alignment horizontal="right"/>
    </xf>
    <xf numFmtId="167" fontId="106" fillId="0" borderId="0" xfId="75" applyNumberFormat="1" applyFont="1" applyFill="1" applyBorder="1" applyAlignment="1">
      <alignment horizontal="right"/>
    </xf>
    <xf numFmtId="168" fontId="104" fillId="0" borderId="0" xfId="0" applyNumberFormat="1" applyFont="1" applyFill="1" applyBorder="1"/>
    <xf numFmtId="9" fontId="20" fillId="0" borderId="0" xfId="71" applyFont="1" applyFill="1" applyBorder="1" applyProtection="1"/>
    <xf numFmtId="9" fontId="6" fillId="0" borderId="0" xfId="71" applyFont="1" applyFill="1" applyBorder="1" applyAlignment="1" applyProtection="1">
      <alignment horizontal="left" indent="1"/>
    </xf>
    <xf numFmtId="167" fontId="12" fillId="0" borderId="0" xfId="71" applyNumberFormat="1" applyFont="1" applyFill="1" applyBorder="1" applyAlignment="1" applyProtection="1">
      <alignment horizontal="left" indent="1"/>
    </xf>
    <xf numFmtId="213" fontId="12" fillId="19" borderId="0" xfId="0" applyFont="1" applyFill="1" applyBorder="1"/>
    <xf numFmtId="171" fontId="33" fillId="19" borderId="0" xfId="0" applyNumberFormat="1" applyFont="1" applyFill="1" applyBorder="1" applyAlignment="1" applyProtection="1">
      <alignment horizontal="center"/>
    </xf>
    <xf numFmtId="172" fontId="110" fillId="0" borderId="0" xfId="0" applyNumberFormat="1" applyFont="1" applyFill="1" applyBorder="1"/>
    <xf numFmtId="226" fontId="14" fillId="0" borderId="0" xfId="0" applyNumberFormat="1" applyFont="1" applyFill="1" applyBorder="1"/>
    <xf numFmtId="172" fontId="110" fillId="0" borderId="0" xfId="0" applyNumberFormat="1" applyFont="1" applyBorder="1"/>
    <xf numFmtId="182" fontId="12" fillId="0" borderId="0" xfId="0" applyNumberFormat="1" applyFont="1" applyFill="1" applyBorder="1"/>
    <xf numFmtId="167" fontId="111" fillId="0" borderId="0" xfId="71" applyNumberFormat="1" applyFont="1" applyFill="1" applyBorder="1"/>
    <xf numFmtId="167" fontId="111" fillId="0" borderId="27" xfId="71" applyNumberFormat="1" applyFont="1" applyFill="1" applyBorder="1"/>
    <xf numFmtId="37" fontId="110" fillId="0" borderId="18" xfId="0" applyNumberFormat="1" applyFont="1" applyFill="1" applyBorder="1"/>
    <xf numFmtId="37" fontId="110" fillId="0" borderId="17" xfId="0" applyNumberFormat="1" applyFont="1" applyFill="1" applyBorder="1"/>
    <xf numFmtId="168" fontId="110" fillId="0" borderId="11" xfId="0" applyNumberFormat="1" applyFont="1" applyFill="1" applyBorder="1"/>
    <xf numFmtId="168" fontId="110" fillId="0" borderId="0" xfId="0" applyNumberFormat="1" applyFont="1" applyFill="1" applyBorder="1"/>
    <xf numFmtId="213" fontId="6" fillId="0" borderId="0" xfId="0" applyFont="1" applyFill="1" applyAlignment="1">
      <alignment horizontal="left" indent="3"/>
    </xf>
    <xf numFmtId="168" fontId="112" fillId="0" borderId="11" xfId="0" applyNumberFormat="1" applyFont="1" applyFill="1" applyBorder="1"/>
    <xf numFmtId="5" fontId="112" fillId="0" borderId="0" xfId="0" applyNumberFormat="1" applyFont="1" applyFill="1" applyBorder="1"/>
    <xf numFmtId="5" fontId="112" fillId="0" borderId="27" xfId="0" applyNumberFormat="1" applyFont="1" applyFill="1" applyBorder="1"/>
    <xf numFmtId="172" fontId="112" fillId="0" borderId="18" xfId="0" applyNumberFormat="1" applyFont="1" applyFill="1" applyBorder="1"/>
    <xf numFmtId="182" fontId="112" fillId="0" borderId="17" xfId="0" applyNumberFormat="1" applyFont="1" applyFill="1" applyBorder="1"/>
    <xf numFmtId="182" fontId="112" fillId="0" borderId="26" xfId="0" applyNumberFormat="1" applyFont="1" applyFill="1" applyBorder="1"/>
    <xf numFmtId="43" fontId="34" fillId="0" borderId="29" xfId="38" applyFont="1" applyFill="1" applyBorder="1"/>
    <xf numFmtId="176" fontId="12" fillId="0" borderId="0" xfId="38" applyNumberFormat="1" applyFont="1" applyFill="1" applyBorder="1" applyProtection="1"/>
    <xf numFmtId="172" fontId="114" fillId="0" borderId="11" xfId="0" applyNumberFormat="1" applyFont="1" applyFill="1" applyBorder="1"/>
    <xf numFmtId="172" fontId="114" fillId="0" borderId="0" xfId="0" applyNumberFormat="1" applyFont="1" applyFill="1" applyBorder="1"/>
    <xf numFmtId="172" fontId="114" fillId="0" borderId="13" xfId="0" applyNumberFormat="1" applyFont="1" applyFill="1" applyBorder="1"/>
    <xf numFmtId="213" fontId="114" fillId="0" borderId="0" xfId="0" applyFont="1" applyFill="1"/>
    <xf numFmtId="37" fontId="114" fillId="0" borderId="11" xfId="0" applyNumberFormat="1" applyFont="1" applyFill="1" applyBorder="1"/>
    <xf numFmtId="37" fontId="114" fillId="0" borderId="0" xfId="0" applyNumberFormat="1" applyFont="1" applyFill="1" applyBorder="1"/>
    <xf numFmtId="37" fontId="114" fillId="0" borderId="13" xfId="0" applyNumberFormat="1" applyFont="1" applyFill="1" applyBorder="1"/>
    <xf numFmtId="170" fontId="114" fillId="0" borderId="11" xfId="40" applyNumberFormat="1" applyFont="1" applyFill="1" applyBorder="1"/>
    <xf numFmtId="170" fontId="114" fillId="0" borderId="0" xfId="40" applyNumberFormat="1" applyFont="1" applyFill="1" applyBorder="1"/>
    <xf numFmtId="170" fontId="114" fillId="0" borderId="13" xfId="40" applyNumberFormat="1" applyFont="1" applyFill="1" applyBorder="1"/>
    <xf numFmtId="192" fontId="114" fillId="0" borderId="0" xfId="40" applyNumberFormat="1" applyFont="1" applyFill="1" applyBorder="1"/>
    <xf numFmtId="167" fontId="117" fillId="0" borderId="11" xfId="0" applyNumberFormat="1" applyFont="1" applyFill="1" applyBorder="1"/>
    <xf numFmtId="167" fontId="117" fillId="0" borderId="0" xfId="0" applyNumberFormat="1" applyFont="1" applyFill="1" applyBorder="1"/>
    <xf numFmtId="167" fontId="117" fillId="0" borderId="27" xfId="0" applyNumberFormat="1" applyFont="1" applyFill="1" applyBorder="1"/>
    <xf numFmtId="167" fontId="117" fillId="0" borderId="13" xfId="71" applyNumberFormat="1" applyFont="1" applyFill="1" applyBorder="1"/>
    <xf numFmtId="167" fontId="117" fillId="0" borderId="0" xfId="0" applyNumberFormat="1" applyFont="1" applyFill="1"/>
    <xf numFmtId="37" fontId="14" fillId="0" borderId="27" xfId="0" applyNumberFormat="1" applyFont="1" applyFill="1" applyBorder="1"/>
    <xf numFmtId="178" fontId="6" fillId="0" borderId="0" xfId="0" applyNumberFormat="1" applyFont="1"/>
    <xf numFmtId="213" fontId="6" fillId="0" borderId="0" xfId="0" applyFont="1" applyFill="1" applyAlignment="1">
      <alignment horizontal="left" indent="4"/>
    </xf>
    <xf numFmtId="213" fontId="6" fillId="0" borderId="0" xfId="0" applyFont="1" applyFill="1" applyAlignment="1">
      <alignment horizontal="left" indent="5"/>
    </xf>
    <xf numFmtId="168" fontId="11" fillId="0" borderId="11" xfId="66" applyNumberFormat="1" applyFont="1" applyFill="1" applyBorder="1" applyAlignment="1">
      <alignment horizontal="left" indent="5"/>
    </xf>
    <xf numFmtId="172" fontId="114" fillId="0" borderId="28" xfId="0" applyNumberFormat="1" applyFont="1" applyFill="1" applyBorder="1"/>
    <xf numFmtId="172" fontId="114" fillId="0" borderId="12" xfId="0" applyNumberFormat="1" applyFont="1" applyFill="1" applyBorder="1"/>
    <xf numFmtId="167" fontId="118" fillId="0" borderId="11" xfId="0" applyNumberFormat="1" applyFont="1" applyFill="1" applyBorder="1"/>
    <xf numFmtId="167" fontId="118" fillId="0" borderId="0" xfId="0" applyNumberFormat="1" applyFont="1" applyFill="1" applyBorder="1"/>
    <xf numFmtId="167" fontId="118" fillId="0" borderId="27" xfId="0" applyNumberFormat="1" applyFont="1" applyFill="1" applyBorder="1"/>
    <xf numFmtId="168" fontId="119" fillId="0" borderId="11" xfId="0" applyNumberFormat="1" applyFont="1" applyFill="1" applyBorder="1"/>
    <xf numFmtId="168" fontId="119" fillId="0" borderId="0" xfId="0" applyNumberFormat="1" applyFont="1" applyFill="1" applyBorder="1"/>
    <xf numFmtId="37" fontId="119" fillId="0" borderId="11" xfId="0" applyNumberFormat="1" applyFont="1" applyFill="1" applyBorder="1"/>
    <xf numFmtId="37" fontId="119" fillId="0" borderId="0" xfId="0" applyNumberFormat="1" applyFont="1" applyFill="1" applyBorder="1"/>
    <xf numFmtId="182" fontId="119" fillId="0" borderId="11" xfId="0" applyNumberFormat="1" applyFont="1" applyFill="1" applyBorder="1"/>
    <xf numFmtId="182" fontId="119" fillId="0" borderId="0" xfId="0" applyNumberFormat="1" applyFont="1" applyFill="1" applyBorder="1"/>
    <xf numFmtId="182" fontId="114" fillId="0" borderId="11" xfId="0" applyNumberFormat="1" applyFont="1" applyFill="1" applyBorder="1"/>
    <xf numFmtId="182" fontId="114" fillId="0" borderId="0" xfId="0" applyNumberFormat="1" applyFont="1" applyFill="1" applyBorder="1"/>
    <xf numFmtId="167" fontId="115" fillId="0" borderId="11" xfId="0" applyNumberFormat="1" applyFont="1" applyFill="1" applyBorder="1"/>
    <xf numFmtId="167" fontId="115" fillId="0" borderId="0" xfId="0" applyNumberFormat="1" applyFont="1" applyFill="1" applyBorder="1"/>
    <xf numFmtId="0" fontId="12" fillId="0" borderId="17" xfId="59" applyFont="1" applyFill="1" applyBorder="1" applyAlignment="1" applyProtection="1">
      <alignment horizontal="left"/>
    </xf>
    <xf numFmtId="172" fontId="120" fillId="0" borderId="20" xfId="0" applyNumberFormat="1" applyFont="1" applyFill="1" applyBorder="1" applyAlignment="1" applyProtection="1">
      <alignment horizontal="right"/>
    </xf>
    <xf numFmtId="175" fontId="17" fillId="0" borderId="13" xfId="0" applyNumberFormat="1" applyFont="1" applyFill="1" applyBorder="1" applyAlignment="1" applyProtection="1">
      <alignment horizontal="right"/>
    </xf>
    <xf numFmtId="9" fontId="115" fillId="0" borderId="27" xfId="0" applyNumberFormat="1" applyFont="1" applyFill="1" applyBorder="1"/>
    <xf numFmtId="172" fontId="116" fillId="0" borderId="27" xfId="0" applyNumberFormat="1" applyFont="1" applyFill="1" applyBorder="1" applyAlignment="1">
      <alignment horizontal="right"/>
    </xf>
    <xf numFmtId="9" fontId="14" fillId="22" borderId="0" xfId="71" applyFont="1" applyFill="1" applyBorder="1"/>
    <xf numFmtId="178" fontId="116" fillId="0" borderId="18" xfId="0" applyNumberFormat="1" applyFont="1" applyFill="1" applyBorder="1"/>
    <xf numFmtId="178" fontId="116" fillId="0" borderId="17" xfId="0" applyNumberFormat="1" applyFont="1" applyFill="1" applyBorder="1"/>
    <xf numFmtId="9" fontId="6" fillId="22" borderId="13" xfId="71" applyFont="1" applyFill="1" applyBorder="1"/>
    <xf numFmtId="167" fontId="115" fillId="0" borderId="27" xfId="0" applyNumberFormat="1" applyFont="1" applyFill="1" applyBorder="1"/>
    <xf numFmtId="167" fontId="118" fillId="0" borderId="11" xfId="71" applyNumberFormat="1" applyFont="1" applyFill="1" applyBorder="1"/>
    <xf numFmtId="167" fontId="118" fillId="0" borderId="0" xfId="71" applyNumberFormat="1" applyFont="1" applyFill="1" applyBorder="1"/>
    <xf numFmtId="167" fontId="118" fillId="0" borderId="27" xfId="71" applyNumberFormat="1" applyFont="1" applyFill="1" applyBorder="1"/>
    <xf numFmtId="213" fontId="12" fillId="16" borderId="0" xfId="0" applyFont="1" applyFill="1" applyAlignment="1">
      <alignment horizontal="left" indent="2"/>
    </xf>
    <xf numFmtId="213" fontId="9" fillId="16" borderId="0" xfId="0" applyFont="1" applyFill="1"/>
    <xf numFmtId="37" fontId="12" fillId="16" borderId="11" xfId="0" applyNumberFormat="1" applyFont="1" applyFill="1" applyBorder="1"/>
    <xf numFmtId="37" fontId="12" fillId="16" borderId="0" xfId="0" applyNumberFormat="1" applyFont="1" applyFill="1" applyBorder="1"/>
    <xf numFmtId="37" fontId="12" fillId="16" borderId="13" xfId="0" applyNumberFormat="1" applyFont="1" applyFill="1" applyBorder="1"/>
    <xf numFmtId="172" fontId="12" fillId="16" borderId="0" xfId="0" applyNumberFormat="1" applyFont="1" applyFill="1" applyBorder="1"/>
    <xf numFmtId="213" fontId="12" fillId="16" borderId="0" xfId="0" applyFont="1" applyFill="1"/>
    <xf numFmtId="172" fontId="12" fillId="16" borderId="11" xfId="0" applyNumberFormat="1" applyFont="1" applyFill="1" applyBorder="1"/>
    <xf numFmtId="172" fontId="12" fillId="16" borderId="13" xfId="0" applyNumberFormat="1" applyFont="1" applyFill="1" applyBorder="1"/>
    <xf numFmtId="213" fontId="12" fillId="16" borderId="0" xfId="0" applyFont="1" applyFill="1" applyBorder="1"/>
    <xf numFmtId="168" fontId="11" fillId="0" borderId="18" xfId="66" applyNumberFormat="1" applyFont="1" applyFill="1" applyBorder="1" applyAlignment="1">
      <alignment horizontal="left" indent="3"/>
    </xf>
    <xf numFmtId="170" fontId="34" fillId="0" borderId="18" xfId="40" applyNumberFormat="1" applyFont="1" applyFill="1" applyBorder="1"/>
    <xf numFmtId="170" fontId="34" fillId="0" borderId="17" xfId="40" applyNumberFormat="1" applyFont="1" applyFill="1" applyBorder="1"/>
    <xf numFmtId="170" fontId="34" fillId="0" borderId="20" xfId="40" applyNumberFormat="1" applyFont="1" applyFill="1" applyBorder="1"/>
    <xf numFmtId="167" fontId="11" fillId="0" borderId="18" xfId="0" applyNumberFormat="1" applyFont="1" applyFill="1" applyBorder="1"/>
    <xf numFmtId="167" fontId="11" fillId="0" borderId="17" xfId="0" applyNumberFormat="1" applyFont="1" applyFill="1" applyBorder="1"/>
    <xf numFmtId="167" fontId="11" fillId="0" borderId="26" xfId="0" applyNumberFormat="1" applyFont="1" applyFill="1" applyBorder="1"/>
    <xf numFmtId="167" fontId="11" fillId="0" borderId="20" xfId="71" applyNumberFormat="1" applyFont="1" applyFill="1" applyBorder="1"/>
    <xf numFmtId="213" fontId="11" fillId="0" borderId="17" xfId="0" applyFont="1" applyFill="1" applyBorder="1"/>
    <xf numFmtId="213" fontId="6" fillId="0" borderId="17" xfId="0" applyFont="1" applyFill="1" applyBorder="1" applyAlignment="1">
      <alignment horizontal="left" indent="2"/>
    </xf>
    <xf numFmtId="192" fontId="34" fillId="0" borderId="17" xfId="40" applyNumberFormat="1" applyFont="1" applyFill="1" applyBorder="1"/>
    <xf numFmtId="170" fontId="114" fillId="0" borderId="18" xfId="40" applyNumberFormat="1" applyFont="1" applyFill="1" applyBorder="1"/>
    <xf numFmtId="170" fontId="114" fillId="0" borderId="17" xfId="40" applyNumberFormat="1" applyFont="1" applyFill="1" applyBorder="1"/>
    <xf numFmtId="170" fontId="114" fillId="0" borderId="20" xfId="40" applyNumberFormat="1" applyFont="1" applyFill="1" applyBorder="1"/>
    <xf numFmtId="192" fontId="114" fillId="0" borderId="17" xfId="40" applyNumberFormat="1" applyFont="1" applyFill="1" applyBorder="1"/>
    <xf numFmtId="7" fontId="22" fillId="16" borderId="0" xfId="0" applyNumberFormat="1" applyFont="1" applyFill="1"/>
    <xf numFmtId="7" fontId="22" fillId="16" borderId="11" xfId="0" applyNumberFormat="1" applyFont="1" applyFill="1" applyBorder="1"/>
    <xf numFmtId="7" fontId="22" fillId="16" borderId="0" xfId="0" applyNumberFormat="1" applyFont="1" applyFill="1" applyBorder="1"/>
    <xf numFmtId="7" fontId="22" fillId="16" borderId="13" xfId="0" applyNumberFormat="1" applyFont="1" applyFill="1" applyBorder="1"/>
    <xf numFmtId="167" fontId="22" fillId="16" borderId="11" xfId="71" applyNumberFormat="1" applyFont="1" applyFill="1" applyBorder="1"/>
    <xf numFmtId="167" fontId="22" fillId="16" borderId="0" xfId="71" applyNumberFormat="1" applyFont="1" applyFill="1" applyBorder="1"/>
    <xf numFmtId="167" fontId="22" fillId="16" borderId="13" xfId="71" applyNumberFormat="1" applyFont="1" applyFill="1" applyBorder="1"/>
    <xf numFmtId="167" fontId="22" fillId="16" borderId="0" xfId="71" applyNumberFormat="1" applyFont="1" applyFill="1"/>
    <xf numFmtId="213" fontId="12" fillId="16" borderId="0" xfId="0" applyFont="1" applyFill="1" applyAlignment="1">
      <alignment horizontal="left" indent="1"/>
    </xf>
    <xf numFmtId="213" fontId="34" fillId="16" borderId="0" xfId="0" applyFont="1" applyFill="1"/>
    <xf numFmtId="172" fontId="34" fillId="16" borderId="11" xfId="0" applyNumberFormat="1" applyFont="1" applyFill="1" applyBorder="1"/>
    <xf numFmtId="172" fontId="34" fillId="16" borderId="0" xfId="0" applyNumberFormat="1" applyFont="1" applyFill="1" applyBorder="1"/>
    <xf numFmtId="172" fontId="34" fillId="16" borderId="13" xfId="0" applyNumberFormat="1" applyFont="1" applyFill="1" applyBorder="1"/>
    <xf numFmtId="172" fontId="113" fillId="16" borderId="0" xfId="0" applyNumberFormat="1" applyFont="1" applyFill="1" applyBorder="1"/>
    <xf numFmtId="167" fontId="22" fillId="16" borderId="27" xfId="71" applyNumberFormat="1" applyFont="1" applyFill="1" applyBorder="1"/>
    <xf numFmtId="213" fontId="22" fillId="16" borderId="0" xfId="0" applyFont="1" applyFill="1" applyAlignment="1">
      <alignment horizontal="left" indent="3"/>
    </xf>
    <xf numFmtId="178" fontId="122" fillId="0" borderId="17" xfId="0" applyNumberFormat="1" applyFont="1" applyFill="1" applyBorder="1"/>
    <xf numFmtId="167" fontId="122" fillId="0" borderId="18" xfId="0" applyNumberFormat="1" applyFont="1" applyFill="1" applyBorder="1"/>
    <xf numFmtId="167" fontId="122" fillId="0" borderId="17" xfId="0" applyNumberFormat="1" applyFont="1" applyFill="1" applyBorder="1"/>
    <xf numFmtId="172" fontId="122" fillId="0" borderId="11" xfId="0" applyNumberFormat="1" applyFont="1" applyFill="1" applyBorder="1"/>
    <xf numFmtId="172" fontId="122" fillId="0" borderId="17" xfId="0" applyNumberFormat="1" applyFont="1" applyFill="1" applyBorder="1"/>
    <xf numFmtId="172" fontId="122" fillId="0" borderId="0" xfId="0" applyNumberFormat="1" applyFont="1" applyFill="1" applyBorder="1"/>
    <xf numFmtId="172" fontId="121" fillId="0" borderId="28" xfId="0" applyNumberFormat="1" applyFont="1" applyFill="1" applyBorder="1"/>
    <xf numFmtId="172" fontId="121" fillId="0" borderId="12" xfId="0" applyNumberFormat="1" applyFont="1" applyFill="1" applyBorder="1"/>
    <xf numFmtId="172" fontId="121" fillId="0" borderId="18" xfId="0" applyNumberFormat="1" applyFont="1" applyFill="1" applyBorder="1"/>
    <xf numFmtId="172" fontId="121" fillId="0" borderId="17" xfId="0" applyNumberFormat="1" applyFont="1" applyFill="1" applyBorder="1"/>
    <xf numFmtId="172" fontId="121" fillId="0" borderId="26" xfId="0" applyNumberFormat="1" applyFont="1" applyFill="1" applyBorder="1"/>
    <xf numFmtId="168" fontId="123" fillId="0" borderId="11" xfId="0" applyNumberFormat="1" applyFont="1" applyFill="1" applyBorder="1"/>
    <xf numFmtId="168" fontId="123" fillId="0" borderId="0" xfId="0" applyNumberFormat="1" applyFont="1" applyFill="1" applyBorder="1"/>
    <xf numFmtId="37" fontId="123" fillId="0" borderId="11" xfId="0" applyNumberFormat="1" applyFont="1" applyFill="1" applyBorder="1"/>
    <xf numFmtId="37" fontId="123" fillId="0" borderId="0" xfId="0" applyNumberFormat="1" applyFont="1" applyFill="1" applyBorder="1"/>
    <xf numFmtId="168" fontId="122" fillId="0" borderId="11" xfId="0" applyNumberFormat="1" applyFont="1" applyFill="1" applyBorder="1"/>
    <xf numFmtId="168" fontId="122" fillId="0" borderId="0" xfId="0" applyNumberFormat="1" applyFont="1" applyFill="1" applyBorder="1"/>
    <xf numFmtId="37" fontId="122" fillId="0" borderId="11" xfId="0" applyNumberFormat="1" applyFont="1" applyFill="1" applyBorder="1"/>
    <xf numFmtId="37" fontId="122" fillId="0" borderId="0" xfId="0" applyNumberFormat="1" applyFont="1" applyFill="1" applyBorder="1"/>
    <xf numFmtId="37" fontId="122" fillId="0" borderId="18" xfId="0" applyNumberFormat="1" applyFont="1" applyFill="1" applyBorder="1"/>
    <xf numFmtId="37" fontId="122" fillId="0" borderId="17" xfId="0" applyNumberFormat="1" applyFont="1" applyFill="1" applyBorder="1"/>
    <xf numFmtId="5" fontId="122" fillId="0" borderId="11" xfId="0" applyNumberFormat="1" applyFont="1" applyFill="1" applyBorder="1"/>
    <xf numFmtId="5" fontId="122" fillId="0" borderId="0" xfId="0" applyNumberFormat="1" applyFont="1" applyFill="1" applyBorder="1"/>
    <xf numFmtId="5" fontId="123" fillId="0" borderId="0" xfId="0" applyNumberFormat="1" applyFont="1" applyFill="1" applyBorder="1"/>
    <xf numFmtId="37" fontId="123" fillId="0" borderId="18" xfId="0" applyNumberFormat="1" applyFont="1" applyFill="1" applyBorder="1"/>
    <xf numFmtId="178" fontId="123" fillId="0" borderId="17" xfId="0" applyNumberFormat="1" applyFont="1" applyFill="1" applyBorder="1"/>
    <xf numFmtId="178" fontId="123" fillId="0" borderId="26" xfId="0" applyNumberFormat="1" applyFont="1" applyFill="1" applyBorder="1"/>
    <xf numFmtId="37" fontId="123" fillId="0" borderId="17" xfId="0" applyNumberFormat="1" applyFont="1" applyFill="1" applyBorder="1"/>
    <xf numFmtId="168" fontId="123" fillId="0" borderId="13" xfId="0" applyNumberFormat="1" applyFont="1" applyFill="1" applyBorder="1"/>
    <xf numFmtId="9" fontId="124" fillId="0" borderId="11" xfId="0" applyNumberFormat="1" applyFont="1" applyFill="1" applyBorder="1"/>
    <xf numFmtId="178" fontId="123" fillId="0" borderId="18" xfId="0" applyNumberFormat="1" applyFont="1" applyFill="1" applyBorder="1"/>
    <xf numFmtId="9" fontId="124" fillId="0" borderId="0" xfId="0" applyNumberFormat="1" applyFont="1" applyFill="1" applyBorder="1"/>
    <xf numFmtId="172" fontId="123" fillId="0" borderId="11" xfId="0" applyNumberFormat="1" applyFont="1" applyFill="1" applyBorder="1"/>
    <xf numFmtId="172" fontId="123" fillId="0" borderId="0" xfId="0" applyNumberFormat="1" applyFont="1" applyFill="1" applyBorder="1"/>
    <xf numFmtId="168" fontId="123" fillId="0" borderId="27" xfId="0" applyNumberFormat="1" applyFont="1" applyFill="1" applyBorder="1"/>
    <xf numFmtId="37" fontId="123" fillId="0" borderId="27" xfId="0" applyNumberFormat="1" applyFont="1" applyFill="1" applyBorder="1"/>
    <xf numFmtId="9" fontId="124" fillId="0" borderId="0" xfId="0" applyNumberFormat="1" applyFont="1" applyFill="1" applyBorder="1" applyAlignment="1">
      <alignment horizontal="right"/>
    </xf>
    <xf numFmtId="172" fontId="123" fillId="0" borderId="27" xfId="0" applyNumberFormat="1" applyFont="1" applyFill="1" applyBorder="1"/>
    <xf numFmtId="9" fontId="124" fillId="0" borderId="27" xfId="0" applyNumberFormat="1" applyFont="1" applyFill="1" applyBorder="1"/>
    <xf numFmtId="9" fontId="123" fillId="0" borderId="18" xfId="0" applyNumberFormat="1" applyFont="1" applyFill="1" applyBorder="1"/>
    <xf numFmtId="6" fontId="123" fillId="0" borderId="11" xfId="0" applyNumberFormat="1" applyFont="1" applyFill="1" applyBorder="1"/>
    <xf numFmtId="9" fontId="6" fillId="0" borderId="11" xfId="71" applyFont="1" applyFill="1" applyBorder="1"/>
    <xf numFmtId="172" fontId="122" fillId="0" borderId="31" xfId="0" applyNumberFormat="1" applyFont="1" applyFill="1" applyBorder="1"/>
    <xf numFmtId="172" fontId="122" fillId="0" borderId="28" xfId="0" applyNumberFormat="1" applyFont="1" applyFill="1" applyBorder="1"/>
    <xf numFmtId="172" fontId="122" fillId="0" borderId="12" xfId="0" applyNumberFormat="1" applyFont="1" applyFill="1" applyBorder="1"/>
    <xf numFmtId="9" fontId="125" fillId="0" borderId="11" xfId="0" applyNumberFormat="1" applyFont="1" applyFill="1" applyBorder="1"/>
    <xf numFmtId="9" fontId="125" fillId="0" borderId="0" xfId="0" applyNumberFormat="1" applyFont="1" applyFill="1" applyBorder="1"/>
    <xf numFmtId="178" fontId="122" fillId="0" borderId="18" xfId="0" applyNumberFormat="1" applyFont="1" applyFill="1" applyBorder="1"/>
    <xf numFmtId="178" fontId="122" fillId="0" borderId="26" xfId="0" applyNumberFormat="1" applyFont="1" applyFill="1" applyBorder="1"/>
    <xf numFmtId="178" fontId="122" fillId="0" borderId="11" xfId="0" applyNumberFormat="1" applyFont="1" applyFill="1" applyBorder="1"/>
    <xf numFmtId="6" fontId="122" fillId="0" borderId="11" xfId="0" applyNumberFormat="1" applyFont="1" applyFill="1" applyBorder="1"/>
    <xf numFmtId="9" fontId="122" fillId="0" borderId="18" xfId="0" applyNumberFormat="1" applyFont="1" applyFill="1" applyBorder="1"/>
    <xf numFmtId="9" fontId="122" fillId="0" borderId="17" xfId="0" applyNumberFormat="1" applyFont="1" applyFill="1" applyBorder="1"/>
    <xf numFmtId="9" fontId="6" fillId="0" borderId="20" xfId="71" applyNumberFormat="1" applyFont="1" applyFill="1" applyBorder="1"/>
    <xf numFmtId="168" fontId="22" fillId="0" borderId="11" xfId="66" applyNumberFormat="1" applyFont="1" applyFill="1" applyBorder="1" applyAlignment="1">
      <alignment horizontal="left" indent="3"/>
    </xf>
    <xf numFmtId="167" fontId="22" fillId="0" borderId="11" xfId="71" applyNumberFormat="1" applyFont="1" applyFill="1" applyBorder="1"/>
    <xf numFmtId="167" fontId="22" fillId="0" borderId="0" xfId="71" applyNumberFormat="1" applyFont="1" applyFill="1" applyBorder="1"/>
    <xf numFmtId="7" fontId="22" fillId="0" borderId="13" xfId="0" applyNumberFormat="1" applyFont="1" applyFill="1" applyBorder="1"/>
    <xf numFmtId="7" fontId="22" fillId="0" borderId="0" xfId="0" applyNumberFormat="1" applyFont="1" applyFill="1" applyBorder="1"/>
    <xf numFmtId="7" fontId="22" fillId="0" borderId="11" xfId="0" applyNumberFormat="1" applyFont="1" applyFill="1" applyBorder="1"/>
    <xf numFmtId="7" fontId="22" fillId="0" borderId="0" xfId="0" applyNumberFormat="1" applyFont="1" applyFill="1"/>
    <xf numFmtId="167" fontId="22" fillId="0" borderId="27" xfId="71" applyNumberFormat="1" applyFont="1" applyFill="1" applyBorder="1"/>
    <xf numFmtId="167" fontId="22" fillId="0" borderId="13" xfId="71" applyNumberFormat="1" applyFont="1" applyFill="1" applyBorder="1"/>
    <xf numFmtId="167" fontId="22" fillId="0" borderId="0" xfId="71" applyNumberFormat="1" applyFont="1" applyFill="1"/>
    <xf numFmtId="172" fontId="22" fillId="16" borderId="13" xfId="0" applyNumberFormat="1" applyFont="1" applyFill="1" applyBorder="1"/>
    <xf numFmtId="213" fontId="22" fillId="16" borderId="0" xfId="0" applyFont="1" applyFill="1"/>
    <xf numFmtId="172" fontId="22" fillId="16" borderId="11" xfId="0" applyNumberFormat="1" applyFont="1" applyFill="1" applyBorder="1"/>
    <xf numFmtId="172" fontId="22" fillId="16" borderId="0" xfId="0" applyNumberFormat="1" applyFont="1" applyFill="1" applyBorder="1"/>
    <xf numFmtId="213" fontId="85" fillId="16" borderId="0" xfId="0" applyFont="1" applyFill="1"/>
    <xf numFmtId="167" fontId="124" fillId="0" borderId="11" xfId="71" applyNumberFormat="1" applyFont="1" applyFill="1" applyBorder="1"/>
    <xf numFmtId="167" fontId="11" fillId="0" borderId="17" xfId="71" applyNumberFormat="1" applyFont="1" applyBorder="1"/>
    <xf numFmtId="167" fontId="11" fillId="0" borderId="26" xfId="71" applyNumberFormat="1" applyFont="1" applyBorder="1"/>
    <xf numFmtId="167" fontId="11" fillId="0" borderId="18" xfId="71" applyNumberFormat="1" applyFont="1" applyBorder="1"/>
    <xf numFmtId="182" fontId="12" fillId="0" borderId="13" xfId="0" applyNumberFormat="1" applyFont="1" applyFill="1" applyBorder="1"/>
    <xf numFmtId="203" fontId="22" fillId="20" borderId="0" xfId="0" applyNumberFormat="1" applyFont="1" applyFill="1" applyBorder="1" applyAlignment="1">
      <alignment horizontal="left"/>
    </xf>
    <xf numFmtId="3" fontId="22" fillId="20" borderId="0" xfId="0" applyNumberFormat="1" applyFont="1" applyFill="1" applyBorder="1" applyAlignment="1">
      <alignment horizontal="center"/>
    </xf>
    <xf numFmtId="203" fontId="22" fillId="0" borderId="0" xfId="0" applyNumberFormat="1" applyFont="1" applyFill="1" applyBorder="1" applyAlignment="1">
      <alignment horizontal="left"/>
    </xf>
    <xf numFmtId="3" fontId="22" fillId="0" borderId="0" xfId="0" applyNumberFormat="1" applyFont="1" applyFill="1" applyBorder="1" applyAlignment="1">
      <alignment horizontal="center"/>
    </xf>
    <xf numFmtId="213" fontId="0" fillId="0" borderId="17" xfId="0" applyBorder="1"/>
    <xf numFmtId="200" fontId="13" fillId="17" borderId="19" xfId="0" applyNumberFormat="1" applyFont="1" applyFill="1" applyBorder="1" applyAlignment="1">
      <alignment horizontal="center"/>
    </xf>
    <xf numFmtId="213" fontId="13" fillId="17" borderId="0" xfId="0" applyFont="1" applyFill="1" applyBorder="1"/>
    <xf numFmtId="172" fontId="49" fillId="0" borderId="11" xfId="0" applyNumberFormat="1" applyFont="1" applyFill="1" applyBorder="1"/>
    <xf numFmtId="172" fontId="49" fillId="0" borderId="17" xfId="0" applyNumberFormat="1" applyFont="1" applyFill="1" applyBorder="1"/>
    <xf numFmtId="9" fontId="6" fillId="20" borderId="11" xfId="71" applyFont="1" applyFill="1" applyBorder="1"/>
    <xf numFmtId="185" fontId="14" fillId="0" borderId="13" xfId="0" applyNumberFormat="1" applyFont="1" applyFill="1" applyBorder="1" applyAlignment="1" applyProtection="1">
      <alignment horizontal="center"/>
    </xf>
    <xf numFmtId="9" fontId="34" fillId="0" borderId="13" xfId="71" applyFont="1" applyFill="1" applyBorder="1"/>
    <xf numFmtId="213" fontId="11" fillId="0" borderId="17" xfId="0" applyFont="1" applyFill="1" applyBorder="1" applyAlignment="1" applyProtection="1">
      <alignment horizontal="left"/>
    </xf>
    <xf numFmtId="166" fontId="34" fillId="0" borderId="18" xfId="0" applyNumberFormat="1" applyFont="1" applyFill="1" applyBorder="1"/>
    <xf numFmtId="166" fontId="34" fillId="0" borderId="17" xfId="0" applyNumberFormat="1" applyFont="1" applyFill="1" applyBorder="1"/>
    <xf numFmtId="9" fontId="34" fillId="0" borderId="20" xfId="71" applyFont="1" applyFill="1" applyBorder="1"/>
    <xf numFmtId="215" fontId="11" fillId="0" borderId="17" xfId="0" applyNumberFormat="1" applyFont="1" applyBorder="1"/>
    <xf numFmtId="185" fontId="14" fillId="0" borderId="17" xfId="0" applyNumberFormat="1" applyFont="1" applyFill="1" applyBorder="1" applyAlignment="1" applyProtection="1">
      <alignment horizontal="center"/>
    </xf>
    <xf numFmtId="213" fontId="34" fillId="0" borderId="17" xfId="0" applyFont="1" applyBorder="1"/>
    <xf numFmtId="176" fontId="126" fillId="0" borderId="0" xfId="38" applyNumberFormat="1" applyFont="1" applyFill="1" applyBorder="1"/>
    <xf numFmtId="213" fontId="126" fillId="0" borderId="0" xfId="0" applyFont="1" applyFill="1"/>
    <xf numFmtId="176" fontId="126" fillId="0" borderId="11" xfId="38" applyNumberFormat="1" applyFont="1" applyFill="1" applyBorder="1"/>
    <xf numFmtId="176" fontId="126" fillId="0" borderId="13" xfId="38" applyNumberFormat="1" applyFont="1" applyFill="1" applyBorder="1"/>
    <xf numFmtId="213" fontId="127" fillId="0" borderId="0" xfId="0" applyFont="1"/>
    <xf numFmtId="166" fontId="126" fillId="0" borderId="13" xfId="0" applyNumberFormat="1" applyFont="1" applyFill="1" applyBorder="1"/>
    <xf numFmtId="166" fontId="126" fillId="0" borderId="0" xfId="0" applyNumberFormat="1" applyFont="1" applyFill="1"/>
    <xf numFmtId="176" fontId="126" fillId="0" borderId="11" xfId="38" applyNumberFormat="1" applyFont="1" applyFill="1" applyBorder="1" applyAlignment="1">
      <alignment horizontal="right"/>
    </xf>
    <xf numFmtId="176" fontId="126" fillId="0" borderId="0" xfId="38" applyNumberFormat="1" applyFont="1" applyFill="1" applyBorder="1" applyAlignment="1">
      <alignment horizontal="right"/>
    </xf>
    <xf numFmtId="166" fontId="126" fillId="0" borderId="13" xfId="0" applyNumberFormat="1" applyFont="1" applyFill="1" applyBorder="1" applyAlignment="1">
      <alignment horizontal="right"/>
    </xf>
    <xf numFmtId="166" fontId="126" fillId="0" borderId="0" xfId="0" applyNumberFormat="1" applyFont="1" applyFill="1" applyAlignment="1">
      <alignment horizontal="right"/>
    </xf>
    <xf numFmtId="213" fontId="126" fillId="0" borderId="13" xfId="0" applyFont="1" applyFill="1" applyBorder="1" applyAlignment="1">
      <alignment horizontal="right"/>
    </xf>
    <xf numFmtId="213" fontId="126" fillId="0" borderId="0" xfId="0" applyFont="1" applyFill="1" applyAlignment="1">
      <alignment horizontal="right"/>
    </xf>
    <xf numFmtId="213" fontId="6" fillId="0" borderId="13" xfId="0" applyFont="1" applyFill="1" applyBorder="1" applyAlignment="1">
      <alignment horizontal="right"/>
    </xf>
    <xf numFmtId="176" fontId="34" fillId="0" borderId="11" xfId="38" applyNumberFormat="1" applyFont="1" applyFill="1" applyBorder="1" applyAlignment="1">
      <alignment horizontal="right"/>
    </xf>
    <xf numFmtId="176" fontId="34" fillId="0" borderId="0" xfId="38" applyNumberFormat="1" applyFont="1" applyFill="1" applyBorder="1" applyAlignment="1">
      <alignment horizontal="right"/>
    </xf>
    <xf numFmtId="172" fontId="126" fillId="0" borderId="13" xfId="0" applyNumberFormat="1" applyFont="1" applyFill="1" applyBorder="1"/>
    <xf numFmtId="176" fontId="128" fillId="0" borderId="11" xfId="38" applyNumberFormat="1" applyFont="1" applyFill="1" applyBorder="1"/>
    <xf numFmtId="176" fontId="128" fillId="0" borderId="0" xfId="38" applyNumberFormat="1" applyFont="1" applyFill="1" applyBorder="1" applyAlignment="1">
      <alignment horizontal="right"/>
    </xf>
    <xf numFmtId="213" fontId="128" fillId="0" borderId="13" xfId="0" applyFont="1" applyFill="1" applyBorder="1"/>
    <xf numFmtId="176" fontId="12" fillId="0" borderId="11" xfId="38" applyNumberFormat="1" applyFont="1" applyFill="1" applyBorder="1"/>
    <xf numFmtId="213" fontId="12" fillId="0" borderId="13" xfId="0" applyFont="1" applyFill="1" applyBorder="1"/>
    <xf numFmtId="213" fontId="129" fillId="0" borderId="0" xfId="0" applyFont="1" applyFill="1" applyAlignment="1">
      <alignment horizontal="right"/>
    </xf>
    <xf numFmtId="176" fontId="12" fillId="0" borderId="0" xfId="38" applyNumberFormat="1" applyFont="1" applyFill="1" applyBorder="1" applyAlignment="1">
      <alignment horizontal="right"/>
    </xf>
    <xf numFmtId="213" fontId="131" fillId="0" borderId="0" xfId="0" applyFont="1" applyFill="1" applyBorder="1"/>
    <xf numFmtId="168" fontId="21" fillId="0" borderId="14" xfId="0" applyNumberFormat="1" applyFont="1" applyFill="1" applyBorder="1" applyAlignment="1" applyProtection="1">
      <alignment horizontal="right"/>
    </xf>
    <xf numFmtId="37" fontId="126" fillId="0" borderId="0" xfId="0" applyNumberFormat="1" applyFont="1" applyFill="1" applyBorder="1"/>
    <xf numFmtId="167" fontId="132" fillId="16" borderId="11" xfId="71" applyNumberFormat="1" applyFont="1" applyFill="1" applyBorder="1"/>
    <xf numFmtId="176" fontId="126" fillId="0" borderId="11" xfId="38" applyNumberFormat="1" applyFont="1" applyFill="1" applyBorder="1" applyAlignment="1">
      <alignment horizontal="center"/>
    </xf>
    <xf numFmtId="182" fontId="133" fillId="0" borderId="0" xfId="0" applyNumberFormat="1" applyFont="1" applyFill="1" applyBorder="1"/>
    <xf numFmtId="167" fontId="134" fillId="0" borderId="11" xfId="71" applyNumberFormat="1" applyFont="1" applyFill="1" applyBorder="1"/>
    <xf numFmtId="167" fontId="134" fillId="0" borderId="0" xfId="71" applyNumberFormat="1" applyFont="1" applyFill="1" applyBorder="1"/>
    <xf numFmtId="167" fontId="134" fillId="0" borderId="27" xfId="71" applyNumberFormat="1" applyFont="1" applyFill="1" applyBorder="1"/>
    <xf numFmtId="43" fontId="6" fillId="20" borderId="11" xfId="38" applyFont="1" applyFill="1" applyBorder="1"/>
    <xf numFmtId="182" fontId="126" fillId="0" borderId="11" xfId="0" applyNumberFormat="1" applyFont="1" applyFill="1" applyBorder="1"/>
    <xf numFmtId="9" fontId="6" fillId="20" borderId="0" xfId="71" applyFont="1" applyFill="1" applyBorder="1"/>
    <xf numFmtId="168" fontId="126" fillId="0" borderId="11" xfId="0" applyNumberFormat="1" applyFont="1" applyFill="1" applyBorder="1"/>
    <xf numFmtId="37" fontId="126" fillId="0" borderId="11" xfId="0" applyNumberFormat="1" applyFont="1" applyFill="1" applyBorder="1"/>
    <xf numFmtId="167" fontId="135" fillId="16" borderId="11" xfId="71" applyNumberFormat="1" applyFont="1" applyFill="1" applyBorder="1"/>
    <xf numFmtId="167" fontId="135" fillId="16" borderId="0" xfId="71" applyNumberFormat="1" applyFont="1" applyFill="1" applyBorder="1"/>
    <xf numFmtId="167" fontId="135" fillId="16" borderId="27" xfId="71" applyNumberFormat="1" applyFont="1" applyFill="1" applyBorder="1"/>
    <xf numFmtId="167" fontId="136" fillId="0" borderId="0" xfId="71" applyNumberFormat="1" applyFont="1" applyFill="1" applyBorder="1"/>
    <xf numFmtId="167" fontId="136" fillId="0" borderId="27" xfId="71" applyNumberFormat="1" applyFont="1" applyFill="1" applyBorder="1"/>
    <xf numFmtId="167" fontId="136" fillId="0" borderId="11" xfId="71" applyNumberFormat="1" applyFont="1" applyFill="1" applyBorder="1"/>
    <xf numFmtId="213" fontId="11" fillId="0" borderId="0" xfId="0" applyFont="1"/>
    <xf numFmtId="213" fontId="31" fillId="0" borderId="0" xfId="0" applyFont="1" applyFill="1" applyBorder="1" applyAlignment="1" applyProtection="1">
      <alignment horizontal="left"/>
    </xf>
    <xf numFmtId="213" fontId="6" fillId="0" borderId="17" xfId="0" applyFont="1" applyFill="1" applyBorder="1" applyAlignment="1" applyProtection="1">
      <alignment horizontal="left"/>
    </xf>
    <xf numFmtId="213" fontId="126" fillId="0" borderId="17" xfId="0" applyFont="1" applyFill="1" applyBorder="1" applyAlignment="1">
      <alignment horizontal="right"/>
    </xf>
    <xf numFmtId="176" fontId="6" fillId="0" borderId="17" xfId="38" applyNumberFormat="1" applyFont="1" applyFill="1" applyBorder="1" applyAlignment="1">
      <alignment horizontal="right"/>
    </xf>
    <xf numFmtId="213" fontId="6" fillId="0" borderId="20" xfId="0" applyFont="1" applyFill="1" applyBorder="1"/>
    <xf numFmtId="213" fontId="126" fillId="0" borderId="0" xfId="0" applyFont="1"/>
    <xf numFmtId="43" fontId="6" fillId="0" borderId="11" xfId="38" applyFont="1" applyFill="1" applyBorder="1"/>
    <xf numFmtId="43" fontId="6" fillId="0" borderId="0" xfId="38" applyFont="1"/>
    <xf numFmtId="43" fontId="6" fillId="0" borderId="13" xfId="38" applyFont="1" applyFill="1" applyBorder="1"/>
    <xf numFmtId="213" fontId="6" fillId="0" borderId="0" xfId="0" applyFont="1" applyFill="1" applyBorder="1" applyAlignment="1" applyProtection="1">
      <alignment horizontal="left" indent="1"/>
    </xf>
    <xf numFmtId="179" fontId="6" fillId="0" borderId="11" xfId="38" applyNumberFormat="1" applyFont="1" applyFill="1" applyBorder="1"/>
    <xf numFmtId="179" fontId="6" fillId="0" borderId="0" xfId="38" applyNumberFormat="1" applyFont="1"/>
    <xf numFmtId="179" fontId="6" fillId="0" borderId="13" xfId="38" applyNumberFormat="1" applyFont="1" applyFill="1" applyBorder="1"/>
    <xf numFmtId="176" fontId="6" fillId="0" borderId="0" xfId="38" applyNumberFormat="1" applyFont="1"/>
    <xf numFmtId="179" fontId="126" fillId="0" borderId="11" xfId="38" applyNumberFormat="1" applyFont="1" applyFill="1" applyBorder="1"/>
    <xf numFmtId="179" fontId="126" fillId="0" borderId="0" xfId="38" applyNumberFormat="1" applyFont="1"/>
    <xf numFmtId="179" fontId="6" fillId="0" borderId="0" xfId="38" applyNumberFormat="1" applyFont="1" applyFill="1" applyBorder="1"/>
    <xf numFmtId="43" fontId="12" fillId="0" borderId="0" xfId="38" applyFont="1"/>
    <xf numFmtId="43" fontId="12" fillId="0" borderId="13" xfId="38" applyFont="1" applyFill="1" applyBorder="1"/>
    <xf numFmtId="176" fontId="12" fillId="0" borderId="13" xfId="38" applyNumberFormat="1" applyFont="1" applyFill="1" applyBorder="1"/>
    <xf numFmtId="213" fontId="6" fillId="0" borderId="0" xfId="0" applyFont="1" applyFill="1" applyBorder="1" applyAlignment="1" applyProtection="1">
      <alignment horizontal="left" indent="2"/>
    </xf>
    <xf numFmtId="176" fontId="12" fillId="0" borderId="0" xfId="38" applyNumberFormat="1" applyFont="1" applyFill="1" applyBorder="1"/>
    <xf numFmtId="176" fontId="12" fillId="0" borderId="0" xfId="38" applyNumberFormat="1" applyFont="1"/>
    <xf numFmtId="168" fontId="6" fillId="0" borderId="11" xfId="66" applyNumberFormat="1" applyFont="1" applyFill="1" applyBorder="1" applyAlignment="1">
      <alignment horizontal="left" indent="2"/>
    </xf>
    <xf numFmtId="213" fontId="82" fillId="0" borderId="0" xfId="0" applyFont="1" applyFill="1"/>
    <xf numFmtId="168" fontId="34" fillId="0" borderId="0" xfId="66" applyNumberFormat="1" applyFont="1" applyFill="1" applyBorder="1" applyAlignment="1">
      <alignment horizontal="left" indent="2"/>
    </xf>
    <xf numFmtId="179" fontId="137" fillId="0" borderId="0" xfId="38" applyNumberFormat="1" applyFont="1"/>
    <xf numFmtId="179" fontId="137" fillId="0" borderId="11" xfId="38" applyNumberFormat="1" applyFont="1" applyFill="1" applyBorder="1"/>
    <xf numFmtId="179" fontId="12" fillId="0" borderId="11" xfId="38" applyNumberFormat="1" applyFont="1" applyFill="1" applyBorder="1"/>
    <xf numFmtId="179" fontId="12" fillId="0" borderId="0" xfId="38" applyNumberFormat="1" applyFont="1"/>
    <xf numFmtId="179" fontId="12" fillId="0" borderId="0" xfId="38" applyNumberFormat="1" applyFont="1" applyFill="1" applyBorder="1"/>
    <xf numFmtId="179" fontId="12" fillId="0" borderId="13" xfId="38" applyNumberFormat="1" applyFont="1" applyFill="1" applyBorder="1"/>
    <xf numFmtId="168" fontId="12" fillId="0" borderId="18" xfId="66" applyNumberFormat="1" applyFont="1" applyFill="1" applyBorder="1" applyAlignment="1">
      <alignment horizontal="left" indent="2"/>
    </xf>
    <xf numFmtId="213" fontId="12" fillId="0" borderId="17" xfId="0" applyFont="1" applyBorder="1"/>
    <xf numFmtId="167" fontId="12" fillId="0" borderId="18" xfId="0" applyNumberFormat="1" applyFont="1" applyFill="1" applyBorder="1"/>
    <xf numFmtId="167" fontId="12" fillId="0" borderId="17" xfId="0" applyNumberFormat="1" applyFont="1" applyFill="1" applyBorder="1"/>
    <xf numFmtId="167" fontId="139" fillId="0" borderId="0" xfId="65" applyNumberFormat="1" applyFont="1" applyFill="1" applyBorder="1" applyAlignment="1">
      <alignment horizontal="right"/>
    </xf>
    <xf numFmtId="167" fontId="139" fillId="0" borderId="11" xfId="65" applyNumberFormat="1" applyFont="1" applyFill="1" applyBorder="1" applyAlignment="1">
      <alignment horizontal="right"/>
    </xf>
    <xf numFmtId="198" fontId="6" fillId="0" borderId="0" xfId="0" applyNumberFormat="1" applyFont="1" applyFill="1" applyBorder="1"/>
    <xf numFmtId="9" fontId="33" fillId="17" borderId="11" xfId="71" applyFont="1" applyFill="1" applyBorder="1"/>
    <xf numFmtId="213" fontId="11" fillId="0" borderId="0" xfId="0" applyFont="1" applyFill="1" applyBorder="1" applyAlignment="1" applyProtection="1">
      <alignment horizontal="left" indent="2"/>
    </xf>
    <xf numFmtId="167" fontId="6" fillId="0" borderId="0" xfId="71" applyNumberFormat="1" applyFont="1"/>
    <xf numFmtId="168" fontId="6" fillId="0" borderId="28" xfId="0" applyNumberFormat="1" applyFont="1" applyFill="1" applyBorder="1" applyAlignment="1">
      <alignment horizontal="right"/>
    </xf>
    <xf numFmtId="167" fontId="6" fillId="0" borderId="11" xfId="73" applyNumberFormat="1" applyFont="1" applyFill="1" applyBorder="1" applyAlignment="1">
      <alignment horizontal="right"/>
    </xf>
    <xf numFmtId="9" fontId="6" fillId="0" borderId="11" xfId="0" applyNumberFormat="1" applyFont="1" applyFill="1" applyBorder="1" applyAlignment="1">
      <alignment horizontal="right"/>
    </xf>
    <xf numFmtId="185" fontId="142" fillId="0" borderId="0" xfId="0" applyNumberFormat="1" applyFont="1" applyFill="1" applyBorder="1" applyAlignment="1" applyProtection="1">
      <alignment horizontal="center"/>
    </xf>
    <xf numFmtId="173" fontId="20" fillId="0" borderId="0" xfId="0" applyNumberFormat="1" applyFont="1" applyFill="1" applyBorder="1" applyAlignment="1">
      <alignment horizontal="center"/>
    </xf>
    <xf numFmtId="4" fontId="88" fillId="0" borderId="11" xfId="0" applyNumberFormat="1" applyFont="1" applyFill="1" applyBorder="1" applyProtection="1"/>
    <xf numFmtId="9" fontId="6" fillId="0" borderId="0" xfId="71" applyNumberFormat="1" applyFont="1" applyProtection="1"/>
    <xf numFmtId="171" fontId="33" fillId="23" borderId="0" xfId="0" quotePrefix="1" applyNumberFormat="1" applyFont="1" applyFill="1" applyBorder="1" applyAlignment="1" applyProtection="1">
      <alignment horizontal="center"/>
    </xf>
    <xf numFmtId="213" fontId="6" fillId="24" borderId="0" xfId="0" applyFont="1" applyFill="1" applyBorder="1"/>
    <xf numFmtId="213" fontId="34" fillId="24" borderId="0" xfId="0" applyFont="1" applyFill="1" applyBorder="1"/>
    <xf numFmtId="9" fontId="34" fillId="0" borderId="0" xfId="71" applyNumberFormat="1" applyFont="1" applyFill="1" applyBorder="1"/>
    <xf numFmtId="171" fontId="13" fillId="23" borderId="0" xfId="0" quotePrefix="1" applyNumberFormat="1" applyFont="1" applyFill="1" applyBorder="1" applyAlignment="1" applyProtection="1">
      <alignment horizontal="center"/>
    </xf>
    <xf numFmtId="3" fontId="34" fillId="24" borderId="0" xfId="0" applyNumberFormat="1" applyFont="1" applyFill="1" applyBorder="1" applyAlignment="1">
      <alignment horizontal="right"/>
    </xf>
    <xf numFmtId="9" fontId="131" fillId="0" borderId="0" xfId="71" applyFont="1" applyFill="1" applyBorder="1"/>
    <xf numFmtId="7" fontId="17" fillId="0" borderId="11" xfId="0" applyNumberFormat="1" applyFont="1" applyFill="1" applyBorder="1" applyAlignment="1" applyProtection="1">
      <alignment horizontal="right" vertical="center"/>
    </xf>
    <xf numFmtId="7" fontId="17" fillId="0" borderId="0" xfId="0" applyNumberFormat="1" applyFont="1" applyFill="1" applyBorder="1" applyAlignment="1" applyProtection="1">
      <alignment horizontal="right" vertical="center"/>
    </xf>
    <xf numFmtId="7" fontId="17" fillId="0" borderId="27" xfId="0" applyNumberFormat="1" applyFont="1" applyFill="1" applyBorder="1" applyAlignment="1" applyProtection="1">
      <alignment horizontal="right" vertical="center"/>
    </xf>
    <xf numFmtId="7" fontId="17" fillId="0" borderId="13" xfId="0" applyNumberFormat="1" applyFont="1" applyFill="1" applyBorder="1" applyAlignment="1" applyProtection="1">
      <alignment horizontal="right" vertical="center"/>
    </xf>
    <xf numFmtId="7" fontId="143" fillId="0" borderId="11" xfId="0" applyNumberFormat="1" applyFont="1" applyFill="1" applyBorder="1" applyAlignment="1" applyProtection="1">
      <alignment horizontal="right" vertical="center"/>
    </xf>
    <xf numFmtId="7" fontId="143" fillId="0" borderId="0" xfId="0" applyNumberFormat="1" applyFont="1" applyFill="1" applyBorder="1" applyAlignment="1" applyProtection="1">
      <alignment horizontal="right" vertical="center"/>
    </xf>
    <xf numFmtId="7" fontId="143" fillId="0" borderId="27" xfId="0" applyNumberFormat="1" applyFont="1" applyFill="1" applyBorder="1" applyAlignment="1" applyProtection="1">
      <alignment horizontal="right" vertical="center"/>
    </xf>
    <xf numFmtId="169" fontId="143" fillId="0" borderId="11" xfId="0" applyNumberFormat="1" applyFont="1" applyFill="1" applyBorder="1" applyAlignment="1" applyProtection="1">
      <alignment horizontal="right"/>
    </xf>
    <xf numFmtId="169" fontId="143" fillId="0" borderId="0" xfId="0" applyNumberFormat="1" applyFont="1" applyFill="1" applyBorder="1" applyAlignment="1" applyProtection="1">
      <alignment horizontal="right"/>
    </xf>
    <xf numFmtId="178" fontId="146" fillId="0" borderId="11" xfId="0" applyNumberFormat="1" applyFont="1" applyFill="1" applyBorder="1"/>
    <xf numFmtId="178" fontId="146" fillId="0" borderId="0" xfId="0" applyNumberFormat="1" applyFont="1" applyFill="1" applyBorder="1"/>
    <xf numFmtId="172" fontId="146" fillId="16" borderId="11" xfId="0" applyNumberFormat="1" applyFont="1" applyFill="1" applyBorder="1"/>
    <xf numFmtId="172" fontId="146" fillId="16" borderId="0" xfId="0" applyNumberFormat="1" applyFont="1" applyFill="1" applyBorder="1"/>
    <xf numFmtId="172" fontId="146" fillId="16" borderId="13" xfId="0" applyNumberFormat="1" applyFont="1" applyFill="1" applyBorder="1"/>
    <xf numFmtId="9" fontId="147" fillId="17" borderId="15" xfId="71" applyFont="1" applyFill="1" applyBorder="1"/>
    <xf numFmtId="167" fontId="6" fillId="0" borderId="13" xfId="71" applyNumberFormat="1" applyFont="1" applyFill="1" applyBorder="1" applyAlignment="1" applyProtection="1"/>
    <xf numFmtId="44" fontId="0" fillId="0" borderId="0" xfId="40" applyFont="1"/>
    <xf numFmtId="172" fontId="22" fillId="0" borderId="0" xfId="0" applyNumberFormat="1" applyFont="1" applyFill="1" applyBorder="1"/>
    <xf numFmtId="9" fontId="0" fillId="0" borderId="17" xfId="71" applyFont="1" applyBorder="1"/>
    <xf numFmtId="167" fontId="6" fillId="0" borderId="17" xfId="71" applyNumberFormat="1" applyFont="1" applyBorder="1"/>
    <xf numFmtId="167" fontId="6" fillId="0" borderId="17" xfId="75" applyNumberFormat="1" applyFont="1" applyBorder="1"/>
    <xf numFmtId="213" fontId="5" fillId="0" borderId="0" xfId="0" applyFont="1"/>
    <xf numFmtId="176" fontId="6" fillId="0" borderId="0" xfId="38" applyNumberFormat="1" applyFont="1" applyProtection="1"/>
    <xf numFmtId="229" fontId="6" fillId="0" borderId="0" xfId="0" applyNumberFormat="1" applyFont="1" applyProtection="1"/>
    <xf numFmtId="9" fontId="5" fillId="0" borderId="0" xfId="71" applyFont="1"/>
    <xf numFmtId="9" fontId="20" fillId="0" borderId="11" xfId="71" applyFont="1" applyFill="1" applyBorder="1" applyProtection="1"/>
    <xf numFmtId="172" fontId="142" fillId="0" borderId="0" xfId="0" applyNumberFormat="1" applyFont="1" applyFill="1" applyBorder="1" applyProtection="1"/>
    <xf numFmtId="172" fontId="143" fillId="0" borderId="17" xfId="0" applyNumberFormat="1" applyFont="1" applyFill="1" applyBorder="1" applyAlignment="1" applyProtection="1">
      <alignment horizontal="right"/>
    </xf>
    <xf numFmtId="43" fontId="6" fillId="0" borderId="0" xfId="38" applyFont="1" applyFill="1" applyBorder="1"/>
    <xf numFmtId="4" fontId="6" fillId="0" borderId="18" xfId="38" applyNumberFormat="1" applyFont="1" applyFill="1" applyBorder="1"/>
    <xf numFmtId="4" fontId="6" fillId="0" borderId="17" xfId="38" applyNumberFormat="1" applyFont="1" applyFill="1" applyBorder="1" applyAlignment="1">
      <alignment horizontal="right"/>
    </xf>
    <xf numFmtId="4" fontId="6" fillId="0" borderId="20" xfId="0" applyNumberFormat="1" applyFont="1" applyFill="1" applyBorder="1"/>
    <xf numFmtId="4" fontId="126" fillId="0" borderId="17" xfId="0" applyNumberFormat="1" applyFont="1" applyFill="1" applyBorder="1" applyAlignment="1">
      <alignment horizontal="right"/>
    </xf>
    <xf numFmtId="4" fontId="6" fillId="0" borderId="17" xfId="0" applyNumberFormat="1" applyFont="1" applyFill="1" applyBorder="1"/>
    <xf numFmtId="213" fontId="0" fillId="0" borderId="0" xfId="0" applyFill="1" applyBorder="1"/>
    <xf numFmtId="207" fontId="6" fillId="0" borderId="0" xfId="0" applyNumberFormat="1" applyFont="1" applyFill="1" applyBorder="1" applyAlignment="1">
      <alignment horizontal="center"/>
    </xf>
    <xf numFmtId="167" fontId="125" fillId="0" borderId="11" xfId="0" applyNumberFormat="1" applyFont="1" applyFill="1" applyBorder="1"/>
    <xf numFmtId="167" fontId="125" fillId="0" borderId="0" xfId="0" applyNumberFormat="1" applyFont="1" applyFill="1" applyBorder="1"/>
    <xf numFmtId="172" fontId="149" fillId="0" borderId="0" xfId="0" applyNumberFormat="1" applyFont="1" applyFill="1" applyBorder="1"/>
    <xf numFmtId="4" fontId="0" fillId="0" borderId="0" xfId="0" applyNumberFormat="1"/>
    <xf numFmtId="3" fontId="34" fillId="0" borderId="0" xfId="0" applyNumberFormat="1" applyFont="1" applyBorder="1"/>
    <xf numFmtId="3" fontId="34" fillId="0" borderId="0" xfId="0" applyNumberFormat="1" applyFont="1" applyFill="1" applyBorder="1"/>
    <xf numFmtId="44" fontId="6" fillId="20" borderId="0" xfId="40" applyFont="1" applyFill="1" applyBorder="1" applyAlignment="1">
      <alignment horizontal="center"/>
    </xf>
    <xf numFmtId="9" fontId="59" fillId="0" borderId="0" xfId="71" applyFont="1"/>
    <xf numFmtId="170" fontId="6" fillId="0" borderId="0" xfId="0" applyNumberFormat="1" applyFont="1" applyFill="1" applyBorder="1" applyProtection="1"/>
    <xf numFmtId="176" fontId="6" fillId="0" borderId="0" xfId="38" applyNumberFormat="1" applyFont="1" applyFill="1" applyBorder="1" applyProtection="1"/>
    <xf numFmtId="212" fontId="6" fillId="0" borderId="0" xfId="38" applyNumberFormat="1" applyFont="1" applyFill="1" applyBorder="1" applyProtection="1"/>
    <xf numFmtId="213" fontId="12" fillId="0" borderId="30" xfId="0" applyFont="1" applyFill="1" applyBorder="1" applyAlignment="1" applyProtection="1">
      <alignment horizontal="center"/>
    </xf>
    <xf numFmtId="0" fontId="20" fillId="0" borderId="12" xfId="64" applyFont="1" applyFill="1" applyBorder="1" applyAlignment="1" applyProtection="1">
      <alignment horizontal="center"/>
    </xf>
    <xf numFmtId="184" fontId="12" fillId="0" borderId="12" xfId="0" applyNumberFormat="1" applyFont="1" applyFill="1" applyBorder="1" applyAlignment="1" applyProtection="1">
      <alignment horizontal="right"/>
    </xf>
    <xf numFmtId="198" fontId="27" fillId="0" borderId="29" xfId="38" applyNumberFormat="1" applyFont="1" applyFill="1" applyBorder="1" applyProtection="1"/>
    <xf numFmtId="43" fontId="27" fillId="0" borderId="29" xfId="59" applyNumberFormat="1" applyFont="1" applyFill="1" applyBorder="1" applyProtection="1"/>
    <xf numFmtId="213" fontId="34" fillId="0" borderId="0" xfId="0" applyFont="1" applyBorder="1" applyAlignment="1">
      <alignment horizontal="center"/>
    </xf>
    <xf numFmtId="9" fontId="14" fillId="0" borderId="13" xfId="71" applyFont="1" applyFill="1" applyBorder="1"/>
    <xf numFmtId="185" fontId="151" fillId="0" borderId="0" xfId="0" applyNumberFormat="1" applyFont="1" applyFill="1" applyBorder="1" applyAlignment="1" applyProtection="1">
      <alignment horizontal="center"/>
    </xf>
    <xf numFmtId="185" fontId="151" fillId="0" borderId="11" xfId="0" applyNumberFormat="1" applyFont="1" applyFill="1" applyBorder="1" applyAlignment="1" applyProtection="1">
      <alignment horizontal="center"/>
    </xf>
    <xf numFmtId="171" fontId="33" fillId="27" borderId="0" xfId="0" applyNumberFormat="1" applyFont="1" applyFill="1" applyBorder="1" applyAlignment="1" applyProtection="1">
      <alignment horizontal="center"/>
    </xf>
    <xf numFmtId="213" fontId="12" fillId="27" borderId="0" xfId="0" applyFont="1" applyFill="1" applyBorder="1"/>
    <xf numFmtId="201" fontId="12" fillId="0" borderId="0" xfId="0" applyNumberFormat="1" applyFont="1" applyFill="1" applyBorder="1" applyAlignment="1">
      <alignment horizontal="center"/>
    </xf>
    <xf numFmtId="171" fontId="12" fillId="0" borderId="0" xfId="0" applyNumberFormat="1" applyFont="1" applyFill="1" applyBorder="1" applyAlignment="1">
      <alignment horizontal="right"/>
    </xf>
    <xf numFmtId="213" fontId="14" fillId="17" borderId="0" xfId="0" applyFont="1" applyFill="1" applyBorder="1"/>
    <xf numFmtId="201" fontId="20" fillId="0" borderId="0" xfId="0" applyNumberFormat="1" applyFont="1" applyFill="1" applyBorder="1" applyAlignment="1">
      <alignment horizontal="center"/>
    </xf>
    <xf numFmtId="171" fontId="20" fillId="0" borderId="0" xfId="0" applyNumberFormat="1" applyFont="1" applyFill="1" applyBorder="1" applyAlignment="1">
      <alignment horizontal="right"/>
    </xf>
    <xf numFmtId="185" fontId="20" fillId="0" borderId="0" xfId="0" applyNumberFormat="1" applyFont="1" applyFill="1" applyBorder="1" applyAlignment="1" applyProtection="1">
      <alignment horizontal="center"/>
    </xf>
    <xf numFmtId="7" fontId="34" fillId="0" borderId="0" xfId="0" applyNumberFormat="1" applyFont="1" applyFill="1" applyBorder="1" applyAlignment="1" applyProtection="1">
      <alignment horizontal="right"/>
    </xf>
    <xf numFmtId="166" fontId="34" fillId="0" borderId="0" xfId="0" applyNumberFormat="1" applyFont="1" applyFill="1" applyBorder="1" applyAlignment="1">
      <alignment horizontal="right"/>
    </xf>
    <xf numFmtId="9" fontId="14" fillId="0" borderId="0" xfId="71" applyFont="1" applyFill="1" applyBorder="1"/>
    <xf numFmtId="172" fontId="12" fillId="0" borderId="0" xfId="0" applyNumberFormat="1" applyFont="1" applyFill="1" applyBorder="1" applyAlignment="1" applyProtection="1">
      <alignment horizontal="right" vertical="center"/>
    </xf>
    <xf numFmtId="172" fontId="29" fillId="0" borderId="0" xfId="0" applyNumberFormat="1" applyFont="1" applyFill="1" applyBorder="1" applyAlignment="1" applyProtection="1">
      <alignment horizontal="right"/>
    </xf>
    <xf numFmtId="172" fontId="29" fillId="0" borderId="0" xfId="0" applyNumberFormat="1" applyFont="1" applyFill="1" applyBorder="1" applyAlignment="1">
      <alignment horizontal="right"/>
    </xf>
    <xf numFmtId="9" fontId="37" fillId="0" borderId="0" xfId="71" applyNumberFormat="1" applyFont="1" applyFill="1" applyBorder="1" applyAlignment="1">
      <alignment horizontal="right"/>
    </xf>
    <xf numFmtId="167" fontId="37" fillId="0" borderId="0" xfId="0" applyNumberFormat="1" applyFont="1" applyFill="1" applyBorder="1" applyAlignment="1">
      <alignment horizontal="right"/>
    </xf>
    <xf numFmtId="167" fontId="117" fillId="0" borderId="0" xfId="71" applyNumberFormat="1" applyFont="1" applyFill="1" applyBorder="1"/>
    <xf numFmtId="213" fontId="14" fillId="20" borderId="0" xfId="0" applyFont="1" applyFill="1" applyBorder="1"/>
    <xf numFmtId="213" fontId="11" fillId="0" borderId="0" xfId="0" applyFont="1" applyAlignment="1">
      <alignment horizontal="left" indent="1"/>
    </xf>
    <xf numFmtId="167" fontId="11" fillId="0" borderId="0" xfId="71" applyNumberFormat="1" applyFont="1"/>
    <xf numFmtId="172" fontId="12" fillId="0" borderId="18" xfId="66" applyNumberFormat="1" applyFont="1" applyFill="1" applyBorder="1" applyAlignment="1">
      <alignment horizontal="left" indent="1"/>
    </xf>
    <xf numFmtId="167" fontId="6" fillId="0" borderId="18" xfId="71" applyNumberFormat="1" applyFont="1" applyFill="1" applyBorder="1"/>
    <xf numFmtId="167" fontId="34" fillId="0" borderId="17" xfId="71" applyNumberFormat="1" applyFont="1" applyFill="1" applyBorder="1"/>
    <xf numFmtId="167" fontId="34" fillId="0" borderId="20" xfId="71" applyNumberFormat="1" applyFont="1" applyFill="1" applyBorder="1"/>
    <xf numFmtId="37" fontId="153" fillId="0" borderId="0" xfId="0" applyNumberFormat="1" applyFont="1" applyFill="1" applyBorder="1"/>
    <xf numFmtId="9" fontId="6" fillId="22" borderId="19" xfId="71" applyNumberFormat="1" applyFont="1" applyFill="1" applyBorder="1"/>
    <xf numFmtId="37" fontId="12" fillId="0" borderId="11" xfId="0" applyNumberFormat="1" applyFont="1" applyFill="1" applyBorder="1"/>
    <xf numFmtId="37" fontId="12" fillId="0" borderId="13" xfId="0" applyNumberFormat="1" applyFont="1" applyFill="1" applyBorder="1"/>
    <xf numFmtId="172" fontId="12" fillId="0" borderId="13" xfId="40" applyNumberFormat="1" applyFont="1" applyFill="1" applyBorder="1"/>
    <xf numFmtId="1" fontId="12" fillId="0" borderId="0" xfId="0" applyNumberFormat="1" applyFont="1" applyFill="1" applyBorder="1"/>
    <xf numFmtId="167" fontId="12" fillId="0" borderId="18" xfId="71" applyNumberFormat="1" applyFont="1" applyFill="1" applyBorder="1"/>
    <xf numFmtId="167" fontId="12" fillId="0" borderId="17" xfId="71" applyNumberFormat="1" applyFont="1" applyFill="1" applyBorder="1"/>
    <xf numFmtId="167" fontId="12" fillId="0" borderId="20" xfId="71" applyNumberFormat="1" applyFont="1" applyFill="1" applyBorder="1"/>
    <xf numFmtId="172" fontId="12" fillId="0" borderId="28" xfId="66" applyNumberFormat="1" applyFont="1" applyFill="1" applyBorder="1"/>
    <xf numFmtId="37" fontId="141" fillId="0" borderId="11" xfId="0" applyNumberFormat="1" applyFont="1" applyFill="1" applyBorder="1"/>
    <xf numFmtId="37" fontId="141" fillId="0" borderId="0" xfId="0" applyNumberFormat="1" applyFont="1" applyFill="1" applyBorder="1"/>
    <xf numFmtId="37" fontId="153" fillId="0" borderId="11" xfId="0" applyNumberFormat="1" applyFont="1" applyFill="1" applyBorder="1"/>
    <xf numFmtId="172" fontId="152" fillId="0" borderId="0" xfId="0" applyNumberFormat="1" applyFont="1" applyFill="1" applyBorder="1"/>
    <xf numFmtId="167" fontId="11" fillId="0" borderId="27" xfId="75" applyNumberFormat="1" applyFont="1" applyFill="1" applyBorder="1" applyAlignment="1">
      <alignment horizontal="right"/>
    </xf>
    <xf numFmtId="167" fontId="11" fillId="0" borderId="11" xfId="75" applyNumberFormat="1" applyFont="1" applyFill="1" applyBorder="1" applyAlignment="1">
      <alignment horizontal="right"/>
    </xf>
    <xf numFmtId="8" fontId="22" fillId="0" borderId="11" xfId="0" applyNumberFormat="1" applyFont="1" applyFill="1" applyBorder="1" applyAlignment="1"/>
    <xf numFmtId="9" fontId="22" fillId="0" borderId="11" xfId="71" applyFont="1" applyFill="1" applyBorder="1" applyAlignment="1"/>
    <xf numFmtId="9" fontId="11" fillId="0" borderId="13" xfId="75" applyFont="1" applyFill="1" applyBorder="1" applyAlignment="1"/>
    <xf numFmtId="9" fontId="154" fillId="0" borderId="11" xfId="71" applyFont="1" applyFill="1" applyBorder="1" applyAlignment="1">
      <alignment horizontal="right"/>
    </xf>
    <xf numFmtId="9" fontId="154" fillId="0" borderId="0" xfId="71" applyFont="1" applyFill="1" applyBorder="1" applyAlignment="1">
      <alignment horizontal="right"/>
    </xf>
    <xf numFmtId="9" fontId="154" fillId="0" borderId="13" xfId="71" applyFont="1" applyFill="1" applyBorder="1" applyAlignment="1">
      <alignment horizontal="right"/>
    </xf>
    <xf numFmtId="3" fontId="6" fillId="0" borderId="0" xfId="0" applyNumberFormat="1" applyFont="1"/>
    <xf numFmtId="37" fontId="14" fillId="22" borderId="17" xfId="0" applyNumberFormat="1" applyFont="1" applyFill="1" applyBorder="1"/>
    <xf numFmtId="37" fontId="6" fillId="22" borderId="20" xfId="0" applyNumberFormat="1" applyFont="1" applyFill="1" applyBorder="1"/>
    <xf numFmtId="37" fontId="14" fillId="22" borderId="18" xfId="0" applyNumberFormat="1" applyFont="1" applyFill="1" applyBorder="1"/>
    <xf numFmtId="232" fontId="6" fillId="0" borderId="0" xfId="0" applyNumberFormat="1" applyFont="1" applyFill="1" applyBorder="1"/>
    <xf numFmtId="233" fontId="6" fillId="0" borderId="0" xfId="0" applyNumberFormat="1" applyFont="1" applyFill="1" applyBorder="1"/>
    <xf numFmtId="9" fontId="0" fillId="0" borderId="0" xfId="71" applyFont="1" applyFill="1" applyBorder="1"/>
    <xf numFmtId="172" fontId="142" fillId="0" borderId="11" xfId="0" applyNumberFormat="1" applyFont="1" applyFill="1" applyBorder="1"/>
    <xf numFmtId="43" fontId="12" fillId="0" borderId="0" xfId="38" applyFont="1" applyFill="1" applyBorder="1"/>
    <xf numFmtId="213" fontId="142" fillId="0" borderId="11" xfId="0" applyFont="1" applyBorder="1"/>
    <xf numFmtId="213" fontId="142" fillId="0" borderId="0" xfId="0" applyFont="1"/>
    <xf numFmtId="0" fontId="34" fillId="0" borderId="11" xfId="66" applyFont="1" applyFill="1" applyBorder="1" applyAlignment="1">
      <alignment horizontal="left" indent="4"/>
    </xf>
    <xf numFmtId="0" fontId="6" fillId="0" borderId="18" xfId="66" applyFont="1" applyFill="1" applyBorder="1" applyAlignment="1">
      <alignment horizontal="left" indent="4"/>
    </xf>
    <xf numFmtId="172" fontId="6" fillId="0" borderId="0" xfId="38" applyNumberFormat="1" applyFont="1"/>
    <xf numFmtId="172" fontId="6" fillId="0" borderId="14" xfId="66" applyNumberFormat="1" applyFont="1" applyFill="1" applyBorder="1" applyAlignment="1">
      <alignment horizontal="left"/>
    </xf>
    <xf numFmtId="37" fontId="34" fillId="0" borderId="14" xfId="0" applyNumberFormat="1" applyFont="1" applyFill="1" applyBorder="1"/>
    <xf numFmtId="37" fontId="34" fillId="0" borderId="15" xfId="0" applyNumberFormat="1" applyFont="1" applyFill="1" applyBorder="1"/>
    <xf numFmtId="37" fontId="34" fillId="0" borderId="31" xfId="0" applyNumberFormat="1" applyFont="1" applyFill="1" applyBorder="1"/>
    <xf numFmtId="37" fontId="6" fillId="0" borderId="31" xfId="0" applyNumberFormat="1" applyFont="1" applyFill="1" applyBorder="1"/>
    <xf numFmtId="9" fontId="34" fillId="0" borderId="15" xfId="0" applyNumberFormat="1" applyFont="1" applyFill="1" applyBorder="1"/>
    <xf numFmtId="37" fontId="6" fillId="0" borderId="14" xfId="0" applyNumberFormat="1" applyFont="1" applyFill="1" applyBorder="1"/>
    <xf numFmtId="37" fontId="6" fillId="0" borderId="15" xfId="0" applyNumberFormat="1" applyFont="1" applyFill="1" applyBorder="1"/>
    <xf numFmtId="37" fontId="6" fillId="0" borderId="16" xfId="0" applyNumberFormat="1" applyFont="1" applyFill="1" applyBorder="1"/>
    <xf numFmtId="3" fontId="0" fillId="0" borderId="0" xfId="0" applyNumberFormat="1" applyBorder="1"/>
    <xf numFmtId="182" fontId="12" fillId="0" borderId="11" xfId="0" applyNumberFormat="1" applyFont="1" applyFill="1" applyBorder="1"/>
    <xf numFmtId="179" fontId="34" fillId="0" borderId="0" xfId="38" applyNumberFormat="1" applyFont="1" applyFill="1" applyBorder="1"/>
    <xf numFmtId="9" fontId="0" fillId="0" borderId="0" xfId="71" applyFont="1" applyBorder="1"/>
    <xf numFmtId="167" fontId="0" fillId="0" borderId="0" xfId="71" applyNumberFormat="1" applyFont="1" applyBorder="1"/>
    <xf numFmtId="9" fontId="34" fillId="0" borderId="12" xfId="71" applyFont="1" applyFill="1" applyBorder="1"/>
    <xf numFmtId="43" fontId="34" fillId="0" borderId="12" xfId="38" applyFont="1" applyFill="1" applyBorder="1"/>
    <xf numFmtId="213" fontId="0" fillId="0" borderId="12" xfId="0" applyBorder="1"/>
    <xf numFmtId="167" fontId="0" fillId="0" borderId="12" xfId="71" applyNumberFormat="1" applyFont="1" applyBorder="1"/>
    <xf numFmtId="167" fontId="34" fillId="0" borderId="12" xfId="71" applyNumberFormat="1" applyFont="1" applyFill="1" applyBorder="1"/>
    <xf numFmtId="9" fontId="6" fillId="0" borderId="27" xfId="71" applyFont="1" applyFill="1" applyBorder="1"/>
    <xf numFmtId="213" fontId="5" fillId="0" borderId="0" xfId="0" applyFont="1" applyFill="1" applyBorder="1"/>
    <xf numFmtId="37" fontId="6" fillId="28" borderId="11" xfId="0" applyNumberFormat="1" applyFont="1" applyFill="1" applyBorder="1"/>
    <xf numFmtId="37" fontId="6" fillId="28" borderId="0" xfId="0" applyNumberFormat="1" applyFont="1" applyFill="1" applyBorder="1"/>
    <xf numFmtId="37" fontId="6" fillId="28" borderId="13" xfId="0" applyNumberFormat="1" applyFont="1" applyFill="1" applyBorder="1"/>
    <xf numFmtId="172" fontId="34" fillId="28" borderId="0" xfId="0" applyNumberFormat="1" applyFont="1" applyFill="1" applyBorder="1"/>
    <xf numFmtId="37" fontId="140" fillId="28" borderId="0" xfId="0" applyNumberFormat="1" applyFont="1" applyFill="1" applyBorder="1"/>
    <xf numFmtId="172" fontId="149" fillId="28" borderId="0" xfId="0" applyNumberFormat="1" applyFont="1" applyFill="1" applyBorder="1"/>
    <xf numFmtId="37" fontId="6" fillId="28" borderId="27" xfId="0" applyNumberFormat="1" applyFont="1" applyFill="1" applyBorder="1"/>
    <xf numFmtId="198" fontId="15" fillId="0" borderId="0" xfId="38" applyNumberFormat="1" applyFont="1" applyFill="1" applyBorder="1" applyAlignment="1" applyProtection="1">
      <alignment horizontal="right" vertical="center"/>
    </xf>
    <xf numFmtId="172" fontId="141" fillId="0" borderId="0" xfId="0" applyNumberFormat="1" applyFont="1" applyFill="1" applyBorder="1" applyAlignment="1" applyProtection="1">
      <alignment horizontal="right"/>
    </xf>
    <xf numFmtId="10" fontId="6" fillId="0" borderId="17" xfId="0" applyNumberFormat="1" applyFont="1" applyBorder="1"/>
    <xf numFmtId="213" fontId="5" fillId="0" borderId="0" xfId="0" applyFont="1" applyFill="1"/>
    <xf numFmtId="167" fontId="141" fillId="0" borderId="0" xfId="0" applyNumberFormat="1" applyFont="1" applyFill="1" applyBorder="1" applyAlignment="1" applyProtection="1"/>
    <xf numFmtId="167" fontId="141" fillId="0" borderId="27" xfId="0" applyNumberFormat="1" applyFont="1" applyFill="1" applyBorder="1" applyAlignment="1" applyProtection="1"/>
    <xf numFmtId="172" fontId="156" fillId="0" borderId="0" xfId="0" applyNumberFormat="1" applyFont="1" applyFill="1" applyBorder="1" applyAlignment="1" applyProtection="1">
      <alignment horizontal="right"/>
    </xf>
    <xf numFmtId="172" fontId="146" fillId="0" borderId="0" xfId="0" applyNumberFormat="1" applyFont="1" applyFill="1" applyBorder="1" applyProtection="1"/>
    <xf numFmtId="172" fontId="146" fillId="0" borderId="27" xfId="0" applyNumberFormat="1" applyFont="1" applyFill="1" applyBorder="1" applyProtection="1"/>
    <xf numFmtId="169" fontId="156" fillId="0" borderId="11" xfId="0" applyNumberFormat="1" applyFont="1" applyFill="1" applyBorder="1" applyAlignment="1" applyProtection="1">
      <alignment horizontal="right"/>
    </xf>
    <xf numFmtId="169" fontId="156" fillId="0" borderId="0" xfId="0" applyNumberFormat="1" applyFont="1" applyFill="1" applyBorder="1" applyAlignment="1" applyProtection="1">
      <alignment horizontal="right"/>
    </xf>
    <xf numFmtId="169" fontId="156" fillId="0" borderId="27" xfId="0" applyNumberFormat="1" applyFont="1" applyFill="1" applyBorder="1" applyAlignment="1" applyProtection="1">
      <alignment horizontal="right"/>
    </xf>
    <xf numFmtId="168" fontId="49" fillId="0" borderId="0" xfId="0" applyNumberFormat="1" applyFont="1" applyFill="1" applyBorder="1"/>
    <xf numFmtId="178" fontId="49" fillId="0" borderId="11" xfId="0" applyNumberFormat="1" applyFont="1" applyFill="1" applyBorder="1"/>
    <xf numFmtId="178" fontId="87" fillId="0" borderId="11" xfId="0" applyNumberFormat="1" applyFont="1" applyFill="1" applyBorder="1"/>
    <xf numFmtId="9" fontId="149" fillId="17" borderId="19" xfId="71" applyFont="1" applyFill="1" applyBorder="1"/>
    <xf numFmtId="172" fontId="14" fillId="0" borderId="15" xfId="0" applyNumberFormat="1" applyFont="1" applyFill="1" applyBorder="1" applyAlignment="1">
      <alignment horizontal="right"/>
    </xf>
    <xf numFmtId="166" fontId="17" fillId="0" borderId="13" xfId="0" applyNumberFormat="1" applyFont="1" applyFill="1" applyBorder="1" applyAlignment="1" applyProtection="1">
      <alignment horizontal="right" vertical="center"/>
    </xf>
    <xf numFmtId="167" fontId="11" fillId="0" borderId="0" xfId="0" applyNumberFormat="1" applyFont="1" applyFill="1" applyBorder="1" applyAlignment="1" applyProtection="1">
      <alignment horizontal="left" indent="1"/>
    </xf>
    <xf numFmtId="167" fontId="19" fillId="0" borderId="11" xfId="71" applyNumberFormat="1" applyFont="1" applyFill="1" applyBorder="1" applyAlignment="1" applyProtection="1"/>
    <xf numFmtId="167" fontId="19" fillId="0" borderId="0" xfId="71" applyNumberFormat="1" applyFont="1" applyFill="1" applyBorder="1" applyAlignment="1" applyProtection="1"/>
    <xf numFmtId="167" fontId="19" fillId="0" borderId="13" xfId="71" applyNumberFormat="1" applyFont="1" applyFill="1" applyBorder="1" applyAlignment="1" applyProtection="1"/>
    <xf numFmtId="167" fontId="17" fillId="0" borderId="11" xfId="71" applyNumberFormat="1" applyFont="1" applyFill="1" applyBorder="1" applyAlignment="1" applyProtection="1">
      <alignment horizontal="right"/>
    </xf>
    <xf numFmtId="167" fontId="17" fillId="0" borderId="0" xfId="0" applyNumberFormat="1" applyFont="1" applyFill="1" applyBorder="1" applyAlignment="1" applyProtection="1">
      <alignment horizontal="right"/>
    </xf>
    <xf numFmtId="167" fontId="17" fillId="0" borderId="27" xfId="0" applyNumberFormat="1" applyFont="1" applyFill="1" applyBorder="1" applyAlignment="1" applyProtection="1">
      <alignment horizontal="right"/>
    </xf>
    <xf numFmtId="167" fontId="17" fillId="0" borderId="13" xfId="0" applyNumberFormat="1" applyFont="1" applyFill="1" applyBorder="1" applyAlignment="1" applyProtection="1">
      <alignment horizontal="right"/>
    </xf>
    <xf numFmtId="167" fontId="22" fillId="0" borderId="0" xfId="0" applyNumberFormat="1" applyFont="1" applyFill="1" applyBorder="1" applyAlignment="1" applyProtection="1">
      <alignment horizontal="left" indent="1"/>
    </xf>
    <xf numFmtId="213" fontId="85" fillId="0" borderId="0" xfId="0" applyFont="1"/>
    <xf numFmtId="167" fontId="157" fillId="0" borderId="11" xfId="71" applyNumberFormat="1" applyFont="1" applyFill="1" applyBorder="1" applyAlignment="1" applyProtection="1"/>
    <xf numFmtId="167" fontId="157" fillId="0" borderId="0" xfId="71" applyNumberFormat="1" applyFont="1" applyFill="1" applyBorder="1" applyAlignment="1" applyProtection="1"/>
    <xf numFmtId="167" fontId="157" fillId="0" borderId="13" xfId="71" applyNumberFormat="1" applyFont="1" applyFill="1" applyBorder="1" applyAlignment="1" applyProtection="1"/>
    <xf numFmtId="41" fontId="22" fillId="0" borderId="0" xfId="0" applyNumberFormat="1" applyFont="1" applyFill="1" applyBorder="1" applyAlignment="1" applyProtection="1"/>
    <xf numFmtId="213" fontId="22" fillId="0" borderId="17" xfId="0" applyFont="1" applyBorder="1" applyAlignment="1">
      <alignment horizontal="left" indent="1"/>
    </xf>
    <xf numFmtId="167" fontId="22" fillId="0" borderId="17" xfId="71" applyNumberFormat="1" applyFont="1" applyBorder="1"/>
    <xf numFmtId="167" fontId="157" fillId="0" borderId="18" xfId="71" applyNumberFormat="1" applyFont="1" applyFill="1" applyBorder="1" applyAlignment="1" applyProtection="1">
      <alignment horizontal="right" vertical="center"/>
    </xf>
    <xf numFmtId="167" fontId="157" fillId="0" borderId="20" xfId="71" applyNumberFormat="1" applyFont="1" applyFill="1" applyBorder="1" applyAlignment="1" applyProtection="1">
      <alignment horizontal="right" vertical="center"/>
    </xf>
    <xf numFmtId="0" fontId="6" fillId="0" borderId="11" xfId="66" applyFont="1" applyFill="1" applyBorder="1" applyAlignment="1">
      <alignment horizontal="left" indent="4"/>
    </xf>
    <xf numFmtId="9" fontId="6" fillId="0" borderId="17" xfId="71" applyFont="1" applyFill="1" applyBorder="1"/>
    <xf numFmtId="9" fontId="6" fillId="0" borderId="18" xfId="0" applyNumberFormat="1" applyFont="1" applyFill="1" applyBorder="1"/>
    <xf numFmtId="37" fontId="12" fillId="0" borderId="11" xfId="66" applyNumberFormat="1" applyFont="1" applyFill="1" applyBorder="1" applyAlignment="1">
      <alignment horizontal="left" indent="2"/>
    </xf>
    <xf numFmtId="172" fontId="142" fillId="0" borderId="11" xfId="0" applyNumberFormat="1" applyFont="1" applyFill="1" applyBorder="1" applyProtection="1"/>
    <xf numFmtId="172" fontId="143" fillId="0" borderId="18" xfId="0" applyNumberFormat="1" applyFont="1" applyFill="1" applyBorder="1" applyAlignment="1" applyProtection="1">
      <alignment horizontal="right"/>
    </xf>
    <xf numFmtId="178" fontId="141" fillId="0" borderId="0" xfId="0" applyNumberFormat="1" applyFont="1" applyFill="1" applyBorder="1"/>
    <xf numFmtId="178" fontId="141" fillId="0" borderId="27" xfId="0" applyNumberFormat="1" applyFont="1" applyFill="1" applyBorder="1"/>
    <xf numFmtId="213" fontId="142" fillId="0" borderId="11" xfId="0" applyFont="1" applyFill="1" applyBorder="1"/>
    <xf numFmtId="213" fontId="142" fillId="0" borderId="0" xfId="0" applyFont="1" applyFill="1" applyBorder="1"/>
    <xf numFmtId="167" fontId="11" fillId="0" borderId="17" xfId="71" applyNumberFormat="1" applyFont="1" applyFill="1" applyBorder="1"/>
    <xf numFmtId="39" fontId="14" fillId="22" borderId="11" xfId="0" applyNumberFormat="1" applyFont="1" applyFill="1" applyBorder="1"/>
    <xf numFmtId="172" fontId="141" fillId="0" borderId="18" xfId="0" applyNumberFormat="1" applyFont="1" applyFill="1" applyBorder="1" applyProtection="1"/>
    <xf numFmtId="172" fontId="141" fillId="0" borderId="17" xfId="0" applyNumberFormat="1" applyFont="1" applyFill="1" applyBorder="1" applyProtection="1"/>
    <xf numFmtId="172" fontId="141" fillId="0" borderId="20" xfId="0" applyNumberFormat="1" applyFont="1" applyFill="1" applyBorder="1" applyProtection="1"/>
    <xf numFmtId="172" fontId="156" fillId="0" borderId="11" xfId="0" applyNumberFormat="1" applyFont="1" applyFill="1" applyBorder="1" applyAlignment="1" applyProtection="1">
      <alignment horizontal="right"/>
    </xf>
    <xf numFmtId="167" fontId="141" fillId="0" borderId="11" xfId="0" applyNumberFormat="1" applyFont="1" applyFill="1" applyBorder="1" applyAlignment="1" applyProtection="1"/>
    <xf numFmtId="167" fontId="156" fillId="0" borderId="11" xfId="71" applyNumberFormat="1" applyFont="1" applyFill="1" applyBorder="1" applyAlignment="1" applyProtection="1"/>
    <xf numFmtId="176" fontId="59" fillId="0" borderId="0" xfId="38" applyNumberFormat="1" applyFont="1"/>
    <xf numFmtId="169" fontId="21" fillId="0" borderId="11" xfId="0" applyNumberFormat="1" applyFont="1" applyFill="1" applyBorder="1" applyAlignment="1" applyProtection="1">
      <alignment horizontal="right"/>
    </xf>
    <xf numFmtId="169" fontId="21" fillId="0" borderId="0" xfId="0" applyNumberFormat="1" applyFont="1" applyFill="1" applyBorder="1" applyAlignment="1" applyProtection="1">
      <alignment horizontal="right"/>
    </xf>
    <xf numFmtId="169" fontId="21" fillId="0" borderId="27" xfId="0" applyNumberFormat="1" applyFont="1" applyFill="1" applyBorder="1" applyAlignment="1" applyProtection="1">
      <alignment horizontal="right"/>
    </xf>
    <xf numFmtId="169" fontId="21" fillId="0" borderId="13" xfId="0" applyNumberFormat="1" applyFont="1" applyFill="1" applyBorder="1" applyAlignment="1" applyProtection="1">
      <alignment horizontal="right"/>
    </xf>
    <xf numFmtId="169" fontId="12" fillId="0" borderId="0" xfId="0" applyNumberFormat="1" applyFont="1" applyFill="1" applyBorder="1" applyProtection="1"/>
    <xf numFmtId="167" fontId="159" fillId="0" borderId="11" xfId="71" applyNumberFormat="1" applyFont="1" applyFill="1" applyBorder="1" applyAlignment="1" applyProtection="1">
      <alignment horizontal="right"/>
    </xf>
    <xf numFmtId="167" fontId="159" fillId="0" borderId="0" xfId="71" applyNumberFormat="1" applyFont="1" applyFill="1" applyBorder="1" applyAlignment="1" applyProtection="1">
      <alignment horizontal="right"/>
    </xf>
    <xf numFmtId="167" fontId="159" fillId="0" borderId="27" xfId="71" applyNumberFormat="1" applyFont="1" applyFill="1" applyBorder="1" applyAlignment="1" applyProtection="1">
      <alignment horizontal="right"/>
    </xf>
    <xf numFmtId="172" fontId="160" fillId="0" borderId="18" xfId="0" applyNumberFormat="1" applyFont="1" applyFill="1" applyBorder="1" applyProtection="1"/>
    <xf numFmtId="172" fontId="160" fillId="0" borderId="17" xfId="0" applyNumberFormat="1" applyFont="1" applyFill="1" applyBorder="1" applyProtection="1"/>
    <xf numFmtId="213" fontId="11" fillId="0" borderId="0" xfId="0" applyFont="1" applyFill="1" applyBorder="1" applyAlignment="1" applyProtection="1">
      <alignment horizontal="left" indent="1"/>
    </xf>
    <xf numFmtId="167" fontId="6" fillId="0" borderId="0" xfId="0" applyNumberFormat="1" applyFont="1" applyFill="1" applyBorder="1" applyAlignment="1" applyProtection="1">
      <alignment horizontal="left"/>
    </xf>
    <xf numFmtId="41" fontId="11" fillId="0" borderId="0" xfId="0" applyNumberFormat="1" applyFont="1" applyFill="1" applyBorder="1" applyAlignment="1" applyProtection="1"/>
    <xf numFmtId="9" fontId="11" fillId="0" borderId="0" xfId="71" applyFont="1"/>
    <xf numFmtId="213" fontId="11" fillId="0" borderId="0" xfId="0" applyFont="1" applyBorder="1" applyAlignment="1">
      <alignment horizontal="left" indent="1"/>
    </xf>
    <xf numFmtId="167" fontId="11" fillId="0" borderId="0" xfId="71" applyNumberFormat="1" applyFont="1" applyBorder="1"/>
    <xf numFmtId="3" fontId="142" fillId="0" borderId="0" xfId="0" applyNumberFormat="1" applyFont="1"/>
    <xf numFmtId="213" fontId="12" fillId="29" borderId="0" xfId="0" applyFont="1" applyFill="1" applyBorder="1"/>
    <xf numFmtId="213" fontId="0" fillId="29" borderId="0" xfId="0" applyFill="1"/>
    <xf numFmtId="169" fontId="17" fillId="29" borderId="11" xfId="0" applyNumberFormat="1" applyFont="1" applyFill="1" applyBorder="1" applyAlignment="1" applyProtection="1">
      <alignment horizontal="right"/>
    </xf>
    <xf numFmtId="169" fontId="17" fillId="29" borderId="0" xfId="0" applyNumberFormat="1" applyFont="1" applyFill="1" applyBorder="1" applyAlignment="1" applyProtection="1">
      <alignment horizontal="right"/>
    </xf>
    <xf numFmtId="169" fontId="17" fillId="29" borderId="27" xfId="0" applyNumberFormat="1" applyFont="1" applyFill="1" applyBorder="1" applyAlignment="1" applyProtection="1">
      <alignment horizontal="right"/>
    </xf>
    <xf numFmtId="169" fontId="17" fillId="29" borderId="13" xfId="0" applyNumberFormat="1" applyFont="1" applyFill="1" applyBorder="1" applyAlignment="1" applyProtection="1">
      <alignment horizontal="right"/>
    </xf>
    <xf numFmtId="167" fontId="158" fillId="29" borderId="11" xfId="71" applyNumberFormat="1" applyFont="1" applyFill="1" applyBorder="1" applyAlignment="1" applyProtection="1">
      <alignment horizontal="right"/>
    </xf>
    <xf numFmtId="167" fontId="158" fillId="29" borderId="0" xfId="0" applyNumberFormat="1" applyFont="1" applyFill="1" applyBorder="1" applyAlignment="1" applyProtection="1">
      <alignment horizontal="right"/>
    </xf>
    <xf numFmtId="167" fontId="158" fillId="29" borderId="27" xfId="0" applyNumberFormat="1" applyFont="1" applyFill="1" applyBorder="1" applyAlignment="1" applyProtection="1">
      <alignment horizontal="right"/>
    </xf>
    <xf numFmtId="167" fontId="158" fillId="29" borderId="13" xfId="0" applyNumberFormat="1" applyFont="1" applyFill="1" applyBorder="1" applyAlignment="1" applyProtection="1">
      <alignment horizontal="right"/>
    </xf>
    <xf numFmtId="213" fontId="13" fillId="17" borderId="0" xfId="0" applyFont="1" applyFill="1" applyBorder="1" applyProtection="1"/>
    <xf numFmtId="9" fontId="6" fillId="0" borderId="11" xfId="71" applyNumberFormat="1" applyFont="1" applyFill="1" applyBorder="1"/>
    <xf numFmtId="9" fontId="142" fillId="0" borderId="0" xfId="71" applyFont="1"/>
    <xf numFmtId="9" fontId="142" fillId="0" borderId="0" xfId="71" applyFont="1" applyBorder="1"/>
    <xf numFmtId="168" fontId="6" fillId="0" borderId="0" xfId="0" applyNumberFormat="1" applyFont="1" applyBorder="1"/>
    <xf numFmtId="9" fontId="146" fillId="0" borderId="0" xfId="71" applyNumberFormat="1" applyFont="1"/>
    <xf numFmtId="168" fontId="6" fillId="0" borderId="0" xfId="0" quotePrefix="1" applyNumberFormat="1" applyFont="1" applyFill="1" applyBorder="1"/>
    <xf numFmtId="3" fontId="142" fillId="0" borderId="0" xfId="0" applyNumberFormat="1" applyFont="1" applyBorder="1"/>
    <xf numFmtId="3" fontId="142" fillId="0" borderId="0" xfId="0" applyNumberFormat="1" applyFont="1" applyFill="1" applyBorder="1"/>
    <xf numFmtId="167" fontId="12" fillId="0" borderId="0" xfId="71" applyNumberFormat="1" applyFont="1" applyFill="1" applyBorder="1" applyAlignment="1" applyProtection="1">
      <alignment horizontal="left"/>
    </xf>
    <xf numFmtId="167" fontId="161" fillId="0" borderId="11" xfId="71" applyNumberFormat="1" applyFont="1" applyFill="1" applyBorder="1" applyAlignment="1" applyProtection="1">
      <alignment horizontal="right"/>
    </xf>
    <xf numFmtId="167" fontId="161" fillId="0" borderId="0" xfId="71" applyNumberFormat="1" applyFont="1" applyFill="1" applyBorder="1" applyAlignment="1" applyProtection="1">
      <alignment horizontal="right"/>
    </xf>
    <xf numFmtId="167" fontId="161" fillId="0" borderId="27" xfId="71" applyNumberFormat="1" applyFont="1" applyFill="1" applyBorder="1" applyAlignment="1" applyProtection="1">
      <alignment horizontal="right"/>
    </xf>
    <xf numFmtId="167" fontId="161" fillId="0" borderId="13" xfId="71" applyNumberFormat="1" applyFont="1" applyFill="1" applyBorder="1" applyAlignment="1" applyProtection="1">
      <alignment horizontal="right"/>
    </xf>
    <xf numFmtId="167" fontId="142" fillId="0" borderId="0" xfId="71" applyNumberFormat="1" applyFont="1" applyFill="1" applyBorder="1" applyProtection="1"/>
    <xf numFmtId="169" fontId="162" fillId="0" borderId="11" xfId="0" applyNumberFormat="1" applyFont="1" applyFill="1" applyBorder="1" applyAlignment="1" applyProtection="1">
      <alignment horizontal="right"/>
    </xf>
    <xf numFmtId="169" fontId="162" fillId="0" borderId="0" xfId="0" applyNumberFormat="1" applyFont="1" applyFill="1" applyBorder="1" applyAlignment="1" applyProtection="1">
      <alignment horizontal="right"/>
    </xf>
    <xf numFmtId="169" fontId="162" fillId="0" borderId="13" xfId="0" applyNumberFormat="1" applyFont="1" applyFill="1" applyBorder="1" applyAlignment="1" applyProtection="1">
      <alignment horizontal="right"/>
    </xf>
    <xf numFmtId="167" fontId="28" fillId="0" borderId="0" xfId="71" applyNumberFormat="1" applyFont="1" applyFill="1" applyBorder="1"/>
    <xf numFmtId="167" fontId="155" fillId="0" borderId="0" xfId="71" applyNumberFormat="1" applyFont="1" applyFill="1" applyBorder="1" applyAlignment="1">
      <alignment horizontal="right"/>
    </xf>
    <xf numFmtId="167" fontId="155" fillId="0" borderId="11" xfId="71" applyNumberFormat="1" applyFont="1" applyFill="1" applyBorder="1" applyAlignment="1">
      <alignment horizontal="right"/>
    </xf>
    <xf numFmtId="167" fontId="155" fillId="0" borderId="13" xfId="71" applyNumberFormat="1" applyFont="1" applyFill="1" applyBorder="1" applyAlignment="1">
      <alignment horizontal="right"/>
    </xf>
    <xf numFmtId="41" fontId="22" fillId="0" borderId="17" xfId="0" applyNumberFormat="1" applyFont="1" applyFill="1" applyBorder="1" applyAlignment="1" applyProtection="1"/>
    <xf numFmtId="167" fontId="157" fillId="0" borderId="20" xfId="71" applyNumberFormat="1" applyFont="1" applyFill="1" applyBorder="1" applyAlignment="1" applyProtection="1"/>
    <xf numFmtId="167" fontId="157" fillId="0" borderId="17" xfId="71" applyNumberFormat="1" applyFont="1" applyFill="1" applyBorder="1" applyAlignment="1" applyProtection="1"/>
    <xf numFmtId="167" fontId="157" fillId="0" borderId="18" xfId="71" applyNumberFormat="1" applyFont="1" applyFill="1" applyBorder="1" applyAlignment="1" applyProtection="1"/>
    <xf numFmtId="213" fontId="85" fillId="0" borderId="17" xfId="0" applyFont="1" applyBorder="1"/>
    <xf numFmtId="176" fontId="17" fillId="0" borderId="13" xfId="38" applyNumberFormat="1" applyFont="1" applyFill="1" applyBorder="1" applyAlignment="1" applyProtection="1"/>
    <xf numFmtId="176" fontId="17" fillId="0" borderId="0" xfId="38" applyNumberFormat="1" applyFont="1" applyFill="1" applyBorder="1" applyAlignment="1" applyProtection="1"/>
    <xf numFmtId="169" fontId="17" fillId="0" borderId="12" xfId="0" applyNumberFormat="1" applyFont="1" applyFill="1" applyBorder="1" applyAlignment="1" applyProtection="1">
      <alignment horizontal="right"/>
    </xf>
    <xf numFmtId="0" fontId="168" fillId="30" borderId="19" xfId="91" applyFont="1" applyFill="1" applyBorder="1" applyAlignment="1" applyProtection="1">
      <protection locked="0"/>
    </xf>
    <xf numFmtId="213" fontId="85" fillId="0" borderId="0" xfId="0" applyFont="1" applyBorder="1"/>
    <xf numFmtId="213" fontId="22" fillId="0" borderId="17" xfId="0" applyFont="1" applyFill="1" applyBorder="1" applyAlignment="1" applyProtection="1">
      <alignment horizontal="left" indent="1"/>
    </xf>
    <xf numFmtId="176" fontId="17" fillId="0" borderId="11" xfId="38" applyNumberFormat="1" applyFont="1" applyFill="1" applyBorder="1" applyAlignment="1" applyProtection="1"/>
    <xf numFmtId="167" fontId="6" fillId="29" borderId="17" xfId="0" applyNumberFormat="1" applyFont="1" applyFill="1" applyBorder="1" applyAlignment="1" applyProtection="1">
      <alignment horizontal="left" indent="2"/>
    </xf>
    <xf numFmtId="41" fontId="22" fillId="29" borderId="17" xfId="0" applyNumberFormat="1" applyFont="1" applyFill="1" applyBorder="1" applyAlignment="1" applyProtection="1"/>
    <xf numFmtId="167" fontId="17" fillId="29" borderId="18" xfId="71" applyNumberFormat="1" applyFont="1" applyFill="1" applyBorder="1" applyAlignment="1" applyProtection="1"/>
    <xf numFmtId="167" fontId="17" fillId="29" borderId="17" xfId="71" applyNumberFormat="1" applyFont="1" applyFill="1" applyBorder="1" applyAlignment="1" applyProtection="1"/>
    <xf numFmtId="167" fontId="17" fillId="29" borderId="20" xfId="71" applyNumberFormat="1" applyFont="1" applyFill="1" applyBorder="1" applyAlignment="1" applyProtection="1"/>
    <xf numFmtId="167" fontId="157" fillId="0" borderId="12" xfId="71" applyNumberFormat="1" applyFont="1" applyFill="1" applyBorder="1" applyAlignment="1" applyProtection="1"/>
    <xf numFmtId="213" fontId="85" fillId="0" borderId="12" xfId="0" applyFont="1" applyBorder="1"/>
    <xf numFmtId="41" fontId="22" fillId="0" borderId="12" xfId="0" applyNumberFormat="1" applyFont="1" applyFill="1" applyBorder="1" applyAlignment="1" applyProtection="1"/>
    <xf numFmtId="200" fontId="13" fillId="30" borderId="31" xfId="100" applyNumberFormat="1" applyFont="1" applyFill="1" applyBorder="1" applyAlignment="1">
      <alignment horizontal="center"/>
    </xf>
    <xf numFmtId="0" fontId="13" fillId="30" borderId="0" xfId="100" applyFont="1" applyFill="1" applyBorder="1" applyAlignment="1">
      <alignment horizontal="center"/>
    </xf>
    <xf numFmtId="171" fontId="13" fillId="30" borderId="56" xfId="100" applyNumberFormat="1" applyFont="1" applyFill="1" applyBorder="1" applyAlignment="1">
      <alignment horizontal="center"/>
    </xf>
    <xf numFmtId="171" fontId="13" fillId="30" borderId="15" xfId="100" applyNumberFormat="1" applyFont="1" applyFill="1" applyBorder="1" applyAlignment="1">
      <alignment horizontal="center"/>
    </xf>
    <xf numFmtId="171" fontId="13" fillId="30" borderId="16" xfId="100" applyNumberFormat="1" applyFont="1" applyFill="1" applyBorder="1" applyAlignment="1">
      <alignment horizontal="center"/>
    </xf>
    <xf numFmtId="201" fontId="13" fillId="30" borderId="31" xfId="100" applyNumberFormat="1" applyFont="1" applyFill="1" applyBorder="1" applyAlignment="1">
      <alignment horizontal="center"/>
    </xf>
    <xf numFmtId="167" fontId="141" fillId="0" borderId="28" xfId="71" applyNumberFormat="1" applyFont="1" applyFill="1" applyBorder="1" applyAlignment="1" applyProtection="1">
      <alignment horizontal="right"/>
    </xf>
    <xf numFmtId="167" fontId="141" fillId="0" borderId="12" xfId="71" applyNumberFormat="1" applyFont="1" applyFill="1" applyBorder="1" applyAlignment="1" applyProtection="1">
      <alignment horizontal="right"/>
    </xf>
    <xf numFmtId="167" fontId="141" fillId="0" borderId="11" xfId="71" applyNumberFormat="1" applyFont="1" applyFill="1" applyBorder="1" applyAlignment="1" applyProtection="1">
      <alignment horizontal="right"/>
    </xf>
    <xf numFmtId="167" fontId="141" fillId="0" borderId="0" xfId="71" applyNumberFormat="1" applyFont="1" applyFill="1" applyBorder="1" applyAlignment="1" applyProtection="1">
      <alignment horizontal="right"/>
    </xf>
    <xf numFmtId="167" fontId="141" fillId="0" borderId="18" xfId="71" applyNumberFormat="1" applyFont="1" applyFill="1" applyBorder="1" applyAlignment="1" applyProtection="1">
      <alignment horizontal="right"/>
    </xf>
    <xf numFmtId="167" fontId="141" fillId="0" borderId="17" xfId="71" applyNumberFormat="1" applyFont="1" applyFill="1" applyBorder="1" applyAlignment="1" applyProtection="1">
      <alignment horizontal="right"/>
    </xf>
    <xf numFmtId="9" fontId="6" fillId="0" borderId="13" xfId="71" applyFont="1" applyFill="1" applyBorder="1" applyAlignment="1" applyProtection="1">
      <alignment horizontal="center"/>
    </xf>
    <xf numFmtId="213" fontId="0" fillId="0" borderId="12" xfId="0" applyFill="1" applyBorder="1"/>
    <xf numFmtId="167" fontId="158" fillId="0" borderId="12" xfId="71" applyNumberFormat="1" applyFont="1" applyFill="1" applyBorder="1" applyAlignment="1" applyProtection="1">
      <alignment horizontal="right"/>
    </xf>
    <xf numFmtId="167" fontId="158" fillId="0" borderId="12" xfId="0" applyNumberFormat="1" applyFont="1" applyFill="1" applyBorder="1" applyAlignment="1" applyProtection="1">
      <alignment horizontal="right"/>
    </xf>
    <xf numFmtId="169" fontId="170" fillId="0" borderId="0" xfId="0" applyNumberFormat="1" applyFont="1" applyFill="1" applyBorder="1" applyAlignment="1" applyProtection="1">
      <alignment horizontal="right"/>
    </xf>
    <xf numFmtId="9" fontId="170" fillId="0" borderId="0" xfId="71" applyFont="1"/>
    <xf numFmtId="3" fontId="170" fillId="0" borderId="0" xfId="0" applyNumberFormat="1" applyFont="1"/>
    <xf numFmtId="167" fontId="170" fillId="0" borderId="0" xfId="0" applyNumberFormat="1" applyFont="1" applyFill="1" applyBorder="1" applyAlignment="1" applyProtection="1">
      <alignment horizontal="right"/>
    </xf>
    <xf numFmtId="167" fontId="170" fillId="0" borderId="0" xfId="71" applyNumberFormat="1" applyFont="1" applyFill="1" applyBorder="1" applyAlignment="1" applyProtection="1">
      <alignment horizontal="right"/>
    </xf>
    <xf numFmtId="213" fontId="170" fillId="0" borderId="0" xfId="0" applyFont="1" applyBorder="1"/>
    <xf numFmtId="213" fontId="170" fillId="0" borderId="0" xfId="0" applyFont="1"/>
    <xf numFmtId="167" fontId="170" fillId="0" borderId="0" xfId="0" applyNumberFormat="1" applyFont="1" applyFill="1" applyBorder="1" applyAlignment="1" applyProtection="1">
      <alignment horizontal="left"/>
    </xf>
    <xf numFmtId="167" fontId="171" fillId="0" borderId="0" xfId="71" applyNumberFormat="1" applyFont="1" applyFill="1" applyBorder="1" applyAlignment="1" applyProtection="1">
      <alignment horizontal="right"/>
    </xf>
    <xf numFmtId="167" fontId="171" fillId="0" borderId="27" xfId="71" applyNumberFormat="1" applyFont="1" applyFill="1" applyBorder="1" applyAlignment="1" applyProtection="1">
      <alignment horizontal="right"/>
    </xf>
    <xf numFmtId="167" fontId="171" fillId="0" borderId="13" xfId="71" applyNumberFormat="1" applyFont="1" applyFill="1" applyBorder="1" applyAlignment="1" applyProtection="1">
      <alignment horizontal="right"/>
    </xf>
    <xf numFmtId="167" fontId="172" fillId="0" borderId="0" xfId="71" applyNumberFormat="1" applyFont="1" applyFill="1" applyBorder="1" applyProtection="1"/>
    <xf numFmtId="167" fontId="171" fillId="0" borderId="11" xfId="71" applyNumberFormat="1" applyFont="1" applyFill="1" applyBorder="1" applyAlignment="1" applyProtection="1">
      <alignment horizontal="right"/>
    </xf>
    <xf numFmtId="169" fontId="173" fillId="0" borderId="11" xfId="0" applyNumberFormat="1" applyFont="1" applyFill="1" applyBorder="1" applyAlignment="1" applyProtection="1">
      <alignment horizontal="right"/>
    </xf>
    <xf numFmtId="169" fontId="173" fillId="0" borderId="0" xfId="0" applyNumberFormat="1" applyFont="1" applyFill="1" applyBorder="1" applyAlignment="1" applyProtection="1">
      <alignment horizontal="right"/>
    </xf>
    <xf numFmtId="169" fontId="173" fillId="0" borderId="13" xfId="0" applyNumberFormat="1" applyFont="1" applyFill="1" applyBorder="1" applyAlignment="1" applyProtection="1">
      <alignment horizontal="right"/>
    </xf>
    <xf numFmtId="7" fontId="173" fillId="0" borderId="11" xfId="0" applyNumberFormat="1" applyFont="1" applyFill="1" applyBorder="1" applyAlignment="1" applyProtection="1">
      <alignment horizontal="right" vertical="center"/>
    </xf>
    <xf numFmtId="7" fontId="173" fillId="0" borderId="0" xfId="0" applyNumberFormat="1" applyFont="1" applyFill="1" applyBorder="1" applyAlignment="1" applyProtection="1">
      <alignment horizontal="right" vertical="center"/>
    </xf>
    <xf numFmtId="7" fontId="173" fillId="0" borderId="27" xfId="0" applyNumberFormat="1" applyFont="1" applyFill="1" applyBorder="1" applyAlignment="1" applyProtection="1">
      <alignment horizontal="right" vertical="center"/>
    </xf>
    <xf numFmtId="7" fontId="173" fillId="0" borderId="13" xfId="0" applyNumberFormat="1" applyFont="1" applyFill="1" applyBorder="1" applyAlignment="1" applyProtection="1">
      <alignment horizontal="right" vertical="center"/>
    </xf>
    <xf numFmtId="213" fontId="174" fillId="0" borderId="0" xfId="0" applyFont="1"/>
    <xf numFmtId="176" fontId="175" fillId="0" borderId="0" xfId="38" applyNumberFormat="1" applyFont="1" applyFill="1" applyBorder="1" applyAlignment="1" applyProtection="1">
      <alignment horizontal="right"/>
    </xf>
    <xf numFmtId="43" fontId="175" fillId="0" borderId="0" xfId="38" applyFont="1" applyFill="1" applyBorder="1" applyAlignment="1" applyProtection="1">
      <alignment horizontal="right"/>
    </xf>
    <xf numFmtId="179" fontId="175" fillId="0" borderId="0" xfId="38" applyNumberFormat="1" applyFont="1" applyFill="1" applyBorder="1" applyAlignment="1" applyProtection="1">
      <alignment horizontal="right"/>
    </xf>
    <xf numFmtId="213" fontId="175" fillId="0" borderId="0" xfId="0" applyFont="1" applyBorder="1"/>
    <xf numFmtId="213" fontId="175" fillId="0" borderId="0" xfId="0" applyFont="1"/>
    <xf numFmtId="3" fontId="172" fillId="0" borderId="0" xfId="0" applyNumberFormat="1" applyFont="1"/>
    <xf numFmtId="213" fontId="172" fillId="0" borderId="0" xfId="0" applyFont="1"/>
    <xf numFmtId="204" fontId="172" fillId="0" borderId="11" xfId="0" applyNumberFormat="1" applyFont="1" applyFill="1" applyBorder="1" applyAlignment="1">
      <alignment horizontal="right"/>
    </xf>
    <xf numFmtId="204" fontId="172" fillId="0" borderId="0" xfId="0" applyNumberFormat="1" applyFont="1" applyFill="1" applyBorder="1" applyAlignment="1">
      <alignment horizontal="right"/>
    </xf>
    <xf numFmtId="204" fontId="172" fillId="0" borderId="27" xfId="0" applyNumberFormat="1" applyFont="1" applyFill="1" applyBorder="1" applyAlignment="1">
      <alignment horizontal="right"/>
    </xf>
    <xf numFmtId="172" fontId="172" fillId="0" borderId="11" xfId="0" applyNumberFormat="1" applyFont="1" applyFill="1" applyBorder="1"/>
    <xf numFmtId="172" fontId="172" fillId="0" borderId="0" xfId="0" applyNumberFormat="1" applyFont="1" applyFill="1" applyBorder="1"/>
    <xf numFmtId="185" fontId="172" fillId="0" borderId="13" xfId="0" applyNumberFormat="1" applyFont="1" applyFill="1" applyBorder="1" applyAlignment="1" applyProtection="1">
      <alignment horizontal="center"/>
    </xf>
    <xf numFmtId="167" fontId="172" fillId="0" borderId="27" xfId="71" applyNumberFormat="1" applyFont="1" applyFill="1" applyBorder="1" applyAlignment="1">
      <alignment horizontal="right"/>
    </xf>
    <xf numFmtId="167" fontId="172" fillId="0" borderId="0" xfId="71" applyNumberFormat="1" applyFont="1" applyFill="1" applyBorder="1" applyAlignment="1">
      <alignment horizontal="right"/>
    </xf>
    <xf numFmtId="167" fontId="172" fillId="0" borderId="11" xfId="71" applyNumberFormat="1" applyFont="1" applyFill="1" applyBorder="1" applyAlignment="1">
      <alignment horizontal="right"/>
    </xf>
    <xf numFmtId="167" fontId="172" fillId="0" borderId="26" xfId="71" applyNumberFormat="1" applyFont="1" applyFill="1" applyBorder="1" applyAlignment="1">
      <alignment horizontal="right"/>
    </xf>
    <xf numFmtId="167" fontId="172" fillId="0" borderId="17" xfId="71" applyNumberFormat="1" applyFont="1" applyFill="1" applyBorder="1" applyAlignment="1">
      <alignment horizontal="right"/>
    </xf>
    <xf numFmtId="167" fontId="172" fillId="0" borderId="18" xfId="71" applyNumberFormat="1" applyFont="1" applyFill="1" applyBorder="1" applyAlignment="1">
      <alignment horizontal="right"/>
    </xf>
    <xf numFmtId="9" fontId="172" fillId="0" borderId="0" xfId="71" applyNumberFormat="1" applyFont="1" applyFill="1" applyBorder="1" applyAlignment="1">
      <alignment horizontal="right"/>
    </xf>
    <xf numFmtId="9" fontId="172" fillId="0" borderId="11" xfId="71" applyNumberFormat="1" applyFont="1" applyFill="1" applyBorder="1" applyAlignment="1">
      <alignment horizontal="right"/>
    </xf>
    <xf numFmtId="167" fontId="172" fillId="0" borderId="19" xfId="0" applyNumberFormat="1" applyFont="1" applyFill="1" applyBorder="1" applyAlignment="1">
      <alignment horizontal="right"/>
    </xf>
    <xf numFmtId="167" fontId="172" fillId="0" borderId="0" xfId="0" applyNumberFormat="1" applyFont="1" applyFill="1" applyBorder="1" applyAlignment="1">
      <alignment horizontal="right"/>
    </xf>
    <xf numFmtId="167" fontId="172" fillId="0" borderId="28" xfId="0" applyNumberFormat="1" applyFont="1" applyFill="1" applyBorder="1" applyAlignment="1">
      <alignment horizontal="right"/>
    </xf>
    <xf numFmtId="167" fontId="172" fillId="0" borderId="13" xfId="0" applyNumberFormat="1" applyFont="1" applyFill="1" applyBorder="1" applyAlignment="1">
      <alignment horizontal="right"/>
    </xf>
    <xf numFmtId="167" fontId="172" fillId="0" borderId="11" xfId="0" applyNumberFormat="1" applyFont="1" applyFill="1" applyBorder="1" applyAlignment="1">
      <alignment horizontal="right"/>
    </xf>
    <xf numFmtId="167" fontId="172" fillId="0" borderId="20" xfId="0" applyNumberFormat="1" applyFont="1" applyFill="1" applyBorder="1" applyAlignment="1">
      <alignment horizontal="right"/>
    </xf>
    <xf numFmtId="167" fontId="172" fillId="0" borderId="17" xfId="0" applyNumberFormat="1" applyFont="1" applyFill="1" applyBorder="1" applyAlignment="1">
      <alignment horizontal="right"/>
    </xf>
    <xf numFmtId="167" fontId="172" fillId="0" borderId="18" xfId="0" applyNumberFormat="1" applyFont="1" applyFill="1" applyBorder="1" applyAlignment="1">
      <alignment horizontal="right"/>
    </xf>
    <xf numFmtId="182" fontId="172" fillId="0" borderId="0" xfId="0" applyNumberFormat="1" applyFont="1" applyBorder="1"/>
    <xf numFmtId="172" fontId="172" fillId="0" borderId="13" xfId="0" applyNumberFormat="1" applyFont="1" applyBorder="1"/>
    <xf numFmtId="213" fontId="172" fillId="0" borderId="0" xfId="0" applyFont="1" applyBorder="1"/>
    <xf numFmtId="182" fontId="172" fillId="0" borderId="11" xfId="0" applyNumberFormat="1" applyFont="1" applyBorder="1"/>
    <xf numFmtId="172" fontId="172" fillId="0" borderId="18" xfId="0" applyNumberFormat="1" applyFont="1" applyFill="1" applyBorder="1"/>
    <xf numFmtId="182" fontId="172" fillId="0" borderId="17" xfId="0" applyNumberFormat="1" applyFont="1" applyBorder="1"/>
    <xf numFmtId="172" fontId="172" fillId="0" borderId="20" xfId="0" applyNumberFormat="1" applyFont="1" applyBorder="1"/>
    <xf numFmtId="213" fontId="172" fillId="0" borderId="17" xfId="0" applyFont="1" applyBorder="1"/>
    <xf numFmtId="182" fontId="172" fillId="0" borderId="18" xfId="0" applyNumberFormat="1" applyFont="1" applyBorder="1"/>
    <xf numFmtId="213" fontId="172" fillId="0" borderId="28" xfId="0" applyFont="1" applyBorder="1"/>
    <xf numFmtId="213" fontId="172" fillId="0" borderId="12" xfId="0" applyFont="1" applyBorder="1"/>
    <xf numFmtId="213" fontId="172" fillId="0" borderId="19" xfId="0" applyFont="1" applyBorder="1"/>
    <xf numFmtId="182" fontId="172" fillId="0" borderId="11" xfId="0" applyNumberFormat="1" applyFont="1" applyFill="1" applyBorder="1"/>
    <xf numFmtId="182" fontId="172" fillId="0" borderId="18" xfId="0" applyNumberFormat="1" applyFont="1" applyFill="1" applyBorder="1"/>
    <xf numFmtId="172" fontId="172" fillId="0" borderId="0" xfId="0" applyNumberFormat="1" applyFont="1" applyBorder="1"/>
    <xf numFmtId="172" fontId="172" fillId="0" borderId="11" xfId="0" applyNumberFormat="1" applyFont="1" applyBorder="1"/>
    <xf numFmtId="167" fontId="176" fillId="0" borderId="11" xfId="75" applyNumberFormat="1" applyFont="1" applyFill="1" applyBorder="1" applyAlignment="1">
      <alignment horizontal="right"/>
    </xf>
    <xf numFmtId="167" fontId="176" fillId="0" borderId="11" xfId="71" applyNumberFormat="1" applyFont="1" applyFill="1" applyBorder="1" applyAlignment="1">
      <alignment horizontal="right"/>
    </xf>
    <xf numFmtId="167" fontId="176" fillId="0" borderId="0" xfId="71" applyNumberFormat="1" applyFont="1" applyFill="1" applyBorder="1" applyAlignment="1">
      <alignment horizontal="right"/>
    </xf>
    <xf numFmtId="167" fontId="176" fillId="0" borderId="13" xfId="71" applyNumberFormat="1" applyFont="1" applyFill="1" applyBorder="1" applyAlignment="1">
      <alignment horizontal="right"/>
    </xf>
    <xf numFmtId="167" fontId="176" fillId="0" borderId="0" xfId="75" applyNumberFormat="1" applyFont="1" applyFill="1" applyBorder="1" applyAlignment="1">
      <alignment horizontal="right"/>
    </xf>
    <xf numFmtId="172" fontId="169" fillId="0" borderId="11" xfId="0" applyNumberFormat="1" applyFont="1" applyFill="1" applyBorder="1" applyAlignment="1">
      <alignment horizontal="right"/>
    </xf>
    <xf numFmtId="172" fontId="169" fillId="0" borderId="0" xfId="0" applyNumberFormat="1" applyFont="1" applyFill="1" applyBorder="1" applyAlignment="1">
      <alignment horizontal="right"/>
    </xf>
    <xf numFmtId="172" fontId="169" fillId="0" borderId="27" xfId="0" applyNumberFormat="1" applyFont="1" applyFill="1" applyBorder="1" applyAlignment="1">
      <alignment horizontal="right"/>
    </xf>
    <xf numFmtId="204" fontId="169" fillId="0" borderId="11" xfId="0" applyNumberFormat="1" applyFont="1" applyFill="1" applyBorder="1" applyAlignment="1">
      <alignment horizontal="right"/>
    </xf>
    <xf numFmtId="172" fontId="169" fillId="0" borderId="11" xfId="0" applyNumberFormat="1" applyFont="1" applyFill="1" applyBorder="1"/>
    <xf numFmtId="172" fontId="169" fillId="0" borderId="0" xfId="0" applyNumberFormat="1" applyFont="1" applyFill="1" applyBorder="1"/>
    <xf numFmtId="167" fontId="169" fillId="0" borderId="18" xfId="0" applyNumberFormat="1" applyFont="1" applyFill="1" applyBorder="1"/>
    <xf numFmtId="167" fontId="169" fillId="0" borderId="17" xfId="0" applyNumberFormat="1" applyFont="1" applyFill="1" applyBorder="1"/>
    <xf numFmtId="172" fontId="169" fillId="0" borderId="13" xfId="0" applyNumberFormat="1" applyFont="1" applyFill="1" applyBorder="1"/>
    <xf numFmtId="172" fontId="169" fillId="0" borderId="28" xfId="0" applyNumberFormat="1" applyFont="1" applyFill="1" applyBorder="1"/>
    <xf numFmtId="172" fontId="169" fillId="0" borderId="12" xfId="0" applyNumberFormat="1" applyFont="1" applyFill="1" applyBorder="1"/>
    <xf numFmtId="9" fontId="169" fillId="0" borderId="11" xfId="0" applyNumberFormat="1" applyFont="1" applyFill="1" applyBorder="1" applyAlignment="1">
      <alignment horizontal="right"/>
    </xf>
    <xf numFmtId="9" fontId="169" fillId="0" borderId="0" xfId="0" applyNumberFormat="1" applyFont="1" applyFill="1" applyBorder="1"/>
    <xf numFmtId="213" fontId="169" fillId="0" borderId="13" xfId="0" applyFont="1" applyFill="1" applyBorder="1"/>
    <xf numFmtId="213" fontId="169" fillId="0" borderId="0" xfId="0" applyFont="1" applyFill="1"/>
    <xf numFmtId="213" fontId="169" fillId="0" borderId="0" xfId="0" applyFont="1" applyFill="1" applyBorder="1" applyAlignment="1">
      <alignment horizontal="right"/>
    </xf>
    <xf numFmtId="185" fontId="169" fillId="0" borderId="13" xfId="0" applyNumberFormat="1" applyFont="1" applyFill="1" applyBorder="1" applyAlignment="1" applyProtection="1">
      <alignment horizontal="center"/>
    </xf>
    <xf numFmtId="213" fontId="177" fillId="0" borderId="0" xfId="0" applyFont="1"/>
    <xf numFmtId="176" fontId="169" fillId="0" borderId="11" xfId="38" applyNumberFormat="1" applyFont="1" applyFill="1" applyBorder="1"/>
    <xf numFmtId="176" fontId="169" fillId="0" borderId="0" xfId="38" applyNumberFormat="1" applyFont="1" applyFill="1" applyBorder="1"/>
    <xf numFmtId="185" fontId="169" fillId="0" borderId="0" xfId="0" applyNumberFormat="1" applyFont="1" applyFill="1" applyBorder="1" applyAlignment="1" applyProtection="1">
      <alignment horizontal="center"/>
    </xf>
    <xf numFmtId="213" fontId="169" fillId="0" borderId="11" xfId="0" applyFont="1" applyFill="1" applyBorder="1"/>
    <xf numFmtId="213" fontId="169" fillId="0" borderId="0" xfId="0" applyFont="1" applyFill="1" applyBorder="1"/>
    <xf numFmtId="176" fontId="169" fillId="0" borderId="0" xfId="38" applyNumberFormat="1" applyFont="1" applyFill="1" applyBorder="1" applyAlignment="1">
      <alignment horizontal="right"/>
    </xf>
    <xf numFmtId="213" fontId="169" fillId="0" borderId="0" xfId="0" applyFont="1" applyFill="1" applyAlignment="1">
      <alignment horizontal="right"/>
    </xf>
    <xf numFmtId="172" fontId="143" fillId="0" borderId="11" xfId="0" applyNumberFormat="1" applyFont="1" applyFill="1" applyBorder="1" applyAlignment="1" applyProtection="1">
      <alignment horizontal="right"/>
    </xf>
    <xf numFmtId="172" fontId="143" fillId="0" borderId="0" xfId="0" applyNumberFormat="1" applyFont="1" applyFill="1" applyBorder="1" applyAlignment="1" applyProtection="1">
      <alignment horizontal="right"/>
    </xf>
    <xf numFmtId="172" fontId="142" fillId="0" borderId="18" xfId="0" applyNumberFormat="1" applyFont="1" applyFill="1" applyBorder="1" applyProtection="1"/>
    <xf numFmtId="172" fontId="142" fillId="0" borderId="17" xfId="0" applyNumberFormat="1" applyFont="1" applyFill="1" applyBorder="1" applyProtection="1"/>
    <xf numFmtId="169" fontId="150" fillId="0" borderId="11" xfId="0" applyNumberFormat="1" applyFont="1" applyFill="1" applyBorder="1" applyProtection="1"/>
    <xf numFmtId="172" fontId="143" fillId="0" borderId="14" xfId="0" applyNumberFormat="1" applyFont="1" applyFill="1" applyBorder="1" applyAlignment="1" applyProtection="1">
      <alignment horizontal="right"/>
    </xf>
    <xf numFmtId="172" fontId="142" fillId="0" borderId="13" xfId="0" applyNumberFormat="1" applyFont="1" applyFill="1" applyBorder="1" applyProtection="1"/>
    <xf numFmtId="172" fontId="148" fillId="0" borderId="0" xfId="0" applyNumberFormat="1" applyFont="1" applyFill="1" applyBorder="1" applyProtection="1"/>
    <xf numFmtId="169" fontId="150" fillId="0" borderId="13" xfId="0" applyNumberFormat="1" applyFont="1" applyFill="1" applyBorder="1" applyProtection="1"/>
    <xf numFmtId="41" fontId="178" fillId="0" borderId="0" xfId="0" applyNumberFormat="1" applyFont="1" applyFill="1" applyBorder="1" applyProtection="1"/>
    <xf numFmtId="169" fontId="150" fillId="0" borderId="0" xfId="0" applyNumberFormat="1" applyFont="1" applyFill="1" applyBorder="1" applyProtection="1"/>
    <xf numFmtId="169" fontId="150" fillId="0" borderId="27" xfId="0" applyNumberFormat="1" applyFont="1" applyFill="1" applyBorder="1" applyProtection="1"/>
    <xf numFmtId="7" fontId="142" fillId="0" borderId="13" xfId="0" applyNumberFormat="1" applyFont="1" applyFill="1" applyBorder="1" applyProtection="1"/>
    <xf numFmtId="41" fontId="148" fillId="0" borderId="0" xfId="0" applyNumberFormat="1" applyFont="1" applyFill="1" applyBorder="1" applyProtection="1"/>
    <xf numFmtId="7" fontId="142" fillId="0" borderId="27" xfId="0" applyNumberFormat="1" applyFont="1" applyFill="1" applyBorder="1" applyProtection="1"/>
    <xf numFmtId="172" fontId="142" fillId="0" borderId="31" xfId="0" applyNumberFormat="1" applyFont="1" applyFill="1" applyBorder="1" applyProtection="1"/>
    <xf numFmtId="172" fontId="142" fillId="0" borderId="15" xfId="0" applyNumberFormat="1" applyFont="1" applyFill="1" applyBorder="1" applyProtection="1"/>
    <xf numFmtId="172" fontId="143" fillId="0" borderId="15" xfId="0" applyNumberFormat="1" applyFont="1" applyFill="1" applyBorder="1" applyAlignment="1" applyProtection="1">
      <alignment horizontal="right"/>
    </xf>
    <xf numFmtId="172" fontId="142" fillId="0" borderId="27" xfId="0" applyNumberFormat="1" applyFont="1" applyFill="1" applyBorder="1" applyProtection="1"/>
    <xf numFmtId="172" fontId="150" fillId="0" borderId="27" xfId="0" applyNumberFormat="1" applyFont="1" applyFill="1" applyBorder="1" applyProtection="1"/>
    <xf numFmtId="7" fontId="150" fillId="0" borderId="13" xfId="0" applyNumberFormat="1" applyFont="1" applyFill="1" applyBorder="1" applyProtection="1"/>
    <xf numFmtId="7" fontId="150" fillId="0" borderId="11" xfId="0" applyNumberFormat="1" applyFont="1" applyFill="1" applyBorder="1" applyProtection="1"/>
    <xf numFmtId="7" fontId="150" fillId="0" borderId="0" xfId="0" applyNumberFormat="1" applyFont="1" applyFill="1" applyBorder="1" applyProtection="1"/>
    <xf numFmtId="172" fontId="143" fillId="0" borderId="16" xfId="0" applyNumberFormat="1" applyFont="1" applyFill="1" applyBorder="1" applyAlignment="1" applyProtection="1">
      <alignment horizontal="right"/>
    </xf>
    <xf numFmtId="172" fontId="143" fillId="0" borderId="27" xfId="0" applyNumberFormat="1" applyFont="1" applyFill="1" applyBorder="1" applyAlignment="1" applyProtection="1">
      <alignment horizontal="right"/>
    </xf>
    <xf numFmtId="167" fontId="141" fillId="0" borderId="18" xfId="0" applyNumberFormat="1" applyFont="1" applyBorder="1"/>
    <xf numFmtId="167" fontId="147" fillId="17" borderId="15" xfId="71" applyNumberFormat="1" applyFont="1" applyFill="1" applyBorder="1"/>
    <xf numFmtId="9" fontId="6" fillId="0" borderId="0" xfId="71" applyNumberFormat="1" applyFont="1" applyFill="1" applyBorder="1" applyProtection="1"/>
    <xf numFmtId="167" fontId="12" fillId="0" borderId="0" xfId="0" applyNumberFormat="1" applyFont="1" applyFill="1" applyBorder="1" applyProtection="1"/>
    <xf numFmtId="4" fontId="12" fillId="0" borderId="0" xfId="0" applyNumberFormat="1" applyFont="1" applyFill="1" applyBorder="1" applyProtection="1"/>
    <xf numFmtId="201" fontId="144" fillId="0" borderId="0" xfId="0" applyNumberFormat="1" applyFont="1" applyFill="1" applyBorder="1" applyAlignment="1" applyProtection="1">
      <alignment horizontal="center"/>
    </xf>
    <xf numFmtId="213" fontId="145" fillId="0" borderId="0" xfId="0" applyFont="1" applyFill="1" applyBorder="1"/>
    <xf numFmtId="167" fontId="142" fillId="0" borderId="0" xfId="0" applyNumberFormat="1" applyFont="1" applyFill="1" applyBorder="1" applyAlignment="1" applyProtection="1"/>
    <xf numFmtId="167" fontId="142" fillId="0" borderId="17" xfId="0" applyNumberFormat="1" applyFont="1" applyFill="1" applyBorder="1"/>
    <xf numFmtId="9" fontId="179" fillId="0" borderId="0" xfId="0" applyNumberFormat="1" applyFont="1" applyFill="1" applyBorder="1"/>
    <xf numFmtId="172" fontId="141" fillId="0" borderId="0" xfId="0" applyNumberFormat="1" applyFont="1" applyFill="1" applyBorder="1"/>
    <xf numFmtId="172" fontId="142" fillId="0" borderId="0" xfId="0" applyNumberFormat="1" applyFont="1" applyFill="1" applyBorder="1"/>
    <xf numFmtId="37" fontId="142" fillId="0" borderId="0" xfId="0" applyNumberFormat="1" applyFont="1" applyFill="1" applyBorder="1"/>
    <xf numFmtId="178" fontId="142" fillId="0" borderId="0" xfId="0" applyNumberFormat="1" applyFont="1" applyFill="1" applyBorder="1"/>
    <xf numFmtId="7" fontId="142" fillId="0" borderId="17" xfId="0" applyNumberFormat="1" applyFont="1" applyFill="1" applyBorder="1" applyAlignment="1">
      <alignment horizontal="right"/>
    </xf>
    <xf numFmtId="7" fontId="6" fillId="0" borderId="15" xfId="0" applyNumberFormat="1" applyFont="1" applyBorder="1" applyAlignment="1">
      <alignment horizontal="right"/>
    </xf>
    <xf numFmtId="7" fontId="180" fillId="0" borderId="11" xfId="0" applyNumberFormat="1" applyFont="1" applyFill="1" applyBorder="1" applyProtection="1"/>
    <xf numFmtId="7" fontId="180" fillId="0" borderId="0" xfId="0" applyNumberFormat="1" applyFont="1" applyFill="1" applyBorder="1" applyProtection="1"/>
    <xf numFmtId="7" fontId="151" fillId="0" borderId="11" xfId="0" applyNumberFormat="1" applyFont="1" applyFill="1" applyBorder="1" applyProtection="1"/>
    <xf numFmtId="7" fontId="151" fillId="0" borderId="0" xfId="0" applyNumberFormat="1" applyFont="1" applyFill="1" applyBorder="1" applyProtection="1"/>
    <xf numFmtId="7" fontId="151" fillId="0" borderId="27" xfId="0" applyNumberFormat="1" applyFont="1" applyFill="1" applyBorder="1" applyProtection="1"/>
    <xf numFmtId="167" fontId="28" fillId="0" borderId="0" xfId="71" applyNumberFormat="1" applyFont="1" applyFill="1" applyBorder="1" applyAlignment="1">
      <alignment horizontal="center"/>
    </xf>
    <xf numFmtId="167" fontId="6" fillId="0" borderId="17" xfId="71" applyNumberFormat="1" applyFont="1" applyFill="1" applyBorder="1"/>
    <xf numFmtId="185" fontId="142" fillId="0" borderId="11" xfId="0" applyNumberFormat="1" applyFont="1" applyFill="1" applyBorder="1" applyAlignment="1">
      <alignment horizontal="center"/>
    </xf>
    <xf numFmtId="185" fontId="142" fillId="0" borderId="0" xfId="0" applyNumberFormat="1" applyFont="1" applyFill="1" applyAlignment="1">
      <alignment horizontal="center"/>
    </xf>
    <xf numFmtId="185" fontId="142" fillId="0" borderId="11" xfId="0" applyNumberFormat="1" applyFont="1" applyFill="1" applyBorder="1" applyAlignment="1" applyProtection="1">
      <alignment horizontal="center"/>
    </xf>
    <xf numFmtId="185" fontId="142" fillId="0" borderId="0" xfId="0" applyNumberFormat="1" applyFont="1" applyFill="1" applyAlignment="1" applyProtection="1">
      <alignment horizontal="center"/>
    </xf>
    <xf numFmtId="185" fontId="142" fillId="0" borderId="0" xfId="0" applyNumberFormat="1" applyFont="1" applyFill="1" applyBorder="1" applyAlignment="1">
      <alignment horizontal="center"/>
    </xf>
    <xf numFmtId="172" fontId="142" fillId="0" borderId="11" xfId="0" applyNumberFormat="1" applyFont="1" applyFill="1" applyBorder="1" applyAlignment="1" applyProtection="1">
      <alignment horizontal="right"/>
    </xf>
    <xf numFmtId="172" fontId="142" fillId="0" borderId="0" xfId="0" applyNumberFormat="1" applyFont="1" applyFill="1" applyBorder="1" applyAlignment="1" applyProtection="1">
      <alignment horizontal="right"/>
    </xf>
    <xf numFmtId="172" fontId="142" fillId="0" borderId="11" xfId="38" applyNumberFormat="1" applyFont="1" applyFill="1" applyBorder="1" applyAlignment="1"/>
    <xf numFmtId="172" fontId="142" fillId="0" borderId="0" xfId="38" applyNumberFormat="1" applyFont="1" applyFill="1" applyBorder="1" applyAlignment="1"/>
    <xf numFmtId="172" fontId="142" fillId="0" borderId="11" xfId="75" applyNumberFormat="1" applyFont="1" applyFill="1" applyBorder="1" applyAlignment="1" applyProtection="1">
      <alignment horizontal="right"/>
    </xf>
    <xf numFmtId="172" fontId="142" fillId="0" borderId="27" xfId="0" applyNumberFormat="1" applyFont="1" applyFill="1" applyBorder="1"/>
    <xf numFmtId="172" fontId="142" fillId="0" borderId="11" xfId="34" applyNumberFormat="1" applyFont="1" applyFill="1" applyBorder="1" applyAlignment="1" applyProtection="1">
      <alignment horizontal="right"/>
    </xf>
    <xf numFmtId="172" fontId="142" fillId="0" borderId="11" xfId="0" applyNumberFormat="1" applyFont="1" applyFill="1" applyBorder="1" applyAlignment="1">
      <alignment horizontal="right"/>
    </xf>
    <xf numFmtId="172" fontId="142" fillId="0" borderId="0" xfId="0" applyNumberFormat="1" applyFont="1" applyFill="1" applyBorder="1" applyAlignment="1">
      <alignment horizontal="right"/>
    </xf>
    <xf numFmtId="172" fontId="142" fillId="0" borderId="13" xfId="0" applyNumberFormat="1" applyFont="1" applyFill="1" applyBorder="1" applyAlignment="1">
      <alignment horizontal="right"/>
    </xf>
    <xf numFmtId="172" fontId="142" fillId="0" borderId="13" xfId="34" applyNumberFormat="1" applyFont="1" applyFill="1" applyBorder="1" applyAlignment="1" applyProtection="1">
      <alignment horizontal="right"/>
    </xf>
    <xf numFmtId="7" fontId="142" fillId="0" borderId="18" xfId="0" applyNumberFormat="1" applyFont="1" applyFill="1" applyBorder="1" applyAlignment="1">
      <alignment horizontal="right"/>
    </xf>
    <xf numFmtId="7" fontId="142" fillId="0" borderId="13" xfId="40" applyNumberFormat="1" applyFont="1" applyFill="1" applyBorder="1" applyAlignment="1">
      <alignment horizontal="right"/>
    </xf>
    <xf numFmtId="37" fontId="142" fillId="0" borderId="0" xfId="0" applyNumberFormat="1" applyFont="1" applyFill="1" applyBorder="1" applyAlignment="1">
      <alignment horizontal="right"/>
    </xf>
    <xf numFmtId="37" fontId="142" fillId="0" borderId="11" xfId="0" applyNumberFormat="1" applyFont="1" applyFill="1" applyBorder="1" applyAlignment="1">
      <alignment horizontal="right"/>
    </xf>
    <xf numFmtId="167" fontId="142" fillId="0" borderId="13" xfId="71" applyNumberFormat="1" applyFont="1" applyFill="1" applyBorder="1" applyAlignment="1">
      <alignment horizontal="right"/>
    </xf>
    <xf numFmtId="167" fontId="142" fillId="0" borderId="0" xfId="71" applyNumberFormat="1" applyFont="1" applyFill="1" applyBorder="1" applyAlignment="1">
      <alignment horizontal="right"/>
    </xf>
    <xf numFmtId="167" fontId="142" fillId="0" borderId="11" xfId="71" applyNumberFormat="1" applyFont="1" applyFill="1" applyBorder="1" applyAlignment="1">
      <alignment horizontal="right"/>
    </xf>
    <xf numFmtId="9" fontId="142" fillId="0" borderId="13" xfId="71" applyNumberFormat="1" applyFont="1" applyFill="1" applyBorder="1" applyAlignment="1">
      <alignment horizontal="right"/>
    </xf>
    <xf numFmtId="9" fontId="142" fillId="0" borderId="0" xfId="71" applyNumberFormat="1" applyFont="1" applyFill="1" applyBorder="1" applyAlignment="1">
      <alignment horizontal="right"/>
    </xf>
    <xf numFmtId="9" fontId="142" fillId="0" borderId="11" xfId="71" applyNumberFormat="1" applyFont="1" applyFill="1" applyBorder="1" applyAlignment="1">
      <alignment horizontal="right"/>
    </xf>
    <xf numFmtId="37" fontId="142" fillId="0" borderId="13" xfId="0" applyNumberFormat="1" applyFont="1" applyFill="1" applyBorder="1" applyAlignment="1">
      <alignment horizontal="right"/>
    </xf>
    <xf numFmtId="0" fontId="5" fillId="0" borderId="0" xfId="52"/>
    <xf numFmtId="0" fontId="5" fillId="0" borderId="0" xfId="52" applyFont="1"/>
    <xf numFmtId="9" fontId="150" fillId="0" borderId="0" xfId="0" applyNumberFormat="1" applyFont="1" applyFill="1" applyBorder="1"/>
    <xf numFmtId="9" fontId="179" fillId="0" borderId="11" xfId="0" applyNumberFormat="1" applyFont="1" applyFill="1" applyBorder="1"/>
    <xf numFmtId="172" fontId="151" fillId="0" borderId="0" xfId="0" applyNumberFormat="1" applyFont="1" applyFill="1" applyBorder="1"/>
    <xf numFmtId="9" fontId="123" fillId="0" borderId="11" xfId="0" applyNumberFormat="1" applyFont="1" applyFill="1" applyBorder="1"/>
    <xf numFmtId="9" fontId="102" fillId="0" borderId="0" xfId="0" applyNumberFormat="1" applyFont="1" applyFill="1" applyBorder="1"/>
    <xf numFmtId="9" fontId="102" fillId="0" borderId="13" xfId="71" applyNumberFormat="1" applyFont="1" applyFill="1" applyBorder="1"/>
    <xf numFmtId="9" fontId="122" fillId="0" borderId="11" xfId="0" applyNumberFormat="1" applyFont="1" applyFill="1" applyBorder="1"/>
    <xf numFmtId="9" fontId="122" fillId="0" borderId="0" xfId="0" applyNumberFormat="1" applyFont="1" applyFill="1" applyBorder="1"/>
    <xf numFmtId="9" fontId="6" fillId="0" borderId="13" xfId="71" applyNumberFormat="1" applyFont="1" applyFill="1" applyBorder="1"/>
    <xf numFmtId="37" fontId="6" fillId="0" borderId="68" xfId="66" applyNumberFormat="1" applyFont="1" applyFill="1" applyBorder="1" applyAlignment="1">
      <alignment horizontal="left" indent="3"/>
    </xf>
    <xf numFmtId="213" fontId="34" fillId="0" borderId="68" xfId="0" applyFont="1" applyFill="1" applyBorder="1"/>
    <xf numFmtId="1" fontId="34" fillId="0" borderId="68" xfId="0" applyNumberFormat="1" applyFont="1" applyFill="1" applyBorder="1"/>
    <xf numFmtId="166" fontId="11" fillId="0" borderId="68" xfId="0" applyNumberFormat="1" applyFont="1" applyFill="1" applyBorder="1"/>
    <xf numFmtId="37" fontId="37" fillId="22" borderId="68" xfId="0" applyNumberFormat="1" applyFont="1" applyFill="1" applyBorder="1"/>
    <xf numFmtId="9" fontId="122" fillId="0" borderId="68" xfId="0" applyNumberFormat="1" applyFont="1" applyFill="1" applyBorder="1"/>
    <xf numFmtId="167" fontId="6" fillId="0" borderId="68" xfId="71" applyNumberFormat="1" applyFont="1" applyFill="1" applyBorder="1"/>
    <xf numFmtId="1" fontId="6" fillId="0" borderId="11" xfId="38" applyNumberFormat="1" applyFont="1" applyFill="1" applyBorder="1"/>
    <xf numFmtId="167" fontId="11" fillId="29" borderId="68" xfId="71" applyNumberFormat="1" applyFont="1" applyFill="1" applyBorder="1"/>
    <xf numFmtId="167" fontId="11" fillId="29" borderId="17" xfId="71" applyNumberFormat="1" applyFont="1" applyFill="1" applyBorder="1"/>
    <xf numFmtId="167" fontId="11" fillId="29" borderId="18" xfId="71" applyNumberFormat="1" applyFont="1" applyFill="1" applyBorder="1"/>
    <xf numFmtId="43" fontId="0" fillId="0" borderId="0" xfId="38" applyFont="1"/>
    <xf numFmtId="192" fontId="5" fillId="32" borderId="69" xfId="40" applyNumberFormat="1" applyFont="1" applyFill="1" applyBorder="1" applyAlignment="1">
      <alignment horizontal="right" vertical="center"/>
    </xf>
    <xf numFmtId="213" fontId="5" fillId="32" borderId="69" xfId="0" applyFont="1" applyFill="1" applyBorder="1" applyAlignment="1">
      <alignment horizontal="center" vertical="center"/>
    </xf>
    <xf numFmtId="192" fontId="5" fillId="0" borderId="0" xfId="40" applyNumberFormat="1" applyFont="1" applyFill="1" applyBorder="1" applyAlignment="1">
      <alignment horizontal="right" vertical="center"/>
    </xf>
    <xf numFmtId="213" fontId="5" fillId="0" borderId="0" xfId="0" applyFont="1" applyFill="1" applyBorder="1" applyAlignment="1">
      <alignment horizontal="center" vertical="center"/>
    </xf>
    <xf numFmtId="192" fontId="5" fillId="32" borderId="0" xfId="40" applyNumberFormat="1" applyFont="1" applyFill="1" applyBorder="1" applyAlignment="1">
      <alignment horizontal="right" vertical="center"/>
    </xf>
    <xf numFmtId="213" fontId="5" fillId="32" borderId="0" xfId="0" applyFont="1" applyFill="1" applyBorder="1" applyAlignment="1">
      <alignment horizontal="center" vertical="center"/>
    </xf>
    <xf numFmtId="192" fontId="5" fillId="26" borderId="0" xfId="40" applyNumberFormat="1" applyFont="1" applyFill="1" applyBorder="1" applyAlignment="1">
      <alignment horizontal="right" vertical="center"/>
    </xf>
    <xf numFmtId="213" fontId="5" fillId="26" borderId="0" xfId="0" applyFont="1" applyFill="1" applyBorder="1" applyAlignment="1">
      <alignment horizontal="center" vertical="center"/>
    </xf>
    <xf numFmtId="213" fontId="39" fillId="21" borderId="0" xfId="0" applyFont="1" applyFill="1" applyAlignment="1">
      <alignment horizontal="center" wrapText="1"/>
    </xf>
    <xf numFmtId="179" fontId="6" fillId="0" borderId="0" xfId="38" applyNumberFormat="1" applyFont="1" applyFill="1" applyBorder="1" applyAlignment="1">
      <alignment horizontal="right"/>
    </xf>
    <xf numFmtId="179" fontId="12" fillId="0" borderId="0" xfId="38" applyNumberFormat="1" applyFont="1" applyFill="1" applyBorder="1" applyAlignment="1">
      <alignment horizontal="right"/>
    </xf>
    <xf numFmtId="179" fontId="6" fillId="0" borderId="11" xfId="0" applyNumberFormat="1" applyFont="1" applyFill="1" applyBorder="1"/>
    <xf numFmtId="179" fontId="6" fillId="0" borderId="0" xfId="0" applyNumberFormat="1" applyFont="1" applyFill="1" applyBorder="1"/>
    <xf numFmtId="3" fontId="6" fillId="0" borderId="13" xfId="0" applyNumberFormat="1" applyFont="1" applyFill="1" applyBorder="1"/>
    <xf numFmtId="3" fontId="12" fillId="0" borderId="13" xfId="0" applyNumberFormat="1" applyFont="1" applyFill="1" applyBorder="1"/>
    <xf numFmtId="9" fontId="12" fillId="0" borderId="0" xfId="71" applyFont="1" applyFill="1" applyBorder="1"/>
    <xf numFmtId="3" fontId="6" fillId="0" borderId="0" xfId="0" applyNumberFormat="1" applyFont="1" applyFill="1" applyBorder="1"/>
    <xf numFmtId="9" fontId="11" fillId="0" borderId="11" xfId="71" applyFont="1" applyFill="1" applyBorder="1"/>
    <xf numFmtId="9" fontId="11" fillId="0" borderId="13" xfId="71" applyFont="1" applyFill="1" applyBorder="1"/>
    <xf numFmtId="9" fontId="179" fillId="0" borderId="0" xfId="71" applyFont="1" applyFill="1" applyBorder="1"/>
    <xf numFmtId="9" fontId="179" fillId="0" borderId="11" xfId="71" applyFont="1" applyFill="1" applyBorder="1"/>
    <xf numFmtId="168" fontId="12" fillId="18" borderId="28" xfId="66" applyNumberFormat="1" applyFont="1" applyFill="1" applyBorder="1"/>
    <xf numFmtId="168" fontId="12" fillId="18" borderId="12" xfId="0" applyNumberFormat="1" applyFont="1" applyFill="1" applyBorder="1"/>
    <xf numFmtId="168" fontId="12" fillId="18" borderId="28" xfId="0" applyNumberFormat="1" applyFont="1" applyFill="1" applyBorder="1"/>
    <xf numFmtId="168" fontId="12" fillId="18" borderId="70" xfId="0" applyNumberFormat="1" applyFont="1" applyFill="1" applyBorder="1"/>
    <xf numFmtId="168" fontId="12" fillId="18" borderId="71" xfId="0" applyNumberFormat="1" applyFont="1" applyFill="1" applyBorder="1"/>
    <xf numFmtId="168" fontId="12" fillId="18" borderId="30" xfId="0" applyNumberFormat="1" applyFont="1" applyFill="1" applyBorder="1"/>
    <xf numFmtId="168" fontId="12" fillId="18" borderId="19" xfId="0" applyNumberFormat="1" applyFont="1" applyFill="1" applyBorder="1"/>
    <xf numFmtId="168" fontId="12" fillId="18" borderId="66" xfId="0" applyNumberFormat="1" applyFont="1" applyFill="1" applyBorder="1"/>
    <xf numFmtId="168" fontId="12" fillId="18" borderId="68" xfId="0" applyNumberFormat="1" applyFont="1" applyFill="1" applyBorder="1"/>
    <xf numFmtId="168" fontId="12" fillId="18" borderId="72" xfId="0" applyNumberFormat="1" applyFont="1" applyFill="1" applyBorder="1"/>
    <xf numFmtId="168" fontId="12" fillId="18" borderId="73" xfId="0" applyNumberFormat="1" applyFont="1" applyFill="1" applyBorder="1"/>
    <xf numFmtId="168" fontId="12" fillId="18" borderId="17" xfId="0" applyNumberFormat="1" applyFont="1" applyFill="1" applyBorder="1"/>
    <xf numFmtId="168" fontId="12" fillId="18" borderId="18" xfId="0" applyNumberFormat="1" applyFont="1" applyFill="1" applyBorder="1"/>
    <xf numFmtId="168" fontId="12" fillId="18" borderId="26" xfId="0" applyNumberFormat="1" applyFont="1" applyFill="1" applyBorder="1"/>
    <xf numFmtId="168" fontId="11" fillId="18" borderId="68" xfId="66" applyNumberFormat="1" applyFont="1" applyFill="1" applyBorder="1" applyAlignment="1">
      <alignment horizontal="left" indent="1"/>
    </xf>
    <xf numFmtId="9" fontId="11" fillId="18" borderId="20" xfId="71" applyFont="1" applyFill="1" applyBorder="1"/>
    <xf numFmtId="9" fontId="11" fillId="18" borderId="17" xfId="71" applyFont="1" applyFill="1" applyBorder="1"/>
    <xf numFmtId="9" fontId="11" fillId="18" borderId="18" xfId="71" applyFont="1" applyFill="1" applyBorder="1"/>
    <xf numFmtId="172" fontId="142" fillId="0" borderId="28" xfId="0" applyNumberFormat="1" applyFont="1" applyFill="1" applyBorder="1"/>
    <xf numFmtId="172" fontId="142" fillId="0" borderId="12" xfId="0" applyNumberFormat="1" applyFont="1" applyFill="1" applyBorder="1"/>
    <xf numFmtId="9" fontId="34" fillId="22" borderId="13" xfId="71" applyFont="1" applyFill="1" applyBorder="1"/>
    <xf numFmtId="172" fontId="11" fillId="0" borderId="11" xfId="66" applyNumberFormat="1" applyFont="1" applyFill="1" applyBorder="1" applyAlignment="1">
      <alignment horizontal="left" indent="2"/>
    </xf>
    <xf numFmtId="167" fontId="34" fillId="0" borderId="11" xfId="0" applyNumberFormat="1" applyFont="1" applyFill="1" applyBorder="1"/>
    <xf numFmtId="172" fontId="169" fillId="0" borderId="19" xfId="0" applyNumberFormat="1" applyFont="1" applyFill="1" applyBorder="1"/>
    <xf numFmtId="172" fontId="122" fillId="0" borderId="19" xfId="0" applyNumberFormat="1" applyFont="1" applyFill="1" applyBorder="1"/>
    <xf numFmtId="172" fontId="12" fillId="0" borderId="11" xfId="66" applyNumberFormat="1" applyFont="1" applyFill="1" applyBorder="1" applyAlignment="1">
      <alignment horizontal="left"/>
    </xf>
    <xf numFmtId="176" fontId="142" fillId="0" borderId="11" xfId="38" applyNumberFormat="1" applyFont="1" applyFill="1" applyBorder="1"/>
    <xf numFmtId="176" fontId="142" fillId="0" borderId="0" xfId="38" applyNumberFormat="1" applyFont="1" applyFill="1" applyBorder="1"/>
    <xf numFmtId="167" fontId="141" fillId="0" borderId="0" xfId="0" applyNumberFormat="1" applyFont="1" applyFill="1" applyBorder="1"/>
    <xf numFmtId="9" fontId="6" fillId="20" borderId="0" xfId="71" applyFont="1" applyFill="1" applyBorder="1" applyAlignment="1">
      <alignment horizontal="center"/>
    </xf>
    <xf numFmtId="0" fontId="12" fillId="18" borderId="15" xfId="52" applyFont="1" applyFill="1" applyBorder="1"/>
    <xf numFmtId="213" fontId="144" fillId="30" borderId="64" xfId="0" applyFont="1" applyFill="1" applyBorder="1" applyAlignment="1" applyProtection="1">
      <protection locked="0"/>
    </xf>
    <xf numFmtId="213" fontId="6" fillId="0" borderId="13" xfId="0" applyFont="1" applyFill="1" applyBorder="1" applyAlignment="1" applyProtection="1">
      <protection locked="0"/>
    </xf>
    <xf numFmtId="213" fontId="12" fillId="0" borderId="13" xfId="0" applyFont="1" applyFill="1" applyBorder="1" applyAlignment="1" applyProtection="1">
      <protection locked="0"/>
    </xf>
    <xf numFmtId="213" fontId="11" fillId="0" borderId="13" xfId="0" applyFont="1" applyFill="1" applyBorder="1" applyAlignment="1" applyProtection="1">
      <protection locked="0"/>
    </xf>
    <xf numFmtId="213" fontId="6" fillId="0" borderId="75" xfId="0" applyFont="1" applyFill="1" applyBorder="1" applyAlignment="1" applyProtection="1">
      <protection locked="0"/>
    </xf>
    <xf numFmtId="176" fontId="147" fillId="30" borderId="0" xfId="38" applyNumberFormat="1" applyFont="1" applyFill="1" applyBorder="1" applyAlignment="1" applyProtection="1">
      <alignment horizontal="right"/>
    </xf>
    <xf numFmtId="176" fontId="147" fillId="30" borderId="0" xfId="38" applyNumberFormat="1" applyFont="1" applyFill="1" applyBorder="1" applyProtection="1"/>
    <xf numFmtId="172" fontId="146" fillId="0" borderId="76" xfId="38" applyNumberFormat="1" applyFont="1" applyFill="1" applyBorder="1" applyAlignment="1" applyProtection="1">
      <alignment horizontal="right"/>
      <protection locked="0"/>
    </xf>
    <xf numFmtId="172" fontId="146" fillId="0" borderId="65" xfId="38" applyNumberFormat="1" applyFont="1" applyFill="1" applyBorder="1" applyAlignment="1" applyProtection="1">
      <alignment horizontal="right"/>
    </xf>
    <xf numFmtId="172" fontId="146" fillId="0" borderId="64" xfId="38" applyNumberFormat="1" applyFont="1" applyFill="1" applyBorder="1" applyProtection="1"/>
    <xf numFmtId="188" fontId="6" fillId="0" borderId="0" xfId="38" applyNumberFormat="1" applyFont="1" applyFill="1" applyBorder="1" applyProtection="1"/>
    <xf numFmtId="172" fontId="146" fillId="0" borderId="0" xfId="38" applyNumberFormat="1" applyFont="1" applyFill="1" applyBorder="1" applyAlignment="1" applyProtection="1">
      <alignment horizontal="right"/>
    </xf>
    <xf numFmtId="172" fontId="146" fillId="0" borderId="77" xfId="38" applyNumberFormat="1" applyFont="1" applyFill="1" applyBorder="1" applyProtection="1"/>
    <xf numFmtId="167" fontId="146" fillId="0" borderId="76" xfId="71" applyNumberFormat="1" applyFont="1" applyFill="1" applyBorder="1" applyAlignment="1" applyProtection="1">
      <alignment horizontal="right"/>
      <protection locked="0"/>
    </xf>
    <xf numFmtId="167" fontId="146" fillId="0" borderId="0" xfId="71" applyNumberFormat="1" applyFont="1" applyFill="1" applyBorder="1" applyAlignment="1" applyProtection="1">
      <alignment horizontal="right"/>
    </xf>
    <xf numFmtId="167" fontId="146" fillId="0" borderId="77" xfId="71" applyNumberFormat="1" applyFont="1" applyFill="1" applyBorder="1" applyProtection="1"/>
    <xf numFmtId="172" fontId="6" fillId="0" borderId="76" xfId="38" applyNumberFormat="1" applyFont="1" applyFill="1" applyBorder="1" applyAlignment="1" applyProtection="1">
      <alignment horizontal="right"/>
      <protection locked="0"/>
    </xf>
    <xf numFmtId="172" fontId="6" fillId="0" borderId="77" xfId="71" applyNumberFormat="1" applyFont="1" applyFill="1" applyBorder="1" applyProtection="1"/>
    <xf numFmtId="172" fontId="12" fillId="0" borderId="76" xfId="38" applyNumberFormat="1" applyFont="1" applyFill="1" applyBorder="1" applyAlignment="1" applyProtection="1">
      <alignment horizontal="right"/>
      <protection locked="0"/>
    </xf>
    <xf numFmtId="172" fontId="12" fillId="0" borderId="0" xfId="71" applyNumberFormat="1" applyFont="1" applyFill="1" applyBorder="1" applyAlignment="1" applyProtection="1">
      <alignment horizontal="right"/>
    </xf>
    <xf numFmtId="172" fontId="12" fillId="0" borderId="77" xfId="71" applyNumberFormat="1" applyFont="1" applyFill="1" applyBorder="1" applyProtection="1"/>
    <xf numFmtId="167" fontId="12" fillId="0" borderId="0" xfId="71" applyNumberFormat="1" applyFont="1" applyFill="1" applyBorder="1" applyProtection="1"/>
    <xf numFmtId="167" fontId="12" fillId="0" borderId="76" xfId="71" applyNumberFormat="1" applyFont="1" applyFill="1" applyBorder="1" applyAlignment="1" applyProtection="1">
      <alignment horizontal="right"/>
      <protection locked="0"/>
    </xf>
    <xf numFmtId="167" fontId="12" fillId="0" borderId="0" xfId="71" applyNumberFormat="1" applyFont="1" applyFill="1" applyBorder="1" applyAlignment="1" applyProtection="1">
      <alignment horizontal="right"/>
    </xf>
    <xf numFmtId="167" fontId="12" fillId="0" borderId="77" xfId="71" applyNumberFormat="1" applyFont="1" applyFill="1" applyBorder="1" applyProtection="1"/>
    <xf numFmtId="9" fontId="12" fillId="0" borderId="0" xfId="71" applyFont="1" applyFill="1" applyBorder="1" applyProtection="1"/>
    <xf numFmtId="9" fontId="6" fillId="0" borderId="76" xfId="71" applyFont="1" applyFill="1" applyBorder="1" applyAlignment="1" applyProtection="1">
      <alignment horizontal="right"/>
    </xf>
    <xf numFmtId="9" fontId="6" fillId="0" borderId="0" xfId="71" applyFont="1" applyFill="1" applyBorder="1" applyAlignment="1" applyProtection="1">
      <alignment horizontal="right"/>
    </xf>
    <xf numFmtId="9" fontId="6" fillId="0" borderId="77" xfId="71" applyFont="1" applyFill="1" applyBorder="1" applyProtection="1"/>
    <xf numFmtId="9" fontId="146" fillId="0" borderId="76" xfId="71" applyFont="1" applyFill="1" applyBorder="1" applyAlignment="1" applyProtection="1">
      <alignment horizontal="right"/>
    </xf>
    <xf numFmtId="9" fontId="146" fillId="0" borderId="0" xfId="71" applyFont="1" applyFill="1" applyBorder="1" applyAlignment="1" applyProtection="1">
      <alignment horizontal="right"/>
    </xf>
    <xf numFmtId="176" fontId="6" fillId="0" borderId="76" xfId="38" applyNumberFormat="1" applyFont="1" applyFill="1" applyBorder="1" applyAlignment="1" applyProtection="1">
      <alignment horizontal="right"/>
      <protection locked="0"/>
    </xf>
    <xf numFmtId="176" fontId="6" fillId="0" borderId="0" xfId="38" applyNumberFormat="1" applyFont="1" applyFill="1" applyBorder="1" applyAlignment="1" applyProtection="1">
      <alignment horizontal="right"/>
    </xf>
    <xf numFmtId="176" fontId="6" fillId="0" borderId="77" xfId="38" applyNumberFormat="1" applyFont="1" applyFill="1" applyBorder="1" applyProtection="1"/>
    <xf numFmtId="179" fontId="6" fillId="0" borderId="0" xfId="71" applyNumberFormat="1" applyFont="1" applyFill="1" applyBorder="1" applyProtection="1"/>
    <xf numFmtId="176" fontId="12" fillId="0" borderId="76" xfId="38" applyNumberFormat="1" applyFont="1" applyFill="1" applyBorder="1" applyAlignment="1" applyProtection="1">
      <alignment horizontal="right"/>
      <protection locked="0"/>
    </xf>
    <xf numFmtId="176" fontId="12" fillId="0" borderId="0" xfId="38" applyNumberFormat="1" applyFont="1" applyFill="1" applyBorder="1" applyAlignment="1" applyProtection="1">
      <alignment horizontal="right"/>
    </xf>
    <xf numFmtId="176" fontId="12" fillId="0" borderId="77" xfId="38" applyNumberFormat="1" applyFont="1" applyFill="1" applyBorder="1" applyProtection="1"/>
    <xf numFmtId="179" fontId="12" fillId="0" borderId="76" xfId="38" applyNumberFormat="1" applyFont="1" applyFill="1" applyBorder="1" applyAlignment="1" applyProtection="1">
      <alignment horizontal="right"/>
      <protection locked="0"/>
    </xf>
    <xf numFmtId="179" fontId="12" fillId="0" borderId="0" xfId="38" applyNumberFormat="1" applyFont="1" applyFill="1" applyBorder="1" applyAlignment="1" applyProtection="1">
      <alignment horizontal="right"/>
    </xf>
    <xf numFmtId="179" fontId="12" fillId="0" borderId="77" xfId="38" applyNumberFormat="1" applyFont="1" applyFill="1" applyBorder="1" applyProtection="1"/>
    <xf numFmtId="172" fontId="6" fillId="0" borderId="76" xfId="38" applyNumberFormat="1" applyFont="1" applyFill="1" applyBorder="1" applyAlignment="1" applyProtection="1">
      <alignment horizontal="right"/>
    </xf>
    <xf numFmtId="172" fontId="6" fillId="0" borderId="0" xfId="38" applyNumberFormat="1" applyFont="1" applyFill="1" applyBorder="1" applyAlignment="1" applyProtection="1">
      <alignment horizontal="right"/>
    </xf>
    <xf numFmtId="172" fontId="6" fillId="0" borderId="77" xfId="38" applyNumberFormat="1" applyFont="1" applyFill="1" applyBorder="1" applyProtection="1"/>
    <xf numFmtId="172" fontId="6" fillId="0" borderId="0" xfId="38" applyNumberFormat="1" applyFont="1" applyFill="1" applyBorder="1" applyProtection="1"/>
    <xf numFmtId="172" fontId="146" fillId="0" borderId="76" xfId="38" applyNumberFormat="1" applyFont="1" applyFill="1" applyBorder="1" applyAlignment="1" applyProtection="1">
      <alignment horizontal="right"/>
    </xf>
    <xf numFmtId="167" fontId="12" fillId="0" borderId="76" xfId="71" applyNumberFormat="1" applyFont="1" applyFill="1" applyBorder="1" applyAlignment="1" applyProtection="1">
      <alignment horizontal="right"/>
    </xf>
    <xf numFmtId="167" fontId="6" fillId="0" borderId="78" xfId="71" applyNumberFormat="1" applyFont="1" applyFill="1" applyBorder="1" applyAlignment="1" applyProtection="1">
      <alignment horizontal="right"/>
    </xf>
    <xf numFmtId="167" fontId="6" fillId="0" borderId="66" xfId="71" applyNumberFormat="1" applyFont="1" applyFill="1" applyBorder="1" applyAlignment="1" applyProtection="1">
      <alignment horizontal="right"/>
    </xf>
    <xf numFmtId="167" fontId="6" fillId="0" borderId="75" xfId="71" applyNumberFormat="1" applyFont="1" applyFill="1" applyBorder="1" applyProtection="1"/>
    <xf numFmtId="167" fontId="146" fillId="0" borderId="78" xfId="71" applyNumberFormat="1" applyFont="1" applyFill="1" applyBorder="1" applyAlignment="1" applyProtection="1">
      <alignment horizontal="right"/>
    </xf>
    <xf numFmtId="167" fontId="146" fillId="0" borderId="66" xfId="71" applyNumberFormat="1" applyFont="1" applyFill="1" applyBorder="1" applyAlignment="1" applyProtection="1">
      <alignment horizontal="right"/>
    </xf>
    <xf numFmtId="0" fontId="6" fillId="0" borderId="18" xfId="80" applyFont="1" applyFill="1" applyBorder="1">
      <protection locked="0"/>
    </xf>
    <xf numFmtId="212" fontId="15" fillId="0" borderId="0" xfId="38" applyNumberFormat="1" applyFont="1" applyFill="1" applyBorder="1" applyAlignment="1" applyProtection="1">
      <alignment horizontal="right" vertical="center"/>
    </xf>
    <xf numFmtId="183" fontId="33" fillId="0" borderId="0" xfId="0" applyNumberFormat="1" applyFont="1" applyFill="1" applyBorder="1" applyAlignment="1" applyProtection="1">
      <alignment horizontal="center"/>
    </xf>
    <xf numFmtId="167" fontId="22" fillId="0" borderId="0" xfId="0" applyNumberFormat="1" applyFont="1" applyFill="1" applyBorder="1" applyAlignment="1">
      <alignment horizontal="right"/>
    </xf>
    <xf numFmtId="37" fontId="33" fillId="0" borderId="0" xfId="0" applyNumberFormat="1" applyFont="1" applyFill="1" applyBorder="1"/>
    <xf numFmtId="37" fontId="33" fillId="0" borderId="0" xfId="0" applyNumberFormat="1" applyFont="1" applyFill="1" applyBorder="1" applyAlignment="1">
      <alignment horizontal="right"/>
    </xf>
    <xf numFmtId="37" fontId="29" fillId="18" borderId="17" xfId="0" applyNumberFormat="1" applyFont="1" applyFill="1" applyBorder="1" applyAlignment="1" applyProtection="1">
      <alignment horizontal="right" vertical="center"/>
    </xf>
    <xf numFmtId="172" fontId="18" fillId="33" borderId="11" xfId="0" applyNumberFormat="1" applyFont="1" applyFill="1" applyBorder="1" applyAlignment="1" applyProtection="1">
      <alignment horizontal="right" vertical="center"/>
    </xf>
    <xf numFmtId="9" fontId="130" fillId="0" borderId="0" xfId="71" applyFont="1" applyFill="1" applyBorder="1" applyProtection="1"/>
    <xf numFmtId="179" fontId="37" fillId="0" borderId="0" xfId="38" applyNumberFormat="1" applyFont="1" applyFill="1" applyBorder="1"/>
    <xf numFmtId="9" fontId="11" fillId="0" borderId="76" xfId="71" applyFont="1" applyFill="1" applyBorder="1" applyAlignment="1">
      <alignment horizontal="right"/>
    </xf>
    <xf numFmtId="9" fontId="6" fillId="0" borderId="19" xfId="71" applyFont="1" applyFill="1" applyBorder="1"/>
    <xf numFmtId="9" fontId="28" fillId="0" borderId="17" xfId="71" applyFont="1" applyFill="1" applyBorder="1" applyAlignment="1">
      <alignment horizontal="center"/>
    </xf>
    <xf numFmtId="167" fontId="178" fillId="0" borderId="11" xfId="71" applyNumberFormat="1" applyFont="1" applyFill="1" applyBorder="1"/>
    <xf numFmtId="167" fontId="178" fillId="0" borderId="0" xfId="71" applyNumberFormat="1" applyFont="1" applyFill="1" applyBorder="1"/>
    <xf numFmtId="0" fontId="6" fillId="0" borderId="0" xfId="66" applyFont="1" applyFill="1" applyBorder="1" applyAlignment="1">
      <alignment vertical="center"/>
    </xf>
    <xf numFmtId="213" fontId="14" fillId="0" borderId="13" xfId="0" applyFont="1" applyFill="1" applyBorder="1"/>
    <xf numFmtId="213" fontId="14" fillId="0" borderId="27" xfId="0" applyFont="1" applyFill="1" applyBorder="1"/>
    <xf numFmtId="215" fontId="33" fillId="0" borderId="11" xfId="0" applyNumberFormat="1" applyFont="1" applyFill="1" applyBorder="1"/>
    <xf numFmtId="215" fontId="33" fillId="0" borderId="0" xfId="0" applyNumberFormat="1" applyFont="1" applyFill="1" applyBorder="1"/>
    <xf numFmtId="43" fontId="11" fillId="0" borderId="17" xfId="38" applyFont="1" applyFill="1" applyBorder="1"/>
    <xf numFmtId="172" fontId="6" fillId="0" borderId="28" xfId="66" applyNumberFormat="1" applyFont="1" applyFill="1" applyBorder="1" applyAlignment="1">
      <alignment horizontal="left" indent="1"/>
    </xf>
    <xf numFmtId="172" fontId="12" fillId="0" borderId="76" xfId="66" applyNumberFormat="1" applyFont="1" applyFill="1" applyBorder="1" applyAlignment="1">
      <alignment horizontal="left"/>
    </xf>
    <xf numFmtId="172" fontId="34" fillId="0" borderId="76" xfId="0" applyNumberFormat="1" applyFont="1" applyFill="1" applyBorder="1"/>
    <xf numFmtId="172" fontId="34" fillId="0" borderId="77" xfId="0" applyNumberFormat="1" applyFont="1" applyFill="1" applyBorder="1"/>
    <xf numFmtId="167" fontId="34" fillId="0" borderId="76" xfId="0" applyNumberFormat="1" applyFont="1" applyFill="1" applyBorder="1"/>
    <xf numFmtId="167" fontId="34" fillId="0" borderId="77" xfId="0" applyNumberFormat="1" applyFont="1" applyFill="1" applyBorder="1"/>
    <xf numFmtId="167" fontId="6" fillId="0" borderId="76" xfId="0" applyNumberFormat="1" applyFont="1" applyFill="1" applyBorder="1"/>
    <xf numFmtId="167" fontId="6" fillId="0" borderId="77" xfId="0" applyNumberFormat="1" applyFont="1" applyFill="1" applyBorder="1"/>
    <xf numFmtId="176" fontId="142" fillId="0" borderId="76" xfId="38" applyNumberFormat="1" applyFont="1" applyFill="1" applyBorder="1"/>
    <xf numFmtId="176" fontId="6" fillId="0" borderId="77" xfId="38" applyNumberFormat="1" applyFont="1" applyFill="1" applyBorder="1"/>
    <xf numFmtId="172" fontId="6" fillId="0" borderId="76" xfId="66" applyNumberFormat="1" applyFont="1" applyFill="1" applyBorder="1" applyAlignment="1">
      <alignment horizontal="left" indent="3"/>
    </xf>
    <xf numFmtId="172" fontId="6" fillId="0" borderId="76" xfId="66" applyNumberFormat="1" applyFont="1" applyFill="1" applyBorder="1" applyAlignment="1">
      <alignment horizontal="left" indent="1"/>
    </xf>
    <xf numFmtId="172" fontId="37" fillId="0" borderId="76" xfId="0" applyNumberFormat="1" applyFont="1" applyFill="1" applyBorder="1"/>
    <xf numFmtId="172" fontId="14" fillId="0" borderId="76" xfId="0" applyNumberFormat="1" applyFont="1" applyFill="1" applyBorder="1"/>
    <xf numFmtId="172" fontId="6" fillId="0" borderId="77" xfId="0" applyNumberFormat="1" applyFont="1" applyFill="1" applyBorder="1"/>
    <xf numFmtId="172" fontId="6" fillId="0" borderId="76" xfId="0" applyNumberFormat="1" applyFont="1" applyFill="1" applyBorder="1"/>
    <xf numFmtId="172" fontId="6" fillId="0" borderId="78" xfId="66" applyNumberFormat="1" applyFont="1" applyFill="1" applyBorder="1" applyAlignment="1">
      <alignment horizontal="left" indent="3"/>
    </xf>
    <xf numFmtId="172" fontId="34" fillId="0" borderId="66" xfId="0" applyNumberFormat="1" applyFont="1" applyFill="1" applyBorder="1"/>
    <xf numFmtId="172" fontId="34" fillId="0" borderId="78" xfId="0" applyNumberFormat="1" applyFont="1" applyFill="1" applyBorder="1"/>
    <xf numFmtId="172" fontId="34" fillId="0" borderId="75" xfId="0" applyNumberFormat="1" applyFont="1" applyFill="1" applyBorder="1"/>
    <xf numFmtId="167" fontId="34" fillId="0" borderId="78" xfId="0" applyNumberFormat="1" applyFont="1" applyFill="1" applyBorder="1"/>
    <xf numFmtId="167" fontId="34" fillId="0" borderId="66" xfId="0" applyNumberFormat="1" applyFont="1" applyFill="1" applyBorder="1"/>
    <xf numFmtId="167" fontId="34" fillId="0" borderId="75" xfId="0" applyNumberFormat="1" applyFont="1" applyFill="1" applyBorder="1"/>
    <xf numFmtId="167" fontId="6" fillId="0" borderId="78" xfId="0" applyNumberFormat="1" applyFont="1" applyFill="1" applyBorder="1"/>
    <xf numFmtId="167" fontId="6" fillId="0" borderId="66" xfId="0" applyNumberFormat="1" applyFont="1" applyFill="1" applyBorder="1"/>
    <xf numFmtId="167" fontId="6" fillId="0" borderId="75" xfId="0" applyNumberFormat="1" applyFont="1" applyFill="1" applyBorder="1"/>
    <xf numFmtId="172" fontId="6" fillId="0" borderId="66" xfId="0" applyNumberFormat="1" applyFont="1" applyFill="1" applyBorder="1"/>
    <xf numFmtId="167" fontId="14" fillId="0" borderId="13" xfId="71" applyNumberFormat="1" applyFont="1" applyFill="1" applyBorder="1"/>
    <xf numFmtId="167" fontId="6" fillId="0" borderId="27" xfId="0" applyNumberFormat="1" applyFont="1" applyFill="1" applyBorder="1" applyAlignment="1" applyProtection="1"/>
    <xf numFmtId="167" fontId="6" fillId="0" borderId="13" xfId="0" applyNumberFormat="1" applyFont="1" applyFill="1" applyBorder="1" applyAlignment="1" applyProtection="1"/>
    <xf numFmtId="7" fontId="21" fillId="25" borderId="27" xfId="0" applyNumberFormat="1" applyFont="1" applyFill="1" applyBorder="1" applyAlignment="1" applyProtection="1">
      <alignment horizontal="right" vertical="center"/>
    </xf>
    <xf numFmtId="7" fontId="17" fillId="25" borderId="27" xfId="0" applyNumberFormat="1" applyFont="1" applyFill="1" applyBorder="1" applyAlignment="1" applyProtection="1">
      <alignment horizontal="right" vertical="center"/>
    </xf>
    <xf numFmtId="7" fontId="21" fillId="25" borderId="13" xfId="0" applyNumberFormat="1" applyFont="1" applyFill="1" applyBorder="1" applyAlignment="1" applyProtection="1">
      <alignment horizontal="right" vertical="center"/>
    </xf>
    <xf numFmtId="167" fontId="22" fillId="0" borderId="17" xfId="71" applyNumberFormat="1" applyFont="1" applyFill="1" applyBorder="1"/>
    <xf numFmtId="172" fontId="143" fillId="0" borderId="26" xfId="0" applyNumberFormat="1" applyFont="1" applyFill="1" applyBorder="1" applyAlignment="1" applyProtection="1">
      <alignment horizontal="right"/>
    </xf>
    <xf numFmtId="167" fontId="142" fillId="0" borderId="27" xfId="0" applyNumberFormat="1" applyFont="1" applyFill="1" applyBorder="1" applyAlignment="1" applyProtection="1"/>
    <xf numFmtId="44" fontId="6" fillId="0" borderId="13" xfId="40" applyFont="1" applyFill="1" applyBorder="1" applyAlignment="1" applyProtection="1">
      <alignment horizontal="center"/>
    </xf>
    <xf numFmtId="7" fontId="17" fillId="25" borderId="13" xfId="0" applyNumberFormat="1" applyFont="1" applyFill="1" applyBorder="1" applyAlignment="1" applyProtection="1">
      <alignment horizontal="right" vertical="center"/>
    </xf>
    <xf numFmtId="167" fontId="150" fillId="0" borderId="0" xfId="71" applyNumberFormat="1" applyFont="1" applyFill="1" applyBorder="1" applyAlignment="1">
      <alignment horizontal="right"/>
    </xf>
    <xf numFmtId="172" fontId="142" fillId="0" borderId="19" xfId="0" applyNumberFormat="1" applyFont="1" applyFill="1" applyBorder="1"/>
    <xf numFmtId="167" fontId="141" fillId="0" borderId="11" xfId="0" applyNumberFormat="1" applyFont="1" applyFill="1" applyBorder="1"/>
    <xf numFmtId="168" fontId="20" fillId="0" borderId="74" xfId="66" applyNumberFormat="1" applyFont="1" applyFill="1" applyBorder="1"/>
    <xf numFmtId="168" fontId="20" fillId="0" borderId="65" xfId="0" applyNumberFormat="1" applyFont="1" applyFill="1" applyBorder="1"/>
    <xf numFmtId="168" fontId="20" fillId="0" borderId="74" xfId="0" applyNumberFormat="1" applyFont="1" applyFill="1" applyBorder="1"/>
    <xf numFmtId="168" fontId="20" fillId="0" borderId="64" xfId="0" applyNumberFormat="1" applyFont="1" applyFill="1" applyBorder="1"/>
    <xf numFmtId="168" fontId="12" fillId="0" borderId="74" xfId="0" applyNumberFormat="1" applyFont="1" applyFill="1" applyBorder="1"/>
    <xf numFmtId="168" fontId="12" fillId="0" borderId="65" xfId="0" applyNumberFormat="1" applyFont="1" applyFill="1" applyBorder="1"/>
    <xf numFmtId="168" fontId="12" fillId="0" borderId="64" xfId="0" applyNumberFormat="1" applyFont="1" applyFill="1" applyBorder="1"/>
    <xf numFmtId="168" fontId="20" fillId="0" borderId="30" xfId="0" applyNumberFormat="1" applyFont="1" applyFill="1" applyBorder="1"/>
    <xf numFmtId="168" fontId="12" fillId="0" borderId="30" xfId="0" applyNumberFormat="1" applyFont="1" applyFill="1" applyBorder="1"/>
    <xf numFmtId="172" fontId="11" fillId="0" borderId="78" xfId="66" applyNumberFormat="1" applyFont="1" applyFill="1" applyBorder="1" applyAlignment="1">
      <alignment horizontal="left" indent="2"/>
    </xf>
    <xf numFmtId="168" fontId="20" fillId="0" borderId="66" xfId="0" applyNumberFormat="1" applyFont="1" applyFill="1" applyBorder="1"/>
    <xf numFmtId="168" fontId="20" fillId="0" borderId="78" xfId="0" applyNumberFormat="1" applyFont="1" applyFill="1" applyBorder="1"/>
    <xf numFmtId="168" fontId="20" fillId="0" borderId="75" xfId="0" applyNumberFormat="1" applyFont="1" applyFill="1" applyBorder="1"/>
    <xf numFmtId="9" fontId="11" fillId="0" borderId="78" xfId="71" applyNumberFormat="1" applyFont="1" applyFill="1" applyBorder="1"/>
    <xf numFmtId="9" fontId="11" fillId="0" borderId="66" xfId="71" applyNumberFormat="1" applyFont="1" applyFill="1" applyBorder="1"/>
    <xf numFmtId="9" fontId="11" fillId="0" borderId="75" xfId="71" applyNumberFormat="1" applyFont="1" applyFill="1" applyBorder="1"/>
    <xf numFmtId="178" fontId="142" fillId="0" borderId="27" xfId="0" applyNumberFormat="1" applyFont="1" applyFill="1" applyBorder="1"/>
    <xf numFmtId="167" fontId="23" fillId="0" borderId="76" xfId="71" applyNumberFormat="1" applyFont="1" applyFill="1" applyBorder="1" applyAlignment="1"/>
    <xf numFmtId="8" fontId="22" fillId="0" borderId="77" xfId="0" applyNumberFormat="1" applyFont="1" applyFill="1" applyBorder="1" applyAlignment="1"/>
    <xf numFmtId="167" fontId="11" fillId="0" borderId="76" xfId="71" applyNumberFormat="1" applyFont="1" applyFill="1" applyBorder="1" applyAlignment="1"/>
    <xf numFmtId="9" fontId="22" fillId="0" borderId="77" xfId="71" applyFont="1" applyFill="1" applyBorder="1" applyAlignment="1"/>
    <xf numFmtId="9" fontId="11" fillId="0" borderId="76" xfId="71" applyFont="1" applyFill="1" applyBorder="1" applyAlignment="1"/>
    <xf numFmtId="9" fontId="22" fillId="0" borderId="77" xfId="75" applyFont="1" applyFill="1" applyBorder="1" applyAlignment="1"/>
    <xf numFmtId="9" fontId="11" fillId="0" borderId="76" xfId="75" applyFont="1" applyFill="1" applyBorder="1" applyAlignment="1"/>
    <xf numFmtId="8" fontId="22" fillId="0" borderId="76" xfId="0" applyNumberFormat="1" applyFont="1" applyFill="1" applyBorder="1" applyAlignment="1"/>
    <xf numFmtId="9" fontId="22" fillId="0" borderId="76" xfId="71" applyFont="1" applyFill="1" applyBorder="1" applyAlignment="1"/>
    <xf numFmtId="167" fontId="11" fillId="0" borderId="76" xfId="75" applyNumberFormat="1" applyFont="1" applyFill="1" applyBorder="1" applyAlignment="1"/>
    <xf numFmtId="9" fontId="22" fillId="0" borderId="76" xfId="75" applyFont="1" applyFill="1" applyBorder="1" applyAlignment="1"/>
    <xf numFmtId="167" fontId="11" fillId="0" borderId="76" xfId="75" applyNumberFormat="1" applyFont="1" applyFill="1" applyBorder="1" applyAlignment="1">
      <alignment horizontal="right"/>
    </xf>
    <xf numFmtId="0" fontId="6" fillId="0" borderId="76" xfId="66" applyFont="1" applyFill="1" applyBorder="1" applyAlignment="1">
      <alignment horizontal="left" indent="2"/>
    </xf>
    <xf numFmtId="9" fontId="23" fillId="0" borderId="76" xfId="71" applyFont="1" applyFill="1" applyBorder="1" applyAlignment="1">
      <alignment horizontal="right"/>
    </xf>
    <xf numFmtId="9" fontId="23" fillId="0" borderId="77" xfId="71" applyFont="1" applyFill="1" applyBorder="1" applyAlignment="1">
      <alignment horizontal="right"/>
    </xf>
    <xf numFmtId="9" fontId="11" fillId="0" borderId="77" xfId="71" applyFont="1" applyFill="1" applyBorder="1" applyAlignment="1">
      <alignment horizontal="right"/>
    </xf>
    <xf numFmtId="9" fontId="11" fillId="0" borderId="77" xfId="75" applyFont="1" applyFill="1" applyBorder="1" applyAlignment="1">
      <alignment horizontal="right"/>
    </xf>
    <xf numFmtId="9" fontId="11" fillId="0" borderId="76" xfId="75" applyFont="1" applyFill="1" applyBorder="1" applyAlignment="1">
      <alignment horizontal="right"/>
    </xf>
    <xf numFmtId="0" fontId="6" fillId="0" borderId="76" xfId="66" applyFont="1" applyFill="1" applyBorder="1" applyAlignment="1">
      <alignment horizontal="left" indent="1"/>
    </xf>
    <xf numFmtId="0" fontId="22" fillId="0" borderId="11" xfId="66" applyFont="1" applyFill="1" applyBorder="1"/>
    <xf numFmtId="213" fontId="22" fillId="0" borderId="0" xfId="0" applyFont="1" applyFill="1" applyBorder="1"/>
    <xf numFmtId="9" fontId="22" fillId="34" borderId="11" xfId="75" applyFont="1" applyFill="1" applyBorder="1" applyAlignment="1">
      <alignment horizontal="right"/>
    </xf>
    <xf numFmtId="9" fontId="22" fillId="34" borderId="0" xfId="75" applyFont="1" applyFill="1" applyBorder="1" applyAlignment="1">
      <alignment horizontal="right"/>
    </xf>
    <xf numFmtId="9" fontId="22" fillId="34" borderId="27" xfId="75" applyFont="1" applyFill="1" applyBorder="1" applyAlignment="1">
      <alignment horizontal="right"/>
    </xf>
    <xf numFmtId="9" fontId="22" fillId="34" borderId="13" xfId="75" applyFont="1" applyFill="1" applyBorder="1" applyAlignment="1">
      <alignment horizontal="right"/>
    </xf>
    <xf numFmtId="9" fontId="6" fillId="0" borderId="0" xfId="38" applyNumberFormat="1" applyFont="1"/>
    <xf numFmtId="167" fontId="185" fillId="0" borderId="13" xfId="71" applyNumberFormat="1" applyFont="1" applyFill="1" applyBorder="1"/>
    <xf numFmtId="206" fontId="118" fillId="0" borderId="11" xfId="71" applyNumberFormat="1" applyFont="1" applyFill="1" applyBorder="1"/>
    <xf numFmtId="179" fontId="11" fillId="0" borderId="0" xfId="38" applyNumberFormat="1" applyFont="1" applyFill="1" applyBorder="1" applyAlignment="1">
      <alignment horizontal="right"/>
    </xf>
    <xf numFmtId="3" fontId="141" fillId="0" borderId="0" xfId="0" applyNumberFormat="1" applyFont="1" applyBorder="1"/>
    <xf numFmtId="172" fontId="148" fillId="0" borderId="11" xfId="0" applyNumberFormat="1" applyFont="1" applyFill="1" applyBorder="1"/>
    <xf numFmtId="172" fontId="148" fillId="0" borderId="0" xfId="0" applyNumberFormat="1" applyFont="1" applyFill="1" applyBorder="1"/>
    <xf numFmtId="245" fontId="15" fillId="0" borderId="0" xfId="38" applyNumberFormat="1" applyFont="1" applyFill="1" applyBorder="1" applyAlignment="1" applyProtection="1">
      <alignment horizontal="right" vertical="center"/>
    </xf>
    <xf numFmtId="169" fontId="91" fillId="0" borderId="77" xfId="0" applyNumberFormat="1" applyFont="1" applyFill="1" applyBorder="1" applyProtection="1"/>
    <xf numFmtId="172" fontId="6" fillId="0" borderId="79" xfId="0" applyNumberFormat="1" applyFont="1" applyBorder="1"/>
    <xf numFmtId="213" fontId="6" fillId="0" borderId="65" xfId="0" applyFont="1" applyBorder="1"/>
    <xf numFmtId="182" fontId="172" fillId="0" borderId="80" xfId="0" applyNumberFormat="1" applyFont="1" applyBorder="1"/>
    <xf numFmtId="213" fontId="172" fillId="0" borderId="65" xfId="0" applyFont="1" applyBorder="1"/>
    <xf numFmtId="7" fontId="6" fillId="0" borderId="67" xfId="0" applyNumberFormat="1" applyFont="1" applyBorder="1"/>
    <xf numFmtId="172" fontId="6" fillId="0" borderId="80" xfId="0" applyNumberFormat="1" applyFont="1" applyBorder="1"/>
    <xf numFmtId="172" fontId="6" fillId="0" borderId="65" xfId="0" applyNumberFormat="1" applyFont="1" applyBorder="1"/>
    <xf numFmtId="10" fontId="6" fillId="0" borderId="80" xfId="0" applyNumberFormat="1" applyFont="1" applyBorder="1"/>
    <xf numFmtId="172" fontId="180" fillId="0" borderId="11" xfId="0" applyNumberFormat="1" applyFont="1" applyFill="1" applyBorder="1" applyAlignment="1">
      <alignment horizontal="right"/>
    </xf>
    <xf numFmtId="176" fontId="173" fillId="0" borderId="11" xfId="38" applyNumberFormat="1" applyFont="1" applyFill="1" applyBorder="1" applyAlignment="1" applyProtection="1">
      <alignment horizontal="right" vertical="center"/>
    </xf>
    <xf numFmtId="37" fontId="142" fillId="0" borderId="11" xfId="0" applyNumberFormat="1" applyFont="1" applyFill="1" applyBorder="1"/>
    <xf numFmtId="167" fontId="142" fillId="0" borderId="18" xfId="0" applyNumberFormat="1" applyFont="1" applyFill="1" applyBorder="1"/>
    <xf numFmtId="172" fontId="142" fillId="0" borderId="14" xfId="0" applyNumberFormat="1" applyFont="1" applyFill="1" applyBorder="1"/>
    <xf numFmtId="172" fontId="142" fillId="0" borderId="15" xfId="0" applyNumberFormat="1" applyFont="1" applyFill="1" applyBorder="1"/>
    <xf numFmtId="172" fontId="141" fillId="0" borderId="15" xfId="0" applyNumberFormat="1" applyFont="1" applyFill="1" applyBorder="1"/>
    <xf numFmtId="168" fontId="142" fillId="0" borderId="11" xfId="0" applyNumberFormat="1" applyFont="1" applyFill="1" applyBorder="1"/>
    <xf numFmtId="172" fontId="12" fillId="25" borderId="11" xfId="0" applyNumberFormat="1" applyFont="1" applyFill="1" applyBorder="1"/>
    <xf numFmtId="172" fontId="12" fillId="25" borderId="0" xfId="0" applyNumberFormat="1" applyFont="1" applyFill="1" applyBorder="1"/>
    <xf numFmtId="172" fontId="12" fillId="25" borderId="13" xfId="40" applyNumberFormat="1" applyFont="1" applyFill="1" applyBorder="1"/>
    <xf numFmtId="1" fontId="12" fillId="25" borderId="0" xfId="0" applyNumberFormat="1" applyFont="1" applyFill="1" applyBorder="1"/>
    <xf numFmtId="168" fontId="6" fillId="25" borderId="11" xfId="0" applyNumberFormat="1" applyFont="1" applyFill="1" applyBorder="1"/>
    <xf numFmtId="168" fontId="6" fillId="25" borderId="0" xfId="0" applyNumberFormat="1" applyFont="1" applyFill="1" applyBorder="1"/>
    <xf numFmtId="168" fontId="6" fillId="25" borderId="13" xfId="0" applyNumberFormat="1" applyFont="1" applyFill="1" applyBorder="1"/>
    <xf numFmtId="1" fontId="6" fillId="25" borderId="0" xfId="0" applyNumberFormat="1" applyFont="1" applyFill="1" applyBorder="1"/>
    <xf numFmtId="172" fontId="6" fillId="25" borderId="11" xfId="0" applyNumberFormat="1" applyFont="1" applyFill="1" applyBorder="1"/>
    <xf numFmtId="172" fontId="6" fillId="25" borderId="0" xfId="0" applyNumberFormat="1" applyFont="1" applyFill="1" applyBorder="1"/>
    <xf numFmtId="37" fontId="6" fillId="25" borderId="13" xfId="0" applyNumberFormat="1" applyFont="1" applyFill="1" applyBorder="1"/>
    <xf numFmtId="37" fontId="6" fillId="25" borderId="11" xfId="0" applyNumberFormat="1" applyFont="1" applyFill="1" applyBorder="1"/>
    <xf numFmtId="37" fontId="6" fillId="25" borderId="0" xfId="0" applyNumberFormat="1" applyFont="1" applyFill="1" applyBorder="1"/>
    <xf numFmtId="37" fontId="12" fillId="25" borderId="11" xfId="0" applyNumberFormat="1" applyFont="1" applyFill="1" applyBorder="1"/>
    <xf numFmtId="37" fontId="12" fillId="25" borderId="0" xfId="0" applyNumberFormat="1" applyFont="1" applyFill="1" applyBorder="1"/>
    <xf numFmtId="37" fontId="12" fillId="25" borderId="13" xfId="0" applyNumberFormat="1" applyFont="1" applyFill="1" applyBorder="1"/>
    <xf numFmtId="9" fontId="11" fillId="25" borderId="11" xfId="0" applyNumberFormat="1" applyFont="1" applyFill="1" applyBorder="1"/>
    <xf numFmtId="9" fontId="11" fillId="25" borderId="0" xfId="0" applyNumberFormat="1" applyFont="1" applyFill="1" applyBorder="1"/>
    <xf numFmtId="167" fontId="11" fillId="25" borderId="13" xfId="0" applyNumberFormat="1" applyFont="1" applyFill="1" applyBorder="1"/>
    <xf numFmtId="167" fontId="11" fillId="25" borderId="11" xfId="0" applyNumberFormat="1" applyFont="1" applyFill="1" applyBorder="1"/>
    <xf numFmtId="167" fontId="11" fillId="25" borderId="0" xfId="0" applyNumberFormat="1" applyFont="1" applyFill="1" applyBorder="1"/>
    <xf numFmtId="9" fontId="11" fillId="25" borderId="0" xfId="75" applyFont="1" applyFill="1" applyBorder="1" applyAlignment="1">
      <alignment horizontal="right"/>
    </xf>
    <xf numFmtId="178" fontId="6" fillId="25" borderId="11" xfId="0" applyNumberFormat="1" applyFont="1" applyFill="1" applyBorder="1"/>
    <xf numFmtId="178" fontId="6" fillId="25" borderId="0" xfId="0" applyNumberFormat="1" applyFont="1" applyFill="1" applyBorder="1"/>
    <xf numFmtId="178" fontId="6" fillId="25" borderId="27" xfId="0" applyNumberFormat="1" applyFont="1" applyFill="1" applyBorder="1"/>
    <xf numFmtId="178" fontId="6" fillId="25" borderId="13" xfId="0" applyNumberFormat="1" applyFont="1" applyFill="1" applyBorder="1"/>
    <xf numFmtId="9" fontId="6" fillId="25" borderId="18" xfId="0" applyNumberFormat="1" applyFont="1" applyFill="1" applyBorder="1"/>
    <xf numFmtId="9" fontId="6" fillId="25" borderId="17" xfId="0" applyNumberFormat="1" applyFont="1" applyFill="1" applyBorder="1"/>
    <xf numFmtId="9" fontId="6" fillId="25" borderId="17" xfId="71" applyFont="1" applyFill="1" applyBorder="1"/>
    <xf numFmtId="9" fontId="6" fillId="25" borderId="20" xfId="71" applyNumberFormat="1" applyFont="1" applyFill="1" applyBorder="1"/>
    <xf numFmtId="1" fontId="6" fillId="25" borderId="17" xfId="0" applyNumberFormat="1" applyFont="1" applyFill="1" applyBorder="1"/>
    <xf numFmtId="178" fontId="142" fillId="0" borderId="11" xfId="0" applyNumberFormat="1" applyFont="1" applyFill="1" applyBorder="1"/>
    <xf numFmtId="9" fontId="122" fillId="0" borderId="28" xfId="71" applyFont="1" applyFill="1" applyBorder="1"/>
    <xf numFmtId="43" fontId="6" fillId="0" borderId="12" xfId="38" applyFont="1" applyFill="1" applyBorder="1"/>
    <xf numFmtId="9" fontId="105" fillId="17" borderId="19" xfId="71" applyFont="1" applyFill="1" applyBorder="1" applyAlignment="1">
      <alignment horizontal="center"/>
    </xf>
    <xf numFmtId="0" fontId="5" fillId="35" borderId="0" xfId="341" applyFont="1" applyFill="1" applyAlignment="1">
      <alignment vertical="top"/>
    </xf>
    <xf numFmtId="0" fontId="5" fillId="35" borderId="0" xfId="52" applyFill="1" applyAlignment="1">
      <alignment vertical="top"/>
    </xf>
    <xf numFmtId="0" fontId="5" fillId="35" borderId="0" xfId="52" applyFill="1"/>
    <xf numFmtId="0" fontId="44" fillId="35" borderId="0" xfId="341" applyFont="1" applyFill="1" applyAlignment="1">
      <alignment horizontal="left" vertical="top"/>
    </xf>
    <xf numFmtId="0" fontId="5" fillId="35" borderId="0" xfId="52" applyFont="1" applyFill="1" applyAlignment="1">
      <alignment vertical="top"/>
    </xf>
    <xf numFmtId="0" fontId="24" fillId="35" borderId="0" xfId="341" applyFont="1" applyFill="1" applyAlignment="1">
      <alignment vertical="top"/>
    </xf>
    <xf numFmtId="213" fontId="0" fillId="35" borderId="0" xfId="0" applyFill="1" applyAlignment="1">
      <alignment vertical="top"/>
    </xf>
    <xf numFmtId="213" fontId="187" fillId="35" borderId="0" xfId="0" applyFont="1" applyFill="1" applyAlignment="1">
      <alignment vertical="top"/>
    </xf>
    <xf numFmtId="213" fontId="188" fillId="35" borderId="0" xfId="0" applyFont="1" applyFill="1" applyAlignment="1">
      <alignment vertical="top"/>
    </xf>
    <xf numFmtId="213" fontId="188" fillId="35" borderId="0" xfId="0" applyFont="1" applyFill="1" applyAlignment="1">
      <alignment vertical="top"/>
    </xf>
    <xf numFmtId="213" fontId="187" fillId="35" borderId="0" xfId="0" applyFont="1" applyFill="1" applyAlignment="1">
      <alignment vertical="top"/>
    </xf>
    <xf numFmtId="213" fontId="0" fillId="35" borderId="0" xfId="0" applyFill="1" applyAlignment="1">
      <alignment vertical="top"/>
    </xf>
    <xf numFmtId="213" fontId="0" fillId="35" borderId="85" xfId="0" applyFill="1" applyBorder="1" applyAlignment="1">
      <alignment vertical="top"/>
    </xf>
    <xf numFmtId="213" fontId="187" fillId="35" borderId="81" xfId="0" applyFont="1" applyFill="1" applyBorder="1" applyAlignment="1">
      <alignment vertical="top"/>
    </xf>
    <xf numFmtId="213" fontId="187" fillId="35" borderId="82" xfId="0" applyFont="1" applyFill="1" applyBorder="1" applyAlignment="1">
      <alignment vertical="top"/>
    </xf>
    <xf numFmtId="213" fontId="187" fillId="35" borderId="83" xfId="0" applyFont="1" applyFill="1" applyBorder="1" applyAlignment="1">
      <alignment vertical="top"/>
    </xf>
    <xf numFmtId="213" fontId="187" fillId="35" borderId="84" xfId="0" applyFont="1" applyFill="1" applyBorder="1" applyAlignment="1">
      <alignment vertical="top"/>
    </xf>
    <xf numFmtId="213" fontId="0" fillId="35" borderId="86" xfId="0" applyFill="1" applyBorder="1" applyAlignment="1">
      <alignment vertical="top"/>
    </xf>
    <xf numFmtId="2" fontId="5" fillId="0" borderId="0" xfId="52" applyNumberFormat="1" applyAlignment="1">
      <alignment horizontal="left"/>
    </xf>
    <xf numFmtId="0" fontId="5" fillId="0" borderId="0" xfId="52" applyNumberFormat="1" applyAlignment="1">
      <alignment horizontal="left"/>
    </xf>
    <xf numFmtId="1" fontId="5" fillId="0" borderId="0" xfId="52" applyNumberFormat="1" applyAlignment="1">
      <alignment horizontal="left"/>
    </xf>
    <xf numFmtId="251" fontId="5" fillId="0" borderId="0" xfId="52" applyNumberFormat="1" applyAlignment="1">
      <alignment horizontal="left"/>
    </xf>
    <xf numFmtId="49" fontId="5" fillId="0" borderId="0" xfId="52" applyNumberFormat="1"/>
  </cellXfs>
  <cellStyles count="342">
    <cellStyle name=" 1" xfId="1"/>
    <cellStyle name=" 1 2" xfId="129"/>
    <cellStyle name="_COV" xfId="2"/>
    <cellStyle name="_COV_A_Nov20" xfId="3"/>
    <cellStyle name="_COV_A_Nov20 2 2" xfId="88"/>
    <cellStyle name="_Mfg cost" xfId="153"/>
    <cellStyle name="_Not_for_presentation" xfId="154"/>
    <cellStyle name="_Rev - other (2)" xfId="155"/>
    <cellStyle name="_SUMMARY " xfId="4"/>
    <cellStyle name="_Temp 5" xfId="156"/>
    <cellStyle name="0_Capex &amp; Depreciation " xfId="5"/>
    <cellStyle name="0_Capex &amp; Depreciation _RRST2" xfId="92"/>
    <cellStyle name="0_Capex &amp; Depreciation _RRST5" xfId="93"/>
    <cellStyle name="0_Pension_UTX Example_Acute Care " xfId="6"/>
    <cellStyle name="0_TPP.N Ver 15_Acute Care " xfId="7"/>
    <cellStyle name="0_Valuing BP " xfId="8"/>
    <cellStyle name="0_Valuing BP _RRST2" xfId="94"/>
    <cellStyle name="0_Valuing BP _RRST5" xfId="95"/>
    <cellStyle name="20% - Accent1" xfId="9" builtinId="30" customBuiltin="1"/>
    <cellStyle name="20% - Accent2" xfId="10" builtinId="34" customBuiltin="1"/>
    <cellStyle name="20% - Accent3" xfId="11" builtinId="38" customBuiltin="1"/>
    <cellStyle name="20% - Accent4" xfId="12" builtinId="42" customBuiltin="1"/>
    <cellStyle name="20% - Accent5" xfId="13" builtinId="46" customBuiltin="1"/>
    <cellStyle name="20% - Accent6" xfId="14" builtinId="50" customBuiltin="1"/>
    <cellStyle name="40% - Accent1" xfId="15" builtinId="31" customBuiltin="1"/>
    <cellStyle name="40% - Accent2" xfId="16" builtinId="35" customBuiltin="1"/>
    <cellStyle name="40% - Accent3" xfId="17" builtinId="39" customBuiltin="1"/>
    <cellStyle name="40% - Accent4" xfId="18" builtinId="43" customBuiltin="1"/>
    <cellStyle name="40% - Accent5" xfId="19" builtinId="47" customBuiltin="1"/>
    <cellStyle name="40% - Accent6" xfId="20" builtinId="51" customBuiltin="1"/>
    <cellStyle name="60% - Accent1" xfId="21" builtinId="32" customBuiltin="1"/>
    <cellStyle name="60% - Accent2" xfId="22" builtinId="36" customBuiltin="1"/>
    <cellStyle name="60% - Accent3" xfId="23" builtinId="40" customBuiltin="1"/>
    <cellStyle name="60% - Accent4" xfId="24" builtinId="44" customBuiltin="1"/>
    <cellStyle name="60% - Accent5" xfId="25" builtinId="48" customBuiltin="1"/>
    <cellStyle name="60% - Accent6" xfId="26" builtinId="52" customBuiltin="1"/>
    <cellStyle name="Accent1" xfId="27" builtinId="29" customBuiltin="1"/>
    <cellStyle name="Accent2" xfId="28" builtinId="33" customBuiltin="1"/>
    <cellStyle name="Accent3" xfId="29" builtinId="37" customBuiltin="1"/>
    <cellStyle name="Accent4" xfId="30" builtinId="41" customBuiltin="1"/>
    <cellStyle name="Accent5" xfId="31" builtinId="45" customBuiltin="1"/>
    <cellStyle name="Accent6" xfId="32" builtinId="49" customBuiltin="1"/>
    <cellStyle name="Bad" xfId="33" builtinId="27" customBuiltin="1"/>
    <cellStyle name="Blue" xfId="34"/>
    <cellStyle name="c_HardInc " xfId="35"/>
    <cellStyle name="c_HardInc _RRST2" xfId="96"/>
    <cellStyle name="c_HardInc _RRST5" xfId="97"/>
    <cellStyle name="Calc Currency (0)" xfId="157"/>
    <cellStyle name="Calc Currency (2)" xfId="158"/>
    <cellStyle name="Calc Percent (0)" xfId="159"/>
    <cellStyle name="Calc Percent (1)" xfId="160"/>
    <cellStyle name="Calc Percent (2)" xfId="161"/>
    <cellStyle name="Calc Units (0)" xfId="162"/>
    <cellStyle name="Calc Units (1)" xfId="163"/>
    <cellStyle name="Calc Units (2)" xfId="164"/>
    <cellStyle name="Calculation" xfId="36" builtinId="22" customBuiltin="1"/>
    <cellStyle name="Calculation 2" xfId="132"/>
    <cellStyle name="Calculation 3" xfId="147"/>
    <cellStyle name="Calculation 4" xfId="130"/>
    <cellStyle name="Check Cell" xfId="37" builtinId="23" customBuiltin="1"/>
    <cellStyle name="Comma" xfId="38" builtinId="3"/>
    <cellStyle name="Comma [00]" xfId="165"/>
    <cellStyle name="comma [1]" xfId="166"/>
    <cellStyle name="Comma 10" xfId="167"/>
    <cellStyle name="Comma 11" xfId="168"/>
    <cellStyle name="Comma 12" xfId="169"/>
    <cellStyle name="Comma 13" xfId="170"/>
    <cellStyle name="Comma 14" xfId="171"/>
    <cellStyle name="Comma 15" xfId="172"/>
    <cellStyle name="Comma 16" xfId="173"/>
    <cellStyle name="Comma 17" xfId="174"/>
    <cellStyle name="Comma 18" xfId="175"/>
    <cellStyle name="Comma 19" xfId="176"/>
    <cellStyle name="Comma 2" xfId="39"/>
    <cellStyle name="Comma 2 2" xfId="98"/>
    <cellStyle name="Comma 20" xfId="177"/>
    <cellStyle name="Comma 21" xfId="178"/>
    <cellStyle name="Comma 22" xfId="179"/>
    <cellStyle name="Comma 23" xfId="180"/>
    <cellStyle name="Comma 24" xfId="181"/>
    <cellStyle name="Comma 25" xfId="182"/>
    <cellStyle name="Comma 26" xfId="183"/>
    <cellStyle name="Comma 27" xfId="184"/>
    <cellStyle name="Comma 28" xfId="185"/>
    <cellStyle name="Comma 29" xfId="186"/>
    <cellStyle name="Comma 3" xfId="86"/>
    <cellStyle name="Comma 30" xfId="187"/>
    <cellStyle name="Comma 31" xfId="188"/>
    <cellStyle name="Comma 32" xfId="189"/>
    <cellStyle name="Comma 33" xfId="190"/>
    <cellStyle name="Comma 34" xfId="191"/>
    <cellStyle name="Comma 35" xfId="192"/>
    <cellStyle name="Comma 36" xfId="193"/>
    <cellStyle name="Comma 37" xfId="194"/>
    <cellStyle name="Comma 38" xfId="195"/>
    <cellStyle name="Comma 39" xfId="196"/>
    <cellStyle name="Comma 4" xfId="197"/>
    <cellStyle name="Comma 40" xfId="198"/>
    <cellStyle name="Comma 41" xfId="199"/>
    <cellStyle name="Comma 42" xfId="200"/>
    <cellStyle name="Comma 43" xfId="201"/>
    <cellStyle name="Comma 44" xfId="202"/>
    <cellStyle name="Comma 45" xfId="203"/>
    <cellStyle name="Comma 46" xfId="204"/>
    <cellStyle name="Comma 47" xfId="205"/>
    <cellStyle name="Comma 48" xfId="206"/>
    <cellStyle name="Comma 49" xfId="207"/>
    <cellStyle name="Comma 5" xfId="208"/>
    <cellStyle name="Comma 50" xfId="209"/>
    <cellStyle name="Comma 51" xfId="210"/>
    <cellStyle name="Comma 52" xfId="211"/>
    <cellStyle name="Comma 53" xfId="212"/>
    <cellStyle name="Comma 54" xfId="213"/>
    <cellStyle name="Comma 55" xfId="214"/>
    <cellStyle name="Comma 56" xfId="215"/>
    <cellStyle name="Comma 57" xfId="216"/>
    <cellStyle name="Comma 58" xfId="217"/>
    <cellStyle name="Comma 59" xfId="218"/>
    <cellStyle name="Comma 6" xfId="219"/>
    <cellStyle name="Comma 60" xfId="220"/>
    <cellStyle name="Comma 61" xfId="221"/>
    <cellStyle name="Comma 62" xfId="222"/>
    <cellStyle name="Comma 63" xfId="223"/>
    <cellStyle name="Comma 64" xfId="224"/>
    <cellStyle name="Comma 65" xfId="225"/>
    <cellStyle name="Comma 66" xfId="226"/>
    <cellStyle name="Comma 67" xfId="227"/>
    <cellStyle name="Comma 68" xfId="228"/>
    <cellStyle name="Comma 69" xfId="229"/>
    <cellStyle name="Comma 7" xfId="230"/>
    <cellStyle name="Comma 70" xfId="231"/>
    <cellStyle name="Comma 71" xfId="232"/>
    <cellStyle name="Comma 8" xfId="233"/>
    <cellStyle name="Comma 9" xfId="234"/>
    <cellStyle name="Currency" xfId="40" builtinId="4"/>
    <cellStyle name="Currency [00]" xfId="235"/>
    <cellStyle name="Currency [1]" xfId="236"/>
    <cellStyle name="Currency 2" xfId="87"/>
    <cellStyle name="Currency 3" xfId="41"/>
    <cellStyle name="Currency 3 2" xfId="99"/>
    <cellStyle name="Currency 4" xfId="42"/>
    <cellStyle name="Currency 4 2" xfId="124"/>
    <cellStyle name="Currency 4 3" xfId="133"/>
    <cellStyle name="Currency 5" xfId="126"/>
    <cellStyle name="Currency 5 2 2" xfId="152"/>
    <cellStyle name="Date Short" xfId="237"/>
    <cellStyle name="Enter Currency (0)" xfId="238"/>
    <cellStyle name="Enter Currency (2)" xfId="239"/>
    <cellStyle name="Enter Units (0)" xfId="240"/>
    <cellStyle name="Enter Units (1)" xfId="241"/>
    <cellStyle name="Enter Units (2)" xfId="242"/>
    <cellStyle name="Explanatory Text" xfId="43" builtinId="53" customBuiltin="1"/>
    <cellStyle name="Fail" xfId="115"/>
    <cellStyle name="FiscalPeriod" xfId="116"/>
    <cellStyle name="Good" xfId="44" builtinId="26" customBuiltin="1"/>
    <cellStyle name="Header1" xfId="243"/>
    <cellStyle name="Header2" xfId="244"/>
    <cellStyle name="Header2 2" xfId="245"/>
    <cellStyle name="Header2 3" xfId="246"/>
    <cellStyle name="Heading 1" xfId="45" builtinId="16" customBuiltin="1"/>
    <cellStyle name="Heading 2" xfId="46" builtinId="17" customBuiltin="1"/>
    <cellStyle name="Heading 3" xfId="47" builtinId="18" customBuiltin="1"/>
    <cellStyle name="Heading 4" xfId="48" builtinId="19" customBuiltin="1"/>
    <cellStyle name="Hidden" xfId="117"/>
    <cellStyle name="Input" xfId="49" builtinId="20" customBuiltin="1"/>
    <cellStyle name="Input 2" xfId="134"/>
    <cellStyle name="Input 3" xfId="150"/>
    <cellStyle name="Input 4" xfId="131"/>
    <cellStyle name="Link Currency (0)" xfId="247"/>
    <cellStyle name="Link Currency (2)" xfId="248"/>
    <cellStyle name="Link Units (0)" xfId="249"/>
    <cellStyle name="Link Units (1)" xfId="250"/>
    <cellStyle name="Link Units (2)" xfId="251"/>
    <cellStyle name="Linked Cell" xfId="50" builtinId="24" customBuiltin="1"/>
    <cellStyle name="MetricLabel" xfId="118"/>
    <cellStyle name="MetricLabelBlue" xfId="119"/>
    <cellStyle name="MetricValue" xfId="120"/>
    <cellStyle name="Neutral" xfId="51" builtinId="28" customBuiltin="1"/>
    <cellStyle name="Normal" xfId="0" builtinId="0"/>
    <cellStyle name="Normal 1" xfId="52"/>
    <cellStyle name="Normal 1 2" xfId="112"/>
    <cellStyle name="Normal 10" xfId="122"/>
    <cellStyle name="Normal 11" xfId="127"/>
    <cellStyle name="Normal 11 2" xfId="148"/>
    <cellStyle name="Normal 12" xfId="91"/>
    <cellStyle name="Normal 13" xfId="339"/>
    <cellStyle name="Normal 2" xfId="84"/>
    <cellStyle name="Normal 2 2" xfId="53"/>
    <cellStyle name="Normal 2 2 2" xfId="135"/>
    <cellStyle name="Normal 2 2 3" xfId="252"/>
    <cellStyle name="Normal 2 3" xfId="100"/>
    <cellStyle name="Normal 2 4" xfId="54"/>
    <cellStyle name="Normal 2 4 2" xfId="136"/>
    <cellStyle name="Normal 2 5" xfId="253"/>
    <cellStyle name="Normal 29" xfId="151"/>
    <cellStyle name="Normal 3" xfId="89"/>
    <cellStyle name="Normal 3 2" xfId="90"/>
    <cellStyle name="Normal 4" xfId="55"/>
    <cellStyle name="Normal 4 2" xfId="101"/>
    <cellStyle name="Normal 4 3" xfId="254"/>
    <cellStyle name="Normal 5" xfId="56"/>
    <cellStyle name="Normal 5 2" xfId="102"/>
    <cellStyle name="Normal 5 3" xfId="137"/>
    <cellStyle name="Normal 6" xfId="57"/>
    <cellStyle name="Normal 6 2" xfId="111"/>
    <cellStyle name="Normal 6 3" xfId="138"/>
    <cellStyle name="Normal 7" xfId="113"/>
    <cellStyle name="Normal 7 2" xfId="255"/>
    <cellStyle name="Normal 7 3" xfId="256"/>
    <cellStyle name="Normal 8" xfId="114"/>
    <cellStyle name="Normal 9" xfId="58"/>
    <cellStyle name="Normal 9 2" xfId="103"/>
    <cellStyle name="Normal 9 3" xfId="139"/>
    <cellStyle name="Normal_bec" xfId="59"/>
    <cellStyle name="Normal_bec_AFFX" xfId="60"/>
    <cellStyle name="Normal_bec_RevBuild" xfId="61"/>
    <cellStyle name="Normal_BS" xfId="62"/>
    <cellStyle name="Normal_COV_1" xfId="63"/>
    <cellStyle name="Normal_DisclaimerSheet Samples" xfId="341"/>
    <cellStyle name="Normal_HOLXcurrent" xfId="64"/>
    <cellStyle name="Normal_HRC(1)" xfId="65"/>
    <cellStyle name="Normal_Internet Security Systems Model" xfId="66"/>
    <cellStyle name="Normal_ISRG" xfId="67"/>
    <cellStyle name="Note" xfId="68" builtinId="10" customBuiltin="1"/>
    <cellStyle name="Output" xfId="69" builtinId="21" customBuiltin="1"/>
    <cellStyle name="Output 2" xfId="142"/>
    <cellStyle name="Output 3" xfId="141"/>
    <cellStyle name="p " xfId="70"/>
    <cellStyle name="Pass" xfId="121"/>
    <cellStyle name="Percent" xfId="71" builtinId="5"/>
    <cellStyle name="Percent [0]" xfId="257"/>
    <cellStyle name="Percent [00]" xfId="258"/>
    <cellStyle name="Percent [00] 2" xfId="259"/>
    <cellStyle name="Percent 10" xfId="260"/>
    <cellStyle name="Percent 11" xfId="261"/>
    <cellStyle name="Percent 12" xfId="262"/>
    <cellStyle name="Percent 13" xfId="263"/>
    <cellStyle name="Percent 14" xfId="264"/>
    <cellStyle name="Percent 15" xfId="265"/>
    <cellStyle name="Percent 16" xfId="266"/>
    <cellStyle name="Percent 17" xfId="267"/>
    <cellStyle name="Percent 18" xfId="268"/>
    <cellStyle name="Percent 19" xfId="269"/>
    <cellStyle name="Percent 2" xfId="72"/>
    <cellStyle name="Percent 2 2" xfId="125"/>
    <cellStyle name="Percent 2 3" xfId="73"/>
    <cellStyle name="Percent 2 3 2" xfId="143"/>
    <cellStyle name="Percent 2 4" xfId="104"/>
    <cellStyle name="Percent 20" xfId="270"/>
    <cellStyle name="Percent 21" xfId="271"/>
    <cellStyle name="Percent 22" xfId="272"/>
    <cellStyle name="Percent 23" xfId="273"/>
    <cellStyle name="Percent 24" xfId="274"/>
    <cellStyle name="Percent 25" xfId="275"/>
    <cellStyle name="Percent 26" xfId="276"/>
    <cellStyle name="Percent 27" xfId="277"/>
    <cellStyle name="Percent 28" xfId="278"/>
    <cellStyle name="Percent 29" xfId="279"/>
    <cellStyle name="Percent 3" xfId="74"/>
    <cellStyle name="Percent 3 2" xfId="128"/>
    <cellStyle name="Percent 3 2 2" xfId="149"/>
    <cellStyle name="Percent 3 3" xfId="280"/>
    <cellStyle name="Percent 30" xfId="281"/>
    <cellStyle name="Percent 31" xfId="282"/>
    <cellStyle name="Percent 32" xfId="283"/>
    <cellStyle name="Percent 33" xfId="284"/>
    <cellStyle name="Percent 34" xfId="285"/>
    <cellStyle name="Percent 35" xfId="286"/>
    <cellStyle name="Percent 36" xfId="287"/>
    <cellStyle name="Percent 37" xfId="288"/>
    <cellStyle name="Percent 38" xfId="289"/>
    <cellStyle name="Percent 39" xfId="290"/>
    <cellStyle name="Percent 4" xfId="85"/>
    <cellStyle name="Percent 40" xfId="291"/>
    <cellStyle name="Percent 41" xfId="292"/>
    <cellStyle name="Percent 42" xfId="293"/>
    <cellStyle name="Percent 43" xfId="294"/>
    <cellStyle name="Percent 44" xfId="295"/>
    <cellStyle name="Percent 45" xfId="296"/>
    <cellStyle name="Percent 46" xfId="297"/>
    <cellStyle name="Percent 47" xfId="298"/>
    <cellStyle name="Percent 48" xfId="299"/>
    <cellStyle name="Percent 49" xfId="300"/>
    <cellStyle name="Percent 5" xfId="301"/>
    <cellStyle name="Percent 50" xfId="302"/>
    <cellStyle name="Percent 51" xfId="303"/>
    <cellStyle name="Percent 52" xfId="304"/>
    <cellStyle name="Percent 53" xfId="305"/>
    <cellStyle name="Percent 54" xfId="306"/>
    <cellStyle name="Percent 55" xfId="307"/>
    <cellStyle name="Percent 56" xfId="308"/>
    <cellStyle name="Percent 57" xfId="309"/>
    <cellStyle name="Percent 58" xfId="310"/>
    <cellStyle name="Percent 59" xfId="311"/>
    <cellStyle name="Percent 6" xfId="312"/>
    <cellStyle name="Percent 60" xfId="313"/>
    <cellStyle name="Percent 61" xfId="314"/>
    <cellStyle name="Percent 62" xfId="315"/>
    <cellStyle name="Percent 63" xfId="316"/>
    <cellStyle name="Percent 64" xfId="317"/>
    <cellStyle name="Percent 65" xfId="318"/>
    <cellStyle name="Percent 66" xfId="319"/>
    <cellStyle name="Percent 67" xfId="320"/>
    <cellStyle name="Percent 68" xfId="321"/>
    <cellStyle name="Percent 69" xfId="322"/>
    <cellStyle name="Percent 7" xfId="323"/>
    <cellStyle name="Percent 70" xfId="324"/>
    <cellStyle name="Percent 71" xfId="325"/>
    <cellStyle name="Percent 72" xfId="326"/>
    <cellStyle name="Percent 73" xfId="327"/>
    <cellStyle name="Percent 74" xfId="328"/>
    <cellStyle name="Percent 75" xfId="340"/>
    <cellStyle name="Percent 8" xfId="75"/>
    <cellStyle name="Percent 8 2" xfId="144"/>
    <cellStyle name="Percent 9" xfId="329"/>
    <cellStyle name="PrePop Currency (0)" xfId="330"/>
    <cellStyle name="PrePop Currency (2)" xfId="331"/>
    <cellStyle name="PrePop Units (0)" xfId="332"/>
    <cellStyle name="PrePop Units (1)" xfId="333"/>
    <cellStyle name="PrePop Units (2)" xfId="334"/>
    <cellStyle name="RRSInstruction" xfId="76"/>
    <cellStyle name="RRSInstruction 2" xfId="123"/>
    <cellStyle name="RRSInstruction 3" xfId="105"/>
    <cellStyle name="s]_x000d__x000a_spooler=no_x000d__x000a_NetWarn=1_x000d__x000a_NetMessage=Yes_x000d__x000a_load=c:\mouse\wbuttons.exe_x000d__x000a_run=C:\WINDOWS\CPQWIN\cpqevent.exe_x000d__x000a_Beep=Yes_x000d__x000a_Nu" xfId="335"/>
    <cellStyle name="s_HardInc " xfId="77"/>
    <cellStyle name="s_HardInc _RRST2" xfId="106"/>
    <cellStyle name="s_HardInc _RRST5" xfId="107"/>
    <cellStyle name="s_Valuation " xfId="78"/>
    <cellStyle name="s_Valuation _RRST2" xfId="108"/>
    <cellStyle name="s_Valuation _RRST5" xfId="109"/>
    <cellStyle name="ssp " xfId="79"/>
    <cellStyle name="Style 1" xfId="80"/>
    <cellStyle name="Style 1 2" xfId="110"/>
    <cellStyle name="Style 1 3" xfId="145"/>
    <cellStyle name="Text Indent A" xfId="336"/>
    <cellStyle name="Text Indent B" xfId="337"/>
    <cellStyle name="Text Indent C" xfId="338"/>
    <cellStyle name="Title" xfId="81" builtinId="15" customBuiltin="1"/>
    <cellStyle name="Total" xfId="82" builtinId="25" customBuiltin="1"/>
    <cellStyle name="Total 2" xfId="146"/>
    <cellStyle name="Total 3" xfId="140"/>
    <cellStyle name="Warning Text" xfId="83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0000FF"/>
      <color rgb="FFCCFFFF"/>
      <color rgb="FF366092"/>
      <color rgb="FFE2E2E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externalLinks/externalLink1.xml" Type="http://schemas.openxmlformats.org/officeDocument/2006/relationships/externalLink"/>
<Relationship Id="rId13" Target="externalLinks/externalLink2.xml" Type="http://schemas.openxmlformats.org/officeDocument/2006/relationships/externalLink"/>
<Relationship Id="rId14" Target="externalLinks/externalLink3.xml" Type="http://schemas.openxmlformats.org/officeDocument/2006/relationships/externalLink"/>
<Relationship Id="rId15" Target="externalLinks/externalLink4.xml" Type="http://schemas.openxmlformats.org/officeDocument/2006/relationships/externalLink"/>
<Relationship Id="rId16" Target="theme/theme1.xml" Type="http://schemas.openxmlformats.org/officeDocument/2006/relationships/theme"/>
<Relationship Id="rId17" Target="styles.xml" Type="http://schemas.openxmlformats.org/officeDocument/2006/relationships/styles"/>
<Relationship Id="rId18" Target="sharedStrings.xml" Type="http://schemas.openxmlformats.org/officeDocument/2006/relationships/sharedStrings"/>
<Relationship Id="rId19" Target="calcChain.xml" Type="http://schemas.openxmlformats.org/officeDocument/2006/relationships/calcChain"/>
<Relationship Id="rId2" Target="worksheets/sheet2.xml" Type="http://schemas.openxmlformats.org/officeDocument/2006/relationships/worksheet"/>
<Relationship Id="rId20" Target="../customXml/item1.xml" Type="http://schemas.openxmlformats.org/officeDocument/2006/relationships/customXml"/>
<Relationship Id="rId21" Target="../customXml/item2.xml" Type="http://schemas.openxmlformats.org/officeDocument/2006/relationships/customXml"/>
<Relationship Id="rId22" Target="vbaProject.bin" Type="http://schemas.microsoft.com/office/2006/relationships/vbaProjec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7</xdr:col>
      <xdr:colOff>390525</xdr:colOff>
      <xdr:row>200</xdr:row>
      <xdr:rowOff>104775</xdr:rowOff>
    </xdr:to>
    <xdr:pic>
      <xdr:nvPicPr>
        <xdr:cNvPr id="58153985" name="Picture 1" descr="C:\Users\wachter\AppData\Local\Temp\MercuryPriceRatingHistoryChart\ILMN.O_2018_04_25_00_10_36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8912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HEALTH/Tools/Companies/ILMN/Models/ILMN_Model_Supplementary_Tabs_041416.xlsm" TargetMode="External" Type="http://schemas.microsoft.com/office/2006/relationships/xlExternalLinkPath/xlAlternateStartup"/>
</Relationships>

</file>

<file path=xl/externalLinks/_rels/externalLink2.xml.rels><?xml version="1.0" encoding="UTF-8" standalone="yes"?>
<Relationships xmlns="http://schemas.openxmlformats.org/package/2006/relationships">
<Relationship Id="rId1" Target="file://///Finserv1/finance/ACCT/CURRENT_USERS/kforbe/mydocs/99%20Chip%20costing/QC%20History1.xls" TargetMode="External" Type="http://schemas.openxmlformats.org/officeDocument/2006/relationships/externalLinkPath"/>
</Relationships>

</file>

<file path=xl/externalLinks/_rels/externalLink3.xml.rels><?xml version="1.0" encoding="UTF-8" standalone="yes"?>
<Relationships xmlns="http://schemas.openxmlformats.org/package/2006/relationships">
<Relationship Id="rId1" Target="/TEMP/0901%20Fixed%20Assets.xls" TargetMode="External" Type="http://schemas.openxmlformats.org/officeDocument/2006/relationships/externalLinkPath"/>
</Relationships>

</file>

<file path=xl/externalLinks/_rels/externalLink4.xml.rels><?xml version="1.0" encoding="UTF-8" standalone="yes"?>
<Relationships xmlns="http://schemas.openxmlformats.org/package/2006/relationships">
<Relationship Id="rId1" Target="HEALTH/Tools/Weekly/Industry%20Multiples.xlsm" TargetMode="External" Type="http://schemas.microsoft.com/office/2006/relationships/xlExternalLinkPath/xlAlternate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T kit oppty"/>
      <sheetName val="EndMkts"/>
      <sheetName val="End_Mkts_Est"/>
      <sheetName val="BBB"/>
      <sheetName val="Updates"/>
      <sheetName val="GOOG"/>
    </sheetNames>
    <sheetDataSet>
      <sheetData sheetId="0"/>
      <sheetData sheetId="1"/>
      <sheetData sheetId="2"/>
      <sheetData sheetId="3">
        <row r="28"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</row>
        <row r="29">
          <cell r="K29">
            <v>0</v>
          </cell>
          <cell r="L29" t="str">
            <v>Price Target: $155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</row>
        <row r="30"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</row>
        <row r="31">
          <cell r="K31">
            <v>0</v>
          </cell>
          <cell r="L31" t="str">
            <v>We assume a 12.5x AV/Sales,  s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</row>
        <row r="32">
          <cell r="K32">
            <v>0</v>
          </cell>
          <cell r="L32" t="str">
            <v>current NTM AV/Sales of 12.4x) given our above consensus revenue and EPS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</row>
        <row r="33">
          <cell r="K33">
            <v>0</v>
          </cell>
          <cell r="L33" t="str">
            <v>estimates. Our valuation is supported by our DCF analysis assuming 10 yr revenue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</row>
        <row r="34">
          <cell r="K34">
            <v>0</v>
          </cell>
          <cell r="L34" t="str">
            <v>CAGR of 17.5%, as ILMN's dominant NGS franchise takes off in the era of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</row>
        <row r="35">
          <cell r="K35">
            <v>0</v>
          </cell>
          <cell r="L35" t="str">
            <v>personalized medicine.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</row>
        <row r="36"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</row>
        <row r="37">
          <cell r="K37">
            <v>0</v>
          </cell>
          <cell r="L37" t="str">
            <v>▲ Bull Case: $265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 t="str">
            <v>66x 2015 P/E &amp; 13.3x AV/Sales</v>
          </cell>
        </row>
        <row r="38"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</row>
        <row r="39">
          <cell r="K39">
            <v>0</v>
          </cell>
          <cell r="L39" t="str">
            <v xml:space="preserve">For our bull case DCF, we assume greater near term growth (our 2015 revenue 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</row>
        <row r="40">
          <cell r="K40">
            <v>0</v>
          </cell>
          <cell r="L40" t="str">
            <v>is 14% above our base case), combined with greater margin expansion yields $4.05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</row>
        <row r="41">
          <cell r="K41">
            <v>0</v>
          </cell>
          <cell r="L41" t="str">
            <v>in 2015 EPS, 23% above our base case forecast. Our DCF also assumes a higher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K42">
            <v>0</v>
          </cell>
          <cell r="L42" t="str">
            <v xml:space="preserve">intermediate growth rate of 18% (vs. base 15%). Greater uptake of new products 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K43">
            <v>0</v>
          </cell>
          <cell r="L43" t="str">
            <v>and faster penetration of the clinical oncology market are key drivers of upside.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</row>
        <row r="44"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K45">
            <v>0</v>
          </cell>
          <cell r="L45" t="str">
            <v>Base Case: $155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 t="str">
            <v>47x 2015 P/E &amp; 10.4x AV/Sales</v>
          </cell>
        </row>
        <row r="46"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</row>
        <row r="47">
          <cell r="K47">
            <v>0</v>
          </cell>
          <cell r="L47" t="str">
            <v xml:space="preserve">We utilize a DCF to value ILMN, supported by an EV/revenue multiple analysis. 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K48">
            <v>0</v>
          </cell>
          <cell r="L48" t="str">
            <v>Our DCF assumes 19% rev CAGR 2018, 15% CAGR '19-23 declining ~2%/yr out to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K49">
            <v>0</v>
          </cell>
          <cell r="L49" t="str">
            <v>2028, with a 2.75% terminal growth rate. We model 40bp EBIT expansion/year.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</row>
        <row r="50">
          <cell r="K50">
            <v>0</v>
          </cell>
          <cell r="L50" t="str">
            <v>Our base case implies ILMN trades at a 10.4x 2015 AV/Sales and 47x 2015 P/E.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</row>
        <row r="51">
          <cell r="K51">
            <v>0</v>
          </cell>
          <cell r="L51" t="str">
            <v>While we are above consensus on revenue and EPS growth, we see the market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</row>
        <row r="52">
          <cell r="K52">
            <v>0</v>
          </cell>
          <cell r="L52" t="str">
            <v>pricing in much of the potential gains at present valuation.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</row>
        <row r="53"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</row>
        <row r="54">
          <cell r="K54">
            <v>0</v>
          </cell>
          <cell r="L54" t="str">
            <v>▼ Bear Case: $118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 t="str">
            <v>42x 2015 P/E</v>
          </cell>
        </row>
        <row r="55"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</row>
        <row r="56">
          <cell r="K56">
            <v>0</v>
          </cell>
          <cell r="L56" t="str">
            <v>Our bear case DCF assumes revenue growth disappoints, with 2015 revenues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</row>
        <row r="57">
          <cell r="K57">
            <v>0</v>
          </cell>
          <cell r="L57" t="str">
            <v>-10% below our base cas (a 13% CAGR from '13) &amp; EPS of $2.80, -15% &lt; base.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</row>
        <row r="58">
          <cell r="K58">
            <v>0</v>
          </cell>
          <cell r="L58" t="str">
            <v>We moderate our intermed. growth rate to 11% (vs. base case 15%) &amp; assume more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</row>
        <row r="59">
          <cell r="K59">
            <v>0</v>
          </cell>
          <cell r="L59" t="str">
            <v>modest EBIT expansion of 30bp/year. Our DCF implies a 2015 P/E of 42x and AV/Rev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</row>
        <row r="60">
          <cell r="K60">
            <v>0</v>
          </cell>
          <cell r="L60" t="str">
            <v>of 7x.  Declining utilization given signicant TP expansion, resurgant competition (ONT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</row>
        <row r="61">
          <cell r="K61">
            <v>0</v>
          </cell>
          <cell r="L61" t="str">
            <v>LIFE, new private players), weaker clinical uptake are amongst potential headwinds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</row>
      </sheetData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C History - Wafers"/>
      <sheetName val="QC History Sort -product"/>
      <sheetName val="QC History Sort -chips Format"/>
      <sheetName val="QC History -Product"/>
      <sheetName val="Sonora Sacto  Chips export"/>
      <sheetName val="Op Trnd Data"/>
      <sheetName val="Op Trnd Charts"/>
      <sheetName val="Op Trnd Charts (2)"/>
      <sheetName val="Data entry"/>
      <sheetName val="Chart1"/>
      <sheetName val="SH Segments"/>
      <sheetName val="ACTIVITY_TABLE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Affymetrix, Inc.</v>
          </cell>
        </row>
        <row r="2">
          <cell r="A2" t="str">
            <v>Wafers Through QC By Format</v>
          </cell>
        </row>
        <row r="3">
          <cell r="A3">
            <v>36434</v>
          </cell>
        </row>
        <row r="4">
          <cell r="A4" t="str">
            <v>($'s in millions)</v>
          </cell>
        </row>
        <row r="45">
          <cell r="R45" t="str">
            <v>Page 4</v>
          </cell>
        </row>
        <row r="46">
          <cell r="A46" t="str">
            <v>Affymetrix, Inc.</v>
          </cell>
        </row>
        <row r="47">
          <cell r="A47" t="str">
            <v>Wafers Thru QC By Product</v>
          </cell>
        </row>
        <row r="48">
          <cell r="A48">
            <v>36434</v>
          </cell>
        </row>
        <row r="49">
          <cell r="A49" t="str">
            <v>($'s in millions)</v>
          </cell>
        </row>
        <row r="90">
          <cell r="R90" t="str">
            <v>Page 1</v>
          </cell>
        </row>
        <row r="91">
          <cell r="A91" t="str">
            <v>Affymetrix, Inc.</v>
          </cell>
        </row>
        <row r="92">
          <cell r="A92" t="str">
            <v>Wafers Thru QC: Misc. Operating Trends</v>
          </cell>
        </row>
        <row r="93">
          <cell r="A93">
            <v>36434</v>
          </cell>
        </row>
        <row r="94">
          <cell r="A94" t="str">
            <v>($'s in millions)</v>
          </cell>
        </row>
        <row r="135">
          <cell r="R135" t="str">
            <v>Page 2</v>
          </cell>
        </row>
        <row r="136">
          <cell r="A136" t="str">
            <v>Affymetrix, Inc.</v>
          </cell>
        </row>
        <row r="137">
          <cell r="A137" t="str">
            <v>Wafers Thru QC: Operating Trends</v>
          </cell>
        </row>
        <row r="138">
          <cell r="A138">
            <v>36434</v>
          </cell>
        </row>
        <row r="139">
          <cell r="A139" t="str">
            <v>($'s in millions)</v>
          </cell>
        </row>
        <row r="180">
          <cell r="R180" t="str">
            <v>Page 3</v>
          </cell>
        </row>
        <row r="181">
          <cell r="A181" t="str">
            <v>Affymetrix, Inc.</v>
          </cell>
        </row>
        <row r="182">
          <cell r="A182" t="str">
            <v>Manufacturing Trends</v>
          </cell>
        </row>
        <row r="183">
          <cell r="A183">
            <v>36434</v>
          </cell>
        </row>
        <row r="184">
          <cell r="A184" t="str">
            <v>($'s in millions)</v>
          </cell>
        </row>
        <row r="204">
          <cell r="A204" t="str">
            <v>Note: Average Standard Cost for Total 1999 = $120</v>
          </cell>
          <cell r="J204" t="str">
            <v>* Chips which have passed QC.</v>
          </cell>
        </row>
        <row r="224">
          <cell r="R224" t="str">
            <v>Page 4</v>
          </cell>
        </row>
        <row r="225">
          <cell r="A225" t="str">
            <v>Affymetrix, Inc.</v>
          </cell>
        </row>
        <row r="226">
          <cell r="A226" t="str">
            <v>Headcount Trends</v>
          </cell>
        </row>
        <row r="227">
          <cell r="A227">
            <v>36434</v>
          </cell>
        </row>
        <row r="228">
          <cell r="A228" t="str">
            <v>($'s in millions)</v>
          </cell>
        </row>
        <row r="269">
          <cell r="R269" t="str">
            <v>Page 8</v>
          </cell>
        </row>
      </sheetData>
      <sheetData sheetId="7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SR_CIP_TRACKING"/>
      <sheetName val="ACTIVITY_TABLE"/>
      <sheetName val="cip0916"/>
      <sheetName val="cip0923"/>
      <sheetName val="cip0930"/>
      <sheetName val="uk"/>
      <sheetName val="JVMASTER"/>
    </sheetNames>
    <sheetDataSet>
      <sheetData sheetId="0" refreshError="1"/>
      <sheetData sheetId="1">
        <row r="1">
          <cell r="B1" t="str">
            <v>MONTH</v>
          </cell>
          <cell r="C1" t="str">
            <v>REF</v>
          </cell>
          <cell r="D1" t="str">
            <v>CSR</v>
          </cell>
          <cell r="E1" t="str">
            <v>ITEM</v>
          </cell>
          <cell r="F1" t="str">
            <v>AMOUNT</v>
          </cell>
          <cell r="G1" t="str">
            <v>TRANSTYPE (P/C/X)</v>
          </cell>
        </row>
        <row r="4">
          <cell r="B4" t="str">
            <v>January</v>
          </cell>
          <cell r="D4" t="str">
            <v>00-013</v>
          </cell>
          <cell r="F4">
            <v>-12029.24</v>
          </cell>
          <cell r="G4" t="str">
            <v>p</v>
          </cell>
        </row>
        <row r="5">
          <cell r="B5" t="str">
            <v>January</v>
          </cell>
          <cell r="D5" t="str">
            <v>00-021</v>
          </cell>
          <cell r="F5">
            <v>700</v>
          </cell>
          <cell r="G5" t="str">
            <v>p</v>
          </cell>
        </row>
        <row r="6">
          <cell r="B6" t="str">
            <v>January</v>
          </cell>
          <cell r="D6" t="str">
            <v>00-062</v>
          </cell>
          <cell r="F6">
            <v>0</v>
          </cell>
          <cell r="G6" t="str">
            <v>p</v>
          </cell>
        </row>
        <row r="7">
          <cell r="B7" t="str">
            <v>January</v>
          </cell>
          <cell r="D7" t="str">
            <v>00-063</v>
          </cell>
          <cell r="F7">
            <v>-1319.5</v>
          </cell>
          <cell r="G7" t="str">
            <v>p</v>
          </cell>
        </row>
        <row r="8">
          <cell r="B8" t="str">
            <v>January</v>
          </cell>
          <cell r="D8" t="str">
            <v>00-068</v>
          </cell>
          <cell r="F8">
            <v>5.18</v>
          </cell>
          <cell r="G8" t="str">
            <v>p</v>
          </cell>
        </row>
        <row r="9">
          <cell r="B9" t="str">
            <v>January</v>
          </cell>
          <cell r="D9" t="str">
            <v>00-091</v>
          </cell>
          <cell r="F9">
            <v>118.73</v>
          </cell>
          <cell r="G9" t="str">
            <v>p</v>
          </cell>
        </row>
        <row r="10">
          <cell r="B10" t="str">
            <v>January</v>
          </cell>
          <cell r="D10" t="str">
            <v>00-093</v>
          </cell>
          <cell r="F10">
            <v>88.69</v>
          </cell>
          <cell r="G10" t="str">
            <v>p</v>
          </cell>
        </row>
        <row r="11">
          <cell r="B11" t="str">
            <v>January</v>
          </cell>
          <cell r="D11" t="str">
            <v>00-094</v>
          </cell>
          <cell r="F11">
            <v>118.73</v>
          </cell>
          <cell r="G11" t="str">
            <v>p</v>
          </cell>
        </row>
        <row r="12">
          <cell r="B12" t="str">
            <v>January</v>
          </cell>
          <cell r="D12" t="str">
            <v>00-095</v>
          </cell>
          <cell r="F12">
            <v>79.16</v>
          </cell>
          <cell r="G12" t="str">
            <v>p</v>
          </cell>
        </row>
        <row r="13">
          <cell r="B13" t="str">
            <v>January</v>
          </cell>
          <cell r="D13" t="str">
            <v>00-101</v>
          </cell>
          <cell r="F13">
            <v>39.57</v>
          </cell>
          <cell r="G13" t="str">
            <v>p</v>
          </cell>
        </row>
        <row r="14">
          <cell r="B14" t="str">
            <v>January</v>
          </cell>
          <cell r="D14" t="str">
            <v>00-124</v>
          </cell>
          <cell r="F14">
            <v>102.75</v>
          </cell>
          <cell r="G14" t="str">
            <v>p</v>
          </cell>
        </row>
        <row r="15">
          <cell r="B15" t="str">
            <v>January</v>
          </cell>
          <cell r="D15" t="str">
            <v>00-129</v>
          </cell>
          <cell r="F15">
            <v>18181.97</v>
          </cell>
          <cell r="G15" t="str">
            <v>p</v>
          </cell>
        </row>
        <row r="16">
          <cell r="B16" t="str">
            <v>January</v>
          </cell>
          <cell r="D16" t="str">
            <v>00-133</v>
          </cell>
          <cell r="F16">
            <v>4375</v>
          </cell>
          <cell r="G16" t="str">
            <v>p</v>
          </cell>
        </row>
        <row r="17">
          <cell r="B17" t="str">
            <v>January</v>
          </cell>
          <cell r="D17" t="str">
            <v>00-136</v>
          </cell>
          <cell r="F17">
            <v>387.04</v>
          </cell>
          <cell r="G17" t="str">
            <v>p</v>
          </cell>
        </row>
        <row r="18">
          <cell r="B18" t="str">
            <v>January</v>
          </cell>
          <cell r="D18" t="str">
            <v>00-138</v>
          </cell>
          <cell r="F18">
            <v>0</v>
          </cell>
          <cell r="G18" t="str">
            <v>p</v>
          </cell>
        </row>
        <row r="19">
          <cell r="B19" t="str">
            <v>January</v>
          </cell>
          <cell r="D19" t="str">
            <v>00-140</v>
          </cell>
          <cell r="F19">
            <v>-6930.75</v>
          </cell>
          <cell r="G19" t="str">
            <v>p</v>
          </cell>
        </row>
        <row r="20">
          <cell r="B20" t="str">
            <v>January</v>
          </cell>
          <cell r="D20" t="str">
            <v>00-141</v>
          </cell>
          <cell r="F20">
            <v>-4083.43</v>
          </cell>
          <cell r="G20" t="str">
            <v>p</v>
          </cell>
        </row>
        <row r="21">
          <cell r="B21" t="str">
            <v>January</v>
          </cell>
          <cell r="D21" t="str">
            <v>00-151</v>
          </cell>
          <cell r="F21">
            <v>-7339.2</v>
          </cell>
          <cell r="G21" t="str">
            <v>p</v>
          </cell>
        </row>
        <row r="22">
          <cell r="B22" t="str">
            <v>January</v>
          </cell>
          <cell r="D22" t="str">
            <v>00-156</v>
          </cell>
          <cell r="F22">
            <v>309.07</v>
          </cell>
          <cell r="G22" t="str">
            <v>p</v>
          </cell>
        </row>
        <row r="23">
          <cell r="B23" t="str">
            <v>January</v>
          </cell>
          <cell r="D23" t="str">
            <v>00-157</v>
          </cell>
          <cell r="F23">
            <v>-25413.35</v>
          </cell>
          <cell r="G23" t="str">
            <v>p</v>
          </cell>
        </row>
        <row r="24">
          <cell r="B24" t="str">
            <v>January</v>
          </cell>
          <cell r="D24" t="str">
            <v>00-158</v>
          </cell>
          <cell r="F24">
            <v>4969.34</v>
          </cell>
          <cell r="G24" t="str">
            <v>p</v>
          </cell>
        </row>
        <row r="25">
          <cell r="B25" t="str">
            <v>January</v>
          </cell>
          <cell r="D25" t="str">
            <v>00-164</v>
          </cell>
          <cell r="F25">
            <v>20070.96</v>
          </cell>
          <cell r="G25" t="str">
            <v>p</v>
          </cell>
        </row>
        <row r="26">
          <cell r="B26" t="str">
            <v>January</v>
          </cell>
          <cell r="D26" t="str">
            <v>00-167</v>
          </cell>
          <cell r="F26">
            <v>-46136.37</v>
          </cell>
          <cell r="G26" t="str">
            <v>p</v>
          </cell>
        </row>
        <row r="27">
          <cell r="B27" t="str">
            <v>January</v>
          </cell>
          <cell r="D27" t="str">
            <v>00-168</v>
          </cell>
          <cell r="F27">
            <v>22570.13</v>
          </cell>
          <cell r="G27" t="str">
            <v>p</v>
          </cell>
        </row>
        <row r="28">
          <cell r="B28" t="str">
            <v>January</v>
          </cell>
          <cell r="D28" t="str">
            <v>00-171</v>
          </cell>
          <cell r="F28">
            <v>2798.47</v>
          </cell>
          <cell r="G28" t="str">
            <v>p</v>
          </cell>
        </row>
        <row r="29">
          <cell r="B29" t="str">
            <v>January</v>
          </cell>
          <cell r="D29" t="str">
            <v>00-174</v>
          </cell>
          <cell r="F29">
            <v>7444.56</v>
          </cell>
          <cell r="G29" t="str">
            <v>p</v>
          </cell>
        </row>
        <row r="30">
          <cell r="B30" t="str">
            <v>January</v>
          </cell>
          <cell r="D30" t="str">
            <v>00-177</v>
          </cell>
          <cell r="F30">
            <v>451.55</v>
          </cell>
          <cell r="G30" t="str">
            <v>p</v>
          </cell>
        </row>
        <row r="31">
          <cell r="B31" t="str">
            <v>January</v>
          </cell>
          <cell r="D31" t="str">
            <v>00-182</v>
          </cell>
          <cell r="F31">
            <v>3952.13</v>
          </cell>
          <cell r="G31" t="str">
            <v>p</v>
          </cell>
        </row>
        <row r="32">
          <cell r="B32" t="str">
            <v>January</v>
          </cell>
          <cell r="D32" t="str">
            <v>00-187</v>
          </cell>
          <cell r="F32">
            <v>290.07</v>
          </cell>
          <cell r="G32" t="str">
            <v>p</v>
          </cell>
        </row>
        <row r="33">
          <cell r="B33" t="str">
            <v>January</v>
          </cell>
          <cell r="D33" t="str">
            <v>00-192</v>
          </cell>
          <cell r="F33">
            <v>37996.800000000003</v>
          </cell>
          <cell r="G33" t="str">
            <v>p</v>
          </cell>
        </row>
        <row r="34">
          <cell r="B34" t="str">
            <v>January</v>
          </cell>
          <cell r="D34" t="str">
            <v>00-194</v>
          </cell>
          <cell r="F34">
            <v>13501.11</v>
          </cell>
          <cell r="G34" t="str">
            <v>p</v>
          </cell>
        </row>
        <row r="35">
          <cell r="B35" t="str">
            <v>January</v>
          </cell>
          <cell r="D35" t="str">
            <v>00-195</v>
          </cell>
          <cell r="F35">
            <v>-966896.96</v>
          </cell>
          <cell r="G35" t="str">
            <v>p</v>
          </cell>
        </row>
        <row r="36">
          <cell r="B36" t="str">
            <v>January</v>
          </cell>
          <cell r="D36" t="str">
            <v>00-196</v>
          </cell>
          <cell r="F36">
            <v>18603</v>
          </cell>
          <cell r="G36" t="str">
            <v>p</v>
          </cell>
        </row>
        <row r="37">
          <cell r="B37" t="str">
            <v>January</v>
          </cell>
          <cell r="D37" t="str">
            <v>00-198</v>
          </cell>
          <cell r="F37">
            <v>49364.35</v>
          </cell>
          <cell r="G37" t="str">
            <v>p</v>
          </cell>
        </row>
        <row r="38">
          <cell r="B38" t="str">
            <v>January</v>
          </cell>
          <cell r="D38" t="str">
            <v>00-199</v>
          </cell>
          <cell r="F38">
            <v>40664.449999999997</v>
          </cell>
          <cell r="G38" t="str">
            <v>p</v>
          </cell>
        </row>
        <row r="39">
          <cell r="B39" t="str">
            <v>January</v>
          </cell>
          <cell r="D39" t="str">
            <v>00-202</v>
          </cell>
          <cell r="F39">
            <v>20012.669999999998</v>
          </cell>
          <cell r="G39" t="str">
            <v>p</v>
          </cell>
        </row>
        <row r="40">
          <cell r="B40" t="str">
            <v>January</v>
          </cell>
          <cell r="D40" t="str">
            <v>00-203</v>
          </cell>
          <cell r="F40">
            <v>11520.29</v>
          </cell>
          <cell r="G40" t="str">
            <v>p</v>
          </cell>
        </row>
        <row r="41">
          <cell r="B41" t="str">
            <v>January</v>
          </cell>
          <cell r="D41" t="str">
            <v>00-204</v>
          </cell>
          <cell r="F41">
            <v>1383.31</v>
          </cell>
          <cell r="G41" t="str">
            <v>p</v>
          </cell>
        </row>
        <row r="42">
          <cell r="B42" t="str">
            <v>January</v>
          </cell>
          <cell r="D42" t="str">
            <v>00-208</v>
          </cell>
          <cell r="F42">
            <v>22394.92</v>
          </cell>
          <cell r="G42" t="str">
            <v>p</v>
          </cell>
        </row>
        <row r="43">
          <cell r="B43" t="str">
            <v>January</v>
          </cell>
          <cell r="D43" t="str">
            <v>00-209</v>
          </cell>
          <cell r="F43">
            <v>22334.720000000001</v>
          </cell>
          <cell r="G43" t="str">
            <v>p</v>
          </cell>
        </row>
        <row r="44">
          <cell r="B44" t="str">
            <v>January</v>
          </cell>
          <cell r="D44" t="str">
            <v>00-212</v>
          </cell>
          <cell r="F44">
            <v>41711.29</v>
          </cell>
          <cell r="G44" t="str">
            <v>p</v>
          </cell>
        </row>
        <row r="45">
          <cell r="B45" t="str">
            <v>January</v>
          </cell>
          <cell r="D45" t="str">
            <v>00-213</v>
          </cell>
          <cell r="F45">
            <v>41764.730000000003</v>
          </cell>
          <cell r="G45" t="str">
            <v>p</v>
          </cell>
        </row>
        <row r="46">
          <cell r="B46" t="str">
            <v>January</v>
          </cell>
          <cell r="D46" t="str">
            <v>00-214</v>
          </cell>
          <cell r="F46">
            <v>40671.440000000002</v>
          </cell>
          <cell r="G46" t="str">
            <v>p</v>
          </cell>
        </row>
        <row r="47">
          <cell r="B47" t="str">
            <v>January</v>
          </cell>
          <cell r="D47" t="str">
            <v>00-215</v>
          </cell>
          <cell r="F47">
            <v>34225.19</v>
          </cell>
          <cell r="G47" t="str">
            <v>p</v>
          </cell>
        </row>
        <row r="48">
          <cell r="B48" t="str">
            <v>January</v>
          </cell>
          <cell r="D48" t="str">
            <v>00-218</v>
          </cell>
          <cell r="F48">
            <v>-179</v>
          </cell>
          <cell r="G48" t="str">
            <v>p</v>
          </cell>
        </row>
        <row r="49">
          <cell r="B49" t="str">
            <v>January</v>
          </cell>
          <cell r="D49" t="str">
            <v>00-219</v>
          </cell>
          <cell r="F49">
            <v>38671.65</v>
          </cell>
          <cell r="G49" t="str">
            <v>p</v>
          </cell>
        </row>
        <row r="50">
          <cell r="B50" t="str">
            <v>January</v>
          </cell>
          <cell r="D50" t="str">
            <v>00-222</v>
          </cell>
          <cell r="F50">
            <v>33299.449999999997</v>
          </cell>
          <cell r="G50" t="str">
            <v>p</v>
          </cell>
        </row>
        <row r="51">
          <cell r="B51" t="str">
            <v>January</v>
          </cell>
          <cell r="D51" t="str">
            <v>00-224</v>
          </cell>
          <cell r="F51">
            <v>3858.84</v>
          </cell>
          <cell r="G51" t="str">
            <v>p</v>
          </cell>
        </row>
        <row r="52">
          <cell r="B52" t="str">
            <v>January</v>
          </cell>
          <cell r="D52" t="str">
            <v>00-226</v>
          </cell>
          <cell r="F52">
            <v>38294.639999999999</v>
          </cell>
          <cell r="G52" t="str">
            <v>p</v>
          </cell>
        </row>
        <row r="53">
          <cell r="B53" t="str">
            <v>January</v>
          </cell>
          <cell r="D53" t="str">
            <v>00-227</v>
          </cell>
          <cell r="F53">
            <v>24210.49</v>
          </cell>
          <cell r="G53" t="str">
            <v>p</v>
          </cell>
        </row>
        <row r="54">
          <cell r="B54" t="str">
            <v>January</v>
          </cell>
          <cell r="D54" t="str">
            <v>00-309</v>
          </cell>
          <cell r="F54">
            <v>0</v>
          </cell>
          <cell r="G54" t="str">
            <v>p</v>
          </cell>
        </row>
        <row r="55">
          <cell r="B55" t="str">
            <v>January</v>
          </cell>
          <cell r="D55" t="str">
            <v>00-310</v>
          </cell>
          <cell r="F55">
            <v>36.799999999999997</v>
          </cell>
          <cell r="G55" t="str">
            <v>p</v>
          </cell>
        </row>
        <row r="56">
          <cell r="B56" t="str">
            <v>January</v>
          </cell>
          <cell r="D56" t="str">
            <v>00-311</v>
          </cell>
          <cell r="F56">
            <v>18872.8</v>
          </cell>
          <cell r="G56" t="str">
            <v>p</v>
          </cell>
        </row>
        <row r="57">
          <cell r="B57" t="str">
            <v>January</v>
          </cell>
          <cell r="D57" t="str">
            <v>00-801</v>
          </cell>
          <cell r="F57">
            <v>4122.62</v>
          </cell>
          <cell r="G57" t="str">
            <v>p</v>
          </cell>
        </row>
        <row r="58">
          <cell r="B58" t="str">
            <v>January</v>
          </cell>
          <cell r="D58" t="str">
            <v>00-900</v>
          </cell>
          <cell r="F58">
            <v>198048.77</v>
          </cell>
          <cell r="G58" t="str">
            <v>p</v>
          </cell>
        </row>
        <row r="59">
          <cell r="B59" t="str">
            <v>January</v>
          </cell>
          <cell r="D59" t="str">
            <v>99-344</v>
          </cell>
          <cell r="F59">
            <v>-4960</v>
          </cell>
          <cell r="G59" t="str">
            <v>p</v>
          </cell>
        </row>
        <row r="60">
          <cell r="B60" t="str">
            <v>January</v>
          </cell>
          <cell r="D60" t="str">
            <v>99-165</v>
          </cell>
          <cell r="F60">
            <v>-1738</v>
          </cell>
          <cell r="G60" t="str">
            <v>p</v>
          </cell>
        </row>
        <row r="61">
          <cell r="B61" t="str">
            <v>January</v>
          </cell>
          <cell r="D61" t="str">
            <v>99-166</v>
          </cell>
          <cell r="F61">
            <v>-1960.5</v>
          </cell>
          <cell r="G61" t="str">
            <v>p</v>
          </cell>
        </row>
        <row r="62">
          <cell r="B62" t="str">
            <v>January</v>
          </cell>
          <cell r="D62" t="str">
            <v>99-325</v>
          </cell>
          <cell r="F62">
            <v>-3459.05</v>
          </cell>
          <cell r="G62" t="str">
            <v>p</v>
          </cell>
        </row>
        <row r="63">
          <cell r="B63" t="str">
            <v>January</v>
          </cell>
          <cell r="D63" t="str">
            <v>99-344</v>
          </cell>
          <cell r="F63">
            <v>18008.79</v>
          </cell>
          <cell r="G63" t="str">
            <v>p</v>
          </cell>
        </row>
        <row r="64">
          <cell r="B64" t="str">
            <v>January</v>
          </cell>
          <cell r="D64" t="str">
            <v>01-001</v>
          </cell>
          <cell r="F64">
            <v>21213.32</v>
          </cell>
          <cell r="G64" t="str">
            <v>p</v>
          </cell>
        </row>
        <row r="65">
          <cell r="B65" t="str">
            <v>January</v>
          </cell>
          <cell r="D65" t="str">
            <v>01-002</v>
          </cell>
          <cell r="F65">
            <v>6530.76</v>
          </cell>
          <cell r="G65" t="str">
            <v>p</v>
          </cell>
        </row>
        <row r="66">
          <cell r="B66" t="str">
            <v>January</v>
          </cell>
          <cell r="D66" t="str">
            <v>00-900</v>
          </cell>
          <cell r="F66">
            <v>-35290.46</v>
          </cell>
          <cell r="G66" t="str">
            <v>p</v>
          </cell>
        </row>
        <row r="67">
          <cell r="B67" t="str">
            <v>January</v>
          </cell>
          <cell r="D67" t="str">
            <v>00-900</v>
          </cell>
          <cell r="F67">
            <v>-30960.45</v>
          </cell>
          <cell r="G67" t="str">
            <v>p</v>
          </cell>
        </row>
        <row r="68">
          <cell r="B68" t="str">
            <v>January</v>
          </cell>
          <cell r="D68" t="str">
            <v>00-900</v>
          </cell>
          <cell r="F68">
            <v>-541.24</v>
          </cell>
          <cell r="G68" t="str">
            <v>p</v>
          </cell>
        </row>
        <row r="69">
          <cell r="B69" t="str">
            <v>January</v>
          </cell>
          <cell r="D69" t="str">
            <v>00-171</v>
          </cell>
          <cell r="F69">
            <v>-587.79999999999995</v>
          </cell>
          <cell r="G69" t="str">
            <v>p</v>
          </cell>
        </row>
        <row r="70">
          <cell r="B70" t="str">
            <v>January</v>
          </cell>
          <cell r="D70" t="str">
            <v>00-182</v>
          </cell>
          <cell r="F70">
            <v>-3926.23</v>
          </cell>
          <cell r="G70" t="str">
            <v>p</v>
          </cell>
        </row>
        <row r="71">
          <cell r="B71" t="str">
            <v>January</v>
          </cell>
          <cell r="D71" t="str">
            <v>00-174</v>
          </cell>
          <cell r="F71">
            <v>-7317.7</v>
          </cell>
          <cell r="G71" t="str">
            <v>p</v>
          </cell>
        </row>
        <row r="72">
          <cell r="B72" t="str">
            <v>January</v>
          </cell>
          <cell r="D72" t="str">
            <v>00-174</v>
          </cell>
          <cell r="F72">
            <v>-102.84</v>
          </cell>
          <cell r="G72" t="str">
            <v>p</v>
          </cell>
        </row>
        <row r="73">
          <cell r="B73" t="str">
            <v>January</v>
          </cell>
          <cell r="D73" t="str">
            <v>00-900</v>
          </cell>
          <cell r="F73">
            <v>-7885.29</v>
          </cell>
          <cell r="G73" t="str">
            <v>p</v>
          </cell>
        </row>
        <row r="74">
          <cell r="B74" t="str">
            <v>January</v>
          </cell>
          <cell r="D74" t="str">
            <v>00-793</v>
          </cell>
          <cell r="F74">
            <v>4013</v>
          </cell>
          <cell r="G74" t="str">
            <v>p</v>
          </cell>
        </row>
        <row r="75">
          <cell r="B75" t="str">
            <v>January</v>
          </cell>
          <cell r="D75" t="str">
            <v>00-804</v>
          </cell>
          <cell r="F75">
            <v>4400</v>
          </cell>
          <cell r="G75" t="str">
            <v>p</v>
          </cell>
        </row>
        <row r="76">
          <cell r="B76" t="str">
            <v>January</v>
          </cell>
          <cell r="D76" t="str">
            <v>00-806</v>
          </cell>
          <cell r="F76">
            <v>3253</v>
          </cell>
          <cell r="G76" t="str">
            <v>p</v>
          </cell>
        </row>
        <row r="77">
          <cell r="B77" t="str">
            <v>January</v>
          </cell>
          <cell r="D77" t="str">
            <v>00-807</v>
          </cell>
          <cell r="F77">
            <v>4686</v>
          </cell>
          <cell r="G77" t="str">
            <v>p</v>
          </cell>
        </row>
        <row r="78">
          <cell r="B78" t="str">
            <v>January</v>
          </cell>
          <cell r="D78" t="str">
            <v>00-808</v>
          </cell>
          <cell r="F78">
            <v>2281</v>
          </cell>
          <cell r="G78" t="str">
            <v>p</v>
          </cell>
        </row>
        <row r="79">
          <cell r="B79" t="str">
            <v>January</v>
          </cell>
          <cell r="D79" t="str">
            <v>00-809</v>
          </cell>
          <cell r="F79">
            <v>4013</v>
          </cell>
          <cell r="G79" t="str">
            <v>p</v>
          </cell>
        </row>
        <row r="80">
          <cell r="B80" t="str">
            <v>January</v>
          </cell>
          <cell r="D80" t="str">
            <v>00-810</v>
          </cell>
          <cell r="F80">
            <v>4686</v>
          </cell>
          <cell r="G80" t="str">
            <v>p</v>
          </cell>
        </row>
        <row r="81">
          <cell r="B81" t="str">
            <v>January</v>
          </cell>
          <cell r="D81" t="str">
            <v>00-811</v>
          </cell>
          <cell r="F81">
            <v>4013</v>
          </cell>
          <cell r="G81" t="str">
            <v>p</v>
          </cell>
        </row>
        <row r="82">
          <cell r="B82" t="str">
            <v>January</v>
          </cell>
          <cell r="D82" t="str">
            <v>00-813</v>
          </cell>
          <cell r="F82">
            <v>1799</v>
          </cell>
          <cell r="G82" t="str">
            <v>p</v>
          </cell>
        </row>
        <row r="83">
          <cell r="B83" t="str">
            <v>January</v>
          </cell>
          <cell r="D83" t="str">
            <v>00-816</v>
          </cell>
          <cell r="F83">
            <v>2281</v>
          </cell>
          <cell r="G83" t="str">
            <v>p</v>
          </cell>
        </row>
        <row r="84">
          <cell r="B84" t="str">
            <v>January</v>
          </cell>
          <cell r="D84" t="str">
            <v>00-817</v>
          </cell>
          <cell r="F84">
            <v>2281</v>
          </cell>
          <cell r="G84" t="str">
            <v>p</v>
          </cell>
        </row>
        <row r="85">
          <cell r="B85" t="str">
            <v>January</v>
          </cell>
          <cell r="D85" t="str">
            <v>00-818</v>
          </cell>
          <cell r="F85">
            <v>3910</v>
          </cell>
          <cell r="G85" t="str">
            <v>p</v>
          </cell>
        </row>
        <row r="86">
          <cell r="B86" t="str">
            <v>January</v>
          </cell>
          <cell r="D86" t="str">
            <v>00-820</v>
          </cell>
          <cell r="F86">
            <v>5540</v>
          </cell>
          <cell r="G86" t="str">
            <v>p</v>
          </cell>
        </row>
        <row r="87">
          <cell r="B87" t="str">
            <v>January</v>
          </cell>
          <cell r="D87" t="str">
            <v>00-821</v>
          </cell>
          <cell r="F87">
            <v>3910</v>
          </cell>
          <cell r="G87" t="str">
            <v>p</v>
          </cell>
        </row>
        <row r="88">
          <cell r="B88" t="str">
            <v>January</v>
          </cell>
          <cell r="D88" t="str">
            <v>00-822</v>
          </cell>
          <cell r="F88">
            <v>3913</v>
          </cell>
          <cell r="G88" t="str">
            <v>p</v>
          </cell>
        </row>
        <row r="89">
          <cell r="B89" t="str">
            <v>January</v>
          </cell>
          <cell r="D89" t="str">
            <v>00-823</v>
          </cell>
          <cell r="F89">
            <v>3910</v>
          </cell>
          <cell r="G89" t="str">
            <v>p</v>
          </cell>
        </row>
        <row r="90">
          <cell r="B90" t="str">
            <v>January</v>
          </cell>
          <cell r="D90" t="str">
            <v>01-500</v>
          </cell>
          <cell r="F90">
            <v>4683</v>
          </cell>
          <cell r="G90" t="str">
            <v>p</v>
          </cell>
        </row>
        <row r="91">
          <cell r="B91" t="str">
            <v>January</v>
          </cell>
          <cell r="D91" t="str">
            <v>01-501</v>
          </cell>
          <cell r="F91">
            <v>3910</v>
          </cell>
          <cell r="G91" t="str">
            <v>p</v>
          </cell>
        </row>
        <row r="92">
          <cell r="B92" t="str">
            <v>January</v>
          </cell>
          <cell r="D92" t="str">
            <v>01-503</v>
          </cell>
          <cell r="F92">
            <v>4013</v>
          </cell>
          <cell r="G92" t="str">
            <v>p</v>
          </cell>
        </row>
        <row r="93">
          <cell r="B93" t="str">
            <v>January</v>
          </cell>
          <cell r="D93" t="str">
            <v>01-506</v>
          </cell>
          <cell r="F93">
            <v>2571</v>
          </cell>
          <cell r="G93" t="str">
            <v>p</v>
          </cell>
        </row>
        <row r="94">
          <cell r="B94" t="str">
            <v>January</v>
          </cell>
          <cell r="D94" t="str">
            <v>01-508</v>
          </cell>
          <cell r="F94">
            <v>3976</v>
          </cell>
          <cell r="G94" t="str">
            <v>p</v>
          </cell>
        </row>
        <row r="95">
          <cell r="B95" t="str">
            <v>January</v>
          </cell>
          <cell r="D95" t="str">
            <v>01-510</v>
          </cell>
          <cell r="F95">
            <v>2845</v>
          </cell>
          <cell r="G95" t="str">
            <v>p</v>
          </cell>
        </row>
        <row r="96">
          <cell r="B96" t="str">
            <v>January</v>
          </cell>
          <cell r="D96" t="str">
            <v>01-511</v>
          </cell>
          <cell r="F96">
            <v>3490</v>
          </cell>
          <cell r="G96" t="str">
            <v>p</v>
          </cell>
        </row>
        <row r="97">
          <cell r="B97" t="str">
            <v>January</v>
          </cell>
          <cell r="D97" t="str">
            <v>01-512</v>
          </cell>
          <cell r="F97">
            <v>3490</v>
          </cell>
          <cell r="G97" t="str">
            <v>p</v>
          </cell>
        </row>
        <row r="98">
          <cell r="B98" t="str">
            <v>January</v>
          </cell>
          <cell r="D98" t="str">
            <v>01-514</v>
          </cell>
          <cell r="F98">
            <v>3913</v>
          </cell>
          <cell r="G98" t="str">
            <v>p</v>
          </cell>
        </row>
        <row r="99">
          <cell r="B99" t="str">
            <v>January</v>
          </cell>
          <cell r="D99" t="str">
            <v>01-515</v>
          </cell>
          <cell r="F99">
            <v>3913</v>
          </cell>
          <cell r="G99" t="str">
            <v>p</v>
          </cell>
        </row>
        <row r="100">
          <cell r="B100" t="str">
            <v>January</v>
          </cell>
          <cell r="D100" t="str">
            <v>01-516</v>
          </cell>
          <cell r="F100">
            <v>2845</v>
          </cell>
          <cell r="G100" t="str">
            <v>p</v>
          </cell>
        </row>
        <row r="101">
          <cell r="B101" t="str">
            <v>January</v>
          </cell>
          <cell r="D101" t="str">
            <v>01-517</v>
          </cell>
          <cell r="F101">
            <v>2677</v>
          </cell>
          <cell r="G101" t="str">
            <v>p</v>
          </cell>
        </row>
        <row r="102">
          <cell r="B102" t="str">
            <v>January</v>
          </cell>
          <cell r="D102" t="str">
            <v>01-518</v>
          </cell>
          <cell r="F102">
            <v>2281</v>
          </cell>
          <cell r="G102" t="str">
            <v>p</v>
          </cell>
        </row>
        <row r="103">
          <cell r="B103" t="str">
            <v>January</v>
          </cell>
          <cell r="D103" t="str">
            <v>01-522</v>
          </cell>
          <cell r="F103">
            <v>2856</v>
          </cell>
          <cell r="G103" t="str">
            <v>p</v>
          </cell>
        </row>
        <row r="104">
          <cell r="B104" t="str">
            <v>January</v>
          </cell>
          <cell r="D104" t="str">
            <v>01-525</v>
          </cell>
          <cell r="F104">
            <v>3976</v>
          </cell>
          <cell r="G104" t="str">
            <v>p</v>
          </cell>
        </row>
        <row r="105">
          <cell r="B105" t="str">
            <v>January</v>
          </cell>
          <cell r="D105" t="str">
            <v>01-526</v>
          </cell>
          <cell r="F105">
            <v>3913</v>
          </cell>
          <cell r="G105" t="str">
            <v>p</v>
          </cell>
        </row>
        <row r="106">
          <cell r="B106" t="str">
            <v>January</v>
          </cell>
          <cell r="D106" t="str">
            <v>01-527</v>
          </cell>
          <cell r="F106">
            <v>2677</v>
          </cell>
          <cell r="G106" t="str">
            <v>p</v>
          </cell>
        </row>
        <row r="107">
          <cell r="B107" t="str">
            <v>January</v>
          </cell>
          <cell r="D107" t="str">
            <v>00-900</v>
          </cell>
          <cell r="F107">
            <v>-116918</v>
          </cell>
          <cell r="G107" t="str">
            <v>p</v>
          </cell>
        </row>
        <row r="108">
          <cell r="B108" t="str">
            <v>January</v>
          </cell>
          <cell r="D108" t="str">
            <v>00-068</v>
          </cell>
          <cell r="F108">
            <v>-5.18</v>
          </cell>
          <cell r="G108" t="str">
            <v>x</v>
          </cell>
        </row>
        <row r="109">
          <cell r="B109" t="str">
            <v>January</v>
          </cell>
          <cell r="D109" t="str">
            <v>00-091</v>
          </cell>
          <cell r="F109">
            <v>-118.73</v>
          </cell>
          <cell r="G109" t="str">
            <v>x</v>
          </cell>
        </row>
        <row r="110">
          <cell r="B110" t="str">
            <v>January</v>
          </cell>
          <cell r="D110" t="str">
            <v>00-093</v>
          </cell>
          <cell r="F110">
            <v>-88.69</v>
          </cell>
          <cell r="G110" t="str">
            <v>x</v>
          </cell>
        </row>
        <row r="111">
          <cell r="B111" t="str">
            <v>January</v>
          </cell>
          <cell r="D111" t="str">
            <v>00-094</v>
          </cell>
          <cell r="F111">
            <v>-118.73</v>
          </cell>
          <cell r="G111" t="str">
            <v>x</v>
          </cell>
        </row>
        <row r="112">
          <cell r="B112" t="str">
            <v>January</v>
          </cell>
          <cell r="D112" t="str">
            <v>00-095</v>
          </cell>
          <cell r="F112">
            <v>-79.16</v>
          </cell>
          <cell r="G112" t="str">
            <v>x</v>
          </cell>
        </row>
        <row r="113">
          <cell r="B113" t="str">
            <v>January</v>
          </cell>
          <cell r="D113" t="str">
            <v>00-101</v>
          </cell>
          <cell r="F113">
            <v>-39.57</v>
          </cell>
          <cell r="G113" t="str">
            <v>x</v>
          </cell>
        </row>
        <row r="114">
          <cell r="B114" t="str">
            <v>January</v>
          </cell>
          <cell r="D114" t="str">
            <v>00-124</v>
          </cell>
          <cell r="F114">
            <v>-102.75</v>
          </cell>
          <cell r="G114" t="str">
            <v>x</v>
          </cell>
        </row>
        <row r="115">
          <cell r="B115" t="str">
            <v>January</v>
          </cell>
          <cell r="D115" t="str">
            <v>00-156</v>
          </cell>
          <cell r="F115">
            <v>-309.07</v>
          </cell>
          <cell r="G115" t="str">
            <v>x</v>
          </cell>
        </row>
        <row r="116">
          <cell r="B116" t="str">
            <v>January</v>
          </cell>
          <cell r="D116" t="str">
            <v>00-177</v>
          </cell>
          <cell r="F116">
            <v>-451.55</v>
          </cell>
          <cell r="G116" t="str">
            <v>x</v>
          </cell>
        </row>
        <row r="117">
          <cell r="B117" t="str">
            <v>January</v>
          </cell>
          <cell r="D117" t="str">
            <v>00-820</v>
          </cell>
          <cell r="F117">
            <v>-5540</v>
          </cell>
          <cell r="G117" t="str">
            <v>x</v>
          </cell>
        </row>
        <row r="118">
          <cell r="B118" t="str">
            <v>January</v>
          </cell>
          <cell r="D118" t="str">
            <v>00-821</v>
          </cell>
          <cell r="F118">
            <v>-3910</v>
          </cell>
          <cell r="G118" t="str">
            <v>x</v>
          </cell>
        </row>
        <row r="119">
          <cell r="B119" t="str">
            <v>January</v>
          </cell>
          <cell r="D119" t="str">
            <v>00-822</v>
          </cell>
          <cell r="F119">
            <v>-3913</v>
          </cell>
          <cell r="G119" t="str">
            <v>x</v>
          </cell>
        </row>
        <row r="120">
          <cell r="B120" t="str">
            <v>January</v>
          </cell>
          <cell r="D120" t="str">
            <v>00-823</v>
          </cell>
          <cell r="F120">
            <v>-3910</v>
          </cell>
          <cell r="G120" t="str">
            <v>x</v>
          </cell>
        </row>
        <row r="121">
          <cell r="B121" t="str">
            <v>January</v>
          </cell>
          <cell r="D121" t="str">
            <v>01-510</v>
          </cell>
          <cell r="F121">
            <v>-2845</v>
          </cell>
          <cell r="G121" t="str">
            <v>x</v>
          </cell>
        </row>
        <row r="122">
          <cell r="B122" t="str">
            <v>January</v>
          </cell>
          <cell r="D122" t="str">
            <v>01-512</v>
          </cell>
          <cell r="F122">
            <v>-3490</v>
          </cell>
          <cell r="G122" t="str">
            <v>x</v>
          </cell>
        </row>
        <row r="123">
          <cell r="B123" t="str">
            <v>January</v>
          </cell>
          <cell r="D123" t="str">
            <v>01-514</v>
          </cell>
          <cell r="F123">
            <v>-3913</v>
          </cell>
          <cell r="G123" t="str">
            <v>x</v>
          </cell>
        </row>
        <row r="124">
          <cell r="B124" t="str">
            <v>January</v>
          </cell>
          <cell r="D124" t="str">
            <v>01-515</v>
          </cell>
          <cell r="F124">
            <v>-3913</v>
          </cell>
          <cell r="G124" t="str">
            <v>x</v>
          </cell>
        </row>
        <row r="125">
          <cell r="B125" t="str">
            <v>January</v>
          </cell>
          <cell r="D125" t="str">
            <v>01-526</v>
          </cell>
          <cell r="F125">
            <v>-3913</v>
          </cell>
          <cell r="G125" t="str">
            <v>x</v>
          </cell>
        </row>
        <row r="126">
          <cell r="B126" t="str">
            <v>January</v>
          </cell>
          <cell r="D126" t="str">
            <v>01-527</v>
          </cell>
          <cell r="F126">
            <v>-2677</v>
          </cell>
          <cell r="G126" t="str">
            <v>x</v>
          </cell>
        </row>
        <row r="127">
          <cell r="B127" t="str">
            <v>January</v>
          </cell>
          <cell r="D127" t="str">
            <v>00-806</v>
          </cell>
          <cell r="F127">
            <v>-3253</v>
          </cell>
          <cell r="G127" t="str">
            <v>x</v>
          </cell>
        </row>
        <row r="128">
          <cell r="B128" t="str">
            <v>January</v>
          </cell>
          <cell r="D128" t="str">
            <v>00-807</v>
          </cell>
          <cell r="F128">
            <v>-4686</v>
          </cell>
          <cell r="G128" t="str">
            <v>x</v>
          </cell>
        </row>
        <row r="129">
          <cell r="B129" t="str">
            <v>January</v>
          </cell>
          <cell r="D129" t="str">
            <v>00-808</v>
          </cell>
          <cell r="F129">
            <v>-2281</v>
          </cell>
          <cell r="G129" t="str">
            <v>x</v>
          </cell>
        </row>
        <row r="130">
          <cell r="B130" t="str">
            <v>January</v>
          </cell>
          <cell r="D130" t="str">
            <v>00-809</v>
          </cell>
          <cell r="F130">
            <v>-4013</v>
          </cell>
          <cell r="G130" t="str">
            <v>x</v>
          </cell>
        </row>
        <row r="131">
          <cell r="B131" t="str">
            <v>January</v>
          </cell>
          <cell r="D131" t="str">
            <v>00-810</v>
          </cell>
          <cell r="F131">
            <v>-4686</v>
          </cell>
          <cell r="G131" t="str">
            <v>x</v>
          </cell>
        </row>
        <row r="132">
          <cell r="B132" t="str">
            <v>January</v>
          </cell>
          <cell r="D132" t="str">
            <v>00-811</v>
          </cell>
          <cell r="F132">
            <v>-4013</v>
          </cell>
          <cell r="G132" t="str">
            <v>x</v>
          </cell>
        </row>
        <row r="133">
          <cell r="B133" t="str">
            <v>January</v>
          </cell>
          <cell r="D133" t="str">
            <v>00-818</v>
          </cell>
          <cell r="F133">
            <v>-3910</v>
          </cell>
          <cell r="G133" t="str">
            <v>x</v>
          </cell>
        </row>
        <row r="134">
          <cell r="B134" t="str">
            <v>January</v>
          </cell>
          <cell r="D134" t="str">
            <v>00-169</v>
          </cell>
          <cell r="F134">
            <v>-17398.48</v>
          </cell>
          <cell r="G134" t="str">
            <v>x</v>
          </cell>
        </row>
        <row r="135">
          <cell r="B135" t="str">
            <v>January</v>
          </cell>
          <cell r="D135" t="str">
            <v>00-195</v>
          </cell>
          <cell r="F135">
            <v>451185.29</v>
          </cell>
          <cell r="G135" t="str">
            <v>p</v>
          </cell>
        </row>
        <row r="136">
          <cell r="B136" t="str">
            <v>January</v>
          </cell>
          <cell r="D136" t="str">
            <v>00-196</v>
          </cell>
          <cell r="F136">
            <v>28.85</v>
          </cell>
          <cell r="G136" t="str">
            <v>p</v>
          </cell>
        </row>
        <row r="137">
          <cell r="B137" t="str">
            <v>January</v>
          </cell>
          <cell r="D137" t="str">
            <v>00-212</v>
          </cell>
          <cell r="F137">
            <v>2509.9299999999998</v>
          </cell>
          <cell r="G137" t="str">
            <v>p</v>
          </cell>
        </row>
        <row r="138">
          <cell r="B138" t="str">
            <v>January</v>
          </cell>
          <cell r="D138" t="str">
            <v>00-213</v>
          </cell>
          <cell r="F138">
            <v>2564.6799999999998</v>
          </cell>
          <cell r="G138" t="str">
            <v>p</v>
          </cell>
        </row>
        <row r="139">
          <cell r="B139" t="str">
            <v>January</v>
          </cell>
          <cell r="D139" t="str">
            <v>00-215</v>
          </cell>
          <cell r="F139">
            <v>100</v>
          </cell>
          <cell r="G139" t="str">
            <v>p</v>
          </cell>
        </row>
        <row r="140">
          <cell r="B140" t="str">
            <v>January</v>
          </cell>
          <cell r="D140" t="str">
            <v>00-220</v>
          </cell>
          <cell r="F140">
            <v>18677.21</v>
          </cell>
          <cell r="G140" t="str">
            <v>p</v>
          </cell>
        </row>
        <row r="141">
          <cell r="B141" t="str">
            <v>January</v>
          </cell>
          <cell r="D141" t="str">
            <v>00-222</v>
          </cell>
          <cell r="F141">
            <v>329067.94</v>
          </cell>
          <cell r="G141" t="str">
            <v>p</v>
          </cell>
        </row>
        <row r="142">
          <cell r="B142" t="str">
            <v>January</v>
          </cell>
          <cell r="D142" t="str">
            <v>00-223</v>
          </cell>
          <cell r="F142">
            <v>37620.14</v>
          </cell>
          <cell r="G142" t="str">
            <v>p</v>
          </cell>
        </row>
        <row r="143">
          <cell r="B143" t="str">
            <v>January</v>
          </cell>
          <cell r="D143" t="str">
            <v>00-227</v>
          </cell>
          <cell r="F143">
            <v>200</v>
          </cell>
          <cell r="G143" t="str">
            <v>p</v>
          </cell>
        </row>
        <row r="144">
          <cell r="B144" t="str">
            <v>January</v>
          </cell>
          <cell r="D144" t="str">
            <v>00-900</v>
          </cell>
          <cell r="F144">
            <v>77.489999999999995</v>
          </cell>
          <cell r="G144" t="str">
            <v>p</v>
          </cell>
        </row>
        <row r="145">
          <cell r="B145" t="str">
            <v>January</v>
          </cell>
          <cell r="D145" t="str">
            <v>99-165</v>
          </cell>
          <cell r="F145">
            <v>3998.5</v>
          </cell>
          <cell r="G145" t="str">
            <v>p</v>
          </cell>
        </row>
        <row r="146">
          <cell r="B146" t="str">
            <v>January</v>
          </cell>
          <cell r="D146" t="str">
            <v>01-001</v>
          </cell>
          <cell r="F146">
            <v>180</v>
          </cell>
          <cell r="G146" t="str">
            <v>p</v>
          </cell>
        </row>
        <row r="147">
          <cell r="B147" t="str">
            <v>January</v>
          </cell>
          <cell r="D147" t="str">
            <v>01-002</v>
          </cell>
          <cell r="F147">
            <v>1621.03</v>
          </cell>
          <cell r="G147" t="str">
            <v>p</v>
          </cell>
        </row>
        <row r="148">
          <cell r="B148" t="str">
            <v>January</v>
          </cell>
          <cell r="D148" t="str">
            <v>01-007</v>
          </cell>
          <cell r="F148">
            <v>5329.75</v>
          </cell>
          <cell r="G148" t="str">
            <v>p</v>
          </cell>
        </row>
        <row r="149">
          <cell r="B149" t="str">
            <v>January</v>
          </cell>
          <cell r="D149" t="str">
            <v>00-183</v>
          </cell>
          <cell r="F149">
            <v>177764.46</v>
          </cell>
          <cell r="G149" t="str">
            <v>p</v>
          </cell>
        </row>
        <row r="150">
          <cell r="B150" t="str">
            <v>January</v>
          </cell>
          <cell r="D150" t="str">
            <v>00-189</v>
          </cell>
          <cell r="F150">
            <v>6128</v>
          </cell>
          <cell r="G150" t="str">
            <v>p</v>
          </cell>
        </row>
        <row r="151">
          <cell r="B151" t="str">
            <v>January</v>
          </cell>
          <cell r="D151" t="str">
            <v>00-221</v>
          </cell>
          <cell r="F151">
            <v>12533.25</v>
          </cell>
          <cell r="G151" t="str">
            <v>p</v>
          </cell>
        </row>
        <row r="152">
          <cell r="B152" t="str">
            <v>January</v>
          </cell>
          <cell r="D152" t="str">
            <v>00-225</v>
          </cell>
          <cell r="F152">
            <v>117225.71</v>
          </cell>
          <cell r="G152" t="str">
            <v>p</v>
          </cell>
        </row>
        <row r="153">
          <cell r="B153" t="str">
            <v>January</v>
          </cell>
          <cell r="D153" t="str">
            <v>01-011</v>
          </cell>
          <cell r="F153">
            <v>12533.25</v>
          </cell>
          <cell r="G153" t="str">
            <v>p</v>
          </cell>
        </row>
        <row r="154">
          <cell r="B154" t="str">
            <v>January</v>
          </cell>
          <cell r="D154" t="str">
            <v>00-793</v>
          </cell>
          <cell r="F154">
            <v>-4013</v>
          </cell>
          <cell r="G154" t="str">
            <v>c</v>
          </cell>
        </row>
        <row r="155">
          <cell r="B155" t="str">
            <v>January</v>
          </cell>
          <cell r="D155" t="str">
            <v>00-804</v>
          </cell>
          <cell r="F155">
            <v>-4400</v>
          </cell>
          <cell r="G155" t="str">
            <v>c</v>
          </cell>
        </row>
        <row r="156">
          <cell r="B156" t="str">
            <v>January</v>
          </cell>
          <cell r="D156" t="str">
            <v>00-813</v>
          </cell>
          <cell r="F156">
            <v>-1799</v>
          </cell>
          <cell r="G156" t="str">
            <v>c</v>
          </cell>
        </row>
        <row r="157">
          <cell r="B157" t="str">
            <v>January</v>
          </cell>
          <cell r="D157" t="str">
            <v>00-816</v>
          </cell>
          <cell r="F157">
            <v>-2281</v>
          </cell>
          <cell r="G157" t="str">
            <v>c</v>
          </cell>
        </row>
        <row r="158">
          <cell r="B158" t="str">
            <v>January</v>
          </cell>
          <cell r="D158" t="str">
            <v>00-817</v>
          </cell>
          <cell r="F158">
            <v>-2281</v>
          </cell>
          <cell r="G158" t="str">
            <v>c</v>
          </cell>
        </row>
        <row r="159">
          <cell r="B159" t="str">
            <v>January</v>
          </cell>
          <cell r="D159" t="str">
            <v>01-500</v>
          </cell>
          <cell r="F159">
            <v>-4683</v>
          </cell>
          <cell r="G159" t="str">
            <v>c</v>
          </cell>
        </row>
        <row r="160">
          <cell r="B160" t="str">
            <v>January</v>
          </cell>
          <cell r="D160" t="str">
            <v>01-501</v>
          </cell>
          <cell r="F160">
            <v>-3910</v>
          </cell>
          <cell r="G160" t="str">
            <v>c</v>
          </cell>
        </row>
        <row r="161">
          <cell r="B161" t="str">
            <v>January</v>
          </cell>
          <cell r="D161" t="str">
            <v>01-503</v>
          </cell>
          <cell r="F161">
            <v>-4013</v>
          </cell>
          <cell r="G161" t="str">
            <v>c</v>
          </cell>
        </row>
        <row r="162">
          <cell r="B162" t="str">
            <v>January</v>
          </cell>
          <cell r="D162" t="str">
            <v>01-506</v>
          </cell>
          <cell r="F162">
            <v>-2571</v>
          </cell>
          <cell r="G162" t="str">
            <v>c</v>
          </cell>
        </row>
        <row r="163">
          <cell r="B163" t="str">
            <v>January</v>
          </cell>
          <cell r="D163" t="str">
            <v>01-516</v>
          </cell>
          <cell r="F163">
            <v>-2845</v>
          </cell>
          <cell r="G163" t="str">
            <v>c</v>
          </cell>
        </row>
        <row r="164">
          <cell r="B164" t="str">
            <v>January</v>
          </cell>
          <cell r="D164" t="str">
            <v>01-518</v>
          </cell>
          <cell r="F164">
            <v>-2281</v>
          </cell>
          <cell r="G164" t="str">
            <v>c</v>
          </cell>
        </row>
        <row r="165">
          <cell r="B165" t="str">
            <v>January</v>
          </cell>
          <cell r="D165" t="str">
            <v>01-522</v>
          </cell>
          <cell r="F165">
            <v>-2856</v>
          </cell>
          <cell r="G165" t="str">
            <v>c</v>
          </cell>
        </row>
        <row r="166">
          <cell r="B166" t="str">
            <v>January</v>
          </cell>
          <cell r="D166" t="str">
            <v>01-525</v>
          </cell>
          <cell r="F166">
            <v>-3976</v>
          </cell>
          <cell r="G166" t="str">
            <v>c</v>
          </cell>
        </row>
        <row r="167">
          <cell r="B167" t="str">
            <v>January</v>
          </cell>
          <cell r="D167" t="str">
            <v>00-183</v>
          </cell>
          <cell r="F167">
            <v>14221.16</v>
          </cell>
          <cell r="G167" t="str">
            <v>p</v>
          </cell>
        </row>
        <row r="168">
          <cell r="B168" t="str">
            <v>January</v>
          </cell>
          <cell r="D168" t="str">
            <v>00-221</v>
          </cell>
          <cell r="F168">
            <v>1002.66</v>
          </cell>
          <cell r="G168" t="str">
            <v>p</v>
          </cell>
        </row>
        <row r="169">
          <cell r="B169" t="str">
            <v>January</v>
          </cell>
          <cell r="D169" t="str">
            <v>00-225</v>
          </cell>
          <cell r="F169">
            <v>9378.0499999999993</v>
          </cell>
          <cell r="G169" t="str">
            <v>p</v>
          </cell>
        </row>
        <row r="170">
          <cell r="B170" t="str">
            <v>January</v>
          </cell>
          <cell r="D170" t="str">
            <v>01-011</v>
          </cell>
          <cell r="F170">
            <v>1002.66</v>
          </cell>
          <cell r="G170" t="str">
            <v>p</v>
          </cell>
        </row>
        <row r="171">
          <cell r="B171" t="str">
            <v>January</v>
          </cell>
          <cell r="D171" t="str">
            <v>No CSR#</v>
          </cell>
          <cell r="F171">
            <v>-94375.5</v>
          </cell>
          <cell r="G171" t="str">
            <v>c</v>
          </cell>
        </row>
        <row r="172">
          <cell r="B172" t="str">
            <v>January</v>
          </cell>
          <cell r="D172" t="str">
            <v>00-062</v>
          </cell>
          <cell r="F172">
            <v>-87110.11</v>
          </cell>
          <cell r="G172" t="str">
            <v>c</v>
          </cell>
        </row>
        <row r="173">
          <cell r="B173" t="str">
            <v>January</v>
          </cell>
          <cell r="D173" t="str">
            <v>00-069</v>
          </cell>
          <cell r="F173">
            <v>-235381.71</v>
          </cell>
          <cell r="G173" t="str">
            <v>c</v>
          </cell>
        </row>
        <row r="174">
          <cell r="B174" t="str">
            <v>January</v>
          </cell>
          <cell r="D174" t="str">
            <v>00-138</v>
          </cell>
          <cell r="F174">
            <v>-10271.700000000001</v>
          </cell>
          <cell r="G174" t="str">
            <v>c</v>
          </cell>
        </row>
        <row r="175">
          <cell r="B175" t="str">
            <v>January</v>
          </cell>
          <cell r="D175" t="str">
            <v>00-142</v>
          </cell>
          <cell r="F175">
            <v>-51791.4</v>
          </cell>
          <cell r="G175" t="str">
            <v>c</v>
          </cell>
        </row>
        <row r="176">
          <cell r="B176" t="str">
            <v>January</v>
          </cell>
          <cell r="D176" t="str">
            <v>00-163</v>
          </cell>
          <cell r="F176">
            <v>-3510.42</v>
          </cell>
          <cell r="G176" t="str">
            <v>c</v>
          </cell>
        </row>
        <row r="177">
          <cell r="B177" t="str">
            <v>January</v>
          </cell>
          <cell r="D177" t="str">
            <v>00-188</v>
          </cell>
          <cell r="F177">
            <v>-7600.41</v>
          </cell>
          <cell r="G177" t="str">
            <v>c</v>
          </cell>
        </row>
        <row r="178">
          <cell r="B178" t="str">
            <v>January</v>
          </cell>
          <cell r="D178" t="str">
            <v>00-191</v>
          </cell>
          <cell r="F178">
            <v>-19202.16</v>
          </cell>
          <cell r="G178" t="str">
            <v>c</v>
          </cell>
        </row>
        <row r="179">
          <cell r="B179" t="str">
            <v>January</v>
          </cell>
          <cell r="D179" t="str">
            <v>00-221</v>
          </cell>
          <cell r="F179">
            <v>-13535.91</v>
          </cell>
          <cell r="G179" t="str">
            <v>c</v>
          </cell>
        </row>
        <row r="180">
          <cell r="B180" t="str">
            <v>January</v>
          </cell>
          <cell r="D180" t="str">
            <v>00-225</v>
          </cell>
          <cell r="F180">
            <v>-126603.76</v>
          </cell>
          <cell r="G180" t="str">
            <v>c</v>
          </cell>
        </row>
        <row r="181">
          <cell r="B181" t="str">
            <v>January</v>
          </cell>
          <cell r="D181" t="str">
            <v>99-300</v>
          </cell>
          <cell r="F181">
            <v>-23275.78</v>
          </cell>
          <cell r="G181" t="str">
            <v>c</v>
          </cell>
        </row>
        <row r="182">
          <cell r="B182" t="str">
            <v>January</v>
          </cell>
          <cell r="D182" t="str">
            <v>01-011</v>
          </cell>
          <cell r="F182">
            <v>-13535.91</v>
          </cell>
          <cell r="G182" t="str">
            <v>c</v>
          </cell>
        </row>
        <row r="183">
          <cell r="B183" t="str">
            <v>January</v>
          </cell>
          <cell r="D183" t="str">
            <v>99-336</v>
          </cell>
          <cell r="F183">
            <v>-918393</v>
          </cell>
          <cell r="G183" t="str">
            <v>c</v>
          </cell>
        </row>
        <row r="184">
          <cell r="B184" t="str">
            <v>January</v>
          </cell>
          <cell r="D184" t="str">
            <v>99-166</v>
          </cell>
          <cell r="F184">
            <v>-780855</v>
          </cell>
          <cell r="G184" t="str">
            <v>c</v>
          </cell>
        </row>
        <row r="185">
          <cell r="B185" t="str">
            <v>January</v>
          </cell>
          <cell r="D185" t="str">
            <v>99-165</v>
          </cell>
          <cell r="F185">
            <v>-240417</v>
          </cell>
          <cell r="G185" t="str">
            <v>c</v>
          </cell>
        </row>
        <row r="186">
          <cell r="B186" t="str">
            <v>January</v>
          </cell>
          <cell r="D186" t="str">
            <v>99-344</v>
          </cell>
          <cell r="F186">
            <v>40083.75</v>
          </cell>
          <cell r="G186" t="str">
            <v>p</v>
          </cell>
        </row>
        <row r="187">
          <cell r="B187" t="str">
            <v>January</v>
          </cell>
          <cell r="D187" t="str">
            <v>00-108</v>
          </cell>
          <cell r="F187">
            <v>19000</v>
          </cell>
          <cell r="G187" t="str">
            <v>p</v>
          </cell>
        </row>
        <row r="188">
          <cell r="B188" t="str">
            <v>January</v>
          </cell>
          <cell r="D188" t="str">
            <v>00-151</v>
          </cell>
          <cell r="F188">
            <v>15931.99</v>
          </cell>
          <cell r="G188" t="str">
            <v>p</v>
          </cell>
        </row>
        <row r="189">
          <cell r="B189" t="str">
            <v>January</v>
          </cell>
          <cell r="D189" t="str">
            <v>00-151</v>
          </cell>
          <cell r="F189">
            <v>2400</v>
          </cell>
          <cell r="G189" t="str">
            <v>p</v>
          </cell>
        </row>
        <row r="190">
          <cell r="B190" t="str">
            <v>January</v>
          </cell>
          <cell r="D190" t="str">
            <v>00-167</v>
          </cell>
          <cell r="F190">
            <v>192957.39</v>
          </cell>
          <cell r="G190" t="str">
            <v>p</v>
          </cell>
        </row>
        <row r="191">
          <cell r="B191" t="str">
            <v>January</v>
          </cell>
          <cell r="D191" t="str">
            <v>00-167</v>
          </cell>
          <cell r="F191">
            <v>38827.800000000003</v>
          </cell>
          <cell r="G191" t="str">
            <v>p</v>
          </cell>
        </row>
        <row r="192">
          <cell r="B192" t="str">
            <v>January</v>
          </cell>
          <cell r="D192" t="str">
            <v>00-167</v>
          </cell>
          <cell r="F192">
            <v>45462.93</v>
          </cell>
          <cell r="G192" t="str">
            <v>p</v>
          </cell>
        </row>
        <row r="193">
          <cell r="B193" t="str">
            <v>January</v>
          </cell>
          <cell r="D193" t="str">
            <v>00-167</v>
          </cell>
          <cell r="F193">
            <v>133552.93</v>
          </cell>
          <cell r="G193" t="str">
            <v>p</v>
          </cell>
        </row>
        <row r="194">
          <cell r="B194" t="str">
            <v>January</v>
          </cell>
          <cell r="D194" t="str">
            <v>00-168</v>
          </cell>
          <cell r="F194">
            <v>64823.55</v>
          </cell>
          <cell r="G194" t="str">
            <v>p</v>
          </cell>
        </row>
        <row r="195">
          <cell r="B195" t="str">
            <v>January</v>
          </cell>
          <cell r="D195" t="str">
            <v>00-168</v>
          </cell>
          <cell r="F195">
            <v>16205.89</v>
          </cell>
          <cell r="G195" t="str">
            <v>p</v>
          </cell>
        </row>
        <row r="196">
          <cell r="B196" t="str">
            <v>January</v>
          </cell>
          <cell r="D196" t="str">
            <v>00-178</v>
          </cell>
          <cell r="F196">
            <v>30093.5</v>
          </cell>
          <cell r="G196" t="str">
            <v>p</v>
          </cell>
        </row>
        <row r="197">
          <cell r="B197" t="str">
            <v>January</v>
          </cell>
          <cell r="D197" t="str">
            <v>00-195</v>
          </cell>
          <cell r="F197">
            <v>1274.47</v>
          </cell>
          <cell r="G197" t="str">
            <v>p</v>
          </cell>
        </row>
        <row r="198">
          <cell r="B198" t="str">
            <v>January</v>
          </cell>
          <cell r="D198" t="str">
            <v>00-195</v>
          </cell>
          <cell r="F198">
            <v>346469.99</v>
          </cell>
          <cell r="G198" t="str">
            <v>p</v>
          </cell>
        </row>
        <row r="199">
          <cell r="B199" t="str">
            <v>January</v>
          </cell>
          <cell r="D199" t="str">
            <v>00-200</v>
          </cell>
          <cell r="F199">
            <v>39133.599999999999</v>
          </cell>
          <cell r="G199" t="str">
            <v>p</v>
          </cell>
        </row>
        <row r="200">
          <cell r="B200" t="str">
            <v>January</v>
          </cell>
          <cell r="D200" t="str">
            <v>00-201</v>
          </cell>
          <cell r="F200">
            <v>47493.599999999999</v>
          </cell>
          <cell r="G200" t="str">
            <v>p</v>
          </cell>
        </row>
        <row r="201">
          <cell r="B201" t="str">
            <v>January</v>
          </cell>
          <cell r="D201" t="str">
            <v>00-210</v>
          </cell>
          <cell r="F201">
            <v>39133.599999999999</v>
          </cell>
          <cell r="G201" t="str">
            <v>p</v>
          </cell>
        </row>
        <row r="202">
          <cell r="B202" t="str">
            <v>January</v>
          </cell>
          <cell r="D202" t="str">
            <v>00-211</v>
          </cell>
          <cell r="F202">
            <v>47493.599999999999</v>
          </cell>
          <cell r="G202" t="str">
            <v>p</v>
          </cell>
        </row>
        <row r="203">
          <cell r="B203" t="str">
            <v>January</v>
          </cell>
          <cell r="D203" t="str">
            <v>00-218</v>
          </cell>
          <cell r="F203">
            <v>3587.79</v>
          </cell>
          <cell r="G203" t="str">
            <v>p</v>
          </cell>
        </row>
        <row r="204">
          <cell r="B204" t="str">
            <v>January</v>
          </cell>
          <cell r="D204" t="str">
            <v>00-183</v>
          </cell>
          <cell r="F204">
            <v>-79196.350000000006</v>
          </cell>
          <cell r="G204" t="str">
            <v>p</v>
          </cell>
        </row>
        <row r="205">
          <cell r="B205" t="str">
            <v>January</v>
          </cell>
          <cell r="D205" t="str">
            <v>00-194</v>
          </cell>
          <cell r="F205">
            <v>5329.23</v>
          </cell>
          <cell r="G205" t="str">
            <v>p</v>
          </cell>
        </row>
        <row r="206">
          <cell r="B206" t="str">
            <v>January</v>
          </cell>
          <cell r="D206" t="str">
            <v>00-168</v>
          </cell>
          <cell r="F206">
            <v>27473.68</v>
          </cell>
          <cell r="G206" t="str">
            <v>p</v>
          </cell>
        </row>
        <row r="207">
          <cell r="B207" t="str">
            <v>January</v>
          </cell>
          <cell r="D207" t="str">
            <v>00-171</v>
          </cell>
          <cell r="F207">
            <v>6569.63</v>
          </cell>
          <cell r="G207" t="str">
            <v>p</v>
          </cell>
        </row>
        <row r="208">
          <cell r="B208" t="str">
            <v>February</v>
          </cell>
          <cell r="D208" t="str">
            <v>00-013</v>
          </cell>
          <cell r="F208">
            <v>11990.02</v>
          </cell>
          <cell r="G208" t="str">
            <v>p</v>
          </cell>
        </row>
        <row r="209">
          <cell r="B209" t="str">
            <v>February</v>
          </cell>
          <cell r="D209" t="str">
            <v>00-102</v>
          </cell>
          <cell r="F209">
            <v>8</v>
          </cell>
          <cell r="G209" t="str">
            <v>p</v>
          </cell>
        </row>
        <row r="210">
          <cell r="B210" t="str">
            <v>February</v>
          </cell>
          <cell r="D210" t="str">
            <v>00-108</v>
          </cell>
          <cell r="F210">
            <v>-8200</v>
          </cell>
          <cell r="G210" t="str">
            <v>p</v>
          </cell>
        </row>
        <row r="211">
          <cell r="B211" t="str">
            <v>February</v>
          </cell>
          <cell r="D211" t="str">
            <v>00-140</v>
          </cell>
          <cell r="F211">
            <v>0.01</v>
          </cell>
          <cell r="G211" t="str">
            <v>p</v>
          </cell>
        </row>
        <row r="212">
          <cell r="B212" t="str">
            <v>February</v>
          </cell>
          <cell r="D212" t="str">
            <v>00-144</v>
          </cell>
          <cell r="F212">
            <v>55699.17</v>
          </cell>
          <cell r="G212" t="str">
            <v>p</v>
          </cell>
        </row>
        <row r="213">
          <cell r="B213" t="str">
            <v>February</v>
          </cell>
          <cell r="D213" t="str">
            <v>00-151</v>
          </cell>
          <cell r="F213">
            <v>-18331.990000000002</v>
          </cell>
          <cell r="G213" t="str">
            <v>p</v>
          </cell>
        </row>
        <row r="214">
          <cell r="B214" t="str">
            <v>February</v>
          </cell>
          <cell r="D214" t="str">
            <v>00-167</v>
          </cell>
          <cell r="F214">
            <v>-332751.49</v>
          </cell>
          <cell r="G214" t="str">
            <v>p</v>
          </cell>
        </row>
        <row r="215">
          <cell r="B215" t="str">
            <v>February</v>
          </cell>
          <cell r="D215" t="str">
            <v>00-168</v>
          </cell>
          <cell r="F215">
            <v>-81029.440000000002</v>
          </cell>
          <cell r="G215" t="str">
            <v>p</v>
          </cell>
        </row>
        <row r="216">
          <cell r="B216" t="str">
            <v>February</v>
          </cell>
          <cell r="D216" t="str">
            <v>00-171</v>
          </cell>
          <cell r="F216">
            <v>-2756.43</v>
          </cell>
          <cell r="G216" t="str">
            <v>p</v>
          </cell>
        </row>
        <row r="217">
          <cell r="B217" t="str">
            <v>February</v>
          </cell>
          <cell r="D217" t="str">
            <v>00-178</v>
          </cell>
          <cell r="F217">
            <v>-69.5</v>
          </cell>
          <cell r="G217" t="str">
            <v>p</v>
          </cell>
        </row>
        <row r="218">
          <cell r="B218" t="str">
            <v>February</v>
          </cell>
          <cell r="D218" t="str">
            <v>00-180</v>
          </cell>
          <cell r="F218">
            <v>112971.43</v>
          </cell>
          <cell r="G218" t="str">
            <v>p</v>
          </cell>
        </row>
        <row r="219">
          <cell r="B219" t="str">
            <v>February</v>
          </cell>
          <cell r="D219" t="str">
            <v>00-195</v>
          </cell>
          <cell r="F219">
            <v>-345596.51</v>
          </cell>
          <cell r="G219" t="str">
            <v>p</v>
          </cell>
        </row>
        <row r="220">
          <cell r="B220" t="str">
            <v>February</v>
          </cell>
          <cell r="D220" t="str">
            <v>00-196</v>
          </cell>
          <cell r="F220">
            <v>10740.6</v>
          </cell>
          <cell r="G220" t="str">
            <v>p</v>
          </cell>
        </row>
        <row r="221">
          <cell r="B221" t="str">
            <v>February</v>
          </cell>
          <cell r="D221" t="str">
            <v>00-197</v>
          </cell>
          <cell r="F221">
            <v>15810.1</v>
          </cell>
          <cell r="G221" t="str">
            <v>p</v>
          </cell>
        </row>
        <row r="222">
          <cell r="B222" t="str">
            <v>February</v>
          </cell>
          <cell r="D222" t="str">
            <v>00-198</v>
          </cell>
          <cell r="F222">
            <v>947.55</v>
          </cell>
          <cell r="G222" t="str">
            <v>p</v>
          </cell>
        </row>
        <row r="223">
          <cell r="B223" t="str">
            <v>February</v>
          </cell>
          <cell r="D223" t="str">
            <v>00-200</v>
          </cell>
          <cell r="F223">
            <v>3130.69</v>
          </cell>
          <cell r="G223" t="str">
            <v>p</v>
          </cell>
        </row>
        <row r="224">
          <cell r="B224" t="str">
            <v>February</v>
          </cell>
          <cell r="D224" t="str">
            <v>00-201</v>
          </cell>
          <cell r="F224">
            <v>3799.49</v>
          </cell>
          <cell r="G224" t="str">
            <v>p</v>
          </cell>
        </row>
        <row r="225">
          <cell r="B225" t="str">
            <v>February</v>
          </cell>
          <cell r="D225" t="str">
            <v>00-210</v>
          </cell>
          <cell r="F225">
            <v>-39133.599999999999</v>
          </cell>
          <cell r="G225" t="str">
            <v>p</v>
          </cell>
        </row>
        <row r="226">
          <cell r="B226" t="str">
            <v>February</v>
          </cell>
          <cell r="D226" t="str">
            <v>00-211</v>
          </cell>
          <cell r="F226">
            <v>-47493.599999999999</v>
          </cell>
          <cell r="G226" t="str">
            <v>p</v>
          </cell>
        </row>
        <row r="227">
          <cell r="B227" t="str">
            <v>February</v>
          </cell>
          <cell r="D227" t="str">
            <v>00-218</v>
          </cell>
          <cell r="F227">
            <v>-3400.92</v>
          </cell>
          <cell r="G227" t="str">
            <v>p</v>
          </cell>
        </row>
        <row r="228">
          <cell r="B228" t="str">
            <v>February</v>
          </cell>
          <cell r="D228" t="str">
            <v>00-222</v>
          </cell>
          <cell r="F228">
            <v>-24375.4</v>
          </cell>
          <cell r="G228" t="str">
            <v>p</v>
          </cell>
        </row>
        <row r="229">
          <cell r="B229" t="str">
            <v>February</v>
          </cell>
          <cell r="D229" t="str">
            <v>00-224</v>
          </cell>
          <cell r="F229">
            <v>172.32</v>
          </cell>
          <cell r="G229" t="str">
            <v>p</v>
          </cell>
        </row>
        <row r="230">
          <cell r="B230" t="str">
            <v>February</v>
          </cell>
          <cell r="D230" t="str">
            <v>00-226</v>
          </cell>
          <cell r="F230">
            <v>-3544.03</v>
          </cell>
          <cell r="G230" t="str">
            <v>p</v>
          </cell>
        </row>
        <row r="231">
          <cell r="B231" t="str">
            <v>February</v>
          </cell>
          <cell r="D231" t="str">
            <v>00-900</v>
          </cell>
          <cell r="F231">
            <v>10655.24</v>
          </cell>
          <cell r="G231" t="str">
            <v>p</v>
          </cell>
        </row>
        <row r="232">
          <cell r="B232" t="str">
            <v>February</v>
          </cell>
          <cell r="D232" t="str">
            <v>99-344</v>
          </cell>
          <cell r="F232">
            <v>-39093.1</v>
          </cell>
          <cell r="G232" t="str">
            <v>p</v>
          </cell>
        </row>
        <row r="233">
          <cell r="B233" t="str">
            <v>February</v>
          </cell>
          <cell r="D233" t="str">
            <v>01-002</v>
          </cell>
          <cell r="F233">
            <v>52275.360000000001</v>
          </cell>
          <cell r="G233" t="str">
            <v>p</v>
          </cell>
        </row>
        <row r="234">
          <cell r="B234" t="str">
            <v>February</v>
          </cell>
          <cell r="D234" t="str">
            <v>01-007</v>
          </cell>
          <cell r="F234">
            <v>10.99</v>
          </cell>
          <cell r="G234" t="str">
            <v>p</v>
          </cell>
        </row>
        <row r="235">
          <cell r="B235" t="str">
            <v>February</v>
          </cell>
          <cell r="D235" t="str">
            <v>01-009</v>
          </cell>
          <cell r="F235">
            <v>42093</v>
          </cell>
          <cell r="G235" t="str">
            <v>p</v>
          </cell>
        </row>
        <row r="236">
          <cell r="B236" t="str">
            <v>February</v>
          </cell>
          <cell r="D236" t="str">
            <v>01-015</v>
          </cell>
          <cell r="F236">
            <v>9088.2000000000007</v>
          </cell>
          <cell r="G236" t="str">
            <v>p</v>
          </cell>
        </row>
        <row r="237">
          <cell r="B237" t="str">
            <v>February</v>
          </cell>
          <cell r="D237" t="str">
            <v>01-017</v>
          </cell>
          <cell r="F237">
            <v>13944.51</v>
          </cell>
          <cell r="G237" t="str">
            <v>p</v>
          </cell>
        </row>
        <row r="238">
          <cell r="B238" t="str">
            <v>February</v>
          </cell>
          <cell r="D238" t="str">
            <v>01-019</v>
          </cell>
          <cell r="F238">
            <v>5634.52</v>
          </cell>
          <cell r="G238" t="str">
            <v>p</v>
          </cell>
        </row>
        <row r="239">
          <cell r="B239" t="str">
            <v>February</v>
          </cell>
          <cell r="D239" t="str">
            <v>01-301</v>
          </cell>
          <cell r="F239">
            <v>644</v>
          </cell>
          <cell r="G239" t="str">
            <v>p</v>
          </cell>
        </row>
        <row r="240">
          <cell r="B240" t="str">
            <v>February</v>
          </cell>
          <cell r="D240" t="str">
            <v>01-303</v>
          </cell>
          <cell r="F240">
            <v>38200</v>
          </cell>
          <cell r="G240" t="str">
            <v>p</v>
          </cell>
        </row>
        <row r="241">
          <cell r="B241" t="str">
            <v>February</v>
          </cell>
          <cell r="D241" t="str">
            <v>01-400</v>
          </cell>
          <cell r="F241">
            <v>42264.29</v>
          </cell>
          <cell r="G241" t="str">
            <v>p</v>
          </cell>
        </row>
        <row r="242">
          <cell r="B242" t="str">
            <v>February</v>
          </cell>
          <cell r="D242" t="str">
            <v>01-401</v>
          </cell>
          <cell r="F242">
            <v>51293.09</v>
          </cell>
          <cell r="G242" t="str">
            <v>p</v>
          </cell>
        </row>
        <row r="243">
          <cell r="B243" t="str">
            <v>February</v>
          </cell>
          <cell r="D243" t="str">
            <v>01-004</v>
          </cell>
          <cell r="F243">
            <v>18522.03</v>
          </cell>
          <cell r="G243" t="str">
            <v>p</v>
          </cell>
        </row>
        <row r="244">
          <cell r="B244" t="str">
            <v>February</v>
          </cell>
          <cell r="D244" t="str">
            <v>01-005</v>
          </cell>
          <cell r="F244">
            <v>14688.52</v>
          </cell>
          <cell r="G244" t="str">
            <v>p</v>
          </cell>
        </row>
        <row r="245">
          <cell r="B245" t="str">
            <v>February</v>
          </cell>
          <cell r="D245" t="str">
            <v>01-902</v>
          </cell>
          <cell r="F245">
            <v>18737.87</v>
          </cell>
          <cell r="G245" t="str">
            <v>p</v>
          </cell>
        </row>
        <row r="246">
          <cell r="B246" t="str">
            <v>February</v>
          </cell>
          <cell r="D246" t="str">
            <v>00-815</v>
          </cell>
          <cell r="F246">
            <v>2281</v>
          </cell>
          <cell r="G246" t="str">
            <v>p</v>
          </cell>
        </row>
        <row r="247">
          <cell r="B247" t="str">
            <v>February</v>
          </cell>
          <cell r="D247" t="str">
            <v>01-509</v>
          </cell>
          <cell r="F247">
            <v>3913</v>
          </cell>
          <cell r="G247" t="str">
            <v>p</v>
          </cell>
        </row>
        <row r="248">
          <cell r="B248" t="str">
            <v>February</v>
          </cell>
          <cell r="D248" t="str">
            <v>01-519</v>
          </cell>
          <cell r="F248">
            <v>3910</v>
          </cell>
          <cell r="G248" t="str">
            <v>p</v>
          </cell>
        </row>
        <row r="249">
          <cell r="B249" t="str">
            <v>February</v>
          </cell>
          <cell r="D249" t="str">
            <v>01-524</v>
          </cell>
          <cell r="F249">
            <v>6643</v>
          </cell>
          <cell r="G249" t="str">
            <v>p</v>
          </cell>
        </row>
        <row r="250">
          <cell r="B250" t="str">
            <v>February</v>
          </cell>
          <cell r="D250" t="str">
            <v>01-529</v>
          </cell>
          <cell r="F250">
            <v>4100</v>
          </cell>
          <cell r="G250" t="str">
            <v>p</v>
          </cell>
        </row>
        <row r="251">
          <cell r="B251" t="str">
            <v>February</v>
          </cell>
          <cell r="D251" t="str">
            <v>01-531</v>
          </cell>
          <cell r="F251">
            <v>3913</v>
          </cell>
          <cell r="G251" t="str">
            <v>p</v>
          </cell>
        </row>
        <row r="252">
          <cell r="B252" t="str">
            <v>February</v>
          </cell>
          <cell r="D252" t="str">
            <v>01-532</v>
          </cell>
          <cell r="F252">
            <v>3913</v>
          </cell>
          <cell r="G252" t="str">
            <v>p</v>
          </cell>
        </row>
        <row r="253">
          <cell r="B253" t="str">
            <v>February</v>
          </cell>
          <cell r="D253" t="str">
            <v>01-534</v>
          </cell>
          <cell r="F253">
            <v>2677</v>
          </cell>
          <cell r="G253" t="str">
            <v>p</v>
          </cell>
        </row>
        <row r="254">
          <cell r="B254" t="str">
            <v>February</v>
          </cell>
          <cell r="D254" t="str">
            <v>01-536</v>
          </cell>
          <cell r="F254">
            <v>3976</v>
          </cell>
          <cell r="G254" t="str">
            <v>p</v>
          </cell>
        </row>
        <row r="255">
          <cell r="B255" t="str">
            <v>February</v>
          </cell>
          <cell r="D255" t="str">
            <v>01-537</v>
          </cell>
          <cell r="F255">
            <v>2281</v>
          </cell>
          <cell r="G255" t="str">
            <v>p</v>
          </cell>
        </row>
        <row r="256">
          <cell r="B256" t="str">
            <v>February</v>
          </cell>
          <cell r="D256" t="str">
            <v>01-538</v>
          </cell>
          <cell r="F256">
            <v>1799</v>
          </cell>
          <cell r="G256" t="str">
            <v>p</v>
          </cell>
        </row>
        <row r="257">
          <cell r="B257" t="str">
            <v>February</v>
          </cell>
          <cell r="D257" t="str">
            <v>01-539</v>
          </cell>
          <cell r="F257">
            <v>4438</v>
          </cell>
          <cell r="G257" t="str">
            <v>p</v>
          </cell>
        </row>
        <row r="258">
          <cell r="B258" t="str">
            <v>February</v>
          </cell>
          <cell r="D258" t="str">
            <v>01-543</v>
          </cell>
          <cell r="F258">
            <v>4160</v>
          </cell>
          <cell r="G258" t="str">
            <v>p</v>
          </cell>
        </row>
        <row r="259">
          <cell r="B259" t="str">
            <v>February</v>
          </cell>
          <cell r="D259" t="str">
            <v>01-544</v>
          </cell>
          <cell r="F259">
            <v>4160</v>
          </cell>
          <cell r="G259" t="str">
            <v>p</v>
          </cell>
        </row>
        <row r="260">
          <cell r="B260" t="str">
            <v>February</v>
          </cell>
          <cell r="D260" t="str">
            <v>01-545</v>
          </cell>
          <cell r="F260">
            <v>4160</v>
          </cell>
          <cell r="G260" t="str">
            <v>p</v>
          </cell>
        </row>
        <row r="261">
          <cell r="B261" t="str">
            <v>February</v>
          </cell>
          <cell r="D261" t="str">
            <v>01-546</v>
          </cell>
          <cell r="F261">
            <v>4160</v>
          </cell>
          <cell r="G261" t="str">
            <v>p</v>
          </cell>
        </row>
        <row r="262">
          <cell r="B262" t="str">
            <v>February</v>
          </cell>
          <cell r="D262" t="str">
            <v>01-547</v>
          </cell>
          <cell r="F262">
            <v>4160</v>
          </cell>
          <cell r="G262" t="str">
            <v>p</v>
          </cell>
        </row>
        <row r="263">
          <cell r="B263" t="str">
            <v>February</v>
          </cell>
          <cell r="D263" t="str">
            <v>01-548</v>
          </cell>
          <cell r="F263">
            <v>4160</v>
          </cell>
          <cell r="G263" t="str">
            <v>p</v>
          </cell>
        </row>
        <row r="264">
          <cell r="B264" t="str">
            <v>February</v>
          </cell>
          <cell r="D264" t="str">
            <v>01-549</v>
          </cell>
          <cell r="F264">
            <v>4160</v>
          </cell>
          <cell r="G264" t="str">
            <v>p</v>
          </cell>
        </row>
        <row r="265">
          <cell r="B265" t="str">
            <v>February</v>
          </cell>
          <cell r="D265" t="str">
            <v>01-550</v>
          </cell>
          <cell r="F265">
            <v>4160</v>
          </cell>
          <cell r="G265" t="str">
            <v>p</v>
          </cell>
        </row>
        <row r="266">
          <cell r="B266" t="str">
            <v>February</v>
          </cell>
          <cell r="D266" t="str">
            <v>01-551</v>
          </cell>
          <cell r="F266">
            <v>4160</v>
          </cell>
          <cell r="G266" t="str">
            <v>p</v>
          </cell>
        </row>
        <row r="267">
          <cell r="B267" t="str">
            <v>February</v>
          </cell>
          <cell r="D267" t="str">
            <v>01-552</v>
          </cell>
          <cell r="F267">
            <v>4160</v>
          </cell>
          <cell r="G267" t="str">
            <v>p</v>
          </cell>
        </row>
        <row r="268">
          <cell r="B268" t="str">
            <v>February</v>
          </cell>
          <cell r="D268" t="str">
            <v>01-553</v>
          </cell>
          <cell r="F268">
            <v>4160</v>
          </cell>
          <cell r="G268" t="str">
            <v>p</v>
          </cell>
        </row>
        <row r="269">
          <cell r="B269" t="str">
            <v>February</v>
          </cell>
          <cell r="D269" t="str">
            <v>01-554</v>
          </cell>
          <cell r="F269">
            <v>4160</v>
          </cell>
          <cell r="G269" t="str">
            <v>p</v>
          </cell>
        </row>
        <row r="270">
          <cell r="B270" t="str">
            <v>February</v>
          </cell>
          <cell r="D270" t="str">
            <v>01-555</v>
          </cell>
          <cell r="F270">
            <v>4160</v>
          </cell>
          <cell r="G270" t="str">
            <v>p</v>
          </cell>
        </row>
        <row r="271">
          <cell r="B271" t="str">
            <v>February</v>
          </cell>
          <cell r="D271" t="str">
            <v>01-556</v>
          </cell>
          <cell r="F271">
            <v>4160</v>
          </cell>
          <cell r="G271" t="str">
            <v>p</v>
          </cell>
        </row>
        <row r="272">
          <cell r="B272" t="str">
            <v>February</v>
          </cell>
          <cell r="D272" t="str">
            <v>01-557</v>
          </cell>
          <cell r="F272">
            <v>4160</v>
          </cell>
          <cell r="G272" t="str">
            <v>p</v>
          </cell>
        </row>
        <row r="273">
          <cell r="B273" t="str">
            <v>February</v>
          </cell>
          <cell r="D273" t="str">
            <v>01-558</v>
          </cell>
          <cell r="F273">
            <v>4160</v>
          </cell>
          <cell r="G273" t="str">
            <v>p</v>
          </cell>
        </row>
        <row r="274">
          <cell r="B274" t="str">
            <v>February</v>
          </cell>
          <cell r="D274" t="str">
            <v>01-559</v>
          </cell>
          <cell r="F274">
            <v>4160</v>
          </cell>
          <cell r="G274" t="str">
            <v>p</v>
          </cell>
        </row>
        <row r="275">
          <cell r="B275" t="str">
            <v>February</v>
          </cell>
          <cell r="D275" t="str">
            <v>01-560</v>
          </cell>
          <cell r="F275">
            <v>4160</v>
          </cell>
          <cell r="G275" t="str">
            <v>p</v>
          </cell>
        </row>
        <row r="276">
          <cell r="B276" t="str">
            <v>February</v>
          </cell>
          <cell r="D276" t="str">
            <v>01-561</v>
          </cell>
          <cell r="F276">
            <v>4160</v>
          </cell>
          <cell r="G276" t="str">
            <v>p</v>
          </cell>
        </row>
        <row r="277">
          <cell r="B277" t="str">
            <v>February</v>
          </cell>
          <cell r="D277" t="str">
            <v>01-562</v>
          </cell>
          <cell r="F277">
            <v>4160</v>
          </cell>
          <cell r="G277" t="str">
            <v>p</v>
          </cell>
        </row>
        <row r="278">
          <cell r="B278" t="str">
            <v>February</v>
          </cell>
          <cell r="D278" t="str">
            <v>01-563</v>
          </cell>
          <cell r="F278">
            <v>4160</v>
          </cell>
          <cell r="G278" t="str">
            <v>p</v>
          </cell>
        </row>
        <row r="279">
          <cell r="B279" t="str">
            <v>February</v>
          </cell>
          <cell r="D279" t="str">
            <v>01-564</v>
          </cell>
          <cell r="F279">
            <v>4160</v>
          </cell>
          <cell r="G279" t="str">
            <v>p</v>
          </cell>
        </row>
        <row r="280">
          <cell r="B280" t="str">
            <v>February</v>
          </cell>
          <cell r="D280" t="str">
            <v>01-565</v>
          </cell>
          <cell r="F280">
            <v>4160</v>
          </cell>
          <cell r="G280" t="str">
            <v>p</v>
          </cell>
        </row>
        <row r="281">
          <cell r="B281" t="str">
            <v>February</v>
          </cell>
          <cell r="D281" t="str">
            <v>01-566</v>
          </cell>
          <cell r="F281">
            <v>3507</v>
          </cell>
          <cell r="G281" t="str">
            <v>p</v>
          </cell>
        </row>
        <row r="282">
          <cell r="B282" t="str">
            <v>February</v>
          </cell>
          <cell r="D282" t="str">
            <v>01-567</v>
          </cell>
          <cell r="F282">
            <v>4160</v>
          </cell>
          <cell r="G282" t="str">
            <v>p</v>
          </cell>
        </row>
        <row r="283">
          <cell r="B283" t="str">
            <v>February</v>
          </cell>
          <cell r="D283" t="str">
            <v>01-568</v>
          </cell>
          <cell r="F283">
            <v>4160</v>
          </cell>
          <cell r="G283" t="str">
            <v>p</v>
          </cell>
        </row>
        <row r="284">
          <cell r="B284" t="str">
            <v>February</v>
          </cell>
          <cell r="D284" t="str">
            <v>01-569</v>
          </cell>
          <cell r="F284">
            <v>4160</v>
          </cell>
          <cell r="G284" t="str">
            <v>p</v>
          </cell>
        </row>
        <row r="285">
          <cell r="B285" t="str">
            <v>February</v>
          </cell>
          <cell r="D285" t="str">
            <v>01-570</v>
          </cell>
          <cell r="F285">
            <v>3490</v>
          </cell>
          <cell r="G285" t="str">
            <v>p</v>
          </cell>
        </row>
        <row r="286">
          <cell r="B286" t="str">
            <v>February</v>
          </cell>
          <cell r="D286" t="str">
            <v>01-574</v>
          </cell>
          <cell r="F286">
            <v>3507</v>
          </cell>
          <cell r="G286" t="str">
            <v>p</v>
          </cell>
        </row>
        <row r="287">
          <cell r="B287" t="str">
            <v>February</v>
          </cell>
          <cell r="D287" t="str">
            <v>01-575</v>
          </cell>
          <cell r="F287">
            <v>3913</v>
          </cell>
          <cell r="G287" t="str">
            <v>p</v>
          </cell>
        </row>
        <row r="288">
          <cell r="B288" t="str">
            <v>February</v>
          </cell>
          <cell r="D288" t="str">
            <v>01-577</v>
          </cell>
          <cell r="F288">
            <v>1799</v>
          </cell>
          <cell r="G288" t="str">
            <v>p</v>
          </cell>
        </row>
        <row r="289">
          <cell r="B289" t="str">
            <v>February</v>
          </cell>
          <cell r="D289" t="str">
            <v>01-578</v>
          </cell>
          <cell r="F289">
            <v>1799</v>
          </cell>
          <cell r="G289" t="str">
            <v>p</v>
          </cell>
        </row>
        <row r="290">
          <cell r="B290" t="str">
            <v>February</v>
          </cell>
          <cell r="D290" t="str">
            <v>01-580</v>
          </cell>
          <cell r="F290">
            <v>3976</v>
          </cell>
          <cell r="G290" t="str">
            <v>p</v>
          </cell>
        </row>
        <row r="291">
          <cell r="B291" t="str">
            <v>February</v>
          </cell>
          <cell r="D291" t="str">
            <v>01-581</v>
          </cell>
          <cell r="F291">
            <v>3976</v>
          </cell>
          <cell r="G291" t="str">
            <v>p</v>
          </cell>
        </row>
        <row r="292">
          <cell r="B292" t="str">
            <v>February</v>
          </cell>
          <cell r="D292" t="str">
            <v>01-583</v>
          </cell>
          <cell r="F292">
            <v>2677</v>
          </cell>
          <cell r="G292" t="str">
            <v>p</v>
          </cell>
        </row>
        <row r="293">
          <cell r="B293" t="str">
            <v>February</v>
          </cell>
          <cell r="D293" t="str">
            <v>01-592</v>
          </cell>
          <cell r="F293">
            <v>3976</v>
          </cell>
          <cell r="G293" t="str">
            <v>p</v>
          </cell>
        </row>
        <row r="294">
          <cell r="B294" t="str">
            <v>February</v>
          </cell>
          <cell r="D294" t="str">
            <v>00-900</v>
          </cell>
          <cell r="F294">
            <v>-184624</v>
          </cell>
          <cell r="G294" t="str">
            <v>p</v>
          </cell>
        </row>
        <row r="295">
          <cell r="B295" t="str">
            <v>February</v>
          </cell>
          <cell r="D295" t="str">
            <v>00-815</v>
          </cell>
          <cell r="F295">
            <v>-2281</v>
          </cell>
          <cell r="G295" t="str">
            <v>c</v>
          </cell>
        </row>
        <row r="296">
          <cell r="B296" t="str">
            <v>February</v>
          </cell>
          <cell r="D296" t="str">
            <v>01-509</v>
          </cell>
          <cell r="F296">
            <v>-3913</v>
          </cell>
          <cell r="G296" t="str">
            <v>c</v>
          </cell>
        </row>
        <row r="297">
          <cell r="B297" t="str">
            <v>February</v>
          </cell>
          <cell r="D297" t="str">
            <v>01-519</v>
          </cell>
          <cell r="F297">
            <v>-3910</v>
          </cell>
          <cell r="G297" t="str">
            <v>c</v>
          </cell>
        </row>
        <row r="298">
          <cell r="B298" t="str">
            <v>February</v>
          </cell>
          <cell r="D298" t="str">
            <v>01-529</v>
          </cell>
          <cell r="F298">
            <v>-4100</v>
          </cell>
          <cell r="G298" t="str">
            <v>c</v>
          </cell>
        </row>
        <row r="299">
          <cell r="B299" t="str">
            <v>February</v>
          </cell>
          <cell r="D299" t="str">
            <v>01-532</v>
          </cell>
          <cell r="F299">
            <v>-3913</v>
          </cell>
          <cell r="G299" t="str">
            <v>c</v>
          </cell>
        </row>
        <row r="300">
          <cell r="B300" t="str">
            <v>February</v>
          </cell>
          <cell r="D300" t="str">
            <v>01-536</v>
          </cell>
          <cell r="F300">
            <v>-3976</v>
          </cell>
          <cell r="G300" t="str">
            <v>c</v>
          </cell>
        </row>
        <row r="301">
          <cell r="B301" t="str">
            <v>February</v>
          </cell>
          <cell r="D301" t="str">
            <v>01-539</v>
          </cell>
          <cell r="F301">
            <v>-4438</v>
          </cell>
          <cell r="G301" t="str">
            <v>c</v>
          </cell>
        </row>
        <row r="302">
          <cell r="B302" t="str">
            <v>February</v>
          </cell>
          <cell r="D302" t="str">
            <v>01-543</v>
          </cell>
          <cell r="F302">
            <v>-4160</v>
          </cell>
          <cell r="G302" t="str">
            <v>c</v>
          </cell>
        </row>
        <row r="303">
          <cell r="B303" t="str">
            <v>February</v>
          </cell>
          <cell r="D303" t="str">
            <v>01-544</v>
          </cell>
          <cell r="F303">
            <v>-4160</v>
          </cell>
          <cell r="G303" t="str">
            <v>c</v>
          </cell>
        </row>
        <row r="304">
          <cell r="B304" t="str">
            <v>February</v>
          </cell>
          <cell r="D304" t="str">
            <v>01-545</v>
          </cell>
          <cell r="F304">
            <v>-4160</v>
          </cell>
          <cell r="G304" t="str">
            <v>c</v>
          </cell>
        </row>
        <row r="305">
          <cell r="B305" t="str">
            <v>February</v>
          </cell>
          <cell r="D305" t="str">
            <v>01-546</v>
          </cell>
          <cell r="F305">
            <v>-4160</v>
          </cell>
          <cell r="G305" t="str">
            <v>c</v>
          </cell>
        </row>
        <row r="306">
          <cell r="B306" t="str">
            <v>February</v>
          </cell>
          <cell r="D306" t="str">
            <v>01-547</v>
          </cell>
          <cell r="F306">
            <v>-4160</v>
          </cell>
          <cell r="G306" t="str">
            <v>c</v>
          </cell>
        </row>
        <row r="307">
          <cell r="B307" t="str">
            <v>February</v>
          </cell>
          <cell r="D307" t="str">
            <v>01-548</v>
          </cell>
          <cell r="F307">
            <v>-4160</v>
          </cell>
          <cell r="G307" t="str">
            <v>c</v>
          </cell>
        </row>
        <row r="308">
          <cell r="B308" t="str">
            <v>February</v>
          </cell>
          <cell r="D308" t="str">
            <v>01-549</v>
          </cell>
          <cell r="F308">
            <v>-4160</v>
          </cell>
          <cell r="G308" t="str">
            <v>c</v>
          </cell>
        </row>
        <row r="309">
          <cell r="B309" t="str">
            <v>February</v>
          </cell>
          <cell r="D309" t="str">
            <v>01-550</v>
          </cell>
          <cell r="F309">
            <v>-4160</v>
          </cell>
          <cell r="G309" t="str">
            <v>c</v>
          </cell>
        </row>
        <row r="310">
          <cell r="B310" t="str">
            <v>February</v>
          </cell>
          <cell r="D310" t="str">
            <v>01-551</v>
          </cell>
          <cell r="F310">
            <v>-4160</v>
          </cell>
          <cell r="G310" t="str">
            <v>c</v>
          </cell>
        </row>
        <row r="311">
          <cell r="B311" t="str">
            <v>February</v>
          </cell>
          <cell r="D311" t="str">
            <v>01-552</v>
          </cell>
          <cell r="F311">
            <v>-4160</v>
          </cell>
          <cell r="G311" t="str">
            <v>c</v>
          </cell>
        </row>
        <row r="312">
          <cell r="B312" t="str">
            <v>February</v>
          </cell>
          <cell r="D312" t="str">
            <v>01-553</v>
          </cell>
          <cell r="F312">
            <v>-4160</v>
          </cell>
          <cell r="G312" t="str">
            <v>c</v>
          </cell>
        </row>
        <row r="313">
          <cell r="B313" t="str">
            <v>February</v>
          </cell>
          <cell r="D313" t="str">
            <v>01-554</v>
          </cell>
          <cell r="F313">
            <v>-4160</v>
          </cell>
          <cell r="G313" t="str">
            <v>c</v>
          </cell>
        </row>
        <row r="314">
          <cell r="B314" t="str">
            <v>February</v>
          </cell>
          <cell r="D314" t="str">
            <v>01-555</v>
          </cell>
          <cell r="F314">
            <v>-4160</v>
          </cell>
          <cell r="G314" t="str">
            <v>c</v>
          </cell>
        </row>
        <row r="315">
          <cell r="B315" t="str">
            <v>February</v>
          </cell>
          <cell r="D315" t="str">
            <v>01-556</v>
          </cell>
          <cell r="F315">
            <v>-4160</v>
          </cell>
          <cell r="G315" t="str">
            <v>c</v>
          </cell>
        </row>
        <row r="316">
          <cell r="B316" t="str">
            <v>February</v>
          </cell>
          <cell r="D316" t="str">
            <v>01-557</v>
          </cell>
          <cell r="F316">
            <v>-4160</v>
          </cell>
          <cell r="G316" t="str">
            <v>c</v>
          </cell>
        </row>
        <row r="317">
          <cell r="B317" t="str">
            <v>February</v>
          </cell>
          <cell r="D317" t="str">
            <v>01-558</v>
          </cell>
          <cell r="F317">
            <v>-4160</v>
          </cell>
          <cell r="G317" t="str">
            <v>c</v>
          </cell>
        </row>
        <row r="318">
          <cell r="B318" t="str">
            <v>February</v>
          </cell>
          <cell r="D318" t="str">
            <v>01-559</v>
          </cell>
          <cell r="F318">
            <v>-4160</v>
          </cell>
          <cell r="G318" t="str">
            <v>c</v>
          </cell>
        </row>
        <row r="319">
          <cell r="B319" t="str">
            <v>February</v>
          </cell>
          <cell r="D319" t="str">
            <v>01-560</v>
          </cell>
          <cell r="F319">
            <v>-4160</v>
          </cell>
          <cell r="G319" t="str">
            <v>c</v>
          </cell>
        </row>
        <row r="320">
          <cell r="B320" t="str">
            <v>February</v>
          </cell>
          <cell r="D320" t="str">
            <v>01-561</v>
          </cell>
          <cell r="F320">
            <v>-4160</v>
          </cell>
          <cell r="G320" t="str">
            <v>c</v>
          </cell>
        </row>
        <row r="321">
          <cell r="B321" t="str">
            <v>February</v>
          </cell>
          <cell r="D321" t="str">
            <v>01-562</v>
          </cell>
          <cell r="F321">
            <v>-4160</v>
          </cell>
          <cell r="G321" t="str">
            <v>c</v>
          </cell>
        </row>
        <row r="322">
          <cell r="B322" t="str">
            <v>February</v>
          </cell>
          <cell r="D322" t="str">
            <v>01-563</v>
          </cell>
          <cell r="F322">
            <v>-4160</v>
          </cell>
          <cell r="G322" t="str">
            <v>c</v>
          </cell>
        </row>
        <row r="323">
          <cell r="B323" t="str">
            <v>February</v>
          </cell>
          <cell r="D323" t="str">
            <v>01-564</v>
          </cell>
          <cell r="F323">
            <v>-4160</v>
          </cell>
          <cell r="G323" t="str">
            <v>c</v>
          </cell>
        </row>
        <row r="324">
          <cell r="B324" t="str">
            <v>February</v>
          </cell>
          <cell r="D324" t="str">
            <v>01-565</v>
          </cell>
          <cell r="F324">
            <v>-4160</v>
          </cell>
          <cell r="G324" t="str">
            <v>c</v>
          </cell>
        </row>
        <row r="325">
          <cell r="B325" t="str">
            <v>February</v>
          </cell>
          <cell r="D325" t="str">
            <v>01-566</v>
          </cell>
          <cell r="F325">
            <v>-3507</v>
          </cell>
          <cell r="G325" t="str">
            <v>c</v>
          </cell>
        </row>
        <row r="326">
          <cell r="B326" t="str">
            <v>February</v>
          </cell>
          <cell r="D326" t="str">
            <v>01-567</v>
          </cell>
          <cell r="F326">
            <v>-4160</v>
          </cell>
          <cell r="G326" t="str">
            <v>c</v>
          </cell>
        </row>
        <row r="327">
          <cell r="B327" t="str">
            <v>February</v>
          </cell>
          <cell r="D327" t="str">
            <v>01-568</v>
          </cell>
          <cell r="F327">
            <v>-4160</v>
          </cell>
          <cell r="G327" t="str">
            <v>c</v>
          </cell>
        </row>
        <row r="328">
          <cell r="B328" t="str">
            <v>February</v>
          </cell>
          <cell r="D328" t="str">
            <v>01-569</v>
          </cell>
          <cell r="F328">
            <v>-4160</v>
          </cell>
          <cell r="G328" t="str">
            <v>c</v>
          </cell>
        </row>
        <row r="329">
          <cell r="B329" t="str">
            <v>February</v>
          </cell>
          <cell r="D329" t="str">
            <v>01-570</v>
          </cell>
          <cell r="F329">
            <v>-3490</v>
          </cell>
          <cell r="G329" t="str">
            <v>c</v>
          </cell>
        </row>
        <row r="330">
          <cell r="B330" t="str">
            <v>February</v>
          </cell>
          <cell r="D330" t="str">
            <v>01-581</v>
          </cell>
          <cell r="F330">
            <v>-3976</v>
          </cell>
          <cell r="G330" t="str">
            <v>c</v>
          </cell>
        </row>
        <row r="331">
          <cell r="B331" t="str">
            <v>February</v>
          </cell>
          <cell r="D331" t="str">
            <v>01-592</v>
          </cell>
          <cell r="F331">
            <v>-3976</v>
          </cell>
          <cell r="G331" t="str">
            <v>c</v>
          </cell>
        </row>
        <row r="332">
          <cell r="B332" t="str">
            <v>February</v>
          </cell>
          <cell r="D332" t="str">
            <v>01-902</v>
          </cell>
          <cell r="F332">
            <v>-18737.87</v>
          </cell>
          <cell r="G332" t="str">
            <v>x</v>
          </cell>
        </row>
        <row r="333">
          <cell r="B333" t="str">
            <v>February</v>
          </cell>
          <cell r="D333" t="str">
            <v>01-524</v>
          </cell>
          <cell r="F333">
            <v>-6643</v>
          </cell>
          <cell r="G333" t="str">
            <v>x</v>
          </cell>
        </row>
        <row r="334">
          <cell r="B334" t="str">
            <v>February</v>
          </cell>
          <cell r="D334" t="str">
            <v>01-534</v>
          </cell>
          <cell r="F334">
            <v>-2677</v>
          </cell>
          <cell r="G334" t="str">
            <v>x</v>
          </cell>
        </row>
        <row r="335">
          <cell r="B335" t="str">
            <v>February</v>
          </cell>
          <cell r="D335" t="str">
            <v>01-574</v>
          </cell>
          <cell r="F335">
            <v>-3507</v>
          </cell>
          <cell r="G335" t="str">
            <v>x</v>
          </cell>
        </row>
        <row r="336">
          <cell r="B336" t="str">
            <v>February</v>
          </cell>
          <cell r="D336" t="str">
            <v>01-575</v>
          </cell>
          <cell r="F336">
            <v>-3913</v>
          </cell>
          <cell r="G336" t="str">
            <v>x</v>
          </cell>
        </row>
        <row r="337">
          <cell r="B337" t="str">
            <v>February</v>
          </cell>
          <cell r="D337" t="str">
            <v>01-577</v>
          </cell>
          <cell r="F337">
            <v>-1799</v>
          </cell>
          <cell r="G337" t="str">
            <v>x</v>
          </cell>
        </row>
        <row r="338">
          <cell r="B338" t="str">
            <v>February</v>
          </cell>
          <cell r="D338" t="str">
            <v>01-578</v>
          </cell>
          <cell r="F338">
            <v>-1799</v>
          </cell>
          <cell r="G338" t="str">
            <v>x</v>
          </cell>
        </row>
        <row r="339">
          <cell r="B339" t="str">
            <v>February</v>
          </cell>
          <cell r="D339" t="str">
            <v>01-583</v>
          </cell>
          <cell r="F339">
            <v>-2677</v>
          </cell>
          <cell r="G339" t="str">
            <v>x</v>
          </cell>
        </row>
        <row r="340">
          <cell r="B340" t="str">
            <v>February</v>
          </cell>
          <cell r="D340" t="str">
            <v>00-180</v>
          </cell>
          <cell r="F340">
            <v>118436</v>
          </cell>
          <cell r="G340" t="str">
            <v>p</v>
          </cell>
        </row>
        <row r="341">
          <cell r="B341" t="str">
            <v>February</v>
          </cell>
          <cell r="D341" t="str">
            <v>00-023</v>
          </cell>
          <cell r="F341">
            <v>816</v>
          </cell>
          <cell r="G341" t="str">
            <v>p</v>
          </cell>
        </row>
        <row r="342">
          <cell r="B342" t="str">
            <v>February</v>
          </cell>
          <cell r="D342" t="str">
            <v>00-045</v>
          </cell>
          <cell r="F342">
            <v>1285.2</v>
          </cell>
          <cell r="G342" t="str">
            <v>p</v>
          </cell>
        </row>
        <row r="343">
          <cell r="B343" t="str">
            <v>February</v>
          </cell>
          <cell r="D343" t="str">
            <v>00-055</v>
          </cell>
          <cell r="F343">
            <v>1871.64</v>
          </cell>
          <cell r="G343" t="str">
            <v>p</v>
          </cell>
        </row>
        <row r="344">
          <cell r="B344" t="str">
            <v>February</v>
          </cell>
          <cell r="D344" t="str">
            <v>00-108</v>
          </cell>
          <cell r="F344">
            <v>19000</v>
          </cell>
          <cell r="G344" t="str">
            <v>p</v>
          </cell>
        </row>
        <row r="345">
          <cell r="B345" t="str">
            <v>February</v>
          </cell>
          <cell r="D345" t="str">
            <v>00-151</v>
          </cell>
          <cell r="F345">
            <v>7476</v>
          </cell>
          <cell r="G345" t="str">
            <v>p</v>
          </cell>
        </row>
        <row r="346">
          <cell r="B346" t="str">
            <v>February</v>
          </cell>
          <cell r="D346" t="str">
            <v>00-167</v>
          </cell>
          <cell r="F346">
            <v>231785.19</v>
          </cell>
          <cell r="G346" t="str">
            <v>p</v>
          </cell>
        </row>
        <row r="347">
          <cell r="B347" t="str">
            <v>February</v>
          </cell>
          <cell r="D347" t="str">
            <v>00-168</v>
          </cell>
          <cell r="F347">
            <v>81029.440000000002</v>
          </cell>
          <cell r="G347" t="str">
            <v>p</v>
          </cell>
        </row>
        <row r="348">
          <cell r="B348" t="str">
            <v>February</v>
          </cell>
          <cell r="D348" t="str">
            <v>00-171</v>
          </cell>
          <cell r="F348">
            <v>2756.43</v>
          </cell>
          <cell r="G348" t="str">
            <v>p</v>
          </cell>
        </row>
        <row r="349">
          <cell r="B349" t="str">
            <v>February</v>
          </cell>
          <cell r="D349" t="str">
            <v>00-194</v>
          </cell>
          <cell r="F349">
            <v>3945.98</v>
          </cell>
          <cell r="G349" t="str">
            <v>p</v>
          </cell>
        </row>
        <row r="350">
          <cell r="B350" t="str">
            <v>February</v>
          </cell>
          <cell r="D350" t="str">
            <v>00-197</v>
          </cell>
          <cell r="F350">
            <v>7895.56</v>
          </cell>
          <cell r="G350" t="str">
            <v>p</v>
          </cell>
        </row>
        <row r="351">
          <cell r="B351" t="str">
            <v>February</v>
          </cell>
          <cell r="D351" t="str">
            <v>00-207</v>
          </cell>
          <cell r="F351">
            <v>47493.599999999999</v>
          </cell>
          <cell r="G351" t="str">
            <v>p</v>
          </cell>
        </row>
        <row r="352">
          <cell r="B352" t="str">
            <v>February</v>
          </cell>
          <cell r="D352" t="str">
            <v>00-216</v>
          </cell>
          <cell r="F352">
            <v>19800</v>
          </cell>
          <cell r="G352" t="str">
            <v>p</v>
          </cell>
        </row>
        <row r="353">
          <cell r="B353" t="str">
            <v>February</v>
          </cell>
          <cell r="D353" t="str">
            <v>00-219</v>
          </cell>
          <cell r="F353">
            <v>937.89</v>
          </cell>
          <cell r="G353" t="str">
            <v>p</v>
          </cell>
        </row>
        <row r="354">
          <cell r="B354" t="str">
            <v>February</v>
          </cell>
          <cell r="D354" t="str">
            <v>00-223</v>
          </cell>
          <cell r="F354">
            <v>70704.47</v>
          </cell>
          <cell r="G354" t="str">
            <v>p</v>
          </cell>
        </row>
        <row r="355">
          <cell r="B355" t="str">
            <v>February</v>
          </cell>
          <cell r="D355" t="str">
            <v>00-900</v>
          </cell>
          <cell r="F355">
            <v>-66.599999999999994</v>
          </cell>
          <cell r="G355" t="str">
            <v>p</v>
          </cell>
        </row>
        <row r="356">
          <cell r="B356" t="str">
            <v>February</v>
          </cell>
          <cell r="D356" t="str">
            <v>99-165</v>
          </cell>
          <cell r="F356">
            <v>4248</v>
          </cell>
          <cell r="G356" t="str">
            <v>p</v>
          </cell>
        </row>
        <row r="357">
          <cell r="B357" t="str">
            <v>February</v>
          </cell>
          <cell r="D357" t="str">
            <v>99-344</v>
          </cell>
          <cell r="F357">
            <v>12944.58</v>
          </cell>
          <cell r="G357" t="str">
            <v>p</v>
          </cell>
        </row>
        <row r="358">
          <cell r="B358" t="str">
            <v>February</v>
          </cell>
          <cell r="D358" t="str">
            <v>01-002</v>
          </cell>
          <cell r="F358">
            <v>1719.3</v>
          </cell>
          <cell r="G358" t="str">
            <v>p</v>
          </cell>
        </row>
        <row r="359">
          <cell r="B359" t="str">
            <v>February</v>
          </cell>
          <cell r="D359" t="str">
            <v>01-012</v>
          </cell>
          <cell r="F359">
            <v>26668.95</v>
          </cell>
          <cell r="G359" t="str">
            <v>p</v>
          </cell>
        </row>
        <row r="360">
          <cell r="B360" t="str">
            <v>February</v>
          </cell>
          <cell r="D360" t="str">
            <v>01-014</v>
          </cell>
          <cell r="F360">
            <v>27313.8</v>
          </cell>
          <cell r="G360" t="str">
            <v>p</v>
          </cell>
        </row>
        <row r="361">
          <cell r="B361" t="str">
            <v>February</v>
          </cell>
          <cell r="D361" t="str">
            <v>01-024</v>
          </cell>
          <cell r="F361">
            <v>3877.2</v>
          </cell>
          <cell r="G361" t="str">
            <v>p</v>
          </cell>
        </row>
        <row r="362">
          <cell r="B362" t="str">
            <v>February</v>
          </cell>
          <cell r="D362" t="str">
            <v>01-029</v>
          </cell>
          <cell r="F362">
            <v>6280.75</v>
          </cell>
          <cell r="G362" t="str">
            <v>p</v>
          </cell>
        </row>
        <row r="363">
          <cell r="B363" t="str">
            <v>February</v>
          </cell>
          <cell r="D363" t="str">
            <v>01-301</v>
          </cell>
          <cell r="F363">
            <v>48.84</v>
          </cell>
          <cell r="G363" t="str">
            <v>p</v>
          </cell>
        </row>
        <row r="364">
          <cell r="B364" t="str">
            <v>February</v>
          </cell>
          <cell r="D364" t="str">
            <v>01-002</v>
          </cell>
          <cell r="F364">
            <v>7.98</v>
          </cell>
          <cell r="G364" t="str">
            <v>p</v>
          </cell>
        </row>
        <row r="365">
          <cell r="B365" t="str">
            <v>February</v>
          </cell>
          <cell r="D365" t="str">
            <v>01-002</v>
          </cell>
          <cell r="F365">
            <v>4.09</v>
          </cell>
          <cell r="G365" t="str">
            <v>p</v>
          </cell>
        </row>
        <row r="366">
          <cell r="B366" t="str">
            <v>February</v>
          </cell>
          <cell r="D366" t="str">
            <v>01-019</v>
          </cell>
          <cell r="F366">
            <v>54</v>
          </cell>
          <cell r="G366" t="str">
            <v>p</v>
          </cell>
        </row>
        <row r="367">
          <cell r="B367" t="str">
            <v>February</v>
          </cell>
          <cell r="D367" t="str">
            <v>00-900</v>
          </cell>
          <cell r="F367">
            <v>-108.24</v>
          </cell>
          <cell r="G367" t="str">
            <v>p</v>
          </cell>
        </row>
        <row r="368">
          <cell r="B368" t="str">
            <v>February</v>
          </cell>
          <cell r="D368" t="str">
            <v>00-900</v>
          </cell>
          <cell r="F368">
            <v>-43.1</v>
          </cell>
          <cell r="G368" t="str">
            <v>p</v>
          </cell>
        </row>
        <row r="369">
          <cell r="B369" t="str">
            <v>February</v>
          </cell>
          <cell r="D369" t="str">
            <v>00-102</v>
          </cell>
          <cell r="F369">
            <v>-8</v>
          </cell>
          <cell r="G369" t="str">
            <v>x</v>
          </cell>
        </row>
        <row r="370">
          <cell r="B370" t="str">
            <v>February</v>
          </cell>
          <cell r="D370" t="str">
            <v>00-055</v>
          </cell>
          <cell r="F370">
            <v>-1871.64</v>
          </cell>
          <cell r="G370" t="str">
            <v>x</v>
          </cell>
        </row>
        <row r="371">
          <cell r="B371" t="str">
            <v>February</v>
          </cell>
          <cell r="D371" t="str">
            <v>00-013</v>
          </cell>
          <cell r="F371">
            <v>39.22</v>
          </cell>
          <cell r="G371" t="str">
            <v>x</v>
          </cell>
        </row>
        <row r="372">
          <cell r="B372" t="str">
            <v>February</v>
          </cell>
          <cell r="D372" t="str">
            <v>00-023</v>
          </cell>
          <cell r="F372">
            <v>-2264545.52</v>
          </cell>
          <cell r="G372" t="str">
            <v>c</v>
          </cell>
        </row>
        <row r="373">
          <cell r="B373" t="str">
            <v>February</v>
          </cell>
          <cell r="D373" t="str">
            <v>00-063</v>
          </cell>
          <cell r="F373">
            <v>-1584113.35</v>
          </cell>
          <cell r="G373" t="str">
            <v>c</v>
          </cell>
        </row>
        <row r="374">
          <cell r="B374" t="str">
            <v>February</v>
          </cell>
          <cell r="D374" t="str">
            <v>00-I063</v>
          </cell>
          <cell r="F374">
            <v>-39058.89</v>
          </cell>
          <cell r="G374" t="str">
            <v>c</v>
          </cell>
        </row>
        <row r="375">
          <cell r="B375" t="str">
            <v>February</v>
          </cell>
          <cell r="D375" t="str">
            <v>00-129</v>
          </cell>
          <cell r="F375">
            <v>-20527.509999999998</v>
          </cell>
          <cell r="G375" t="str">
            <v>c</v>
          </cell>
        </row>
        <row r="376">
          <cell r="B376" t="str">
            <v>February</v>
          </cell>
          <cell r="D376" t="str">
            <v>00-133</v>
          </cell>
          <cell r="F376">
            <v>-174802.92</v>
          </cell>
          <cell r="G376" t="str">
            <v>c</v>
          </cell>
        </row>
        <row r="377">
          <cell r="B377" t="str">
            <v>February</v>
          </cell>
          <cell r="D377" t="str">
            <v>00-136</v>
          </cell>
          <cell r="F377">
            <v>-14774.39</v>
          </cell>
          <cell r="G377" t="str">
            <v>c</v>
          </cell>
        </row>
        <row r="378">
          <cell r="B378" t="str">
            <v>February</v>
          </cell>
          <cell r="D378" t="str">
            <v>00-140</v>
          </cell>
          <cell r="F378">
            <v>-181879.49</v>
          </cell>
          <cell r="G378" t="str">
            <v>c</v>
          </cell>
        </row>
        <row r="379">
          <cell r="B379" t="str">
            <v>February</v>
          </cell>
          <cell r="D379" t="str">
            <v>00-141</v>
          </cell>
          <cell r="F379">
            <v>-107379.46</v>
          </cell>
          <cell r="G379" t="str">
            <v>c</v>
          </cell>
        </row>
        <row r="380">
          <cell r="B380" t="str">
            <v>February</v>
          </cell>
          <cell r="D380" t="str">
            <v>00-149</v>
          </cell>
          <cell r="F380">
            <v>-42271.93</v>
          </cell>
          <cell r="G380" t="str">
            <v>c</v>
          </cell>
        </row>
        <row r="381">
          <cell r="B381" t="str">
            <v>February</v>
          </cell>
          <cell r="D381" t="str">
            <v>00-164</v>
          </cell>
          <cell r="F381">
            <v>-396152.13</v>
          </cell>
          <cell r="G381" t="str">
            <v>c</v>
          </cell>
        </row>
        <row r="382">
          <cell r="B382" t="str">
            <v>February</v>
          </cell>
          <cell r="D382" t="str">
            <v>00-168</v>
          </cell>
          <cell r="F382">
            <v>-131073.25</v>
          </cell>
          <cell r="G382" t="str">
            <v>c</v>
          </cell>
        </row>
        <row r="383">
          <cell r="B383" t="str">
            <v>February</v>
          </cell>
          <cell r="D383" t="str">
            <v>00-171</v>
          </cell>
          <cell r="F383">
            <v>-21587.18</v>
          </cell>
          <cell r="G383" t="str">
            <v>c</v>
          </cell>
        </row>
        <row r="384">
          <cell r="B384" t="str">
            <v>February</v>
          </cell>
          <cell r="D384" t="str">
            <v>00-174</v>
          </cell>
          <cell r="F384">
            <v>-7444.56</v>
          </cell>
          <cell r="G384" t="str">
            <v>c</v>
          </cell>
        </row>
        <row r="385">
          <cell r="B385" t="str">
            <v>February</v>
          </cell>
          <cell r="D385" t="str">
            <v>00-187</v>
          </cell>
          <cell r="F385">
            <v>-5225.07</v>
          </cell>
          <cell r="G385" t="str">
            <v>c</v>
          </cell>
        </row>
        <row r="386">
          <cell r="B386" t="str">
            <v>February</v>
          </cell>
          <cell r="D386" t="str">
            <v>00-204</v>
          </cell>
          <cell r="F386">
            <v>-18388.43</v>
          </cell>
          <cell r="G386" t="str">
            <v>c</v>
          </cell>
        </row>
        <row r="387">
          <cell r="B387" t="str">
            <v>February</v>
          </cell>
          <cell r="D387" t="str">
            <v>00-208</v>
          </cell>
          <cell r="F387">
            <v>-22394.92</v>
          </cell>
          <cell r="G387" t="str">
            <v>c</v>
          </cell>
        </row>
        <row r="388">
          <cell r="B388" t="str">
            <v>February</v>
          </cell>
          <cell r="D388" t="str">
            <v>00-209</v>
          </cell>
          <cell r="F388">
            <v>-22334.720000000001</v>
          </cell>
          <cell r="G388" t="str">
            <v>c</v>
          </cell>
        </row>
        <row r="389">
          <cell r="B389" t="str">
            <v>February</v>
          </cell>
          <cell r="D389" t="str">
            <v>00-212</v>
          </cell>
          <cell r="F389">
            <v>-44221.22</v>
          </cell>
          <cell r="G389" t="str">
            <v>c</v>
          </cell>
        </row>
        <row r="390">
          <cell r="B390" t="str">
            <v>February</v>
          </cell>
          <cell r="D390" t="str">
            <v>00-213</v>
          </cell>
          <cell r="F390">
            <v>-44329.41</v>
          </cell>
          <cell r="G390" t="str">
            <v>c</v>
          </cell>
        </row>
        <row r="391">
          <cell r="B391" t="str">
            <v>February</v>
          </cell>
          <cell r="D391" t="str">
            <v>00-214</v>
          </cell>
          <cell r="F391">
            <v>-40671.440000000002</v>
          </cell>
          <cell r="G391" t="str">
            <v>c</v>
          </cell>
        </row>
        <row r="392">
          <cell r="B392" t="str">
            <v>February</v>
          </cell>
          <cell r="D392" t="str">
            <v>00-227</v>
          </cell>
          <cell r="F392">
            <v>-24410.49</v>
          </cell>
          <cell r="G392" t="str">
            <v>c</v>
          </cell>
        </row>
        <row r="393">
          <cell r="B393" t="str">
            <v>February</v>
          </cell>
          <cell r="D393" t="str">
            <v>00-801</v>
          </cell>
          <cell r="F393">
            <v>-4122.62</v>
          </cell>
          <cell r="G393" t="str">
            <v>c</v>
          </cell>
        </row>
        <row r="394">
          <cell r="B394" t="str">
            <v>February</v>
          </cell>
          <cell r="D394" t="str">
            <v>01-001</v>
          </cell>
          <cell r="F394">
            <v>-21393.32</v>
          </cell>
          <cell r="G394" t="str">
            <v>c</v>
          </cell>
        </row>
        <row r="395">
          <cell r="B395" t="str">
            <v>February</v>
          </cell>
          <cell r="D395" t="str">
            <v>01-028</v>
          </cell>
          <cell r="F395">
            <v>29408.400000000001</v>
          </cell>
          <cell r="G395" t="str">
            <v>p</v>
          </cell>
        </row>
        <row r="396">
          <cell r="B396" t="str">
            <v>February</v>
          </cell>
          <cell r="D396" t="str">
            <v>01-018</v>
          </cell>
          <cell r="F396">
            <v>142830</v>
          </cell>
          <cell r="G396" t="str">
            <v>p</v>
          </cell>
        </row>
        <row r="397">
          <cell r="B397" t="str">
            <v>February</v>
          </cell>
          <cell r="D397" t="str">
            <v>01-014</v>
          </cell>
          <cell r="F397">
            <v>22714.560000000001</v>
          </cell>
          <cell r="G397" t="str">
            <v>p</v>
          </cell>
        </row>
        <row r="398">
          <cell r="B398" t="str">
            <v>February</v>
          </cell>
          <cell r="D398" t="str">
            <v>01-025</v>
          </cell>
          <cell r="F398">
            <v>21252.95</v>
          </cell>
          <cell r="G398" t="str">
            <v>p</v>
          </cell>
        </row>
        <row r="399">
          <cell r="B399" t="str">
            <v>February</v>
          </cell>
          <cell r="D399" t="str">
            <v>01-023</v>
          </cell>
          <cell r="F399">
            <v>12846.89</v>
          </cell>
          <cell r="G399" t="str">
            <v>p</v>
          </cell>
        </row>
        <row r="400">
          <cell r="B400" t="str">
            <v>February</v>
          </cell>
          <cell r="D400" t="str">
            <v>00-195</v>
          </cell>
          <cell r="F400">
            <v>346469.99</v>
          </cell>
          <cell r="G400" t="str">
            <v>p</v>
          </cell>
        </row>
        <row r="401">
          <cell r="B401" t="str">
            <v>February</v>
          </cell>
          <cell r="D401" t="str">
            <v>00-167</v>
          </cell>
          <cell r="F401">
            <v>192957.39</v>
          </cell>
          <cell r="G401" t="str">
            <v>p</v>
          </cell>
        </row>
        <row r="402">
          <cell r="B402" t="str">
            <v>February</v>
          </cell>
          <cell r="D402" t="str">
            <v>00-167</v>
          </cell>
          <cell r="F402">
            <v>38827.800000000003</v>
          </cell>
          <cell r="G402" t="str">
            <v>p</v>
          </cell>
        </row>
        <row r="403">
          <cell r="B403" t="str">
            <v>February</v>
          </cell>
          <cell r="D403" t="str">
            <v>00-151</v>
          </cell>
          <cell r="F403">
            <v>15931.99</v>
          </cell>
          <cell r="G403" t="str">
            <v>p</v>
          </cell>
        </row>
        <row r="404">
          <cell r="B404" t="str">
            <v>February</v>
          </cell>
          <cell r="D404" t="str">
            <v>00-167</v>
          </cell>
          <cell r="F404">
            <v>45462.93</v>
          </cell>
          <cell r="G404" t="str">
            <v>p</v>
          </cell>
        </row>
        <row r="405">
          <cell r="B405" t="str">
            <v>February</v>
          </cell>
          <cell r="D405" t="str">
            <v>00-167</v>
          </cell>
          <cell r="F405">
            <v>133552.93</v>
          </cell>
          <cell r="G405" t="str">
            <v>p</v>
          </cell>
        </row>
        <row r="406">
          <cell r="B406" t="str">
            <v>March</v>
          </cell>
          <cell r="D406" t="str">
            <v>00-023</v>
          </cell>
          <cell r="F406">
            <v>471</v>
          </cell>
          <cell r="G406" t="str">
            <v>p</v>
          </cell>
        </row>
        <row r="407">
          <cell r="B407" t="str">
            <v>March</v>
          </cell>
          <cell r="D407" t="str">
            <v>00-108</v>
          </cell>
          <cell r="F407">
            <v>-9280</v>
          </cell>
          <cell r="G407" t="str">
            <v>p</v>
          </cell>
        </row>
        <row r="408">
          <cell r="B408" t="str">
            <v>March</v>
          </cell>
          <cell r="D408" t="str">
            <v>00-151</v>
          </cell>
          <cell r="F408">
            <v>-2548.5500000000002</v>
          </cell>
          <cell r="G408" t="str">
            <v>p</v>
          </cell>
        </row>
        <row r="409">
          <cell r="B409" t="str">
            <v>March</v>
          </cell>
          <cell r="D409" t="str">
            <v>00-167</v>
          </cell>
          <cell r="F409">
            <v>77868</v>
          </cell>
          <cell r="G409" t="str">
            <v>p</v>
          </cell>
        </row>
        <row r="410">
          <cell r="B410" t="str">
            <v>March</v>
          </cell>
          <cell r="D410" t="str">
            <v>00-168</v>
          </cell>
          <cell r="F410">
            <v>-79348.52</v>
          </cell>
          <cell r="G410" t="str">
            <v>p</v>
          </cell>
        </row>
        <row r="411">
          <cell r="B411" t="str">
            <v>March</v>
          </cell>
          <cell r="D411" t="str">
            <v>00-195</v>
          </cell>
          <cell r="F411">
            <v>346469.99</v>
          </cell>
          <cell r="G411" t="str">
            <v>p</v>
          </cell>
        </row>
        <row r="412">
          <cell r="B412" t="str">
            <v>March</v>
          </cell>
          <cell r="D412" t="str">
            <v>00-196</v>
          </cell>
          <cell r="F412">
            <v>18260.64</v>
          </cell>
          <cell r="G412" t="str">
            <v>p</v>
          </cell>
        </row>
        <row r="413">
          <cell r="B413" t="str">
            <v>March</v>
          </cell>
          <cell r="D413" t="str">
            <v>00-197</v>
          </cell>
          <cell r="F413">
            <v>23686.67</v>
          </cell>
          <cell r="G413" t="str">
            <v>p</v>
          </cell>
        </row>
        <row r="414">
          <cell r="B414" t="str">
            <v>March</v>
          </cell>
          <cell r="D414" t="str">
            <v>00-207</v>
          </cell>
          <cell r="F414">
            <v>-47493.599999999999</v>
          </cell>
          <cell r="G414" t="str">
            <v>p</v>
          </cell>
        </row>
        <row r="415">
          <cell r="B415" t="str">
            <v>March</v>
          </cell>
          <cell r="D415" t="str">
            <v>00-220</v>
          </cell>
          <cell r="F415">
            <v>11794.94</v>
          </cell>
          <cell r="G415" t="str">
            <v>p</v>
          </cell>
        </row>
        <row r="416">
          <cell r="B416" t="str">
            <v>March</v>
          </cell>
          <cell r="D416" t="str">
            <v>00-223</v>
          </cell>
          <cell r="F416">
            <v>-70704.47</v>
          </cell>
          <cell r="G416" t="str">
            <v>p</v>
          </cell>
        </row>
        <row r="417">
          <cell r="B417" t="str">
            <v>March</v>
          </cell>
          <cell r="D417" t="str">
            <v>00-228</v>
          </cell>
          <cell r="F417">
            <v>4402</v>
          </cell>
          <cell r="G417" t="str">
            <v>p</v>
          </cell>
        </row>
        <row r="418">
          <cell r="B418" t="str">
            <v>March</v>
          </cell>
          <cell r="D418" t="str">
            <v>00-900</v>
          </cell>
          <cell r="F418">
            <v>70630.73</v>
          </cell>
          <cell r="G418" t="str">
            <v>p</v>
          </cell>
        </row>
        <row r="419">
          <cell r="B419" t="str">
            <v>March</v>
          </cell>
          <cell r="D419" t="str">
            <v>99-165</v>
          </cell>
          <cell r="F419">
            <v>-3308.87</v>
          </cell>
          <cell r="G419" t="str">
            <v>p</v>
          </cell>
        </row>
        <row r="420">
          <cell r="B420" t="str">
            <v>March</v>
          </cell>
          <cell r="D420" t="str">
            <v>99-308</v>
          </cell>
          <cell r="F420">
            <v>428.98</v>
          </cell>
          <cell r="G420" t="str">
            <v>p</v>
          </cell>
        </row>
        <row r="421">
          <cell r="B421" t="str">
            <v>March</v>
          </cell>
          <cell r="D421" t="str">
            <v>99-325</v>
          </cell>
          <cell r="F421">
            <v>15046.89</v>
          </cell>
          <cell r="G421" t="str">
            <v>p</v>
          </cell>
        </row>
        <row r="422">
          <cell r="B422" t="str">
            <v>March</v>
          </cell>
          <cell r="D422" t="str">
            <v>99-336</v>
          </cell>
          <cell r="F422">
            <v>27820</v>
          </cell>
          <cell r="G422" t="str">
            <v>p</v>
          </cell>
        </row>
        <row r="423">
          <cell r="B423" t="str">
            <v>March</v>
          </cell>
          <cell r="D423" t="str">
            <v>99-337</v>
          </cell>
          <cell r="F423">
            <v>630.62</v>
          </cell>
          <cell r="G423" t="str">
            <v>p</v>
          </cell>
        </row>
        <row r="424">
          <cell r="B424" t="str">
            <v>March</v>
          </cell>
          <cell r="D424" t="str">
            <v>99-344</v>
          </cell>
          <cell r="F424">
            <v>1393.8</v>
          </cell>
          <cell r="G424" t="str">
            <v>p</v>
          </cell>
        </row>
        <row r="425">
          <cell r="B425" t="str">
            <v>March</v>
          </cell>
          <cell r="D425" t="str">
            <v>01-002</v>
          </cell>
          <cell r="F425">
            <v>43794.239999999998</v>
          </cell>
          <cell r="G425" t="str">
            <v>p</v>
          </cell>
        </row>
        <row r="426">
          <cell r="B426" t="str">
            <v>March</v>
          </cell>
          <cell r="D426" t="str">
            <v>01-003</v>
          </cell>
          <cell r="F426">
            <v>6250</v>
          </cell>
          <cell r="G426" t="str">
            <v>p</v>
          </cell>
        </row>
        <row r="427">
          <cell r="B427" t="str">
            <v>March</v>
          </cell>
          <cell r="D427" t="str">
            <v>01-005</v>
          </cell>
          <cell r="F427">
            <v>165888</v>
          </cell>
          <cell r="G427" t="str">
            <v>p</v>
          </cell>
        </row>
        <row r="428">
          <cell r="B428" t="str">
            <v>March</v>
          </cell>
          <cell r="D428" t="str">
            <v>01-012</v>
          </cell>
          <cell r="F428">
            <v>6958.03</v>
          </cell>
          <cell r="G428" t="str">
            <v>p</v>
          </cell>
        </row>
        <row r="429">
          <cell r="B429" t="str">
            <v>March</v>
          </cell>
          <cell r="D429" t="str">
            <v>01-014</v>
          </cell>
          <cell r="F429">
            <v>-50028.36</v>
          </cell>
          <cell r="G429" t="str">
            <v>p</v>
          </cell>
        </row>
        <row r="430">
          <cell r="B430" t="str">
            <v>March</v>
          </cell>
          <cell r="D430" t="str">
            <v>01-017</v>
          </cell>
          <cell r="F430">
            <v>9445.67</v>
          </cell>
          <cell r="G430" t="str">
            <v>p</v>
          </cell>
        </row>
        <row r="431">
          <cell r="B431" t="str">
            <v>March</v>
          </cell>
          <cell r="D431" t="str">
            <v>01-018</v>
          </cell>
          <cell r="F431">
            <v>-142830</v>
          </cell>
          <cell r="G431" t="str">
            <v>p</v>
          </cell>
        </row>
        <row r="432">
          <cell r="B432" t="str">
            <v>March</v>
          </cell>
          <cell r="D432" t="str">
            <v>01-019</v>
          </cell>
          <cell r="F432">
            <v>20.12</v>
          </cell>
          <cell r="G432" t="str">
            <v>p</v>
          </cell>
        </row>
        <row r="433">
          <cell r="B433" t="str">
            <v>March</v>
          </cell>
          <cell r="D433" t="str">
            <v>01-021</v>
          </cell>
          <cell r="F433">
            <v>9667.06</v>
          </cell>
          <cell r="G433" t="str">
            <v>p</v>
          </cell>
        </row>
        <row r="434">
          <cell r="B434" t="str">
            <v>March</v>
          </cell>
          <cell r="D434" t="str">
            <v>01-025</v>
          </cell>
          <cell r="F434">
            <v>-21252.95</v>
          </cell>
          <cell r="G434" t="str">
            <v>p</v>
          </cell>
        </row>
        <row r="435">
          <cell r="B435" t="str">
            <v>March</v>
          </cell>
          <cell r="D435" t="str">
            <v>01-026</v>
          </cell>
          <cell r="F435">
            <v>10195.200000000001</v>
          </cell>
          <cell r="G435" t="str">
            <v>p</v>
          </cell>
        </row>
        <row r="436">
          <cell r="B436" t="str">
            <v>March</v>
          </cell>
          <cell r="D436" t="str">
            <v>01-027</v>
          </cell>
          <cell r="F436">
            <v>148.15</v>
          </cell>
          <cell r="G436" t="str">
            <v>p</v>
          </cell>
        </row>
        <row r="437">
          <cell r="B437" t="str">
            <v>March</v>
          </cell>
          <cell r="D437" t="str">
            <v>01-028</v>
          </cell>
          <cell r="F437">
            <v>-29408.400000000001</v>
          </cell>
          <cell r="G437" t="str">
            <v>p</v>
          </cell>
        </row>
        <row r="438">
          <cell r="B438" t="str">
            <v>March</v>
          </cell>
          <cell r="D438" t="str">
            <v>01-033</v>
          </cell>
          <cell r="F438">
            <v>85721</v>
          </cell>
          <cell r="G438" t="str">
            <v>p</v>
          </cell>
        </row>
        <row r="439">
          <cell r="B439" t="str">
            <v>March</v>
          </cell>
          <cell r="D439" t="str">
            <v>01-034</v>
          </cell>
          <cell r="F439">
            <v>60634.66</v>
          </cell>
          <cell r="G439" t="str">
            <v>p</v>
          </cell>
        </row>
        <row r="440">
          <cell r="B440" t="str">
            <v>March</v>
          </cell>
          <cell r="D440" t="str">
            <v>01-037</v>
          </cell>
          <cell r="F440">
            <v>4747.68</v>
          </cell>
          <cell r="G440" t="str">
            <v>p</v>
          </cell>
        </row>
        <row r="441">
          <cell r="B441" t="str">
            <v>March</v>
          </cell>
          <cell r="D441" t="str">
            <v>01-038</v>
          </cell>
          <cell r="F441">
            <v>6953.68</v>
          </cell>
          <cell r="G441" t="str">
            <v>p</v>
          </cell>
        </row>
        <row r="442">
          <cell r="B442" t="str">
            <v>March</v>
          </cell>
          <cell r="D442" t="str">
            <v>01-044</v>
          </cell>
          <cell r="F442">
            <v>7160.64</v>
          </cell>
          <cell r="G442" t="str">
            <v>p</v>
          </cell>
        </row>
        <row r="443">
          <cell r="B443" t="str">
            <v>March</v>
          </cell>
          <cell r="D443" t="str">
            <v>01-047</v>
          </cell>
          <cell r="F443">
            <v>9663.83</v>
          </cell>
          <cell r="G443" t="str">
            <v>p</v>
          </cell>
        </row>
        <row r="444">
          <cell r="B444" t="str">
            <v>March</v>
          </cell>
          <cell r="D444" t="str">
            <v>01-301</v>
          </cell>
          <cell r="F444">
            <v>11219.34</v>
          </cell>
          <cell r="G444" t="str">
            <v>p</v>
          </cell>
        </row>
        <row r="445">
          <cell r="B445" t="str">
            <v>March</v>
          </cell>
          <cell r="D445" t="str">
            <v>01-023</v>
          </cell>
          <cell r="F445">
            <v>-12846.89</v>
          </cell>
          <cell r="G445" t="str">
            <v>p</v>
          </cell>
        </row>
        <row r="446">
          <cell r="B446" t="str">
            <v>March</v>
          </cell>
          <cell r="D446" t="str">
            <v>00-023</v>
          </cell>
          <cell r="F446">
            <v>-9</v>
          </cell>
          <cell r="G446" t="str">
            <v>p</v>
          </cell>
        </row>
        <row r="447">
          <cell r="B447" t="str">
            <v>March</v>
          </cell>
          <cell r="D447" t="str">
            <v>00-111</v>
          </cell>
          <cell r="F447">
            <v>53415.94</v>
          </cell>
          <cell r="G447" t="str">
            <v>p</v>
          </cell>
        </row>
        <row r="448">
          <cell r="B448" t="str">
            <v>March</v>
          </cell>
          <cell r="D448" t="str">
            <v>00-131</v>
          </cell>
          <cell r="F448">
            <v>834400.98</v>
          </cell>
          <cell r="G448" t="str">
            <v>p</v>
          </cell>
        </row>
        <row r="449">
          <cell r="B449" t="str">
            <v>March</v>
          </cell>
          <cell r="D449" t="str">
            <v>00-158</v>
          </cell>
          <cell r="F449">
            <v>356.89</v>
          </cell>
          <cell r="G449" t="str">
            <v>p</v>
          </cell>
        </row>
        <row r="450">
          <cell r="B450" t="str">
            <v>March</v>
          </cell>
          <cell r="D450" t="str">
            <v>00-164</v>
          </cell>
          <cell r="F450">
            <v>3501.86</v>
          </cell>
          <cell r="G450" t="str">
            <v>p</v>
          </cell>
        </row>
        <row r="451">
          <cell r="B451" t="str">
            <v>March</v>
          </cell>
          <cell r="D451" t="str">
            <v>00-167</v>
          </cell>
          <cell r="F451">
            <v>-423820.06</v>
          </cell>
          <cell r="G451" t="str">
            <v>p</v>
          </cell>
        </row>
        <row r="452">
          <cell r="B452" t="str">
            <v>March</v>
          </cell>
          <cell r="D452" t="str">
            <v>00-193</v>
          </cell>
          <cell r="F452">
            <v>13247.4</v>
          </cell>
          <cell r="G452" t="str">
            <v>p</v>
          </cell>
        </row>
        <row r="453">
          <cell r="B453" t="str">
            <v>March</v>
          </cell>
          <cell r="D453" t="str">
            <v>00-195</v>
          </cell>
          <cell r="F453">
            <v>-346469.99</v>
          </cell>
          <cell r="G453" t="str">
            <v>p</v>
          </cell>
        </row>
        <row r="454">
          <cell r="B454" t="str">
            <v>March</v>
          </cell>
          <cell r="D454" t="str">
            <v>00-197</v>
          </cell>
          <cell r="F454">
            <v>195.54</v>
          </cell>
          <cell r="G454" t="str">
            <v>p</v>
          </cell>
        </row>
        <row r="455">
          <cell r="B455" t="str">
            <v>March</v>
          </cell>
          <cell r="D455" t="str">
            <v>00-205</v>
          </cell>
          <cell r="F455">
            <v>14320.8</v>
          </cell>
          <cell r="G455" t="str">
            <v>p</v>
          </cell>
        </row>
        <row r="456">
          <cell r="B456" t="str">
            <v>March</v>
          </cell>
          <cell r="D456" t="str">
            <v>00-222</v>
          </cell>
          <cell r="F456">
            <v>-128840.9</v>
          </cell>
          <cell r="G456" t="str">
            <v>p</v>
          </cell>
        </row>
        <row r="457">
          <cell r="B457" t="str">
            <v>March</v>
          </cell>
          <cell r="D457" t="str">
            <v>00-223</v>
          </cell>
          <cell r="F457">
            <v>70704.47</v>
          </cell>
          <cell r="G457" t="str">
            <v>p</v>
          </cell>
        </row>
        <row r="458">
          <cell r="B458" t="str">
            <v>March</v>
          </cell>
          <cell r="D458" t="str">
            <v>00-229</v>
          </cell>
          <cell r="F458">
            <v>46964.88</v>
          </cell>
          <cell r="G458" t="str">
            <v>p</v>
          </cell>
        </row>
        <row r="459">
          <cell r="B459" t="str">
            <v>March</v>
          </cell>
          <cell r="D459" t="str">
            <v>00-900</v>
          </cell>
          <cell r="F459">
            <v>35207.519999999997</v>
          </cell>
          <cell r="G459" t="str">
            <v>p</v>
          </cell>
        </row>
        <row r="460">
          <cell r="B460" t="str">
            <v>March</v>
          </cell>
          <cell r="D460" t="str">
            <v>99-344</v>
          </cell>
          <cell r="F460">
            <v>600</v>
          </cell>
          <cell r="G460" t="str">
            <v>p</v>
          </cell>
        </row>
        <row r="461">
          <cell r="B461" t="str">
            <v>March</v>
          </cell>
          <cell r="D461" t="str">
            <v>01-001</v>
          </cell>
          <cell r="F461">
            <v>3888</v>
          </cell>
          <cell r="G461" t="str">
            <v>p</v>
          </cell>
        </row>
        <row r="462">
          <cell r="B462" t="str">
            <v>March</v>
          </cell>
          <cell r="D462" t="str">
            <v>01-002</v>
          </cell>
          <cell r="F462">
            <v>28747.64</v>
          </cell>
          <cell r="G462" t="str">
            <v>p</v>
          </cell>
        </row>
        <row r="463">
          <cell r="B463" t="str">
            <v>March</v>
          </cell>
          <cell r="D463" t="str">
            <v>01-008</v>
          </cell>
          <cell r="F463">
            <v>57677.4</v>
          </cell>
          <cell r="G463" t="str">
            <v>p</v>
          </cell>
        </row>
        <row r="464">
          <cell r="B464" t="str">
            <v>March</v>
          </cell>
          <cell r="D464" t="str">
            <v>01-014</v>
          </cell>
          <cell r="F464">
            <v>4719.04</v>
          </cell>
          <cell r="G464" t="str">
            <v>p</v>
          </cell>
        </row>
        <row r="465">
          <cell r="B465" t="str">
            <v>March</v>
          </cell>
          <cell r="D465" t="str">
            <v>01-016</v>
          </cell>
          <cell r="F465">
            <v>46679.76</v>
          </cell>
          <cell r="G465" t="str">
            <v>p</v>
          </cell>
        </row>
        <row r="466">
          <cell r="B466" t="str">
            <v>March</v>
          </cell>
          <cell r="D466" t="str">
            <v>01-017</v>
          </cell>
          <cell r="F466">
            <v>2462.27</v>
          </cell>
          <cell r="G466" t="str">
            <v>p</v>
          </cell>
        </row>
        <row r="467">
          <cell r="B467" t="str">
            <v>March</v>
          </cell>
          <cell r="D467" t="str">
            <v>01-019</v>
          </cell>
          <cell r="F467">
            <v>6885</v>
          </cell>
          <cell r="G467" t="str">
            <v>p</v>
          </cell>
        </row>
        <row r="468">
          <cell r="B468" t="str">
            <v>March</v>
          </cell>
          <cell r="D468" t="str">
            <v>01-021</v>
          </cell>
          <cell r="F468">
            <v>3383.25</v>
          </cell>
          <cell r="G468" t="str">
            <v>p</v>
          </cell>
        </row>
        <row r="469">
          <cell r="B469" t="str">
            <v>March</v>
          </cell>
          <cell r="D469" t="str">
            <v>01-026</v>
          </cell>
          <cell r="F469">
            <v>1987.2</v>
          </cell>
          <cell r="G469" t="str">
            <v>p</v>
          </cell>
        </row>
        <row r="470">
          <cell r="B470" t="str">
            <v>March</v>
          </cell>
          <cell r="D470" t="str">
            <v>01-027</v>
          </cell>
          <cell r="F470">
            <v>19130.04</v>
          </cell>
          <cell r="G470" t="str">
            <v>p</v>
          </cell>
        </row>
        <row r="471">
          <cell r="B471" t="str">
            <v>March</v>
          </cell>
          <cell r="D471" t="str">
            <v>01-031</v>
          </cell>
          <cell r="F471">
            <v>160466.57999999999</v>
          </cell>
          <cell r="G471" t="str">
            <v>p</v>
          </cell>
        </row>
        <row r="472">
          <cell r="B472" t="str">
            <v>March</v>
          </cell>
          <cell r="D472" t="str">
            <v>01-032</v>
          </cell>
          <cell r="F472">
            <v>418414.5</v>
          </cell>
          <cell r="G472" t="str">
            <v>p</v>
          </cell>
        </row>
        <row r="473">
          <cell r="B473" t="str">
            <v>March</v>
          </cell>
          <cell r="D473" t="str">
            <v>01-033</v>
          </cell>
          <cell r="F473">
            <v>98734.04</v>
          </cell>
          <cell r="G473" t="str">
            <v>p</v>
          </cell>
        </row>
        <row r="474">
          <cell r="B474" t="str">
            <v>March</v>
          </cell>
          <cell r="D474" t="str">
            <v>01-034</v>
          </cell>
          <cell r="F474">
            <v>-74</v>
          </cell>
          <cell r="G474" t="str">
            <v>p</v>
          </cell>
        </row>
        <row r="475">
          <cell r="B475" t="str">
            <v>March</v>
          </cell>
          <cell r="D475" t="str">
            <v>01-035</v>
          </cell>
          <cell r="F475">
            <v>756000.18</v>
          </cell>
          <cell r="G475" t="str">
            <v>p</v>
          </cell>
        </row>
        <row r="476">
          <cell r="B476" t="str">
            <v>March</v>
          </cell>
          <cell r="D476" t="str">
            <v>01-037</v>
          </cell>
          <cell r="F476">
            <v>38.99</v>
          </cell>
          <cell r="G476" t="str">
            <v>p</v>
          </cell>
        </row>
        <row r="477">
          <cell r="B477" t="str">
            <v>March</v>
          </cell>
          <cell r="D477" t="str">
            <v>01-043</v>
          </cell>
          <cell r="F477">
            <v>18428.39</v>
          </cell>
          <cell r="G477" t="str">
            <v>p</v>
          </cell>
        </row>
        <row r="478">
          <cell r="B478" t="str">
            <v>March</v>
          </cell>
          <cell r="D478" t="str">
            <v>01-044</v>
          </cell>
          <cell r="F478">
            <v>50</v>
          </cell>
          <cell r="G478" t="str">
            <v>p</v>
          </cell>
        </row>
        <row r="479">
          <cell r="B479" t="str">
            <v>March</v>
          </cell>
          <cell r="D479" t="str">
            <v>01-045</v>
          </cell>
          <cell r="F479">
            <v>9035.74</v>
          </cell>
          <cell r="G479" t="str">
            <v>p</v>
          </cell>
        </row>
        <row r="480">
          <cell r="B480" t="str">
            <v>March</v>
          </cell>
          <cell r="D480" t="str">
            <v>01-046</v>
          </cell>
          <cell r="F480">
            <v>17700.46</v>
          </cell>
          <cell r="G480" t="str">
            <v>p</v>
          </cell>
        </row>
        <row r="481">
          <cell r="B481" t="str">
            <v>March</v>
          </cell>
          <cell r="D481" t="str">
            <v>01-047</v>
          </cell>
          <cell r="F481">
            <v>90</v>
          </cell>
          <cell r="G481" t="str">
            <v>p</v>
          </cell>
        </row>
        <row r="482">
          <cell r="B482" t="str">
            <v>March</v>
          </cell>
          <cell r="D482" t="str">
            <v>01-053</v>
          </cell>
          <cell r="F482">
            <v>484803</v>
          </cell>
          <cell r="G482" t="str">
            <v>p</v>
          </cell>
        </row>
        <row r="483">
          <cell r="B483" t="str">
            <v>March</v>
          </cell>
          <cell r="D483" t="str">
            <v>01-056</v>
          </cell>
          <cell r="F483">
            <v>11010</v>
          </cell>
          <cell r="G483" t="str">
            <v>p</v>
          </cell>
        </row>
        <row r="484">
          <cell r="B484" t="str">
            <v>March</v>
          </cell>
          <cell r="D484" t="str">
            <v>01-058</v>
          </cell>
          <cell r="F484">
            <v>5236</v>
          </cell>
          <cell r="G484" t="str">
            <v>p</v>
          </cell>
        </row>
        <row r="485">
          <cell r="B485" t="str">
            <v>March</v>
          </cell>
          <cell r="D485" t="str">
            <v>01-061</v>
          </cell>
          <cell r="F485">
            <v>3833.6</v>
          </cell>
          <cell r="G485" t="str">
            <v>p</v>
          </cell>
        </row>
        <row r="486">
          <cell r="B486" t="str">
            <v>March</v>
          </cell>
          <cell r="D486" t="str">
            <v>01-066</v>
          </cell>
          <cell r="F486">
            <v>81000</v>
          </cell>
          <cell r="G486" t="str">
            <v>p</v>
          </cell>
        </row>
        <row r="487">
          <cell r="B487" t="str">
            <v>March</v>
          </cell>
          <cell r="D487" t="str">
            <v>01-301</v>
          </cell>
          <cell r="F487">
            <v>6251.56</v>
          </cell>
          <cell r="G487" t="str">
            <v>p</v>
          </cell>
        </row>
        <row r="488">
          <cell r="B488" t="str">
            <v>March</v>
          </cell>
          <cell r="D488" t="str">
            <v>01-303</v>
          </cell>
          <cell r="F488">
            <v>12777.87</v>
          </cell>
          <cell r="G488" t="str">
            <v>p</v>
          </cell>
        </row>
        <row r="489">
          <cell r="B489" t="str">
            <v>March</v>
          </cell>
          <cell r="D489" t="str">
            <v>01-049</v>
          </cell>
          <cell r="F489">
            <v>98564.46</v>
          </cell>
          <cell r="G489" t="str">
            <v>p</v>
          </cell>
        </row>
        <row r="490">
          <cell r="B490" t="str">
            <v>March</v>
          </cell>
          <cell r="D490" t="str">
            <v>00-900</v>
          </cell>
          <cell r="F490">
            <v>11544.02</v>
          </cell>
          <cell r="G490" t="str">
            <v>p</v>
          </cell>
        </row>
        <row r="491">
          <cell r="B491" t="str">
            <v>March</v>
          </cell>
          <cell r="D491" t="str">
            <v>00-167</v>
          </cell>
          <cell r="F491">
            <v>11578.68</v>
          </cell>
          <cell r="G491" t="str">
            <v>p</v>
          </cell>
        </row>
        <row r="492">
          <cell r="B492" t="str">
            <v>March</v>
          </cell>
          <cell r="D492" t="str">
            <v>01-003</v>
          </cell>
          <cell r="F492">
            <v>230356</v>
          </cell>
          <cell r="G492" t="str">
            <v>p</v>
          </cell>
        </row>
        <row r="493">
          <cell r="B493" t="str">
            <v>March</v>
          </cell>
          <cell r="D493" t="str">
            <v>01-003</v>
          </cell>
          <cell r="F493">
            <v>51830.1</v>
          </cell>
          <cell r="G493" t="str">
            <v>p</v>
          </cell>
        </row>
        <row r="494">
          <cell r="B494" t="str">
            <v>March</v>
          </cell>
          <cell r="D494" t="str">
            <v>00-151</v>
          </cell>
          <cell r="F494">
            <v>2400</v>
          </cell>
          <cell r="G494" t="str">
            <v>p</v>
          </cell>
        </row>
        <row r="495">
          <cell r="B495" t="str">
            <v>March</v>
          </cell>
          <cell r="D495" t="str">
            <v>99-165</v>
          </cell>
          <cell r="F495">
            <v>4248</v>
          </cell>
          <cell r="G495" t="str">
            <v>p</v>
          </cell>
        </row>
        <row r="496">
          <cell r="B496" t="str">
            <v>March</v>
          </cell>
          <cell r="D496" t="str">
            <v>01-523</v>
          </cell>
          <cell r="F496">
            <v>3742</v>
          </cell>
          <cell r="G496" t="str">
            <v>p</v>
          </cell>
        </row>
        <row r="497">
          <cell r="B497" t="str">
            <v>March</v>
          </cell>
          <cell r="D497" t="str">
            <v>01-571</v>
          </cell>
          <cell r="F497">
            <v>3742</v>
          </cell>
          <cell r="G497" t="str">
            <v>p</v>
          </cell>
        </row>
        <row r="498">
          <cell r="B498" t="str">
            <v>March</v>
          </cell>
          <cell r="D498" t="str">
            <v>01-572</v>
          </cell>
          <cell r="F498">
            <v>3742</v>
          </cell>
          <cell r="G498" t="str">
            <v>p</v>
          </cell>
        </row>
        <row r="499">
          <cell r="B499" t="str">
            <v>March</v>
          </cell>
          <cell r="D499" t="str">
            <v>01-573</v>
          </cell>
          <cell r="F499">
            <v>3742</v>
          </cell>
          <cell r="G499" t="str">
            <v>p</v>
          </cell>
        </row>
        <row r="500">
          <cell r="B500" t="str">
            <v>March</v>
          </cell>
          <cell r="D500" t="str">
            <v>01-576</v>
          </cell>
          <cell r="F500">
            <v>3742</v>
          </cell>
          <cell r="G500" t="str">
            <v>p</v>
          </cell>
        </row>
        <row r="501">
          <cell r="B501" t="str">
            <v>March</v>
          </cell>
          <cell r="D501" t="str">
            <v>01-582</v>
          </cell>
          <cell r="F501">
            <v>4103</v>
          </cell>
          <cell r="G501" t="str">
            <v>p</v>
          </cell>
        </row>
        <row r="502">
          <cell r="B502" t="str">
            <v>March</v>
          </cell>
          <cell r="D502" t="str">
            <v>01-584</v>
          </cell>
          <cell r="F502">
            <v>1799</v>
          </cell>
          <cell r="G502" t="str">
            <v>p</v>
          </cell>
        </row>
        <row r="503">
          <cell r="B503" t="str">
            <v>March</v>
          </cell>
          <cell r="D503" t="str">
            <v>01-585</v>
          </cell>
          <cell r="F503">
            <v>4103</v>
          </cell>
          <cell r="G503" t="str">
            <v>p</v>
          </cell>
        </row>
        <row r="504">
          <cell r="B504" t="str">
            <v>March</v>
          </cell>
          <cell r="D504" t="str">
            <v>01-587</v>
          </cell>
          <cell r="F504">
            <v>2677</v>
          </cell>
          <cell r="G504" t="str">
            <v>p</v>
          </cell>
        </row>
        <row r="505">
          <cell r="B505" t="str">
            <v>March</v>
          </cell>
          <cell r="D505" t="str">
            <v>01-588</v>
          </cell>
          <cell r="F505">
            <v>3742</v>
          </cell>
          <cell r="G505" t="str">
            <v>p</v>
          </cell>
        </row>
        <row r="506">
          <cell r="B506" t="str">
            <v>March</v>
          </cell>
          <cell r="D506" t="str">
            <v>01-589</v>
          </cell>
          <cell r="F506">
            <v>3031</v>
          </cell>
          <cell r="G506" t="str">
            <v>p</v>
          </cell>
        </row>
        <row r="507">
          <cell r="B507" t="str">
            <v>March</v>
          </cell>
          <cell r="D507" t="str">
            <v>01-590</v>
          </cell>
          <cell r="F507">
            <v>2677</v>
          </cell>
          <cell r="G507" t="str">
            <v>p</v>
          </cell>
        </row>
        <row r="508">
          <cell r="B508" t="str">
            <v>March</v>
          </cell>
          <cell r="D508" t="str">
            <v>01-591</v>
          </cell>
          <cell r="F508">
            <v>2291</v>
          </cell>
          <cell r="G508" t="str">
            <v>p</v>
          </cell>
        </row>
        <row r="509">
          <cell r="B509" t="str">
            <v>March</v>
          </cell>
          <cell r="D509" t="str">
            <v>01-594</v>
          </cell>
          <cell r="F509">
            <v>3742</v>
          </cell>
          <cell r="G509" t="str">
            <v>p</v>
          </cell>
        </row>
        <row r="510">
          <cell r="B510" t="str">
            <v>March</v>
          </cell>
          <cell r="D510" t="str">
            <v>01-596</v>
          </cell>
          <cell r="F510">
            <v>3976</v>
          </cell>
          <cell r="G510" t="str">
            <v>p</v>
          </cell>
        </row>
        <row r="511">
          <cell r="B511" t="str">
            <v>March</v>
          </cell>
          <cell r="D511" t="str">
            <v>01-597</v>
          </cell>
          <cell r="F511">
            <v>1443</v>
          </cell>
          <cell r="G511" t="str">
            <v>p</v>
          </cell>
        </row>
        <row r="512">
          <cell r="B512" t="str">
            <v>March</v>
          </cell>
          <cell r="D512" t="str">
            <v>01-598</v>
          </cell>
          <cell r="F512">
            <v>3742</v>
          </cell>
          <cell r="G512" t="str">
            <v>p</v>
          </cell>
        </row>
        <row r="513">
          <cell r="B513" t="str">
            <v>March</v>
          </cell>
          <cell r="D513" t="str">
            <v>01-599</v>
          </cell>
          <cell r="F513">
            <v>1799</v>
          </cell>
          <cell r="G513" t="str">
            <v>p</v>
          </cell>
        </row>
        <row r="514">
          <cell r="B514" t="str">
            <v>March</v>
          </cell>
          <cell r="D514" t="str">
            <v>01-600</v>
          </cell>
          <cell r="F514">
            <v>6643</v>
          </cell>
          <cell r="G514" t="str">
            <v>p</v>
          </cell>
        </row>
        <row r="515">
          <cell r="B515" t="str">
            <v>March</v>
          </cell>
          <cell r="D515" t="str">
            <v>01-601</v>
          </cell>
          <cell r="F515">
            <v>6643</v>
          </cell>
          <cell r="G515" t="str">
            <v>p</v>
          </cell>
        </row>
        <row r="516">
          <cell r="B516" t="str">
            <v>March</v>
          </cell>
          <cell r="D516" t="str">
            <v>01-602</v>
          </cell>
          <cell r="F516">
            <v>3742</v>
          </cell>
          <cell r="G516" t="str">
            <v>p</v>
          </cell>
        </row>
        <row r="517">
          <cell r="B517" t="str">
            <v>March</v>
          </cell>
          <cell r="D517" t="str">
            <v>01-603</v>
          </cell>
          <cell r="F517">
            <v>3490</v>
          </cell>
          <cell r="G517" t="str">
            <v>p</v>
          </cell>
        </row>
        <row r="518">
          <cell r="B518" t="str">
            <v>March</v>
          </cell>
          <cell r="D518" t="str">
            <v>01-604</v>
          </cell>
          <cell r="F518">
            <v>2281</v>
          </cell>
          <cell r="G518" t="str">
            <v>p</v>
          </cell>
        </row>
        <row r="519">
          <cell r="B519" t="str">
            <v>March</v>
          </cell>
          <cell r="D519" t="str">
            <v>01-606</v>
          </cell>
          <cell r="F519">
            <v>1799</v>
          </cell>
          <cell r="G519" t="str">
            <v>p</v>
          </cell>
        </row>
        <row r="520">
          <cell r="B520" t="str">
            <v>March</v>
          </cell>
          <cell r="D520" t="str">
            <v>01-607</v>
          </cell>
          <cell r="F520">
            <v>1799</v>
          </cell>
          <cell r="G520" t="str">
            <v>p</v>
          </cell>
        </row>
        <row r="521">
          <cell r="B521" t="str">
            <v>March</v>
          </cell>
          <cell r="D521" t="str">
            <v>01-608</v>
          </cell>
          <cell r="F521">
            <v>3976</v>
          </cell>
          <cell r="G521" t="str">
            <v>p</v>
          </cell>
        </row>
        <row r="522">
          <cell r="B522" t="str">
            <v>March</v>
          </cell>
          <cell r="D522" t="str">
            <v>01-612</v>
          </cell>
          <cell r="F522">
            <v>2845</v>
          </cell>
          <cell r="G522" t="str">
            <v>p</v>
          </cell>
        </row>
        <row r="523">
          <cell r="B523" t="str">
            <v>March</v>
          </cell>
          <cell r="D523" t="str">
            <v>01-613</v>
          </cell>
          <cell r="F523">
            <v>3507</v>
          </cell>
          <cell r="G523" t="str">
            <v>p</v>
          </cell>
        </row>
        <row r="524">
          <cell r="B524" t="str">
            <v>March</v>
          </cell>
          <cell r="D524" t="str">
            <v>01-620</v>
          </cell>
          <cell r="F524">
            <v>5540</v>
          </cell>
          <cell r="G524" t="str">
            <v>p</v>
          </cell>
        </row>
        <row r="525">
          <cell r="B525" t="str">
            <v>March</v>
          </cell>
          <cell r="D525" t="str">
            <v>01-621</v>
          </cell>
          <cell r="F525">
            <v>6643</v>
          </cell>
          <cell r="G525" t="str">
            <v>p</v>
          </cell>
        </row>
        <row r="526">
          <cell r="B526" t="str">
            <v>March</v>
          </cell>
          <cell r="D526" t="str">
            <v>01-622</v>
          </cell>
          <cell r="F526">
            <v>3976</v>
          </cell>
          <cell r="G526" t="str">
            <v>p</v>
          </cell>
        </row>
        <row r="527">
          <cell r="B527" t="str">
            <v>March</v>
          </cell>
          <cell r="D527" t="str">
            <v>01-623</v>
          </cell>
          <cell r="F527">
            <v>3976</v>
          </cell>
          <cell r="G527" t="str">
            <v>p</v>
          </cell>
        </row>
        <row r="528">
          <cell r="B528" t="str">
            <v>March</v>
          </cell>
          <cell r="D528" t="str">
            <v>01-627</v>
          </cell>
          <cell r="F528">
            <v>4250</v>
          </cell>
          <cell r="G528" t="str">
            <v>p</v>
          </cell>
        </row>
        <row r="529">
          <cell r="B529" t="str">
            <v>March</v>
          </cell>
          <cell r="D529" t="str">
            <v>01-629</v>
          </cell>
          <cell r="F529">
            <v>3031</v>
          </cell>
          <cell r="G529" t="str">
            <v>p</v>
          </cell>
        </row>
        <row r="530">
          <cell r="B530" t="str">
            <v>March</v>
          </cell>
          <cell r="D530" t="str">
            <v>01-633</v>
          </cell>
          <cell r="F530">
            <v>3742</v>
          </cell>
          <cell r="G530" t="str">
            <v>p</v>
          </cell>
        </row>
        <row r="531">
          <cell r="B531" t="str">
            <v>March</v>
          </cell>
          <cell r="D531" t="str">
            <v>01-634</v>
          </cell>
          <cell r="F531">
            <v>3074</v>
          </cell>
          <cell r="G531" t="str">
            <v>p</v>
          </cell>
        </row>
        <row r="532">
          <cell r="B532" t="str">
            <v>March</v>
          </cell>
          <cell r="D532" t="str">
            <v>01-635</v>
          </cell>
          <cell r="F532">
            <v>1443</v>
          </cell>
          <cell r="G532" t="str">
            <v>p</v>
          </cell>
        </row>
        <row r="533">
          <cell r="B533" t="str">
            <v>March</v>
          </cell>
          <cell r="D533" t="str">
            <v>01-636</v>
          </cell>
          <cell r="F533">
            <v>4103</v>
          </cell>
          <cell r="G533" t="str">
            <v>p</v>
          </cell>
        </row>
        <row r="534">
          <cell r="B534" t="str">
            <v>March</v>
          </cell>
          <cell r="D534" t="str">
            <v>01-640</v>
          </cell>
          <cell r="F534">
            <v>3490</v>
          </cell>
          <cell r="G534" t="str">
            <v>p</v>
          </cell>
        </row>
        <row r="535">
          <cell r="B535" t="str">
            <v>March</v>
          </cell>
          <cell r="D535" t="str">
            <v>01-641</v>
          </cell>
          <cell r="F535">
            <v>4103</v>
          </cell>
          <cell r="G535" t="str">
            <v>p</v>
          </cell>
        </row>
        <row r="536">
          <cell r="B536" t="str">
            <v>March</v>
          </cell>
          <cell r="D536" t="str">
            <v>01-645</v>
          </cell>
          <cell r="F536">
            <v>4438</v>
          </cell>
          <cell r="G536" t="str">
            <v>p</v>
          </cell>
        </row>
        <row r="537">
          <cell r="B537" t="str">
            <v>March</v>
          </cell>
          <cell r="D537" t="str">
            <v>01-650</v>
          </cell>
          <cell r="F537">
            <v>3074</v>
          </cell>
          <cell r="G537" t="str">
            <v>p</v>
          </cell>
        </row>
        <row r="538">
          <cell r="B538" t="str">
            <v>March</v>
          </cell>
          <cell r="D538" t="str">
            <v>01-654</v>
          </cell>
          <cell r="F538">
            <v>1443</v>
          </cell>
          <cell r="G538" t="str">
            <v>p</v>
          </cell>
        </row>
        <row r="539">
          <cell r="B539" t="str">
            <v>March</v>
          </cell>
          <cell r="D539" t="str">
            <v>01-655</v>
          </cell>
          <cell r="F539">
            <v>1443</v>
          </cell>
          <cell r="G539" t="str">
            <v>p</v>
          </cell>
        </row>
        <row r="540">
          <cell r="B540" t="str">
            <v>March</v>
          </cell>
          <cell r="D540" t="str">
            <v>01-656</v>
          </cell>
          <cell r="F540">
            <v>1443</v>
          </cell>
          <cell r="G540" t="str">
            <v>p</v>
          </cell>
        </row>
        <row r="541">
          <cell r="B541" t="str">
            <v>March</v>
          </cell>
          <cell r="D541" t="str">
            <v>01-660</v>
          </cell>
          <cell r="F541">
            <v>3074</v>
          </cell>
          <cell r="G541" t="str">
            <v>p</v>
          </cell>
        </row>
        <row r="542">
          <cell r="B542" t="str">
            <v>March</v>
          </cell>
          <cell r="D542" t="str">
            <v>01-662</v>
          </cell>
          <cell r="F542">
            <v>1443</v>
          </cell>
          <cell r="G542" t="str">
            <v>p</v>
          </cell>
        </row>
        <row r="543">
          <cell r="B543" t="str">
            <v>March</v>
          </cell>
          <cell r="D543" t="str">
            <v>01-520</v>
          </cell>
          <cell r="F543">
            <v>4438</v>
          </cell>
          <cell r="G543" t="str">
            <v>p</v>
          </cell>
        </row>
        <row r="544">
          <cell r="B544" t="str">
            <v>March</v>
          </cell>
          <cell r="D544" t="str">
            <v>01-593</v>
          </cell>
          <cell r="F544">
            <v>2281</v>
          </cell>
          <cell r="G544" t="str">
            <v>p</v>
          </cell>
        </row>
        <row r="545">
          <cell r="B545" t="str">
            <v>March</v>
          </cell>
          <cell r="D545" t="str">
            <v>01-611</v>
          </cell>
          <cell r="F545">
            <v>3223</v>
          </cell>
          <cell r="G545" t="str">
            <v>p</v>
          </cell>
        </row>
        <row r="546">
          <cell r="B546" t="str">
            <v>March</v>
          </cell>
          <cell r="D546" t="str">
            <v>00-900</v>
          </cell>
          <cell r="F546">
            <v>-168231</v>
          </cell>
          <cell r="G546" t="str">
            <v>p</v>
          </cell>
        </row>
        <row r="547">
          <cell r="B547" t="str">
            <v>March</v>
          </cell>
          <cell r="D547" t="str">
            <v>01-005</v>
          </cell>
          <cell r="F547">
            <v>-165888</v>
          </cell>
          <cell r="G547" t="str">
            <v>p</v>
          </cell>
        </row>
        <row r="548">
          <cell r="B548" t="str">
            <v>March</v>
          </cell>
          <cell r="D548" t="str">
            <v>01-572</v>
          </cell>
          <cell r="F548">
            <v>-3742</v>
          </cell>
          <cell r="G548" t="str">
            <v>c</v>
          </cell>
        </row>
        <row r="549">
          <cell r="B549" t="str">
            <v>March</v>
          </cell>
          <cell r="D549" t="str">
            <v>01-573</v>
          </cell>
          <cell r="F549">
            <v>-3742</v>
          </cell>
          <cell r="G549" t="str">
            <v>c</v>
          </cell>
        </row>
        <row r="550">
          <cell r="B550" t="str">
            <v>March</v>
          </cell>
          <cell r="D550" t="str">
            <v>01-576</v>
          </cell>
          <cell r="F550">
            <v>-3742</v>
          </cell>
          <cell r="G550" t="str">
            <v>c</v>
          </cell>
        </row>
        <row r="551">
          <cell r="B551" t="str">
            <v>March</v>
          </cell>
          <cell r="D551" t="str">
            <v>01-582</v>
          </cell>
          <cell r="F551">
            <v>-4103</v>
          </cell>
          <cell r="G551" t="str">
            <v>c</v>
          </cell>
        </row>
        <row r="552">
          <cell r="B552" t="str">
            <v>March</v>
          </cell>
          <cell r="D552" t="str">
            <v>01-584</v>
          </cell>
          <cell r="F552">
            <v>-1799</v>
          </cell>
          <cell r="G552" t="str">
            <v>c</v>
          </cell>
        </row>
        <row r="553">
          <cell r="B553" t="str">
            <v>March</v>
          </cell>
          <cell r="D553" t="str">
            <v>01-585</v>
          </cell>
          <cell r="F553">
            <v>-4103</v>
          </cell>
          <cell r="G553" t="str">
            <v>c</v>
          </cell>
        </row>
        <row r="554">
          <cell r="B554" t="str">
            <v>March</v>
          </cell>
          <cell r="D554" t="str">
            <v>01-588</v>
          </cell>
          <cell r="F554">
            <v>-3742</v>
          </cell>
          <cell r="G554" t="str">
            <v>c</v>
          </cell>
        </row>
        <row r="555">
          <cell r="B555" t="str">
            <v>March</v>
          </cell>
          <cell r="D555" t="str">
            <v>01-589</v>
          </cell>
          <cell r="F555">
            <v>-3031</v>
          </cell>
          <cell r="G555" t="str">
            <v>c</v>
          </cell>
        </row>
        <row r="556">
          <cell r="B556" t="str">
            <v>March</v>
          </cell>
          <cell r="D556" t="str">
            <v>01-590</v>
          </cell>
          <cell r="F556">
            <v>-2677</v>
          </cell>
          <cell r="G556" t="str">
            <v>c</v>
          </cell>
        </row>
        <row r="557">
          <cell r="B557" t="str">
            <v>March</v>
          </cell>
          <cell r="D557" t="str">
            <v>01-591</v>
          </cell>
          <cell r="F557">
            <v>-2291</v>
          </cell>
          <cell r="G557" t="str">
            <v>c</v>
          </cell>
        </row>
        <row r="558">
          <cell r="B558" t="str">
            <v>March</v>
          </cell>
          <cell r="D558" t="str">
            <v>01-594</v>
          </cell>
          <cell r="F558">
            <v>-3742</v>
          </cell>
          <cell r="G558" t="str">
            <v>c</v>
          </cell>
        </row>
        <row r="559">
          <cell r="B559" t="str">
            <v>March</v>
          </cell>
          <cell r="D559" t="str">
            <v>01-596</v>
          </cell>
          <cell r="F559">
            <v>-3976</v>
          </cell>
          <cell r="G559" t="str">
            <v>c</v>
          </cell>
        </row>
        <row r="560">
          <cell r="B560" t="str">
            <v>March</v>
          </cell>
          <cell r="D560" t="str">
            <v>01-598</v>
          </cell>
          <cell r="F560">
            <v>-3742</v>
          </cell>
          <cell r="G560" t="str">
            <v>c</v>
          </cell>
        </row>
        <row r="561">
          <cell r="B561" t="str">
            <v>March</v>
          </cell>
          <cell r="D561" t="str">
            <v>01-600</v>
          </cell>
          <cell r="F561">
            <v>-6643</v>
          </cell>
          <cell r="G561" t="str">
            <v>c</v>
          </cell>
        </row>
        <row r="562">
          <cell r="B562" t="str">
            <v>March</v>
          </cell>
          <cell r="D562" t="str">
            <v>01-601</v>
          </cell>
          <cell r="F562">
            <v>-6643</v>
          </cell>
          <cell r="G562" t="str">
            <v>c</v>
          </cell>
        </row>
        <row r="563">
          <cell r="B563" t="str">
            <v>March</v>
          </cell>
          <cell r="D563" t="str">
            <v>01-602</v>
          </cell>
          <cell r="F563">
            <v>-3742</v>
          </cell>
          <cell r="G563" t="str">
            <v>c</v>
          </cell>
        </row>
        <row r="564">
          <cell r="B564" t="str">
            <v>March</v>
          </cell>
          <cell r="D564" t="str">
            <v>01-603</v>
          </cell>
          <cell r="F564">
            <v>-3490</v>
          </cell>
          <cell r="G564" t="str">
            <v>c</v>
          </cell>
        </row>
        <row r="565">
          <cell r="B565" t="str">
            <v>March</v>
          </cell>
          <cell r="D565" t="str">
            <v>01-606</v>
          </cell>
          <cell r="F565">
            <v>-1799</v>
          </cell>
          <cell r="G565" t="str">
            <v>c</v>
          </cell>
        </row>
        <row r="566">
          <cell r="B566" t="str">
            <v>March</v>
          </cell>
          <cell r="D566" t="str">
            <v>01-607</v>
          </cell>
          <cell r="F566">
            <v>-1799</v>
          </cell>
          <cell r="G566" t="str">
            <v>c</v>
          </cell>
        </row>
        <row r="567">
          <cell r="B567" t="str">
            <v>March</v>
          </cell>
          <cell r="D567" t="str">
            <v>01-608</v>
          </cell>
          <cell r="F567">
            <v>-3976</v>
          </cell>
          <cell r="G567" t="str">
            <v>c</v>
          </cell>
        </row>
        <row r="568">
          <cell r="B568" t="str">
            <v>March</v>
          </cell>
          <cell r="D568" t="str">
            <v>01-613</v>
          </cell>
          <cell r="F568">
            <v>-3507</v>
          </cell>
          <cell r="G568" t="str">
            <v>c</v>
          </cell>
        </row>
        <row r="569">
          <cell r="B569" t="str">
            <v>March</v>
          </cell>
          <cell r="D569" t="str">
            <v>01-620</v>
          </cell>
          <cell r="F569">
            <v>-5540</v>
          </cell>
          <cell r="G569" t="str">
            <v>c</v>
          </cell>
        </row>
        <row r="570">
          <cell r="B570" t="str">
            <v>March</v>
          </cell>
          <cell r="D570" t="str">
            <v>01-621</v>
          </cell>
          <cell r="F570">
            <v>-6643</v>
          </cell>
          <cell r="G570" t="str">
            <v>c</v>
          </cell>
        </row>
        <row r="571">
          <cell r="B571" t="str">
            <v>March</v>
          </cell>
          <cell r="D571" t="str">
            <v>01-623</v>
          </cell>
          <cell r="F571">
            <v>-3976</v>
          </cell>
          <cell r="G571" t="str">
            <v>c</v>
          </cell>
        </row>
        <row r="572">
          <cell r="B572" t="str">
            <v>March</v>
          </cell>
          <cell r="D572" t="str">
            <v>01-629</v>
          </cell>
          <cell r="F572">
            <v>-3031</v>
          </cell>
          <cell r="G572" t="str">
            <v>c</v>
          </cell>
        </row>
        <row r="573">
          <cell r="B573" t="str">
            <v>March</v>
          </cell>
          <cell r="D573" t="str">
            <v>01-633</v>
          </cell>
          <cell r="F573">
            <v>-3742</v>
          </cell>
          <cell r="G573" t="str">
            <v>c</v>
          </cell>
        </row>
        <row r="574">
          <cell r="B574" t="str">
            <v>March</v>
          </cell>
          <cell r="D574" t="str">
            <v>01-634</v>
          </cell>
          <cell r="F574">
            <v>-3074</v>
          </cell>
          <cell r="G574" t="str">
            <v>c</v>
          </cell>
        </row>
        <row r="575">
          <cell r="B575" t="str">
            <v>March</v>
          </cell>
          <cell r="D575" t="str">
            <v>01-636</v>
          </cell>
          <cell r="F575">
            <v>-4103</v>
          </cell>
          <cell r="G575" t="str">
            <v>c</v>
          </cell>
        </row>
        <row r="576">
          <cell r="B576" t="str">
            <v>March</v>
          </cell>
          <cell r="D576" t="str">
            <v>01-641</v>
          </cell>
          <cell r="F576">
            <v>-4103</v>
          </cell>
          <cell r="G576" t="str">
            <v>c</v>
          </cell>
        </row>
        <row r="577">
          <cell r="B577" t="str">
            <v>March</v>
          </cell>
          <cell r="D577" t="str">
            <v>01-645</v>
          </cell>
          <cell r="F577">
            <v>-4438</v>
          </cell>
          <cell r="G577" t="str">
            <v>c</v>
          </cell>
        </row>
        <row r="578">
          <cell r="B578" t="str">
            <v>March</v>
          </cell>
          <cell r="D578" t="str">
            <v>01-650</v>
          </cell>
          <cell r="F578">
            <v>-3074</v>
          </cell>
          <cell r="G578" t="str">
            <v>c</v>
          </cell>
        </row>
        <row r="579">
          <cell r="B579" t="str">
            <v>March</v>
          </cell>
          <cell r="D579" t="str">
            <v>01-654</v>
          </cell>
          <cell r="F579">
            <v>-1443</v>
          </cell>
          <cell r="G579" t="str">
            <v>c</v>
          </cell>
        </row>
        <row r="580">
          <cell r="B580" t="str">
            <v>March</v>
          </cell>
          <cell r="D580" t="str">
            <v>01-655</v>
          </cell>
          <cell r="F580">
            <v>-1443</v>
          </cell>
          <cell r="G580" t="str">
            <v>c</v>
          </cell>
        </row>
        <row r="581">
          <cell r="B581" t="str">
            <v>March</v>
          </cell>
          <cell r="D581" t="str">
            <v>01-656</v>
          </cell>
          <cell r="F581">
            <v>-1443</v>
          </cell>
          <cell r="G581" t="str">
            <v>c</v>
          </cell>
        </row>
        <row r="582">
          <cell r="B582" t="str">
            <v>March</v>
          </cell>
          <cell r="D582" t="str">
            <v>01-660</v>
          </cell>
          <cell r="F582">
            <v>-3074</v>
          </cell>
          <cell r="G582" t="str">
            <v>c</v>
          </cell>
        </row>
        <row r="583">
          <cell r="B583" t="str">
            <v>March</v>
          </cell>
          <cell r="D583" t="str">
            <v>01-662</v>
          </cell>
          <cell r="F583">
            <v>-1443</v>
          </cell>
          <cell r="G583" t="str">
            <v>c</v>
          </cell>
        </row>
        <row r="584">
          <cell r="B584" t="str">
            <v>March</v>
          </cell>
          <cell r="D584" t="str">
            <v>01-520</v>
          </cell>
          <cell r="F584">
            <v>-4438</v>
          </cell>
          <cell r="G584" t="str">
            <v>c</v>
          </cell>
        </row>
        <row r="585">
          <cell r="B585" t="str">
            <v>March</v>
          </cell>
          <cell r="D585" t="str">
            <v>01-593</v>
          </cell>
          <cell r="F585">
            <v>-2281</v>
          </cell>
          <cell r="G585" t="str">
            <v>c</v>
          </cell>
        </row>
        <row r="586">
          <cell r="B586" t="str">
            <v>March</v>
          </cell>
          <cell r="D586" t="str">
            <v>01-587</v>
          </cell>
          <cell r="F586">
            <v>-2677</v>
          </cell>
          <cell r="G586" t="str">
            <v>x</v>
          </cell>
        </row>
        <row r="587">
          <cell r="B587" t="str">
            <v>March</v>
          </cell>
          <cell r="D587" t="str">
            <v>01-612</v>
          </cell>
          <cell r="F587">
            <v>-2845</v>
          </cell>
          <cell r="G587" t="str">
            <v>x</v>
          </cell>
        </row>
        <row r="588">
          <cell r="B588" t="str">
            <v>March</v>
          </cell>
          <cell r="D588" t="str">
            <v>01-635</v>
          </cell>
          <cell r="F588">
            <v>-1443</v>
          </cell>
          <cell r="G588" t="str">
            <v>x</v>
          </cell>
        </row>
        <row r="589">
          <cell r="B589" t="str">
            <v>March</v>
          </cell>
          <cell r="D589" t="str">
            <v>01-640</v>
          </cell>
          <cell r="F589">
            <v>-3490</v>
          </cell>
          <cell r="G589" t="str">
            <v>x</v>
          </cell>
        </row>
        <row r="590">
          <cell r="B590" t="str">
            <v>March</v>
          </cell>
          <cell r="D590" t="str">
            <v>01-611</v>
          </cell>
          <cell r="F590">
            <v>-3223</v>
          </cell>
          <cell r="G590" t="str">
            <v>x</v>
          </cell>
        </row>
        <row r="591">
          <cell r="B591" t="str">
            <v>March</v>
          </cell>
          <cell r="D591" t="str">
            <v>01-040</v>
          </cell>
          <cell r="F591">
            <v>4869</v>
          </cell>
          <cell r="G591" t="str">
            <v>p</v>
          </cell>
        </row>
        <row r="592">
          <cell r="B592" t="str">
            <v>March</v>
          </cell>
          <cell r="D592" t="str">
            <v>01-028</v>
          </cell>
          <cell r="F592">
            <v>26433</v>
          </cell>
          <cell r="G592" t="str">
            <v>p</v>
          </cell>
        </row>
        <row r="593">
          <cell r="B593" t="str">
            <v>March</v>
          </cell>
          <cell r="D593" t="str">
            <v>01-025</v>
          </cell>
          <cell r="F593">
            <v>19678.669999999998</v>
          </cell>
          <cell r="G593" t="str">
            <v>p</v>
          </cell>
        </row>
        <row r="594">
          <cell r="B594" t="str">
            <v>March</v>
          </cell>
          <cell r="D594" t="str">
            <v>01-023</v>
          </cell>
          <cell r="F594">
            <v>11895.27</v>
          </cell>
          <cell r="G594" t="str">
            <v>p</v>
          </cell>
        </row>
        <row r="595">
          <cell r="B595" t="str">
            <v>March</v>
          </cell>
          <cell r="D595" t="str">
            <v>01-018</v>
          </cell>
          <cell r="F595">
            <v>62208</v>
          </cell>
          <cell r="G595" t="str">
            <v>p</v>
          </cell>
        </row>
        <row r="596">
          <cell r="B596" t="str">
            <v>March</v>
          </cell>
          <cell r="D596" t="str">
            <v>01-018</v>
          </cell>
          <cell r="F596">
            <v>80622</v>
          </cell>
          <cell r="G596" t="str">
            <v>p</v>
          </cell>
        </row>
        <row r="597">
          <cell r="B597" t="str">
            <v>March</v>
          </cell>
          <cell r="D597" t="str">
            <v>01-064</v>
          </cell>
          <cell r="F597">
            <v>72500</v>
          </cell>
          <cell r="G597" t="str">
            <v>p</v>
          </cell>
        </row>
        <row r="598">
          <cell r="B598" t="str">
            <v>March</v>
          </cell>
          <cell r="D598" t="str">
            <v>01-053</v>
          </cell>
          <cell r="F598">
            <v>8000</v>
          </cell>
          <cell r="G598" t="str">
            <v>p</v>
          </cell>
        </row>
        <row r="599">
          <cell r="B599" t="str">
            <v>March</v>
          </cell>
          <cell r="D599" t="str">
            <v>00-179</v>
          </cell>
          <cell r="F599">
            <v>33917.97</v>
          </cell>
          <cell r="G599" t="str">
            <v>p</v>
          </cell>
        </row>
        <row r="600">
          <cell r="B600" t="str">
            <v>March</v>
          </cell>
          <cell r="D600" t="str">
            <v>01-041</v>
          </cell>
          <cell r="F600">
            <v>40075.56</v>
          </cell>
          <cell r="G600" t="str">
            <v>p</v>
          </cell>
        </row>
        <row r="601">
          <cell r="B601" t="str">
            <v>March</v>
          </cell>
          <cell r="D601" t="str">
            <v>01-307</v>
          </cell>
          <cell r="F601">
            <v>34277.160000000003</v>
          </cell>
          <cell r="G601" t="str">
            <v>p</v>
          </cell>
        </row>
        <row r="602">
          <cell r="B602" t="str">
            <v>March</v>
          </cell>
          <cell r="D602" t="str">
            <v>01-304</v>
          </cell>
          <cell r="F602">
            <v>43245</v>
          </cell>
          <cell r="G602" t="str">
            <v>p</v>
          </cell>
        </row>
        <row r="603">
          <cell r="B603" t="str">
            <v>March</v>
          </cell>
          <cell r="D603" t="str">
            <v>01-303</v>
          </cell>
          <cell r="F603">
            <v>12194.28</v>
          </cell>
          <cell r="G603" t="str">
            <v>p</v>
          </cell>
        </row>
        <row r="604">
          <cell r="B604" t="str">
            <v>March</v>
          </cell>
          <cell r="D604" t="str">
            <v>99-344</v>
          </cell>
          <cell r="F604">
            <v>6987.6</v>
          </cell>
          <cell r="G604" t="str">
            <v>p</v>
          </cell>
        </row>
        <row r="605">
          <cell r="B605" t="str">
            <v>March</v>
          </cell>
          <cell r="D605" t="str">
            <v>00-206</v>
          </cell>
          <cell r="F605">
            <v>39133</v>
          </cell>
          <cell r="G605" t="str">
            <v>p</v>
          </cell>
        </row>
        <row r="606">
          <cell r="B606" t="str">
            <v>March</v>
          </cell>
          <cell r="D606" t="str">
            <v>00-210</v>
          </cell>
          <cell r="F606">
            <v>39133.599999999999</v>
          </cell>
          <cell r="G606" t="str">
            <v>p</v>
          </cell>
        </row>
        <row r="607">
          <cell r="B607" t="str">
            <v>March</v>
          </cell>
          <cell r="D607" t="str">
            <v>00-211</v>
          </cell>
          <cell r="F607">
            <v>47493.599999999999</v>
          </cell>
          <cell r="G607" t="str">
            <v>p</v>
          </cell>
        </row>
        <row r="608">
          <cell r="B608" t="str">
            <v>March</v>
          </cell>
          <cell r="D608" t="str">
            <v>00-207</v>
          </cell>
          <cell r="F608">
            <v>47493.599999999999</v>
          </cell>
          <cell r="G608" t="str">
            <v>p</v>
          </cell>
        </row>
        <row r="609">
          <cell r="B609" t="str">
            <v>March</v>
          </cell>
          <cell r="D609" t="str">
            <v>00-168</v>
          </cell>
          <cell r="F609">
            <v>16205.89</v>
          </cell>
          <cell r="G609" t="str">
            <v>p</v>
          </cell>
        </row>
        <row r="610">
          <cell r="B610" t="str">
            <v>March</v>
          </cell>
          <cell r="D610" t="str">
            <v>00-168</v>
          </cell>
          <cell r="F610">
            <v>64823.55</v>
          </cell>
          <cell r="G610" t="str">
            <v>p</v>
          </cell>
        </row>
        <row r="611">
          <cell r="B611" t="str">
            <v>March</v>
          </cell>
          <cell r="D611" t="str">
            <v>01-050</v>
          </cell>
          <cell r="F611">
            <v>165888</v>
          </cell>
          <cell r="G611" t="str">
            <v>p</v>
          </cell>
        </row>
        <row r="612">
          <cell r="B612" t="str">
            <v>March</v>
          </cell>
          <cell r="D612" t="str">
            <v>01-014</v>
          </cell>
          <cell r="F612">
            <v>22714.560000000001</v>
          </cell>
          <cell r="G612" t="str">
            <v>p</v>
          </cell>
        </row>
        <row r="613">
          <cell r="B613" t="str">
            <v>March</v>
          </cell>
          <cell r="D613" t="str">
            <v>00-167</v>
          </cell>
          <cell r="F613">
            <v>3496.56</v>
          </cell>
          <cell r="G613" t="str">
            <v>p</v>
          </cell>
        </row>
        <row r="614">
          <cell r="B614" t="str">
            <v>March</v>
          </cell>
          <cell r="D614" t="str">
            <v>00-167</v>
          </cell>
          <cell r="F614">
            <v>11578.68</v>
          </cell>
          <cell r="G614" t="str">
            <v>p</v>
          </cell>
        </row>
        <row r="615">
          <cell r="B615" t="str">
            <v>March</v>
          </cell>
          <cell r="D615" t="str">
            <v>00-111</v>
          </cell>
          <cell r="F615">
            <v>137487.74</v>
          </cell>
          <cell r="G615" t="str">
            <v>p</v>
          </cell>
        </row>
        <row r="616">
          <cell r="B616" t="str">
            <v>March</v>
          </cell>
          <cell r="D616" t="str">
            <v>00-131</v>
          </cell>
          <cell r="F616">
            <v>357600.42</v>
          </cell>
          <cell r="G616" t="str">
            <v>p</v>
          </cell>
        </row>
        <row r="617">
          <cell r="B617" t="str">
            <v>March</v>
          </cell>
          <cell r="D617" t="str">
            <v>00-164</v>
          </cell>
          <cell r="F617">
            <v>-3501.86</v>
          </cell>
          <cell r="G617" t="str">
            <v>c</v>
          </cell>
        </row>
        <row r="618">
          <cell r="B618" t="str">
            <v>March</v>
          </cell>
          <cell r="D618" t="str">
            <v>01-004</v>
          </cell>
          <cell r="F618">
            <v>-18522.03</v>
          </cell>
          <cell r="G618" t="str">
            <v>c</v>
          </cell>
        </row>
        <row r="619">
          <cell r="B619" t="str">
            <v>March</v>
          </cell>
          <cell r="D619" t="str">
            <v>01-005</v>
          </cell>
          <cell r="F619">
            <v>-14688.52</v>
          </cell>
          <cell r="G619" t="str">
            <v>c</v>
          </cell>
        </row>
        <row r="620">
          <cell r="B620" t="str">
            <v>March</v>
          </cell>
          <cell r="D620" t="str">
            <v>01-009</v>
          </cell>
          <cell r="F620">
            <v>-42093</v>
          </cell>
          <cell r="G620" t="str">
            <v>c</v>
          </cell>
        </row>
        <row r="621">
          <cell r="B621" t="str">
            <v>March</v>
          </cell>
          <cell r="D621" t="str">
            <v>00-183</v>
          </cell>
          <cell r="F621">
            <v>-112789.27</v>
          </cell>
          <cell r="G621" t="str">
            <v>c</v>
          </cell>
        </row>
        <row r="622">
          <cell r="B622" t="str">
            <v>March</v>
          </cell>
          <cell r="D622" t="str">
            <v>00-224</v>
          </cell>
          <cell r="F622">
            <v>-4031.16</v>
          </cell>
          <cell r="G622" t="str">
            <v>c</v>
          </cell>
        </row>
        <row r="623">
          <cell r="B623" t="str">
            <v>March</v>
          </cell>
          <cell r="D623" t="str">
            <v>01-007</v>
          </cell>
          <cell r="F623">
            <v>-5340.74</v>
          </cell>
          <cell r="G623" t="str">
            <v>c</v>
          </cell>
        </row>
        <row r="624">
          <cell r="B624" t="str">
            <v>March</v>
          </cell>
          <cell r="D624" t="str">
            <v>00-309</v>
          </cell>
          <cell r="F624">
            <v>-37762.51</v>
          </cell>
          <cell r="G624" t="str">
            <v>c</v>
          </cell>
        </row>
        <row r="625">
          <cell r="B625" t="str">
            <v>March</v>
          </cell>
          <cell r="D625" t="str">
            <v>00-215</v>
          </cell>
          <cell r="F625">
            <v>-34325.19</v>
          </cell>
          <cell r="G625" t="str">
            <v>c</v>
          </cell>
        </row>
        <row r="626">
          <cell r="B626" t="str">
            <v>March</v>
          </cell>
          <cell r="D626" t="str">
            <v>00-194</v>
          </cell>
          <cell r="F626">
            <v>-22776.32</v>
          </cell>
          <cell r="G626" t="str">
            <v>c</v>
          </cell>
        </row>
        <row r="627">
          <cell r="B627" t="str">
            <v>March</v>
          </cell>
          <cell r="D627" t="str">
            <v>00-218</v>
          </cell>
          <cell r="F627">
            <v>-3595.66</v>
          </cell>
          <cell r="G627" t="str">
            <v>c</v>
          </cell>
        </row>
        <row r="628">
          <cell r="B628" t="str">
            <v>March</v>
          </cell>
          <cell r="D628" t="str">
            <v>00-021</v>
          </cell>
          <cell r="F628">
            <v>-19568.98</v>
          </cell>
          <cell r="G628" t="str">
            <v>c</v>
          </cell>
        </row>
        <row r="629">
          <cell r="B629" t="str">
            <v>March</v>
          </cell>
          <cell r="D629" t="str">
            <v>00-045</v>
          </cell>
          <cell r="F629">
            <v>-21078.720000000001</v>
          </cell>
          <cell r="G629" t="str">
            <v>c</v>
          </cell>
        </row>
        <row r="630">
          <cell r="B630" t="str">
            <v>March</v>
          </cell>
          <cell r="D630" t="str">
            <v>00-167</v>
          </cell>
          <cell r="F630">
            <v>-11578.68</v>
          </cell>
          <cell r="G630" t="str">
            <v>p</v>
          </cell>
        </row>
        <row r="631">
          <cell r="B631" t="str">
            <v>March</v>
          </cell>
          <cell r="D631" t="str">
            <v>01-001</v>
          </cell>
          <cell r="F631">
            <v>-3888</v>
          </cell>
          <cell r="G631" t="str">
            <v>p</v>
          </cell>
        </row>
        <row r="632">
          <cell r="B632" t="str">
            <v>March</v>
          </cell>
          <cell r="D632" t="str">
            <v>01-002</v>
          </cell>
          <cell r="F632">
            <v>3888</v>
          </cell>
          <cell r="G632" t="str">
            <v>p</v>
          </cell>
        </row>
        <row r="633">
          <cell r="B633" t="str">
            <v>March</v>
          </cell>
          <cell r="D633" t="str">
            <v>00-900</v>
          </cell>
          <cell r="F633">
            <v>-49.99</v>
          </cell>
          <cell r="G633" t="str">
            <v>p</v>
          </cell>
        </row>
        <row r="634">
          <cell r="B634" t="str">
            <v>March</v>
          </cell>
          <cell r="D634" t="str">
            <v>00-217</v>
          </cell>
          <cell r="F634">
            <v>-19650</v>
          </cell>
          <cell r="G634" t="str">
            <v>x</v>
          </cell>
        </row>
        <row r="635">
          <cell r="B635" t="str">
            <v>March</v>
          </cell>
          <cell r="D635" t="str">
            <v>00-182</v>
          </cell>
          <cell r="F635">
            <v>-3952</v>
          </cell>
          <cell r="G635" t="str">
            <v>x</v>
          </cell>
        </row>
        <row r="636">
          <cell r="B636" t="str">
            <v>March</v>
          </cell>
          <cell r="D636" t="str">
            <v>00-185</v>
          </cell>
          <cell r="F636">
            <v>-4756</v>
          </cell>
          <cell r="G636" t="str">
            <v>x</v>
          </cell>
        </row>
        <row r="637">
          <cell r="B637" t="str">
            <v>March</v>
          </cell>
          <cell r="D637" t="str">
            <v>00-108</v>
          </cell>
          <cell r="F637">
            <v>-60625</v>
          </cell>
          <cell r="G637" t="str">
            <v>x</v>
          </cell>
        </row>
        <row r="638">
          <cell r="B638" t="str">
            <v>March</v>
          </cell>
          <cell r="D638" t="str">
            <v>00-195</v>
          </cell>
          <cell r="F638">
            <v>-973328</v>
          </cell>
          <cell r="G638" t="str">
            <v>x</v>
          </cell>
        </row>
        <row r="639">
          <cell r="B639" t="str">
            <v>March</v>
          </cell>
          <cell r="D639" t="str">
            <v>00-196</v>
          </cell>
          <cell r="F639">
            <v>-29373</v>
          </cell>
          <cell r="G639" t="str">
            <v>x</v>
          </cell>
        </row>
        <row r="640">
          <cell r="B640" t="str">
            <v>March</v>
          </cell>
          <cell r="D640" t="str">
            <v>00-189</v>
          </cell>
          <cell r="F640">
            <v>-6128</v>
          </cell>
          <cell r="G640" t="str">
            <v>x</v>
          </cell>
        </row>
        <row r="641">
          <cell r="B641" t="str">
            <v>March</v>
          </cell>
          <cell r="D641" t="str">
            <v>01-508</v>
          </cell>
          <cell r="F641">
            <v>-3976</v>
          </cell>
          <cell r="G641" t="str">
            <v>x</v>
          </cell>
        </row>
        <row r="642">
          <cell r="B642" t="str">
            <v>March</v>
          </cell>
          <cell r="D642" t="str">
            <v>01-511</v>
          </cell>
          <cell r="F642">
            <v>-3490</v>
          </cell>
          <cell r="G642" t="str">
            <v>x</v>
          </cell>
        </row>
        <row r="643">
          <cell r="B643" t="str">
            <v>March</v>
          </cell>
          <cell r="D643" t="str">
            <v>01-517</v>
          </cell>
          <cell r="F643">
            <v>-2677</v>
          </cell>
          <cell r="G643" t="str">
            <v>x</v>
          </cell>
        </row>
        <row r="644">
          <cell r="B644" t="str">
            <v>March</v>
          </cell>
          <cell r="D644" t="str">
            <v>00-197</v>
          </cell>
          <cell r="F644">
            <v>-23706</v>
          </cell>
          <cell r="G644" t="str">
            <v>x</v>
          </cell>
        </row>
        <row r="645">
          <cell r="B645" t="str">
            <v>March</v>
          </cell>
          <cell r="D645" t="str">
            <v>01-015</v>
          </cell>
          <cell r="F645">
            <v>-9088</v>
          </cell>
          <cell r="G645" t="str">
            <v>x</v>
          </cell>
        </row>
        <row r="646">
          <cell r="B646" t="str">
            <v>March</v>
          </cell>
          <cell r="D646" t="str">
            <v>01-017</v>
          </cell>
          <cell r="F646">
            <v>-13945</v>
          </cell>
          <cell r="G646" t="str">
            <v>x</v>
          </cell>
        </row>
        <row r="647">
          <cell r="B647" t="str">
            <v>March</v>
          </cell>
          <cell r="D647" t="str">
            <v>01-531</v>
          </cell>
          <cell r="F647">
            <v>-3913</v>
          </cell>
          <cell r="G647" t="str">
            <v>x</v>
          </cell>
        </row>
        <row r="648">
          <cell r="B648" t="str">
            <v>March</v>
          </cell>
          <cell r="D648" t="str">
            <v>01-537</v>
          </cell>
          <cell r="F648">
            <v>-2281</v>
          </cell>
          <cell r="G648" t="str">
            <v>x</v>
          </cell>
        </row>
        <row r="649">
          <cell r="B649" t="str">
            <v>March</v>
          </cell>
          <cell r="D649" t="str">
            <v>01-538</v>
          </cell>
          <cell r="F649">
            <v>-1799</v>
          </cell>
          <cell r="G649" t="str">
            <v>x</v>
          </cell>
        </row>
        <row r="650">
          <cell r="B650" t="str">
            <v>March</v>
          </cell>
          <cell r="D650" t="str">
            <v>01-580</v>
          </cell>
          <cell r="F650">
            <v>-3976</v>
          </cell>
          <cell r="G650" t="str">
            <v>x</v>
          </cell>
        </row>
        <row r="651">
          <cell r="B651" t="str">
            <v>March</v>
          </cell>
          <cell r="D651" t="str">
            <v>00-216</v>
          </cell>
          <cell r="F651">
            <v>-19800</v>
          </cell>
          <cell r="G651" t="str">
            <v>x</v>
          </cell>
        </row>
        <row r="652">
          <cell r="B652" t="str">
            <v>March</v>
          </cell>
          <cell r="D652" t="str">
            <v>01-018</v>
          </cell>
          <cell r="F652">
            <v>-142830</v>
          </cell>
          <cell r="G652" t="str">
            <v>x</v>
          </cell>
        </row>
        <row r="653">
          <cell r="B653" t="str">
            <v>March</v>
          </cell>
          <cell r="D653" t="str">
            <v>Perlegen</v>
          </cell>
          <cell r="F653">
            <v>-470305.67</v>
          </cell>
          <cell r="G653" t="str">
            <v>x</v>
          </cell>
        </row>
        <row r="654">
          <cell r="B654" t="str">
            <v>March</v>
          </cell>
          <cell r="D654" t="str">
            <v>01-003</v>
          </cell>
          <cell r="F654">
            <v>31715.81</v>
          </cell>
          <cell r="G654" t="str">
            <v>p</v>
          </cell>
        </row>
        <row r="655">
          <cell r="B655" t="str">
            <v>March</v>
          </cell>
          <cell r="D655" t="str">
            <v>99-337</v>
          </cell>
          <cell r="F655">
            <v>-717.57</v>
          </cell>
          <cell r="G655" t="str">
            <v>p</v>
          </cell>
        </row>
        <row r="656">
          <cell r="B656" t="str">
            <v>April</v>
          </cell>
          <cell r="D656" t="str">
            <v>00-053</v>
          </cell>
          <cell r="F656">
            <v>0</v>
          </cell>
          <cell r="G656" t="str">
            <v>p</v>
          </cell>
        </row>
        <row r="657">
          <cell r="B657" t="str">
            <v>April</v>
          </cell>
          <cell r="D657" t="str">
            <v>00-131</v>
          </cell>
          <cell r="F657">
            <v>8705.25</v>
          </cell>
          <cell r="G657" t="str">
            <v>p</v>
          </cell>
        </row>
        <row r="658">
          <cell r="B658" t="str">
            <v>April</v>
          </cell>
          <cell r="D658" t="str">
            <v>00-151</v>
          </cell>
          <cell r="F658">
            <v>-2400</v>
          </cell>
          <cell r="G658" t="str">
            <v>p</v>
          </cell>
        </row>
        <row r="659">
          <cell r="B659" t="str">
            <v>April</v>
          </cell>
          <cell r="D659" t="str">
            <v>00-167</v>
          </cell>
          <cell r="F659">
            <v>15163.7</v>
          </cell>
          <cell r="G659" t="str">
            <v>p</v>
          </cell>
        </row>
        <row r="660">
          <cell r="B660" t="str">
            <v>April</v>
          </cell>
          <cell r="D660" t="str">
            <v>00-168</v>
          </cell>
          <cell r="F660">
            <v>-81029.440000000002</v>
          </cell>
          <cell r="G660" t="str">
            <v>p</v>
          </cell>
        </row>
        <row r="661">
          <cell r="B661" t="str">
            <v>April</v>
          </cell>
          <cell r="D661" t="str">
            <v>00-179</v>
          </cell>
          <cell r="F661">
            <v>-33917.97</v>
          </cell>
          <cell r="G661" t="str">
            <v>p</v>
          </cell>
        </row>
        <row r="662">
          <cell r="B662" t="str">
            <v>April</v>
          </cell>
          <cell r="D662" t="str">
            <v>00-192</v>
          </cell>
          <cell r="F662">
            <v>6752.16</v>
          </cell>
          <cell r="G662" t="str">
            <v>p</v>
          </cell>
        </row>
        <row r="663">
          <cell r="B663" t="str">
            <v>April</v>
          </cell>
          <cell r="D663" t="str">
            <v>00-197</v>
          </cell>
          <cell r="F663">
            <v>17.559999999999999</v>
          </cell>
          <cell r="G663" t="str">
            <v>p</v>
          </cell>
        </row>
        <row r="664">
          <cell r="B664" t="str">
            <v>April</v>
          </cell>
          <cell r="D664" t="str">
            <v>00-205</v>
          </cell>
          <cell r="F664">
            <v>46.41</v>
          </cell>
          <cell r="G664" t="str">
            <v>p</v>
          </cell>
        </row>
        <row r="665">
          <cell r="B665" t="str">
            <v>April</v>
          </cell>
          <cell r="D665" t="str">
            <v>00-206</v>
          </cell>
          <cell r="F665">
            <v>-39133</v>
          </cell>
          <cell r="G665" t="str">
            <v>p</v>
          </cell>
        </row>
        <row r="666">
          <cell r="B666" t="str">
            <v>April</v>
          </cell>
          <cell r="D666" t="str">
            <v>00-207</v>
          </cell>
          <cell r="F666">
            <v>-47493.599999999999</v>
          </cell>
          <cell r="G666" t="str">
            <v>p</v>
          </cell>
        </row>
        <row r="667">
          <cell r="B667" t="str">
            <v>April</v>
          </cell>
          <cell r="D667" t="str">
            <v>00-210</v>
          </cell>
          <cell r="F667">
            <v>-39133.599999999999</v>
          </cell>
          <cell r="G667" t="str">
            <v>p</v>
          </cell>
        </row>
        <row r="668">
          <cell r="B668" t="str">
            <v>April</v>
          </cell>
          <cell r="D668" t="str">
            <v>00-211</v>
          </cell>
          <cell r="F668">
            <v>-47493.599999999999</v>
          </cell>
          <cell r="G668" t="str">
            <v>p</v>
          </cell>
        </row>
        <row r="669">
          <cell r="B669" t="str">
            <v>April</v>
          </cell>
          <cell r="D669" t="str">
            <v>00-311</v>
          </cell>
          <cell r="F669">
            <v>2675</v>
          </cell>
          <cell r="G669" t="str">
            <v>p</v>
          </cell>
        </row>
        <row r="670">
          <cell r="B670" t="str">
            <v>April</v>
          </cell>
          <cell r="D670" t="str">
            <v>00-900</v>
          </cell>
          <cell r="F670">
            <v>271991.84999999998</v>
          </cell>
          <cell r="G670" t="str">
            <v>p</v>
          </cell>
        </row>
        <row r="671">
          <cell r="B671" t="str">
            <v>April</v>
          </cell>
          <cell r="D671" t="str">
            <v>98-156</v>
          </cell>
          <cell r="F671">
            <v>2159.1999999999998</v>
          </cell>
          <cell r="G671" t="str">
            <v>p</v>
          </cell>
        </row>
        <row r="672">
          <cell r="B672" t="str">
            <v>April</v>
          </cell>
          <cell r="D672" t="str">
            <v>99-022</v>
          </cell>
          <cell r="F672">
            <v>0</v>
          </cell>
          <cell r="G672" t="str">
            <v>p</v>
          </cell>
        </row>
        <row r="673">
          <cell r="B673" t="str">
            <v>April</v>
          </cell>
          <cell r="D673" t="str">
            <v>99-049</v>
          </cell>
          <cell r="F673">
            <v>0</v>
          </cell>
          <cell r="G673" t="str">
            <v>p</v>
          </cell>
        </row>
        <row r="674">
          <cell r="B674" t="str">
            <v>April</v>
          </cell>
          <cell r="D674" t="str">
            <v>99-165</v>
          </cell>
          <cell r="F674">
            <v>-4248</v>
          </cell>
          <cell r="G674" t="str">
            <v>p</v>
          </cell>
        </row>
        <row r="675">
          <cell r="B675" t="str">
            <v>April</v>
          </cell>
          <cell r="D675" t="str">
            <v>99-344</v>
          </cell>
          <cell r="F675">
            <v>-6987.6</v>
          </cell>
          <cell r="G675" t="str">
            <v>p</v>
          </cell>
        </row>
        <row r="676">
          <cell r="B676" t="str">
            <v>April</v>
          </cell>
          <cell r="D676" t="str">
            <v>01-001</v>
          </cell>
          <cell r="F676">
            <v>1165.8599999999999</v>
          </cell>
          <cell r="G676" t="str">
            <v>p</v>
          </cell>
        </row>
        <row r="677">
          <cell r="B677" t="str">
            <v>April</v>
          </cell>
          <cell r="D677" t="str">
            <v>01-002</v>
          </cell>
          <cell r="F677">
            <v>5873.15</v>
          </cell>
          <cell r="G677" t="str">
            <v>p</v>
          </cell>
        </row>
        <row r="678">
          <cell r="B678" t="str">
            <v>April</v>
          </cell>
          <cell r="D678" t="str">
            <v>01-003</v>
          </cell>
          <cell r="F678">
            <v>-84077.91</v>
          </cell>
          <cell r="G678" t="str">
            <v>p</v>
          </cell>
        </row>
        <row r="679">
          <cell r="B679" t="str">
            <v>April</v>
          </cell>
          <cell r="D679" t="str">
            <v>01-006</v>
          </cell>
          <cell r="F679">
            <v>5881.84</v>
          </cell>
          <cell r="G679" t="str">
            <v>p</v>
          </cell>
        </row>
        <row r="680">
          <cell r="B680" t="str">
            <v>April</v>
          </cell>
          <cell r="D680" t="str">
            <v>01-012</v>
          </cell>
          <cell r="F680">
            <v>7373.36</v>
          </cell>
          <cell r="G680" t="str">
            <v>p</v>
          </cell>
        </row>
        <row r="681">
          <cell r="B681" t="str">
            <v>April</v>
          </cell>
          <cell r="D681" t="str">
            <v>01-017</v>
          </cell>
          <cell r="F681">
            <v>14095.31</v>
          </cell>
          <cell r="G681" t="str">
            <v>p</v>
          </cell>
        </row>
        <row r="682">
          <cell r="B682" t="str">
            <v>April</v>
          </cell>
          <cell r="D682" t="str">
            <v>01-020</v>
          </cell>
          <cell r="F682">
            <v>46580.4</v>
          </cell>
          <cell r="G682" t="str">
            <v>p</v>
          </cell>
        </row>
        <row r="683">
          <cell r="B683" t="str">
            <v>April</v>
          </cell>
          <cell r="D683" t="str">
            <v>01-021</v>
          </cell>
          <cell r="F683">
            <v>35492.03</v>
          </cell>
          <cell r="G683" t="str">
            <v>p</v>
          </cell>
        </row>
        <row r="684">
          <cell r="B684" t="str">
            <v>April</v>
          </cell>
          <cell r="D684" t="str">
            <v>01-026</v>
          </cell>
          <cell r="F684">
            <v>7727.2</v>
          </cell>
          <cell r="G684" t="str">
            <v>p</v>
          </cell>
        </row>
        <row r="685">
          <cell r="B685" t="str">
            <v>April</v>
          </cell>
          <cell r="D685" t="str">
            <v>01-027</v>
          </cell>
          <cell r="F685">
            <v>541.32000000000005</v>
          </cell>
          <cell r="G685" t="str">
            <v>p</v>
          </cell>
        </row>
        <row r="686">
          <cell r="B686" t="str">
            <v>April</v>
          </cell>
          <cell r="D686" t="str">
            <v>01-028</v>
          </cell>
          <cell r="F686">
            <v>27.28</v>
          </cell>
          <cell r="G686" t="str">
            <v>p</v>
          </cell>
        </row>
        <row r="687">
          <cell r="B687" t="str">
            <v>April</v>
          </cell>
          <cell r="D687" t="str">
            <v>01-032</v>
          </cell>
          <cell r="F687">
            <v>2155</v>
          </cell>
          <cell r="G687" t="str">
            <v>p</v>
          </cell>
        </row>
        <row r="688">
          <cell r="B688" t="str">
            <v>April</v>
          </cell>
          <cell r="D688" t="str">
            <v>01-033</v>
          </cell>
          <cell r="F688">
            <v>39533.120000000003</v>
          </cell>
          <cell r="G688" t="str">
            <v>p</v>
          </cell>
        </row>
        <row r="689">
          <cell r="B689" t="str">
            <v>April</v>
          </cell>
          <cell r="D689" t="str">
            <v>01-041</v>
          </cell>
          <cell r="F689">
            <v>0</v>
          </cell>
          <cell r="G689" t="str">
            <v>p</v>
          </cell>
        </row>
        <row r="690">
          <cell r="B690" t="str">
            <v>April</v>
          </cell>
          <cell r="D690" t="str">
            <v>01-043</v>
          </cell>
          <cell r="F690">
            <v>8.3000000000000007</v>
          </cell>
          <cell r="G690" t="str">
            <v>p</v>
          </cell>
        </row>
        <row r="691">
          <cell r="B691" t="str">
            <v>April</v>
          </cell>
          <cell r="D691" t="str">
            <v>01-053</v>
          </cell>
          <cell r="F691">
            <v>0</v>
          </cell>
          <cell r="G691" t="str">
            <v>p</v>
          </cell>
        </row>
        <row r="692">
          <cell r="B692" t="str">
            <v>April</v>
          </cell>
          <cell r="D692" t="str">
            <v>01-054</v>
          </cell>
          <cell r="F692">
            <v>34382.879999999997</v>
          </cell>
          <cell r="G692" t="str">
            <v>p</v>
          </cell>
        </row>
        <row r="693">
          <cell r="B693" t="str">
            <v>April</v>
          </cell>
          <cell r="D693" t="str">
            <v>01-056</v>
          </cell>
          <cell r="F693">
            <v>125</v>
          </cell>
          <cell r="G693" t="str">
            <v>p</v>
          </cell>
        </row>
        <row r="694">
          <cell r="B694" t="str">
            <v>April</v>
          </cell>
          <cell r="D694" t="str">
            <v>01-062</v>
          </cell>
          <cell r="F694">
            <v>3022.26</v>
          </cell>
          <cell r="G694" t="str">
            <v>p</v>
          </cell>
        </row>
        <row r="695">
          <cell r="B695" t="str">
            <v>April</v>
          </cell>
          <cell r="D695" t="str">
            <v>01-066</v>
          </cell>
          <cell r="F695">
            <v>290</v>
          </cell>
          <cell r="G695" t="str">
            <v>p</v>
          </cell>
        </row>
        <row r="696">
          <cell r="B696" t="str">
            <v>April</v>
          </cell>
          <cell r="D696" t="str">
            <v>01-073</v>
          </cell>
          <cell r="F696">
            <v>14883.92</v>
          </cell>
          <cell r="G696" t="str">
            <v>p</v>
          </cell>
        </row>
        <row r="697">
          <cell r="B697" t="str">
            <v>April</v>
          </cell>
          <cell r="D697" t="str">
            <v>01-074</v>
          </cell>
          <cell r="F697">
            <v>9753.83</v>
          </cell>
          <cell r="G697" t="str">
            <v>p</v>
          </cell>
        </row>
        <row r="698">
          <cell r="B698" t="str">
            <v>April</v>
          </cell>
          <cell r="D698" t="str">
            <v>01-077</v>
          </cell>
          <cell r="F698">
            <v>5190.62</v>
          </cell>
          <cell r="G698" t="str">
            <v>p</v>
          </cell>
        </row>
        <row r="699">
          <cell r="B699" t="str">
            <v>April</v>
          </cell>
          <cell r="D699" t="str">
            <v>01-081</v>
          </cell>
          <cell r="F699">
            <v>75944.2</v>
          </cell>
          <cell r="G699" t="str">
            <v>p</v>
          </cell>
        </row>
        <row r="700">
          <cell r="B700" t="str">
            <v>April</v>
          </cell>
          <cell r="D700" t="str">
            <v>01-086</v>
          </cell>
          <cell r="F700">
            <v>3342.6</v>
          </cell>
          <cell r="G700" t="str">
            <v>p</v>
          </cell>
        </row>
        <row r="701">
          <cell r="B701" t="str">
            <v>April</v>
          </cell>
          <cell r="D701" t="str">
            <v>01-088</v>
          </cell>
          <cell r="F701">
            <v>8953.82</v>
          </cell>
          <cell r="G701" t="str">
            <v>p</v>
          </cell>
        </row>
        <row r="702">
          <cell r="B702" t="str">
            <v>April</v>
          </cell>
          <cell r="D702" t="str">
            <v>01-089</v>
          </cell>
          <cell r="F702">
            <v>9731.42</v>
          </cell>
          <cell r="G702" t="str">
            <v>p</v>
          </cell>
        </row>
        <row r="703">
          <cell r="B703" t="str">
            <v>April</v>
          </cell>
          <cell r="D703" t="str">
            <v>01-091</v>
          </cell>
          <cell r="F703">
            <v>44512.69</v>
          </cell>
          <cell r="G703" t="str">
            <v>p</v>
          </cell>
        </row>
        <row r="704">
          <cell r="B704" t="str">
            <v>April</v>
          </cell>
          <cell r="D704" t="str">
            <v>01-301</v>
          </cell>
          <cell r="F704">
            <v>1725.46</v>
          </cell>
          <cell r="G704" t="str">
            <v>p</v>
          </cell>
        </row>
        <row r="705">
          <cell r="B705" t="str">
            <v>April</v>
          </cell>
          <cell r="D705" t="str">
            <v>01-303</v>
          </cell>
          <cell r="F705">
            <v>-12194.28</v>
          </cell>
          <cell r="G705" t="str">
            <v>p</v>
          </cell>
        </row>
        <row r="706">
          <cell r="B706" t="str">
            <v>April</v>
          </cell>
          <cell r="D706" t="str">
            <v>01-304</v>
          </cell>
          <cell r="F706">
            <v>-43245</v>
          </cell>
          <cell r="G706" t="str">
            <v>p</v>
          </cell>
        </row>
        <row r="707">
          <cell r="B707" t="str">
            <v>April</v>
          </cell>
          <cell r="D707" t="str">
            <v>01-307</v>
          </cell>
          <cell r="F707">
            <v>319.87</v>
          </cell>
          <cell r="G707" t="str">
            <v>p</v>
          </cell>
        </row>
        <row r="708">
          <cell r="B708" t="str">
            <v>April</v>
          </cell>
          <cell r="D708" t="str">
            <v>Perlegen</v>
          </cell>
          <cell r="F708">
            <v>470305.67</v>
          </cell>
          <cell r="G708" t="str">
            <v>x</v>
          </cell>
        </row>
        <row r="709">
          <cell r="B709" t="str">
            <v>April</v>
          </cell>
          <cell r="D709" t="str">
            <v>00-217</v>
          </cell>
          <cell r="F709">
            <v>19650</v>
          </cell>
          <cell r="G709" t="str">
            <v>x</v>
          </cell>
        </row>
        <row r="710">
          <cell r="B710" t="str">
            <v>April</v>
          </cell>
          <cell r="D710" t="str">
            <v>00-182</v>
          </cell>
          <cell r="F710">
            <v>3952</v>
          </cell>
          <cell r="G710" t="str">
            <v>x</v>
          </cell>
        </row>
        <row r="711">
          <cell r="B711" t="str">
            <v>April</v>
          </cell>
          <cell r="D711" t="str">
            <v>00-185</v>
          </cell>
          <cell r="F711">
            <v>4756</v>
          </cell>
          <cell r="G711" t="str">
            <v>x</v>
          </cell>
        </row>
        <row r="712">
          <cell r="B712" t="str">
            <v>April</v>
          </cell>
          <cell r="D712" t="str">
            <v>00-108</v>
          </cell>
          <cell r="F712">
            <v>60625</v>
          </cell>
          <cell r="G712" t="str">
            <v>x</v>
          </cell>
        </row>
        <row r="713">
          <cell r="B713" t="str">
            <v>April</v>
          </cell>
          <cell r="D713" t="str">
            <v>00-195</v>
          </cell>
          <cell r="F713">
            <v>973328</v>
          </cell>
          <cell r="G713" t="str">
            <v>x</v>
          </cell>
        </row>
        <row r="714">
          <cell r="B714" t="str">
            <v>April</v>
          </cell>
          <cell r="D714" t="str">
            <v>00-196</v>
          </cell>
          <cell r="F714">
            <v>29373</v>
          </cell>
          <cell r="G714" t="str">
            <v>x</v>
          </cell>
        </row>
        <row r="715">
          <cell r="B715" t="str">
            <v>April</v>
          </cell>
          <cell r="D715" t="str">
            <v>00-189</v>
          </cell>
          <cell r="F715">
            <v>6128</v>
          </cell>
          <cell r="G715" t="str">
            <v>x</v>
          </cell>
        </row>
        <row r="716">
          <cell r="B716" t="str">
            <v>April</v>
          </cell>
          <cell r="D716" t="str">
            <v>01-508</v>
          </cell>
          <cell r="F716">
            <v>3976</v>
          </cell>
          <cell r="G716" t="str">
            <v>x</v>
          </cell>
        </row>
        <row r="717">
          <cell r="B717" t="str">
            <v>April</v>
          </cell>
          <cell r="D717" t="str">
            <v>01-511</v>
          </cell>
          <cell r="F717">
            <v>3490</v>
          </cell>
          <cell r="G717" t="str">
            <v>x</v>
          </cell>
        </row>
        <row r="718">
          <cell r="B718" t="str">
            <v>April</v>
          </cell>
          <cell r="D718" t="str">
            <v>01-517</v>
          </cell>
          <cell r="F718">
            <v>2677</v>
          </cell>
          <cell r="G718" t="str">
            <v>x</v>
          </cell>
        </row>
        <row r="719">
          <cell r="B719" t="str">
            <v>April</v>
          </cell>
          <cell r="D719" t="str">
            <v>00-197</v>
          </cell>
          <cell r="F719">
            <v>23706</v>
          </cell>
          <cell r="G719" t="str">
            <v>x</v>
          </cell>
        </row>
        <row r="720">
          <cell r="B720" t="str">
            <v>April</v>
          </cell>
          <cell r="D720" t="str">
            <v>01-015</v>
          </cell>
          <cell r="F720">
            <v>9088</v>
          </cell>
          <cell r="G720" t="str">
            <v>x</v>
          </cell>
        </row>
        <row r="721">
          <cell r="B721" t="str">
            <v>April</v>
          </cell>
          <cell r="D721" t="str">
            <v>01-017</v>
          </cell>
          <cell r="F721">
            <v>13945</v>
          </cell>
          <cell r="G721" t="str">
            <v>x</v>
          </cell>
        </row>
        <row r="722">
          <cell r="B722" t="str">
            <v>April</v>
          </cell>
          <cell r="D722" t="str">
            <v>01-531</v>
          </cell>
          <cell r="F722">
            <v>3913</v>
          </cell>
          <cell r="G722" t="str">
            <v>x</v>
          </cell>
        </row>
        <row r="723">
          <cell r="B723" t="str">
            <v>April</v>
          </cell>
          <cell r="D723" t="str">
            <v>01-537</v>
          </cell>
          <cell r="F723">
            <v>2281</v>
          </cell>
          <cell r="G723" t="str">
            <v>x</v>
          </cell>
        </row>
        <row r="724">
          <cell r="B724" t="str">
            <v>April</v>
          </cell>
          <cell r="D724" t="str">
            <v>01-538</v>
          </cell>
          <cell r="F724">
            <v>1799</v>
          </cell>
          <cell r="G724" t="str">
            <v>x</v>
          </cell>
        </row>
        <row r="725">
          <cell r="B725" t="str">
            <v>April</v>
          </cell>
          <cell r="D725" t="str">
            <v>01-580</v>
          </cell>
          <cell r="F725">
            <v>3976</v>
          </cell>
          <cell r="G725" t="str">
            <v>x</v>
          </cell>
        </row>
        <row r="726">
          <cell r="B726" t="str">
            <v>April</v>
          </cell>
          <cell r="D726" t="str">
            <v>00-216</v>
          </cell>
          <cell r="F726">
            <v>19800</v>
          </cell>
          <cell r="G726" t="str">
            <v>x</v>
          </cell>
        </row>
        <row r="727">
          <cell r="B727" t="str">
            <v>April</v>
          </cell>
          <cell r="D727" t="str">
            <v>01-018</v>
          </cell>
          <cell r="F727">
            <v>142830</v>
          </cell>
          <cell r="G727" t="str">
            <v>x</v>
          </cell>
        </row>
        <row r="728">
          <cell r="B728" t="str">
            <v>April</v>
          </cell>
          <cell r="D728" t="str">
            <v>00-131</v>
          </cell>
          <cell r="F728">
            <v>-258.72000000000003</v>
          </cell>
          <cell r="G728" t="str">
            <v>p</v>
          </cell>
        </row>
        <row r="729">
          <cell r="B729" t="str">
            <v>April</v>
          </cell>
          <cell r="D729" t="str">
            <v>00-180</v>
          </cell>
          <cell r="F729">
            <v>8029.64</v>
          </cell>
          <cell r="G729" t="str">
            <v>p</v>
          </cell>
        </row>
        <row r="730">
          <cell r="B730" t="str">
            <v>April</v>
          </cell>
          <cell r="D730" t="str">
            <v>00-231</v>
          </cell>
          <cell r="F730">
            <v>54792.25</v>
          </cell>
          <cell r="G730" t="str">
            <v>p</v>
          </cell>
        </row>
        <row r="731">
          <cell r="B731" t="str">
            <v>April</v>
          </cell>
          <cell r="D731" t="str">
            <v>00-900</v>
          </cell>
          <cell r="F731">
            <v>138619.06</v>
          </cell>
          <cell r="G731" t="str">
            <v>p</v>
          </cell>
        </row>
        <row r="732">
          <cell r="B732" t="str">
            <v>April</v>
          </cell>
          <cell r="D732" t="str">
            <v>01-002</v>
          </cell>
          <cell r="F732">
            <v>31607.01</v>
          </cell>
          <cell r="G732" t="str">
            <v>p</v>
          </cell>
        </row>
        <row r="733">
          <cell r="B733" t="str">
            <v>April</v>
          </cell>
          <cell r="D733" t="str">
            <v>01-012</v>
          </cell>
          <cell r="F733">
            <v>5866.81</v>
          </cell>
          <cell r="G733" t="str">
            <v>p</v>
          </cell>
        </row>
        <row r="734">
          <cell r="B734" t="str">
            <v>April</v>
          </cell>
          <cell r="D734" t="str">
            <v>01-017</v>
          </cell>
          <cell r="F734">
            <v>341.44</v>
          </cell>
          <cell r="G734" t="str">
            <v>p</v>
          </cell>
        </row>
        <row r="735">
          <cell r="B735" t="str">
            <v>April</v>
          </cell>
          <cell r="D735" t="str">
            <v>01-033</v>
          </cell>
          <cell r="F735">
            <v>25719.119999999999</v>
          </cell>
          <cell r="G735" t="str">
            <v>p</v>
          </cell>
        </row>
        <row r="736">
          <cell r="B736" t="str">
            <v>April</v>
          </cell>
          <cell r="D736" t="str">
            <v>01-036</v>
          </cell>
          <cell r="F736">
            <v>147368.47</v>
          </cell>
          <cell r="G736" t="str">
            <v>p</v>
          </cell>
        </row>
        <row r="737">
          <cell r="B737" t="str">
            <v>April</v>
          </cell>
          <cell r="D737" t="str">
            <v>01-053</v>
          </cell>
          <cell r="F737">
            <v>126900</v>
          </cell>
          <cell r="G737" t="str">
            <v>p</v>
          </cell>
        </row>
        <row r="738">
          <cell r="B738" t="str">
            <v>April</v>
          </cell>
          <cell r="D738" t="str">
            <v>01-054</v>
          </cell>
          <cell r="F738">
            <v>77.760000000000005</v>
          </cell>
          <cell r="G738" t="str">
            <v>p</v>
          </cell>
        </row>
        <row r="739">
          <cell r="B739" t="str">
            <v>April</v>
          </cell>
          <cell r="D739" t="str">
            <v>01-058</v>
          </cell>
          <cell r="F739">
            <v>9656</v>
          </cell>
          <cell r="G739" t="str">
            <v>p</v>
          </cell>
        </row>
        <row r="740">
          <cell r="B740" t="str">
            <v>April</v>
          </cell>
          <cell r="D740" t="str">
            <v>01-083</v>
          </cell>
          <cell r="F740">
            <v>32332.84</v>
          </cell>
          <cell r="G740" t="str">
            <v>p</v>
          </cell>
        </row>
        <row r="741">
          <cell r="B741" t="str">
            <v>April</v>
          </cell>
          <cell r="D741" t="str">
            <v>01-084</v>
          </cell>
          <cell r="F741">
            <v>8639.2000000000007</v>
          </cell>
          <cell r="G741" t="str">
            <v>p</v>
          </cell>
        </row>
        <row r="742">
          <cell r="B742" t="str">
            <v>April</v>
          </cell>
          <cell r="D742" t="str">
            <v>01-085</v>
          </cell>
          <cell r="F742">
            <v>24610.22</v>
          </cell>
          <cell r="G742" t="str">
            <v>p</v>
          </cell>
        </row>
        <row r="743">
          <cell r="B743" t="str">
            <v>April</v>
          </cell>
          <cell r="D743" t="str">
            <v>01-089</v>
          </cell>
          <cell r="F743">
            <v>90</v>
          </cell>
          <cell r="G743" t="str">
            <v>p</v>
          </cell>
        </row>
        <row r="744">
          <cell r="B744" t="str">
            <v>April</v>
          </cell>
          <cell r="D744" t="str">
            <v>01-091</v>
          </cell>
          <cell r="F744">
            <v>149.13999999999999</v>
          </cell>
          <cell r="G744" t="str">
            <v>p</v>
          </cell>
        </row>
        <row r="745">
          <cell r="B745" t="str">
            <v>April</v>
          </cell>
          <cell r="D745" t="str">
            <v>01-095</v>
          </cell>
          <cell r="F745">
            <v>12800</v>
          </cell>
          <cell r="G745" t="str">
            <v>p</v>
          </cell>
        </row>
        <row r="746">
          <cell r="B746" t="str">
            <v>April</v>
          </cell>
          <cell r="D746" t="str">
            <v>01-300</v>
          </cell>
          <cell r="F746">
            <v>-310.77999999999997</v>
          </cell>
          <cell r="G746" t="str">
            <v>p</v>
          </cell>
        </row>
        <row r="747">
          <cell r="B747" t="str">
            <v>April</v>
          </cell>
          <cell r="D747" t="str">
            <v>01-301</v>
          </cell>
          <cell r="F747">
            <v>804.04</v>
          </cell>
          <cell r="G747" t="str">
            <v>p</v>
          </cell>
        </row>
        <row r="748">
          <cell r="B748" t="str">
            <v>April</v>
          </cell>
          <cell r="D748" t="str">
            <v>Perlegen</v>
          </cell>
          <cell r="F748">
            <v>-470305.67</v>
          </cell>
          <cell r="G748" t="str">
            <v>x</v>
          </cell>
        </row>
        <row r="749">
          <cell r="B749" t="str">
            <v>April</v>
          </cell>
          <cell r="D749" t="str">
            <v>00-217</v>
          </cell>
          <cell r="F749">
            <v>-19650</v>
          </cell>
          <cell r="G749" t="str">
            <v>x</v>
          </cell>
        </row>
        <row r="750">
          <cell r="B750" t="str">
            <v>April</v>
          </cell>
          <cell r="D750" t="str">
            <v>00-182</v>
          </cell>
          <cell r="F750">
            <v>-3952</v>
          </cell>
          <cell r="G750" t="str">
            <v>x</v>
          </cell>
        </row>
        <row r="751">
          <cell r="B751" t="str">
            <v>April</v>
          </cell>
          <cell r="D751" t="str">
            <v>00-185</v>
          </cell>
          <cell r="F751">
            <v>-4756</v>
          </cell>
          <cell r="G751" t="str">
            <v>x</v>
          </cell>
        </row>
        <row r="752">
          <cell r="B752" t="str">
            <v>April</v>
          </cell>
          <cell r="D752" t="str">
            <v>00-108</v>
          </cell>
          <cell r="F752">
            <v>-60625</v>
          </cell>
          <cell r="G752" t="str">
            <v>x</v>
          </cell>
        </row>
        <row r="753">
          <cell r="B753" t="str">
            <v>April</v>
          </cell>
          <cell r="D753" t="str">
            <v>00-195</v>
          </cell>
          <cell r="F753">
            <v>-973328</v>
          </cell>
          <cell r="G753" t="str">
            <v>x</v>
          </cell>
        </row>
        <row r="754">
          <cell r="B754" t="str">
            <v>April</v>
          </cell>
          <cell r="D754" t="str">
            <v>00-196</v>
          </cell>
          <cell r="F754">
            <v>-29373</v>
          </cell>
          <cell r="G754" t="str">
            <v>x</v>
          </cell>
        </row>
        <row r="755">
          <cell r="B755" t="str">
            <v>April</v>
          </cell>
          <cell r="D755" t="str">
            <v>00-189</v>
          </cell>
          <cell r="F755">
            <v>-6128</v>
          </cell>
          <cell r="G755" t="str">
            <v>x</v>
          </cell>
        </row>
        <row r="756">
          <cell r="B756" t="str">
            <v>April</v>
          </cell>
          <cell r="D756" t="str">
            <v>01-508</v>
          </cell>
          <cell r="F756">
            <v>-3976</v>
          </cell>
          <cell r="G756" t="str">
            <v>x</v>
          </cell>
        </row>
        <row r="757">
          <cell r="B757" t="str">
            <v>April</v>
          </cell>
          <cell r="D757" t="str">
            <v>01-511</v>
          </cell>
          <cell r="F757">
            <v>-3490</v>
          </cell>
          <cell r="G757" t="str">
            <v>x</v>
          </cell>
        </row>
        <row r="758">
          <cell r="B758" t="str">
            <v>April</v>
          </cell>
          <cell r="D758" t="str">
            <v>01-517</v>
          </cell>
          <cell r="F758">
            <v>-2677</v>
          </cell>
          <cell r="G758" t="str">
            <v>x</v>
          </cell>
        </row>
        <row r="759">
          <cell r="B759" t="str">
            <v>April</v>
          </cell>
          <cell r="D759" t="str">
            <v>00-197</v>
          </cell>
          <cell r="F759">
            <v>-23706</v>
          </cell>
          <cell r="G759" t="str">
            <v>x</v>
          </cell>
        </row>
        <row r="760">
          <cell r="B760" t="str">
            <v>April</v>
          </cell>
          <cell r="D760" t="str">
            <v>01-015</v>
          </cell>
          <cell r="F760">
            <v>-9088</v>
          </cell>
          <cell r="G760" t="str">
            <v>x</v>
          </cell>
        </row>
        <row r="761">
          <cell r="B761" t="str">
            <v>April</v>
          </cell>
          <cell r="D761" t="str">
            <v>01-017</v>
          </cell>
          <cell r="F761">
            <v>-13945</v>
          </cell>
          <cell r="G761" t="str">
            <v>x</v>
          </cell>
        </row>
        <row r="762">
          <cell r="B762" t="str">
            <v>April</v>
          </cell>
          <cell r="D762" t="str">
            <v>01-531</v>
          </cell>
          <cell r="F762">
            <v>-3913</v>
          </cell>
          <cell r="G762" t="str">
            <v>x</v>
          </cell>
        </row>
        <row r="763">
          <cell r="B763" t="str">
            <v>April</v>
          </cell>
          <cell r="D763" t="str">
            <v>01-537</v>
          </cell>
          <cell r="F763">
            <v>-2281</v>
          </cell>
          <cell r="G763" t="str">
            <v>x</v>
          </cell>
        </row>
        <row r="764">
          <cell r="B764" t="str">
            <v>April</v>
          </cell>
          <cell r="D764" t="str">
            <v>01-538</v>
          </cell>
          <cell r="F764">
            <v>-1799</v>
          </cell>
          <cell r="G764" t="str">
            <v>x</v>
          </cell>
        </row>
        <row r="765">
          <cell r="B765" t="str">
            <v>April</v>
          </cell>
          <cell r="D765" t="str">
            <v>01-580</v>
          </cell>
          <cell r="F765">
            <v>-3976</v>
          </cell>
          <cell r="G765" t="str">
            <v>x</v>
          </cell>
        </row>
        <row r="766">
          <cell r="B766" t="str">
            <v>April</v>
          </cell>
          <cell r="D766" t="str">
            <v>00-216</v>
          </cell>
          <cell r="F766">
            <v>-19800</v>
          </cell>
          <cell r="G766" t="str">
            <v>x</v>
          </cell>
        </row>
        <row r="767">
          <cell r="B767" t="str">
            <v>April</v>
          </cell>
          <cell r="D767" t="str">
            <v>01-018</v>
          </cell>
          <cell r="F767">
            <v>-142830</v>
          </cell>
          <cell r="G767" t="str">
            <v>x</v>
          </cell>
        </row>
        <row r="768">
          <cell r="B768" t="str">
            <v>April</v>
          </cell>
          <cell r="D768" t="str">
            <v>98-156</v>
          </cell>
          <cell r="F768">
            <v>-2159.1999999999998</v>
          </cell>
          <cell r="G768" t="str">
            <v>p</v>
          </cell>
        </row>
        <row r="769">
          <cell r="B769" t="str">
            <v>April</v>
          </cell>
          <cell r="D769" t="str">
            <v>99-344</v>
          </cell>
          <cell r="F769">
            <v>2159.1999999999998</v>
          </cell>
          <cell r="G769" t="str">
            <v>p</v>
          </cell>
        </row>
        <row r="770">
          <cell r="B770" t="str">
            <v>April</v>
          </cell>
          <cell r="D770" t="str">
            <v>01-586</v>
          </cell>
          <cell r="F770">
            <v>6723</v>
          </cell>
          <cell r="G770" t="str">
            <v>p</v>
          </cell>
        </row>
        <row r="771">
          <cell r="B771" t="str">
            <v>April</v>
          </cell>
          <cell r="D771" t="str">
            <v>01-595</v>
          </cell>
          <cell r="F771">
            <v>3666</v>
          </cell>
          <cell r="G771" t="str">
            <v>p</v>
          </cell>
        </row>
        <row r="772">
          <cell r="B772" t="str">
            <v>April</v>
          </cell>
          <cell r="D772" t="str">
            <v>01-609</v>
          </cell>
          <cell r="F772">
            <v>3460</v>
          </cell>
          <cell r="G772" t="str">
            <v>p</v>
          </cell>
        </row>
        <row r="773">
          <cell r="B773" t="str">
            <v>April</v>
          </cell>
          <cell r="D773" t="str">
            <v>01-615</v>
          </cell>
          <cell r="F773">
            <v>3031</v>
          </cell>
          <cell r="G773" t="str">
            <v>p</v>
          </cell>
        </row>
        <row r="774">
          <cell r="B774" t="str">
            <v>April</v>
          </cell>
          <cell r="D774" t="str">
            <v>01-616</v>
          </cell>
          <cell r="F774">
            <v>4438</v>
          </cell>
          <cell r="G774" t="str">
            <v>p</v>
          </cell>
        </row>
        <row r="775">
          <cell r="B775" t="str">
            <v>April</v>
          </cell>
          <cell r="D775" t="str">
            <v>01-618</v>
          </cell>
          <cell r="F775">
            <v>4438</v>
          </cell>
          <cell r="G775" t="str">
            <v>p</v>
          </cell>
        </row>
        <row r="776">
          <cell r="B776" t="str">
            <v>April</v>
          </cell>
          <cell r="D776" t="str">
            <v>01-624</v>
          </cell>
          <cell r="F776">
            <v>1443</v>
          </cell>
          <cell r="G776" t="str">
            <v>p</v>
          </cell>
        </row>
        <row r="777">
          <cell r="B777" t="str">
            <v>April</v>
          </cell>
          <cell r="D777" t="str">
            <v>01-625</v>
          </cell>
          <cell r="F777">
            <v>4930</v>
          </cell>
          <cell r="G777" t="str">
            <v>p</v>
          </cell>
        </row>
        <row r="778">
          <cell r="B778" t="str">
            <v>April</v>
          </cell>
          <cell r="D778" t="str">
            <v>01-626</v>
          </cell>
          <cell r="F778">
            <v>4885</v>
          </cell>
          <cell r="G778" t="str">
            <v>p</v>
          </cell>
        </row>
        <row r="779">
          <cell r="B779" t="str">
            <v>April</v>
          </cell>
          <cell r="D779" t="str">
            <v>01-628</v>
          </cell>
          <cell r="F779">
            <v>1812</v>
          </cell>
          <cell r="G779" t="str">
            <v>p</v>
          </cell>
        </row>
        <row r="780">
          <cell r="B780" t="str">
            <v>April</v>
          </cell>
          <cell r="D780" t="str">
            <v>01-632</v>
          </cell>
          <cell r="F780">
            <v>3460</v>
          </cell>
          <cell r="G780" t="str">
            <v>p</v>
          </cell>
        </row>
        <row r="781">
          <cell r="B781" t="str">
            <v>April</v>
          </cell>
          <cell r="D781" t="str">
            <v>01-637</v>
          </cell>
          <cell r="F781">
            <v>3666</v>
          </cell>
          <cell r="G781" t="str">
            <v>p</v>
          </cell>
        </row>
        <row r="782">
          <cell r="B782" t="str">
            <v>April</v>
          </cell>
          <cell r="D782" t="str">
            <v>01-638</v>
          </cell>
          <cell r="F782">
            <v>3460</v>
          </cell>
          <cell r="G782" t="str">
            <v>p</v>
          </cell>
        </row>
        <row r="783">
          <cell r="B783" t="str">
            <v>April</v>
          </cell>
          <cell r="D783" t="str">
            <v>01-639</v>
          </cell>
          <cell r="F783">
            <v>4438</v>
          </cell>
          <cell r="G783" t="str">
            <v>p</v>
          </cell>
        </row>
        <row r="784">
          <cell r="B784" t="str">
            <v>April</v>
          </cell>
          <cell r="D784" t="str">
            <v>01-642</v>
          </cell>
          <cell r="F784">
            <v>3460</v>
          </cell>
          <cell r="G784" t="str">
            <v>p</v>
          </cell>
        </row>
        <row r="785">
          <cell r="B785" t="str">
            <v>April</v>
          </cell>
          <cell r="D785" t="str">
            <v>01-643</v>
          </cell>
          <cell r="F785">
            <v>3994</v>
          </cell>
          <cell r="G785" t="str">
            <v>p</v>
          </cell>
        </row>
        <row r="786">
          <cell r="B786" t="str">
            <v>April</v>
          </cell>
          <cell r="D786" t="str">
            <v>01-644</v>
          </cell>
          <cell r="F786">
            <v>2281</v>
          </cell>
          <cell r="G786" t="str">
            <v>p</v>
          </cell>
        </row>
        <row r="787">
          <cell r="B787" t="str">
            <v>April</v>
          </cell>
          <cell r="D787" t="str">
            <v>01-647</v>
          </cell>
          <cell r="F787">
            <v>2856</v>
          </cell>
          <cell r="G787" t="str">
            <v>p</v>
          </cell>
        </row>
        <row r="788">
          <cell r="B788" t="str">
            <v>April</v>
          </cell>
          <cell r="D788" t="str">
            <v>01-649</v>
          </cell>
          <cell r="F788">
            <v>3031</v>
          </cell>
          <cell r="G788" t="str">
            <v>p</v>
          </cell>
        </row>
        <row r="789">
          <cell r="B789" t="str">
            <v>April</v>
          </cell>
          <cell r="D789" t="str">
            <v>01-651</v>
          </cell>
          <cell r="F789">
            <v>4103</v>
          </cell>
          <cell r="G789" t="str">
            <v>p</v>
          </cell>
        </row>
        <row r="790">
          <cell r="B790" t="str">
            <v>April</v>
          </cell>
          <cell r="D790" t="str">
            <v>01-652</v>
          </cell>
          <cell r="F790">
            <v>3860</v>
          </cell>
          <cell r="G790" t="str">
            <v>p</v>
          </cell>
        </row>
        <row r="791">
          <cell r="B791" t="str">
            <v>April</v>
          </cell>
          <cell r="D791" t="str">
            <v>01-653</v>
          </cell>
          <cell r="F791">
            <v>1443</v>
          </cell>
          <cell r="G791" t="str">
            <v>p</v>
          </cell>
        </row>
        <row r="792">
          <cell r="B792" t="str">
            <v>April</v>
          </cell>
          <cell r="D792" t="str">
            <v>01-657</v>
          </cell>
          <cell r="F792">
            <v>1812</v>
          </cell>
          <cell r="G792" t="str">
            <v>p</v>
          </cell>
        </row>
        <row r="793">
          <cell r="B793" t="str">
            <v>April</v>
          </cell>
          <cell r="D793" t="str">
            <v>01-658</v>
          </cell>
          <cell r="F793">
            <v>1812</v>
          </cell>
          <cell r="G793" t="str">
            <v>p</v>
          </cell>
        </row>
        <row r="794">
          <cell r="B794" t="str">
            <v>April</v>
          </cell>
          <cell r="D794" t="str">
            <v>01-659</v>
          </cell>
          <cell r="F794">
            <v>3666</v>
          </cell>
          <cell r="G794" t="str">
            <v>p</v>
          </cell>
        </row>
        <row r="795">
          <cell r="B795" t="str">
            <v>April</v>
          </cell>
          <cell r="D795" t="str">
            <v>01-661</v>
          </cell>
          <cell r="F795">
            <v>3666</v>
          </cell>
          <cell r="G795" t="str">
            <v>p</v>
          </cell>
        </row>
        <row r="796">
          <cell r="B796" t="str">
            <v>April</v>
          </cell>
          <cell r="D796" t="str">
            <v>01-663</v>
          </cell>
          <cell r="F796">
            <v>3460</v>
          </cell>
          <cell r="G796" t="str">
            <v>p</v>
          </cell>
        </row>
        <row r="797">
          <cell r="B797" t="str">
            <v>April</v>
          </cell>
          <cell r="D797" t="str">
            <v>01-664</v>
          </cell>
          <cell r="F797">
            <v>3460</v>
          </cell>
          <cell r="G797" t="str">
            <v>p</v>
          </cell>
        </row>
        <row r="798">
          <cell r="B798" t="str">
            <v>April</v>
          </cell>
          <cell r="D798" t="str">
            <v>01-665</v>
          </cell>
          <cell r="F798">
            <v>3994</v>
          </cell>
          <cell r="G798" t="str">
            <v>p</v>
          </cell>
        </row>
        <row r="799">
          <cell r="B799" t="str">
            <v>April</v>
          </cell>
          <cell r="D799" t="str">
            <v>01-666</v>
          </cell>
          <cell r="F799">
            <v>3460</v>
          </cell>
          <cell r="G799" t="str">
            <v>p</v>
          </cell>
        </row>
        <row r="800">
          <cell r="B800" t="str">
            <v>April</v>
          </cell>
          <cell r="D800" t="str">
            <v>01-667</v>
          </cell>
          <cell r="F800">
            <v>4930</v>
          </cell>
          <cell r="G800" t="str">
            <v>p</v>
          </cell>
        </row>
        <row r="801">
          <cell r="B801" t="str">
            <v>April</v>
          </cell>
          <cell r="D801" t="str">
            <v>01-668</v>
          </cell>
          <cell r="F801">
            <v>3666</v>
          </cell>
          <cell r="G801" t="str">
            <v>p</v>
          </cell>
        </row>
        <row r="802">
          <cell r="B802" t="str">
            <v>April</v>
          </cell>
          <cell r="D802" t="str">
            <v>01-670</v>
          </cell>
          <cell r="F802">
            <v>3860</v>
          </cell>
          <cell r="G802" t="str">
            <v>p</v>
          </cell>
        </row>
        <row r="803">
          <cell r="B803" t="str">
            <v>April</v>
          </cell>
          <cell r="D803" t="str">
            <v>01-671</v>
          </cell>
          <cell r="F803">
            <v>3994</v>
          </cell>
          <cell r="G803" t="str">
            <v>p</v>
          </cell>
        </row>
        <row r="804">
          <cell r="B804" t="str">
            <v>April</v>
          </cell>
          <cell r="D804" t="str">
            <v>01-672</v>
          </cell>
          <cell r="F804">
            <v>3074</v>
          </cell>
          <cell r="G804" t="str">
            <v>p</v>
          </cell>
        </row>
        <row r="805">
          <cell r="B805" t="str">
            <v>April</v>
          </cell>
          <cell r="D805" t="str">
            <v>01-674</v>
          </cell>
          <cell r="F805">
            <v>1812</v>
          </cell>
          <cell r="G805" t="str">
            <v>p</v>
          </cell>
        </row>
        <row r="806">
          <cell r="B806" t="str">
            <v>April</v>
          </cell>
          <cell r="D806" t="str">
            <v>01-675</v>
          </cell>
          <cell r="F806">
            <v>1812</v>
          </cell>
          <cell r="G806" t="str">
            <v>p</v>
          </cell>
        </row>
        <row r="807">
          <cell r="B807" t="str">
            <v>April</v>
          </cell>
          <cell r="D807" t="str">
            <v>01-677</v>
          </cell>
          <cell r="F807">
            <v>1446</v>
          </cell>
          <cell r="G807" t="str">
            <v>p</v>
          </cell>
        </row>
        <row r="808">
          <cell r="B808" t="str">
            <v>April</v>
          </cell>
          <cell r="D808" t="str">
            <v>01-678</v>
          </cell>
          <cell r="F808">
            <v>1812</v>
          </cell>
          <cell r="G808" t="str">
            <v>p</v>
          </cell>
        </row>
        <row r="809">
          <cell r="B809" t="str">
            <v>April</v>
          </cell>
          <cell r="D809" t="str">
            <v>01-680</v>
          </cell>
          <cell r="F809">
            <v>3292</v>
          </cell>
          <cell r="G809" t="str">
            <v>p</v>
          </cell>
        </row>
        <row r="810">
          <cell r="B810" t="str">
            <v>April</v>
          </cell>
          <cell r="D810" t="str">
            <v>01-681</v>
          </cell>
          <cell r="F810">
            <v>3460</v>
          </cell>
          <cell r="G810" t="str">
            <v>p</v>
          </cell>
        </row>
        <row r="811">
          <cell r="B811" t="str">
            <v>April</v>
          </cell>
          <cell r="D811" t="str">
            <v>01-682</v>
          </cell>
          <cell r="F811">
            <v>1451</v>
          </cell>
          <cell r="G811" t="str">
            <v>p</v>
          </cell>
        </row>
        <row r="812">
          <cell r="B812" t="str">
            <v>April</v>
          </cell>
          <cell r="D812" t="str">
            <v>01-683</v>
          </cell>
          <cell r="F812">
            <v>4438</v>
          </cell>
          <cell r="G812" t="str">
            <v>p</v>
          </cell>
        </row>
        <row r="813">
          <cell r="B813" t="str">
            <v>April</v>
          </cell>
          <cell r="D813" t="str">
            <v>01-684</v>
          </cell>
          <cell r="F813">
            <v>3666</v>
          </cell>
          <cell r="G813" t="str">
            <v>p</v>
          </cell>
        </row>
        <row r="814">
          <cell r="B814" t="str">
            <v>April</v>
          </cell>
          <cell r="D814" t="str">
            <v>01-686</v>
          </cell>
          <cell r="F814">
            <v>3292</v>
          </cell>
          <cell r="G814" t="str">
            <v>p</v>
          </cell>
        </row>
        <row r="815">
          <cell r="B815" t="str">
            <v>April</v>
          </cell>
          <cell r="D815" t="str">
            <v>01-687</v>
          </cell>
          <cell r="F815">
            <v>4103</v>
          </cell>
          <cell r="G815" t="str">
            <v>p</v>
          </cell>
        </row>
        <row r="816">
          <cell r="B816" t="str">
            <v>April</v>
          </cell>
          <cell r="D816" t="str">
            <v>01-688</v>
          </cell>
          <cell r="F816">
            <v>3994</v>
          </cell>
          <cell r="G816" t="str">
            <v>p</v>
          </cell>
        </row>
        <row r="817">
          <cell r="B817" t="str">
            <v>April</v>
          </cell>
          <cell r="D817" t="str">
            <v>01-689</v>
          </cell>
          <cell r="F817">
            <v>1446</v>
          </cell>
          <cell r="G817" t="str">
            <v>p</v>
          </cell>
        </row>
        <row r="818">
          <cell r="B818" t="str">
            <v>April</v>
          </cell>
          <cell r="D818" t="str">
            <v>01-690</v>
          </cell>
          <cell r="F818">
            <v>3292</v>
          </cell>
          <cell r="G818" t="str">
            <v>p</v>
          </cell>
        </row>
        <row r="819">
          <cell r="B819" t="str">
            <v>April</v>
          </cell>
          <cell r="D819" t="str">
            <v>01-691</v>
          </cell>
          <cell r="F819">
            <v>3994</v>
          </cell>
          <cell r="G819" t="str">
            <v>p</v>
          </cell>
        </row>
        <row r="820">
          <cell r="B820" t="str">
            <v>April</v>
          </cell>
          <cell r="D820" t="str">
            <v>01-693</v>
          </cell>
          <cell r="F820">
            <v>3860</v>
          </cell>
          <cell r="G820" t="str">
            <v>p</v>
          </cell>
        </row>
        <row r="821">
          <cell r="B821" t="str">
            <v>April</v>
          </cell>
          <cell r="D821" t="str">
            <v>01-694</v>
          </cell>
          <cell r="F821">
            <v>3860</v>
          </cell>
          <cell r="G821" t="str">
            <v>p</v>
          </cell>
        </row>
        <row r="822">
          <cell r="B822" t="str">
            <v>April</v>
          </cell>
          <cell r="D822" t="str">
            <v>01-695</v>
          </cell>
          <cell r="F822">
            <v>4103</v>
          </cell>
          <cell r="G822" t="str">
            <v>p</v>
          </cell>
        </row>
        <row r="823">
          <cell r="B823" t="str">
            <v>April</v>
          </cell>
          <cell r="D823" t="str">
            <v>01-696</v>
          </cell>
          <cell r="F823">
            <v>3860</v>
          </cell>
          <cell r="G823" t="str">
            <v>p</v>
          </cell>
        </row>
        <row r="824">
          <cell r="B824" t="str">
            <v>April</v>
          </cell>
          <cell r="D824" t="str">
            <v>01-697</v>
          </cell>
          <cell r="F824">
            <v>3860</v>
          </cell>
          <cell r="G824" t="str">
            <v>p</v>
          </cell>
        </row>
        <row r="825">
          <cell r="B825" t="str">
            <v>April</v>
          </cell>
          <cell r="D825" t="str">
            <v>01-698</v>
          </cell>
          <cell r="F825">
            <v>3460</v>
          </cell>
          <cell r="G825" t="str">
            <v>p</v>
          </cell>
        </row>
        <row r="826">
          <cell r="B826" t="str">
            <v>April</v>
          </cell>
          <cell r="D826" t="str">
            <v>01-699</v>
          </cell>
          <cell r="F826">
            <v>3994</v>
          </cell>
          <cell r="G826" t="str">
            <v>p</v>
          </cell>
        </row>
        <row r="827">
          <cell r="B827" t="str">
            <v>April</v>
          </cell>
          <cell r="D827" t="str">
            <v>01-702</v>
          </cell>
          <cell r="F827">
            <v>3031</v>
          </cell>
          <cell r="G827" t="str">
            <v>p</v>
          </cell>
        </row>
        <row r="828">
          <cell r="B828" t="str">
            <v>April</v>
          </cell>
          <cell r="D828" t="str">
            <v>01-703</v>
          </cell>
          <cell r="F828">
            <v>1812</v>
          </cell>
          <cell r="G828" t="str">
            <v>p</v>
          </cell>
        </row>
        <row r="829">
          <cell r="B829" t="str">
            <v>April</v>
          </cell>
          <cell r="D829" t="str">
            <v>01-704</v>
          </cell>
          <cell r="F829">
            <v>3439</v>
          </cell>
          <cell r="G829" t="str">
            <v>p</v>
          </cell>
        </row>
        <row r="830">
          <cell r="B830" t="str">
            <v>April</v>
          </cell>
          <cell r="D830" t="str">
            <v>01-705</v>
          </cell>
          <cell r="F830">
            <v>3860</v>
          </cell>
          <cell r="G830" t="str">
            <v>p</v>
          </cell>
        </row>
        <row r="831">
          <cell r="B831" t="str">
            <v>April</v>
          </cell>
          <cell r="D831" t="str">
            <v>01-707</v>
          </cell>
          <cell r="F831">
            <v>1446</v>
          </cell>
          <cell r="G831" t="str">
            <v>p</v>
          </cell>
        </row>
        <row r="832">
          <cell r="B832" t="str">
            <v>April</v>
          </cell>
          <cell r="D832" t="str">
            <v>01-708</v>
          </cell>
          <cell r="F832">
            <v>1812</v>
          </cell>
          <cell r="G832" t="str">
            <v>p</v>
          </cell>
        </row>
        <row r="833">
          <cell r="B833" t="str">
            <v>April</v>
          </cell>
          <cell r="D833" t="str">
            <v>01-710</v>
          </cell>
          <cell r="F833">
            <v>3460</v>
          </cell>
          <cell r="G833" t="str">
            <v>p</v>
          </cell>
        </row>
        <row r="834">
          <cell r="B834" t="str">
            <v>April</v>
          </cell>
          <cell r="D834" t="str">
            <v>01-595</v>
          </cell>
          <cell r="F834">
            <v>-3666</v>
          </cell>
          <cell r="G834" t="str">
            <v>c</v>
          </cell>
        </row>
        <row r="835">
          <cell r="B835" t="str">
            <v>April</v>
          </cell>
          <cell r="D835" t="str">
            <v>01-609</v>
          </cell>
          <cell r="F835">
            <v>-3460</v>
          </cell>
          <cell r="G835" t="str">
            <v>c</v>
          </cell>
        </row>
        <row r="836">
          <cell r="B836" t="str">
            <v>April</v>
          </cell>
          <cell r="D836" t="str">
            <v>01-615</v>
          </cell>
          <cell r="F836">
            <v>-3031</v>
          </cell>
          <cell r="G836" t="str">
            <v>c</v>
          </cell>
        </row>
        <row r="837">
          <cell r="B837" t="str">
            <v>April</v>
          </cell>
          <cell r="D837" t="str">
            <v>01-618</v>
          </cell>
          <cell r="F837">
            <v>-4438</v>
          </cell>
          <cell r="G837" t="str">
            <v>c</v>
          </cell>
        </row>
        <row r="838">
          <cell r="B838" t="str">
            <v>April</v>
          </cell>
          <cell r="D838" t="str">
            <v>01-625</v>
          </cell>
          <cell r="F838">
            <v>-4930</v>
          </cell>
          <cell r="G838" t="str">
            <v>c</v>
          </cell>
        </row>
        <row r="839">
          <cell r="B839" t="str">
            <v>April</v>
          </cell>
          <cell r="D839" t="str">
            <v>01-626</v>
          </cell>
          <cell r="F839">
            <v>-4885</v>
          </cell>
          <cell r="G839" t="str">
            <v>c</v>
          </cell>
        </row>
        <row r="840">
          <cell r="B840" t="str">
            <v>April</v>
          </cell>
          <cell r="D840" t="str">
            <v>01-637</v>
          </cell>
          <cell r="F840">
            <v>-3666</v>
          </cell>
          <cell r="G840" t="str">
            <v>c</v>
          </cell>
        </row>
        <row r="841">
          <cell r="B841" t="str">
            <v>April</v>
          </cell>
          <cell r="D841" t="str">
            <v>01-638</v>
          </cell>
          <cell r="F841">
            <v>-3460</v>
          </cell>
          <cell r="G841" t="str">
            <v>c</v>
          </cell>
        </row>
        <row r="842">
          <cell r="B842" t="str">
            <v>April</v>
          </cell>
          <cell r="D842" t="str">
            <v>01-639</v>
          </cell>
          <cell r="F842">
            <v>-4438</v>
          </cell>
          <cell r="G842" t="str">
            <v>c</v>
          </cell>
        </row>
        <row r="843">
          <cell r="B843" t="str">
            <v>April</v>
          </cell>
          <cell r="D843" t="str">
            <v>01-642</v>
          </cell>
          <cell r="F843">
            <v>-3460</v>
          </cell>
          <cell r="G843" t="str">
            <v>c</v>
          </cell>
        </row>
        <row r="844">
          <cell r="B844" t="str">
            <v>April</v>
          </cell>
          <cell r="D844" t="str">
            <v>01-643</v>
          </cell>
          <cell r="F844">
            <v>-3994</v>
          </cell>
          <cell r="G844" t="str">
            <v>c</v>
          </cell>
        </row>
        <row r="845">
          <cell r="B845" t="str">
            <v>April</v>
          </cell>
          <cell r="D845" t="str">
            <v>01-644</v>
          </cell>
          <cell r="F845">
            <v>-2281</v>
          </cell>
          <cell r="G845" t="str">
            <v>c</v>
          </cell>
        </row>
        <row r="846">
          <cell r="B846" t="str">
            <v>April</v>
          </cell>
          <cell r="D846" t="str">
            <v>01-647</v>
          </cell>
          <cell r="F846">
            <v>-2856</v>
          </cell>
          <cell r="G846" t="str">
            <v>c</v>
          </cell>
        </row>
        <row r="847">
          <cell r="B847" t="str">
            <v>April</v>
          </cell>
          <cell r="D847" t="str">
            <v>01-649</v>
          </cell>
          <cell r="F847">
            <v>-3031</v>
          </cell>
          <cell r="G847" t="str">
            <v>c</v>
          </cell>
        </row>
        <row r="848">
          <cell r="B848" t="str">
            <v>April</v>
          </cell>
          <cell r="D848" t="str">
            <v>01-651</v>
          </cell>
          <cell r="F848">
            <v>-4103</v>
          </cell>
          <cell r="G848" t="str">
            <v>c</v>
          </cell>
        </row>
        <row r="849">
          <cell r="B849" t="str">
            <v>April</v>
          </cell>
          <cell r="D849" t="str">
            <v>01-652</v>
          </cell>
          <cell r="F849">
            <v>-3860</v>
          </cell>
          <cell r="G849" t="str">
            <v>c</v>
          </cell>
        </row>
        <row r="850">
          <cell r="B850" t="str">
            <v>April</v>
          </cell>
          <cell r="D850" t="str">
            <v>01-653</v>
          </cell>
          <cell r="F850">
            <v>-1443</v>
          </cell>
          <cell r="G850" t="str">
            <v>c</v>
          </cell>
        </row>
        <row r="851">
          <cell r="B851" t="str">
            <v>April</v>
          </cell>
          <cell r="D851" t="str">
            <v>01-657</v>
          </cell>
          <cell r="F851">
            <v>-1812</v>
          </cell>
          <cell r="G851" t="str">
            <v>c</v>
          </cell>
        </row>
        <row r="852">
          <cell r="B852" t="str">
            <v>April</v>
          </cell>
          <cell r="D852" t="str">
            <v>01-658</v>
          </cell>
          <cell r="F852">
            <v>-1812</v>
          </cell>
          <cell r="G852" t="str">
            <v>c</v>
          </cell>
        </row>
        <row r="853">
          <cell r="B853" t="str">
            <v>April</v>
          </cell>
          <cell r="D853" t="str">
            <v>01-659</v>
          </cell>
          <cell r="F853">
            <v>-3666</v>
          </cell>
          <cell r="G853" t="str">
            <v>c</v>
          </cell>
        </row>
        <row r="854">
          <cell r="B854" t="str">
            <v>April</v>
          </cell>
          <cell r="D854" t="str">
            <v>01-661</v>
          </cell>
          <cell r="F854">
            <v>-3666</v>
          </cell>
          <cell r="G854" t="str">
            <v>c</v>
          </cell>
        </row>
        <row r="855">
          <cell r="B855" t="str">
            <v>April</v>
          </cell>
          <cell r="D855" t="str">
            <v>01-663</v>
          </cell>
          <cell r="F855">
            <v>-3460</v>
          </cell>
          <cell r="G855" t="str">
            <v>c</v>
          </cell>
        </row>
        <row r="856">
          <cell r="B856" t="str">
            <v>April</v>
          </cell>
          <cell r="D856" t="str">
            <v>01-665</v>
          </cell>
          <cell r="F856">
            <v>-3994</v>
          </cell>
          <cell r="G856" t="str">
            <v>c</v>
          </cell>
        </row>
        <row r="857">
          <cell r="B857" t="str">
            <v>April</v>
          </cell>
          <cell r="D857" t="str">
            <v>01-666</v>
          </cell>
          <cell r="F857">
            <v>-3460</v>
          </cell>
          <cell r="G857" t="str">
            <v>c</v>
          </cell>
        </row>
        <row r="858">
          <cell r="B858" t="str">
            <v>April</v>
          </cell>
          <cell r="D858" t="str">
            <v>01-667</v>
          </cell>
          <cell r="F858">
            <v>-4930</v>
          </cell>
          <cell r="G858" t="str">
            <v>c</v>
          </cell>
        </row>
        <row r="859">
          <cell r="B859" t="str">
            <v>April</v>
          </cell>
          <cell r="D859" t="str">
            <v>01-668</v>
          </cell>
          <cell r="F859">
            <v>-3666</v>
          </cell>
          <cell r="G859" t="str">
            <v>c</v>
          </cell>
        </row>
        <row r="860">
          <cell r="B860" t="str">
            <v>April</v>
          </cell>
          <cell r="D860" t="str">
            <v>01-671</v>
          </cell>
          <cell r="F860">
            <v>-3994</v>
          </cell>
          <cell r="G860" t="str">
            <v>c</v>
          </cell>
        </row>
        <row r="861">
          <cell r="B861" t="str">
            <v>April</v>
          </cell>
          <cell r="D861" t="str">
            <v>01-672</v>
          </cell>
          <cell r="F861">
            <v>-3074</v>
          </cell>
          <cell r="G861" t="str">
            <v>c</v>
          </cell>
        </row>
        <row r="862">
          <cell r="B862" t="str">
            <v>April</v>
          </cell>
          <cell r="D862" t="str">
            <v>01-674</v>
          </cell>
          <cell r="F862">
            <v>-1812</v>
          </cell>
          <cell r="G862" t="str">
            <v>c</v>
          </cell>
        </row>
        <row r="863">
          <cell r="B863" t="str">
            <v>April</v>
          </cell>
          <cell r="D863" t="str">
            <v>01-675</v>
          </cell>
          <cell r="F863">
            <v>-1812</v>
          </cell>
          <cell r="G863" t="str">
            <v>c</v>
          </cell>
        </row>
        <row r="864">
          <cell r="B864" t="str">
            <v>April</v>
          </cell>
          <cell r="D864" t="str">
            <v>01-680</v>
          </cell>
          <cell r="F864">
            <v>-3292</v>
          </cell>
          <cell r="G864" t="str">
            <v>c</v>
          </cell>
        </row>
        <row r="865">
          <cell r="B865" t="str">
            <v>April</v>
          </cell>
          <cell r="D865" t="str">
            <v>01-681</v>
          </cell>
          <cell r="F865">
            <v>-3460</v>
          </cell>
          <cell r="G865" t="str">
            <v>c</v>
          </cell>
        </row>
        <row r="866">
          <cell r="B866" t="str">
            <v>April</v>
          </cell>
          <cell r="D866" t="str">
            <v>01-682</v>
          </cell>
          <cell r="F866">
            <v>-1451</v>
          </cell>
          <cell r="G866" t="str">
            <v>c</v>
          </cell>
        </row>
        <row r="867">
          <cell r="B867" t="str">
            <v>April</v>
          </cell>
          <cell r="D867" t="str">
            <v>01-683</v>
          </cell>
          <cell r="F867">
            <v>-4438</v>
          </cell>
          <cell r="G867" t="str">
            <v>c</v>
          </cell>
        </row>
        <row r="868">
          <cell r="B868" t="str">
            <v>April</v>
          </cell>
          <cell r="D868" t="str">
            <v>01-684</v>
          </cell>
          <cell r="F868">
            <v>-3666</v>
          </cell>
          <cell r="G868" t="str">
            <v>c</v>
          </cell>
        </row>
        <row r="869">
          <cell r="B869" t="str">
            <v>April</v>
          </cell>
          <cell r="D869" t="str">
            <v>01-686</v>
          </cell>
          <cell r="F869">
            <v>-3292</v>
          </cell>
          <cell r="G869" t="str">
            <v>c</v>
          </cell>
        </row>
        <row r="870">
          <cell r="B870" t="str">
            <v>April</v>
          </cell>
          <cell r="D870" t="str">
            <v>01-687</v>
          </cell>
          <cell r="F870">
            <v>-4103</v>
          </cell>
          <cell r="G870" t="str">
            <v>c</v>
          </cell>
        </row>
        <row r="871">
          <cell r="B871" t="str">
            <v>April</v>
          </cell>
          <cell r="D871" t="str">
            <v>01-688</v>
          </cell>
          <cell r="F871">
            <v>-3994</v>
          </cell>
          <cell r="G871" t="str">
            <v>c</v>
          </cell>
        </row>
        <row r="872">
          <cell r="B872" t="str">
            <v>April</v>
          </cell>
          <cell r="D872" t="str">
            <v>01-689</v>
          </cell>
          <cell r="F872">
            <v>-1446</v>
          </cell>
          <cell r="G872" t="str">
            <v>c</v>
          </cell>
        </row>
        <row r="873">
          <cell r="B873" t="str">
            <v>April</v>
          </cell>
          <cell r="D873" t="str">
            <v>01-690</v>
          </cell>
          <cell r="F873">
            <v>-3292</v>
          </cell>
          <cell r="G873" t="str">
            <v>c</v>
          </cell>
        </row>
        <row r="874">
          <cell r="B874" t="str">
            <v>April</v>
          </cell>
          <cell r="D874" t="str">
            <v>01-691</v>
          </cell>
          <cell r="F874">
            <v>-3994</v>
          </cell>
          <cell r="G874" t="str">
            <v>c</v>
          </cell>
        </row>
        <row r="875">
          <cell r="B875" t="str">
            <v>April</v>
          </cell>
          <cell r="D875" t="str">
            <v>01-693</v>
          </cell>
          <cell r="F875">
            <v>-3860</v>
          </cell>
          <cell r="G875" t="str">
            <v>c</v>
          </cell>
        </row>
        <row r="876">
          <cell r="B876" t="str">
            <v>April</v>
          </cell>
          <cell r="D876" t="str">
            <v>01-694</v>
          </cell>
          <cell r="F876">
            <v>-3860</v>
          </cell>
          <cell r="G876" t="str">
            <v>c</v>
          </cell>
        </row>
        <row r="877">
          <cell r="B877" t="str">
            <v>April</v>
          </cell>
          <cell r="D877" t="str">
            <v>01-695</v>
          </cell>
          <cell r="F877">
            <v>-4103</v>
          </cell>
          <cell r="G877" t="str">
            <v>c</v>
          </cell>
        </row>
        <row r="878">
          <cell r="B878" t="str">
            <v>April</v>
          </cell>
          <cell r="D878" t="str">
            <v>01-696</v>
          </cell>
          <cell r="F878">
            <v>-3860</v>
          </cell>
          <cell r="G878" t="str">
            <v>c</v>
          </cell>
        </row>
        <row r="879">
          <cell r="B879" t="str">
            <v>April</v>
          </cell>
          <cell r="D879" t="str">
            <v>01-697</v>
          </cell>
          <cell r="F879">
            <v>-3860</v>
          </cell>
          <cell r="G879" t="str">
            <v>c</v>
          </cell>
        </row>
        <row r="880">
          <cell r="B880" t="str">
            <v>April</v>
          </cell>
          <cell r="D880" t="str">
            <v>01-698</v>
          </cell>
          <cell r="F880">
            <v>-3460</v>
          </cell>
          <cell r="G880" t="str">
            <v>c</v>
          </cell>
        </row>
        <row r="881">
          <cell r="B881" t="str">
            <v>April</v>
          </cell>
          <cell r="D881" t="str">
            <v>01-699</v>
          </cell>
          <cell r="F881">
            <v>-3994</v>
          </cell>
          <cell r="G881" t="str">
            <v>c</v>
          </cell>
        </row>
        <row r="882">
          <cell r="B882" t="str">
            <v>April</v>
          </cell>
          <cell r="D882" t="str">
            <v>01-702</v>
          </cell>
          <cell r="F882">
            <v>-3031</v>
          </cell>
          <cell r="G882" t="str">
            <v>c</v>
          </cell>
        </row>
        <row r="883">
          <cell r="B883" t="str">
            <v>April</v>
          </cell>
          <cell r="D883" t="str">
            <v>01-703</v>
          </cell>
          <cell r="F883">
            <v>-1812</v>
          </cell>
          <cell r="G883" t="str">
            <v>c</v>
          </cell>
        </row>
        <row r="884">
          <cell r="B884" t="str">
            <v>April</v>
          </cell>
          <cell r="D884" t="str">
            <v>01-704</v>
          </cell>
          <cell r="F884">
            <v>-3439</v>
          </cell>
          <cell r="G884" t="str">
            <v>c</v>
          </cell>
        </row>
        <row r="885">
          <cell r="B885" t="str">
            <v>April</v>
          </cell>
          <cell r="D885" t="str">
            <v>01-705</v>
          </cell>
          <cell r="F885">
            <v>-3860</v>
          </cell>
          <cell r="G885" t="str">
            <v>c</v>
          </cell>
        </row>
        <row r="886">
          <cell r="B886" t="str">
            <v>April</v>
          </cell>
          <cell r="D886" t="str">
            <v>01-707</v>
          </cell>
          <cell r="F886">
            <v>-1446</v>
          </cell>
          <cell r="G886" t="str">
            <v>c</v>
          </cell>
        </row>
        <row r="887">
          <cell r="B887" t="str">
            <v>April</v>
          </cell>
          <cell r="D887" t="str">
            <v>01-708</v>
          </cell>
          <cell r="F887">
            <v>-1812</v>
          </cell>
          <cell r="G887" t="str">
            <v>c</v>
          </cell>
        </row>
        <row r="888">
          <cell r="B888" t="str">
            <v>April</v>
          </cell>
          <cell r="D888" t="str">
            <v>01-710</v>
          </cell>
          <cell r="F888">
            <v>-3460</v>
          </cell>
          <cell r="G888" t="str">
            <v>c</v>
          </cell>
        </row>
        <row r="889">
          <cell r="B889" t="str">
            <v>April</v>
          </cell>
          <cell r="D889" t="str">
            <v>01-616</v>
          </cell>
          <cell r="F889">
            <v>-4438</v>
          </cell>
          <cell r="G889" t="str">
            <v>x</v>
          </cell>
        </row>
        <row r="890">
          <cell r="B890" t="str">
            <v>April</v>
          </cell>
          <cell r="D890" t="str">
            <v>01-628</v>
          </cell>
          <cell r="F890">
            <v>-1812</v>
          </cell>
          <cell r="G890" t="str">
            <v>x</v>
          </cell>
        </row>
        <row r="891">
          <cell r="B891" t="str">
            <v>April</v>
          </cell>
          <cell r="D891" t="str">
            <v>01-632</v>
          </cell>
          <cell r="F891">
            <v>-3460</v>
          </cell>
          <cell r="G891" t="str">
            <v>x</v>
          </cell>
        </row>
        <row r="892">
          <cell r="B892" t="str">
            <v>April</v>
          </cell>
          <cell r="D892" t="str">
            <v>01-670</v>
          </cell>
          <cell r="F892">
            <v>-3860</v>
          </cell>
          <cell r="G892" t="str">
            <v>x</v>
          </cell>
        </row>
        <row r="893">
          <cell r="B893" t="str">
            <v>April</v>
          </cell>
          <cell r="D893" t="str">
            <v>00-133</v>
          </cell>
          <cell r="F893">
            <v>11936.02</v>
          </cell>
          <cell r="G893" t="str">
            <v>p</v>
          </cell>
        </row>
        <row r="894">
          <cell r="B894" t="str">
            <v>April</v>
          </cell>
          <cell r="D894" t="str">
            <v>00-151</v>
          </cell>
          <cell r="F894">
            <v>2400</v>
          </cell>
          <cell r="G894" t="str">
            <v>p</v>
          </cell>
        </row>
        <row r="895">
          <cell r="B895" t="str">
            <v>April</v>
          </cell>
          <cell r="D895" t="str">
            <v>00-167</v>
          </cell>
          <cell r="F895">
            <v>11578.68</v>
          </cell>
          <cell r="G895" t="str">
            <v>p</v>
          </cell>
        </row>
        <row r="896">
          <cell r="B896" t="str">
            <v>April</v>
          </cell>
          <cell r="D896" t="str">
            <v>00-168</v>
          </cell>
          <cell r="F896">
            <v>81029.440000000002</v>
          </cell>
          <cell r="G896" t="str">
            <v>p</v>
          </cell>
        </row>
        <row r="897">
          <cell r="B897" t="str">
            <v>April</v>
          </cell>
          <cell r="D897" t="str">
            <v>00-178</v>
          </cell>
          <cell r="F897">
            <v>120091.63</v>
          </cell>
          <cell r="G897" t="str">
            <v>p</v>
          </cell>
        </row>
        <row r="898">
          <cell r="B898" t="str">
            <v>April</v>
          </cell>
          <cell r="D898" t="str">
            <v>00-179</v>
          </cell>
          <cell r="F898">
            <v>33839.64</v>
          </cell>
          <cell r="G898" t="str">
            <v>p</v>
          </cell>
        </row>
        <row r="899">
          <cell r="B899" t="str">
            <v>April</v>
          </cell>
          <cell r="D899" t="str">
            <v>00-206</v>
          </cell>
          <cell r="F899">
            <v>42263.66</v>
          </cell>
          <cell r="G899" t="str">
            <v>p</v>
          </cell>
        </row>
        <row r="900">
          <cell r="B900" t="str">
            <v>April</v>
          </cell>
          <cell r="D900" t="str">
            <v>00-207</v>
          </cell>
          <cell r="F900">
            <v>47493.599999999999</v>
          </cell>
          <cell r="G900" t="str">
            <v>p</v>
          </cell>
        </row>
        <row r="901">
          <cell r="B901" t="str">
            <v>April</v>
          </cell>
          <cell r="D901" t="str">
            <v>00-210</v>
          </cell>
          <cell r="F901">
            <v>41872.949999999997</v>
          </cell>
          <cell r="G901" t="str">
            <v>p</v>
          </cell>
        </row>
        <row r="902">
          <cell r="B902" t="str">
            <v>April</v>
          </cell>
          <cell r="D902" t="str">
            <v>00-211</v>
          </cell>
          <cell r="F902">
            <v>50818.15</v>
          </cell>
          <cell r="G902" t="str">
            <v>p</v>
          </cell>
        </row>
        <row r="903">
          <cell r="B903" t="str">
            <v>April</v>
          </cell>
          <cell r="D903" t="str">
            <v>00-222</v>
          </cell>
          <cell r="F903">
            <v>12813.13</v>
          </cell>
          <cell r="G903" t="str">
            <v>p</v>
          </cell>
        </row>
        <row r="904">
          <cell r="B904" t="str">
            <v>April</v>
          </cell>
          <cell r="D904" t="str">
            <v>00-223</v>
          </cell>
          <cell r="F904">
            <v>54738.15</v>
          </cell>
          <cell r="G904" t="str">
            <v>p</v>
          </cell>
        </row>
        <row r="905">
          <cell r="B905" t="str">
            <v>April</v>
          </cell>
          <cell r="D905" t="str">
            <v>00-311</v>
          </cell>
          <cell r="F905">
            <v>825</v>
          </cell>
          <cell r="G905" t="str">
            <v>p</v>
          </cell>
        </row>
        <row r="906">
          <cell r="B906" t="str">
            <v>April</v>
          </cell>
          <cell r="D906" t="str">
            <v>99-165</v>
          </cell>
          <cell r="F906">
            <v>4248</v>
          </cell>
          <cell r="G906" t="str">
            <v>p</v>
          </cell>
        </row>
        <row r="907">
          <cell r="B907" t="str">
            <v>April</v>
          </cell>
          <cell r="D907" t="str">
            <v>99-166</v>
          </cell>
          <cell r="F907">
            <v>584027.15</v>
          </cell>
          <cell r="G907" t="str">
            <v>p</v>
          </cell>
        </row>
        <row r="908">
          <cell r="B908" t="str">
            <v>April</v>
          </cell>
          <cell r="D908" t="str">
            <v>99-325</v>
          </cell>
          <cell r="F908">
            <v>100036.81</v>
          </cell>
          <cell r="G908" t="str">
            <v>p</v>
          </cell>
        </row>
        <row r="909">
          <cell r="B909" t="str">
            <v>April</v>
          </cell>
          <cell r="D909" t="str">
            <v>99-344</v>
          </cell>
          <cell r="F909">
            <v>16193.11</v>
          </cell>
          <cell r="G909" t="str">
            <v>p</v>
          </cell>
        </row>
        <row r="910">
          <cell r="B910" t="str">
            <v>April</v>
          </cell>
          <cell r="D910" t="str">
            <v>01-002</v>
          </cell>
          <cell r="F910">
            <v>10141.49</v>
          </cell>
          <cell r="G910" t="str">
            <v>p</v>
          </cell>
        </row>
        <row r="911">
          <cell r="B911" t="str">
            <v>April</v>
          </cell>
          <cell r="D911" t="str">
            <v>01-003</v>
          </cell>
          <cell r="F911">
            <v>83545.91</v>
          </cell>
          <cell r="G911" t="str">
            <v>p</v>
          </cell>
        </row>
        <row r="912">
          <cell r="B912" t="str">
            <v>April</v>
          </cell>
          <cell r="D912" t="str">
            <v>01-010</v>
          </cell>
          <cell r="F912">
            <v>35949</v>
          </cell>
          <cell r="G912" t="str">
            <v>p</v>
          </cell>
        </row>
        <row r="913">
          <cell r="B913" t="str">
            <v>April</v>
          </cell>
          <cell r="D913" t="str">
            <v>01-012</v>
          </cell>
          <cell r="F913">
            <v>46727.03</v>
          </cell>
          <cell r="G913" t="str">
            <v>p</v>
          </cell>
        </row>
        <row r="914">
          <cell r="B914" t="str">
            <v>April</v>
          </cell>
          <cell r="D914" t="str">
            <v>01-014</v>
          </cell>
          <cell r="F914">
            <v>4676.6099999999997</v>
          </cell>
          <cell r="G914" t="str">
            <v>p</v>
          </cell>
        </row>
        <row r="915">
          <cell r="B915" t="str">
            <v>April</v>
          </cell>
          <cell r="D915" t="str">
            <v>01-022</v>
          </cell>
          <cell r="F915">
            <v>95422.68</v>
          </cell>
          <cell r="G915" t="str">
            <v>p</v>
          </cell>
        </row>
        <row r="916">
          <cell r="B916" t="str">
            <v>April</v>
          </cell>
          <cell r="D916" t="str">
            <v>01-033</v>
          </cell>
          <cell r="F916">
            <v>21910.76</v>
          </cell>
          <cell r="G916" t="str">
            <v>p</v>
          </cell>
        </row>
        <row r="917">
          <cell r="B917" t="str">
            <v>April</v>
          </cell>
          <cell r="D917" t="str">
            <v>01-046</v>
          </cell>
          <cell r="F917">
            <v>16902.349999999999</v>
          </cell>
          <cell r="G917" t="str">
            <v>p</v>
          </cell>
        </row>
        <row r="918">
          <cell r="B918" t="str">
            <v>April</v>
          </cell>
          <cell r="D918" t="str">
            <v>01-052</v>
          </cell>
          <cell r="F918">
            <v>54132</v>
          </cell>
          <cell r="G918" t="str">
            <v>p</v>
          </cell>
        </row>
        <row r="919">
          <cell r="B919" t="str">
            <v>April</v>
          </cell>
          <cell r="D919" t="str">
            <v>01-053</v>
          </cell>
          <cell r="F919">
            <v>46263.47</v>
          </cell>
          <cell r="G919" t="str">
            <v>p</v>
          </cell>
        </row>
        <row r="920">
          <cell r="B920" t="str">
            <v>April</v>
          </cell>
          <cell r="D920" t="str">
            <v>01-055</v>
          </cell>
          <cell r="F920">
            <v>36000</v>
          </cell>
          <cell r="G920" t="str">
            <v>p</v>
          </cell>
        </row>
        <row r="921">
          <cell r="B921" t="str">
            <v>April</v>
          </cell>
          <cell r="D921" t="str">
            <v>01-059</v>
          </cell>
          <cell r="F921">
            <v>7774.46</v>
          </cell>
          <cell r="G921" t="str">
            <v>p</v>
          </cell>
        </row>
        <row r="922">
          <cell r="B922" t="str">
            <v>April</v>
          </cell>
          <cell r="D922" t="str">
            <v>01-063</v>
          </cell>
          <cell r="F922">
            <v>3985.89</v>
          </cell>
          <cell r="G922" t="str">
            <v>p</v>
          </cell>
        </row>
        <row r="923">
          <cell r="B923" t="str">
            <v>April</v>
          </cell>
          <cell r="D923" t="str">
            <v>01-076</v>
          </cell>
          <cell r="F923">
            <v>8559.2099999999991</v>
          </cell>
          <cell r="G923" t="str">
            <v>p</v>
          </cell>
        </row>
        <row r="924">
          <cell r="B924" t="str">
            <v>April</v>
          </cell>
          <cell r="D924" t="str">
            <v>01-080</v>
          </cell>
          <cell r="F924">
            <v>26510.12</v>
          </cell>
          <cell r="G924" t="str">
            <v>p</v>
          </cell>
        </row>
        <row r="925">
          <cell r="B925" t="str">
            <v>April</v>
          </cell>
          <cell r="D925" t="str">
            <v>01-081</v>
          </cell>
          <cell r="F925">
            <v>20251.64</v>
          </cell>
          <cell r="G925" t="str">
            <v>p</v>
          </cell>
        </row>
        <row r="926">
          <cell r="B926" t="str">
            <v>April</v>
          </cell>
          <cell r="D926" t="str">
            <v>01-082</v>
          </cell>
          <cell r="F926">
            <v>25183.759999999998</v>
          </cell>
          <cell r="G926" t="str">
            <v>p</v>
          </cell>
        </row>
        <row r="927">
          <cell r="B927" t="str">
            <v>April</v>
          </cell>
          <cell r="D927" t="str">
            <v>01-095</v>
          </cell>
          <cell r="F927">
            <v>12960</v>
          </cell>
          <cell r="G927" t="str">
            <v>p</v>
          </cell>
        </row>
        <row r="928">
          <cell r="B928" t="str">
            <v>April</v>
          </cell>
          <cell r="D928" t="str">
            <v>01-096</v>
          </cell>
          <cell r="F928">
            <v>13222.49</v>
          </cell>
          <cell r="G928" t="str">
            <v>p</v>
          </cell>
        </row>
        <row r="929">
          <cell r="B929" t="str">
            <v>April</v>
          </cell>
          <cell r="D929" t="str">
            <v>01-300</v>
          </cell>
          <cell r="F929">
            <v>21746.84</v>
          </cell>
          <cell r="G929" t="str">
            <v>p</v>
          </cell>
        </row>
        <row r="930">
          <cell r="B930" t="str">
            <v>April</v>
          </cell>
          <cell r="D930" t="str">
            <v>01-301</v>
          </cell>
          <cell r="F930">
            <v>148.08000000000001</v>
          </cell>
          <cell r="G930" t="str">
            <v>p</v>
          </cell>
        </row>
        <row r="931">
          <cell r="B931" t="str">
            <v>April</v>
          </cell>
          <cell r="D931" t="str">
            <v>01-303</v>
          </cell>
          <cell r="F931">
            <v>12194.28</v>
          </cell>
          <cell r="G931" t="str">
            <v>p</v>
          </cell>
        </row>
        <row r="932">
          <cell r="B932" t="str">
            <v>April</v>
          </cell>
          <cell r="D932" t="str">
            <v>00-900</v>
          </cell>
          <cell r="F932">
            <v>-212899</v>
          </cell>
          <cell r="G932" t="str">
            <v>p</v>
          </cell>
        </row>
        <row r="933">
          <cell r="B933" t="str">
            <v>April</v>
          </cell>
          <cell r="D933" t="str">
            <v>01-094</v>
          </cell>
          <cell r="F933">
            <v>99807.38</v>
          </cell>
          <cell r="G933" t="str">
            <v>p</v>
          </cell>
        </row>
        <row r="934">
          <cell r="B934" t="str">
            <v>April</v>
          </cell>
          <cell r="D934" t="str">
            <v>01-017</v>
          </cell>
          <cell r="F934">
            <v>4309.2</v>
          </cell>
          <cell r="G934" t="str">
            <v>p</v>
          </cell>
        </row>
        <row r="935">
          <cell r="B935" t="str">
            <v>April</v>
          </cell>
          <cell r="D935" t="str">
            <v>99-336</v>
          </cell>
          <cell r="F935">
            <v>-63421.93</v>
          </cell>
          <cell r="G935" t="str">
            <v>p</v>
          </cell>
        </row>
        <row r="936">
          <cell r="B936" t="str">
            <v>April</v>
          </cell>
          <cell r="D936" t="str">
            <v>99-166</v>
          </cell>
          <cell r="F936">
            <v>63421.93</v>
          </cell>
          <cell r="G936" t="str">
            <v>p</v>
          </cell>
        </row>
        <row r="937">
          <cell r="B937" t="str">
            <v>April</v>
          </cell>
          <cell r="D937" t="str">
            <v>99-336</v>
          </cell>
          <cell r="F937">
            <v>-270530</v>
          </cell>
          <cell r="G937" t="str">
            <v>c</v>
          </cell>
        </row>
        <row r="938">
          <cell r="B938" t="str">
            <v>April</v>
          </cell>
          <cell r="D938" t="str">
            <v>99-166</v>
          </cell>
          <cell r="F938">
            <v>-270530</v>
          </cell>
          <cell r="G938" t="str">
            <v>c</v>
          </cell>
        </row>
        <row r="939">
          <cell r="B939" t="str">
            <v>April</v>
          </cell>
          <cell r="D939" t="str">
            <v>99-325</v>
          </cell>
          <cell r="F939">
            <v>-100000</v>
          </cell>
          <cell r="G939" t="str">
            <v>c</v>
          </cell>
        </row>
        <row r="940">
          <cell r="B940" t="str">
            <v>April</v>
          </cell>
          <cell r="D940" t="str">
            <v>99-325</v>
          </cell>
          <cell r="F940">
            <v>-100000</v>
          </cell>
          <cell r="G940" t="str">
            <v>c</v>
          </cell>
        </row>
        <row r="941">
          <cell r="B941" t="str">
            <v>April</v>
          </cell>
          <cell r="D941" t="str">
            <v>99-325</v>
          </cell>
          <cell r="F941">
            <v>-100000</v>
          </cell>
          <cell r="G941" t="str">
            <v>c</v>
          </cell>
        </row>
        <row r="942">
          <cell r="B942" t="str">
            <v>April</v>
          </cell>
          <cell r="D942" t="str">
            <v>99-325</v>
          </cell>
          <cell r="F942">
            <v>-100000</v>
          </cell>
          <cell r="G942" t="str">
            <v>c</v>
          </cell>
        </row>
        <row r="943">
          <cell r="B943" t="str">
            <v>April</v>
          </cell>
          <cell r="D943" t="str">
            <v>00-168</v>
          </cell>
          <cell r="F943">
            <v>-1680.92</v>
          </cell>
          <cell r="G943" t="str">
            <v>c</v>
          </cell>
        </row>
        <row r="944">
          <cell r="B944" t="str">
            <v>April</v>
          </cell>
          <cell r="D944" t="str">
            <v>00-133</v>
          </cell>
          <cell r="F944">
            <v>-11936.02</v>
          </cell>
          <cell r="G944" t="str">
            <v>c</v>
          </cell>
        </row>
        <row r="945">
          <cell r="B945" t="str">
            <v>April</v>
          </cell>
          <cell r="D945" t="str">
            <v>01-001</v>
          </cell>
          <cell r="F945">
            <v>-1165.8599999999999</v>
          </cell>
          <cell r="G945" t="str">
            <v>c</v>
          </cell>
        </row>
        <row r="946">
          <cell r="B946" t="str">
            <v>April</v>
          </cell>
          <cell r="D946" t="str">
            <v>00-310</v>
          </cell>
          <cell r="F946">
            <v>-8456.7999999999993</v>
          </cell>
          <cell r="G946" t="str">
            <v>c</v>
          </cell>
        </row>
        <row r="947">
          <cell r="B947" t="str">
            <v>April</v>
          </cell>
          <cell r="D947" t="str">
            <v>01-008</v>
          </cell>
          <cell r="F947">
            <v>-57677.4</v>
          </cell>
          <cell r="G947" t="str">
            <v>c</v>
          </cell>
        </row>
        <row r="948">
          <cell r="B948" t="str">
            <v>April</v>
          </cell>
          <cell r="D948" t="str">
            <v>01-023</v>
          </cell>
          <cell r="F948">
            <v>-11895.27</v>
          </cell>
          <cell r="G948" t="str">
            <v>c</v>
          </cell>
        </row>
        <row r="949">
          <cell r="B949" t="str">
            <v>April</v>
          </cell>
          <cell r="D949" t="str">
            <v>01-040</v>
          </cell>
          <cell r="F949">
            <v>-4869</v>
          </cell>
          <cell r="G949" t="str">
            <v>c</v>
          </cell>
        </row>
        <row r="950">
          <cell r="B950" t="str">
            <v>April</v>
          </cell>
          <cell r="D950" t="str">
            <v>01-041</v>
          </cell>
          <cell r="F950">
            <v>-40075.56</v>
          </cell>
          <cell r="G950" t="str">
            <v>c</v>
          </cell>
        </row>
        <row r="951">
          <cell r="B951" t="str">
            <v>April</v>
          </cell>
          <cell r="D951" t="str">
            <v>01-044</v>
          </cell>
          <cell r="F951">
            <v>-7210.64</v>
          </cell>
          <cell r="G951" t="str">
            <v>c</v>
          </cell>
        </row>
        <row r="952">
          <cell r="B952" t="str">
            <v>April</v>
          </cell>
          <cell r="D952" t="str">
            <v>01-045</v>
          </cell>
          <cell r="F952">
            <v>-9035.74</v>
          </cell>
          <cell r="G952" t="str">
            <v>c</v>
          </cell>
        </row>
        <row r="953">
          <cell r="B953" t="str">
            <v>April</v>
          </cell>
          <cell r="D953" t="str">
            <v>Perlegen</v>
          </cell>
          <cell r="F953">
            <v>470305.67</v>
          </cell>
          <cell r="G953" t="str">
            <v>x</v>
          </cell>
        </row>
        <row r="954">
          <cell r="B954" t="str">
            <v>April</v>
          </cell>
          <cell r="D954" t="str">
            <v>00-023</v>
          </cell>
          <cell r="F954">
            <v>-462</v>
          </cell>
          <cell r="G954" t="str">
            <v>x</v>
          </cell>
        </row>
        <row r="955">
          <cell r="B955" t="str">
            <v>April</v>
          </cell>
          <cell r="D955" t="str">
            <v>00-108</v>
          </cell>
          <cell r="F955">
            <v>9280</v>
          </cell>
          <cell r="G955" t="str">
            <v>x</v>
          </cell>
        </row>
        <row r="956">
          <cell r="B956" t="str">
            <v>April</v>
          </cell>
          <cell r="D956" t="str">
            <v>00-182</v>
          </cell>
          <cell r="F956">
            <v>-0.13</v>
          </cell>
          <cell r="G956" t="str">
            <v>x</v>
          </cell>
        </row>
        <row r="957">
          <cell r="B957" t="str">
            <v>April</v>
          </cell>
          <cell r="D957" t="str">
            <v>00-185</v>
          </cell>
          <cell r="F957">
            <v>0.38</v>
          </cell>
          <cell r="G957" t="str">
            <v>x</v>
          </cell>
        </row>
        <row r="958">
          <cell r="B958" t="str">
            <v>April</v>
          </cell>
          <cell r="D958" t="str">
            <v>00-195</v>
          </cell>
          <cell r="F958">
            <v>0.32</v>
          </cell>
          <cell r="G958" t="str">
            <v>x</v>
          </cell>
        </row>
        <row r="959">
          <cell r="B959" t="str">
            <v>April</v>
          </cell>
          <cell r="D959" t="str">
            <v>00-217</v>
          </cell>
          <cell r="F959">
            <v>0.34</v>
          </cell>
          <cell r="G959" t="str">
            <v>x</v>
          </cell>
        </row>
        <row r="960">
          <cell r="B960" t="str">
            <v>April</v>
          </cell>
          <cell r="D960" t="str">
            <v>00-196</v>
          </cell>
          <cell r="F960">
            <v>-18260.09</v>
          </cell>
          <cell r="G960" t="str">
            <v>x</v>
          </cell>
        </row>
        <row r="961">
          <cell r="B961" t="str">
            <v>April</v>
          </cell>
          <cell r="D961" t="str">
            <v>00-197</v>
          </cell>
          <cell r="F961">
            <v>-23899.43</v>
          </cell>
          <cell r="G961" t="str">
            <v>x</v>
          </cell>
        </row>
        <row r="962">
          <cell r="B962" t="str">
            <v>April</v>
          </cell>
          <cell r="D962" t="str">
            <v>01-015</v>
          </cell>
          <cell r="F962">
            <v>-0.2</v>
          </cell>
          <cell r="G962" t="str">
            <v>x</v>
          </cell>
        </row>
        <row r="963">
          <cell r="B963" t="str">
            <v>April</v>
          </cell>
          <cell r="D963" t="str">
            <v>01-017</v>
          </cell>
          <cell r="F963">
            <v>-30653.4</v>
          </cell>
          <cell r="G963" t="str">
            <v>x</v>
          </cell>
        </row>
        <row r="964">
          <cell r="B964" t="str">
            <v>April</v>
          </cell>
          <cell r="D964" t="str">
            <v>01-021</v>
          </cell>
          <cell r="F964">
            <v>-48542.34</v>
          </cell>
          <cell r="G964" t="str">
            <v>x</v>
          </cell>
        </row>
        <row r="965">
          <cell r="B965" t="str">
            <v>April</v>
          </cell>
          <cell r="D965" t="str">
            <v>01-026</v>
          </cell>
          <cell r="F965">
            <v>-19909.599999999999</v>
          </cell>
          <cell r="G965" t="str">
            <v>x</v>
          </cell>
        </row>
        <row r="966">
          <cell r="B966" t="str">
            <v>April</v>
          </cell>
          <cell r="D966" t="str">
            <v>01-027</v>
          </cell>
          <cell r="F966">
            <v>-19819.509999999998</v>
          </cell>
          <cell r="G966" t="str">
            <v>x</v>
          </cell>
        </row>
        <row r="967">
          <cell r="B967" t="str">
            <v>April</v>
          </cell>
          <cell r="D967" t="str">
            <v>00-205</v>
          </cell>
          <cell r="F967">
            <v>-14367.21</v>
          </cell>
          <cell r="G967" t="str">
            <v>x</v>
          </cell>
        </row>
        <row r="968">
          <cell r="B968" t="str">
            <v>April</v>
          </cell>
          <cell r="D968" t="str">
            <v>00-229</v>
          </cell>
          <cell r="F968">
            <v>-46964.88</v>
          </cell>
          <cell r="G968" t="str">
            <v>x</v>
          </cell>
        </row>
        <row r="969">
          <cell r="B969" t="str">
            <v>April</v>
          </cell>
          <cell r="D969" t="str">
            <v>01-016</v>
          </cell>
          <cell r="F969">
            <v>-46679.76</v>
          </cell>
          <cell r="G969" t="str">
            <v>x</v>
          </cell>
        </row>
        <row r="970">
          <cell r="B970" t="str">
            <v>April</v>
          </cell>
          <cell r="D970" t="str">
            <v>01-046</v>
          </cell>
          <cell r="F970">
            <v>-34602.81</v>
          </cell>
          <cell r="G970" t="str">
            <v>x</v>
          </cell>
        </row>
        <row r="971">
          <cell r="B971" t="str">
            <v>April</v>
          </cell>
          <cell r="D971" t="str">
            <v>01-523</v>
          </cell>
          <cell r="F971">
            <v>-3742</v>
          </cell>
          <cell r="G971" t="str">
            <v>x</v>
          </cell>
        </row>
        <row r="972">
          <cell r="B972" t="str">
            <v>April</v>
          </cell>
          <cell r="D972" t="str">
            <v>01-571</v>
          </cell>
          <cell r="F972">
            <v>-3742</v>
          </cell>
          <cell r="G972" t="str">
            <v>x</v>
          </cell>
        </row>
        <row r="973">
          <cell r="B973" t="str">
            <v>April</v>
          </cell>
          <cell r="D973" t="str">
            <v>01-597</v>
          </cell>
          <cell r="F973">
            <v>-1443</v>
          </cell>
          <cell r="G973" t="str">
            <v>x</v>
          </cell>
        </row>
        <row r="974">
          <cell r="B974" t="str">
            <v>April</v>
          </cell>
          <cell r="D974" t="str">
            <v>01-599</v>
          </cell>
          <cell r="F974">
            <v>-1799</v>
          </cell>
          <cell r="G974" t="str">
            <v>x</v>
          </cell>
        </row>
        <row r="975">
          <cell r="B975" t="str">
            <v>April</v>
          </cell>
          <cell r="D975" t="str">
            <v>01-604</v>
          </cell>
          <cell r="F975">
            <v>-2281</v>
          </cell>
          <cell r="G975" t="str">
            <v>x</v>
          </cell>
        </row>
        <row r="976">
          <cell r="B976" t="str">
            <v>April</v>
          </cell>
          <cell r="D976" t="str">
            <v>01-622</v>
          </cell>
          <cell r="F976">
            <v>-3976</v>
          </cell>
          <cell r="G976" t="str">
            <v>x</v>
          </cell>
        </row>
        <row r="977">
          <cell r="B977" t="str">
            <v>April</v>
          </cell>
          <cell r="D977" t="str">
            <v>01-627</v>
          </cell>
          <cell r="F977">
            <v>-4250</v>
          </cell>
          <cell r="G977" t="str">
            <v>x</v>
          </cell>
        </row>
        <row r="978">
          <cell r="B978" t="str">
            <v>April</v>
          </cell>
          <cell r="D978" t="str">
            <v>01-050</v>
          </cell>
          <cell r="F978">
            <v>-165888</v>
          </cell>
          <cell r="G978" t="str">
            <v>x</v>
          </cell>
        </row>
        <row r="979">
          <cell r="B979" t="str">
            <v>April</v>
          </cell>
          <cell r="D979" t="str">
            <v>01-020</v>
          </cell>
          <cell r="F979">
            <v>-46580.4</v>
          </cell>
          <cell r="G979" t="str">
            <v>x</v>
          </cell>
        </row>
        <row r="980">
          <cell r="B980" t="str">
            <v>April</v>
          </cell>
          <cell r="D980" t="str">
            <v>01-586</v>
          </cell>
          <cell r="F980">
            <v>-6723</v>
          </cell>
          <cell r="G980" t="str">
            <v>x</v>
          </cell>
        </row>
        <row r="981">
          <cell r="B981" t="str">
            <v>April</v>
          </cell>
          <cell r="D981" t="str">
            <v>01-624</v>
          </cell>
          <cell r="F981">
            <v>-1443</v>
          </cell>
          <cell r="G981" t="str">
            <v>x</v>
          </cell>
        </row>
        <row r="982">
          <cell r="B982" t="str">
            <v>April</v>
          </cell>
          <cell r="D982" t="str">
            <v>01-664</v>
          </cell>
          <cell r="F982">
            <v>-3460</v>
          </cell>
          <cell r="G982" t="str">
            <v>x</v>
          </cell>
        </row>
        <row r="983">
          <cell r="B983" t="str">
            <v>April</v>
          </cell>
          <cell r="D983" t="str">
            <v>01-677</v>
          </cell>
          <cell r="F983">
            <v>-1446</v>
          </cell>
          <cell r="G983" t="str">
            <v>x</v>
          </cell>
        </row>
        <row r="984">
          <cell r="B984" t="str">
            <v>April</v>
          </cell>
          <cell r="D984" t="str">
            <v>01-678</v>
          </cell>
          <cell r="F984">
            <v>-1812</v>
          </cell>
          <cell r="G984" t="str">
            <v>x</v>
          </cell>
        </row>
        <row r="985">
          <cell r="B985" t="str">
            <v>April</v>
          </cell>
          <cell r="D985" t="str">
            <v>01-095</v>
          </cell>
          <cell r="F985">
            <v>-12960</v>
          </cell>
          <cell r="G985" t="str">
            <v>p</v>
          </cell>
        </row>
        <row r="986">
          <cell r="B986" t="str">
            <v>may</v>
          </cell>
          <cell r="D986" t="str">
            <v>01-030</v>
          </cell>
          <cell r="F986">
            <v>4000</v>
          </cell>
          <cell r="G986" t="str">
            <v>p</v>
          </cell>
        </row>
        <row r="987">
          <cell r="B987" t="str">
            <v>may</v>
          </cell>
          <cell r="D987" t="str">
            <v>01-060</v>
          </cell>
          <cell r="F987">
            <v>1728</v>
          </cell>
          <cell r="G987" t="str">
            <v>p</v>
          </cell>
        </row>
        <row r="988">
          <cell r="B988" t="str">
            <v>may</v>
          </cell>
          <cell r="D988" t="str">
            <v>01-070</v>
          </cell>
          <cell r="F988">
            <v>14219.69</v>
          </cell>
          <cell r="G988" t="str">
            <v>p</v>
          </cell>
        </row>
        <row r="989">
          <cell r="B989" t="str">
            <v>may</v>
          </cell>
          <cell r="D989" t="str">
            <v>01-087</v>
          </cell>
          <cell r="F989">
            <v>3227.41</v>
          </cell>
          <cell r="G989" t="str">
            <v>p</v>
          </cell>
        </row>
        <row r="990">
          <cell r="B990" t="str">
            <v>may</v>
          </cell>
          <cell r="D990" t="str">
            <v>01-098</v>
          </cell>
          <cell r="F990">
            <v>7289.27</v>
          </cell>
          <cell r="G990" t="str">
            <v>p</v>
          </cell>
        </row>
        <row r="991">
          <cell r="B991" t="str">
            <v>may</v>
          </cell>
          <cell r="D991" t="str">
            <v>01-100</v>
          </cell>
          <cell r="F991">
            <v>23578.06</v>
          </cell>
          <cell r="G991" t="str">
            <v>p</v>
          </cell>
        </row>
        <row r="992">
          <cell r="B992" t="str">
            <v>may</v>
          </cell>
          <cell r="D992" t="str">
            <v>01-101</v>
          </cell>
          <cell r="F992">
            <v>5932.8</v>
          </cell>
          <cell r="G992" t="str">
            <v>p</v>
          </cell>
        </row>
        <row r="993">
          <cell r="B993" t="str">
            <v>may</v>
          </cell>
          <cell r="D993" t="str">
            <v>01-102</v>
          </cell>
          <cell r="F993">
            <v>12860.55</v>
          </cell>
          <cell r="G993" t="str">
            <v>p</v>
          </cell>
        </row>
        <row r="994">
          <cell r="B994" t="str">
            <v>may</v>
          </cell>
          <cell r="D994" t="str">
            <v>01-103</v>
          </cell>
          <cell r="F994">
            <v>15999.92</v>
          </cell>
          <cell r="G994" t="str">
            <v>p</v>
          </cell>
        </row>
        <row r="995">
          <cell r="B995" t="str">
            <v>may</v>
          </cell>
          <cell r="D995" t="str">
            <v>01-105</v>
          </cell>
          <cell r="F995">
            <v>6842.84</v>
          </cell>
          <cell r="G995" t="str">
            <v>p</v>
          </cell>
        </row>
        <row r="996">
          <cell r="B996" t="str">
            <v>may</v>
          </cell>
          <cell r="D996" t="str">
            <v>01-108</v>
          </cell>
          <cell r="F996">
            <v>47829.83</v>
          </cell>
          <cell r="G996" t="str">
            <v>p</v>
          </cell>
        </row>
        <row r="997">
          <cell r="B997" t="str">
            <v>may</v>
          </cell>
          <cell r="D997" t="str">
            <v>01-302</v>
          </cell>
          <cell r="F997">
            <v>9164.3799999999992</v>
          </cell>
          <cell r="G997" t="str">
            <v>p</v>
          </cell>
        </row>
        <row r="998">
          <cell r="B998" t="str">
            <v>may</v>
          </cell>
          <cell r="D998" t="str">
            <v>01-109</v>
          </cell>
          <cell r="F998">
            <v>17478.330000000002</v>
          </cell>
          <cell r="G998" t="str">
            <v>p</v>
          </cell>
        </row>
        <row r="999">
          <cell r="B999" t="str">
            <v>may</v>
          </cell>
          <cell r="D999" t="str">
            <v>00-129</v>
          </cell>
          <cell r="F999">
            <v>0</v>
          </cell>
          <cell r="G999" t="str">
            <v>p</v>
          </cell>
        </row>
        <row r="1000">
          <cell r="B1000" t="str">
            <v>may</v>
          </cell>
          <cell r="D1000" t="str">
            <v>00-151</v>
          </cell>
          <cell r="F1000">
            <v>-2400</v>
          </cell>
          <cell r="G1000" t="str">
            <v>p</v>
          </cell>
        </row>
        <row r="1001">
          <cell r="B1001" t="str">
            <v>may</v>
          </cell>
          <cell r="D1001" t="str">
            <v>00-167</v>
          </cell>
          <cell r="F1001">
            <v>-11578.68</v>
          </cell>
          <cell r="G1001" t="str">
            <v>p</v>
          </cell>
        </row>
        <row r="1002">
          <cell r="B1002" t="str">
            <v>may</v>
          </cell>
          <cell r="D1002" t="str">
            <v>00-168</v>
          </cell>
          <cell r="F1002">
            <v>960.98</v>
          </cell>
          <cell r="G1002" t="str">
            <v>p</v>
          </cell>
        </row>
        <row r="1003">
          <cell r="B1003" t="str">
            <v>may</v>
          </cell>
          <cell r="D1003" t="str">
            <v>00-178</v>
          </cell>
          <cell r="F1003">
            <v>3370.66</v>
          </cell>
          <cell r="G1003" t="str">
            <v>p</v>
          </cell>
        </row>
        <row r="1004">
          <cell r="B1004" t="str">
            <v>may</v>
          </cell>
          <cell r="D1004" t="str">
            <v>00-207</v>
          </cell>
          <cell r="F1004">
            <v>-47493.599999999999</v>
          </cell>
          <cell r="G1004" t="str">
            <v>p</v>
          </cell>
        </row>
        <row r="1005">
          <cell r="B1005" t="str">
            <v>may</v>
          </cell>
          <cell r="D1005" t="str">
            <v>00-222</v>
          </cell>
          <cell r="F1005">
            <v>22465.56</v>
          </cell>
          <cell r="G1005" t="str">
            <v>p</v>
          </cell>
        </row>
        <row r="1006">
          <cell r="B1006" t="str">
            <v>may</v>
          </cell>
          <cell r="D1006" t="str">
            <v>00-900</v>
          </cell>
          <cell r="F1006">
            <v>985.66</v>
          </cell>
          <cell r="G1006" t="str">
            <v>p</v>
          </cell>
        </row>
        <row r="1007">
          <cell r="B1007" t="str">
            <v>may</v>
          </cell>
          <cell r="D1007" t="str">
            <v>01-002</v>
          </cell>
          <cell r="F1007">
            <v>-599.22</v>
          </cell>
          <cell r="G1007" t="str">
            <v>p</v>
          </cell>
        </row>
        <row r="1008">
          <cell r="B1008" t="str">
            <v>may</v>
          </cell>
          <cell r="D1008" t="str">
            <v>01-003</v>
          </cell>
          <cell r="F1008">
            <v>-83545.91</v>
          </cell>
          <cell r="G1008" t="str">
            <v>p</v>
          </cell>
        </row>
        <row r="1009">
          <cell r="B1009" t="str">
            <v>may</v>
          </cell>
          <cell r="D1009" t="str">
            <v>01-014</v>
          </cell>
          <cell r="F1009">
            <v>-346.42</v>
          </cell>
          <cell r="G1009" t="str">
            <v>p</v>
          </cell>
        </row>
        <row r="1010">
          <cell r="B1010" t="str">
            <v>may</v>
          </cell>
          <cell r="D1010" t="str">
            <v>01-022</v>
          </cell>
          <cell r="F1010">
            <v>-67222.539999999994</v>
          </cell>
          <cell r="G1010" t="str">
            <v>p</v>
          </cell>
        </row>
        <row r="1011">
          <cell r="B1011" t="str">
            <v>may</v>
          </cell>
          <cell r="D1011" t="str">
            <v>01-027</v>
          </cell>
          <cell r="F1011">
            <v>148.28</v>
          </cell>
          <cell r="G1011" t="str">
            <v>p</v>
          </cell>
        </row>
        <row r="1012">
          <cell r="B1012" t="str">
            <v>may</v>
          </cell>
          <cell r="D1012" t="str">
            <v>01-041</v>
          </cell>
          <cell r="F1012">
            <v>0</v>
          </cell>
          <cell r="G1012" t="str">
            <v>p</v>
          </cell>
        </row>
        <row r="1013">
          <cell r="B1013" t="str">
            <v>may</v>
          </cell>
          <cell r="D1013" t="str">
            <v>01-046</v>
          </cell>
          <cell r="F1013">
            <v>-1252.03</v>
          </cell>
          <cell r="G1013" t="str">
            <v>p</v>
          </cell>
        </row>
        <row r="1014">
          <cell r="B1014" t="str">
            <v>may</v>
          </cell>
          <cell r="D1014" t="str">
            <v>01-052</v>
          </cell>
          <cell r="F1014">
            <v>-54132</v>
          </cell>
          <cell r="G1014" t="str">
            <v>p</v>
          </cell>
        </row>
        <row r="1015">
          <cell r="B1015" t="str">
            <v>may</v>
          </cell>
          <cell r="D1015" t="str">
            <v>01-053</v>
          </cell>
          <cell r="F1015">
            <v>-45929.120000000003</v>
          </cell>
          <cell r="G1015" t="str">
            <v>p</v>
          </cell>
        </row>
        <row r="1016">
          <cell r="B1016" t="str">
            <v>may</v>
          </cell>
          <cell r="D1016" t="str">
            <v>01-055</v>
          </cell>
          <cell r="F1016">
            <v>-36000</v>
          </cell>
          <cell r="G1016" t="str">
            <v>p</v>
          </cell>
        </row>
        <row r="1017">
          <cell r="B1017" t="str">
            <v>may</v>
          </cell>
          <cell r="D1017" t="str">
            <v>01-059</v>
          </cell>
          <cell r="F1017">
            <v>-7774.46</v>
          </cell>
          <cell r="G1017" t="str">
            <v>p</v>
          </cell>
        </row>
        <row r="1018">
          <cell r="B1018" t="str">
            <v>may</v>
          </cell>
          <cell r="D1018" t="str">
            <v>01-076</v>
          </cell>
          <cell r="F1018">
            <v>9649.32</v>
          </cell>
          <cell r="G1018" t="str">
            <v>p</v>
          </cell>
        </row>
        <row r="1019">
          <cell r="B1019" t="str">
            <v>may</v>
          </cell>
          <cell r="D1019" t="str">
            <v>01-080</v>
          </cell>
          <cell r="F1019">
            <v>-1963.71</v>
          </cell>
          <cell r="G1019" t="str">
            <v>p</v>
          </cell>
        </row>
        <row r="1020">
          <cell r="B1020" t="str">
            <v>may</v>
          </cell>
          <cell r="D1020" t="str">
            <v>01-081</v>
          </cell>
          <cell r="F1020">
            <v>935.81</v>
          </cell>
          <cell r="G1020" t="str">
            <v>p</v>
          </cell>
        </row>
        <row r="1021">
          <cell r="B1021" t="str">
            <v>may</v>
          </cell>
          <cell r="D1021" t="str">
            <v>01-082</v>
          </cell>
          <cell r="F1021">
            <v>-25183.759999999998</v>
          </cell>
          <cell r="G1021" t="str">
            <v>p</v>
          </cell>
        </row>
        <row r="1022">
          <cell r="B1022" t="str">
            <v>may</v>
          </cell>
          <cell r="D1022" t="str">
            <v>01-088</v>
          </cell>
          <cell r="F1022">
            <v>90</v>
          </cell>
          <cell r="G1022" t="str">
            <v>p</v>
          </cell>
        </row>
        <row r="1023">
          <cell r="B1023" t="str">
            <v>may</v>
          </cell>
          <cell r="D1023" t="str">
            <v>01-095</v>
          </cell>
          <cell r="F1023">
            <v>160</v>
          </cell>
          <cell r="G1023" t="str">
            <v>p</v>
          </cell>
        </row>
        <row r="1024">
          <cell r="B1024" t="str">
            <v>may</v>
          </cell>
          <cell r="D1024" t="str">
            <v>01-300</v>
          </cell>
          <cell r="F1024">
            <v>-1422.7</v>
          </cell>
          <cell r="G1024" t="str">
            <v>p</v>
          </cell>
        </row>
        <row r="1025">
          <cell r="B1025" t="str">
            <v>may</v>
          </cell>
          <cell r="D1025" t="str">
            <v>01-307</v>
          </cell>
          <cell r="F1025">
            <v>0</v>
          </cell>
          <cell r="G1025" t="str">
            <v>p</v>
          </cell>
        </row>
        <row r="1026">
          <cell r="B1026" t="str">
            <v>may</v>
          </cell>
          <cell r="D1026" t="str">
            <v>99-165</v>
          </cell>
          <cell r="F1026">
            <v>-4248</v>
          </cell>
          <cell r="G1026" t="str">
            <v>p</v>
          </cell>
        </row>
        <row r="1027">
          <cell r="B1027" t="str">
            <v>may</v>
          </cell>
          <cell r="D1027" t="str">
            <v>99-166</v>
          </cell>
          <cell r="F1027">
            <v>691.2</v>
          </cell>
          <cell r="G1027" t="str">
            <v>p</v>
          </cell>
        </row>
        <row r="1028">
          <cell r="B1028" t="str">
            <v>may</v>
          </cell>
          <cell r="D1028" t="str">
            <v>99-344</v>
          </cell>
          <cell r="F1028">
            <v>558.52</v>
          </cell>
          <cell r="G1028" t="str">
            <v>p</v>
          </cell>
        </row>
        <row r="1029">
          <cell r="B1029" t="str">
            <v>may</v>
          </cell>
          <cell r="D1029" t="str">
            <v>00-068</v>
          </cell>
          <cell r="F1029">
            <v>0</v>
          </cell>
          <cell r="G1029" t="str">
            <v>p</v>
          </cell>
        </row>
        <row r="1030">
          <cell r="B1030" t="str">
            <v>may</v>
          </cell>
          <cell r="D1030" t="str">
            <v>00-151</v>
          </cell>
          <cell r="F1030">
            <v>2400</v>
          </cell>
          <cell r="G1030" t="str">
            <v>p</v>
          </cell>
        </row>
        <row r="1031">
          <cell r="B1031" t="str">
            <v>may</v>
          </cell>
          <cell r="D1031" t="str">
            <v>00-164</v>
          </cell>
          <cell r="F1031">
            <v>0</v>
          </cell>
          <cell r="G1031" t="str">
            <v>p</v>
          </cell>
        </row>
        <row r="1032">
          <cell r="B1032" t="str">
            <v>may</v>
          </cell>
          <cell r="D1032" t="str">
            <v>00-222</v>
          </cell>
          <cell r="F1032">
            <v>12968.61</v>
          </cell>
          <cell r="G1032" t="str">
            <v>p</v>
          </cell>
        </row>
        <row r="1033">
          <cell r="B1033" t="str">
            <v>may</v>
          </cell>
          <cell r="D1033" t="str">
            <v>01-002</v>
          </cell>
          <cell r="F1033">
            <v>4423.91</v>
          </cell>
          <cell r="G1033" t="str">
            <v>p</v>
          </cell>
        </row>
        <row r="1034">
          <cell r="B1034" t="str">
            <v>may</v>
          </cell>
          <cell r="D1034" t="str">
            <v>01-022</v>
          </cell>
          <cell r="F1034">
            <v>69993.039999999994</v>
          </cell>
          <cell r="G1034" t="str">
            <v>p</v>
          </cell>
        </row>
        <row r="1035">
          <cell r="B1035" t="str">
            <v>may</v>
          </cell>
          <cell r="D1035" t="str">
            <v>01-027</v>
          </cell>
          <cell r="F1035">
            <v>24.27</v>
          </cell>
          <cell r="G1035" t="str">
            <v>p</v>
          </cell>
        </row>
        <row r="1036">
          <cell r="B1036" t="str">
            <v>may</v>
          </cell>
          <cell r="D1036" t="str">
            <v>01-035</v>
          </cell>
          <cell r="F1036">
            <v>73.569999999999993</v>
          </cell>
          <cell r="G1036" t="str">
            <v>p</v>
          </cell>
        </row>
        <row r="1037">
          <cell r="B1037" t="str">
            <v>may</v>
          </cell>
          <cell r="D1037" t="str">
            <v>01-046</v>
          </cell>
          <cell r="F1037">
            <v>7670.66</v>
          </cell>
          <cell r="G1037" t="str">
            <v>p</v>
          </cell>
        </row>
        <row r="1038">
          <cell r="B1038" t="str">
            <v>may</v>
          </cell>
          <cell r="D1038" t="str">
            <v>01-048</v>
          </cell>
          <cell r="F1038">
            <v>4088.88</v>
          </cell>
          <cell r="G1038" t="str">
            <v>p</v>
          </cell>
        </row>
        <row r="1039">
          <cell r="B1039" t="str">
            <v>may</v>
          </cell>
          <cell r="D1039" t="str">
            <v>01-052</v>
          </cell>
          <cell r="F1039">
            <v>54132</v>
          </cell>
          <cell r="G1039" t="str">
            <v>p</v>
          </cell>
        </row>
        <row r="1040">
          <cell r="B1040" t="str">
            <v>may</v>
          </cell>
          <cell r="D1040" t="str">
            <v>01-053</v>
          </cell>
          <cell r="F1040">
            <v>99716.06</v>
          </cell>
          <cell r="G1040" t="str">
            <v>p</v>
          </cell>
        </row>
        <row r="1041">
          <cell r="B1041" t="str">
            <v>may</v>
          </cell>
          <cell r="D1041" t="str">
            <v>01-072</v>
          </cell>
          <cell r="F1041">
            <v>5584.05</v>
          </cell>
          <cell r="G1041" t="str">
            <v>p</v>
          </cell>
        </row>
        <row r="1042">
          <cell r="B1042" t="str">
            <v>may</v>
          </cell>
          <cell r="D1042" t="str">
            <v>01-076</v>
          </cell>
          <cell r="F1042">
            <v>46.24</v>
          </cell>
          <cell r="G1042" t="str">
            <v>p</v>
          </cell>
        </row>
        <row r="1043">
          <cell r="B1043" t="str">
            <v>may</v>
          </cell>
          <cell r="D1043" t="str">
            <v>01-080</v>
          </cell>
          <cell r="F1043">
            <v>32869.9</v>
          </cell>
          <cell r="G1043" t="str">
            <v>p</v>
          </cell>
        </row>
        <row r="1044">
          <cell r="B1044" t="str">
            <v>may</v>
          </cell>
          <cell r="D1044" t="str">
            <v>01-081</v>
          </cell>
          <cell r="F1044">
            <v>14935.99</v>
          </cell>
          <cell r="G1044" t="str">
            <v>p</v>
          </cell>
        </row>
        <row r="1045">
          <cell r="B1045" t="str">
            <v>may</v>
          </cell>
          <cell r="D1045" t="str">
            <v>01-100</v>
          </cell>
          <cell r="F1045">
            <v>110</v>
          </cell>
          <cell r="G1045" t="str">
            <v>p</v>
          </cell>
        </row>
        <row r="1046">
          <cell r="B1046" t="str">
            <v>may</v>
          </cell>
          <cell r="D1046" t="str">
            <v>01-103</v>
          </cell>
          <cell r="F1046">
            <v>29525.040000000001</v>
          </cell>
          <cell r="G1046" t="str">
            <v>p</v>
          </cell>
        </row>
        <row r="1047">
          <cell r="B1047" t="str">
            <v>may</v>
          </cell>
          <cell r="D1047" t="str">
            <v>01-105</v>
          </cell>
          <cell r="F1047">
            <v>347.56</v>
          </cell>
          <cell r="G1047" t="str">
            <v>p</v>
          </cell>
        </row>
        <row r="1048">
          <cell r="B1048" t="str">
            <v>may</v>
          </cell>
          <cell r="D1048" t="str">
            <v>01-109</v>
          </cell>
          <cell r="F1048">
            <v>198</v>
          </cell>
          <cell r="G1048" t="str">
            <v>p</v>
          </cell>
        </row>
        <row r="1049">
          <cell r="B1049" t="str">
            <v>may</v>
          </cell>
          <cell r="D1049" t="str">
            <v>01-110</v>
          </cell>
          <cell r="F1049">
            <v>21943.06</v>
          </cell>
          <cell r="G1049" t="str">
            <v>p</v>
          </cell>
        </row>
        <row r="1050">
          <cell r="B1050" t="str">
            <v>may</v>
          </cell>
          <cell r="D1050" t="str">
            <v>01-111</v>
          </cell>
          <cell r="F1050">
            <v>15660</v>
          </cell>
          <cell r="G1050" t="str">
            <v>p</v>
          </cell>
        </row>
        <row r="1051">
          <cell r="B1051" t="str">
            <v>may</v>
          </cell>
          <cell r="D1051" t="str">
            <v>01-113</v>
          </cell>
          <cell r="F1051">
            <v>4001.23</v>
          </cell>
          <cell r="G1051" t="str">
            <v>p</v>
          </cell>
        </row>
        <row r="1052">
          <cell r="B1052" t="str">
            <v>may</v>
          </cell>
          <cell r="D1052" t="str">
            <v>01-306</v>
          </cell>
          <cell r="F1052">
            <v>55886.1</v>
          </cell>
          <cell r="G1052" t="str">
            <v>p</v>
          </cell>
        </row>
        <row r="1053">
          <cell r="B1053" t="str">
            <v>may</v>
          </cell>
          <cell r="D1053" t="str">
            <v>01-307</v>
          </cell>
          <cell r="F1053">
            <v>0</v>
          </cell>
          <cell r="G1053" t="str">
            <v>p</v>
          </cell>
        </row>
        <row r="1054">
          <cell r="B1054" t="str">
            <v>may</v>
          </cell>
          <cell r="D1054" t="str">
            <v>01-311</v>
          </cell>
          <cell r="F1054">
            <v>12509.64</v>
          </cell>
          <cell r="G1054" t="str">
            <v>p</v>
          </cell>
        </row>
        <row r="1055">
          <cell r="B1055" t="str">
            <v>may</v>
          </cell>
          <cell r="D1055" t="str">
            <v>99-165</v>
          </cell>
          <cell r="F1055">
            <v>-64.8</v>
          </cell>
          <cell r="G1055" t="str">
            <v>p</v>
          </cell>
        </row>
        <row r="1056">
          <cell r="B1056" t="str">
            <v>may</v>
          </cell>
          <cell r="D1056" t="str">
            <v>99-166</v>
          </cell>
          <cell r="F1056">
            <v>15</v>
          </cell>
          <cell r="G1056" t="str">
            <v>p</v>
          </cell>
        </row>
        <row r="1057">
          <cell r="B1057" t="str">
            <v>may</v>
          </cell>
          <cell r="D1057" t="str">
            <v>00-143</v>
          </cell>
          <cell r="F1057">
            <v>44582.75</v>
          </cell>
          <cell r="G1057" t="str">
            <v>p</v>
          </cell>
        </row>
        <row r="1058">
          <cell r="B1058" t="str">
            <v>may</v>
          </cell>
          <cell r="D1058" t="str">
            <v>01-072</v>
          </cell>
          <cell r="F1058">
            <v>-413.63</v>
          </cell>
          <cell r="G1058" t="str">
            <v>p</v>
          </cell>
        </row>
        <row r="1059">
          <cell r="B1059" t="str">
            <v>may</v>
          </cell>
          <cell r="D1059" t="str">
            <v>00-192</v>
          </cell>
          <cell r="F1059">
            <v>32.24</v>
          </cell>
          <cell r="G1059" t="str">
            <v>p</v>
          </cell>
        </row>
        <row r="1060">
          <cell r="B1060" t="str">
            <v>may</v>
          </cell>
          <cell r="D1060" t="str">
            <v>00-207</v>
          </cell>
          <cell r="F1060">
            <v>51293.09</v>
          </cell>
          <cell r="G1060" t="str">
            <v>p</v>
          </cell>
        </row>
        <row r="1061">
          <cell r="B1061" t="str">
            <v>may</v>
          </cell>
          <cell r="D1061" t="str">
            <v>00-222</v>
          </cell>
          <cell r="F1061">
            <v>-960.64</v>
          </cell>
          <cell r="G1061" t="str">
            <v>p</v>
          </cell>
        </row>
        <row r="1062">
          <cell r="B1062" t="str">
            <v>may</v>
          </cell>
          <cell r="D1062" t="str">
            <v>01-002</v>
          </cell>
          <cell r="F1062">
            <v>620.80999999999995</v>
          </cell>
          <cell r="G1062" t="str">
            <v>p</v>
          </cell>
        </row>
        <row r="1063">
          <cell r="B1063" t="str">
            <v>may</v>
          </cell>
          <cell r="D1063" t="str">
            <v>01-012</v>
          </cell>
          <cell r="F1063">
            <v>35346.019999999997</v>
          </cell>
          <cell r="G1063" t="str">
            <v>p</v>
          </cell>
        </row>
        <row r="1064">
          <cell r="B1064" t="str">
            <v>may</v>
          </cell>
          <cell r="D1064" t="str">
            <v>01-019</v>
          </cell>
          <cell r="F1064">
            <v>-80</v>
          </cell>
          <cell r="G1064" t="str">
            <v>p</v>
          </cell>
        </row>
        <row r="1065">
          <cell r="B1065" t="str">
            <v>may</v>
          </cell>
          <cell r="D1065" t="str">
            <v>01-046</v>
          </cell>
          <cell r="F1065">
            <v>-568.20000000000005</v>
          </cell>
          <cell r="G1065" t="str">
            <v>p</v>
          </cell>
        </row>
        <row r="1066">
          <cell r="B1066" t="str">
            <v>may</v>
          </cell>
          <cell r="D1066" t="str">
            <v>01-048</v>
          </cell>
          <cell r="F1066">
            <v>10</v>
          </cell>
          <cell r="G1066" t="str">
            <v>p</v>
          </cell>
        </row>
        <row r="1067">
          <cell r="B1067" t="str">
            <v>may</v>
          </cell>
          <cell r="D1067" t="str">
            <v>01-053</v>
          </cell>
          <cell r="F1067">
            <v>49.73</v>
          </cell>
          <cell r="G1067" t="str">
            <v>p</v>
          </cell>
        </row>
        <row r="1068">
          <cell r="B1068" t="str">
            <v>may</v>
          </cell>
          <cell r="D1068" t="str">
            <v>01-059</v>
          </cell>
          <cell r="F1068">
            <v>7771.52</v>
          </cell>
          <cell r="G1068" t="str">
            <v>p</v>
          </cell>
        </row>
        <row r="1069">
          <cell r="B1069" t="str">
            <v>may</v>
          </cell>
          <cell r="D1069" t="str">
            <v>01-070</v>
          </cell>
          <cell r="F1069">
            <v>1468.89</v>
          </cell>
          <cell r="G1069" t="str">
            <v>p</v>
          </cell>
        </row>
        <row r="1070">
          <cell r="B1070" t="str">
            <v>may</v>
          </cell>
          <cell r="D1070" t="str">
            <v>01-080</v>
          </cell>
          <cell r="F1070">
            <v>-2434.81</v>
          </cell>
          <cell r="G1070" t="str">
            <v>p</v>
          </cell>
        </row>
        <row r="1071">
          <cell r="B1071" t="str">
            <v>may</v>
          </cell>
          <cell r="D1071" t="str">
            <v>01-081</v>
          </cell>
          <cell r="F1071">
            <v>-1106.3699999999999</v>
          </cell>
          <cell r="G1071" t="str">
            <v>p</v>
          </cell>
        </row>
        <row r="1072">
          <cell r="B1072" t="str">
            <v>may</v>
          </cell>
          <cell r="D1072" t="str">
            <v>01-101</v>
          </cell>
          <cell r="F1072">
            <v>300</v>
          </cell>
          <cell r="G1072" t="str">
            <v>p</v>
          </cell>
        </row>
        <row r="1073">
          <cell r="B1073" t="str">
            <v>may</v>
          </cell>
          <cell r="D1073" t="str">
            <v>01-103</v>
          </cell>
          <cell r="F1073">
            <v>180</v>
          </cell>
          <cell r="G1073" t="str">
            <v>p</v>
          </cell>
        </row>
        <row r="1074">
          <cell r="B1074" t="str">
            <v>may</v>
          </cell>
          <cell r="D1074" t="str">
            <v>01-111</v>
          </cell>
          <cell r="F1074">
            <v>84.06</v>
          </cell>
          <cell r="G1074" t="str">
            <v>p</v>
          </cell>
        </row>
        <row r="1075">
          <cell r="B1075" t="str">
            <v>may</v>
          </cell>
          <cell r="D1075" t="str">
            <v>01-112</v>
          </cell>
          <cell r="F1075">
            <v>2966.76</v>
          </cell>
          <cell r="G1075" t="str">
            <v>p</v>
          </cell>
        </row>
        <row r="1076">
          <cell r="B1076" t="str">
            <v>may</v>
          </cell>
          <cell r="D1076" t="str">
            <v>01-302</v>
          </cell>
          <cell r="F1076">
            <v>177.7</v>
          </cell>
          <cell r="G1076" t="str">
            <v>p</v>
          </cell>
        </row>
        <row r="1077">
          <cell r="B1077" t="str">
            <v>may</v>
          </cell>
          <cell r="D1077" t="str">
            <v>01-305</v>
          </cell>
          <cell r="F1077">
            <v>11232</v>
          </cell>
          <cell r="G1077" t="str">
            <v>p</v>
          </cell>
        </row>
        <row r="1078">
          <cell r="B1078" t="str">
            <v>may</v>
          </cell>
          <cell r="D1078" t="str">
            <v>99-325</v>
          </cell>
          <cell r="F1078">
            <v>163583.28</v>
          </cell>
          <cell r="G1078" t="str">
            <v>p</v>
          </cell>
        </row>
        <row r="1079">
          <cell r="B1079" t="str">
            <v>may</v>
          </cell>
          <cell r="D1079" t="str">
            <v>01-630</v>
          </cell>
          <cell r="F1079">
            <v>3666</v>
          </cell>
          <cell r="G1079" t="str">
            <v>p</v>
          </cell>
        </row>
        <row r="1080">
          <cell r="B1080" t="str">
            <v>may</v>
          </cell>
          <cell r="D1080" t="str">
            <v>01-631</v>
          </cell>
          <cell r="F1080">
            <v>4103</v>
          </cell>
          <cell r="G1080" t="str">
            <v>p</v>
          </cell>
        </row>
        <row r="1081">
          <cell r="B1081" t="str">
            <v>may</v>
          </cell>
          <cell r="D1081" t="str">
            <v>01-673</v>
          </cell>
          <cell r="F1081">
            <v>3292</v>
          </cell>
          <cell r="G1081" t="str">
            <v>p</v>
          </cell>
        </row>
        <row r="1082">
          <cell r="B1082" t="str">
            <v>may</v>
          </cell>
          <cell r="D1082" t="str">
            <v>01-679</v>
          </cell>
          <cell r="F1082">
            <v>3666</v>
          </cell>
          <cell r="G1082" t="str">
            <v>p</v>
          </cell>
        </row>
        <row r="1083">
          <cell r="B1083" t="str">
            <v>may</v>
          </cell>
          <cell r="D1083" t="str">
            <v>01-692</v>
          </cell>
          <cell r="F1083">
            <v>1446</v>
          </cell>
          <cell r="G1083" t="str">
            <v>p</v>
          </cell>
        </row>
        <row r="1084">
          <cell r="B1084" t="str">
            <v>may</v>
          </cell>
          <cell r="D1084" t="str">
            <v>01-700</v>
          </cell>
          <cell r="F1084">
            <v>1446</v>
          </cell>
          <cell r="G1084" t="str">
            <v>p</v>
          </cell>
        </row>
        <row r="1085">
          <cell r="B1085" t="str">
            <v>may</v>
          </cell>
          <cell r="D1085" t="str">
            <v>01-709</v>
          </cell>
          <cell r="F1085">
            <v>3439</v>
          </cell>
          <cell r="G1085" t="str">
            <v>p</v>
          </cell>
        </row>
        <row r="1086">
          <cell r="B1086" t="str">
            <v>may</v>
          </cell>
          <cell r="D1086" t="str">
            <v>01-711</v>
          </cell>
          <cell r="F1086">
            <v>3460</v>
          </cell>
          <cell r="G1086" t="str">
            <v>p</v>
          </cell>
        </row>
        <row r="1087">
          <cell r="B1087" t="str">
            <v>may</v>
          </cell>
          <cell r="D1087" t="str">
            <v>01-712</v>
          </cell>
          <cell r="F1087">
            <v>3881</v>
          </cell>
          <cell r="G1087" t="str">
            <v>p</v>
          </cell>
        </row>
        <row r="1088">
          <cell r="B1088" t="str">
            <v>may</v>
          </cell>
          <cell r="D1088" t="str">
            <v>01-713</v>
          </cell>
          <cell r="F1088">
            <v>3860</v>
          </cell>
          <cell r="G1088" t="str">
            <v>p</v>
          </cell>
        </row>
        <row r="1089">
          <cell r="B1089" t="str">
            <v>may</v>
          </cell>
          <cell r="D1089" t="str">
            <v>01-715</v>
          </cell>
          <cell r="F1089">
            <v>2977</v>
          </cell>
          <cell r="G1089" t="str">
            <v>p</v>
          </cell>
        </row>
        <row r="1090">
          <cell r="B1090" t="str">
            <v>may</v>
          </cell>
          <cell r="D1090" t="str">
            <v>01-716</v>
          </cell>
          <cell r="F1090">
            <v>1446</v>
          </cell>
          <cell r="G1090" t="str">
            <v>p</v>
          </cell>
        </row>
        <row r="1091">
          <cell r="B1091" t="str">
            <v>may</v>
          </cell>
          <cell r="D1091" t="str">
            <v>01-717</v>
          </cell>
          <cell r="F1091">
            <v>1446</v>
          </cell>
          <cell r="G1091" t="str">
            <v>p</v>
          </cell>
        </row>
        <row r="1092">
          <cell r="B1092" t="str">
            <v>may</v>
          </cell>
          <cell r="D1092" t="str">
            <v>01-718</v>
          </cell>
          <cell r="F1092">
            <v>1446</v>
          </cell>
          <cell r="G1092" t="str">
            <v>p</v>
          </cell>
        </row>
        <row r="1093">
          <cell r="B1093" t="str">
            <v>may</v>
          </cell>
          <cell r="D1093" t="str">
            <v>01-721</v>
          </cell>
          <cell r="F1093">
            <v>3439</v>
          </cell>
          <cell r="G1093" t="str">
            <v>p</v>
          </cell>
        </row>
        <row r="1094">
          <cell r="B1094" t="str">
            <v>may</v>
          </cell>
          <cell r="D1094" t="str">
            <v>01-722</v>
          </cell>
          <cell r="F1094">
            <v>3983</v>
          </cell>
          <cell r="G1094" t="str">
            <v>p</v>
          </cell>
        </row>
        <row r="1095">
          <cell r="B1095" t="str">
            <v>may</v>
          </cell>
          <cell r="D1095" t="str">
            <v>01-723</v>
          </cell>
          <cell r="F1095">
            <v>3460</v>
          </cell>
          <cell r="G1095" t="str">
            <v>p</v>
          </cell>
        </row>
        <row r="1096">
          <cell r="B1096" t="str">
            <v>may</v>
          </cell>
          <cell r="D1096" t="str">
            <v>01-725</v>
          </cell>
          <cell r="F1096">
            <v>3881</v>
          </cell>
          <cell r="G1096" t="str">
            <v>p</v>
          </cell>
        </row>
        <row r="1097">
          <cell r="B1097" t="str">
            <v>may</v>
          </cell>
          <cell r="D1097" t="str">
            <v>01-726</v>
          </cell>
          <cell r="F1097">
            <v>3881</v>
          </cell>
          <cell r="G1097" t="str">
            <v>p</v>
          </cell>
        </row>
        <row r="1098">
          <cell r="B1098" t="str">
            <v>may</v>
          </cell>
          <cell r="D1098" t="str">
            <v>01-727</v>
          </cell>
          <cell r="F1098">
            <v>1451</v>
          </cell>
          <cell r="G1098" t="str">
            <v>p</v>
          </cell>
        </row>
        <row r="1099">
          <cell r="B1099" t="str">
            <v>may</v>
          </cell>
          <cell r="D1099" t="str">
            <v>01-728</v>
          </cell>
          <cell r="F1099">
            <v>1446</v>
          </cell>
          <cell r="G1099" t="str">
            <v>p</v>
          </cell>
        </row>
        <row r="1100">
          <cell r="B1100" t="str">
            <v>may</v>
          </cell>
          <cell r="D1100" t="str">
            <v>01-729</v>
          </cell>
          <cell r="F1100">
            <v>3860</v>
          </cell>
          <cell r="G1100" t="str">
            <v>p</v>
          </cell>
        </row>
        <row r="1101">
          <cell r="B1101" t="str">
            <v>may</v>
          </cell>
          <cell r="D1101" t="str">
            <v>01-730</v>
          </cell>
          <cell r="F1101">
            <v>3292</v>
          </cell>
          <cell r="G1101" t="str">
            <v>p</v>
          </cell>
        </row>
        <row r="1102">
          <cell r="B1102" t="str">
            <v>may</v>
          </cell>
          <cell r="D1102" t="str">
            <v>01-730</v>
          </cell>
          <cell r="F1102">
            <v>2504</v>
          </cell>
          <cell r="G1102" t="str">
            <v>p</v>
          </cell>
        </row>
        <row r="1103">
          <cell r="B1103" t="str">
            <v>may</v>
          </cell>
          <cell r="D1103" t="str">
            <v>01-731</v>
          </cell>
          <cell r="F1103">
            <v>3860</v>
          </cell>
          <cell r="G1103" t="str">
            <v>p</v>
          </cell>
        </row>
        <row r="1104">
          <cell r="B1104" t="str">
            <v>may</v>
          </cell>
          <cell r="D1104" t="str">
            <v>01-733</v>
          </cell>
          <cell r="F1104">
            <v>1446</v>
          </cell>
          <cell r="G1104" t="str">
            <v>p</v>
          </cell>
        </row>
        <row r="1105">
          <cell r="B1105" t="str">
            <v>may</v>
          </cell>
          <cell r="D1105" t="str">
            <v>01-734</v>
          </cell>
          <cell r="F1105">
            <v>2450</v>
          </cell>
          <cell r="G1105" t="str">
            <v>p</v>
          </cell>
        </row>
        <row r="1106">
          <cell r="B1106" t="str">
            <v>may</v>
          </cell>
          <cell r="D1106" t="str">
            <v>01-736</v>
          </cell>
          <cell r="F1106">
            <v>1446</v>
          </cell>
          <cell r="G1106" t="str">
            <v>p</v>
          </cell>
        </row>
        <row r="1107">
          <cell r="B1107" t="str">
            <v>may</v>
          </cell>
          <cell r="D1107" t="str">
            <v>01-737</v>
          </cell>
          <cell r="F1107">
            <v>3460</v>
          </cell>
          <cell r="G1107" t="str">
            <v>p</v>
          </cell>
        </row>
        <row r="1108">
          <cell r="B1108" t="str">
            <v>may</v>
          </cell>
          <cell r="D1108" t="str">
            <v>00-900</v>
          </cell>
          <cell r="F1108">
            <v>-83433</v>
          </cell>
          <cell r="G1108" t="str">
            <v>p</v>
          </cell>
        </row>
        <row r="1109">
          <cell r="B1109" t="str">
            <v>may</v>
          </cell>
          <cell r="D1109" t="str">
            <v>00-222</v>
          </cell>
          <cell r="F1109">
            <v>4622</v>
          </cell>
          <cell r="G1109" t="str">
            <v>p</v>
          </cell>
        </row>
        <row r="1110">
          <cell r="B1110" t="str">
            <v>may</v>
          </cell>
          <cell r="D1110" t="str">
            <v>01-002</v>
          </cell>
          <cell r="F1110">
            <v>5092.97</v>
          </cell>
          <cell r="G1110" t="str">
            <v>p</v>
          </cell>
        </row>
        <row r="1111">
          <cell r="B1111" t="str">
            <v>may</v>
          </cell>
          <cell r="D1111" t="str">
            <v>01-012</v>
          </cell>
          <cell r="F1111">
            <v>423.1</v>
          </cell>
          <cell r="G1111" t="str">
            <v>p</v>
          </cell>
        </row>
        <row r="1112">
          <cell r="B1112" t="str">
            <v>may</v>
          </cell>
          <cell r="D1112" t="str">
            <v>01-022</v>
          </cell>
          <cell r="F1112">
            <v>-1866.48</v>
          </cell>
          <cell r="G1112" t="str">
            <v>p</v>
          </cell>
        </row>
        <row r="1113">
          <cell r="B1113" t="str">
            <v>may</v>
          </cell>
          <cell r="D1113" t="str">
            <v>01-053</v>
          </cell>
          <cell r="F1113">
            <v>141573.01</v>
          </cell>
          <cell r="G1113" t="str">
            <v>p</v>
          </cell>
        </row>
        <row r="1114">
          <cell r="B1114" t="str">
            <v>may</v>
          </cell>
          <cell r="D1114" t="str">
            <v>01-055</v>
          </cell>
          <cell r="F1114">
            <v>38880</v>
          </cell>
          <cell r="G1114" t="str">
            <v>p</v>
          </cell>
        </row>
        <row r="1115">
          <cell r="B1115" t="str">
            <v>may</v>
          </cell>
          <cell r="D1115" t="str">
            <v>01-059</v>
          </cell>
          <cell r="F1115">
            <v>2.94</v>
          </cell>
          <cell r="G1115" t="str">
            <v>p</v>
          </cell>
        </row>
        <row r="1116">
          <cell r="B1116" t="str">
            <v>may</v>
          </cell>
          <cell r="D1116" t="str">
            <v>01-081</v>
          </cell>
          <cell r="F1116">
            <v>4428</v>
          </cell>
          <cell r="G1116" t="str">
            <v>p</v>
          </cell>
        </row>
        <row r="1117">
          <cell r="B1117" t="str">
            <v>may</v>
          </cell>
          <cell r="D1117" t="str">
            <v>01-096</v>
          </cell>
          <cell r="F1117">
            <v>61044.82</v>
          </cell>
          <cell r="G1117" t="str">
            <v>p</v>
          </cell>
        </row>
        <row r="1118">
          <cell r="B1118" t="str">
            <v>may</v>
          </cell>
          <cell r="D1118" t="str">
            <v>01-097</v>
          </cell>
          <cell r="F1118">
            <v>3888</v>
          </cell>
          <cell r="G1118" t="str">
            <v>p</v>
          </cell>
        </row>
        <row r="1119">
          <cell r="B1119" t="str">
            <v>may</v>
          </cell>
          <cell r="D1119" t="str">
            <v>01-102</v>
          </cell>
          <cell r="F1119">
            <v>1560.86</v>
          </cell>
          <cell r="G1119" t="str">
            <v>p</v>
          </cell>
        </row>
        <row r="1120">
          <cell r="B1120" t="str">
            <v>may</v>
          </cell>
          <cell r="D1120" t="str">
            <v>01-108</v>
          </cell>
          <cell r="F1120">
            <v>29912.09</v>
          </cell>
          <cell r="G1120" t="str">
            <v>p</v>
          </cell>
        </row>
        <row r="1121">
          <cell r="B1121" t="str">
            <v>may</v>
          </cell>
          <cell r="D1121" t="str">
            <v>01-110</v>
          </cell>
          <cell r="F1121">
            <v>-203.17</v>
          </cell>
          <cell r="G1121" t="str">
            <v>p</v>
          </cell>
        </row>
        <row r="1122">
          <cell r="B1122" t="str">
            <v>may</v>
          </cell>
          <cell r="D1122" t="str">
            <v>01-113</v>
          </cell>
          <cell r="F1122">
            <v>61.11</v>
          </cell>
          <cell r="G1122" t="str">
            <v>p</v>
          </cell>
        </row>
        <row r="1123">
          <cell r="B1123" t="str">
            <v>may</v>
          </cell>
          <cell r="D1123" t="str">
            <v>01-308</v>
          </cell>
          <cell r="F1123">
            <v>9525.01</v>
          </cell>
          <cell r="G1123" t="str">
            <v>p</v>
          </cell>
        </row>
        <row r="1124">
          <cell r="B1124" t="str">
            <v>may</v>
          </cell>
          <cell r="D1124" t="str">
            <v>01-310</v>
          </cell>
          <cell r="F1124">
            <v>4274.6499999999996</v>
          </cell>
          <cell r="G1124" t="str">
            <v>p</v>
          </cell>
        </row>
        <row r="1125">
          <cell r="B1125" t="str">
            <v>may</v>
          </cell>
          <cell r="D1125" t="str">
            <v>01-051</v>
          </cell>
          <cell r="F1125">
            <v>6987.5</v>
          </cell>
          <cell r="G1125" t="str">
            <v>p</v>
          </cell>
        </row>
        <row r="1126">
          <cell r="B1126" t="str">
            <v>may</v>
          </cell>
          <cell r="D1126" t="str">
            <v>01-051</v>
          </cell>
          <cell r="F1126">
            <v>12156.25</v>
          </cell>
          <cell r="G1126" t="str">
            <v>p</v>
          </cell>
        </row>
        <row r="1127">
          <cell r="B1127" t="str">
            <v>may</v>
          </cell>
          <cell r="D1127" t="str">
            <v>01-051</v>
          </cell>
          <cell r="F1127">
            <v>3250</v>
          </cell>
          <cell r="G1127" t="str">
            <v>p</v>
          </cell>
        </row>
        <row r="1128">
          <cell r="B1128" t="str">
            <v>may</v>
          </cell>
          <cell r="D1128" t="str">
            <v>01-072</v>
          </cell>
          <cell r="F1128">
            <v>2656.8</v>
          </cell>
          <cell r="G1128" t="str">
            <v>p</v>
          </cell>
        </row>
        <row r="1129">
          <cell r="B1129" t="str">
            <v>may</v>
          </cell>
          <cell r="D1129" t="str">
            <v>01-068</v>
          </cell>
          <cell r="F1129">
            <v>2857.68</v>
          </cell>
          <cell r="G1129" t="str">
            <v>p</v>
          </cell>
        </row>
        <row r="1130">
          <cell r="B1130" t="str">
            <v>may</v>
          </cell>
          <cell r="D1130" t="str">
            <v>01-058</v>
          </cell>
          <cell r="F1130">
            <v>82580.960000000006</v>
          </cell>
          <cell r="G1130" t="str">
            <v>p</v>
          </cell>
        </row>
        <row r="1131">
          <cell r="B1131" t="str">
            <v>may</v>
          </cell>
          <cell r="D1131" t="str">
            <v>01-056</v>
          </cell>
          <cell r="F1131">
            <v>4929.68</v>
          </cell>
          <cell r="G1131" t="str">
            <v>p</v>
          </cell>
        </row>
        <row r="1132">
          <cell r="B1132" t="str">
            <v>may</v>
          </cell>
          <cell r="D1132" t="str">
            <v>01-081</v>
          </cell>
          <cell r="F1132">
            <v>3780</v>
          </cell>
          <cell r="G1132" t="str">
            <v>p</v>
          </cell>
        </row>
        <row r="1133">
          <cell r="B1133" t="str">
            <v>may</v>
          </cell>
          <cell r="D1133" t="str">
            <v>01-053</v>
          </cell>
          <cell r="F1133">
            <v>57000</v>
          </cell>
          <cell r="G1133" t="str">
            <v>p</v>
          </cell>
        </row>
        <row r="1134">
          <cell r="B1134" t="str">
            <v>may</v>
          </cell>
          <cell r="D1134" t="str">
            <v>01-039</v>
          </cell>
          <cell r="F1134">
            <v>50444.93</v>
          </cell>
          <cell r="G1134" t="str">
            <v>p</v>
          </cell>
        </row>
        <row r="1135">
          <cell r="B1135" t="str">
            <v>may</v>
          </cell>
          <cell r="D1135" t="str">
            <v>01-053</v>
          </cell>
          <cell r="F1135">
            <v>630828</v>
          </cell>
          <cell r="G1135" t="str">
            <v>p</v>
          </cell>
        </row>
        <row r="1136">
          <cell r="B1136" t="str">
            <v>may</v>
          </cell>
          <cell r="D1136" t="str">
            <v>01-082</v>
          </cell>
          <cell r="F1136">
            <v>25183.759999999998</v>
          </cell>
          <cell r="G1136" t="str">
            <v>p</v>
          </cell>
        </row>
        <row r="1137">
          <cell r="B1137" t="str">
            <v>may</v>
          </cell>
          <cell r="D1137" t="str">
            <v>01-069</v>
          </cell>
          <cell r="F1137">
            <v>417500</v>
          </cell>
          <cell r="G1137" t="str">
            <v>p</v>
          </cell>
        </row>
        <row r="1138">
          <cell r="B1138" t="str">
            <v>may</v>
          </cell>
          <cell r="D1138" t="str">
            <v>01-003</v>
          </cell>
          <cell r="F1138">
            <v>51830.1</v>
          </cell>
          <cell r="G1138" t="str">
            <v>p</v>
          </cell>
        </row>
        <row r="1139">
          <cell r="B1139" t="str">
            <v>may</v>
          </cell>
          <cell r="D1139" t="str">
            <v>01-002</v>
          </cell>
          <cell r="F1139">
            <v>8899.16</v>
          </cell>
          <cell r="G1139" t="str">
            <v>p</v>
          </cell>
        </row>
        <row r="1140">
          <cell r="B1140" t="str">
            <v>may</v>
          </cell>
          <cell r="D1140" t="str">
            <v>01-107</v>
          </cell>
          <cell r="F1140">
            <v>9666</v>
          </cell>
          <cell r="G1140" t="str">
            <v>p</v>
          </cell>
        </row>
        <row r="1141">
          <cell r="B1141" t="str">
            <v>may</v>
          </cell>
          <cell r="D1141" t="str">
            <v>01-630</v>
          </cell>
          <cell r="F1141">
            <v>-3666</v>
          </cell>
          <cell r="G1141" t="str">
            <v>c</v>
          </cell>
        </row>
        <row r="1142">
          <cell r="B1142" t="str">
            <v>may</v>
          </cell>
          <cell r="D1142" t="str">
            <v>01-631</v>
          </cell>
          <cell r="F1142">
            <v>-4103</v>
          </cell>
          <cell r="G1142" t="str">
            <v>c</v>
          </cell>
        </row>
        <row r="1143">
          <cell r="B1143" t="str">
            <v>may</v>
          </cell>
          <cell r="D1143" t="str">
            <v>01-679</v>
          </cell>
          <cell r="F1143">
            <v>-3666</v>
          </cell>
          <cell r="G1143" t="str">
            <v>c</v>
          </cell>
        </row>
        <row r="1144">
          <cell r="B1144" t="str">
            <v>may</v>
          </cell>
          <cell r="D1144" t="str">
            <v>01-692</v>
          </cell>
          <cell r="F1144">
            <v>-1446</v>
          </cell>
          <cell r="G1144" t="str">
            <v>c</v>
          </cell>
        </row>
        <row r="1145">
          <cell r="B1145" t="str">
            <v>may</v>
          </cell>
          <cell r="D1145" t="str">
            <v>01-700</v>
          </cell>
          <cell r="F1145">
            <v>-1446</v>
          </cell>
          <cell r="G1145" t="str">
            <v>c</v>
          </cell>
        </row>
        <row r="1146">
          <cell r="B1146" t="str">
            <v>may</v>
          </cell>
          <cell r="D1146" t="str">
            <v>01-712</v>
          </cell>
          <cell r="F1146">
            <v>-3881</v>
          </cell>
          <cell r="G1146" t="str">
            <v>c</v>
          </cell>
        </row>
        <row r="1147">
          <cell r="B1147" t="str">
            <v>may</v>
          </cell>
          <cell r="D1147" t="str">
            <v>01-713</v>
          </cell>
          <cell r="F1147">
            <v>-3860</v>
          </cell>
          <cell r="G1147" t="str">
            <v>c</v>
          </cell>
        </row>
        <row r="1148">
          <cell r="B1148" t="str">
            <v>may</v>
          </cell>
          <cell r="D1148" t="str">
            <v>01-715</v>
          </cell>
          <cell r="F1148">
            <v>-2977</v>
          </cell>
          <cell r="G1148" t="str">
            <v>c</v>
          </cell>
        </row>
        <row r="1149">
          <cell r="B1149" t="str">
            <v>may</v>
          </cell>
          <cell r="D1149" t="str">
            <v>01-716</v>
          </cell>
          <cell r="F1149">
            <v>-1446</v>
          </cell>
          <cell r="G1149" t="str">
            <v>c</v>
          </cell>
        </row>
        <row r="1150">
          <cell r="B1150" t="str">
            <v>may</v>
          </cell>
          <cell r="D1150" t="str">
            <v>01-717</v>
          </cell>
          <cell r="F1150">
            <v>-1446</v>
          </cell>
          <cell r="G1150" t="str">
            <v>c</v>
          </cell>
        </row>
        <row r="1151">
          <cell r="B1151" t="str">
            <v>may</v>
          </cell>
          <cell r="D1151" t="str">
            <v>01-718</v>
          </cell>
          <cell r="F1151">
            <v>-1446</v>
          </cell>
          <cell r="G1151" t="str">
            <v>c</v>
          </cell>
        </row>
        <row r="1152">
          <cell r="B1152" t="str">
            <v>may</v>
          </cell>
          <cell r="D1152" t="str">
            <v>01-721</v>
          </cell>
          <cell r="F1152">
            <v>-3439</v>
          </cell>
          <cell r="G1152" t="str">
            <v>c</v>
          </cell>
        </row>
        <row r="1153">
          <cell r="B1153" t="str">
            <v>may</v>
          </cell>
          <cell r="D1153" t="str">
            <v>01-722</v>
          </cell>
          <cell r="F1153">
            <v>-3983</v>
          </cell>
          <cell r="G1153" t="str">
            <v>c</v>
          </cell>
        </row>
        <row r="1154">
          <cell r="B1154" t="str">
            <v>may</v>
          </cell>
          <cell r="D1154" t="str">
            <v>01-725</v>
          </cell>
          <cell r="F1154">
            <v>-3881</v>
          </cell>
          <cell r="G1154" t="str">
            <v>c</v>
          </cell>
        </row>
        <row r="1155">
          <cell r="B1155" t="str">
            <v>may</v>
          </cell>
          <cell r="D1155" t="str">
            <v>01-726</v>
          </cell>
          <cell r="F1155">
            <v>-3881</v>
          </cell>
          <cell r="G1155" t="str">
            <v>c</v>
          </cell>
        </row>
        <row r="1156">
          <cell r="B1156" t="str">
            <v>may</v>
          </cell>
          <cell r="D1156" t="str">
            <v>01-727</v>
          </cell>
          <cell r="F1156">
            <v>-1451</v>
          </cell>
          <cell r="G1156" t="str">
            <v>c</v>
          </cell>
        </row>
        <row r="1157">
          <cell r="B1157" t="str">
            <v>may</v>
          </cell>
          <cell r="D1157" t="str">
            <v>01-730</v>
          </cell>
          <cell r="F1157">
            <v>-3292</v>
          </cell>
          <cell r="G1157" t="str">
            <v>c</v>
          </cell>
        </row>
        <row r="1158">
          <cell r="B1158" t="str">
            <v>may</v>
          </cell>
          <cell r="D1158" t="str">
            <v>01-730</v>
          </cell>
          <cell r="F1158">
            <v>-2504</v>
          </cell>
          <cell r="G1158" t="str">
            <v>c</v>
          </cell>
        </row>
        <row r="1159">
          <cell r="B1159" t="str">
            <v>may</v>
          </cell>
          <cell r="D1159" t="str">
            <v>01-731</v>
          </cell>
          <cell r="F1159">
            <v>-3860</v>
          </cell>
          <cell r="G1159" t="str">
            <v>c</v>
          </cell>
        </row>
        <row r="1160">
          <cell r="B1160" t="str">
            <v>may</v>
          </cell>
          <cell r="D1160" t="str">
            <v>01-733</v>
          </cell>
          <cell r="F1160">
            <v>-1446</v>
          </cell>
          <cell r="G1160" t="str">
            <v>c</v>
          </cell>
        </row>
        <row r="1161">
          <cell r="B1161" t="str">
            <v>may</v>
          </cell>
          <cell r="D1161" t="str">
            <v>01-734</v>
          </cell>
          <cell r="F1161">
            <v>-2450</v>
          </cell>
          <cell r="G1161" t="str">
            <v>c</v>
          </cell>
        </row>
        <row r="1162">
          <cell r="B1162" t="str">
            <v>may</v>
          </cell>
          <cell r="D1162" t="str">
            <v>01-736</v>
          </cell>
          <cell r="F1162">
            <v>-1446</v>
          </cell>
          <cell r="G1162" t="str">
            <v>c</v>
          </cell>
        </row>
        <row r="1163">
          <cell r="B1163" t="str">
            <v>may</v>
          </cell>
          <cell r="D1163" t="str">
            <v>01-737</v>
          </cell>
          <cell r="F1163">
            <v>-3460</v>
          </cell>
          <cell r="G1163" t="str">
            <v>c</v>
          </cell>
        </row>
        <row r="1164">
          <cell r="B1164" t="str">
            <v>may</v>
          </cell>
          <cell r="D1164" t="str">
            <v>00-198</v>
          </cell>
          <cell r="F1164">
            <v>-50311.9</v>
          </cell>
          <cell r="G1164" t="str">
            <v>c</v>
          </cell>
        </row>
        <row r="1165">
          <cell r="B1165" t="str">
            <v>may</v>
          </cell>
          <cell r="D1165" t="str">
            <v>00-199</v>
          </cell>
          <cell r="F1165">
            <v>-40664.449999999997</v>
          </cell>
          <cell r="G1165" t="str">
            <v>c</v>
          </cell>
        </row>
        <row r="1166">
          <cell r="B1166" t="str">
            <v>may</v>
          </cell>
          <cell r="D1166" t="str">
            <v>00-202</v>
          </cell>
          <cell r="F1166">
            <v>-20012.669999999998</v>
          </cell>
          <cell r="G1166" t="str">
            <v>c</v>
          </cell>
        </row>
        <row r="1167">
          <cell r="B1167" t="str">
            <v>may</v>
          </cell>
          <cell r="D1167" t="str">
            <v>01-006</v>
          </cell>
          <cell r="F1167">
            <v>-5881.84</v>
          </cell>
          <cell r="G1167" t="str">
            <v>c</v>
          </cell>
        </row>
        <row r="1168">
          <cell r="B1168" t="str">
            <v>may</v>
          </cell>
          <cell r="D1168" t="str">
            <v>01-037</v>
          </cell>
          <cell r="F1168">
            <v>-4786.67</v>
          </cell>
          <cell r="G1168" t="str">
            <v>c</v>
          </cell>
        </row>
        <row r="1169">
          <cell r="B1169" t="str">
            <v>may</v>
          </cell>
          <cell r="D1169" t="str">
            <v>00-203</v>
          </cell>
          <cell r="F1169">
            <v>-11520.29</v>
          </cell>
          <cell r="G1169" t="str">
            <v>c</v>
          </cell>
        </row>
        <row r="1170">
          <cell r="B1170" t="str">
            <v>may</v>
          </cell>
          <cell r="D1170" t="str">
            <v>00-200</v>
          </cell>
          <cell r="F1170">
            <v>-42264.29</v>
          </cell>
          <cell r="G1170" t="str">
            <v>c</v>
          </cell>
        </row>
        <row r="1171">
          <cell r="B1171" t="str">
            <v>may</v>
          </cell>
          <cell r="D1171" t="str">
            <v>00-201</v>
          </cell>
          <cell r="F1171">
            <v>-51293.09</v>
          </cell>
          <cell r="G1171" t="str">
            <v>c</v>
          </cell>
        </row>
        <row r="1172">
          <cell r="B1172" t="str">
            <v>may</v>
          </cell>
          <cell r="D1172" t="str">
            <v>01-034</v>
          </cell>
          <cell r="F1172">
            <v>-60560.66</v>
          </cell>
          <cell r="G1172" t="str">
            <v>c</v>
          </cell>
        </row>
        <row r="1173">
          <cell r="B1173" t="str">
            <v>may</v>
          </cell>
          <cell r="D1173" t="str">
            <v>01-032</v>
          </cell>
          <cell r="F1173">
            <v>-420569.5</v>
          </cell>
          <cell r="G1173" t="str">
            <v>c</v>
          </cell>
        </row>
        <row r="1174">
          <cell r="B1174" t="str">
            <v>may</v>
          </cell>
          <cell r="D1174" t="str">
            <v>01-036</v>
          </cell>
          <cell r="F1174">
            <v>-147368.47</v>
          </cell>
          <cell r="G1174" t="str">
            <v>c</v>
          </cell>
        </row>
        <row r="1175">
          <cell r="B1175" t="str">
            <v>may</v>
          </cell>
          <cell r="D1175" t="str">
            <v>01-031</v>
          </cell>
          <cell r="F1175">
            <v>-160466.57999999999</v>
          </cell>
          <cell r="G1175" t="str">
            <v>c</v>
          </cell>
        </row>
        <row r="1176">
          <cell r="B1176" t="str">
            <v>may</v>
          </cell>
          <cell r="D1176" t="str">
            <v>01-038</v>
          </cell>
          <cell r="F1176">
            <v>-6953.68</v>
          </cell>
          <cell r="G1176" t="str">
            <v>c</v>
          </cell>
        </row>
        <row r="1177">
          <cell r="B1177" t="str">
            <v>may</v>
          </cell>
          <cell r="D1177" t="str">
            <v>01-024</v>
          </cell>
          <cell r="F1177">
            <v>-3877.2</v>
          </cell>
          <cell r="G1177" t="str">
            <v>c</v>
          </cell>
        </row>
        <row r="1178">
          <cell r="B1178" t="str">
            <v>may</v>
          </cell>
          <cell r="D1178" t="str">
            <v>01-010</v>
          </cell>
          <cell r="F1178">
            <v>-35949</v>
          </cell>
          <cell r="G1178" t="str">
            <v>c</v>
          </cell>
        </row>
        <row r="1179">
          <cell r="B1179" t="str">
            <v>may</v>
          </cell>
          <cell r="D1179" t="str">
            <v>00-219</v>
          </cell>
          <cell r="F1179">
            <v>-54483.26</v>
          </cell>
          <cell r="G1179" t="str">
            <v>c</v>
          </cell>
        </row>
        <row r="1180">
          <cell r="B1180" t="str">
            <v>may</v>
          </cell>
          <cell r="D1180" t="str">
            <v>00-220</v>
          </cell>
          <cell r="F1180">
            <v>-120533.23</v>
          </cell>
          <cell r="G1180" t="str">
            <v>c</v>
          </cell>
        </row>
        <row r="1181">
          <cell r="B1181" t="str">
            <v>may</v>
          </cell>
          <cell r="D1181" t="str">
            <v>01-309</v>
          </cell>
          <cell r="F1181">
            <v>5207.5</v>
          </cell>
          <cell r="G1181" t="str">
            <v>p</v>
          </cell>
        </row>
        <row r="1182">
          <cell r="B1182" t="str">
            <v>may</v>
          </cell>
          <cell r="D1182" t="str">
            <v>01-002</v>
          </cell>
          <cell r="F1182">
            <v>6397.22</v>
          </cell>
          <cell r="G1182" t="str">
            <v>p</v>
          </cell>
        </row>
        <row r="1183">
          <cell r="B1183" t="str">
            <v>may</v>
          </cell>
          <cell r="D1183" t="str">
            <v>01-056</v>
          </cell>
          <cell r="F1183">
            <v>-11135</v>
          </cell>
          <cell r="G1183" t="str">
            <v>c</v>
          </cell>
        </row>
        <row r="1184">
          <cell r="B1184" t="str">
            <v>may</v>
          </cell>
          <cell r="D1184" t="str">
            <v>01-058</v>
          </cell>
          <cell r="F1184">
            <v>-14892</v>
          </cell>
          <cell r="G1184" t="str">
            <v>c</v>
          </cell>
        </row>
        <row r="1185">
          <cell r="B1185" t="str">
            <v>may</v>
          </cell>
          <cell r="D1185" t="str">
            <v>01-064</v>
          </cell>
          <cell r="F1185">
            <v>-72500</v>
          </cell>
          <cell r="G1185" t="str">
            <v>c</v>
          </cell>
        </row>
        <row r="1186">
          <cell r="B1186" t="str">
            <v>may</v>
          </cell>
          <cell r="D1186" t="str">
            <v>01-061</v>
          </cell>
          <cell r="F1186">
            <v>-3833.6</v>
          </cell>
          <cell r="G1186" t="str">
            <v>c</v>
          </cell>
        </row>
        <row r="1187">
          <cell r="B1187" t="str">
            <v>may</v>
          </cell>
          <cell r="D1187" t="str">
            <v>01-086</v>
          </cell>
          <cell r="F1187">
            <v>-3342.6</v>
          </cell>
          <cell r="G1187" t="str">
            <v>c</v>
          </cell>
        </row>
        <row r="1188">
          <cell r="B1188" t="str">
            <v>may</v>
          </cell>
          <cell r="D1188" t="str">
            <v>01-054</v>
          </cell>
          <cell r="F1188">
            <v>-34460.639999999999</v>
          </cell>
          <cell r="G1188" t="str">
            <v>c</v>
          </cell>
        </row>
        <row r="1189">
          <cell r="B1189" t="str">
            <v>may</v>
          </cell>
          <cell r="D1189" t="str">
            <v>01-085</v>
          </cell>
          <cell r="F1189">
            <v>-24610.22</v>
          </cell>
          <cell r="G1189" t="str">
            <v>c</v>
          </cell>
        </row>
        <row r="1190">
          <cell r="B1190" t="str">
            <v>may</v>
          </cell>
          <cell r="D1190" t="str">
            <v>01-084</v>
          </cell>
          <cell r="F1190">
            <v>-8639.2000000000007</v>
          </cell>
          <cell r="G1190" t="str">
            <v>c</v>
          </cell>
        </row>
        <row r="1191">
          <cell r="B1191" t="str">
            <v>may</v>
          </cell>
          <cell r="D1191" t="str">
            <v>01-033</v>
          </cell>
          <cell r="F1191">
            <v>-271618.03999999998</v>
          </cell>
          <cell r="G1191" t="str">
            <v>c</v>
          </cell>
        </row>
        <row r="1192">
          <cell r="B1192" t="str">
            <v>may</v>
          </cell>
          <cell r="D1192" t="str">
            <v>01-035</v>
          </cell>
          <cell r="F1192">
            <v>-756073.75</v>
          </cell>
          <cell r="G1192" t="str">
            <v>c</v>
          </cell>
        </row>
        <row r="1193">
          <cell r="B1193" t="str">
            <v>may</v>
          </cell>
          <cell r="D1193" t="str">
            <v>99-166</v>
          </cell>
          <cell r="F1193">
            <v>-300000</v>
          </cell>
          <cell r="G1193" t="str">
            <v>c</v>
          </cell>
        </row>
        <row r="1194">
          <cell r="B1194" t="str">
            <v>may</v>
          </cell>
          <cell r="D1194" t="str">
            <v>99-166</v>
          </cell>
          <cell r="F1194">
            <v>-300000</v>
          </cell>
          <cell r="G1194" t="str">
            <v>c</v>
          </cell>
        </row>
        <row r="1195">
          <cell r="B1195" t="str">
            <v>may</v>
          </cell>
          <cell r="D1195" t="str">
            <v>99-325</v>
          </cell>
          <cell r="F1195">
            <v>-100000</v>
          </cell>
          <cell r="G1195" t="str">
            <v>c</v>
          </cell>
        </row>
        <row r="1196">
          <cell r="B1196" t="str">
            <v>may</v>
          </cell>
          <cell r="D1196" t="str">
            <v>99-325</v>
          </cell>
          <cell r="F1196">
            <v>-100000</v>
          </cell>
          <cell r="G1196" t="str">
            <v>c</v>
          </cell>
        </row>
        <row r="1197">
          <cell r="B1197" t="str">
            <v>may</v>
          </cell>
          <cell r="D1197" t="str">
            <v>99-325</v>
          </cell>
          <cell r="F1197">
            <v>-170000</v>
          </cell>
          <cell r="G1197" t="str">
            <v>c</v>
          </cell>
        </row>
        <row r="1198">
          <cell r="B1198" t="str">
            <v>may</v>
          </cell>
          <cell r="D1198" t="str">
            <v>99-325</v>
          </cell>
          <cell r="F1198">
            <v>-170000</v>
          </cell>
          <cell r="G1198" t="str">
            <v>c</v>
          </cell>
        </row>
        <row r="1199">
          <cell r="B1199" t="str">
            <v>may</v>
          </cell>
          <cell r="D1199" t="str">
            <v>99-344</v>
          </cell>
          <cell r="F1199">
            <v>-3000000</v>
          </cell>
          <cell r="G1199" t="str">
            <v>c</v>
          </cell>
        </row>
        <row r="1200">
          <cell r="B1200" t="str">
            <v>may</v>
          </cell>
          <cell r="D1200" t="str">
            <v>01-013</v>
          </cell>
          <cell r="F1200">
            <v>14419.91</v>
          </cell>
          <cell r="G1200" t="str">
            <v>p</v>
          </cell>
        </row>
        <row r="1201">
          <cell r="B1201" t="str">
            <v>may</v>
          </cell>
          <cell r="D1201" t="str">
            <v>00-180</v>
          </cell>
          <cell r="F1201">
            <v>-239437.07</v>
          </cell>
          <cell r="G1201" t="str">
            <v>c</v>
          </cell>
        </row>
        <row r="1202">
          <cell r="B1202" t="str">
            <v>may</v>
          </cell>
          <cell r="D1202" t="str">
            <v>00-222</v>
          </cell>
          <cell r="F1202">
            <v>-888067.79</v>
          </cell>
          <cell r="G1202" t="str">
            <v>c</v>
          </cell>
        </row>
        <row r="1203">
          <cell r="B1203" t="str">
            <v>may</v>
          </cell>
          <cell r="D1203" t="str">
            <v>00-143</v>
          </cell>
          <cell r="F1203">
            <v>30093.5</v>
          </cell>
          <cell r="G1203" t="str">
            <v>p</v>
          </cell>
        </row>
        <row r="1204">
          <cell r="B1204" t="str">
            <v>may</v>
          </cell>
          <cell r="D1204" t="str">
            <v>01-673</v>
          </cell>
          <cell r="F1204">
            <v>-3292</v>
          </cell>
          <cell r="G1204" t="str">
            <v>x</v>
          </cell>
        </row>
        <row r="1205">
          <cell r="B1205" t="str">
            <v>may</v>
          </cell>
          <cell r="D1205" t="str">
            <v>01-709</v>
          </cell>
          <cell r="F1205">
            <v>-3439</v>
          </cell>
          <cell r="G1205" t="str">
            <v>x</v>
          </cell>
        </row>
        <row r="1206">
          <cell r="B1206" t="str">
            <v>may</v>
          </cell>
          <cell r="D1206" t="str">
            <v>01-711</v>
          </cell>
          <cell r="F1206">
            <v>-3460</v>
          </cell>
          <cell r="G1206" t="str">
            <v>x</v>
          </cell>
        </row>
        <row r="1207">
          <cell r="B1207" t="str">
            <v>may</v>
          </cell>
          <cell r="D1207" t="str">
            <v>01-723</v>
          </cell>
          <cell r="F1207">
            <v>-3460</v>
          </cell>
          <cell r="G1207" t="str">
            <v>x</v>
          </cell>
        </row>
        <row r="1208">
          <cell r="B1208" t="str">
            <v>may</v>
          </cell>
          <cell r="D1208" t="str">
            <v>01-728</v>
          </cell>
          <cell r="F1208">
            <v>-1446</v>
          </cell>
          <cell r="G1208" t="str">
            <v>x</v>
          </cell>
        </row>
        <row r="1209">
          <cell r="B1209" t="str">
            <v>may</v>
          </cell>
          <cell r="D1209" t="str">
            <v>01-729</v>
          </cell>
          <cell r="F1209">
            <v>-3860</v>
          </cell>
          <cell r="G1209" t="str">
            <v>x</v>
          </cell>
        </row>
        <row r="1210">
          <cell r="B1210" t="str">
            <v>may</v>
          </cell>
          <cell r="D1210" t="str">
            <v>00-206</v>
          </cell>
          <cell r="F1210">
            <v>-42263.66</v>
          </cell>
          <cell r="G1210" t="str">
            <v>x</v>
          </cell>
        </row>
        <row r="1211">
          <cell r="B1211" t="str">
            <v>may</v>
          </cell>
          <cell r="D1211" t="str">
            <v>00-207</v>
          </cell>
          <cell r="F1211">
            <v>-47493.599999999999</v>
          </cell>
          <cell r="G1211" t="str">
            <v>x</v>
          </cell>
        </row>
        <row r="1212">
          <cell r="B1212" t="str">
            <v>may</v>
          </cell>
          <cell r="D1212" t="str">
            <v>01-400</v>
          </cell>
          <cell r="F1212">
            <v>-42264.29</v>
          </cell>
          <cell r="G1212" t="str">
            <v>x</v>
          </cell>
        </row>
        <row r="1213">
          <cell r="B1213" t="str">
            <v>may</v>
          </cell>
          <cell r="D1213" t="str">
            <v>01-401</v>
          </cell>
          <cell r="F1213">
            <v>-51293.09</v>
          </cell>
          <cell r="G1213" t="str">
            <v>x</v>
          </cell>
        </row>
        <row r="1214">
          <cell r="B1214" t="str">
            <v>may</v>
          </cell>
          <cell r="D1214" t="str">
            <v>99-166</v>
          </cell>
          <cell r="F1214">
            <v>203936.4</v>
          </cell>
          <cell r="G1214" t="str">
            <v>p</v>
          </cell>
        </row>
        <row r="1215">
          <cell r="B1215" t="str">
            <v>may</v>
          </cell>
          <cell r="D1215" t="str">
            <v>01-056</v>
          </cell>
          <cell r="F1215">
            <v>-4929.68</v>
          </cell>
          <cell r="G1215" t="str">
            <v>c</v>
          </cell>
        </row>
        <row r="1216">
          <cell r="B1216" t="str">
            <v>may</v>
          </cell>
          <cell r="D1216" t="str">
            <v>01-058</v>
          </cell>
          <cell r="F1216">
            <v>-82580.960000000006</v>
          </cell>
          <cell r="G1216" t="str">
            <v>c</v>
          </cell>
        </row>
        <row r="1217">
          <cell r="B1217" t="str">
            <v>may</v>
          </cell>
          <cell r="D1217" t="str">
            <v>01-053</v>
          </cell>
          <cell r="F1217">
            <v>-484803</v>
          </cell>
          <cell r="G1217" t="str">
            <v>p</v>
          </cell>
        </row>
        <row r="1218">
          <cell r="B1218" t="str">
            <v>may</v>
          </cell>
          <cell r="D1218" t="str">
            <v>01-027</v>
          </cell>
          <cell r="F1218">
            <v>-172.55</v>
          </cell>
          <cell r="G1218" t="str">
            <v>x</v>
          </cell>
        </row>
        <row r="1219">
          <cell r="B1219" t="str">
            <v>may</v>
          </cell>
          <cell r="D1219" t="str">
            <v>01-046</v>
          </cell>
          <cell r="F1219">
            <v>-5850.43</v>
          </cell>
          <cell r="G1219" t="str">
            <v>x</v>
          </cell>
        </row>
        <row r="1220">
          <cell r="B1220" t="str">
            <v>june</v>
          </cell>
          <cell r="D1220" t="str">
            <v>00-167</v>
          </cell>
          <cell r="F1220">
            <v>-444185.25</v>
          </cell>
          <cell r="G1220" t="str">
            <v>p</v>
          </cell>
        </row>
        <row r="1221">
          <cell r="B1221" t="str">
            <v>june</v>
          </cell>
          <cell r="D1221" t="str">
            <v>00-172</v>
          </cell>
          <cell r="F1221">
            <v>15199.03</v>
          </cell>
          <cell r="G1221" t="str">
            <v>p</v>
          </cell>
        </row>
        <row r="1222">
          <cell r="B1222" t="str">
            <v>june</v>
          </cell>
          <cell r="D1222" t="str">
            <v>00-216</v>
          </cell>
          <cell r="F1222">
            <v>2200</v>
          </cell>
          <cell r="G1222" t="str">
            <v>p</v>
          </cell>
        </row>
        <row r="1223">
          <cell r="B1223" t="str">
            <v>june</v>
          </cell>
          <cell r="D1223" t="str">
            <v>01-002</v>
          </cell>
          <cell r="F1223">
            <v>-4370</v>
          </cell>
          <cell r="G1223" t="str">
            <v>p</v>
          </cell>
        </row>
        <row r="1224">
          <cell r="B1224" t="str">
            <v>june</v>
          </cell>
          <cell r="D1224" t="str">
            <v>01-003</v>
          </cell>
          <cell r="F1224">
            <v>-51830.1</v>
          </cell>
          <cell r="G1224" t="str">
            <v>p</v>
          </cell>
        </row>
        <row r="1225">
          <cell r="B1225" t="str">
            <v>june</v>
          </cell>
          <cell r="D1225" t="str">
            <v>01-039</v>
          </cell>
          <cell r="F1225">
            <v>-50444.93</v>
          </cell>
          <cell r="G1225" t="str">
            <v>p</v>
          </cell>
        </row>
        <row r="1226">
          <cell r="B1226" t="str">
            <v>june</v>
          </cell>
          <cell r="D1226" t="str">
            <v>01-051</v>
          </cell>
          <cell r="F1226">
            <v>-22393.75</v>
          </cell>
          <cell r="G1226" t="str">
            <v>p</v>
          </cell>
        </row>
        <row r="1227">
          <cell r="B1227" t="str">
            <v>june</v>
          </cell>
          <cell r="D1227" t="str">
            <v>01-053</v>
          </cell>
          <cell r="F1227">
            <v>-203025</v>
          </cell>
          <cell r="G1227" t="str">
            <v>p</v>
          </cell>
        </row>
        <row r="1228">
          <cell r="B1228" t="str">
            <v>june</v>
          </cell>
          <cell r="D1228" t="str">
            <v>01-056</v>
          </cell>
          <cell r="F1228">
            <v>16.8</v>
          </cell>
          <cell r="G1228" t="str">
            <v>p</v>
          </cell>
        </row>
        <row r="1229">
          <cell r="B1229" t="str">
            <v>june</v>
          </cell>
          <cell r="D1229" t="str">
            <v>01-058</v>
          </cell>
          <cell r="F1229">
            <v>1191.3599999999999</v>
          </cell>
          <cell r="G1229" t="str">
            <v>p</v>
          </cell>
        </row>
        <row r="1230">
          <cell r="B1230" t="str">
            <v>june</v>
          </cell>
          <cell r="D1230" t="str">
            <v>01-068</v>
          </cell>
          <cell r="F1230">
            <v>-2857.68</v>
          </cell>
          <cell r="G1230" t="str">
            <v>p</v>
          </cell>
        </row>
        <row r="1231">
          <cell r="B1231" t="str">
            <v>june</v>
          </cell>
          <cell r="D1231" t="str">
            <v>01-069</v>
          </cell>
          <cell r="F1231">
            <v>-417500</v>
          </cell>
          <cell r="G1231" t="str">
            <v>p</v>
          </cell>
        </row>
        <row r="1232">
          <cell r="B1232" t="str">
            <v>june</v>
          </cell>
          <cell r="D1232" t="str">
            <v>01-072</v>
          </cell>
          <cell r="F1232">
            <v>-1263.81</v>
          </cell>
          <cell r="G1232" t="str">
            <v>p</v>
          </cell>
        </row>
        <row r="1233">
          <cell r="B1233" t="str">
            <v>june</v>
          </cell>
          <cell r="D1233" t="str">
            <v>01-081</v>
          </cell>
          <cell r="F1233">
            <v>-3215.16</v>
          </cell>
          <cell r="G1233" t="str">
            <v>p</v>
          </cell>
        </row>
        <row r="1234">
          <cell r="B1234" t="str">
            <v>june</v>
          </cell>
          <cell r="D1234" t="str">
            <v>01-082</v>
          </cell>
          <cell r="F1234">
            <v>0</v>
          </cell>
          <cell r="G1234" t="str">
            <v>p</v>
          </cell>
        </row>
        <row r="1235">
          <cell r="B1235" t="str">
            <v>june</v>
          </cell>
          <cell r="D1235" t="str">
            <v>01-102</v>
          </cell>
          <cell r="F1235">
            <v>108.01</v>
          </cell>
          <cell r="G1235" t="str">
            <v>p</v>
          </cell>
        </row>
        <row r="1236">
          <cell r="B1236" t="str">
            <v>june</v>
          </cell>
          <cell r="D1236" t="str">
            <v>01-107</v>
          </cell>
          <cell r="F1236">
            <v>-9666</v>
          </cell>
          <cell r="G1236" t="str">
            <v>p</v>
          </cell>
        </row>
        <row r="1237">
          <cell r="B1237" t="str">
            <v>june</v>
          </cell>
          <cell r="D1237" t="str">
            <v>01-112</v>
          </cell>
          <cell r="F1237">
            <v>20.68</v>
          </cell>
          <cell r="G1237" t="str">
            <v>p</v>
          </cell>
        </row>
        <row r="1238">
          <cell r="B1238" t="str">
            <v>june</v>
          </cell>
          <cell r="D1238" t="str">
            <v>01-115</v>
          </cell>
          <cell r="F1238">
            <v>3239.99</v>
          </cell>
          <cell r="G1238" t="str">
            <v>p</v>
          </cell>
        </row>
        <row r="1239">
          <cell r="B1239" t="str">
            <v>june</v>
          </cell>
          <cell r="D1239" t="str">
            <v>01-117</v>
          </cell>
          <cell r="F1239">
            <v>2798.12</v>
          </cell>
          <cell r="G1239" t="str">
            <v>p</v>
          </cell>
        </row>
        <row r="1240">
          <cell r="B1240" t="str">
            <v>june</v>
          </cell>
          <cell r="D1240" t="str">
            <v>01-119</v>
          </cell>
          <cell r="F1240">
            <v>5878.01</v>
          </cell>
          <cell r="G1240" t="str">
            <v>p</v>
          </cell>
        </row>
        <row r="1241">
          <cell r="B1241" t="str">
            <v>june</v>
          </cell>
          <cell r="D1241" t="str">
            <v>01-302</v>
          </cell>
          <cell r="F1241">
            <v>0</v>
          </cell>
          <cell r="G1241" t="str">
            <v>p</v>
          </cell>
        </row>
        <row r="1242">
          <cell r="B1242" t="str">
            <v>june</v>
          </cell>
          <cell r="D1242" t="str">
            <v>01-309</v>
          </cell>
          <cell r="F1242">
            <v>-5207.5</v>
          </cell>
          <cell r="G1242" t="str">
            <v>p</v>
          </cell>
        </row>
        <row r="1243">
          <cell r="B1243" t="str">
            <v>june</v>
          </cell>
          <cell r="D1243" t="str">
            <v>01-311</v>
          </cell>
          <cell r="F1243">
            <v>6273.29</v>
          </cell>
          <cell r="G1243" t="str">
            <v>p</v>
          </cell>
        </row>
        <row r="1244">
          <cell r="B1244" t="str">
            <v>june</v>
          </cell>
          <cell r="D1244" t="str">
            <v>00-900</v>
          </cell>
          <cell r="F1244">
            <v>92212.03</v>
          </cell>
          <cell r="G1244" t="str">
            <v>p</v>
          </cell>
        </row>
        <row r="1245">
          <cell r="B1245" t="str">
            <v>june</v>
          </cell>
          <cell r="D1245" t="str">
            <v>98-156</v>
          </cell>
          <cell r="F1245">
            <v>0</v>
          </cell>
          <cell r="G1245" t="str">
            <v>p</v>
          </cell>
        </row>
        <row r="1246">
          <cell r="B1246" t="str">
            <v>june</v>
          </cell>
          <cell r="D1246" t="str">
            <v>01-307</v>
          </cell>
          <cell r="F1246">
            <v>-34597.03</v>
          </cell>
          <cell r="G1246" t="str">
            <v>c</v>
          </cell>
        </row>
        <row r="1247">
          <cell r="B1247" t="str">
            <v>june</v>
          </cell>
          <cell r="D1247" t="str">
            <v>00-226</v>
          </cell>
          <cell r="F1247">
            <v>-34750.61</v>
          </cell>
          <cell r="G1247" t="str">
            <v>c</v>
          </cell>
        </row>
        <row r="1248">
          <cell r="B1248" t="str">
            <v>june</v>
          </cell>
          <cell r="D1248" t="str">
            <v>01-083</v>
          </cell>
          <cell r="F1248">
            <v>-32332.84</v>
          </cell>
          <cell r="G1248" t="str">
            <v>c</v>
          </cell>
        </row>
        <row r="1249">
          <cell r="B1249" t="str">
            <v>june</v>
          </cell>
          <cell r="D1249" t="str">
            <v>99-i344</v>
          </cell>
          <cell r="F1249">
            <v>-206858.69</v>
          </cell>
          <cell r="G1249" t="str">
            <v>c</v>
          </cell>
        </row>
        <row r="1250">
          <cell r="B1250" t="str">
            <v>june</v>
          </cell>
          <cell r="D1250" t="str">
            <v>01-095</v>
          </cell>
          <cell r="F1250">
            <v>-12960</v>
          </cell>
          <cell r="G1250" t="str">
            <v>c</v>
          </cell>
        </row>
        <row r="1251">
          <cell r="B1251" t="str">
            <v>june</v>
          </cell>
          <cell r="D1251" t="str">
            <v>00-167</v>
          </cell>
          <cell r="F1251">
            <v>-213650.16</v>
          </cell>
          <cell r="G1251" t="str">
            <v>p</v>
          </cell>
        </row>
        <row r="1252">
          <cell r="B1252" t="str">
            <v>june</v>
          </cell>
          <cell r="D1252" t="str">
            <v>00-172</v>
          </cell>
          <cell r="F1252">
            <v>-1125.8499999999999</v>
          </cell>
          <cell r="G1252" t="str">
            <v>p</v>
          </cell>
        </row>
        <row r="1253">
          <cell r="B1253" t="str">
            <v>june</v>
          </cell>
          <cell r="D1253" t="str">
            <v>00-213</v>
          </cell>
          <cell r="F1253">
            <v>0</v>
          </cell>
          <cell r="G1253" t="str">
            <v>p</v>
          </cell>
        </row>
        <row r="1254">
          <cell r="B1254" t="str">
            <v>june</v>
          </cell>
          <cell r="D1254" t="str">
            <v>00-222</v>
          </cell>
          <cell r="F1254">
            <v>2095.1999999999998</v>
          </cell>
          <cell r="G1254" t="str">
            <v>p</v>
          </cell>
        </row>
        <row r="1255">
          <cell r="B1255" t="str">
            <v>june</v>
          </cell>
          <cell r="D1255" t="str">
            <v>00-223</v>
          </cell>
          <cell r="F1255">
            <v>3506.68</v>
          </cell>
          <cell r="G1255" t="str">
            <v>p</v>
          </cell>
        </row>
        <row r="1256">
          <cell r="B1256" t="str">
            <v>june</v>
          </cell>
          <cell r="D1256" t="str">
            <v>00-801</v>
          </cell>
          <cell r="F1256">
            <v>4113.32</v>
          </cell>
          <cell r="G1256" t="str">
            <v>p</v>
          </cell>
        </row>
        <row r="1257">
          <cell r="B1257" t="str">
            <v>june</v>
          </cell>
          <cell r="D1257" t="str">
            <v>00-900</v>
          </cell>
          <cell r="F1257">
            <v>1101.5899999999999</v>
          </cell>
          <cell r="G1257" t="str">
            <v>p</v>
          </cell>
        </row>
        <row r="1258">
          <cell r="B1258" t="str">
            <v>june</v>
          </cell>
          <cell r="D1258" t="str">
            <v>01-002</v>
          </cell>
          <cell r="F1258">
            <v>3857.74</v>
          </cell>
          <cell r="G1258" t="str">
            <v>p</v>
          </cell>
        </row>
        <row r="1259">
          <cell r="B1259" t="str">
            <v>june</v>
          </cell>
          <cell r="D1259" t="str">
            <v>01-012</v>
          </cell>
          <cell r="F1259">
            <v>727.88</v>
          </cell>
          <cell r="G1259" t="str">
            <v>p</v>
          </cell>
        </row>
        <row r="1260">
          <cell r="B1260" t="str">
            <v>june</v>
          </cell>
          <cell r="D1260" t="str">
            <v>01-014</v>
          </cell>
          <cell r="F1260">
            <v>25176.959999999999</v>
          </cell>
          <cell r="G1260" t="str">
            <v>p</v>
          </cell>
        </row>
        <row r="1261">
          <cell r="B1261" t="str">
            <v>june</v>
          </cell>
          <cell r="D1261" t="str">
            <v>01-053</v>
          </cell>
          <cell r="F1261">
            <v>209915</v>
          </cell>
          <cell r="G1261" t="str">
            <v>p</v>
          </cell>
        </row>
        <row r="1262">
          <cell r="B1262" t="str">
            <v>june</v>
          </cell>
          <cell r="D1262" t="str">
            <v>01-054</v>
          </cell>
          <cell r="F1262">
            <v>36</v>
          </cell>
          <cell r="G1262" t="str">
            <v>p</v>
          </cell>
        </row>
        <row r="1263">
          <cell r="B1263" t="str">
            <v>june</v>
          </cell>
          <cell r="D1263" t="str">
            <v>01-064</v>
          </cell>
          <cell r="F1263">
            <v>78500</v>
          </cell>
          <cell r="G1263" t="str">
            <v>p</v>
          </cell>
        </row>
        <row r="1264">
          <cell r="B1264" t="str">
            <v>june</v>
          </cell>
          <cell r="D1264" t="str">
            <v>01-065</v>
          </cell>
          <cell r="F1264">
            <v>128667.93</v>
          </cell>
          <cell r="G1264" t="str">
            <v>p</v>
          </cell>
        </row>
        <row r="1265">
          <cell r="B1265" t="str">
            <v>june</v>
          </cell>
          <cell r="D1265" t="str">
            <v>01-069</v>
          </cell>
          <cell r="F1265">
            <v>417500</v>
          </cell>
          <cell r="G1265" t="str">
            <v>p</v>
          </cell>
        </row>
        <row r="1266">
          <cell r="B1266" t="str">
            <v>june</v>
          </cell>
          <cell r="D1266" t="str">
            <v>01-072</v>
          </cell>
          <cell r="F1266">
            <v>-103.18</v>
          </cell>
          <cell r="G1266" t="str">
            <v>p</v>
          </cell>
        </row>
        <row r="1267">
          <cell r="B1267" t="str">
            <v>june</v>
          </cell>
          <cell r="D1267" t="str">
            <v>01-080</v>
          </cell>
          <cell r="F1267">
            <v>240796.41</v>
          </cell>
          <cell r="G1267" t="str">
            <v>p</v>
          </cell>
        </row>
        <row r="1268">
          <cell r="B1268" t="str">
            <v>june</v>
          </cell>
          <cell r="D1268" t="str">
            <v>01-081</v>
          </cell>
          <cell r="F1268">
            <v>112228.19</v>
          </cell>
          <cell r="G1268" t="str">
            <v>p</v>
          </cell>
        </row>
        <row r="1269">
          <cell r="B1269" t="str">
            <v>june</v>
          </cell>
          <cell r="D1269" t="str">
            <v>01-090</v>
          </cell>
          <cell r="F1269">
            <v>267061.86</v>
          </cell>
          <cell r="G1269" t="str">
            <v>p</v>
          </cell>
        </row>
        <row r="1270">
          <cell r="B1270" t="str">
            <v>june</v>
          </cell>
          <cell r="D1270" t="str">
            <v>01-103</v>
          </cell>
          <cell r="F1270">
            <v>-15020.64</v>
          </cell>
          <cell r="G1270" t="str">
            <v>p</v>
          </cell>
        </row>
        <row r="1271">
          <cell r="B1271" t="str">
            <v>june</v>
          </cell>
          <cell r="D1271" t="str">
            <v>01-107</v>
          </cell>
          <cell r="F1271">
            <v>10278</v>
          </cell>
          <cell r="G1271" t="str">
            <v>p</v>
          </cell>
        </row>
        <row r="1272">
          <cell r="B1272" t="str">
            <v>june</v>
          </cell>
          <cell r="D1272" t="str">
            <v>01-115</v>
          </cell>
          <cell r="F1272">
            <v>17.28</v>
          </cell>
          <cell r="G1272" t="str">
            <v>p</v>
          </cell>
        </row>
        <row r="1273">
          <cell r="B1273" t="str">
            <v>june</v>
          </cell>
          <cell r="D1273" t="str">
            <v>01-118</v>
          </cell>
          <cell r="F1273">
            <v>9890.2199999999993</v>
          </cell>
          <cell r="G1273" t="str">
            <v>p</v>
          </cell>
        </row>
        <row r="1274">
          <cell r="B1274" t="str">
            <v>june</v>
          </cell>
          <cell r="D1274" t="str">
            <v>01-120</v>
          </cell>
          <cell r="F1274">
            <v>24939.37</v>
          </cell>
          <cell r="G1274" t="str">
            <v>p</v>
          </cell>
        </row>
        <row r="1275">
          <cell r="B1275" t="str">
            <v>june</v>
          </cell>
          <cell r="D1275" t="str">
            <v>01-121</v>
          </cell>
          <cell r="F1275">
            <v>24939.37</v>
          </cell>
          <cell r="G1275" t="str">
            <v>p</v>
          </cell>
        </row>
        <row r="1276">
          <cell r="B1276" t="str">
            <v>june</v>
          </cell>
          <cell r="D1276" t="str">
            <v>01-122</v>
          </cell>
          <cell r="F1276">
            <v>881.93</v>
          </cell>
          <cell r="G1276" t="str">
            <v>p</v>
          </cell>
        </row>
        <row r="1277">
          <cell r="B1277" t="str">
            <v>june</v>
          </cell>
          <cell r="D1277" t="str">
            <v>01-302</v>
          </cell>
          <cell r="F1277">
            <v>2427.83</v>
          </cell>
          <cell r="G1277" t="str">
            <v>p</v>
          </cell>
        </row>
        <row r="1278">
          <cell r="B1278" t="str">
            <v>june</v>
          </cell>
          <cell r="D1278" t="str">
            <v>01-311</v>
          </cell>
          <cell r="F1278">
            <v>4793.01</v>
          </cell>
          <cell r="G1278" t="str">
            <v>p</v>
          </cell>
        </row>
        <row r="1279">
          <cell r="B1279" t="str">
            <v>june</v>
          </cell>
          <cell r="D1279" t="str">
            <v>00-900</v>
          </cell>
          <cell r="F1279">
            <v>18.350000000000001</v>
          </cell>
          <cell r="G1279" t="str">
            <v>p</v>
          </cell>
        </row>
        <row r="1280">
          <cell r="B1280" t="str">
            <v>june</v>
          </cell>
          <cell r="D1280" t="str">
            <v>99-166</v>
          </cell>
          <cell r="F1280">
            <v>1155646.44</v>
          </cell>
          <cell r="G1280" t="str">
            <v>p</v>
          </cell>
        </row>
        <row r="1281">
          <cell r="B1281" t="str">
            <v>june</v>
          </cell>
          <cell r="D1281" t="str">
            <v>00-131</v>
          </cell>
          <cell r="F1281">
            <v>9557.64</v>
          </cell>
          <cell r="G1281" t="str">
            <v>p</v>
          </cell>
        </row>
        <row r="1282">
          <cell r="B1282" t="str">
            <v>june</v>
          </cell>
          <cell r="D1282" t="str">
            <v>00-172</v>
          </cell>
          <cell r="F1282">
            <v>646.91</v>
          </cell>
          <cell r="G1282" t="str">
            <v>p</v>
          </cell>
        </row>
        <row r="1283">
          <cell r="B1283" t="str">
            <v>june</v>
          </cell>
          <cell r="D1283" t="str">
            <v>00-230</v>
          </cell>
          <cell r="F1283">
            <v>4568.3999999999996</v>
          </cell>
          <cell r="G1283" t="str">
            <v>p</v>
          </cell>
        </row>
        <row r="1284">
          <cell r="B1284" t="str">
            <v>june</v>
          </cell>
          <cell r="D1284" t="str">
            <v>01-002</v>
          </cell>
          <cell r="F1284">
            <v>10715.84</v>
          </cell>
          <cell r="G1284" t="str">
            <v>p</v>
          </cell>
        </row>
        <row r="1285">
          <cell r="B1285" t="str">
            <v>june</v>
          </cell>
          <cell r="D1285" t="str">
            <v>01-012</v>
          </cell>
          <cell r="F1285">
            <v>0</v>
          </cell>
          <cell r="G1285" t="str">
            <v>p</v>
          </cell>
        </row>
        <row r="1286">
          <cell r="B1286" t="str">
            <v>june</v>
          </cell>
          <cell r="D1286" t="str">
            <v>01-039</v>
          </cell>
          <cell r="F1286">
            <v>50328.43</v>
          </cell>
          <cell r="G1286" t="str">
            <v>p</v>
          </cell>
        </row>
        <row r="1287">
          <cell r="B1287" t="str">
            <v>june</v>
          </cell>
          <cell r="D1287" t="str">
            <v>01-051</v>
          </cell>
          <cell r="F1287">
            <v>22393.75</v>
          </cell>
          <cell r="G1287" t="str">
            <v>p</v>
          </cell>
        </row>
        <row r="1288">
          <cell r="B1288" t="str">
            <v>june</v>
          </cell>
          <cell r="D1288" t="str">
            <v>01-053</v>
          </cell>
          <cell r="F1288">
            <v>154603.81</v>
          </cell>
          <cell r="G1288" t="str">
            <v>p</v>
          </cell>
        </row>
        <row r="1289">
          <cell r="B1289" t="str">
            <v>june</v>
          </cell>
          <cell r="D1289" t="str">
            <v>01-057</v>
          </cell>
          <cell r="F1289">
            <v>9400</v>
          </cell>
          <cell r="G1289" t="str">
            <v>p</v>
          </cell>
        </row>
        <row r="1290">
          <cell r="B1290" t="str">
            <v>june</v>
          </cell>
          <cell r="D1290" t="str">
            <v>01-072</v>
          </cell>
          <cell r="F1290">
            <v>2656.8</v>
          </cell>
          <cell r="G1290" t="str">
            <v>p</v>
          </cell>
        </row>
        <row r="1291">
          <cell r="B1291" t="str">
            <v>june</v>
          </cell>
          <cell r="D1291" t="str">
            <v>01-076</v>
          </cell>
          <cell r="F1291">
            <v>122.15</v>
          </cell>
          <cell r="G1291" t="str">
            <v>p</v>
          </cell>
        </row>
        <row r="1292">
          <cell r="B1292" t="str">
            <v>june</v>
          </cell>
          <cell r="D1292" t="str">
            <v>01-080</v>
          </cell>
          <cell r="F1292">
            <v>-14497.93</v>
          </cell>
          <cell r="G1292" t="str">
            <v>p</v>
          </cell>
        </row>
        <row r="1293">
          <cell r="B1293" t="str">
            <v>june</v>
          </cell>
          <cell r="D1293" t="str">
            <v>01-081</v>
          </cell>
          <cell r="F1293">
            <v>-8307.0300000000007</v>
          </cell>
          <cell r="G1293" t="str">
            <v>p</v>
          </cell>
        </row>
        <row r="1294">
          <cell r="B1294" t="str">
            <v>june</v>
          </cell>
          <cell r="D1294" t="str">
            <v>01-111</v>
          </cell>
          <cell r="F1294">
            <v>12746.27</v>
          </cell>
          <cell r="G1294" t="str">
            <v>p</v>
          </cell>
        </row>
        <row r="1295">
          <cell r="B1295" t="str">
            <v>june</v>
          </cell>
          <cell r="D1295" t="str">
            <v>01-118</v>
          </cell>
          <cell r="F1295">
            <v>48.64</v>
          </cell>
          <cell r="G1295" t="str">
            <v>p</v>
          </cell>
        </row>
        <row r="1296">
          <cell r="B1296" t="str">
            <v>june</v>
          </cell>
          <cell r="D1296" t="str">
            <v>01-119</v>
          </cell>
          <cell r="F1296">
            <v>48.61</v>
          </cell>
          <cell r="G1296" t="str">
            <v>p</v>
          </cell>
        </row>
        <row r="1297">
          <cell r="B1297" t="str">
            <v>june</v>
          </cell>
          <cell r="D1297" t="str">
            <v>01-120</v>
          </cell>
          <cell r="F1297">
            <v>59.44</v>
          </cell>
          <cell r="G1297" t="str">
            <v>p</v>
          </cell>
        </row>
        <row r="1298">
          <cell r="B1298" t="str">
            <v>june</v>
          </cell>
          <cell r="D1298" t="str">
            <v>01-121</v>
          </cell>
          <cell r="F1298">
            <v>59.44</v>
          </cell>
          <cell r="G1298" t="str">
            <v>p</v>
          </cell>
        </row>
        <row r="1299">
          <cell r="B1299" t="str">
            <v>june</v>
          </cell>
          <cell r="D1299" t="str">
            <v>01-122</v>
          </cell>
          <cell r="F1299">
            <v>18625.240000000002</v>
          </cell>
          <cell r="G1299" t="str">
            <v>p</v>
          </cell>
        </row>
        <row r="1300">
          <cell r="B1300" t="str">
            <v>june</v>
          </cell>
          <cell r="D1300" t="str">
            <v>01-302</v>
          </cell>
          <cell r="F1300">
            <v>825.92</v>
          </cell>
          <cell r="G1300" t="str">
            <v>p</v>
          </cell>
        </row>
        <row r="1301">
          <cell r="B1301" t="str">
            <v>june</v>
          </cell>
          <cell r="D1301" t="str">
            <v>01-308</v>
          </cell>
          <cell r="F1301">
            <v>58303.63</v>
          </cell>
          <cell r="G1301" t="str">
            <v>p</v>
          </cell>
        </row>
        <row r="1302">
          <cell r="B1302" t="str">
            <v>june</v>
          </cell>
          <cell r="D1302" t="str">
            <v>01-309</v>
          </cell>
          <cell r="F1302">
            <v>5207.5</v>
          </cell>
          <cell r="G1302" t="str">
            <v>p</v>
          </cell>
        </row>
        <row r="1303">
          <cell r="B1303" t="str">
            <v>june</v>
          </cell>
          <cell r="D1303" t="str">
            <v>01-311</v>
          </cell>
          <cell r="F1303">
            <v>2233.1</v>
          </cell>
          <cell r="G1303" t="str">
            <v>p</v>
          </cell>
        </row>
        <row r="1304">
          <cell r="B1304" t="str">
            <v>june</v>
          </cell>
          <cell r="D1304" t="str">
            <v>01-315</v>
          </cell>
          <cell r="F1304">
            <v>5389</v>
          </cell>
          <cell r="G1304" t="str">
            <v>p</v>
          </cell>
        </row>
        <row r="1305">
          <cell r="B1305" t="str">
            <v>june</v>
          </cell>
          <cell r="D1305" t="str">
            <v>00-900</v>
          </cell>
          <cell r="F1305">
            <v>1328.75</v>
          </cell>
          <cell r="G1305" t="str">
            <v>p</v>
          </cell>
        </row>
        <row r="1306">
          <cell r="B1306" t="str">
            <v>june</v>
          </cell>
          <cell r="D1306" t="str">
            <v>99-165</v>
          </cell>
          <cell r="F1306">
            <v>80</v>
          </cell>
          <cell r="G1306" t="str">
            <v>p</v>
          </cell>
        </row>
        <row r="1307">
          <cell r="B1307" t="str">
            <v>june</v>
          </cell>
          <cell r="D1307" t="str">
            <v>99-344</v>
          </cell>
          <cell r="F1307">
            <v>2159.1999999999998</v>
          </cell>
          <cell r="G1307" t="str">
            <v>p</v>
          </cell>
        </row>
        <row r="1308">
          <cell r="B1308" t="str">
            <v>june</v>
          </cell>
          <cell r="D1308" t="str">
            <v>01-739</v>
          </cell>
          <cell r="F1308">
            <v>3983</v>
          </cell>
          <cell r="G1308" t="str">
            <v>p</v>
          </cell>
        </row>
        <row r="1309">
          <cell r="B1309" t="str">
            <v>june</v>
          </cell>
          <cell r="D1309" t="str">
            <v>01-749</v>
          </cell>
          <cell r="F1309">
            <v>1446</v>
          </cell>
          <cell r="G1309" t="str">
            <v>p</v>
          </cell>
        </row>
        <row r="1310">
          <cell r="B1310" t="str">
            <v>june</v>
          </cell>
          <cell r="D1310" t="str">
            <v>01-752</v>
          </cell>
          <cell r="F1310">
            <v>1446</v>
          </cell>
          <cell r="G1310" t="str">
            <v>p</v>
          </cell>
        </row>
        <row r="1311">
          <cell r="B1311" t="str">
            <v>june</v>
          </cell>
          <cell r="D1311" t="str">
            <v>01-753</v>
          </cell>
          <cell r="F1311">
            <v>1446</v>
          </cell>
          <cell r="G1311" t="str">
            <v>p</v>
          </cell>
        </row>
        <row r="1312">
          <cell r="B1312" t="str">
            <v>june</v>
          </cell>
          <cell r="D1312" t="str">
            <v>00-900</v>
          </cell>
          <cell r="F1312">
            <v>-8321</v>
          </cell>
          <cell r="G1312" t="str">
            <v>p</v>
          </cell>
        </row>
        <row r="1313">
          <cell r="B1313" t="str">
            <v>june</v>
          </cell>
          <cell r="D1313" t="str">
            <v>01-642</v>
          </cell>
          <cell r="G1313" t="str">
            <v>p</v>
          </cell>
        </row>
        <row r="1314">
          <cell r="B1314" t="str">
            <v>june</v>
          </cell>
          <cell r="D1314" t="str">
            <v>01-724</v>
          </cell>
          <cell r="F1314">
            <v>3983</v>
          </cell>
          <cell r="G1314" t="str">
            <v>p</v>
          </cell>
        </row>
        <row r="1315">
          <cell r="B1315" t="str">
            <v>june</v>
          </cell>
          <cell r="D1315" t="str">
            <v>01-732</v>
          </cell>
          <cell r="F1315">
            <v>1130</v>
          </cell>
          <cell r="G1315" t="str">
            <v>p</v>
          </cell>
        </row>
        <row r="1316">
          <cell r="B1316" t="str">
            <v>june</v>
          </cell>
          <cell r="D1316" t="str">
            <v>01-738</v>
          </cell>
          <cell r="F1316">
            <v>3881</v>
          </cell>
          <cell r="G1316" t="str">
            <v>p</v>
          </cell>
        </row>
        <row r="1317">
          <cell r="B1317" t="str">
            <v>june</v>
          </cell>
          <cell r="D1317" t="str">
            <v>01-743</v>
          </cell>
          <cell r="F1317">
            <v>3717</v>
          </cell>
          <cell r="G1317" t="str">
            <v>p</v>
          </cell>
        </row>
        <row r="1318">
          <cell r="B1318" t="str">
            <v>june</v>
          </cell>
          <cell r="D1318" t="str">
            <v>01-744</v>
          </cell>
          <cell r="F1318">
            <v>2450</v>
          </cell>
          <cell r="G1318" t="str">
            <v>p</v>
          </cell>
        </row>
        <row r="1319">
          <cell r="B1319" t="str">
            <v>june</v>
          </cell>
          <cell r="D1319" t="str">
            <v>01-746</v>
          </cell>
          <cell r="F1319">
            <v>3717</v>
          </cell>
          <cell r="G1319" t="str">
            <v>p</v>
          </cell>
        </row>
        <row r="1320">
          <cell r="B1320" t="str">
            <v>june</v>
          </cell>
          <cell r="D1320" t="str">
            <v>01-751</v>
          </cell>
          <cell r="F1320">
            <v>3439</v>
          </cell>
          <cell r="G1320" t="str">
            <v>p</v>
          </cell>
        </row>
        <row r="1321">
          <cell r="B1321" t="str">
            <v>june</v>
          </cell>
          <cell r="D1321" t="str">
            <v>01-754</v>
          </cell>
          <cell r="F1321">
            <v>3994</v>
          </cell>
          <cell r="G1321" t="str">
            <v>p</v>
          </cell>
        </row>
        <row r="1322">
          <cell r="B1322" t="str">
            <v>june</v>
          </cell>
          <cell r="D1322" t="str">
            <v>01-755</v>
          </cell>
          <cell r="F1322">
            <v>1451</v>
          </cell>
          <cell r="G1322" t="str">
            <v>p</v>
          </cell>
        </row>
        <row r="1323">
          <cell r="B1323" t="str">
            <v>june</v>
          </cell>
          <cell r="D1323" t="str">
            <v>01-756</v>
          </cell>
          <cell r="F1323">
            <v>1446</v>
          </cell>
          <cell r="G1323" t="str">
            <v>p</v>
          </cell>
        </row>
        <row r="1324">
          <cell r="B1324" t="str">
            <v>june</v>
          </cell>
          <cell r="D1324" t="str">
            <v>01-757</v>
          </cell>
          <cell r="F1324">
            <v>3439</v>
          </cell>
          <cell r="G1324" t="str">
            <v>p</v>
          </cell>
        </row>
        <row r="1325">
          <cell r="B1325" t="str">
            <v>june</v>
          </cell>
          <cell r="D1325" t="str">
            <v>01-768</v>
          </cell>
          <cell r="F1325">
            <v>3439</v>
          </cell>
          <cell r="G1325" t="str">
            <v>p</v>
          </cell>
        </row>
        <row r="1326">
          <cell r="B1326" t="str">
            <v>june</v>
          </cell>
          <cell r="D1326" t="str">
            <v>01-771</v>
          </cell>
          <cell r="F1326">
            <v>2977</v>
          </cell>
          <cell r="G1326" t="str">
            <v>p</v>
          </cell>
        </row>
        <row r="1327">
          <cell r="B1327" t="str">
            <v>june</v>
          </cell>
          <cell r="D1327" t="str">
            <v>00-900</v>
          </cell>
          <cell r="F1327">
            <v>-39063</v>
          </cell>
          <cell r="G1327" t="str">
            <v>p</v>
          </cell>
        </row>
        <row r="1328">
          <cell r="B1328" t="str">
            <v>june</v>
          </cell>
          <cell r="D1328" t="str">
            <v>00-131</v>
          </cell>
          <cell r="F1328">
            <v>85.6</v>
          </cell>
          <cell r="G1328" t="str">
            <v>p</v>
          </cell>
        </row>
        <row r="1329">
          <cell r="B1329" t="str">
            <v>june</v>
          </cell>
          <cell r="D1329" t="str">
            <v>00-167</v>
          </cell>
          <cell r="F1329">
            <v>-6.32</v>
          </cell>
          <cell r="G1329" t="str">
            <v>p</v>
          </cell>
        </row>
        <row r="1330">
          <cell r="B1330" t="str">
            <v>june</v>
          </cell>
          <cell r="D1330" t="str">
            <v>00-230</v>
          </cell>
          <cell r="F1330">
            <v>6.13</v>
          </cell>
          <cell r="G1330" t="str">
            <v>p</v>
          </cell>
        </row>
        <row r="1331">
          <cell r="B1331" t="str">
            <v>june</v>
          </cell>
          <cell r="D1331" t="str">
            <v>01-002</v>
          </cell>
          <cell r="F1331">
            <v>5310.09</v>
          </cell>
          <cell r="G1331" t="str">
            <v>p</v>
          </cell>
        </row>
        <row r="1332">
          <cell r="B1332" t="str">
            <v>june</v>
          </cell>
          <cell r="D1332" t="str">
            <v>01-053</v>
          </cell>
          <cell r="F1332">
            <v>2028.76</v>
          </cell>
          <cell r="G1332" t="str">
            <v>p</v>
          </cell>
        </row>
        <row r="1333">
          <cell r="B1333" t="str">
            <v>june</v>
          </cell>
          <cell r="D1333" t="str">
            <v>01-068</v>
          </cell>
          <cell r="F1333">
            <v>2857.68</v>
          </cell>
          <cell r="G1333" t="str">
            <v>p</v>
          </cell>
        </row>
        <row r="1334">
          <cell r="B1334" t="str">
            <v>june</v>
          </cell>
          <cell r="D1334" t="str">
            <v>01-080</v>
          </cell>
          <cell r="F1334">
            <v>19401.21</v>
          </cell>
          <cell r="G1334" t="str">
            <v>p</v>
          </cell>
        </row>
        <row r="1335">
          <cell r="B1335" t="str">
            <v>june</v>
          </cell>
          <cell r="D1335" t="str">
            <v>01-096</v>
          </cell>
          <cell r="F1335">
            <v>14973.85</v>
          </cell>
          <cell r="G1335" t="str">
            <v>p</v>
          </cell>
        </row>
        <row r="1336">
          <cell r="B1336" t="str">
            <v>june</v>
          </cell>
          <cell r="D1336" t="str">
            <v>01-099</v>
          </cell>
          <cell r="F1336">
            <v>60423.48</v>
          </cell>
          <cell r="G1336" t="str">
            <v>p</v>
          </cell>
        </row>
        <row r="1337">
          <cell r="B1337" t="str">
            <v>june</v>
          </cell>
          <cell r="D1337" t="str">
            <v>01-111</v>
          </cell>
          <cell r="F1337">
            <v>13.33</v>
          </cell>
          <cell r="G1337" t="str">
            <v>p</v>
          </cell>
        </row>
        <row r="1338">
          <cell r="B1338" t="str">
            <v>june</v>
          </cell>
          <cell r="D1338" t="str">
            <v>01-300</v>
          </cell>
          <cell r="F1338">
            <v>1952904.49</v>
          </cell>
          <cell r="G1338" t="str">
            <v>p</v>
          </cell>
        </row>
        <row r="1339">
          <cell r="B1339" t="str">
            <v>june</v>
          </cell>
          <cell r="D1339" t="str">
            <v>01-311</v>
          </cell>
          <cell r="F1339">
            <v>1798.65</v>
          </cell>
          <cell r="G1339" t="str">
            <v>p</v>
          </cell>
        </row>
        <row r="1340">
          <cell r="B1340" t="str">
            <v>june</v>
          </cell>
          <cell r="D1340" t="str">
            <v>00-900</v>
          </cell>
          <cell r="F1340">
            <v>147698.68</v>
          </cell>
          <cell r="G1340" t="str">
            <v>p</v>
          </cell>
        </row>
        <row r="1341">
          <cell r="B1341" t="str">
            <v>june</v>
          </cell>
          <cell r="D1341" t="str">
            <v>01-744</v>
          </cell>
          <cell r="F1341">
            <v>-2450</v>
          </cell>
          <cell r="G1341" t="str">
            <v>x</v>
          </cell>
        </row>
        <row r="1342">
          <cell r="B1342" t="str">
            <v>june</v>
          </cell>
          <cell r="D1342" t="str">
            <v>01-746</v>
          </cell>
          <cell r="F1342">
            <v>-3717</v>
          </cell>
          <cell r="G1342" t="str">
            <v>x</v>
          </cell>
        </row>
        <row r="1343">
          <cell r="B1343" t="str">
            <v>june</v>
          </cell>
          <cell r="D1343" t="str">
            <v>01-052</v>
          </cell>
          <cell r="F1343">
            <v>-54132</v>
          </cell>
          <cell r="G1343" t="str">
            <v>x</v>
          </cell>
        </row>
        <row r="1344">
          <cell r="B1344" t="str">
            <v>june</v>
          </cell>
          <cell r="D1344" t="str">
            <v>01-724</v>
          </cell>
          <cell r="F1344">
            <v>-3983</v>
          </cell>
          <cell r="G1344" t="str">
            <v>c</v>
          </cell>
        </row>
        <row r="1345">
          <cell r="B1345" t="str">
            <v>june</v>
          </cell>
          <cell r="D1345" t="str">
            <v>01-732</v>
          </cell>
          <cell r="F1345">
            <v>-1130</v>
          </cell>
          <cell r="G1345" t="str">
            <v>c</v>
          </cell>
        </row>
        <row r="1346">
          <cell r="B1346" t="str">
            <v>june</v>
          </cell>
          <cell r="D1346" t="str">
            <v>01-738</v>
          </cell>
          <cell r="F1346">
            <v>-3881</v>
          </cell>
          <cell r="G1346" t="str">
            <v>c</v>
          </cell>
        </row>
        <row r="1347">
          <cell r="B1347" t="str">
            <v>june</v>
          </cell>
          <cell r="D1347" t="str">
            <v>01-743</v>
          </cell>
          <cell r="F1347">
            <v>-3717</v>
          </cell>
          <cell r="G1347" t="str">
            <v>c</v>
          </cell>
        </row>
        <row r="1348">
          <cell r="B1348" t="str">
            <v>june</v>
          </cell>
          <cell r="D1348" t="str">
            <v>01-751</v>
          </cell>
          <cell r="F1348">
            <v>-3439</v>
          </cell>
          <cell r="G1348" t="str">
            <v>c</v>
          </cell>
        </row>
        <row r="1349">
          <cell r="B1349" t="str">
            <v>june</v>
          </cell>
          <cell r="D1349" t="str">
            <v>01-754</v>
          </cell>
          <cell r="F1349">
            <v>-3994</v>
          </cell>
          <cell r="G1349" t="str">
            <v>c</v>
          </cell>
        </row>
        <row r="1350">
          <cell r="B1350" t="str">
            <v>june</v>
          </cell>
          <cell r="D1350" t="str">
            <v>01-755</v>
          </cell>
          <cell r="F1350">
            <v>-1451</v>
          </cell>
          <cell r="G1350" t="str">
            <v>c</v>
          </cell>
        </row>
        <row r="1351">
          <cell r="B1351" t="str">
            <v>june</v>
          </cell>
          <cell r="D1351" t="str">
            <v>01-756</v>
          </cell>
          <cell r="F1351">
            <v>-1446</v>
          </cell>
          <cell r="G1351" t="str">
            <v>c</v>
          </cell>
        </row>
        <row r="1352">
          <cell r="B1352" t="str">
            <v>june</v>
          </cell>
          <cell r="D1352" t="str">
            <v>01-757</v>
          </cell>
          <cell r="F1352">
            <v>-3439</v>
          </cell>
          <cell r="G1352" t="str">
            <v>c</v>
          </cell>
        </row>
        <row r="1353">
          <cell r="B1353" t="str">
            <v>june</v>
          </cell>
          <cell r="D1353" t="str">
            <v>01-768</v>
          </cell>
          <cell r="F1353">
            <v>-3439</v>
          </cell>
          <cell r="G1353" t="str">
            <v>c</v>
          </cell>
        </row>
        <row r="1354">
          <cell r="B1354" t="str">
            <v>june</v>
          </cell>
          <cell r="D1354" t="str">
            <v>01-771</v>
          </cell>
          <cell r="F1354">
            <v>-2977</v>
          </cell>
          <cell r="G1354" t="str">
            <v>c</v>
          </cell>
        </row>
        <row r="1355">
          <cell r="B1355" t="str">
            <v>june</v>
          </cell>
          <cell r="D1355" t="str">
            <v>01-739</v>
          </cell>
          <cell r="F1355">
            <v>-3983</v>
          </cell>
          <cell r="G1355" t="str">
            <v>c</v>
          </cell>
        </row>
        <row r="1356">
          <cell r="B1356" t="str">
            <v>june</v>
          </cell>
          <cell r="D1356" t="str">
            <v>01-749</v>
          </cell>
          <cell r="F1356">
            <v>-1446</v>
          </cell>
          <cell r="G1356" t="str">
            <v>c</v>
          </cell>
        </row>
        <row r="1357">
          <cell r="B1357" t="str">
            <v>june</v>
          </cell>
          <cell r="D1357" t="str">
            <v>01-752</v>
          </cell>
          <cell r="F1357">
            <v>-1446</v>
          </cell>
          <cell r="G1357" t="str">
            <v>c</v>
          </cell>
        </row>
        <row r="1358">
          <cell r="B1358" t="str">
            <v>june</v>
          </cell>
          <cell r="D1358" t="str">
            <v>01-753</v>
          </cell>
          <cell r="F1358">
            <v>-1446</v>
          </cell>
          <cell r="G1358" t="str">
            <v>c</v>
          </cell>
        </row>
        <row r="1359">
          <cell r="B1359" t="str">
            <v>june</v>
          </cell>
          <cell r="D1359" t="str">
            <v>01-055</v>
          </cell>
          <cell r="F1359">
            <v>-38880</v>
          </cell>
          <cell r="G1359" t="str">
            <v>c</v>
          </cell>
        </row>
        <row r="1360">
          <cell r="B1360" t="str">
            <v>june</v>
          </cell>
          <cell r="D1360" t="str">
            <v>00-193</v>
          </cell>
          <cell r="F1360">
            <v>-13247.4</v>
          </cell>
          <cell r="G1360" t="str">
            <v>c</v>
          </cell>
        </row>
        <row r="1361">
          <cell r="B1361" t="str">
            <v>june</v>
          </cell>
          <cell r="D1361" t="str">
            <v>01-073</v>
          </cell>
          <cell r="F1361">
            <v>-14883.92</v>
          </cell>
          <cell r="G1361" t="str">
            <v>c</v>
          </cell>
        </row>
        <row r="1362">
          <cell r="B1362" t="str">
            <v>june</v>
          </cell>
          <cell r="D1362" t="str">
            <v>00-157</v>
          </cell>
          <cell r="F1362">
            <v>-107624.52</v>
          </cell>
          <cell r="G1362" t="str">
            <v>c</v>
          </cell>
        </row>
        <row r="1363">
          <cell r="B1363" t="str">
            <v>june</v>
          </cell>
          <cell r="D1363" t="str">
            <v>00-158</v>
          </cell>
          <cell r="F1363">
            <v>-203889.63</v>
          </cell>
          <cell r="G1363" t="str">
            <v>c</v>
          </cell>
        </row>
        <row r="1364">
          <cell r="B1364" t="str">
            <v>june</v>
          </cell>
          <cell r="D1364" t="str">
            <v>99-166</v>
          </cell>
          <cell r="F1364">
            <v>-300000</v>
          </cell>
          <cell r="G1364" t="str">
            <v>c</v>
          </cell>
        </row>
        <row r="1365">
          <cell r="B1365" t="str">
            <v>june</v>
          </cell>
          <cell r="D1365" t="str">
            <v>99-325</v>
          </cell>
          <cell r="F1365">
            <v>-170000</v>
          </cell>
          <cell r="G1365" t="str">
            <v>c</v>
          </cell>
        </row>
        <row r="1366">
          <cell r="B1366" t="str">
            <v>june</v>
          </cell>
          <cell r="D1366" t="str">
            <v>99-325</v>
          </cell>
          <cell r="F1366">
            <v>-170000</v>
          </cell>
          <cell r="G1366" t="str">
            <v>c</v>
          </cell>
        </row>
        <row r="1367">
          <cell r="B1367" t="str">
            <v>june</v>
          </cell>
          <cell r="D1367" t="str">
            <v>01-074</v>
          </cell>
          <cell r="F1367">
            <v>-9753.83</v>
          </cell>
          <cell r="G1367" t="str">
            <v>c</v>
          </cell>
        </row>
        <row r="1368">
          <cell r="B1368" t="str">
            <v>june</v>
          </cell>
          <cell r="D1368" t="str">
            <v>01-028</v>
          </cell>
          <cell r="F1368">
            <v>-26460.28</v>
          </cell>
          <cell r="G1368" t="str">
            <v>c</v>
          </cell>
        </row>
        <row r="1369">
          <cell r="B1369" t="str">
            <v>june</v>
          </cell>
          <cell r="D1369" t="str">
            <v>01-077</v>
          </cell>
          <cell r="F1369">
            <v>-5190.62</v>
          </cell>
          <cell r="G1369" t="str">
            <v>c</v>
          </cell>
        </row>
        <row r="1370">
          <cell r="B1370" t="str">
            <v>june</v>
          </cell>
          <cell r="D1370" t="str">
            <v>01-066</v>
          </cell>
          <cell r="F1370">
            <v>-81290</v>
          </cell>
          <cell r="G1370" t="str">
            <v>c</v>
          </cell>
        </row>
        <row r="1371">
          <cell r="B1371" t="str">
            <v>june</v>
          </cell>
          <cell r="D1371" t="str">
            <v>01-063</v>
          </cell>
          <cell r="F1371">
            <v>-3985.89</v>
          </cell>
          <cell r="G1371" t="str">
            <v>c</v>
          </cell>
        </row>
        <row r="1372">
          <cell r="B1372" t="str">
            <v>june</v>
          </cell>
          <cell r="D1372" t="str">
            <v>01-082</v>
          </cell>
          <cell r="F1372">
            <v>-25183.759999999998</v>
          </cell>
          <cell r="G1372" t="str">
            <v>c</v>
          </cell>
        </row>
        <row r="1373">
          <cell r="B1373" t="str">
            <v>june</v>
          </cell>
          <cell r="D1373" t="str">
            <v>01-091</v>
          </cell>
          <cell r="F1373">
            <v>-44661.83</v>
          </cell>
          <cell r="G1373" t="str">
            <v>c</v>
          </cell>
        </row>
        <row r="1374">
          <cell r="B1374" t="str">
            <v>june</v>
          </cell>
          <cell r="D1374" t="str">
            <v>01-301</v>
          </cell>
          <cell r="F1374">
            <v>-20841.32</v>
          </cell>
          <cell r="G1374" t="str">
            <v>c</v>
          </cell>
        </row>
        <row r="1375">
          <cell r="B1375" t="str">
            <v>june</v>
          </cell>
          <cell r="D1375" t="str">
            <v>01-059</v>
          </cell>
          <cell r="F1375">
            <v>-7774.46</v>
          </cell>
          <cell r="G1375" t="str">
            <v>c</v>
          </cell>
        </row>
        <row r="1376">
          <cell r="B1376" t="str">
            <v>june</v>
          </cell>
          <cell r="D1376" t="str">
            <v>01-094</v>
          </cell>
          <cell r="F1376">
            <v>-99807.38</v>
          </cell>
          <cell r="G1376" t="str">
            <v>c</v>
          </cell>
        </row>
        <row r="1377">
          <cell r="B1377" t="str">
            <v>june</v>
          </cell>
          <cell r="D1377" t="str">
            <v>00-211</v>
          </cell>
          <cell r="F1377">
            <v>-50818.15</v>
          </cell>
          <cell r="G1377" t="str">
            <v>c</v>
          </cell>
        </row>
        <row r="1378">
          <cell r="B1378" t="str">
            <v>june</v>
          </cell>
          <cell r="D1378" t="str">
            <v>00-210</v>
          </cell>
          <cell r="F1378">
            <v>-41872.949999999997</v>
          </cell>
          <cell r="G1378" t="str">
            <v>c</v>
          </cell>
        </row>
        <row r="1379">
          <cell r="B1379" t="str">
            <v>june</v>
          </cell>
          <cell r="D1379" t="str">
            <v>01-003</v>
          </cell>
          <cell r="F1379">
            <v>4375</v>
          </cell>
          <cell r="G1379" t="str">
            <v>p</v>
          </cell>
        </row>
        <row r="1380">
          <cell r="B1380" t="str">
            <v>june</v>
          </cell>
          <cell r="D1380" t="str">
            <v>01-003</v>
          </cell>
          <cell r="F1380">
            <v>4375</v>
          </cell>
          <cell r="G1380" t="str">
            <v>p</v>
          </cell>
        </row>
        <row r="1381">
          <cell r="B1381" t="str">
            <v>june</v>
          </cell>
          <cell r="D1381" t="str">
            <v>01-003</v>
          </cell>
          <cell r="F1381">
            <v>4276.8</v>
          </cell>
          <cell r="G1381" t="str">
            <v>p</v>
          </cell>
        </row>
        <row r="1382">
          <cell r="B1382" t="str">
            <v>june</v>
          </cell>
          <cell r="D1382" t="str">
            <v>01-002</v>
          </cell>
          <cell r="F1382">
            <v>6679.02</v>
          </cell>
          <cell r="G1382" t="str">
            <v>p</v>
          </cell>
        </row>
        <row r="1383">
          <cell r="B1383" t="str">
            <v>june</v>
          </cell>
          <cell r="D1383" t="str">
            <v>01-002</v>
          </cell>
          <cell r="F1383">
            <v>5616</v>
          </cell>
          <cell r="G1383" t="str">
            <v>p</v>
          </cell>
        </row>
        <row r="1384">
          <cell r="B1384" t="str">
            <v>june</v>
          </cell>
          <cell r="D1384" t="str">
            <v>01-003</v>
          </cell>
          <cell r="F1384">
            <v>51830.1</v>
          </cell>
          <cell r="G1384" t="str">
            <v>p</v>
          </cell>
        </row>
        <row r="1385">
          <cell r="B1385" t="str">
            <v>june</v>
          </cell>
          <cell r="D1385" t="str">
            <v>01-003</v>
          </cell>
          <cell r="F1385">
            <v>22846.17</v>
          </cell>
          <cell r="G1385" t="str">
            <v>p</v>
          </cell>
        </row>
        <row r="1386">
          <cell r="B1386" t="str">
            <v>june</v>
          </cell>
          <cell r="D1386" t="str">
            <v>01-103</v>
          </cell>
          <cell r="F1386">
            <v>86825.04</v>
          </cell>
          <cell r="G1386" t="str">
            <v>p</v>
          </cell>
        </row>
        <row r="1387">
          <cell r="B1387" t="str">
            <v>june</v>
          </cell>
          <cell r="D1387" t="str">
            <v>01-071</v>
          </cell>
          <cell r="F1387">
            <v>700173.76</v>
          </cell>
          <cell r="G1387" t="str">
            <v>p</v>
          </cell>
        </row>
        <row r="1388">
          <cell r="B1388" t="str">
            <v>june</v>
          </cell>
          <cell r="D1388" t="str">
            <v>01-080</v>
          </cell>
          <cell r="F1388">
            <v>793.47</v>
          </cell>
          <cell r="G1388" t="str">
            <v>p</v>
          </cell>
        </row>
        <row r="1389">
          <cell r="B1389" t="str">
            <v>june</v>
          </cell>
          <cell r="D1389" t="str">
            <v>01-300</v>
          </cell>
          <cell r="F1389">
            <v>838896.47</v>
          </cell>
          <cell r="G1389" t="str">
            <v>p</v>
          </cell>
        </row>
        <row r="1390">
          <cell r="B1390" t="str">
            <v>june</v>
          </cell>
          <cell r="D1390" t="str">
            <v>01-099</v>
          </cell>
          <cell r="F1390">
            <v>47290</v>
          </cell>
          <cell r="G1390" t="str">
            <v>p</v>
          </cell>
        </row>
        <row r="1391">
          <cell r="B1391" t="str">
            <v>june</v>
          </cell>
          <cell r="D1391" t="str">
            <v>01-081</v>
          </cell>
          <cell r="F1391">
            <v>3780</v>
          </cell>
          <cell r="G1391" t="str">
            <v>p</v>
          </cell>
        </row>
        <row r="1392">
          <cell r="B1392" t="str">
            <v>june</v>
          </cell>
          <cell r="D1392" t="str">
            <v>00-168</v>
          </cell>
          <cell r="F1392">
            <v>-960.98</v>
          </cell>
          <cell r="G1392" t="str">
            <v>x</v>
          </cell>
        </row>
        <row r="1393">
          <cell r="B1393" t="str">
            <v>june</v>
          </cell>
          <cell r="D1393" t="str">
            <v>01-069</v>
          </cell>
          <cell r="F1393">
            <v>-417500</v>
          </cell>
          <cell r="G1393" t="str">
            <v>c</v>
          </cell>
        </row>
        <row r="1394">
          <cell r="B1394" t="str">
            <v>june</v>
          </cell>
          <cell r="D1394" t="str">
            <v>00-167</v>
          </cell>
          <cell r="F1394">
            <v>15371.35</v>
          </cell>
          <cell r="G1394" t="str">
            <v>p</v>
          </cell>
        </row>
        <row r="1395">
          <cell r="B1395" t="str">
            <v>june</v>
          </cell>
          <cell r="D1395" t="str">
            <v>00-222</v>
          </cell>
          <cell r="F1395">
            <v>-2095.1999999999998</v>
          </cell>
          <cell r="G1395" t="str">
            <v>c</v>
          </cell>
        </row>
        <row r="1396">
          <cell r="B1396" t="str">
            <v>june</v>
          </cell>
          <cell r="D1396" t="str">
            <v>00-216</v>
          </cell>
          <cell r="F1396">
            <v>-2200</v>
          </cell>
          <cell r="G1396" t="str">
            <v>x</v>
          </cell>
        </row>
        <row r="1397">
          <cell r="B1397" t="str">
            <v>july</v>
          </cell>
          <cell r="D1397" t="str">
            <v>01-002</v>
          </cell>
          <cell r="F1397">
            <v>-12345.4</v>
          </cell>
          <cell r="G1397" t="str">
            <v>p</v>
          </cell>
        </row>
        <row r="1398">
          <cell r="B1398" t="str">
            <v>july</v>
          </cell>
          <cell r="D1398" t="str">
            <v>01-003</v>
          </cell>
          <cell r="F1398">
            <v>-87703.07</v>
          </cell>
          <cell r="G1398" t="str">
            <v>p</v>
          </cell>
        </row>
        <row r="1399">
          <cell r="B1399" t="str">
            <v>july</v>
          </cell>
          <cell r="D1399" t="str">
            <v>01-053</v>
          </cell>
          <cell r="F1399">
            <v>2230.4699999999998</v>
          </cell>
          <cell r="G1399" t="str">
            <v>p</v>
          </cell>
        </row>
        <row r="1400">
          <cell r="B1400" t="str">
            <v>july</v>
          </cell>
          <cell r="D1400" t="str">
            <v>01-071</v>
          </cell>
          <cell r="F1400">
            <v>-700173.76</v>
          </cell>
          <cell r="G1400" t="str">
            <v>p</v>
          </cell>
        </row>
        <row r="1401">
          <cell r="B1401" t="str">
            <v>july</v>
          </cell>
          <cell r="D1401" t="str">
            <v>01-080</v>
          </cell>
          <cell r="F1401">
            <v>-1260.8</v>
          </cell>
          <cell r="G1401" t="str">
            <v>p</v>
          </cell>
        </row>
        <row r="1402">
          <cell r="B1402" t="str">
            <v>july</v>
          </cell>
          <cell r="D1402" t="str">
            <v>01-081</v>
          </cell>
          <cell r="F1402">
            <v>-3780</v>
          </cell>
          <cell r="G1402" t="str">
            <v>p</v>
          </cell>
        </row>
        <row r="1403">
          <cell r="B1403" t="str">
            <v>july</v>
          </cell>
          <cell r="D1403" t="str">
            <v>01-103</v>
          </cell>
          <cell r="F1403">
            <v>-86825.04</v>
          </cell>
          <cell r="G1403" t="str">
            <v>p</v>
          </cell>
        </row>
        <row r="1404">
          <cell r="B1404" t="str">
            <v>july</v>
          </cell>
          <cell r="D1404" t="str">
            <v>01-131</v>
          </cell>
          <cell r="F1404">
            <v>4446.8999999999996</v>
          </cell>
          <cell r="G1404" t="str">
            <v>p</v>
          </cell>
        </row>
        <row r="1405">
          <cell r="B1405" t="str">
            <v>july</v>
          </cell>
          <cell r="D1405" t="str">
            <v>01-132</v>
          </cell>
          <cell r="F1405">
            <v>3342.32</v>
          </cell>
          <cell r="G1405" t="str">
            <v>p</v>
          </cell>
        </row>
        <row r="1406">
          <cell r="B1406" t="str">
            <v>july</v>
          </cell>
          <cell r="D1406" t="str">
            <v>01-311</v>
          </cell>
          <cell r="F1406">
            <v>15.99</v>
          </cell>
          <cell r="G1406" t="str">
            <v>p</v>
          </cell>
        </row>
        <row r="1407">
          <cell r="B1407" t="str">
            <v>july</v>
          </cell>
          <cell r="D1407" t="str">
            <v>00-900</v>
          </cell>
          <cell r="F1407">
            <v>4113.32</v>
          </cell>
          <cell r="G1407" t="str">
            <v>p</v>
          </cell>
        </row>
        <row r="1408">
          <cell r="B1408" t="str">
            <v>july</v>
          </cell>
          <cell r="D1408" t="str">
            <v>00-801</v>
          </cell>
          <cell r="F1408">
            <v>-4113.32</v>
          </cell>
          <cell r="G1408" t="str">
            <v>p</v>
          </cell>
        </row>
        <row r="1409">
          <cell r="B1409" t="str">
            <v>july</v>
          </cell>
          <cell r="D1409" t="str">
            <v>00-131</v>
          </cell>
          <cell r="F1409">
            <v>-5.6</v>
          </cell>
          <cell r="G1409" t="str">
            <v>p</v>
          </cell>
        </row>
        <row r="1410">
          <cell r="B1410" t="str">
            <v>july</v>
          </cell>
          <cell r="D1410" t="str">
            <v>00-179</v>
          </cell>
          <cell r="F1410">
            <v>973</v>
          </cell>
          <cell r="G1410" t="str">
            <v>p</v>
          </cell>
        </row>
        <row r="1411">
          <cell r="B1411" t="str">
            <v>july</v>
          </cell>
          <cell r="D1411" t="str">
            <v>01-002</v>
          </cell>
          <cell r="F1411">
            <v>2281.35</v>
          </cell>
          <cell r="G1411" t="str">
            <v>p</v>
          </cell>
        </row>
        <row r="1412">
          <cell r="B1412" t="str">
            <v>july</v>
          </cell>
          <cell r="D1412" t="str">
            <v>01-003</v>
          </cell>
          <cell r="F1412">
            <v>8750</v>
          </cell>
          <cell r="G1412" t="str">
            <v>p</v>
          </cell>
        </row>
        <row r="1413">
          <cell r="B1413" t="str">
            <v>july</v>
          </cell>
          <cell r="D1413" t="str">
            <v>01-022</v>
          </cell>
          <cell r="F1413">
            <v>4132.9399999999996</v>
          </cell>
          <cell r="G1413" t="str">
            <v>p</v>
          </cell>
        </row>
        <row r="1414">
          <cell r="B1414" t="str">
            <v>july</v>
          </cell>
          <cell r="D1414" t="str">
            <v>01-053</v>
          </cell>
          <cell r="F1414">
            <v>134060.24</v>
          </cell>
          <cell r="G1414" t="str">
            <v>p</v>
          </cell>
        </row>
        <row r="1415">
          <cell r="B1415" t="str">
            <v>july</v>
          </cell>
          <cell r="D1415" t="str">
            <v>01-104</v>
          </cell>
          <cell r="F1415">
            <v>6804</v>
          </cell>
          <cell r="G1415" t="str">
            <v>p</v>
          </cell>
        </row>
        <row r="1416">
          <cell r="B1416" t="str">
            <v>july</v>
          </cell>
          <cell r="D1416" t="str">
            <v>01-131</v>
          </cell>
          <cell r="F1416">
            <v>15</v>
          </cell>
          <cell r="G1416" t="str">
            <v>p</v>
          </cell>
        </row>
        <row r="1417">
          <cell r="B1417" t="str">
            <v>july</v>
          </cell>
          <cell r="D1417" t="str">
            <v>01-133</v>
          </cell>
          <cell r="F1417">
            <v>2849.04</v>
          </cell>
          <cell r="G1417" t="str">
            <v>p</v>
          </cell>
        </row>
        <row r="1418">
          <cell r="B1418" t="str">
            <v>july</v>
          </cell>
          <cell r="D1418" t="str">
            <v>01-135</v>
          </cell>
          <cell r="F1418">
            <v>359704.7</v>
          </cell>
          <cell r="G1418" t="str">
            <v>p</v>
          </cell>
        </row>
        <row r="1419">
          <cell r="B1419" t="str">
            <v>july</v>
          </cell>
          <cell r="D1419" t="str">
            <v>01-135</v>
          </cell>
          <cell r="F1419">
            <v>-4634.6899999999996</v>
          </cell>
          <cell r="G1419" t="str">
            <v>p</v>
          </cell>
        </row>
        <row r="1420">
          <cell r="B1420" t="str">
            <v>july</v>
          </cell>
          <cell r="D1420" t="str">
            <v>01-311</v>
          </cell>
          <cell r="F1420">
            <v>11193.12</v>
          </cell>
          <cell r="G1420" t="str">
            <v>p</v>
          </cell>
        </row>
        <row r="1421">
          <cell r="B1421" t="str">
            <v>july</v>
          </cell>
          <cell r="D1421" t="str">
            <v>01-748</v>
          </cell>
          <cell r="F1421">
            <v>4281.2</v>
          </cell>
          <cell r="G1421" t="str">
            <v>p</v>
          </cell>
        </row>
        <row r="1422">
          <cell r="B1422" t="str">
            <v>july</v>
          </cell>
          <cell r="D1422" t="str">
            <v>00-900</v>
          </cell>
          <cell r="F1422">
            <v>1252.96</v>
          </cell>
          <cell r="G1422" t="str">
            <v>p</v>
          </cell>
        </row>
        <row r="1423">
          <cell r="B1423" t="str">
            <v>july</v>
          </cell>
          <cell r="D1423" t="str">
            <v>01-002</v>
          </cell>
          <cell r="F1423">
            <v>338.45</v>
          </cell>
          <cell r="G1423" t="str">
            <v>p</v>
          </cell>
        </row>
        <row r="1424">
          <cell r="B1424" t="str">
            <v>july</v>
          </cell>
          <cell r="D1424" t="str">
            <v>01-012</v>
          </cell>
          <cell r="F1424">
            <v>231.66</v>
          </cell>
          <cell r="G1424" t="str">
            <v>p</v>
          </cell>
        </row>
        <row r="1425">
          <cell r="B1425" t="str">
            <v>july</v>
          </cell>
          <cell r="D1425" t="str">
            <v>01-051</v>
          </cell>
          <cell r="F1425">
            <v>62205.57</v>
          </cell>
          <cell r="G1425" t="str">
            <v>p</v>
          </cell>
        </row>
        <row r="1426">
          <cell r="B1426" t="str">
            <v>july</v>
          </cell>
          <cell r="D1426" t="str">
            <v>01-053</v>
          </cell>
          <cell r="F1426">
            <v>49808.44</v>
          </cell>
          <cell r="G1426" t="str">
            <v>p</v>
          </cell>
        </row>
        <row r="1427">
          <cell r="B1427" t="str">
            <v>july</v>
          </cell>
          <cell r="D1427" t="str">
            <v>01-072</v>
          </cell>
          <cell r="F1427">
            <v>8629.2000000000007</v>
          </cell>
          <cell r="G1427" t="str">
            <v>p</v>
          </cell>
        </row>
        <row r="1428">
          <cell r="B1428" t="str">
            <v>july</v>
          </cell>
          <cell r="D1428" t="str">
            <v>01-132</v>
          </cell>
          <cell r="F1428">
            <v>38.78</v>
          </cell>
          <cell r="G1428" t="str">
            <v>p</v>
          </cell>
        </row>
        <row r="1429">
          <cell r="B1429" t="str">
            <v>july</v>
          </cell>
          <cell r="D1429" t="str">
            <v>01-133</v>
          </cell>
          <cell r="F1429">
            <v>23.43</v>
          </cell>
          <cell r="G1429" t="str">
            <v>p</v>
          </cell>
        </row>
        <row r="1430">
          <cell r="B1430" t="str">
            <v>july</v>
          </cell>
          <cell r="D1430" t="str">
            <v>01-304</v>
          </cell>
          <cell r="F1430">
            <v>56554.85</v>
          </cell>
          <cell r="G1430" t="str">
            <v>p</v>
          </cell>
        </row>
        <row r="1431">
          <cell r="B1431" t="str">
            <v>july</v>
          </cell>
          <cell r="D1431" t="str">
            <v>01-308</v>
          </cell>
          <cell r="F1431">
            <v>125</v>
          </cell>
          <cell r="G1431" t="str">
            <v>p</v>
          </cell>
        </row>
        <row r="1432">
          <cell r="B1432" t="str">
            <v>july</v>
          </cell>
          <cell r="D1432" t="str">
            <v>01-311</v>
          </cell>
          <cell r="F1432">
            <v>37.43</v>
          </cell>
          <cell r="G1432" t="str">
            <v>p</v>
          </cell>
        </row>
        <row r="1433">
          <cell r="B1433" t="str">
            <v>july</v>
          </cell>
          <cell r="D1433" t="str">
            <v>00-900</v>
          </cell>
          <cell r="F1433">
            <v>1663.21</v>
          </cell>
          <cell r="G1433" t="str">
            <v>p</v>
          </cell>
        </row>
        <row r="1434">
          <cell r="B1434" t="str">
            <v>July</v>
          </cell>
          <cell r="D1434" t="str">
            <v>99-166</v>
          </cell>
          <cell r="F1434">
            <v>-1876963.44</v>
          </cell>
          <cell r="G1434" t="str">
            <v>p</v>
          </cell>
        </row>
        <row r="1435">
          <cell r="B1435" t="str">
            <v>july</v>
          </cell>
          <cell r="D1435" t="str">
            <v>01-300</v>
          </cell>
          <cell r="F1435">
            <v>1876963.44</v>
          </cell>
          <cell r="G1435" t="str">
            <v>p</v>
          </cell>
        </row>
        <row r="1436">
          <cell r="B1436" t="str">
            <v>july</v>
          </cell>
          <cell r="D1436" t="str">
            <v>01-769</v>
          </cell>
          <cell r="F1436">
            <v>2977</v>
          </cell>
          <cell r="G1436" t="str">
            <v>p</v>
          </cell>
        </row>
        <row r="1437">
          <cell r="B1437" t="str">
            <v>july</v>
          </cell>
          <cell r="D1437" t="str">
            <v>01-772</v>
          </cell>
          <cell r="F1437">
            <v>3717</v>
          </cell>
          <cell r="G1437" t="str">
            <v>p</v>
          </cell>
        </row>
        <row r="1438">
          <cell r="B1438" t="str">
            <v>july</v>
          </cell>
          <cell r="D1438" t="str">
            <v>01-774</v>
          </cell>
          <cell r="F1438">
            <v>1446</v>
          </cell>
          <cell r="G1438" t="str">
            <v>p</v>
          </cell>
        </row>
        <row r="1439">
          <cell r="B1439" t="str">
            <v>july</v>
          </cell>
          <cell r="D1439" t="str">
            <v>01-775</v>
          </cell>
          <cell r="F1439">
            <v>1446</v>
          </cell>
          <cell r="G1439" t="str">
            <v>p</v>
          </cell>
        </row>
        <row r="1440">
          <cell r="B1440" t="str">
            <v>july</v>
          </cell>
          <cell r="D1440" t="str">
            <v>01-777</v>
          </cell>
          <cell r="F1440">
            <v>2977</v>
          </cell>
          <cell r="G1440" t="str">
            <v>p</v>
          </cell>
        </row>
        <row r="1441">
          <cell r="B1441" t="str">
            <v>july</v>
          </cell>
          <cell r="D1441" t="str">
            <v>01-778</v>
          </cell>
          <cell r="F1441">
            <v>2977</v>
          </cell>
          <cell r="G1441" t="str">
            <v>p</v>
          </cell>
        </row>
        <row r="1442">
          <cell r="B1442" t="str">
            <v>july</v>
          </cell>
          <cell r="D1442" t="str">
            <v>01-779</v>
          </cell>
          <cell r="F1442">
            <v>1446</v>
          </cell>
          <cell r="G1442" t="str">
            <v>p</v>
          </cell>
        </row>
        <row r="1443">
          <cell r="B1443" t="str">
            <v>july</v>
          </cell>
          <cell r="D1443" t="str">
            <v>01-780</v>
          </cell>
          <cell r="F1443">
            <v>3439</v>
          </cell>
          <cell r="G1443" t="str">
            <v>p</v>
          </cell>
        </row>
        <row r="1444">
          <cell r="B1444" t="str">
            <v>july</v>
          </cell>
          <cell r="D1444" t="str">
            <v>01-782</v>
          </cell>
          <cell r="F1444">
            <v>1130</v>
          </cell>
          <cell r="G1444" t="str">
            <v>p</v>
          </cell>
        </row>
        <row r="1445">
          <cell r="B1445" t="str">
            <v>july</v>
          </cell>
          <cell r="D1445" t="str">
            <v>01-783</v>
          </cell>
          <cell r="F1445">
            <v>3662</v>
          </cell>
          <cell r="G1445" t="str">
            <v>p</v>
          </cell>
        </row>
        <row r="1446">
          <cell r="B1446" t="str">
            <v>july</v>
          </cell>
          <cell r="D1446" t="str">
            <v>01-784</v>
          </cell>
          <cell r="F1446">
            <v>3439</v>
          </cell>
          <cell r="G1446" t="str">
            <v>p</v>
          </cell>
        </row>
        <row r="1447">
          <cell r="B1447" t="str">
            <v>july</v>
          </cell>
          <cell r="D1447" t="str">
            <v>01-785</v>
          </cell>
          <cell r="F1447">
            <v>3439</v>
          </cell>
          <cell r="G1447" t="str">
            <v>p</v>
          </cell>
        </row>
        <row r="1448">
          <cell r="B1448" t="str">
            <v>july</v>
          </cell>
          <cell r="D1448" t="str">
            <v>01-786</v>
          </cell>
          <cell r="F1448">
            <v>3662</v>
          </cell>
          <cell r="G1448" t="str">
            <v>p</v>
          </cell>
        </row>
        <row r="1449">
          <cell r="B1449" t="str">
            <v>july</v>
          </cell>
          <cell r="D1449" t="str">
            <v>01-789</v>
          </cell>
          <cell r="F1449">
            <v>1130</v>
          </cell>
          <cell r="G1449" t="str">
            <v>p</v>
          </cell>
        </row>
        <row r="1450">
          <cell r="B1450" t="str">
            <v>july</v>
          </cell>
          <cell r="D1450" t="str">
            <v>01-790</v>
          </cell>
          <cell r="F1450">
            <v>1130</v>
          </cell>
          <cell r="G1450" t="str">
            <v>p</v>
          </cell>
        </row>
        <row r="1451">
          <cell r="B1451" t="str">
            <v>july</v>
          </cell>
          <cell r="D1451" t="str">
            <v>01-794</v>
          </cell>
          <cell r="F1451">
            <v>3662</v>
          </cell>
          <cell r="G1451" t="str">
            <v>p</v>
          </cell>
        </row>
        <row r="1452">
          <cell r="B1452" t="str">
            <v>july</v>
          </cell>
          <cell r="D1452" t="str">
            <v>00-222</v>
          </cell>
          <cell r="F1452">
            <v>7877.43</v>
          </cell>
          <cell r="G1452" t="str">
            <v>p</v>
          </cell>
        </row>
        <row r="1453">
          <cell r="B1453" t="str">
            <v>july</v>
          </cell>
          <cell r="D1453" t="str">
            <v>00-900</v>
          </cell>
          <cell r="F1453">
            <v>-145.80000000000001</v>
          </cell>
          <cell r="G1453" t="str">
            <v>p</v>
          </cell>
        </row>
        <row r="1454">
          <cell r="B1454" t="str">
            <v>july</v>
          </cell>
          <cell r="D1454" t="str">
            <v>01-002</v>
          </cell>
          <cell r="F1454">
            <v>14301.32</v>
          </cell>
          <cell r="G1454" t="str">
            <v>p</v>
          </cell>
        </row>
        <row r="1455">
          <cell r="B1455" t="str">
            <v>july</v>
          </cell>
          <cell r="D1455" t="str">
            <v>01-003</v>
          </cell>
          <cell r="F1455">
            <v>70739.61</v>
          </cell>
          <cell r="G1455" t="str">
            <v>p</v>
          </cell>
        </row>
        <row r="1456">
          <cell r="B1456" t="str">
            <v>july</v>
          </cell>
          <cell r="D1456" t="str">
            <v>01-053</v>
          </cell>
          <cell r="F1456">
            <v>136722.10999999999</v>
          </cell>
          <cell r="G1456" t="str">
            <v>p</v>
          </cell>
        </row>
        <row r="1457">
          <cell r="B1457" t="str">
            <v>july</v>
          </cell>
          <cell r="D1457" t="str">
            <v>01-072</v>
          </cell>
          <cell r="F1457">
            <v>15</v>
          </cell>
          <cell r="G1457" t="str">
            <v>p</v>
          </cell>
        </row>
        <row r="1458">
          <cell r="B1458" t="str">
            <v>july</v>
          </cell>
          <cell r="D1458" t="str">
            <v>01-080</v>
          </cell>
          <cell r="F1458">
            <v>68280.38</v>
          </cell>
          <cell r="G1458" t="str">
            <v>p</v>
          </cell>
        </row>
        <row r="1459">
          <cell r="B1459" t="str">
            <v>july</v>
          </cell>
          <cell r="D1459" t="str">
            <v>01-081</v>
          </cell>
          <cell r="F1459">
            <v>29285.65</v>
          </cell>
          <cell r="G1459" t="str">
            <v>p</v>
          </cell>
        </row>
        <row r="1460">
          <cell r="B1460" t="str">
            <v>july</v>
          </cell>
          <cell r="D1460" t="str">
            <v>01-110</v>
          </cell>
          <cell r="F1460">
            <v>1202.58</v>
          </cell>
          <cell r="G1460" t="str">
            <v>p</v>
          </cell>
        </row>
        <row r="1461">
          <cell r="B1461" t="str">
            <v>july</v>
          </cell>
          <cell r="D1461" t="str">
            <v>01-127</v>
          </cell>
          <cell r="F1461">
            <v>10983.6</v>
          </cell>
          <cell r="G1461" t="str">
            <v>p</v>
          </cell>
        </row>
        <row r="1462">
          <cell r="B1462" t="str">
            <v>july</v>
          </cell>
          <cell r="D1462" t="str">
            <v>01-128</v>
          </cell>
          <cell r="F1462">
            <v>6366.6</v>
          </cell>
          <cell r="G1462" t="str">
            <v>p</v>
          </cell>
        </row>
        <row r="1463">
          <cell r="B1463" t="str">
            <v>july</v>
          </cell>
          <cell r="D1463" t="str">
            <v>01-300</v>
          </cell>
          <cell r="F1463">
            <v>4276.8</v>
          </cell>
          <cell r="G1463" t="str">
            <v>p</v>
          </cell>
        </row>
        <row r="1464">
          <cell r="B1464" t="str">
            <v>july</v>
          </cell>
          <cell r="D1464" t="str">
            <v>01-308</v>
          </cell>
          <cell r="F1464">
            <v>34921.760000000002</v>
          </cell>
          <cell r="G1464" t="str">
            <v>p</v>
          </cell>
        </row>
        <row r="1465">
          <cell r="B1465" t="str">
            <v>july</v>
          </cell>
          <cell r="D1465" t="str">
            <v>01-311</v>
          </cell>
          <cell r="F1465">
            <v>751.21</v>
          </cell>
          <cell r="G1465" t="str">
            <v>p</v>
          </cell>
        </row>
        <row r="1466">
          <cell r="B1466" t="str">
            <v>july</v>
          </cell>
          <cell r="D1466" t="str">
            <v>01-748</v>
          </cell>
          <cell r="F1466">
            <v>59.39</v>
          </cell>
          <cell r="G1466" t="str">
            <v>p</v>
          </cell>
        </row>
        <row r="1467">
          <cell r="B1467" t="str">
            <v>july</v>
          </cell>
          <cell r="D1467" t="str">
            <v>00-900</v>
          </cell>
          <cell r="F1467">
            <v>2386.0100000000002</v>
          </cell>
          <cell r="G1467" t="str">
            <v>p</v>
          </cell>
        </row>
        <row r="1468">
          <cell r="B1468" t="str">
            <v>july</v>
          </cell>
          <cell r="D1468" t="str">
            <v>99-344</v>
          </cell>
          <cell r="F1468">
            <v>9211.2000000000007</v>
          </cell>
          <cell r="G1468" t="str">
            <v>p</v>
          </cell>
        </row>
        <row r="1469">
          <cell r="B1469" t="str">
            <v>july</v>
          </cell>
          <cell r="D1469" t="str">
            <v>01-002</v>
          </cell>
          <cell r="F1469">
            <v>871.91</v>
          </cell>
          <cell r="G1469" t="str">
            <v>p</v>
          </cell>
        </row>
        <row r="1470">
          <cell r="B1470" t="str">
            <v>july</v>
          </cell>
          <cell r="D1470" t="str">
            <v>01-012</v>
          </cell>
          <cell r="F1470">
            <v>428.52</v>
          </cell>
          <cell r="G1470" t="str">
            <v>p</v>
          </cell>
        </row>
        <row r="1471">
          <cell r="B1471" t="str">
            <v>july</v>
          </cell>
          <cell r="D1471" t="str">
            <v>01-018</v>
          </cell>
          <cell r="F1471">
            <v>10</v>
          </cell>
          <cell r="G1471" t="str">
            <v>p</v>
          </cell>
        </row>
        <row r="1472">
          <cell r="B1472" t="str">
            <v>july</v>
          </cell>
          <cell r="D1472" t="str">
            <v>01-050</v>
          </cell>
          <cell r="F1472">
            <v>0</v>
          </cell>
          <cell r="G1472" t="str">
            <v>p</v>
          </cell>
        </row>
        <row r="1473">
          <cell r="B1473" t="str">
            <v>july</v>
          </cell>
          <cell r="D1473" t="str">
            <v>01-053</v>
          </cell>
          <cell r="F1473">
            <v>68500</v>
          </cell>
          <cell r="G1473" t="str">
            <v>p</v>
          </cell>
        </row>
        <row r="1474">
          <cell r="B1474" t="str">
            <v>july</v>
          </cell>
          <cell r="D1474" t="str">
            <v>01-081</v>
          </cell>
          <cell r="F1474">
            <v>4725</v>
          </cell>
          <cell r="G1474" t="str">
            <v>p</v>
          </cell>
        </row>
        <row r="1475">
          <cell r="B1475" t="str">
            <v>july</v>
          </cell>
          <cell r="D1475" t="str">
            <v>01-127</v>
          </cell>
          <cell r="F1475">
            <v>15</v>
          </cell>
          <cell r="G1475" t="str">
            <v>p</v>
          </cell>
        </row>
        <row r="1476">
          <cell r="B1476" t="str">
            <v>july</v>
          </cell>
          <cell r="D1476" t="str">
            <v>01-128</v>
          </cell>
          <cell r="F1476">
            <v>15</v>
          </cell>
          <cell r="G1476" t="str">
            <v>p</v>
          </cell>
        </row>
        <row r="1477">
          <cell r="B1477" t="str">
            <v>july</v>
          </cell>
          <cell r="D1477" t="str">
            <v>01-137</v>
          </cell>
          <cell r="F1477">
            <v>14500</v>
          </cell>
          <cell r="G1477" t="str">
            <v>p</v>
          </cell>
        </row>
        <row r="1478">
          <cell r="B1478" t="str">
            <v>july</v>
          </cell>
          <cell r="D1478" t="str">
            <v>01-305</v>
          </cell>
          <cell r="F1478">
            <v>0</v>
          </cell>
          <cell r="G1478" t="str">
            <v>p</v>
          </cell>
        </row>
        <row r="1479">
          <cell r="B1479" t="str">
            <v>july</v>
          </cell>
          <cell r="D1479" t="str">
            <v>00-900</v>
          </cell>
          <cell r="F1479">
            <v>0.32</v>
          </cell>
          <cell r="G1479" t="str">
            <v>p</v>
          </cell>
        </row>
        <row r="1480">
          <cell r="B1480" t="str">
            <v>july</v>
          </cell>
          <cell r="D1480" t="str">
            <v>01-300</v>
          </cell>
          <cell r="F1480">
            <v>6273.62</v>
          </cell>
          <cell r="G1480" t="str">
            <v>p</v>
          </cell>
        </row>
        <row r="1481">
          <cell r="B1481" t="str">
            <v>july</v>
          </cell>
          <cell r="D1481" t="str">
            <v>00-131</v>
          </cell>
          <cell r="F1481">
            <v>4778.82</v>
          </cell>
          <cell r="G1481" t="str">
            <v>p</v>
          </cell>
        </row>
        <row r="1482">
          <cell r="B1482" t="str">
            <v>july</v>
          </cell>
          <cell r="D1482" t="str">
            <v>00-131</v>
          </cell>
          <cell r="F1482">
            <v>4296.04</v>
          </cell>
          <cell r="G1482" t="str">
            <v>p</v>
          </cell>
        </row>
        <row r="1483">
          <cell r="B1483" t="str">
            <v>july</v>
          </cell>
          <cell r="D1483" t="str">
            <v>00-131</v>
          </cell>
          <cell r="F1483">
            <v>4717.71</v>
          </cell>
          <cell r="G1483" t="str">
            <v>p</v>
          </cell>
        </row>
        <row r="1484">
          <cell r="B1484" t="str">
            <v>july</v>
          </cell>
          <cell r="D1484" t="str">
            <v>00-131</v>
          </cell>
          <cell r="F1484">
            <v>3732.96</v>
          </cell>
          <cell r="G1484" t="str">
            <v>p</v>
          </cell>
        </row>
        <row r="1485">
          <cell r="B1485" t="str">
            <v>july</v>
          </cell>
          <cell r="D1485" t="str">
            <v>00-131</v>
          </cell>
          <cell r="F1485">
            <v>4902.04</v>
          </cell>
          <cell r="G1485" t="str">
            <v>p</v>
          </cell>
        </row>
        <row r="1486">
          <cell r="B1486" t="str">
            <v>july</v>
          </cell>
          <cell r="D1486" t="str">
            <v>01-300</v>
          </cell>
          <cell r="F1486">
            <v>5954.46</v>
          </cell>
          <cell r="G1486" t="str">
            <v>p</v>
          </cell>
        </row>
        <row r="1487">
          <cell r="B1487" t="str">
            <v>july</v>
          </cell>
          <cell r="D1487" t="str">
            <v>00-131</v>
          </cell>
          <cell r="F1487">
            <v>4408.6499999999996</v>
          </cell>
          <cell r="G1487" t="str">
            <v>p</v>
          </cell>
        </row>
        <row r="1488">
          <cell r="B1488" t="str">
            <v>july</v>
          </cell>
          <cell r="D1488" t="str">
            <v>01-130</v>
          </cell>
          <cell r="F1488">
            <v>86825.04</v>
          </cell>
          <cell r="G1488" t="str">
            <v>p</v>
          </cell>
        </row>
        <row r="1489">
          <cell r="B1489" t="str">
            <v>july</v>
          </cell>
          <cell r="D1489" t="str">
            <v>01-003</v>
          </cell>
          <cell r="F1489">
            <v>22846.17</v>
          </cell>
          <cell r="G1489" t="str">
            <v>p</v>
          </cell>
        </row>
        <row r="1490">
          <cell r="B1490" t="str">
            <v>july</v>
          </cell>
          <cell r="D1490" t="str">
            <v>01-002</v>
          </cell>
          <cell r="F1490">
            <v>6679.02</v>
          </cell>
          <cell r="G1490" t="str">
            <v>p</v>
          </cell>
        </row>
        <row r="1491">
          <cell r="B1491" t="str">
            <v>july</v>
          </cell>
          <cell r="D1491" t="str">
            <v>01-071</v>
          </cell>
          <cell r="F1491">
            <v>700173.76</v>
          </cell>
          <cell r="G1491" t="str">
            <v>p</v>
          </cell>
        </row>
        <row r="1492">
          <cell r="B1492" t="str">
            <v>july</v>
          </cell>
          <cell r="D1492" t="str">
            <v>01-071</v>
          </cell>
          <cell r="F1492">
            <v>175043.44</v>
          </cell>
          <cell r="G1492" t="str">
            <v>p</v>
          </cell>
        </row>
        <row r="1493">
          <cell r="B1493" t="str">
            <v>july</v>
          </cell>
          <cell r="D1493" t="str">
            <v>01-067</v>
          </cell>
          <cell r="F1493">
            <v>25705.91</v>
          </cell>
          <cell r="G1493" t="str">
            <v>p</v>
          </cell>
        </row>
        <row r="1494">
          <cell r="B1494" t="str">
            <v>july</v>
          </cell>
          <cell r="D1494" t="str">
            <v>01-078</v>
          </cell>
          <cell r="F1494">
            <v>38551.72</v>
          </cell>
          <cell r="G1494" t="str">
            <v>p</v>
          </cell>
        </row>
        <row r="1495">
          <cell r="B1495" t="str">
            <v>july</v>
          </cell>
          <cell r="D1495" t="str">
            <v>01-079</v>
          </cell>
          <cell r="F1495">
            <v>51411.82</v>
          </cell>
          <cell r="G1495" t="str">
            <v>p</v>
          </cell>
        </row>
        <row r="1496">
          <cell r="B1496" t="str">
            <v>july</v>
          </cell>
          <cell r="D1496" t="str">
            <v>01-401</v>
          </cell>
          <cell r="F1496">
            <v>51293.09</v>
          </cell>
          <cell r="G1496" t="str">
            <v>p</v>
          </cell>
        </row>
        <row r="1497">
          <cell r="B1497" t="str">
            <v>july</v>
          </cell>
          <cell r="D1497" t="str">
            <v>01-143</v>
          </cell>
          <cell r="F1497">
            <v>16589</v>
          </cell>
          <cell r="G1497" t="str">
            <v>p</v>
          </cell>
        </row>
        <row r="1498">
          <cell r="B1498" t="str">
            <v>july</v>
          </cell>
          <cell r="D1498" t="str">
            <v>00-900</v>
          </cell>
          <cell r="F1498">
            <v>-41679</v>
          </cell>
          <cell r="G1498" t="str">
            <v>p</v>
          </cell>
        </row>
        <row r="1499">
          <cell r="B1499" t="str">
            <v>july</v>
          </cell>
          <cell r="D1499" t="str">
            <v>01-049</v>
          </cell>
          <cell r="F1499">
            <v>7885.16</v>
          </cell>
          <cell r="G1499" t="str">
            <v>p</v>
          </cell>
        </row>
        <row r="1500">
          <cell r="B1500" t="str">
            <v>july</v>
          </cell>
          <cell r="D1500" t="str">
            <v>01-772</v>
          </cell>
          <cell r="F1500">
            <v>-3717</v>
          </cell>
          <cell r="G1500" t="str">
            <v>x</v>
          </cell>
        </row>
        <row r="1501">
          <cell r="B1501" t="str">
            <v>july</v>
          </cell>
          <cell r="D1501" t="str">
            <v>01-778</v>
          </cell>
          <cell r="F1501">
            <v>-2977</v>
          </cell>
          <cell r="G1501" t="str">
            <v>x</v>
          </cell>
        </row>
        <row r="1502">
          <cell r="B1502" t="str">
            <v>july</v>
          </cell>
          <cell r="D1502" t="str">
            <v>00-207</v>
          </cell>
          <cell r="F1502">
            <v>-3799.49</v>
          </cell>
          <cell r="G1502" t="str">
            <v>x</v>
          </cell>
        </row>
        <row r="1503">
          <cell r="B1503" t="str">
            <v>july</v>
          </cell>
          <cell r="D1503" t="str">
            <v>00-178</v>
          </cell>
          <cell r="F1503">
            <v>-153486.29</v>
          </cell>
          <cell r="G1503" t="str">
            <v>x</v>
          </cell>
        </row>
        <row r="1504">
          <cell r="B1504" t="str">
            <v>july</v>
          </cell>
          <cell r="D1504" t="str">
            <v>01-300</v>
          </cell>
          <cell r="F1504">
            <v>1133718.3</v>
          </cell>
          <cell r="G1504" t="str">
            <v>p</v>
          </cell>
        </row>
        <row r="1505">
          <cell r="B1505" t="str">
            <v>july</v>
          </cell>
          <cell r="D1505" t="str">
            <v>01-072</v>
          </cell>
          <cell r="F1505">
            <v>1449154.5</v>
          </cell>
          <cell r="G1505" t="str">
            <v>p</v>
          </cell>
        </row>
        <row r="1506">
          <cell r="B1506" t="str">
            <v>july</v>
          </cell>
          <cell r="D1506" t="str">
            <v>01-072</v>
          </cell>
          <cell r="F1506">
            <v>829209.45</v>
          </cell>
          <cell r="G1506" t="str">
            <v>p</v>
          </cell>
        </row>
        <row r="1507">
          <cell r="B1507" t="str">
            <v>july</v>
          </cell>
          <cell r="D1507" t="str">
            <v>01-304</v>
          </cell>
          <cell r="F1507">
            <v>46272.15</v>
          </cell>
          <cell r="G1507" t="str">
            <v>p</v>
          </cell>
        </row>
        <row r="1508">
          <cell r="B1508" t="str">
            <v>july</v>
          </cell>
          <cell r="D1508" t="str">
            <v>01-053</v>
          </cell>
          <cell r="F1508">
            <v>51300</v>
          </cell>
          <cell r="G1508" t="str">
            <v>p</v>
          </cell>
        </row>
        <row r="1509">
          <cell r="B1509" t="str">
            <v>july</v>
          </cell>
          <cell r="D1509" t="str">
            <v>01-088</v>
          </cell>
          <cell r="F1509">
            <v>-9043.82</v>
          </cell>
          <cell r="G1509" t="str">
            <v>c</v>
          </cell>
        </row>
        <row r="1510">
          <cell r="B1510" t="str">
            <v>july</v>
          </cell>
          <cell r="D1510" t="str">
            <v>01-089</v>
          </cell>
          <cell r="F1510">
            <v>-9821.42</v>
          </cell>
          <cell r="G1510" t="str">
            <v>c</v>
          </cell>
        </row>
        <row r="1511">
          <cell r="B1511" t="str">
            <v>july</v>
          </cell>
          <cell r="D1511" t="str">
            <v>01-113</v>
          </cell>
          <cell r="F1511">
            <v>-4062.34</v>
          </cell>
          <cell r="G1511" t="str">
            <v>c</v>
          </cell>
        </row>
        <row r="1512">
          <cell r="B1512" t="str">
            <v>july</v>
          </cell>
          <cell r="D1512" t="str">
            <v>01-101</v>
          </cell>
          <cell r="F1512">
            <v>-6232.8</v>
          </cell>
          <cell r="G1512" t="str">
            <v>c</v>
          </cell>
        </row>
        <row r="1513">
          <cell r="B1513" t="str">
            <v>july</v>
          </cell>
          <cell r="D1513" t="str">
            <v>01-100</v>
          </cell>
          <cell r="F1513">
            <v>-23688.06</v>
          </cell>
          <cell r="G1513" t="str">
            <v>c</v>
          </cell>
        </row>
        <row r="1514">
          <cell r="B1514" t="str">
            <v>july</v>
          </cell>
          <cell r="D1514" t="str">
            <v>00-231</v>
          </cell>
          <cell r="F1514">
            <v>-54792.25</v>
          </cell>
          <cell r="G1514" t="str">
            <v>c</v>
          </cell>
        </row>
        <row r="1515">
          <cell r="B1515" t="str">
            <v>july</v>
          </cell>
          <cell r="D1515" t="str">
            <v>01-097</v>
          </cell>
          <cell r="F1515">
            <v>-3888</v>
          </cell>
          <cell r="G1515" t="str">
            <v>c</v>
          </cell>
        </row>
        <row r="1516">
          <cell r="B1516" t="str">
            <v>july</v>
          </cell>
          <cell r="D1516" t="str">
            <v>01-087</v>
          </cell>
          <cell r="F1516">
            <v>-3227.41</v>
          </cell>
          <cell r="G1516" t="str">
            <v>c</v>
          </cell>
        </row>
        <row r="1517">
          <cell r="B1517" t="str">
            <v>july</v>
          </cell>
          <cell r="D1517" t="str">
            <v>01-030</v>
          </cell>
          <cell r="F1517">
            <v>-4000</v>
          </cell>
          <cell r="G1517" t="str">
            <v>c</v>
          </cell>
        </row>
        <row r="1518">
          <cell r="B1518" t="str">
            <v>july</v>
          </cell>
          <cell r="D1518" t="str">
            <v>01-060</v>
          </cell>
          <cell r="F1518">
            <v>-1728</v>
          </cell>
          <cell r="G1518" t="str">
            <v>c</v>
          </cell>
        </row>
        <row r="1519">
          <cell r="B1519" t="str">
            <v>july</v>
          </cell>
          <cell r="D1519" t="str">
            <v>01-306</v>
          </cell>
          <cell r="F1519">
            <v>-55886.1</v>
          </cell>
          <cell r="G1519" t="str">
            <v>c</v>
          </cell>
        </row>
        <row r="1520">
          <cell r="B1520" t="str">
            <v>july</v>
          </cell>
          <cell r="D1520" t="str">
            <v>00-311</v>
          </cell>
          <cell r="F1520">
            <v>-22372.799999999999</v>
          </cell>
          <cell r="G1520" t="str">
            <v>c</v>
          </cell>
        </row>
        <row r="1521">
          <cell r="B1521" t="str">
            <v>july</v>
          </cell>
          <cell r="D1521" t="str">
            <v>01-309</v>
          </cell>
          <cell r="F1521">
            <v>-5207.5</v>
          </cell>
          <cell r="G1521" t="str">
            <v>c</v>
          </cell>
        </row>
        <row r="1522">
          <cell r="B1522" t="str">
            <v>july</v>
          </cell>
          <cell r="D1522" t="str">
            <v>01-048</v>
          </cell>
          <cell r="F1522">
            <v>-4098.88</v>
          </cell>
          <cell r="G1522" t="str">
            <v>c</v>
          </cell>
        </row>
        <row r="1523">
          <cell r="B1523" t="str">
            <v>july</v>
          </cell>
          <cell r="D1523" t="str">
            <v>01-013</v>
          </cell>
          <cell r="F1523">
            <v>-14419.91</v>
          </cell>
          <cell r="G1523" t="str">
            <v>c</v>
          </cell>
        </row>
        <row r="1524">
          <cell r="B1524" t="str">
            <v>july</v>
          </cell>
          <cell r="D1524" t="str">
            <v>01-310</v>
          </cell>
          <cell r="F1524">
            <v>-4274.6499999999996</v>
          </cell>
          <cell r="G1524" t="str">
            <v>c</v>
          </cell>
        </row>
        <row r="1525">
          <cell r="B1525" t="str">
            <v>july</v>
          </cell>
          <cell r="D1525" t="str">
            <v>01-098</v>
          </cell>
          <cell r="F1525">
            <v>-7289.27</v>
          </cell>
          <cell r="G1525" t="str">
            <v>c</v>
          </cell>
        </row>
        <row r="1526">
          <cell r="B1526" t="str">
            <v>july</v>
          </cell>
          <cell r="D1526" t="str">
            <v>01-068</v>
          </cell>
          <cell r="F1526">
            <v>-2857.68</v>
          </cell>
          <cell r="G1526" t="str">
            <v>c</v>
          </cell>
        </row>
        <row r="1527">
          <cell r="B1527" t="str">
            <v>july</v>
          </cell>
          <cell r="D1527" t="str">
            <v>00-179</v>
          </cell>
          <cell r="F1527">
            <v>-33839.64</v>
          </cell>
          <cell r="G1527" t="str">
            <v>c</v>
          </cell>
        </row>
        <row r="1528">
          <cell r="B1528" t="str">
            <v>july</v>
          </cell>
          <cell r="D1528" t="str">
            <v>01-070</v>
          </cell>
          <cell r="F1528">
            <v>-15688.58</v>
          </cell>
          <cell r="G1528" t="str">
            <v>c</v>
          </cell>
        </row>
        <row r="1529">
          <cell r="B1529" t="str">
            <v>july</v>
          </cell>
          <cell r="D1529" t="str">
            <v>01-049</v>
          </cell>
          <cell r="F1529">
            <v>-106449.62</v>
          </cell>
          <cell r="G1529" t="str">
            <v>c</v>
          </cell>
        </row>
        <row r="1530">
          <cell r="B1530" t="str">
            <v>july</v>
          </cell>
          <cell r="D1530" t="str">
            <v>00-144</v>
          </cell>
          <cell r="F1530">
            <v>-55699.17</v>
          </cell>
          <cell r="G1530" t="str">
            <v>c</v>
          </cell>
        </row>
        <row r="1531">
          <cell r="B1531" t="str">
            <v>july</v>
          </cell>
          <cell r="D1531" t="str">
            <v>00-143</v>
          </cell>
          <cell r="F1531">
            <v>-74676.25</v>
          </cell>
          <cell r="G1531" t="str">
            <v>c</v>
          </cell>
        </row>
        <row r="1532">
          <cell r="B1532" t="str">
            <v>july</v>
          </cell>
          <cell r="D1532" t="str">
            <v>01-769</v>
          </cell>
          <cell r="F1532">
            <v>-2977</v>
          </cell>
          <cell r="G1532" t="str">
            <v>c</v>
          </cell>
        </row>
        <row r="1533">
          <cell r="B1533" t="str">
            <v>july</v>
          </cell>
          <cell r="D1533" t="str">
            <v>01-774</v>
          </cell>
          <cell r="F1533">
            <v>-1446</v>
          </cell>
          <cell r="G1533" t="str">
            <v>c</v>
          </cell>
        </row>
        <row r="1534">
          <cell r="B1534" t="str">
            <v>july</v>
          </cell>
          <cell r="D1534" t="str">
            <v>01-775</v>
          </cell>
          <cell r="F1534">
            <v>-1446</v>
          </cell>
          <cell r="G1534" t="str">
            <v>c</v>
          </cell>
        </row>
        <row r="1535">
          <cell r="B1535" t="str">
            <v>july</v>
          </cell>
          <cell r="D1535" t="str">
            <v>01-777</v>
          </cell>
          <cell r="F1535">
            <v>-2977</v>
          </cell>
          <cell r="G1535" t="str">
            <v>c</v>
          </cell>
        </row>
        <row r="1536">
          <cell r="B1536" t="str">
            <v>july</v>
          </cell>
          <cell r="D1536" t="str">
            <v>01-779</v>
          </cell>
          <cell r="F1536">
            <v>-1446</v>
          </cell>
          <cell r="G1536" t="str">
            <v>c</v>
          </cell>
        </row>
        <row r="1537">
          <cell r="B1537" t="str">
            <v>july</v>
          </cell>
          <cell r="D1537" t="str">
            <v>01-780</v>
          </cell>
          <cell r="F1537">
            <v>-3439</v>
          </cell>
          <cell r="G1537" t="str">
            <v>c</v>
          </cell>
        </row>
        <row r="1538">
          <cell r="B1538" t="str">
            <v>july</v>
          </cell>
          <cell r="D1538" t="str">
            <v>01-782</v>
          </cell>
          <cell r="F1538">
            <v>-1130</v>
          </cell>
          <cell r="G1538" t="str">
            <v>c</v>
          </cell>
        </row>
        <row r="1539">
          <cell r="B1539" t="str">
            <v>july</v>
          </cell>
          <cell r="D1539" t="str">
            <v>01-783</v>
          </cell>
          <cell r="F1539">
            <v>-3662</v>
          </cell>
          <cell r="G1539" t="str">
            <v>c</v>
          </cell>
        </row>
        <row r="1540">
          <cell r="B1540" t="str">
            <v>july</v>
          </cell>
          <cell r="D1540" t="str">
            <v>01-784</v>
          </cell>
          <cell r="F1540">
            <v>-3439</v>
          </cell>
          <cell r="G1540" t="str">
            <v>c</v>
          </cell>
        </row>
        <row r="1541">
          <cell r="B1541" t="str">
            <v>july</v>
          </cell>
          <cell r="D1541" t="str">
            <v>01-785</v>
          </cell>
          <cell r="F1541">
            <v>-3439</v>
          </cell>
          <cell r="G1541" t="str">
            <v>c</v>
          </cell>
        </row>
        <row r="1542">
          <cell r="B1542" t="str">
            <v>july</v>
          </cell>
          <cell r="D1542" t="str">
            <v>01-786</v>
          </cell>
          <cell r="F1542">
            <v>-3662</v>
          </cell>
          <cell r="G1542" t="str">
            <v>c</v>
          </cell>
        </row>
        <row r="1543">
          <cell r="B1543" t="str">
            <v>july</v>
          </cell>
          <cell r="D1543" t="str">
            <v>01-789</v>
          </cell>
          <cell r="F1543">
            <v>-1130</v>
          </cell>
          <cell r="G1543" t="str">
            <v>c</v>
          </cell>
        </row>
        <row r="1544">
          <cell r="B1544" t="str">
            <v>july</v>
          </cell>
          <cell r="D1544" t="str">
            <v>01-790</v>
          </cell>
          <cell r="F1544">
            <v>-1130</v>
          </cell>
          <cell r="G1544" t="str">
            <v>c</v>
          </cell>
        </row>
        <row r="1545">
          <cell r="B1545" t="str">
            <v>july</v>
          </cell>
          <cell r="D1545" t="str">
            <v>01-794</v>
          </cell>
          <cell r="F1545">
            <v>-3662</v>
          </cell>
          <cell r="G1545" t="str">
            <v>c</v>
          </cell>
        </row>
        <row r="1546">
          <cell r="B1546" t="str">
            <v>july</v>
          </cell>
          <cell r="D1546" t="str">
            <v>99-166</v>
          </cell>
          <cell r="F1546">
            <v>-260000</v>
          </cell>
          <cell r="G1546" t="str">
            <v>c</v>
          </cell>
        </row>
        <row r="1547">
          <cell r="B1547" t="str">
            <v>july</v>
          </cell>
          <cell r="D1547" t="str">
            <v>99-325</v>
          </cell>
          <cell r="F1547">
            <v>-122733.34</v>
          </cell>
          <cell r="G1547" t="str">
            <v>c</v>
          </cell>
        </row>
        <row r="1548">
          <cell r="B1548" t="str">
            <v>july</v>
          </cell>
          <cell r="D1548" t="str">
            <v>99-337</v>
          </cell>
          <cell r="F1548">
            <v>-197266.66</v>
          </cell>
          <cell r="G1548" t="str">
            <v>c</v>
          </cell>
        </row>
        <row r="1549">
          <cell r="B1549" t="str">
            <v>july</v>
          </cell>
          <cell r="D1549" t="str">
            <v>00-222</v>
          </cell>
          <cell r="F1549">
            <v>-7877.43</v>
          </cell>
          <cell r="G1549" t="str">
            <v>c</v>
          </cell>
        </row>
        <row r="1550">
          <cell r="B1550" t="str">
            <v>july</v>
          </cell>
          <cell r="D1550" t="str">
            <v>01-058</v>
          </cell>
          <cell r="F1550">
            <v>-1191.3599999999999</v>
          </cell>
          <cell r="G1550" t="str">
            <v>c</v>
          </cell>
        </row>
        <row r="1551">
          <cell r="B1551" t="str">
            <v>july</v>
          </cell>
          <cell r="D1551" t="str">
            <v>00-179</v>
          </cell>
          <cell r="F1551">
            <v>-973</v>
          </cell>
          <cell r="G1551" t="str">
            <v>c</v>
          </cell>
        </row>
        <row r="1552">
          <cell r="B1552" t="str">
            <v>july</v>
          </cell>
          <cell r="D1552" t="str">
            <v>01-064</v>
          </cell>
          <cell r="F1552">
            <v>-78500</v>
          </cell>
          <cell r="G1552" t="str">
            <v>c</v>
          </cell>
        </row>
        <row r="1553">
          <cell r="B1553" t="str">
            <v>july</v>
          </cell>
          <cell r="D1553" t="str">
            <v>01-401</v>
          </cell>
          <cell r="F1553">
            <v>-51293.09</v>
          </cell>
          <cell r="G1553" t="str">
            <v>p</v>
          </cell>
        </row>
        <row r="1554">
          <cell r="B1554" t="str">
            <v>july</v>
          </cell>
          <cell r="D1554" t="str">
            <v>01-056</v>
          </cell>
          <cell r="F1554">
            <v>-16.8</v>
          </cell>
          <cell r="G1554" t="str">
            <v>x</v>
          </cell>
        </row>
        <row r="1555">
          <cell r="B1555" t="str">
            <v>july</v>
          </cell>
          <cell r="D1555" t="str">
            <v>01-054</v>
          </cell>
          <cell r="F1555">
            <v>-36</v>
          </cell>
          <cell r="G1555" t="str">
            <v>x</v>
          </cell>
        </row>
        <row r="1556">
          <cell r="B1556" t="str">
            <v>july</v>
          </cell>
          <cell r="D1556" t="str">
            <v>01-138</v>
          </cell>
          <cell r="F1556">
            <v>5178.6000000000004</v>
          </cell>
          <cell r="G1556" t="str">
            <v>p</v>
          </cell>
        </row>
        <row r="1557">
          <cell r="B1557" t="str">
            <v>july</v>
          </cell>
          <cell r="D1557" t="str">
            <v>01-138</v>
          </cell>
          <cell r="F1557">
            <v>47</v>
          </cell>
          <cell r="G1557" t="str">
            <v>p</v>
          </cell>
        </row>
        <row r="1558">
          <cell r="B1558" t="str">
            <v>august</v>
          </cell>
          <cell r="D1558" t="str">
            <v>00-118</v>
          </cell>
          <cell r="F1558">
            <v>262.44</v>
          </cell>
          <cell r="G1558" t="str">
            <v>p</v>
          </cell>
        </row>
        <row r="1559">
          <cell r="B1559" t="str">
            <v>august</v>
          </cell>
          <cell r="D1559" t="str">
            <v>00-131</v>
          </cell>
          <cell r="F1559">
            <v>-4397.22</v>
          </cell>
          <cell r="G1559" t="str">
            <v>p</v>
          </cell>
        </row>
        <row r="1560">
          <cell r="B1560" t="str">
            <v>august</v>
          </cell>
          <cell r="D1560" t="str">
            <v>00-132</v>
          </cell>
          <cell r="F1560">
            <v>0.1</v>
          </cell>
          <cell r="G1560" t="str">
            <v>p</v>
          </cell>
        </row>
        <row r="1561">
          <cell r="B1561" t="str">
            <v>august</v>
          </cell>
          <cell r="D1561" t="str">
            <v>01-002</v>
          </cell>
          <cell r="F1561">
            <v>-5986.29</v>
          </cell>
          <cell r="G1561" t="str">
            <v>p</v>
          </cell>
        </row>
        <row r="1562">
          <cell r="B1562" t="str">
            <v>august</v>
          </cell>
          <cell r="D1562" t="str">
            <v>01-003</v>
          </cell>
          <cell r="F1562">
            <v>-22846.17</v>
          </cell>
          <cell r="G1562" t="str">
            <v>p</v>
          </cell>
        </row>
        <row r="1563">
          <cell r="B1563" t="str">
            <v>august</v>
          </cell>
          <cell r="D1563" t="str">
            <v>01-014</v>
          </cell>
          <cell r="F1563">
            <v>844.46</v>
          </cell>
          <cell r="G1563" t="str">
            <v>p</v>
          </cell>
        </row>
        <row r="1564">
          <cell r="B1564" t="str">
            <v>august</v>
          </cell>
          <cell r="D1564" t="str">
            <v>01-018</v>
          </cell>
          <cell r="F1564">
            <v>0</v>
          </cell>
          <cell r="G1564" t="str">
            <v>p</v>
          </cell>
        </row>
        <row r="1565">
          <cell r="B1565" t="str">
            <v>august</v>
          </cell>
          <cell r="D1565" t="str">
            <v>01-053</v>
          </cell>
          <cell r="F1565">
            <v>95085.83</v>
          </cell>
          <cell r="G1565" t="str">
            <v>p</v>
          </cell>
        </row>
        <row r="1566">
          <cell r="B1566" t="str">
            <v>august</v>
          </cell>
          <cell r="D1566" t="str">
            <v>01-065</v>
          </cell>
          <cell r="F1566">
            <v>29876.06</v>
          </cell>
          <cell r="G1566" t="str">
            <v>p</v>
          </cell>
        </row>
        <row r="1567">
          <cell r="B1567" t="str">
            <v>august</v>
          </cell>
          <cell r="D1567" t="str">
            <v>01-067</v>
          </cell>
          <cell r="F1567">
            <v>-296.83</v>
          </cell>
          <cell r="G1567" t="str">
            <v>p</v>
          </cell>
        </row>
        <row r="1568">
          <cell r="B1568" t="str">
            <v>august</v>
          </cell>
          <cell r="D1568" t="str">
            <v>01-071</v>
          </cell>
          <cell r="F1568">
            <v>0</v>
          </cell>
          <cell r="G1568" t="str">
            <v>p</v>
          </cell>
        </row>
        <row r="1569">
          <cell r="B1569" t="str">
            <v>august</v>
          </cell>
          <cell r="D1569" t="str">
            <v>01-078</v>
          </cell>
          <cell r="F1569">
            <v>-445.17</v>
          </cell>
          <cell r="G1569" t="str">
            <v>p</v>
          </cell>
        </row>
        <row r="1570">
          <cell r="B1570" t="str">
            <v>august</v>
          </cell>
          <cell r="D1570" t="str">
            <v>01-079</v>
          </cell>
          <cell r="F1570">
            <v>-593.66999999999996</v>
          </cell>
          <cell r="G1570" t="str">
            <v>p</v>
          </cell>
        </row>
        <row r="1571">
          <cell r="B1571" t="str">
            <v>august</v>
          </cell>
          <cell r="D1571" t="str">
            <v>01-124</v>
          </cell>
          <cell r="F1571">
            <v>5019.2</v>
          </cell>
          <cell r="G1571" t="str">
            <v>p</v>
          </cell>
        </row>
        <row r="1572">
          <cell r="B1572" t="str">
            <v>august</v>
          </cell>
          <cell r="D1572" t="str">
            <v>01-126</v>
          </cell>
          <cell r="F1572">
            <v>2734.56</v>
          </cell>
          <cell r="G1572" t="str">
            <v>p</v>
          </cell>
        </row>
        <row r="1573">
          <cell r="B1573" t="str">
            <v>august</v>
          </cell>
          <cell r="D1573" t="str">
            <v>01-130</v>
          </cell>
          <cell r="F1573">
            <v>33688</v>
          </cell>
          <cell r="G1573" t="str">
            <v>p</v>
          </cell>
        </row>
        <row r="1574">
          <cell r="B1574" t="str">
            <v>august</v>
          </cell>
          <cell r="D1574" t="str">
            <v>01-136</v>
          </cell>
          <cell r="F1574">
            <v>10160.64</v>
          </cell>
          <cell r="G1574" t="str">
            <v>p</v>
          </cell>
        </row>
        <row r="1575">
          <cell r="B1575" t="str">
            <v>august</v>
          </cell>
          <cell r="D1575" t="str">
            <v>01-143</v>
          </cell>
          <cell r="F1575">
            <v>-16589</v>
          </cell>
          <cell r="G1575" t="str">
            <v>p</v>
          </cell>
        </row>
        <row r="1576">
          <cell r="B1576" t="str">
            <v>august</v>
          </cell>
          <cell r="D1576" t="str">
            <v>01-300</v>
          </cell>
          <cell r="F1576">
            <v>-12228.08</v>
          </cell>
          <cell r="G1576" t="str">
            <v>p</v>
          </cell>
        </row>
        <row r="1577">
          <cell r="B1577" t="str">
            <v>august</v>
          </cell>
          <cell r="D1577" t="str">
            <v>01-305</v>
          </cell>
          <cell r="F1577">
            <v>6053.5</v>
          </cell>
          <cell r="G1577" t="str">
            <v>p</v>
          </cell>
        </row>
        <row r="1578">
          <cell r="B1578" t="str">
            <v>august</v>
          </cell>
          <cell r="D1578" t="str">
            <v>01-306</v>
          </cell>
          <cell r="F1578">
            <v>-224</v>
          </cell>
          <cell r="G1578" t="str">
            <v>p</v>
          </cell>
        </row>
        <row r="1579">
          <cell r="B1579" t="str">
            <v>august</v>
          </cell>
          <cell r="D1579" t="str">
            <v>01-311</v>
          </cell>
          <cell r="F1579">
            <v>1394.97</v>
          </cell>
          <cell r="G1579" t="str">
            <v>p</v>
          </cell>
        </row>
        <row r="1580">
          <cell r="B1580" t="str">
            <v>august</v>
          </cell>
          <cell r="D1580" t="str">
            <v>01-401</v>
          </cell>
          <cell r="F1580">
            <v>0</v>
          </cell>
          <cell r="G1580" t="str">
            <v>p</v>
          </cell>
        </row>
        <row r="1581">
          <cell r="B1581" t="str">
            <v>august</v>
          </cell>
          <cell r="D1581" t="str">
            <v>00-900</v>
          </cell>
          <cell r="F1581">
            <v>44693.11</v>
          </cell>
          <cell r="G1581" t="str">
            <v>p</v>
          </cell>
        </row>
        <row r="1582">
          <cell r="B1582" t="str">
            <v>august</v>
          </cell>
          <cell r="D1582" t="str">
            <v>00-131</v>
          </cell>
          <cell r="F1582">
            <v>10188.85</v>
          </cell>
          <cell r="G1582" t="str">
            <v>p</v>
          </cell>
        </row>
        <row r="1583">
          <cell r="B1583" t="str">
            <v>august</v>
          </cell>
          <cell r="D1583" t="str">
            <v>01-002</v>
          </cell>
          <cell r="F1583">
            <v>2579.3000000000002</v>
          </cell>
          <cell r="G1583" t="str">
            <v>p</v>
          </cell>
        </row>
        <row r="1584">
          <cell r="B1584" t="str">
            <v>august</v>
          </cell>
          <cell r="D1584" t="str">
            <v>01-014</v>
          </cell>
          <cell r="F1584">
            <v>-18924.68</v>
          </cell>
          <cell r="G1584" t="str">
            <v>p</v>
          </cell>
        </row>
        <row r="1585">
          <cell r="B1585" t="str">
            <v>august</v>
          </cell>
          <cell r="D1585" t="str">
            <v>01-053</v>
          </cell>
          <cell r="F1585">
            <v>209500</v>
          </cell>
          <cell r="G1585" t="str">
            <v>p</v>
          </cell>
        </row>
        <row r="1586">
          <cell r="B1586" t="str">
            <v>august</v>
          </cell>
          <cell r="D1586" t="str">
            <v>01-071</v>
          </cell>
          <cell r="F1586">
            <v>4462.5</v>
          </cell>
          <cell r="G1586" t="str">
            <v>p</v>
          </cell>
        </row>
        <row r="1587">
          <cell r="B1587" t="str">
            <v>august</v>
          </cell>
          <cell r="D1587" t="str">
            <v>01-081</v>
          </cell>
          <cell r="F1587">
            <v>11307.83</v>
          </cell>
          <cell r="G1587" t="str">
            <v>p</v>
          </cell>
        </row>
        <row r="1588">
          <cell r="B1588" t="str">
            <v>august</v>
          </cell>
          <cell r="D1588" t="str">
            <v>01-129</v>
          </cell>
          <cell r="F1588">
            <v>5888.85</v>
          </cell>
          <cell r="G1588" t="str">
            <v>p</v>
          </cell>
        </row>
        <row r="1589">
          <cell r="B1589" t="str">
            <v>august</v>
          </cell>
          <cell r="D1589" t="str">
            <v>01-140</v>
          </cell>
          <cell r="F1589">
            <v>20002.900000000001</v>
          </cell>
          <cell r="G1589" t="str">
            <v>p</v>
          </cell>
        </row>
        <row r="1590">
          <cell r="B1590" t="str">
            <v>august</v>
          </cell>
          <cell r="D1590" t="str">
            <v>01-145</v>
          </cell>
          <cell r="F1590">
            <v>4503.88</v>
          </cell>
          <cell r="G1590" t="str">
            <v>p</v>
          </cell>
        </row>
        <row r="1591">
          <cell r="B1591" t="str">
            <v>august</v>
          </cell>
          <cell r="D1591" t="str">
            <v>01-147</v>
          </cell>
          <cell r="F1591">
            <v>50000</v>
          </cell>
          <cell r="G1591" t="str">
            <v>p</v>
          </cell>
        </row>
        <row r="1592">
          <cell r="B1592" t="str">
            <v>august</v>
          </cell>
          <cell r="D1592" t="str">
            <v>01-151</v>
          </cell>
          <cell r="F1592">
            <v>5646.54</v>
          </cell>
          <cell r="G1592" t="str">
            <v>p</v>
          </cell>
        </row>
        <row r="1593">
          <cell r="B1593" t="str">
            <v>august</v>
          </cell>
          <cell r="D1593" t="str">
            <v>01-155</v>
          </cell>
          <cell r="F1593">
            <v>14799.43</v>
          </cell>
          <cell r="G1593" t="str">
            <v>p</v>
          </cell>
        </row>
        <row r="1594">
          <cell r="B1594" t="str">
            <v>august</v>
          </cell>
          <cell r="D1594" t="str">
            <v>01-300</v>
          </cell>
          <cell r="F1594">
            <v>12228.08</v>
          </cell>
          <cell r="G1594" t="str">
            <v>p</v>
          </cell>
        </row>
        <row r="1595">
          <cell r="B1595" t="str">
            <v>august</v>
          </cell>
          <cell r="D1595" t="str">
            <v>01-311</v>
          </cell>
          <cell r="F1595">
            <v>139.88</v>
          </cell>
          <cell r="G1595" t="str">
            <v>p</v>
          </cell>
        </row>
        <row r="1596">
          <cell r="B1596" t="str">
            <v>august</v>
          </cell>
          <cell r="D1596" t="str">
            <v>01-314</v>
          </cell>
          <cell r="F1596">
            <v>39273.599999999999</v>
          </cell>
          <cell r="G1596" t="str">
            <v>p</v>
          </cell>
        </row>
        <row r="1597">
          <cell r="B1597" t="str">
            <v>august</v>
          </cell>
          <cell r="D1597" t="str">
            <v>00-900</v>
          </cell>
          <cell r="F1597">
            <v>186.81</v>
          </cell>
          <cell r="G1597" t="str">
            <v>p</v>
          </cell>
        </row>
        <row r="1598">
          <cell r="B1598" t="str">
            <v>august</v>
          </cell>
          <cell r="D1598" t="str">
            <v>99-344</v>
          </cell>
          <cell r="F1598">
            <v>4737.1499999999996</v>
          </cell>
          <cell r="G1598" t="str">
            <v>p</v>
          </cell>
        </row>
        <row r="1599">
          <cell r="B1599" t="str">
            <v>august</v>
          </cell>
          <cell r="D1599" t="str">
            <v>01-002</v>
          </cell>
          <cell r="F1599">
            <v>56.91</v>
          </cell>
          <cell r="G1599" t="str">
            <v>p</v>
          </cell>
        </row>
        <row r="1600">
          <cell r="B1600" t="str">
            <v>august</v>
          </cell>
          <cell r="D1600" t="str">
            <v>01-003</v>
          </cell>
          <cell r="F1600">
            <v>22846.17</v>
          </cell>
          <cell r="G1600" t="str">
            <v>p</v>
          </cell>
        </row>
        <row r="1601">
          <cell r="B1601" t="str">
            <v>august</v>
          </cell>
          <cell r="D1601" t="str">
            <v>01-014</v>
          </cell>
          <cell r="F1601">
            <v>6314.83</v>
          </cell>
          <cell r="G1601" t="str">
            <v>p</v>
          </cell>
        </row>
        <row r="1602">
          <cell r="B1602" t="str">
            <v>august</v>
          </cell>
          <cell r="D1602" t="str">
            <v>01-053</v>
          </cell>
          <cell r="F1602">
            <v>78500</v>
          </cell>
          <cell r="G1602" t="str">
            <v>p</v>
          </cell>
        </row>
        <row r="1603">
          <cell r="B1603" t="str">
            <v>august</v>
          </cell>
          <cell r="D1603" t="str">
            <v>01-099</v>
          </cell>
          <cell r="F1603">
            <v>1222.5999999999999</v>
          </cell>
          <cell r="G1603" t="str">
            <v>p</v>
          </cell>
        </row>
        <row r="1604">
          <cell r="B1604" t="str">
            <v>august</v>
          </cell>
          <cell r="D1604" t="str">
            <v>01-136</v>
          </cell>
          <cell r="F1604">
            <v>14202</v>
          </cell>
          <cell r="G1604" t="str">
            <v>p</v>
          </cell>
        </row>
        <row r="1605">
          <cell r="B1605" t="str">
            <v>august</v>
          </cell>
          <cell r="D1605" t="str">
            <v>01-139</v>
          </cell>
          <cell r="F1605">
            <v>29872.6</v>
          </cell>
          <cell r="G1605" t="str">
            <v>p</v>
          </cell>
        </row>
        <row r="1606">
          <cell r="B1606" t="str">
            <v>august</v>
          </cell>
          <cell r="D1606" t="str">
            <v>01-143</v>
          </cell>
          <cell r="F1606">
            <v>16589</v>
          </cell>
          <cell r="G1606" t="str">
            <v>p</v>
          </cell>
        </row>
        <row r="1607">
          <cell r="B1607" t="str">
            <v>august</v>
          </cell>
          <cell r="D1607" t="str">
            <v>01-144</v>
          </cell>
          <cell r="F1607">
            <v>28501.200000000001</v>
          </cell>
          <cell r="G1607" t="str">
            <v>p</v>
          </cell>
        </row>
        <row r="1608">
          <cell r="B1608" t="str">
            <v>august</v>
          </cell>
          <cell r="D1608" t="str">
            <v>01-151</v>
          </cell>
          <cell r="F1608">
            <v>118.79</v>
          </cell>
          <cell r="G1608" t="str">
            <v>p</v>
          </cell>
        </row>
        <row r="1609">
          <cell r="B1609" t="str">
            <v>august</v>
          </cell>
          <cell r="D1609" t="str">
            <v>01-155</v>
          </cell>
          <cell r="F1609">
            <v>187.92</v>
          </cell>
          <cell r="G1609" t="str">
            <v>p</v>
          </cell>
        </row>
        <row r="1610">
          <cell r="B1610" t="str">
            <v>august</v>
          </cell>
          <cell r="D1610" t="str">
            <v>01-161</v>
          </cell>
          <cell r="F1610">
            <v>10928.78</v>
          </cell>
          <cell r="G1610" t="str">
            <v>p</v>
          </cell>
        </row>
        <row r="1611">
          <cell r="B1611" t="str">
            <v>august</v>
          </cell>
          <cell r="D1611" t="str">
            <v>01-162</v>
          </cell>
          <cell r="F1611">
            <v>102771.98</v>
          </cell>
          <cell r="G1611" t="str">
            <v>p</v>
          </cell>
        </row>
        <row r="1612">
          <cell r="B1612" t="str">
            <v>august</v>
          </cell>
          <cell r="D1612" t="str">
            <v>01-311</v>
          </cell>
          <cell r="F1612">
            <v>853.2</v>
          </cell>
          <cell r="G1612" t="str">
            <v>p</v>
          </cell>
        </row>
        <row r="1613">
          <cell r="B1613" t="str">
            <v>august</v>
          </cell>
          <cell r="D1613" t="str">
            <v>01-314</v>
          </cell>
          <cell r="F1613">
            <v>25536.799999999999</v>
          </cell>
          <cell r="G1613" t="str">
            <v>p</v>
          </cell>
        </row>
        <row r="1614">
          <cell r="B1614" t="str">
            <v>august</v>
          </cell>
          <cell r="D1614" t="str">
            <v>00-900</v>
          </cell>
          <cell r="F1614">
            <v>278.56</v>
          </cell>
          <cell r="G1614" t="str">
            <v>p</v>
          </cell>
        </row>
        <row r="1615">
          <cell r="B1615" t="str">
            <v>august</v>
          </cell>
          <cell r="D1615" t="str">
            <v>99-344</v>
          </cell>
          <cell r="F1615">
            <v>47.85</v>
          </cell>
          <cell r="G1615" t="str">
            <v>p</v>
          </cell>
        </row>
        <row r="1616">
          <cell r="B1616" t="str">
            <v>august</v>
          </cell>
          <cell r="D1616" t="str">
            <v>01-795</v>
          </cell>
          <cell r="F1616">
            <v>-1130</v>
          </cell>
          <cell r="G1616" t="str">
            <v>x</v>
          </cell>
        </row>
        <row r="1617">
          <cell r="B1617" t="str">
            <v>august</v>
          </cell>
          <cell r="D1617" t="str">
            <v>01-800</v>
          </cell>
          <cell r="F1617">
            <v>-2504</v>
          </cell>
          <cell r="G1617" t="str">
            <v>x</v>
          </cell>
        </row>
        <row r="1618">
          <cell r="B1618" t="str">
            <v>august</v>
          </cell>
          <cell r="D1618" t="str">
            <v>01-803</v>
          </cell>
          <cell r="F1618">
            <v>-3292</v>
          </cell>
          <cell r="G1618" t="str">
            <v>x</v>
          </cell>
        </row>
        <row r="1619">
          <cell r="B1619" t="str">
            <v>august</v>
          </cell>
          <cell r="D1619" t="str">
            <v>01-805</v>
          </cell>
          <cell r="F1619">
            <v>-3292</v>
          </cell>
          <cell r="G1619" t="str">
            <v>x</v>
          </cell>
        </row>
        <row r="1620">
          <cell r="B1620" t="str">
            <v>august</v>
          </cell>
          <cell r="D1620" t="str">
            <v>01-806</v>
          </cell>
          <cell r="F1620">
            <v>-3292</v>
          </cell>
          <cell r="G1620" t="str">
            <v>x</v>
          </cell>
        </row>
        <row r="1621">
          <cell r="B1621" t="str">
            <v>august</v>
          </cell>
          <cell r="D1621" t="str">
            <v>01-526</v>
          </cell>
          <cell r="F1621">
            <v>3913</v>
          </cell>
          <cell r="G1621" t="str">
            <v>x</v>
          </cell>
        </row>
        <row r="1622">
          <cell r="B1622" t="str">
            <v>august</v>
          </cell>
          <cell r="D1622" t="str">
            <v>01-575</v>
          </cell>
          <cell r="F1622">
            <v>3913</v>
          </cell>
          <cell r="G1622" t="str">
            <v>x</v>
          </cell>
        </row>
        <row r="1623">
          <cell r="B1623" t="str">
            <v>august</v>
          </cell>
          <cell r="D1623" t="str">
            <v>01-632</v>
          </cell>
          <cell r="F1623">
            <v>3460</v>
          </cell>
          <cell r="G1623" t="str">
            <v>x</v>
          </cell>
        </row>
        <row r="1624">
          <cell r="B1624" t="str">
            <v>august</v>
          </cell>
          <cell r="D1624" t="str">
            <v>UK Comp</v>
          </cell>
          <cell r="F1624">
            <v>6644.8</v>
          </cell>
          <cell r="G1624" t="str">
            <v>p</v>
          </cell>
        </row>
        <row r="1625">
          <cell r="B1625" t="str">
            <v>august</v>
          </cell>
          <cell r="D1625" t="str">
            <v>01-134</v>
          </cell>
          <cell r="F1625">
            <v>21060</v>
          </cell>
          <cell r="G1625" t="str">
            <v>p</v>
          </cell>
        </row>
        <row r="1626">
          <cell r="B1626" t="str">
            <v>august</v>
          </cell>
          <cell r="D1626" t="str">
            <v>01-314</v>
          </cell>
          <cell r="F1626">
            <v>39273.599999999999</v>
          </cell>
          <cell r="G1626" t="str">
            <v>p</v>
          </cell>
        </row>
        <row r="1627">
          <cell r="B1627" t="str">
            <v>august</v>
          </cell>
          <cell r="D1627" t="str">
            <v>01-720</v>
          </cell>
          <cell r="F1627">
            <v>3994</v>
          </cell>
          <cell r="G1627" t="str">
            <v>p</v>
          </cell>
        </row>
        <row r="1628">
          <cell r="B1628" t="str">
            <v>august</v>
          </cell>
          <cell r="D1628" t="str">
            <v>01-740</v>
          </cell>
          <cell r="F1628">
            <v>3717</v>
          </cell>
          <cell r="G1628" t="str">
            <v>p</v>
          </cell>
        </row>
        <row r="1629">
          <cell r="B1629" t="str">
            <v>august</v>
          </cell>
          <cell r="D1629" t="str">
            <v>01-741</v>
          </cell>
          <cell r="F1629">
            <v>3717</v>
          </cell>
          <cell r="G1629" t="str">
            <v>p</v>
          </cell>
        </row>
        <row r="1630">
          <cell r="B1630" t="str">
            <v>august</v>
          </cell>
          <cell r="D1630" t="str">
            <v>01-742</v>
          </cell>
          <cell r="F1630">
            <v>3717</v>
          </cell>
          <cell r="G1630" t="str">
            <v>p</v>
          </cell>
        </row>
        <row r="1631">
          <cell r="B1631" t="str">
            <v>august</v>
          </cell>
          <cell r="D1631" t="str">
            <v>01-750</v>
          </cell>
          <cell r="F1631">
            <v>1130</v>
          </cell>
          <cell r="G1631" t="str">
            <v>p</v>
          </cell>
        </row>
        <row r="1632">
          <cell r="B1632" t="str">
            <v>august</v>
          </cell>
          <cell r="D1632" t="str">
            <v>01-767</v>
          </cell>
          <cell r="F1632">
            <v>2977</v>
          </cell>
          <cell r="G1632" t="str">
            <v>p</v>
          </cell>
        </row>
        <row r="1633">
          <cell r="B1633" t="str">
            <v>august</v>
          </cell>
          <cell r="D1633" t="str">
            <v>01-773</v>
          </cell>
          <cell r="F1633">
            <v>3439</v>
          </cell>
          <cell r="G1633" t="str">
            <v>p</v>
          </cell>
        </row>
        <row r="1634">
          <cell r="B1634" t="str">
            <v>august</v>
          </cell>
          <cell r="D1634" t="str">
            <v>01-781</v>
          </cell>
          <cell r="F1634">
            <v>1130</v>
          </cell>
          <cell r="G1634" t="str">
            <v>p</v>
          </cell>
        </row>
        <row r="1635">
          <cell r="B1635" t="str">
            <v>august</v>
          </cell>
          <cell r="D1635" t="str">
            <v>01-787</v>
          </cell>
          <cell r="F1635">
            <v>3717</v>
          </cell>
          <cell r="G1635" t="str">
            <v>p</v>
          </cell>
        </row>
        <row r="1636">
          <cell r="B1636" t="str">
            <v>august</v>
          </cell>
          <cell r="D1636" t="str">
            <v>01-791</v>
          </cell>
          <cell r="F1636">
            <v>1130</v>
          </cell>
          <cell r="G1636" t="str">
            <v>p</v>
          </cell>
        </row>
        <row r="1637">
          <cell r="B1637" t="str">
            <v>august</v>
          </cell>
          <cell r="D1637" t="str">
            <v>01-792</v>
          </cell>
          <cell r="F1637">
            <v>3717</v>
          </cell>
          <cell r="G1637" t="str">
            <v>p</v>
          </cell>
        </row>
        <row r="1638">
          <cell r="B1638" t="str">
            <v>august</v>
          </cell>
          <cell r="D1638" t="str">
            <v>01-795</v>
          </cell>
          <cell r="F1638">
            <v>1130</v>
          </cell>
          <cell r="G1638" t="str">
            <v>p</v>
          </cell>
        </row>
        <row r="1639">
          <cell r="B1639" t="str">
            <v>august</v>
          </cell>
          <cell r="D1639" t="str">
            <v>01-796</v>
          </cell>
          <cell r="F1639">
            <v>3332</v>
          </cell>
          <cell r="G1639" t="str">
            <v>p</v>
          </cell>
        </row>
        <row r="1640">
          <cell r="B1640" t="str">
            <v>august</v>
          </cell>
          <cell r="D1640" t="str">
            <v>01-797</v>
          </cell>
          <cell r="F1640">
            <v>3717</v>
          </cell>
          <cell r="G1640" t="str">
            <v>p</v>
          </cell>
        </row>
        <row r="1641">
          <cell r="B1641" t="str">
            <v>august</v>
          </cell>
          <cell r="D1641" t="str">
            <v>01-798</v>
          </cell>
          <cell r="F1641">
            <v>3332</v>
          </cell>
          <cell r="G1641" t="str">
            <v>p</v>
          </cell>
        </row>
        <row r="1642">
          <cell r="B1642" t="str">
            <v>august</v>
          </cell>
          <cell r="D1642" t="str">
            <v>01-799</v>
          </cell>
          <cell r="F1642">
            <v>3717</v>
          </cell>
          <cell r="G1642" t="str">
            <v>p</v>
          </cell>
        </row>
        <row r="1643">
          <cell r="B1643" t="str">
            <v>august</v>
          </cell>
          <cell r="D1643" t="str">
            <v>01-800</v>
          </cell>
          <cell r="F1643">
            <v>2504</v>
          </cell>
          <cell r="G1643" t="str">
            <v>p</v>
          </cell>
        </row>
        <row r="1644">
          <cell r="B1644" t="str">
            <v>august</v>
          </cell>
          <cell r="D1644" t="str">
            <v>01-801</v>
          </cell>
          <cell r="F1644">
            <v>3292</v>
          </cell>
          <cell r="G1644" t="str">
            <v>p</v>
          </cell>
        </row>
        <row r="1645">
          <cell r="B1645" t="str">
            <v>august</v>
          </cell>
          <cell r="D1645" t="str">
            <v>01-803</v>
          </cell>
          <cell r="F1645">
            <v>3292</v>
          </cell>
          <cell r="G1645" t="str">
            <v>p</v>
          </cell>
        </row>
        <row r="1646">
          <cell r="B1646" t="str">
            <v>august</v>
          </cell>
          <cell r="D1646" t="str">
            <v>01-805</v>
          </cell>
          <cell r="F1646">
            <v>3292</v>
          </cell>
          <cell r="G1646" t="str">
            <v>p</v>
          </cell>
        </row>
        <row r="1647">
          <cell r="B1647" t="str">
            <v>august</v>
          </cell>
          <cell r="D1647" t="str">
            <v>01-806</v>
          </cell>
          <cell r="F1647">
            <v>3292</v>
          </cell>
          <cell r="G1647" t="str">
            <v>p</v>
          </cell>
        </row>
        <row r="1648">
          <cell r="B1648" t="str">
            <v>august</v>
          </cell>
          <cell r="D1648" t="str">
            <v>01-807</v>
          </cell>
          <cell r="F1648">
            <v>3332</v>
          </cell>
          <cell r="G1648" t="str">
            <v>p</v>
          </cell>
        </row>
        <row r="1649">
          <cell r="B1649" t="str">
            <v>august</v>
          </cell>
          <cell r="D1649" t="str">
            <v>01-808</v>
          </cell>
          <cell r="F1649">
            <v>3662</v>
          </cell>
          <cell r="G1649" t="str">
            <v>p</v>
          </cell>
        </row>
        <row r="1650">
          <cell r="B1650" t="str">
            <v>august</v>
          </cell>
          <cell r="D1650" t="str">
            <v>01-809</v>
          </cell>
          <cell r="F1650">
            <v>2450</v>
          </cell>
          <cell r="G1650" t="str">
            <v>p</v>
          </cell>
        </row>
        <row r="1651">
          <cell r="B1651" t="str">
            <v>august</v>
          </cell>
          <cell r="D1651" t="str">
            <v>01-811</v>
          </cell>
          <cell r="F1651">
            <v>2977</v>
          </cell>
          <cell r="G1651" t="str">
            <v>p</v>
          </cell>
        </row>
        <row r="1652">
          <cell r="B1652" t="str">
            <v>august</v>
          </cell>
          <cell r="D1652" t="str">
            <v>01-812</v>
          </cell>
          <cell r="F1652">
            <v>2450</v>
          </cell>
          <cell r="G1652" t="str">
            <v>p</v>
          </cell>
        </row>
        <row r="1653">
          <cell r="B1653" t="str">
            <v>august</v>
          </cell>
          <cell r="D1653" t="str">
            <v>01-813</v>
          </cell>
          <cell r="F1653">
            <v>3817</v>
          </cell>
          <cell r="G1653" t="str">
            <v>p</v>
          </cell>
        </row>
        <row r="1654">
          <cell r="B1654" t="str">
            <v>august</v>
          </cell>
          <cell r="D1654" t="str">
            <v>01-815</v>
          </cell>
          <cell r="F1654">
            <v>3662</v>
          </cell>
          <cell r="G1654" t="str">
            <v>p</v>
          </cell>
        </row>
        <row r="1655">
          <cell r="B1655" t="str">
            <v>august</v>
          </cell>
          <cell r="D1655" t="str">
            <v>00-900</v>
          </cell>
          <cell r="F1655">
            <v>-85635</v>
          </cell>
          <cell r="G1655" t="str">
            <v>p</v>
          </cell>
        </row>
        <row r="1656">
          <cell r="B1656" t="str">
            <v>august</v>
          </cell>
          <cell r="D1656" t="str">
            <v>01-802</v>
          </cell>
          <cell r="F1656">
            <v>2504</v>
          </cell>
          <cell r="G1656" t="str">
            <v>p</v>
          </cell>
        </row>
        <row r="1657">
          <cell r="B1657" t="str">
            <v>august</v>
          </cell>
          <cell r="D1657" t="str">
            <v>00-900</v>
          </cell>
          <cell r="F1657">
            <v>-2504</v>
          </cell>
          <cell r="G1657" t="str">
            <v>p</v>
          </cell>
        </row>
        <row r="1658">
          <cell r="B1658" t="str">
            <v>august</v>
          </cell>
          <cell r="D1658" t="str">
            <v>01-802</v>
          </cell>
          <cell r="F1658">
            <v>-2504</v>
          </cell>
          <cell r="G1658" t="str">
            <v>x</v>
          </cell>
        </row>
        <row r="1659">
          <cell r="B1659" t="str">
            <v>august</v>
          </cell>
          <cell r="D1659" t="str">
            <v>01-039</v>
          </cell>
          <cell r="F1659">
            <v>-50328.43</v>
          </cell>
          <cell r="G1659" t="str">
            <v>c</v>
          </cell>
        </row>
        <row r="1660">
          <cell r="B1660" t="str">
            <v>august</v>
          </cell>
          <cell r="D1660" t="str">
            <v>01-043</v>
          </cell>
          <cell r="F1660">
            <v>-18436.689999999999</v>
          </cell>
          <cell r="G1660" t="str">
            <v>c</v>
          </cell>
        </row>
        <row r="1661">
          <cell r="B1661" t="str">
            <v>august</v>
          </cell>
          <cell r="D1661" t="str">
            <v>01-112</v>
          </cell>
          <cell r="F1661">
            <v>-2987.44</v>
          </cell>
          <cell r="G1661" t="str">
            <v>c</v>
          </cell>
        </row>
        <row r="1662">
          <cell r="B1662" t="str">
            <v>august</v>
          </cell>
          <cell r="D1662" t="str">
            <v>01-102</v>
          </cell>
          <cell r="F1662">
            <v>-14529.42</v>
          </cell>
          <cell r="G1662" t="str">
            <v>c</v>
          </cell>
        </row>
        <row r="1663">
          <cell r="B1663" t="str">
            <v>august</v>
          </cell>
          <cell r="D1663" t="str">
            <v>01-109</v>
          </cell>
          <cell r="F1663">
            <v>-17676.330000000002</v>
          </cell>
          <cell r="G1663" t="str">
            <v>c</v>
          </cell>
        </row>
        <row r="1664">
          <cell r="B1664" t="str">
            <v>august</v>
          </cell>
          <cell r="D1664" t="str">
            <v>01-315</v>
          </cell>
          <cell r="F1664">
            <v>-5389</v>
          </cell>
          <cell r="G1664" t="str">
            <v>c</v>
          </cell>
        </row>
        <row r="1665">
          <cell r="B1665" t="str">
            <v>august</v>
          </cell>
          <cell r="D1665" t="str">
            <v>01-057</v>
          </cell>
          <cell r="F1665">
            <v>-9400</v>
          </cell>
          <cell r="G1665" t="str">
            <v>c</v>
          </cell>
        </row>
        <row r="1666">
          <cell r="B1666" t="str">
            <v>august</v>
          </cell>
          <cell r="D1666" t="str">
            <v>01-119</v>
          </cell>
          <cell r="F1666">
            <v>-5926.62</v>
          </cell>
          <cell r="G1666" t="str">
            <v>c</v>
          </cell>
        </row>
        <row r="1667">
          <cell r="B1667" t="str">
            <v>august</v>
          </cell>
          <cell r="D1667" t="str">
            <v>01-303</v>
          </cell>
          <cell r="F1667">
            <v>-63172.15</v>
          </cell>
          <cell r="G1667" t="str">
            <v>c</v>
          </cell>
        </row>
        <row r="1668">
          <cell r="B1668" t="str">
            <v>august</v>
          </cell>
          <cell r="D1668" t="str">
            <v>01-121</v>
          </cell>
          <cell r="F1668">
            <v>-24998.81</v>
          </cell>
          <cell r="G1668" t="str">
            <v>c</v>
          </cell>
        </row>
        <row r="1669">
          <cell r="B1669" t="str">
            <v>august</v>
          </cell>
          <cell r="D1669" t="str">
            <v>01-120</v>
          </cell>
          <cell r="F1669">
            <v>-24998.81</v>
          </cell>
          <cell r="G1669" t="str">
            <v>c</v>
          </cell>
        </row>
        <row r="1670">
          <cell r="B1670" t="str">
            <v>august</v>
          </cell>
          <cell r="D1670" t="str">
            <v>01-107</v>
          </cell>
          <cell r="F1670">
            <v>-10278</v>
          </cell>
          <cell r="G1670" t="str">
            <v>c</v>
          </cell>
        </row>
        <row r="1671">
          <cell r="B1671" t="str">
            <v>august</v>
          </cell>
          <cell r="D1671" t="str">
            <v>01-302</v>
          </cell>
          <cell r="F1671">
            <v>-12595.83</v>
          </cell>
          <cell r="G1671" t="str">
            <v>c</v>
          </cell>
        </row>
        <row r="1672">
          <cell r="B1672" t="str">
            <v>august</v>
          </cell>
          <cell r="D1672" t="str">
            <v>01-115</v>
          </cell>
          <cell r="F1672">
            <v>-3257.27</v>
          </cell>
          <cell r="G1672" t="str">
            <v>c</v>
          </cell>
        </row>
        <row r="1673">
          <cell r="B1673" t="str">
            <v>august</v>
          </cell>
          <cell r="D1673" t="str">
            <v>01-122</v>
          </cell>
          <cell r="F1673">
            <v>-19507.169999999998</v>
          </cell>
          <cell r="G1673" t="str">
            <v>c</v>
          </cell>
        </row>
        <row r="1674">
          <cell r="B1674" t="str">
            <v>august</v>
          </cell>
          <cell r="D1674" t="str">
            <v>01-105</v>
          </cell>
          <cell r="F1674">
            <v>-7190.4</v>
          </cell>
          <cell r="G1674" t="str">
            <v>c</v>
          </cell>
        </row>
        <row r="1675">
          <cell r="B1675" t="str">
            <v>august</v>
          </cell>
          <cell r="D1675" t="str">
            <v>99-166</v>
          </cell>
          <cell r="F1675">
            <v>-260000</v>
          </cell>
          <cell r="G1675" t="str">
            <v>c</v>
          </cell>
        </row>
        <row r="1676">
          <cell r="B1676" t="str">
            <v>august</v>
          </cell>
          <cell r="D1676" t="str">
            <v>99-337</v>
          </cell>
          <cell r="F1676">
            <v>-183747.93</v>
          </cell>
          <cell r="G1676" t="str">
            <v>c</v>
          </cell>
        </row>
        <row r="1677">
          <cell r="B1677" t="str">
            <v>august</v>
          </cell>
          <cell r="D1677" t="str">
            <v>00-131</v>
          </cell>
          <cell r="F1677">
            <v>-136252.07</v>
          </cell>
          <cell r="G1677" t="str">
            <v>c</v>
          </cell>
        </row>
        <row r="1678">
          <cell r="B1678" t="str">
            <v>august</v>
          </cell>
          <cell r="D1678" t="str">
            <v>01-526</v>
          </cell>
          <cell r="F1678">
            <v>-3913</v>
          </cell>
          <cell r="G1678" t="str">
            <v>c</v>
          </cell>
        </row>
        <row r="1679">
          <cell r="B1679" t="str">
            <v>august</v>
          </cell>
          <cell r="D1679" t="str">
            <v>01-575</v>
          </cell>
          <cell r="F1679">
            <v>-3913</v>
          </cell>
          <cell r="G1679" t="str">
            <v>c</v>
          </cell>
        </row>
        <row r="1680">
          <cell r="B1680" t="str">
            <v>august</v>
          </cell>
          <cell r="D1680" t="str">
            <v>01-632</v>
          </cell>
          <cell r="F1680">
            <v>-3460</v>
          </cell>
          <cell r="G1680" t="str">
            <v>c</v>
          </cell>
        </row>
        <row r="1681">
          <cell r="B1681" t="str">
            <v>august</v>
          </cell>
          <cell r="D1681" t="str">
            <v>UK Comp</v>
          </cell>
          <cell r="F1681">
            <v>-6644.8</v>
          </cell>
          <cell r="G1681" t="str">
            <v>c</v>
          </cell>
        </row>
        <row r="1682">
          <cell r="B1682" t="str">
            <v>august</v>
          </cell>
          <cell r="D1682" t="str">
            <v>01-096</v>
          </cell>
          <cell r="F1682">
            <v>-89241.16</v>
          </cell>
          <cell r="G1682" t="str">
            <v>c</v>
          </cell>
        </row>
        <row r="1683">
          <cell r="B1683" t="str">
            <v>august</v>
          </cell>
          <cell r="D1683" t="str">
            <v>01-090</v>
          </cell>
          <cell r="F1683">
            <v>-267061.86</v>
          </cell>
          <cell r="G1683" t="str">
            <v>c</v>
          </cell>
        </row>
        <row r="1684">
          <cell r="B1684" t="str">
            <v>august</v>
          </cell>
          <cell r="D1684" t="str">
            <v>01-720</v>
          </cell>
          <cell r="F1684">
            <v>-3994</v>
          </cell>
          <cell r="G1684" t="str">
            <v>c</v>
          </cell>
        </row>
        <row r="1685">
          <cell r="B1685" t="str">
            <v>august</v>
          </cell>
          <cell r="D1685" t="str">
            <v>01-740</v>
          </cell>
          <cell r="F1685">
            <v>-3717</v>
          </cell>
          <cell r="G1685" t="str">
            <v>c</v>
          </cell>
        </row>
        <row r="1686">
          <cell r="B1686" t="str">
            <v>august</v>
          </cell>
          <cell r="D1686" t="str">
            <v>01-741</v>
          </cell>
          <cell r="F1686">
            <v>-3717</v>
          </cell>
          <cell r="G1686" t="str">
            <v>c</v>
          </cell>
        </row>
        <row r="1687">
          <cell r="B1687" t="str">
            <v>august</v>
          </cell>
          <cell r="D1687" t="str">
            <v>01-742</v>
          </cell>
          <cell r="F1687">
            <v>-3717</v>
          </cell>
          <cell r="G1687" t="str">
            <v>c</v>
          </cell>
        </row>
        <row r="1688">
          <cell r="B1688" t="str">
            <v>august</v>
          </cell>
          <cell r="D1688" t="str">
            <v>01-750</v>
          </cell>
          <cell r="F1688">
            <v>-1130</v>
          </cell>
          <cell r="G1688" t="str">
            <v>c</v>
          </cell>
        </row>
        <row r="1689">
          <cell r="B1689" t="str">
            <v>august</v>
          </cell>
          <cell r="D1689" t="str">
            <v>01-767</v>
          </cell>
          <cell r="F1689">
            <v>-2977</v>
          </cell>
          <cell r="G1689" t="str">
            <v>c</v>
          </cell>
        </row>
        <row r="1690">
          <cell r="B1690" t="str">
            <v>august</v>
          </cell>
          <cell r="D1690" t="str">
            <v>01-773</v>
          </cell>
          <cell r="F1690">
            <v>-3439</v>
          </cell>
          <cell r="G1690" t="str">
            <v>c</v>
          </cell>
        </row>
        <row r="1691">
          <cell r="B1691" t="str">
            <v>august</v>
          </cell>
          <cell r="D1691" t="str">
            <v>01-781</v>
          </cell>
          <cell r="F1691">
            <v>-1130</v>
          </cell>
          <cell r="G1691" t="str">
            <v>c</v>
          </cell>
        </row>
        <row r="1692">
          <cell r="B1692" t="str">
            <v>august</v>
          </cell>
          <cell r="D1692" t="str">
            <v>01-787</v>
          </cell>
          <cell r="F1692">
            <v>-3717</v>
          </cell>
          <cell r="G1692" t="str">
            <v>c</v>
          </cell>
        </row>
        <row r="1693">
          <cell r="B1693" t="str">
            <v>august</v>
          </cell>
          <cell r="D1693" t="str">
            <v>01-791</v>
          </cell>
          <cell r="F1693">
            <v>-1130</v>
          </cell>
          <cell r="G1693" t="str">
            <v>c</v>
          </cell>
        </row>
        <row r="1694">
          <cell r="B1694" t="str">
            <v>august</v>
          </cell>
          <cell r="D1694" t="str">
            <v>01-792</v>
          </cell>
          <cell r="F1694">
            <v>-3717</v>
          </cell>
          <cell r="G1694" t="str">
            <v>c</v>
          </cell>
        </row>
        <row r="1695">
          <cell r="B1695" t="str">
            <v>august</v>
          </cell>
          <cell r="D1695" t="str">
            <v>01-796</v>
          </cell>
          <cell r="F1695">
            <v>-3332</v>
          </cell>
          <cell r="G1695" t="str">
            <v>c</v>
          </cell>
        </row>
        <row r="1696">
          <cell r="B1696" t="str">
            <v>august</v>
          </cell>
          <cell r="D1696" t="str">
            <v>01-797</v>
          </cell>
          <cell r="F1696">
            <v>-3717</v>
          </cell>
          <cell r="G1696" t="str">
            <v>c</v>
          </cell>
        </row>
        <row r="1697">
          <cell r="B1697" t="str">
            <v>august</v>
          </cell>
          <cell r="D1697" t="str">
            <v>01-798</v>
          </cell>
          <cell r="F1697">
            <v>-3332</v>
          </cell>
          <cell r="G1697" t="str">
            <v>c</v>
          </cell>
        </row>
        <row r="1698">
          <cell r="B1698" t="str">
            <v>august</v>
          </cell>
          <cell r="D1698" t="str">
            <v>01-799</v>
          </cell>
          <cell r="F1698">
            <v>-3717</v>
          </cell>
          <cell r="G1698" t="str">
            <v>c</v>
          </cell>
        </row>
        <row r="1699">
          <cell r="B1699" t="str">
            <v>august</v>
          </cell>
          <cell r="D1699" t="str">
            <v>01-801</v>
          </cell>
          <cell r="F1699">
            <v>-3292</v>
          </cell>
          <cell r="G1699" t="str">
            <v>c</v>
          </cell>
        </row>
        <row r="1700">
          <cell r="B1700" t="str">
            <v>august</v>
          </cell>
          <cell r="D1700" t="str">
            <v>01-807</v>
          </cell>
          <cell r="F1700">
            <v>-3332</v>
          </cell>
          <cell r="G1700" t="str">
            <v>c</v>
          </cell>
        </row>
        <row r="1701">
          <cell r="B1701" t="str">
            <v>august</v>
          </cell>
          <cell r="D1701" t="str">
            <v>01-808</v>
          </cell>
          <cell r="F1701">
            <v>-3662</v>
          </cell>
          <cell r="G1701" t="str">
            <v>c</v>
          </cell>
        </row>
        <row r="1702">
          <cell r="B1702" t="str">
            <v>august</v>
          </cell>
          <cell r="D1702" t="str">
            <v>01-809</v>
          </cell>
          <cell r="F1702">
            <v>-2450</v>
          </cell>
          <cell r="G1702" t="str">
            <v>c</v>
          </cell>
        </row>
        <row r="1703">
          <cell r="B1703" t="str">
            <v>august</v>
          </cell>
          <cell r="D1703" t="str">
            <v>01-811</v>
          </cell>
          <cell r="F1703">
            <v>-2977</v>
          </cell>
          <cell r="G1703" t="str">
            <v>c</v>
          </cell>
        </row>
        <row r="1704">
          <cell r="B1704" t="str">
            <v>august</v>
          </cell>
          <cell r="D1704" t="str">
            <v>01-812</v>
          </cell>
          <cell r="F1704">
            <v>-2450</v>
          </cell>
          <cell r="G1704" t="str">
            <v>c</v>
          </cell>
        </row>
        <row r="1705">
          <cell r="B1705" t="str">
            <v>august</v>
          </cell>
          <cell r="D1705" t="str">
            <v>01-813</v>
          </cell>
          <cell r="F1705">
            <v>-3817</v>
          </cell>
          <cell r="G1705" t="str">
            <v>c</v>
          </cell>
        </row>
        <row r="1706">
          <cell r="B1706" t="str">
            <v>august</v>
          </cell>
          <cell r="D1706" t="str">
            <v>01-815</v>
          </cell>
          <cell r="F1706">
            <v>-3662</v>
          </cell>
          <cell r="G1706" t="str">
            <v>c</v>
          </cell>
        </row>
        <row r="1707">
          <cell r="B1707" t="str">
            <v>august</v>
          </cell>
          <cell r="D1707" t="str">
            <v>00-118</v>
          </cell>
          <cell r="F1707">
            <v>-262.44</v>
          </cell>
          <cell r="G1707" t="str">
            <v>x</v>
          </cell>
        </row>
        <row r="1708">
          <cell r="B1708" t="str">
            <v>august</v>
          </cell>
          <cell r="D1708" t="str">
            <v>01-306</v>
          </cell>
          <cell r="F1708">
            <v>224</v>
          </cell>
          <cell r="G1708" t="str">
            <v>x</v>
          </cell>
        </row>
        <row r="1709">
          <cell r="B1709" t="str">
            <v>september</v>
          </cell>
          <cell r="D1709" t="str">
            <v>00-167</v>
          </cell>
          <cell r="F1709">
            <v>1140.96</v>
          </cell>
          <cell r="G1709" t="str">
            <v>p</v>
          </cell>
        </row>
        <row r="1710">
          <cell r="B1710" t="str">
            <v>september</v>
          </cell>
          <cell r="D1710" t="str">
            <v>01-002</v>
          </cell>
          <cell r="F1710">
            <v>-362.97</v>
          </cell>
          <cell r="G1710" t="str">
            <v>p</v>
          </cell>
        </row>
        <row r="1711">
          <cell r="B1711" t="str">
            <v>september</v>
          </cell>
          <cell r="D1711" t="str">
            <v>01-003</v>
          </cell>
          <cell r="F1711">
            <v>-22846.17</v>
          </cell>
          <cell r="G1711" t="str">
            <v>p</v>
          </cell>
        </row>
        <row r="1712">
          <cell r="B1712" t="str">
            <v>september</v>
          </cell>
          <cell r="D1712" t="str">
            <v>01-014</v>
          </cell>
          <cell r="F1712">
            <v>-467.77</v>
          </cell>
          <cell r="G1712" t="str">
            <v>p</v>
          </cell>
        </row>
        <row r="1713">
          <cell r="B1713" t="str">
            <v>september</v>
          </cell>
          <cell r="D1713" t="str">
            <v>01-053</v>
          </cell>
          <cell r="F1713">
            <v>6216.59</v>
          </cell>
          <cell r="G1713" t="str">
            <v>p</v>
          </cell>
        </row>
        <row r="1714">
          <cell r="B1714" t="str">
            <v>september</v>
          </cell>
          <cell r="D1714" t="str">
            <v>01-090</v>
          </cell>
          <cell r="F1714">
            <v>-67500</v>
          </cell>
          <cell r="G1714" t="str">
            <v>p</v>
          </cell>
        </row>
        <row r="1715">
          <cell r="B1715" t="str">
            <v>september</v>
          </cell>
          <cell r="D1715" t="str">
            <v>01-099</v>
          </cell>
          <cell r="F1715">
            <v>129.6</v>
          </cell>
          <cell r="G1715" t="str">
            <v>p</v>
          </cell>
        </row>
        <row r="1716">
          <cell r="B1716" t="str">
            <v>september</v>
          </cell>
          <cell r="D1716" t="str">
            <v>01-136</v>
          </cell>
          <cell r="F1716">
            <v>-14202</v>
          </cell>
          <cell r="G1716" t="str">
            <v>p</v>
          </cell>
        </row>
        <row r="1717">
          <cell r="B1717" t="str">
            <v>september</v>
          </cell>
          <cell r="D1717" t="str">
            <v>01-143</v>
          </cell>
          <cell r="F1717">
            <v>-16589</v>
          </cell>
          <cell r="G1717" t="str">
            <v>p</v>
          </cell>
        </row>
        <row r="1718">
          <cell r="B1718" t="str">
            <v>september</v>
          </cell>
          <cell r="D1718" t="str">
            <v>01-144</v>
          </cell>
          <cell r="F1718">
            <v>20.54</v>
          </cell>
          <cell r="G1718" t="str">
            <v>p</v>
          </cell>
        </row>
        <row r="1719">
          <cell r="B1719" t="str">
            <v>september</v>
          </cell>
          <cell r="D1719" t="str">
            <v>01-151</v>
          </cell>
          <cell r="F1719">
            <v>1826.34</v>
          </cell>
          <cell r="G1719" t="str">
            <v>p</v>
          </cell>
        </row>
        <row r="1720">
          <cell r="B1720" t="str">
            <v>september</v>
          </cell>
          <cell r="D1720" t="str">
            <v>01-157</v>
          </cell>
          <cell r="F1720">
            <v>4374</v>
          </cell>
          <cell r="G1720" t="str">
            <v>p</v>
          </cell>
        </row>
        <row r="1721">
          <cell r="B1721" t="str">
            <v>september</v>
          </cell>
          <cell r="D1721" t="str">
            <v>01-161</v>
          </cell>
          <cell r="F1721">
            <v>108</v>
          </cell>
          <cell r="G1721" t="str">
            <v>p</v>
          </cell>
        </row>
        <row r="1722">
          <cell r="B1722" t="str">
            <v>september</v>
          </cell>
          <cell r="D1722" t="str">
            <v>01-162</v>
          </cell>
          <cell r="F1722">
            <v>707.37</v>
          </cell>
          <cell r="G1722" t="str">
            <v>p</v>
          </cell>
        </row>
        <row r="1723">
          <cell r="B1723" t="str">
            <v>september</v>
          </cell>
          <cell r="D1723" t="str">
            <v>01-308</v>
          </cell>
          <cell r="F1723">
            <v>7921</v>
          </cell>
          <cell r="G1723" t="str">
            <v>p</v>
          </cell>
        </row>
        <row r="1724">
          <cell r="B1724" t="str">
            <v>september</v>
          </cell>
          <cell r="D1724" t="str">
            <v>01-311</v>
          </cell>
          <cell r="F1724">
            <v>56349.22</v>
          </cell>
          <cell r="G1724" t="str">
            <v>p</v>
          </cell>
        </row>
        <row r="1725">
          <cell r="B1725" t="str">
            <v>september</v>
          </cell>
          <cell r="D1725" t="str">
            <v>01-314</v>
          </cell>
          <cell r="F1725">
            <v>1235</v>
          </cell>
          <cell r="G1725" t="str">
            <v>p</v>
          </cell>
        </row>
        <row r="1726">
          <cell r="B1726" t="str">
            <v>september</v>
          </cell>
          <cell r="D1726" t="str">
            <v>00-900</v>
          </cell>
          <cell r="F1726">
            <v>52902.25</v>
          </cell>
          <cell r="G1726" t="str">
            <v>p</v>
          </cell>
        </row>
        <row r="1727">
          <cell r="B1727" t="str">
            <v>september</v>
          </cell>
          <cell r="D1727" t="str">
            <v>00-167</v>
          </cell>
          <cell r="F1727">
            <v>-129.08000000000001</v>
          </cell>
          <cell r="G1727" t="str">
            <v>p</v>
          </cell>
        </row>
        <row r="1728">
          <cell r="B1728" t="str">
            <v>september</v>
          </cell>
          <cell r="D1728" t="str">
            <v>01-002</v>
          </cell>
          <cell r="F1728">
            <v>-3.85</v>
          </cell>
          <cell r="G1728" t="str">
            <v>p</v>
          </cell>
        </row>
        <row r="1729">
          <cell r="B1729" t="str">
            <v>september</v>
          </cell>
          <cell r="D1729" t="str">
            <v>01-014</v>
          </cell>
          <cell r="F1729">
            <v>11682.59</v>
          </cell>
          <cell r="G1729" t="str">
            <v>p</v>
          </cell>
        </row>
        <row r="1730">
          <cell r="B1730" t="str">
            <v>september</v>
          </cell>
          <cell r="D1730" t="str">
            <v>01-053</v>
          </cell>
          <cell r="F1730">
            <v>232247.73</v>
          </cell>
          <cell r="G1730" t="str">
            <v>p</v>
          </cell>
        </row>
        <row r="1731">
          <cell r="B1731" t="str">
            <v>september</v>
          </cell>
          <cell r="D1731" t="str">
            <v>01-071</v>
          </cell>
          <cell r="F1731">
            <v>44.11</v>
          </cell>
          <cell r="G1731" t="str">
            <v>p</v>
          </cell>
        </row>
        <row r="1732">
          <cell r="B1732" t="str">
            <v>september</v>
          </cell>
          <cell r="D1732" t="str">
            <v>01-080</v>
          </cell>
          <cell r="F1732">
            <v>9152.81</v>
          </cell>
          <cell r="G1732" t="str">
            <v>p</v>
          </cell>
        </row>
        <row r="1733">
          <cell r="B1733" t="str">
            <v>september</v>
          </cell>
          <cell r="D1733" t="str">
            <v>01-104</v>
          </cell>
          <cell r="F1733">
            <v>2386.8000000000002</v>
          </cell>
          <cell r="G1733" t="str">
            <v>p</v>
          </cell>
        </row>
        <row r="1734">
          <cell r="B1734" t="str">
            <v>september</v>
          </cell>
          <cell r="D1734" t="str">
            <v>01-150</v>
          </cell>
          <cell r="F1734">
            <v>16146.04</v>
          </cell>
          <cell r="G1734" t="str">
            <v>p</v>
          </cell>
        </row>
        <row r="1735">
          <cell r="B1735" t="str">
            <v>september</v>
          </cell>
          <cell r="D1735" t="str">
            <v>01-151</v>
          </cell>
          <cell r="F1735">
            <v>118.8</v>
          </cell>
          <cell r="G1735" t="str">
            <v>p</v>
          </cell>
        </row>
        <row r="1736">
          <cell r="B1736" t="str">
            <v>september</v>
          </cell>
          <cell r="D1736" t="str">
            <v>01-152</v>
          </cell>
          <cell r="F1736">
            <v>13500.56</v>
          </cell>
          <cell r="G1736" t="str">
            <v>p</v>
          </cell>
        </row>
        <row r="1737">
          <cell r="B1737" t="str">
            <v>september</v>
          </cell>
          <cell r="D1737" t="str">
            <v>01-165</v>
          </cell>
          <cell r="F1737">
            <v>5734.8</v>
          </cell>
          <cell r="G1737" t="str">
            <v>p</v>
          </cell>
        </row>
        <row r="1738">
          <cell r="B1738" t="str">
            <v>september</v>
          </cell>
          <cell r="D1738" t="str">
            <v>01-167</v>
          </cell>
          <cell r="F1738">
            <v>7884.98</v>
          </cell>
          <cell r="G1738" t="str">
            <v>p</v>
          </cell>
        </row>
        <row r="1739">
          <cell r="B1739" t="str">
            <v>september</v>
          </cell>
          <cell r="D1739" t="str">
            <v>01-308</v>
          </cell>
          <cell r="F1739">
            <v>10817.55</v>
          </cell>
          <cell r="G1739" t="str">
            <v>p</v>
          </cell>
        </row>
        <row r="1740">
          <cell r="B1740" t="str">
            <v>september</v>
          </cell>
          <cell r="D1740" t="str">
            <v>01-316</v>
          </cell>
          <cell r="F1740">
            <v>25620.080000000002</v>
          </cell>
          <cell r="G1740" t="str">
            <v>p</v>
          </cell>
        </row>
        <row r="1741">
          <cell r="B1741" t="str">
            <v>september</v>
          </cell>
          <cell r="D1741" t="str">
            <v>00-900</v>
          </cell>
          <cell r="F1741">
            <v>1038.31</v>
          </cell>
          <cell r="G1741" t="str">
            <v>p</v>
          </cell>
        </row>
        <row r="1742">
          <cell r="B1742" t="str">
            <v>september</v>
          </cell>
          <cell r="D1742" t="str">
            <v>01-816</v>
          </cell>
          <cell r="F1742">
            <v>3276</v>
          </cell>
          <cell r="G1742" t="str">
            <v>p</v>
          </cell>
        </row>
        <row r="1743">
          <cell r="B1743" t="str">
            <v>september</v>
          </cell>
          <cell r="D1743" t="str">
            <v>01-819</v>
          </cell>
          <cell r="F1743">
            <v>3662</v>
          </cell>
          <cell r="G1743" t="str">
            <v>p</v>
          </cell>
        </row>
        <row r="1744">
          <cell r="B1744" t="str">
            <v>september</v>
          </cell>
          <cell r="D1744" t="str">
            <v>01-820</v>
          </cell>
          <cell r="F1744">
            <v>3994</v>
          </cell>
          <cell r="G1744" t="str">
            <v>p</v>
          </cell>
        </row>
        <row r="1745">
          <cell r="B1745" t="str">
            <v>september</v>
          </cell>
          <cell r="D1745" t="str">
            <v>01-821</v>
          </cell>
          <cell r="F1745">
            <v>3817</v>
          </cell>
          <cell r="G1745" t="str">
            <v>p</v>
          </cell>
        </row>
        <row r="1746">
          <cell r="B1746" t="str">
            <v>september</v>
          </cell>
          <cell r="D1746" t="str">
            <v>01-822</v>
          </cell>
          <cell r="F1746">
            <v>3276</v>
          </cell>
          <cell r="G1746" t="str">
            <v>p</v>
          </cell>
        </row>
        <row r="1747">
          <cell r="B1747" t="str">
            <v>september</v>
          </cell>
          <cell r="D1747" t="str">
            <v>01-823</v>
          </cell>
          <cell r="F1747">
            <v>1134</v>
          </cell>
          <cell r="G1747" t="str">
            <v>p</v>
          </cell>
        </row>
        <row r="1748">
          <cell r="B1748" t="str">
            <v>september</v>
          </cell>
          <cell r="D1748" t="str">
            <v>01-824</v>
          </cell>
          <cell r="F1748">
            <v>1134</v>
          </cell>
          <cell r="G1748" t="str">
            <v>p</v>
          </cell>
        </row>
        <row r="1749">
          <cell r="B1749" t="str">
            <v>september</v>
          </cell>
          <cell r="D1749" t="str">
            <v>01-825</v>
          </cell>
          <cell r="F1749">
            <v>2504</v>
          </cell>
          <cell r="G1749" t="str">
            <v>p</v>
          </cell>
        </row>
        <row r="1750">
          <cell r="B1750" t="str">
            <v>september</v>
          </cell>
          <cell r="D1750" t="str">
            <v>01-826</v>
          </cell>
          <cell r="F1750">
            <v>3276</v>
          </cell>
          <cell r="G1750" t="str">
            <v>p</v>
          </cell>
        </row>
        <row r="1751">
          <cell r="B1751" t="str">
            <v>september</v>
          </cell>
          <cell r="D1751" t="str">
            <v>01-827</v>
          </cell>
          <cell r="F1751">
            <v>1130</v>
          </cell>
          <cell r="G1751" t="str">
            <v>p</v>
          </cell>
        </row>
        <row r="1752">
          <cell r="B1752" t="str">
            <v>september</v>
          </cell>
          <cell r="D1752" t="str">
            <v>01-828</v>
          </cell>
          <cell r="F1752">
            <v>3817</v>
          </cell>
          <cell r="G1752" t="str">
            <v>p</v>
          </cell>
        </row>
        <row r="1753">
          <cell r="B1753" t="str">
            <v>september</v>
          </cell>
          <cell r="D1753" t="str">
            <v>01-788</v>
          </cell>
          <cell r="F1753">
            <v>3332</v>
          </cell>
          <cell r="G1753" t="str">
            <v>p</v>
          </cell>
        </row>
        <row r="1754">
          <cell r="B1754" t="str">
            <v>september</v>
          </cell>
          <cell r="D1754" t="str">
            <v>00-900</v>
          </cell>
          <cell r="F1754">
            <v>-34352</v>
          </cell>
          <cell r="G1754" t="str">
            <v>p</v>
          </cell>
        </row>
        <row r="1755">
          <cell r="B1755" t="str">
            <v>september</v>
          </cell>
          <cell r="D1755" t="str">
            <v>01-002</v>
          </cell>
          <cell r="F1755">
            <v>-18636.48</v>
          </cell>
          <cell r="G1755" t="str">
            <v>p</v>
          </cell>
        </row>
        <row r="1756">
          <cell r="B1756" t="str">
            <v>september</v>
          </cell>
          <cell r="D1756" t="str">
            <v>01-003</v>
          </cell>
          <cell r="F1756">
            <v>22846.17</v>
          </cell>
          <cell r="G1756" t="str">
            <v>p</v>
          </cell>
        </row>
        <row r="1757">
          <cell r="B1757" t="str">
            <v>september</v>
          </cell>
          <cell r="D1757" t="str">
            <v>01-053</v>
          </cell>
          <cell r="F1757">
            <v>1800</v>
          </cell>
          <cell r="G1757" t="str">
            <v>p</v>
          </cell>
        </row>
        <row r="1758">
          <cell r="B1758" t="str">
            <v>september</v>
          </cell>
          <cell r="D1758" t="str">
            <v>01-064</v>
          </cell>
          <cell r="F1758">
            <v>59301</v>
          </cell>
          <cell r="G1758" t="str">
            <v>p</v>
          </cell>
        </row>
        <row r="1759">
          <cell r="B1759" t="str">
            <v>september</v>
          </cell>
          <cell r="D1759" t="str">
            <v>01-071</v>
          </cell>
          <cell r="F1759">
            <v>2280.4</v>
          </cell>
          <cell r="G1759" t="str">
            <v>p</v>
          </cell>
        </row>
        <row r="1760">
          <cell r="B1760" t="str">
            <v>september</v>
          </cell>
          <cell r="D1760" t="str">
            <v>01-124</v>
          </cell>
          <cell r="F1760">
            <v>-3121.2</v>
          </cell>
          <cell r="G1760" t="str">
            <v>p</v>
          </cell>
        </row>
        <row r="1761">
          <cell r="B1761" t="str">
            <v>september</v>
          </cell>
          <cell r="D1761" t="str">
            <v>01-125</v>
          </cell>
          <cell r="F1761">
            <v>7927.48</v>
          </cell>
          <cell r="G1761" t="str">
            <v>p</v>
          </cell>
        </row>
        <row r="1762">
          <cell r="B1762" t="str">
            <v>september</v>
          </cell>
          <cell r="D1762" t="str">
            <v>01-126</v>
          </cell>
          <cell r="F1762">
            <v>270.35000000000002</v>
          </cell>
          <cell r="G1762" t="str">
            <v>p</v>
          </cell>
        </row>
        <row r="1763">
          <cell r="B1763" t="str">
            <v>september</v>
          </cell>
          <cell r="D1763" t="str">
            <v>01-136</v>
          </cell>
          <cell r="F1763">
            <v>14202</v>
          </cell>
          <cell r="G1763" t="str">
            <v>p</v>
          </cell>
        </row>
        <row r="1764">
          <cell r="B1764" t="str">
            <v>september</v>
          </cell>
          <cell r="D1764" t="str">
            <v>01-143</v>
          </cell>
          <cell r="F1764">
            <v>16589</v>
          </cell>
          <cell r="G1764" t="str">
            <v>p</v>
          </cell>
        </row>
        <row r="1765">
          <cell r="B1765" t="str">
            <v>september</v>
          </cell>
          <cell r="D1765" t="str">
            <v>01-149</v>
          </cell>
          <cell r="F1765">
            <v>14818.35</v>
          </cell>
          <cell r="G1765" t="str">
            <v>p</v>
          </cell>
        </row>
        <row r="1766">
          <cell r="B1766" t="str">
            <v>september</v>
          </cell>
          <cell r="D1766" t="str">
            <v>01-162</v>
          </cell>
          <cell r="F1766">
            <v>6241.58</v>
          </cell>
          <cell r="G1766" t="str">
            <v>p</v>
          </cell>
        </row>
        <row r="1767">
          <cell r="B1767" t="str">
            <v>september</v>
          </cell>
          <cell r="D1767" t="str">
            <v>01-163</v>
          </cell>
          <cell r="F1767">
            <v>19477.57</v>
          </cell>
          <cell r="G1767" t="str">
            <v>p</v>
          </cell>
        </row>
        <row r="1768">
          <cell r="B1768" t="str">
            <v>september</v>
          </cell>
          <cell r="D1768" t="str">
            <v>01-165</v>
          </cell>
          <cell r="F1768">
            <v>30</v>
          </cell>
          <cell r="G1768" t="str">
            <v>p</v>
          </cell>
        </row>
        <row r="1769">
          <cell r="B1769" t="str">
            <v>september</v>
          </cell>
          <cell r="D1769" t="str">
            <v>01-169</v>
          </cell>
          <cell r="F1769">
            <v>39909.870000000003</v>
          </cell>
          <cell r="G1769" t="str">
            <v>p</v>
          </cell>
        </row>
        <row r="1770">
          <cell r="B1770" t="str">
            <v>september</v>
          </cell>
          <cell r="D1770" t="str">
            <v>01-170</v>
          </cell>
          <cell r="F1770">
            <v>57956</v>
          </cell>
          <cell r="G1770" t="str">
            <v>p</v>
          </cell>
        </row>
        <row r="1771">
          <cell r="B1771" t="str">
            <v>september</v>
          </cell>
          <cell r="D1771" t="str">
            <v>01-308</v>
          </cell>
          <cell r="F1771">
            <v>33644.11</v>
          </cell>
          <cell r="G1771" t="str">
            <v>p</v>
          </cell>
        </row>
        <row r="1772">
          <cell r="B1772" t="str">
            <v>september</v>
          </cell>
          <cell r="D1772" t="str">
            <v>99-344</v>
          </cell>
          <cell r="F1772">
            <v>0</v>
          </cell>
          <cell r="G1772" t="str">
            <v>p</v>
          </cell>
        </row>
        <row r="1773">
          <cell r="B1773" t="str">
            <v>september</v>
          </cell>
          <cell r="D1773" t="str">
            <v>01-810</v>
          </cell>
          <cell r="F1773">
            <v>2450</v>
          </cell>
          <cell r="G1773" t="str">
            <v>p</v>
          </cell>
        </row>
        <row r="1774">
          <cell r="B1774" t="str">
            <v>september</v>
          </cell>
          <cell r="D1774" t="str">
            <v>00-900</v>
          </cell>
          <cell r="F1774">
            <v>-2450</v>
          </cell>
          <cell r="G1774" t="str">
            <v>p</v>
          </cell>
        </row>
        <row r="1775">
          <cell r="B1775" t="str">
            <v>september</v>
          </cell>
          <cell r="D1775" t="str">
            <v>01-810</v>
          </cell>
          <cell r="F1775">
            <v>-2450</v>
          </cell>
          <cell r="G1775" t="str">
            <v>x</v>
          </cell>
        </row>
        <row r="1776">
          <cell r="B1776" t="str">
            <v>september</v>
          </cell>
          <cell r="D1776" t="str">
            <v>01-053</v>
          </cell>
          <cell r="F1776">
            <v>408.41</v>
          </cell>
          <cell r="G1776" t="str">
            <v>p</v>
          </cell>
        </row>
        <row r="1777">
          <cell r="B1777" t="str">
            <v>september</v>
          </cell>
          <cell r="D1777" t="str">
            <v>01-816</v>
          </cell>
          <cell r="F1777">
            <v>-3276</v>
          </cell>
          <cell r="G1777" t="str">
            <v>c</v>
          </cell>
        </row>
        <row r="1778">
          <cell r="B1778" t="str">
            <v>september</v>
          </cell>
          <cell r="D1778" t="str">
            <v>01-819</v>
          </cell>
          <cell r="F1778">
            <v>-3662</v>
          </cell>
          <cell r="G1778" t="str">
            <v>c</v>
          </cell>
        </row>
        <row r="1779">
          <cell r="B1779" t="str">
            <v>september</v>
          </cell>
          <cell r="D1779" t="str">
            <v>01-820</v>
          </cell>
          <cell r="F1779">
            <v>-3994</v>
          </cell>
          <cell r="G1779" t="str">
            <v>c</v>
          </cell>
        </row>
        <row r="1780">
          <cell r="B1780" t="str">
            <v>september</v>
          </cell>
          <cell r="D1780" t="str">
            <v>01-821</v>
          </cell>
          <cell r="F1780">
            <v>-3817</v>
          </cell>
          <cell r="G1780" t="str">
            <v>c</v>
          </cell>
        </row>
        <row r="1781">
          <cell r="B1781" t="str">
            <v>september</v>
          </cell>
          <cell r="D1781" t="str">
            <v>01-822</v>
          </cell>
          <cell r="F1781">
            <v>-3276</v>
          </cell>
          <cell r="G1781" t="str">
            <v>c</v>
          </cell>
        </row>
        <row r="1782">
          <cell r="B1782" t="str">
            <v>september</v>
          </cell>
          <cell r="D1782" t="str">
            <v>01-823</v>
          </cell>
          <cell r="F1782">
            <v>-1134</v>
          </cell>
          <cell r="G1782" t="str">
            <v>c</v>
          </cell>
        </row>
        <row r="1783">
          <cell r="B1783" t="str">
            <v>september</v>
          </cell>
          <cell r="D1783" t="str">
            <v>01-824</v>
          </cell>
          <cell r="F1783">
            <v>-1134</v>
          </cell>
          <cell r="G1783" t="str">
            <v>c</v>
          </cell>
        </row>
        <row r="1784">
          <cell r="B1784" t="str">
            <v>september</v>
          </cell>
          <cell r="D1784" t="str">
            <v>01-825</v>
          </cell>
          <cell r="F1784">
            <v>-2504</v>
          </cell>
          <cell r="G1784" t="str">
            <v>c</v>
          </cell>
        </row>
        <row r="1785">
          <cell r="B1785" t="str">
            <v>september</v>
          </cell>
          <cell r="D1785" t="str">
            <v>01-826</v>
          </cell>
          <cell r="F1785">
            <v>-3276</v>
          </cell>
          <cell r="G1785" t="str">
            <v>c</v>
          </cell>
        </row>
        <row r="1786">
          <cell r="B1786" t="str">
            <v>september</v>
          </cell>
          <cell r="D1786" t="str">
            <v>01-827</v>
          </cell>
          <cell r="F1786">
            <v>-1130</v>
          </cell>
          <cell r="G1786" t="str">
            <v>c</v>
          </cell>
        </row>
        <row r="1787">
          <cell r="B1787" t="str">
            <v>september</v>
          </cell>
          <cell r="D1787" t="str">
            <v>01-828</v>
          </cell>
          <cell r="F1787">
            <v>-3817</v>
          </cell>
          <cell r="G1787" t="str">
            <v>c</v>
          </cell>
        </row>
        <row r="1788">
          <cell r="B1788" t="str">
            <v>september</v>
          </cell>
          <cell r="D1788" t="str">
            <v>01-788</v>
          </cell>
          <cell r="F1788">
            <v>-3332</v>
          </cell>
          <cell r="G1788" t="str">
            <v>c</v>
          </cell>
        </row>
        <row r="1789">
          <cell r="B1789" t="str">
            <v>september</v>
          </cell>
          <cell r="D1789" t="str">
            <v>01-137</v>
          </cell>
          <cell r="F1789">
            <v>-14500</v>
          </cell>
          <cell r="G1789" t="str">
            <v>c</v>
          </cell>
        </row>
        <row r="1790">
          <cell r="B1790" t="str">
            <v>september</v>
          </cell>
          <cell r="D1790" t="str">
            <v>01-748</v>
          </cell>
          <cell r="F1790">
            <v>-4340.59</v>
          </cell>
          <cell r="G1790" t="str">
            <v>c</v>
          </cell>
        </row>
        <row r="1791">
          <cell r="B1791" t="str">
            <v>september</v>
          </cell>
          <cell r="D1791" t="str">
            <v>01-127</v>
          </cell>
          <cell r="F1791">
            <v>-10998.6</v>
          </cell>
          <cell r="G1791" t="str">
            <v>c</v>
          </cell>
        </row>
        <row r="1792">
          <cell r="B1792" t="str">
            <v>september</v>
          </cell>
          <cell r="D1792" t="str">
            <v>01-128</v>
          </cell>
          <cell r="F1792">
            <v>-6381.6</v>
          </cell>
          <cell r="G1792" t="str">
            <v>c</v>
          </cell>
        </row>
        <row r="1793">
          <cell r="B1793" t="str">
            <v>september</v>
          </cell>
          <cell r="D1793" t="str">
            <v>01-117</v>
          </cell>
          <cell r="F1793">
            <v>-2798.12</v>
          </cell>
          <cell r="G1793" t="str">
            <v>c</v>
          </cell>
        </row>
        <row r="1794">
          <cell r="B1794" t="str">
            <v>september</v>
          </cell>
          <cell r="D1794" t="str">
            <v>01-131</v>
          </cell>
          <cell r="F1794">
            <v>-4461.8999999999996</v>
          </cell>
          <cell r="G1794" t="str">
            <v>c</v>
          </cell>
        </row>
        <row r="1795">
          <cell r="B1795" t="str">
            <v>september</v>
          </cell>
          <cell r="D1795" t="str">
            <v>01-104</v>
          </cell>
          <cell r="F1795">
            <v>-6804</v>
          </cell>
          <cell r="G1795" t="str">
            <v>c</v>
          </cell>
        </row>
        <row r="1796">
          <cell r="B1796" t="str">
            <v>september</v>
          </cell>
          <cell r="D1796" t="str">
            <v>01-133</v>
          </cell>
          <cell r="F1796">
            <v>-2872.47</v>
          </cell>
          <cell r="G1796" t="str">
            <v>c</v>
          </cell>
        </row>
        <row r="1797">
          <cell r="B1797" t="str">
            <v>september</v>
          </cell>
          <cell r="D1797" t="str">
            <v>01-022</v>
          </cell>
          <cell r="F1797">
            <v>-100459.64</v>
          </cell>
          <cell r="G1797" t="str">
            <v>c</v>
          </cell>
        </row>
        <row r="1798">
          <cell r="B1798" t="str">
            <v>september</v>
          </cell>
          <cell r="D1798" t="str">
            <v>01-110</v>
          </cell>
          <cell r="F1798">
            <v>-22942.47</v>
          </cell>
          <cell r="G1798" t="str">
            <v>c</v>
          </cell>
        </row>
        <row r="1799">
          <cell r="B1799" t="str">
            <v>september</v>
          </cell>
          <cell r="D1799" t="str">
            <v>01-138</v>
          </cell>
          <cell r="F1799">
            <v>-5225.6000000000004</v>
          </cell>
          <cell r="G1799" t="str">
            <v>c</v>
          </cell>
        </row>
        <row r="1800">
          <cell r="B1800" t="str">
            <v>september</v>
          </cell>
          <cell r="D1800" t="str">
            <v>01-135</v>
          </cell>
          <cell r="F1800">
            <v>-355070.01</v>
          </cell>
          <cell r="G1800" t="str">
            <v>c</v>
          </cell>
        </row>
        <row r="1801">
          <cell r="B1801" t="str">
            <v>september</v>
          </cell>
          <cell r="D1801" t="str">
            <v>01-065</v>
          </cell>
          <cell r="F1801">
            <v>-158543.99</v>
          </cell>
          <cell r="G1801" t="str">
            <v>c</v>
          </cell>
        </row>
        <row r="1802">
          <cell r="B1802" t="str">
            <v>september</v>
          </cell>
          <cell r="D1802" t="str">
            <v>01-118</v>
          </cell>
          <cell r="F1802">
            <v>-9938.86</v>
          </cell>
          <cell r="G1802" t="str">
            <v>c</v>
          </cell>
        </row>
        <row r="1803">
          <cell r="B1803" t="str">
            <v>september</v>
          </cell>
          <cell r="D1803" t="str">
            <v>00-230</v>
          </cell>
          <cell r="F1803">
            <v>-4574.53</v>
          </cell>
          <cell r="G1803" t="str">
            <v>c</v>
          </cell>
        </row>
        <row r="1804">
          <cell r="B1804" t="str">
            <v>september</v>
          </cell>
          <cell r="D1804" t="str">
            <v>01-047</v>
          </cell>
          <cell r="F1804">
            <v>-9753.83</v>
          </cell>
          <cell r="G1804" t="str">
            <v>c</v>
          </cell>
        </row>
        <row r="1805">
          <cell r="B1805" t="str">
            <v>september</v>
          </cell>
          <cell r="D1805" t="str">
            <v>01-103</v>
          </cell>
          <cell r="F1805">
            <v>-30684.32</v>
          </cell>
          <cell r="G1805" t="str">
            <v>c</v>
          </cell>
        </row>
        <row r="1806">
          <cell r="B1806" t="str">
            <v>september</v>
          </cell>
          <cell r="D1806" t="str">
            <v>01-012</v>
          </cell>
          <cell r="F1806">
            <v>-130751.36</v>
          </cell>
          <cell r="G1806" t="str">
            <v>c</v>
          </cell>
        </row>
        <row r="1807">
          <cell r="B1807" t="str">
            <v>september</v>
          </cell>
          <cell r="D1807" t="str">
            <v>01-072</v>
          </cell>
          <cell r="F1807">
            <v>154080</v>
          </cell>
          <cell r="G1807" t="str">
            <v>p</v>
          </cell>
        </row>
        <row r="1808">
          <cell r="B1808" t="str">
            <v>september</v>
          </cell>
          <cell r="D1808" t="str">
            <v>01-312</v>
          </cell>
          <cell r="F1808">
            <v>11485.89</v>
          </cell>
          <cell r="G1808" t="str">
            <v>p</v>
          </cell>
        </row>
        <row r="1809">
          <cell r="B1809" t="str">
            <v>september</v>
          </cell>
          <cell r="D1809" t="str">
            <v>01-300</v>
          </cell>
          <cell r="F1809">
            <v>32719.22</v>
          </cell>
          <cell r="G1809" t="str">
            <v>p</v>
          </cell>
        </row>
        <row r="1810">
          <cell r="B1810" t="str">
            <v>september</v>
          </cell>
          <cell r="D1810" t="str">
            <v>01-053</v>
          </cell>
          <cell r="F1810">
            <v>76077.34</v>
          </cell>
          <cell r="G1810" t="str">
            <v>p</v>
          </cell>
        </row>
        <row r="1811">
          <cell r="B1811" t="str">
            <v>september</v>
          </cell>
          <cell r="D1811" t="str">
            <v>01-003</v>
          </cell>
          <cell r="F1811">
            <v>87062.71</v>
          </cell>
          <cell r="G1811" t="str">
            <v>p</v>
          </cell>
        </row>
        <row r="1812">
          <cell r="B1812" t="str">
            <v>september</v>
          </cell>
          <cell r="D1812" t="str">
            <v>01-003</v>
          </cell>
          <cell r="F1812">
            <v>32971.26</v>
          </cell>
          <cell r="G1812" t="str">
            <v>p</v>
          </cell>
        </row>
        <row r="1813">
          <cell r="B1813" t="str">
            <v>september</v>
          </cell>
          <cell r="D1813" t="str">
            <v>01-003</v>
          </cell>
          <cell r="F1813">
            <v>76014.13</v>
          </cell>
          <cell r="G1813" t="str">
            <v>p</v>
          </cell>
        </row>
        <row r="1814">
          <cell r="B1814" t="str">
            <v>september</v>
          </cell>
          <cell r="D1814" t="str">
            <v>01-158</v>
          </cell>
          <cell r="F1814">
            <v>13993.19</v>
          </cell>
          <cell r="G1814" t="str">
            <v>p</v>
          </cell>
        </row>
        <row r="1815">
          <cell r="B1815" t="str">
            <v>september</v>
          </cell>
          <cell r="D1815" t="str">
            <v>01-311</v>
          </cell>
          <cell r="F1815">
            <v>6131.61</v>
          </cell>
          <cell r="G1815" t="str">
            <v>p</v>
          </cell>
        </row>
        <row r="1816">
          <cell r="B1816" t="str">
            <v>september</v>
          </cell>
          <cell r="D1816" t="str">
            <v>01-311</v>
          </cell>
          <cell r="F1816">
            <v>21125.45</v>
          </cell>
          <cell r="G1816" t="str">
            <v>p</v>
          </cell>
        </row>
        <row r="1817">
          <cell r="B1817" t="str">
            <v>september</v>
          </cell>
          <cell r="D1817" t="str">
            <v>01-317</v>
          </cell>
          <cell r="F1817">
            <v>8640</v>
          </cell>
          <cell r="G1817" t="str">
            <v>p</v>
          </cell>
        </row>
        <row r="1818">
          <cell r="B1818" t="str">
            <v>september</v>
          </cell>
          <cell r="D1818" t="str">
            <v>01-300</v>
          </cell>
          <cell r="F1818">
            <v>395876.46</v>
          </cell>
          <cell r="G1818" t="str">
            <v>p</v>
          </cell>
        </row>
        <row r="1819">
          <cell r="B1819" t="str">
            <v>september</v>
          </cell>
          <cell r="D1819" t="str">
            <v>01-167</v>
          </cell>
          <cell r="F1819">
            <v>-2449.59</v>
          </cell>
          <cell r="G1819" t="str">
            <v>p</v>
          </cell>
        </row>
        <row r="1820">
          <cell r="B1820" t="str">
            <v>september</v>
          </cell>
          <cell r="D1820" t="str">
            <v>01-090</v>
          </cell>
          <cell r="F1820">
            <v>67500</v>
          </cell>
          <cell r="G1820" t="str">
            <v>c</v>
          </cell>
        </row>
        <row r="2042">
          <cell r="B2042" t="str">
            <v>MONTH</v>
          </cell>
          <cell r="C2042" t="str">
            <v>REF</v>
          </cell>
          <cell r="D2042" t="str">
            <v>CSR</v>
          </cell>
          <cell r="E2042" t="str">
            <v>ITEM</v>
          </cell>
          <cell r="F2042" t="str">
            <v>AMOUNT</v>
          </cell>
          <cell r="G2042" t="str">
            <v>TRANSTYPE (P/C/X)</v>
          </cell>
        </row>
        <row r="2043">
          <cell r="B2043" t="str">
            <v>September</v>
          </cell>
          <cell r="D2043" t="str">
            <v>98-001</v>
          </cell>
          <cell r="G2043" t="str">
            <v>P</v>
          </cell>
        </row>
        <row r="2044">
          <cell r="B2044" t="str">
            <v>MONTH</v>
          </cell>
          <cell r="C2044" t="str">
            <v>REF</v>
          </cell>
          <cell r="D2044" t="str">
            <v>CSR</v>
          </cell>
          <cell r="E2044" t="str">
            <v>ITEM</v>
          </cell>
          <cell r="F2044" t="str">
            <v>AMOUNT</v>
          </cell>
          <cell r="G2044" t="str">
            <v>TRANSTYPE (P/C/X)</v>
          </cell>
        </row>
        <row r="2045">
          <cell r="B2045" t="str">
            <v>September</v>
          </cell>
          <cell r="D2045" t="str">
            <v>98-002</v>
          </cell>
          <cell r="G2045" t="str">
            <v>P</v>
          </cell>
        </row>
        <row r="2046">
          <cell r="B2046" t="str">
            <v>MONTH</v>
          </cell>
          <cell r="C2046" t="str">
            <v>REF</v>
          </cell>
          <cell r="D2046" t="str">
            <v>CSR</v>
          </cell>
          <cell r="E2046" t="str">
            <v>ITEM</v>
          </cell>
          <cell r="F2046" t="str">
            <v>AMOUNT</v>
          </cell>
          <cell r="G2046" t="str">
            <v>TRANSTYPE (P/C/X)</v>
          </cell>
        </row>
        <row r="2047">
          <cell r="B2047" t="str">
            <v>September</v>
          </cell>
          <cell r="D2047" t="str">
            <v>98-003</v>
          </cell>
          <cell r="G2047" t="str">
            <v>P</v>
          </cell>
        </row>
        <row r="2048">
          <cell r="B2048" t="str">
            <v>MONTH</v>
          </cell>
          <cell r="C2048" t="str">
            <v>REF</v>
          </cell>
          <cell r="D2048" t="str">
            <v>CSR</v>
          </cell>
          <cell r="E2048" t="str">
            <v>ITEM</v>
          </cell>
          <cell r="F2048" t="str">
            <v>AMOUNT</v>
          </cell>
          <cell r="G2048" t="str">
            <v>TRANSTYPE (P/C/X)</v>
          </cell>
        </row>
        <row r="2049">
          <cell r="B2049" t="str">
            <v>September</v>
          </cell>
          <cell r="D2049" t="str">
            <v>98-004</v>
          </cell>
          <cell r="G2049" t="str">
            <v>P</v>
          </cell>
        </row>
        <row r="2050">
          <cell r="B2050" t="str">
            <v>MONTH</v>
          </cell>
          <cell r="C2050" t="str">
            <v>REF</v>
          </cell>
          <cell r="D2050" t="str">
            <v>CSR</v>
          </cell>
          <cell r="E2050" t="str">
            <v>ITEM</v>
          </cell>
          <cell r="F2050" t="str">
            <v>AMOUNT</v>
          </cell>
          <cell r="G2050" t="str">
            <v>TRANSTYPE (P/C/X)</v>
          </cell>
        </row>
        <row r="2051">
          <cell r="B2051" t="str">
            <v>September</v>
          </cell>
          <cell r="D2051" t="str">
            <v>98-005</v>
          </cell>
          <cell r="G2051" t="str">
            <v>P</v>
          </cell>
        </row>
        <row r="2052">
          <cell r="B2052" t="str">
            <v>MONTH</v>
          </cell>
          <cell r="C2052" t="str">
            <v>REF</v>
          </cell>
          <cell r="D2052" t="str">
            <v>CSR</v>
          </cell>
          <cell r="E2052" t="str">
            <v>ITEM</v>
          </cell>
          <cell r="F2052" t="str">
            <v>AMOUNT</v>
          </cell>
          <cell r="G2052" t="str">
            <v>TRANSTYPE (P/C/X)</v>
          </cell>
        </row>
        <row r="2053">
          <cell r="B2053" t="str">
            <v>September</v>
          </cell>
          <cell r="D2053" t="str">
            <v>98-006</v>
          </cell>
          <cell r="G2053" t="str">
            <v>P</v>
          </cell>
        </row>
        <row r="2054">
          <cell r="B2054" t="str">
            <v>MONTH</v>
          </cell>
          <cell r="C2054" t="str">
            <v>REF</v>
          </cell>
          <cell r="D2054" t="str">
            <v>CSR</v>
          </cell>
          <cell r="E2054" t="str">
            <v>ITEM</v>
          </cell>
          <cell r="F2054" t="str">
            <v>AMOUNT</v>
          </cell>
          <cell r="G2054" t="str">
            <v>TRANSTYPE (P/C/X)</v>
          </cell>
        </row>
        <row r="2055">
          <cell r="B2055" t="str">
            <v>September</v>
          </cell>
          <cell r="D2055" t="str">
            <v>98-007</v>
          </cell>
          <cell r="G2055" t="str">
            <v>P</v>
          </cell>
        </row>
        <row r="2056">
          <cell r="B2056" t="str">
            <v>MONTH</v>
          </cell>
          <cell r="C2056" t="str">
            <v>REF</v>
          </cell>
          <cell r="D2056" t="str">
            <v>CSR</v>
          </cell>
          <cell r="E2056" t="str">
            <v>ITEM</v>
          </cell>
          <cell r="F2056" t="str">
            <v>AMOUNT</v>
          </cell>
          <cell r="G2056" t="str">
            <v>TRANSTYPE (P/C/X)</v>
          </cell>
        </row>
        <row r="2057">
          <cell r="B2057" t="str">
            <v>September</v>
          </cell>
          <cell r="D2057" t="str">
            <v>98-008</v>
          </cell>
          <cell r="G2057" t="str">
            <v>P</v>
          </cell>
        </row>
        <row r="2058">
          <cell r="B2058" t="str">
            <v>MONTH</v>
          </cell>
          <cell r="C2058" t="str">
            <v>REF</v>
          </cell>
          <cell r="D2058" t="str">
            <v>CSR</v>
          </cell>
          <cell r="E2058" t="str">
            <v>ITEM</v>
          </cell>
          <cell r="F2058" t="str">
            <v>AMOUNT</v>
          </cell>
          <cell r="G2058" t="str">
            <v>TRANSTYPE (P/C/X)</v>
          </cell>
        </row>
        <row r="2059">
          <cell r="B2059" t="str">
            <v>September</v>
          </cell>
          <cell r="D2059" t="str">
            <v>98-009</v>
          </cell>
          <cell r="G2059" t="str">
            <v>P</v>
          </cell>
        </row>
        <row r="2060">
          <cell r="B2060" t="str">
            <v>MONTH</v>
          </cell>
          <cell r="C2060" t="str">
            <v>REF</v>
          </cell>
          <cell r="D2060" t="str">
            <v>CSR</v>
          </cell>
          <cell r="E2060" t="str">
            <v>ITEM</v>
          </cell>
          <cell r="F2060" t="str">
            <v>AMOUNT</v>
          </cell>
          <cell r="G2060" t="str">
            <v>TRANSTYPE (P/C/X)</v>
          </cell>
        </row>
        <row r="2061">
          <cell r="B2061" t="str">
            <v>September</v>
          </cell>
          <cell r="D2061" t="str">
            <v>98-010</v>
          </cell>
          <cell r="G2061" t="str">
            <v>P</v>
          </cell>
        </row>
        <row r="2062">
          <cell r="B2062" t="str">
            <v>MONTH</v>
          </cell>
          <cell r="C2062" t="str">
            <v>REF</v>
          </cell>
          <cell r="D2062" t="str">
            <v>CSR</v>
          </cell>
          <cell r="E2062" t="str">
            <v>ITEM</v>
          </cell>
          <cell r="F2062" t="str">
            <v>AMOUNT</v>
          </cell>
          <cell r="G2062" t="str">
            <v>TRANSTYPE (P/C/X)</v>
          </cell>
        </row>
        <row r="2063">
          <cell r="B2063" t="str">
            <v>September</v>
          </cell>
          <cell r="D2063" t="str">
            <v>98-011</v>
          </cell>
          <cell r="G2063" t="str">
            <v>P</v>
          </cell>
        </row>
        <row r="2064">
          <cell r="B2064" t="str">
            <v>MONTH</v>
          </cell>
          <cell r="C2064" t="str">
            <v>REF</v>
          </cell>
          <cell r="D2064" t="str">
            <v>CSR</v>
          </cell>
          <cell r="E2064" t="str">
            <v>ITEM</v>
          </cell>
          <cell r="F2064" t="str">
            <v>AMOUNT</v>
          </cell>
          <cell r="G2064" t="str">
            <v>TRANSTYPE (P/C/X)</v>
          </cell>
        </row>
        <row r="2065">
          <cell r="B2065" t="str">
            <v>September</v>
          </cell>
          <cell r="D2065" t="str">
            <v>98-012</v>
          </cell>
          <cell r="G2065" t="str">
            <v>P</v>
          </cell>
        </row>
        <row r="2066">
          <cell r="B2066" t="str">
            <v>MONTH</v>
          </cell>
          <cell r="C2066" t="str">
            <v>REF</v>
          </cell>
          <cell r="D2066" t="str">
            <v>CSR</v>
          </cell>
          <cell r="E2066" t="str">
            <v>ITEM</v>
          </cell>
          <cell r="F2066" t="str">
            <v>AMOUNT</v>
          </cell>
          <cell r="G2066" t="str">
            <v>TRANSTYPE (P/C/X)</v>
          </cell>
        </row>
        <row r="2067">
          <cell r="B2067" t="str">
            <v>September</v>
          </cell>
          <cell r="D2067" t="str">
            <v>98-013</v>
          </cell>
          <cell r="G2067" t="str">
            <v>P</v>
          </cell>
        </row>
        <row r="2068">
          <cell r="B2068" t="str">
            <v>MONTH</v>
          </cell>
          <cell r="C2068" t="str">
            <v>REF</v>
          </cell>
          <cell r="D2068" t="str">
            <v>CSR</v>
          </cell>
          <cell r="E2068" t="str">
            <v>ITEM</v>
          </cell>
          <cell r="F2068" t="str">
            <v>AMOUNT</v>
          </cell>
          <cell r="G2068" t="str">
            <v>TRANSTYPE (P/C/X)</v>
          </cell>
        </row>
        <row r="2069">
          <cell r="B2069" t="str">
            <v>September</v>
          </cell>
          <cell r="D2069" t="str">
            <v>98-014</v>
          </cell>
          <cell r="G2069" t="str">
            <v>P</v>
          </cell>
        </row>
        <row r="2070">
          <cell r="B2070" t="str">
            <v>MONTH</v>
          </cell>
          <cell r="C2070" t="str">
            <v>REF</v>
          </cell>
          <cell r="D2070" t="str">
            <v>CSR</v>
          </cell>
          <cell r="E2070" t="str">
            <v>ITEM</v>
          </cell>
          <cell r="F2070" t="str">
            <v>AMOUNT</v>
          </cell>
          <cell r="G2070" t="str">
            <v>TRANSTYPE (P/C/X)</v>
          </cell>
        </row>
        <row r="2071">
          <cell r="B2071" t="str">
            <v>September</v>
          </cell>
          <cell r="D2071" t="str">
            <v>98-015</v>
          </cell>
          <cell r="G2071" t="str">
            <v>P</v>
          </cell>
        </row>
        <row r="2072">
          <cell r="B2072" t="str">
            <v>MONTH</v>
          </cell>
          <cell r="C2072" t="str">
            <v>REF</v>
          </cell>
          <cell r="D2072" t="str">
            <v>CSR</v>
          </cell>
          <cell r="E2072" t="str">
            <v>ITEM</v>
          </cell>
          <cell r="F2072" t="str">
            <v>AMOUNT</v>
          </cell>
          <cell r="G2072" t="str">
            <v>TRANSTYPE (P/C/X)</v>
          </cell>
        </row>
        <row r="2073">
          <cell r="B2073" t="str">
            <v>September</v>
          </cell>
          <cell r="D2073" t="str">
            <v>98-016</v>
          </cell>
          <cell r="G2073" t="str">
            <v>P</v>
          </cell>
        </row>
        <row r="2074">
          <cell r="B2074" t="str">
            <v>MONTH</v>
          </cell>
          <cell r="C2074" t="str">
            <v>REF</v>
          </cell>
          <cell r="D2074" t="str">
            <v>CSR</v>
          </cell>
          <cell r="E2074" t="str">
            <v>ITEM</v>
          </cell>
          <cell r="F2074" t="str">
            <v>AMOUNT</v>
          </cell>
          <cell r="G2074" t="str">
            <v>TRANSTYPE (P/C/X)</v>
          </cell>
        </row>
        <row r="2075">
          <cell r="B2075" t="str">
            <v>September</v>
          </cell>
          <cell r="D2075" t="str">
            <v>98-017</v>
          </cell>
          <cell r="G2075" t="str">
            <v>P</v>
          </cell>
        </row>
        <row r="2076">
          <cell r="B2076" t="str">
            <v>MONTH</v>
          </cell>
          <cell r="C2076" t="str">
            <v>REF</v>
          </cell>
          <cell r="D2076" t="str">
            <v>CSR</v>
          </cell>
          <cell r="E2076" t="str">
            <v>ITEM</v>
          </cell>
          <cell r="F2076" t="str">
            <v>AMOUNT</v>
          </cell>
          <cell r="G2076" t="str">
            <v>TRANSTYPE (P/C/X)</v>
          </cell>
        </row>
        <row r="2077">
          <cell r="B2077" t="str">
            <v>September</v>
          </cell>
          <cell r="D2077" t="str">
            <v>98-018</v>
          </cell>
          <cell r="G2077" t="str">
            <v>P</v>
          </cell>
        </row>
        <row r="2078">
          <cell r="B2078" t="str">
            <v>MONTH</v>
          </cell>
          <cell r="C2078" t="str">
            <v>REF</v>
          </cell>
          <cell r="D2078" t="str">
            <v>CSR</v>
          </cell>
          <cell r="E2078" t="str">
            <v>ITEM</v>
          </cell>
          <cell r="F2078" t="str">
            <v>AMOUNT</v>
          </cell>
          <cell r="G2078" t="str">
            <v>TRANSTYPE (P/C/X)</v>
          </cell>
        </row>
        <row r="2079">
          <cell r="B2079" t="str">
            <v>September</v>
          </cell>
          <cell r="D2079" t="str">
            <v>98-019</v>
          </cell>
          <cell r="G2079" t="str">
            <v>P</v>
          </cell>
        </row>
        <row r="2080">
          <cell r="B2080" t="str">
            <v>MONTH</v>
          </cell>
          <cell r="C2080" t="str">
            <v>REF</v>
          </cell>
          <cell r="D2080" t="str">
            <v>CSR</v>
          </cell>
          <cell r="E2080" t="str">
            <v>ITEM</v>
          </cell>
          <cell r="F2080" t="str">
            <v>AMOUNT</v>
          </cell>
          <cell r="G2080" t="str">
            <v>TRANSTYPE (P/C/X)</v>
          </cell>
        </row>
        <row r="2081">
          <cell r="B2081" t="str">
            <v>September</v>
          </cell>
          <cell r="D2081" t="str">
            <v>98-020</v>
          </cell>
          <cell r="G2081" t="str">
            <v>P</v>
          </cell>
        </row>
        <row r="2082">
          <cell r="B2082" t="str">
            <v>MONTH</v>
          </cell>
          <cell r="C2082" t="str">
            <v>REF</v>
          </cell>
          <cell r="D2082" t="str">
            <v>CSR</v>
          </cell>
          <cell r="E2082" t="str">
            <v>ITEM</v>
          </cell>
          <cell r="F2082" t="str">
            <v>AMOUNT</v>
          </cell>
          <cell r="G2082" t="str">
            <v>TRANSTYPE (P/C/X)</v>
          </cell>
        </row>
        <row r="2083">
          <cell r="B2083" t="str">
            <v>September</v>
          </cell>
          <cell r="D2083" t="str">
            <v>98-021</v>
          </cell>
          <cell r="G2083" t="str">
            <v>P</v>
          </cell>
        </row>
        <row r="2084">
          <cell r="B2084" t="str">
            <v>MONTH</v>
          </cell>
          <cell r="C2084" t="str">
            <v>REF</v>
          </cell>
          <cell r="D2084" t="str">
            <v>CSR</v>
          </cell>
          <cell r="E2084" t="str">
            <v>ITEM</v>
          </cell>
          <cell r="F2084" t="str">
            <v>AMOUNT</v>
          </cell>
          <cell r="G2084" t="str">
            <v>TRANSTYPE (P/C/X)</v>
          </cell>
        </row>
        <row r="2085">
          <cell r="B2085" t="str">
            <v>September</v>
          </cell>
          <cell r="D2085" t="str">
            <v>98-022</v>
          </cell>
          <cell r="G2085" t="str">
            <v>P</v>
          </cell>
        </row>
        <row r="2086">
          <cell r="B2086" t="str">
            <v>MONTH</v>
          </cell>
          <cell r="C2086" t="str">
            <v>REF</v>
          </cell>
          <cell r="D2086" t="str">
            <v>CSR</v>
          </cell>
          <cell r="E2086" t="str">
            <v>ITEM</v>
          </cell>
          <cell r="F2086" t="str">
            <v>AMOUNT</v>
          </cell>
          <cell r="G2086" t="str">
            <v>TRANSTYPE (P/C/X)</v>
          </cell>
        </row>
        <row r="2087">
          <cell r="B2087" t="str">
            <v>September</v>
          </cell>
          <cell r="D2087" t="str">
            <v>98-023</v>
          </cell>
          <cell r="G2087" t="str">
            <v>P</v>
          </cell>
        </row>
        <row r="2088">
          <cell r="B2088" t="str">
            <v>MONTH</v>
          </cell>
          <cell r="C2088" t="str">
            <v>REF</v>
          </cell>
          <cell r="D2088" t="str">
            <v>CSR</v>
          </cell>
          <cell r="E2088" t="str">
            <v>ITEM</v>
          </cell>
          <cell r="F2088" t="str">
            <v>AMOUNT</v>
          </cell>
          <cell r="G2088" t="str">
            <v>TRANSTYPE (P/C/X)</v>
          </cell>
        </row>
        <row r="2089">
          <cell r="B2089" t="str">
            <v>September</v>
          </cell>
          <cell r="D2089" t="str">
            <v>98-024</v>
          </cell>
          <cell r="G2089" t="str">
            <v>P</v>
          </cell>
        </row>
        <row r="2090">
          <cell r="B2090" t="str">
            <v>MONTH</v>
          </cell>
          <cell r="C2090" t="str">
            <v>REF</v>
          </cell>
          <cell r="D2090" t="str">
            <v>CSR</v>
          </cell>
          <cell r="E2090" t="str">
            <v>ITEM</v>
          </cell>
          <cell r="F2090" t="str">
            <v>AMOUNT</v>
          </cell>
          <cell r="G2090" t="str">
            <v>TRANSTYPE (P/C/X)</v>
          </cell>
        </row>
        <row r="2091">
          <cell r="B2091" t="str">
            <v>September</v>
          </cell>
          <cell r="D2091" t="str">
            <v>98-025</v>
          </cell>
          <cell r="G2091" t="str">
            <v>P</v>
          </cell>
        </row>
        <row r="2092">
          <cell r="B2092" t="str">
            <v>MONTH</v>
          </cell>
          <cell r="C2092" t="str">
            <v>REF</v>
          </cell>
          <cell r="D2092" t="str">
            <v>CSR</v>
          </cell>
          <cell r="E2092" t="str">
            <v>ITEM</v>
          </cell>
          <cell r="F2092" t="str">
            <v>AMOUNT</v>
          </cell>
          <cell r="G2092" t="str">
            <v>TRANSTYPE (P/C/X)</v>
          </cell>
        </row>
        <row r="2093">
          <cell r="B2093" t="str">
            <v>September</v>
          </cell>
          <cell r="D2093" t="str">
            <v>98-026</v>
          </cell>
          <cell r="G2093" t="str">
            <v>P</v>
          </cell>
        </row>
        <row r="2094">
          <cell r="B2094" t="str">
            <v>MONTH</v>
          </cell>
          <cell r="C2094" t="str">
            <v>REF</v>
          </cell>
          <cell r="D2094" t="str">
            <v>CSR</v>
          </cell>
          <cell r="E2094" t="str">
            <v>ITEM</v>
          </cell>
          <cell r="F2094" t="str">
            <v>AMOUNT</v>
          </cell>
          <cell r="G2094" t="str">
            <v>TRANSTYPE (P/C/X)</v>
          </cell>
        </row>
        <row r="2095">
          <cell r="B2095" t="str">
            <v>September</v>
          </cell>
          <cell r="D2095" t="str">
            <v>98-027</v>
          </cell>
          <cell r="G2095" t="str">
            <v>P</v>
          </cell>
        </row>
        <row r="2096">
          <cell r="B2096" t="str">
            <v>MONTH</v>
          </cell>
          <cell r="C2096" t="str">
            <v>REF</v>
          </cell>
          <cell r="D2096" t="str">
            <v>CSR</v>
          </cell>
          <cell r="E2096" t="str">
            <v>ITEM</v>
          </cell>
          <cell r="F2096" t="str">
            <v>AMOUNT</v>
          </cell>
          <cell r="G2096" t="str">
            <v>TRANSTYPE (P/C/X)</v>
          </cell>
        </row>
        <row r="2097">
          <cell r="B2097" t="str">
            <v>September</v>
          </cell>
          <cell r="D2097" t="str">
            <v>98-028</v>
          </cell>
          <cell r="G2097" t="str">
            <v>P</v>
          </cell>
        </row>
        <row r="2098">
          <cell r="B2098" t="str">
            <v>MONTH</v>
          </cell>
          <cell r="C2098" t="str">
            <v>REF</v>
          </cell>
          <cell r="D2098" t="str">
            <v>CSR</v>
          </cell>
          <cell r="E2098" t="str">
            <v>ITEM</v>
          </cell>
          <cell r="F2098" t="str">
            <v>AMOUNT</v>
          </cell>
          <cell r="G2098" t="str">
            <v>TRANSTYPE (P/C/X)</v>
          </cell>
        </row>
        <row r="2099">
          <cell r="B2099" t="str">
            <v>September</v>
          </cell>
          <cell r="D2099" t="str">
            <v>98-029</v>
          </cell>
          <cell r="G2099" t="str">
            <v>P</v>
          </cell>
        </row>
        <row r="2100">
          <cell r="B2100" t="str">
            <v>MONTH</v>
          </cell>
          <cell r="C2100" t="str">
            <v>REF</v>
          </cell>
          <cell r="D2100" t="str">
            <v>CSR</v>
          </cell>
          <cell r="E2100" t="str">
            <v>ITEM</v>
          </cell>
          <cell r="F2100" t="str">
            <v>AMOUNT</v>
          </cell>
          <cell r="G2100" t="str">
            <v>TRANSTYPE (P/C/X)</v>
          </cell>
        </row>
        <row r="2101">
          <cell r="B2101" t="str">
            <v>September</v>
          </cell>
          <cell r="D2101" t="str">
            <v>98-030</v>
          </cell>
          <cell r="G2101" t="str">
            <v>P</v>
          </cell>
        </row>
        <row r="2102">
          <cell r="B2102" t="str">
            <v>MONTH</v>
          </cell>
          <cell r="C2102" t="str">
            <v>REF</v>
          </cell>
          <cell r="D2102" t="str">
            <v>CSR</v>
          </cell>
          <cell r="E2102" t="str">
            <v>ITEM</v>
          </cell>
          <cell r="F2102" t="str">
            <v>AMOUNT</v>
          </cell>
          <cell r="G2102" t="str">
            <v>TRANSTYPE (P/C/X)</v>
          </cell>
        </row>
        <row r="2103">
          <cell r="B2103" t="str">
            <v>September</v>
          </cell>
          <cell r="D2103" t="str">
            <v>98-031</v>
          </cell>
          <cell r="G2103" t="str">
            <v>P</v>
          </cell>
        </row>
        <row r="2104">
          <cell r="B2104" t="str">
            <v>MONTH</v>
          </cell>
          <cell r="C2104" t="str">
            <v>REF</v>
          </cell>
          <cell r="D2104" t="str">
            <v>CSR</v>
          </cell>
          <cell r="E2104" t="str">
            <v>ITEM</v>
          </cell>
          <cell r="F2104" t="str">
            <v>AMOUNT</v>
          </cell>
          <cell r="G2104" t="str">
            <v>TRANSTYPE (P/C/X)</v>
          </cell>
        </row>
        <row r="2105">
          <cell r="B2105" t="str">
            <v>September</v>
          </cell>
          <cell r="D2105" t="str">
            <v>98-032</v>
          </cell>
          <cell r="G2105" t="str">
            <v>P</v>
          </cell>
        </row>
        <row r="2106">
          <cell r="B2106" t="str">
            <v>MONTH</v>
          </cell>
          <cell r="C2106" t="str">
            <v>REF</v>
          </cell>
          <cell r="D2106" t="str">
            <v>CSR</v>
          </cell>
          <cell r="E2106" t="str">
            <v>ITEM</v>
          </cell>
          <cell r="F2106" t="str">
            <v>AMOUNT</v>
          </cell>
          <cell r="G2106" t="str">
            <v>TRANSTYPE (P/C/X)</v>
          </cell>
        </row>
        <row r="2107">
          <cell r="B2107" t="str">
            <v>September</v>
          </cell>
          <cell r="D2107" t="str">
            <v>98-033</v>
          </cell>
          <cell r="G2107" t="str">
            <v>P</v>
          </cell>
        </row>
        <row r="2108">
          <cell r="B2108" t="str">
            <v>MONTH</v>
          </cell>
          <cell r="C2108" t="str">
            <v>REF</v>
          </cell>
          <cell r="D2108" t="str">
            <v>CSR</v>
          </cell>
          <cell r="E2108" t="str">
            <v>ITEM</v>
          </cell>
          <cell r="F2108" t="str">
            <v>AMOUNT</v>
          </cell>
          <cell r="G2108" t="str">
            <v>TRANSTYPE (P/C/X)</v>
          </cell>
        </row>
        <row r="2109">
          <cell r="B2109" t="str">
            <v>September</v>
          </cell>
          <cell r="D2109" t="str">
            <v>98-034</v>
          </cell>
          <cell r="G2109" t="str">
            <v>P</v>
          </cell>
        </row>
        <row r="2110">
          <cell r="B2110" t="str">
            <v>MONTH</v>
          </cell>
          <cell r="C2110" t="str">
            <v>REF</v>
          </cell>
          <cell r="D2110" t="str">
            <v>CSR</v>
          </cell>
          <cell r="E2110" t="str">
            <v>ITEM</v>
          </cell>
          <cell r="F2110" t="str">
            <v>AMOUNT</v>
          </cell>
          <cell r="G2110" t="str">
            <v>TRANSTYPE (P/C/X)</v>
          </cell>
        </row>
        <row r="2111">
          <cell r="B2111" t="str">
            <v>September</v>
          </cell>
          <cell r="D2111" t="str">
            <v>98-035</v>
          </cell>
          <cell r="G2111" t="str">
            <v>P</v>
          </cell>
        </row>
        <row r="2112">
          <cell r="B2112" t="str">
            <v>MONTH</v>
          </cell>
          <cell r="C2112" t="str">
            <v>REF</v>
          </cell>
          <cell r="D2112" t="str">
            <v>CSR</v>
          </cell>
          <cell r="E2112" t="str">
            <v>ITEM</v>
          </cell>
          <cell r="F2112" t="str">
            <v>AMOUNT</v>
          </cell>
          <cell r="G2112" t="str">
            <v>TRANSTYPE (P/C/X)</v>
          </cell>
        </row>
        <row r="2113">
          <cell r="B2113" t="str">
            <v>September</v>
          </cell>
          <cell r="D2113" t="str">
            <v>98-036</v>
          </cell>
          <cell r="G2113" t="str">
            <v>P</v>
          </cell>
        </row>
        <row r="2114">
          <cell r="B2114" t="str">
            <v>MONTH</v>
          </cell>
          <cell r="C2114" t="str">
            <v>REF</v>
          </cell>
          <cell r="D2114" t="str">
            <v>CSR</v>
          </cell>
          <cell r="E2114" t="str">
            <v>ITEM</v>
          </cell>
          <cell r="F2114" t="str">
            <v>AMOUNT</v>
          </cell>
          <cell r="G2114" t="str">
            <v>TRANSTYPE (P/C/X)</v>
          </cell>
        </row>
        <row r="2115">
          <cell r="B2115" t="str">
            <v>September</v>
          </cell>
          <cell r="D2115" t="str">
            <v>98-037</v>
          </cell>
          <cell r="G2115" t="str">
            <v>P</v>
          </cell>
        </row>
        <row r="2116">
          <cell r="B2116" t="str">
            <v>MONTH</v>
          </cell>
          <cell r="C2116" t="str">
            <v>REF</v>
          </cell>
          <cell r="D2116" t="str">
            <v>CSR</v>
          </cell>
          <cell r="E2116" t="str">
            <v>ITEM</v>
          </cell>
          <cell r="F2116" t="str">
            <v>AMOUNT</v>
          </cell>
          <cell r="G2116" t="str">
            <v>TRANSTYPE (P/C/X)</v>
          </cell>
        </row>
        <row r="2117">
          <cell r="B2117" t="str">
            <v>September</v>
          </cell>
          <cell r="D2117" t="str">
            <v>98-038</v>
          </cell>
          <cell r="G2117" t="str">
            <v>P</v>
          </cell>
        </row>
        <row r="2118">
          <cell r="B2118" t="str">
            <v>MONTH</v>
          </cell>
          <cell r="C2118" t="str">
            <v>REF</v>
          </cell>
          <cell r="D2118" t="str">
            <v>CSR</v>
          </cell>
          <cell r="E2118" t="str">
            <v>ITEM</v>
          </cell>
          <cell r="F2118" t="str">
            <v>AMOUNT</v>
          </cell>
          <cell r="G2118" t="str">
            <v>TRANSTYPE (P/C/X)</v>
          </cell>
        </row>
        <row r="2119">
          <cell r="B2119" t="str">
            <v>September</v>
          </cell>
          <cell r="D2119" t="str">
            <v>98-039</v>
          </cell>
          <cell r="G2119" t="str">
            <v>P</v>
          </cell>
        </row>
        <row r="2120">
          <cell r="B2120" t="str">
            <v>MONTH</v>
          </cell>
          <cell r="C2120" t="str">
            <v>REF</v>
          </cell>
          <cell r="D2120" t="str">
            <v>CSR</v>
          </cell>
          <cell r="E2120" t="str">
            <v>ITEM</v>
          </cell>
          <cell r="F2120" t="str">
            <v>AMOUNT</v>
          </cell>
          <cell r="G2120" t="str">
            <v>TRANSTYPE (P/C/X)</v>
          </cell>
        </row>
        <row r="2121">
          <cell r="B2121" t="str">
            <v>September</v>
          </cell>
          <cell r="D2121" t="str">
            <v>98-040</v>
          </cell>
          <cell r="G2121" t="str">
            <v>P</v>
          </cell>
        </row>
        <row r="2122">
          <cell r="B2122" t="str">
            <v>MONTH</v>
          </cell>
          <cell r="C2122" t="str">
            <v>REF</v>
          </cell>
          <cell r="D2122" t="str">
            <v>CSR</v>
          </cell>
          <cell r="E2122" t="str">
            <v>ITEM</v>
          </cell>
          <cell r="F2122" t="str">
            <v>AMOUNT</v>
          </cell>
          <cell r="G2122" t="str">
            <v>TRANSTYPE (P/C/X)</v>
          </cell>
        </row>
        <row r="2123">
          <cell r="B2123" t="str">
            <v>September</v>
          </cell>
          <cell r="D2123" t="str">
            <v>98-041</v>
          </cell>
          <cell r="G2123" t="str">
            <v>P</v>
          </cell>
        </row>
        <row r="2124">
          <cell r="B2124" t="str">
            <v>MONTH</v>
          </cell>
          <cell r="C2124" t="str">
            <v>REF</v>
          </cell>
          <cell r="D2124" t="str">
            <v>CSR</v>
          </cell>
          <cell r="E2124" t="str">
            <v>ITEM</v>
          </cell>
          <cell r="F2124" t="str">
            <v>AMOUNT</v>
          </cell>
          <cell r="G2124" t="str">
            <v>TRANSTYPE (P/C/X)</v>
          </cell>
        </row>
        <row r="2125">
          <cell r="B2125" t="str">
            <v>September</v>
          </cell>
          <cell r="D2125" t="str">
            <v>98-042</v>
          </cell>
          <cell r="G2125" t="str">
            <v>P</v>
          </cell>
        </row>
        <row r="2126">
          <cell r="B2126" t="str">
            <v>MONTH</v>
          </cell>
          <cell r="C2126" t="str">
            <v>REF</v>
          </cell>
          <cell r="D2126" t="str">
            <v>CSR</v>
          </cell>
          <cell r="E2126" t="str">
            <v>ITEM</v>
          </cell>
          <cell r="F2126" t="str">
            <v>AMOUNT</v>
          </cell>
          <cell r="G2126" t="str">
            <v>TRANSTYPE (P/C/X)</v>
          </cell>
        </row>
        <row r="2127">
          <cell r="B2127" t="str">
            <v>September</v>
          </cell>
          <cell r="D2127" t="str">
            <v>98-043</v>
          </cell>
          <cell r="G2127" t="str">
            <v>P</v>
          </cell>
        </row>
        <row r="2128">
          <cell r="B2128" t="str">
            <v>MONTH</v>
          </cell>
          <cell r="C2128" t="str">
            <v>REF</v>
          </cell>
          <cell r="D2128" t="str">
            <v>CSR</v>
          </cell>
          <cell r="E2128" t="str">
            <v>ITEM</v>
          </cell>
          <cell r="F2128" t="str">
            <v>AMOUNT</v>
          </cell>
          <cell r="G2128" t="str">
            <v>TRANSTYPE (P/C/X)</v>
          </cell>
        </row>
        <row r="2129">
          <cell r="B2129" t="str">
            <v>September</v>
          </cell>
          <cell r="D2129" t="str">
            <v>98-044</v>
          </cell>
          <cell r="G2129" t="str">
            <v>P</v>
          </cell>
        </row>
        <row r="2130">
          <cell r="B2130" t="str">
            <v>MONTH</v>
          </cell>
          <cell r="C2130" t="str">
            <v>REF</v>
          </cell>
          <cell r="D2130" t="str">
            <v>CSR</v>
          </cell>
          <cell r="E2130" t="str">
            <v>ITEM</v>
          </cell>
          <cell r="F2130" t="str">
            <v>AMOUNT</v>
          </cell>
          <cell r="G2130" t="str">
            <v>TRANSTYPE (P/C/X)</v>
          </cell>
        </row>
        <row r="2131">
          <cell r="B2131" t="str">
            <v>September</v>
          </cell>
          <cell r="D2131" t="str">
            <v>98-045</v>
          </cell>
          <cell r="G2131" t="str">
            <v>P</v>
          </cell>
        </row>
        <row r="2132">
          <cell r="B2132" t="str">
            <v>MONTH</v>
          </cell>
          <cell r="C2132" t="str">
            <v>REF</v>
          </cell>
          <cell r="D2132" t="str">
            <v>CSR</v>
          </cell>
          <cell r="E2132" t="str">
            <v>ITEM</v>
          </cell>
          <cell r="F2132" t="str">
            <v>AMOUNT</v>
          </cell>
          <cell r="G2132" t="str">
            <v>TRANSTYPE (P/C/X)</v>
          </cell>
        </row>
        <row r="2133">
          <cell r="B2133" t="str">
            <v>September</v>
          </cell>
          <cell r="D2133" t="str">
            <v>98-046</v>
          </cell>
          <cell r="G2133" t="str">
            <v>P</v>
          </cell>
        </row>
        <row r="2134">
          <cell r="B2134" t="str">
            <v>MONTH</v>
          </cell>
          <cell r="C2134" t="str">
            <v>REF</v>
          </cell>
          <cell r="D2134" t="str">
            <v>CSR</v>
          </cell>
          <cell r="E2134" t="str">
            <v>ITEM</v>
          </cell>
          <cell r="F2134" t="str">
            <v>AMOUNT</v>
          </cell>
          <cell r="G2134" t="str">
            <v>TRANSTYPE (P/C/X)</v>
          </cell>
        </row>
        <row r="2135">
          <cell r="B2135" t="str">
            <v>September</v>
          </cell>
          <cell r="D2135" t="str">
            <v>98-047</v>
          </cell>
          <cell r="G2135" t="str">
            <v>P</v>
          </cell>
        </row>
        <row r="2136">
          <cell r="B2136" t="str">
            <v>MONTH</v>
          </cell>
          <cell r="C2136" t="str">
            <v>REF</v>
          </cell>
          <cell r="D2136" t="str">
            <v>CSR</v>
          </cell>
          <cell r="E2136" t="str">
            <v>ITEM</v>
          </cell>
          <cell r="F2136" t="str">
            <v>AMOUNT</v>
          </cell>
          <cell r="G2136" t="str">
            <v>TRANSTYPE (P/C/X)</v>
          </cell>
        </row>
        <row r="2137">
          <cell r="B2137" t="str">
            <v>September</v>
          </cell>
          <cell r="D2137" t="str">
            <v>98-048</v>
          </cell>
          <cell r="G2137" t="str">
            <v>P</v>
          </cell>
        </row>
        <row r="2138">
          <cell r="B2138" t="str">
            <v>MONTH</v>
          </cell>
          <cell r="C2138" t="str">
            <v>REF</v>
          </cell>
          <cell r="D2138" t="str">
            <v>CSR</v>
          </cell>
          <cell r="E2138" t="str">
            <v>ITEM</v>
          </cell>
          <cell r="F2138" t="str">
            <v>AMOUNT</v>
          </cell>
          <cell r="G2138" t="str">
            <v>TRANSTYPE (P/C/X)</v>
          </cell>
        </row>
        <row r="2139">
          <cell r="B2139" t="str">
            <v>September</v>
          </cell>
          <cell r="D2139" t="str">
            <v>98-049</v>
          </cell>
          <cell r="G2139" t="str">
            <v>P</v>
          </cell>
        </row>
        <row r="2140">
          <cell r="B2140" t="str">
            <v>MONTH</v>
          </cell>
          <cell r="C2140" t="str">
            <v>REF</v>
          </cell>
          <cell r="D2140" t="str">
            <v>CSR</v>
          </cell>
          <cell r="E2140" t="str">
            <v>ITEM</v>
          </cell>
          <cell r="F2140" t="str">
            <v>AMOUNT</v>
          </cell>
          <cell r="G2140" t="str">
            <v>TRANSTYPE (P/C/X)</v>
          </cell>
        </row>
        <row r="2141">
          <cell r="B2141" t="str">
            <v>September</v>
          </cell>
          <cell r="D2141" t="str">
            <v>98-050</v>
          </cell>
          <cell r="G2141" t="str">
            <v>P</v>
          </cell>
        </row>
        <row r="2142">
          <cell r="B2142" t="str">
            <v>MONTH</v>
          </cell>
          <cell r="C2142" t="str">
            <v>REF</v>
          </cell>
          <cell r="D2142" t="str">
            <v>CSR</v>
          </cell>
          <cell r="E2142" t="str">
            <v>ITEM</v>
          </cell>
          <cell r="F2142" t="str">
            <v>AMOUNT</v>
          </cell>
          <cell r="G2142" t="str">
            <v>TRANSTYPE (P/C/X)</v>
          </cell>
        </row>
        <row r="2143">
          <cell r="B2143" t="str">
            <v>September</v>
          </cell>
          <cell r="D2143" t="str">
            <v>98-051</v>
          </cell>
          <cell r="G2143" t="str">
            <v>P</v>
          </cell>
        </row>
        <row r="2144">
          <cell r="B2144" t="str">
            <v>MONTH</v>
          </cell>
          <cell r="C2144" t="str">
            <v>REF</v>
          </cell>
          <cell r="D2144" t="str">
            <v>CSR</v>
          </cell>
          <cell r="E2144" t="str">
            <v>ITEM</v>
          </cell>
          <cell r="F2144" t="str">
            <v>AMOUNT</v>
          </cell>
          <cell r="G2144" t="str">
            <v>TRANSTYPE (P/C/X)</v>
          </cell>
        </row>
        <row r="2145">
          <cell r="B2145" t="str">
            <v>September</v>
          </cell>
          <cell r="D2145" t="str">
            <v>98-052</v>
          </cell>
          <cell r="G2145" t="str">
            <v>P</v>
          </cell>
        </row>
        <row r="2146">
          <cell r="B2146" t="str">
            <v>MONTH</v>
          </cell>
          <cell r="C2146" t="str">
            <v>REF</v>
          </cell>
          <cell r="D2146" t="str">
            <v>CSR</v>
          </cell>
          <cell r="E2146" t="str">
            <v>ITEM</v>
          </cell>
          <cell r="F2146" t="str">
            <v>AMOUNT</v>
          </cell>
          <cell r="G2146" t="str">
            <v>TRANSTYPE (P/C/X)</v>
          </cell>
        </row>
        <row r="2147">
          <cell r="B2147" t="str">
            <v>September</v>
          </cell>
          <cell r="D2147" t="str">
            <v>98-053</v>
          </cell>
          <cell r="G2147" t="str">
            <v>P</v>
          </cell>
        </row>
        <row r="2148">
          <cell r="B2148" t="str">
            <v>MONTH</v>
          </cell>
          <cell r="C2148" t="str">
            <v>REF</v>
          </cell>
          <cell r="D2148" t="str">
            <v>CSR</v>
          </cell>
          <cell r="E2148" t="str">
            <v>ITEM</v>
          </cell>
          <cell r="F2148" t="str">
            <v>AMOUNT</v>
          </cell>
          <cell r="G2148" t="str">
            <v>TRANSTYPE (P/C/X)</v>
          </cell>
        </row>
        <row r="2149">
          <cell r="B2149" t="str">
            <v>September</v>
          </cell>
          <cell r="D2149" t="str">
            <v>98-054</v>
          </cell>
          <cell r="G2149" t="str">
            <v>P</v>
          </cell>
        </row>
        <row r="2150">
          <cell r="B2150" t="str">
            <v>MONTH</v>
          </cell>
          <cell r="C2150" t="str">
            <v>REF</v>
          </cell>
          <cell r="D2150" t="str">
            <v>CSR</v>
          </cell>
          <cell r="E2150" t="str">
            <v>ITEM</v>
          </cell>
          <cell r="F2150" t="str">
            <v>AMOUNT</v>
          </cell>
          <cell r="G2150" t="str">
            <v>TRANSTYPE (P/C/X)</v>
          </cell>
        </row>
        <row r="2151">
          <cell r="B2151" t="str">
            <v>September</v>
          </cell>
          <cell r="D2151" t="str">
            <v>98-055</v>
          </cell>
          <cell r="G2151" t="str">
            <v>P</v>
          </cell>
        </row>
        <row r="2152">
          <cell r="B2152" t="str">
            <v>MONTH</v>
          </cell>
          <cell r="C2152" t="str">
            <v>REF</v>
          </cell>
          <cell r="D2152" t="str">
            <v>CSR</v>
          </cell>
          <cell r="E2152" t="str">
            <v>ITEM</v>
          </cell>
          <cell r="F2152" t="str">
            <v>AMOUNT</v>
          </cell>
          <cell r="G2152" t="str">
            <v>TRANSTYPE (P/C/X)</v>
          </cell>
        </row>
        <row r="2153">
          <cell r="B2153" t="str">
            <v>September</v>
          </cell>
          <cell r="D2153" t="str">
            <v>98-056</v>
          </cell>
          <cell r="G2153" t="str">
            <v>P</v>
          </cell>
        </row>
        <row r="2154">
          <cell r="B2154" t="str">
            <v>MONTH</v>
          </cell>
          <cell r="C2154" t="str">
            <v>REF</v>
          </cell>
          <cell r="D2154" t="str">
            <v>CSR</v>
          </cell>
          <cell r="E2154" t="str">
            <v>ITEM</v>
          </cell>
          <cell r="F2154" t="str">
            <v>AMOUNT</v>
          </cell>
          <cell r="G2154" t="str">
            <v>TRANSTYPE (P/C/X)</v>
          </cell>
        </row>
        <row r="2155">
          <cell r="B2155" t="str">
            <v>September</v>
          </cell>
          <cell r="D2155" t="str">
            <v>98-057</v>
          </cell>
          <cell r="G2155" t="str">
            <v>P</v>
          </cell>
        </row>
        <row r="2156">
          <cell r="B2156" t="str">
            <v>MONTH</v>
          </cell>
          <cell r="C2156" t="str">
            <v>REF</v>
          </cell>
          <cell r="D2156" t="str">
            <v>CSR</v>
          </cell>
          <cell r="E2156" t="str">
            <v>ITEM</v>
          </cell>
          <cell r="F2156" t="str">
            <v>AMOUNT</v>
          </cell>
          <cell r="G2156" t="str">
            <v>TRANSTYPE (P/C/X)</v>
          </cell>
        </row>
        <row r="2157">
          <cell r="B2157" t="str">
            <v>September</v>
          </cell>
          <cell r="D2157" t="str">
            <v>98-058</v>
          </cell>
          <cell r="G2157" t="str">
            <v>P</v>
          </cell>
        </row>
        <row r="2158">
          <cell r="B2158" t="str">
            <v>MONTH</v>
          </cell>
          <cell r="C2158" t="str">
            <v>REF</v>
          </cell>
          <cell r="D2158" t="str">
            <v>CSR</v>
          </cell>
          <cell r="E2158" t="str">
            <v>ITEM</v>
          </cell>
          <cell r="F2158" t="str">
            <v>AMOUNT</v>
          </cell>
          <cell r="G2158" t="str">
            <v>TRANSTYPE (P/C/X)</v>
          </cell>
        </row>
        <row r="2159">
          <cell r="B2159" t="str">
            <v>September</v>
          </cell>
          <cell r="D2159" t="str">
            <v>98-059</v>
          </cell>
          <cell r="G2159" t="str">
            <v>P</v>
          </cell>
        </row>
        <row r="2160">
          <cell r="B2160" t="str">
            <v>MONTH</v>
          </cell>
          <cell r="C2160" t="str">
            <v>REF</v>
          </cell>
          <cell r="D2160" t="str">
            <v>CSR</v>
          </cell>
          <cell r="E2160" t="str">
            <v>ITEM</v>
          </cell>
          <cell r="F2160" t="str">
            <v>AMOUNT</v>
          </cell>
          <cell r="G2160" t="str">
            <v>TRANSTYPE (P/C/X)</v>
          </cell>
        </row>
        <row r="2161">
          <cell r="B2161" t="str">
            <v>September</v>
          </cell>
          <cell r="D2161" t="str">
            <v>98-060</v>
          </cell>
          <cell r="G2161" t="str">
            <v>P</v>
          </cell>
        </row>
        <row r="2162">
          <cell r="B2162" t="str">
            <v>MONTH</v>
          </cell>
          <cell r="C2162" t="str">
            <v>REF</v>
          </cell>
          <cell r="D2162" t="str">
            <v>CSR</v>
          </cell>
          <cell r="E2162" t="str">
            <v>ITEM</v>
          </cell>
          <cell r="F2162" t="str">
            <v>AMOUNT</v>
          </cell>
          <cell r="G2162" t="str">
            <v>TRANSTYPE (P/C/X)</v>
          </cell>
        </row>
        <row r="2163">
          <cell r="B2163" t="str">
            <v>September</v>
          </cell>
          <cell r="D2163" t="str">
            <v>98-061</v>
          </cell>
          <cell r="G2163" t="str">
            <v>P</v>
          </cell>
        </row>
        <row r="2164">
          <cell r="B2164" t="str">
            <v>MONTH</v>
          </cell>
          <cell r="C2164" t="str">
            <v>REF</v>
          </cell>
          <cell r="D2164" t="str">
            <v>CSR</v>
          </cell>
          <cell r="E2164" t="str">
            <v>ITEM</v>
          </cell>
          <cell r="F2164" t="str">
            <v>AMOUNT</v>
          </cell>
          <cell r="G2164" t="str">
            <v>TRANSTYPE (P/C/X)</v>
          </cell>
        </row>
        <row r="2165">
          <cell r="B2165" t="str">
            <v>September</v>
          </cell>
          <cell r="D2165" t="str">
            <v>98-062</v>
          </cell>
          <cell r="G2165" t="str">
            <v>P</v>
          </cell>
        </row>
        <row r="2166">
          <cell r="B2166" t="str">
            <v>MONTH</v>
          </cell>
          <cell r="C2166" t="str">
            <v>REF</v>
          </cell>
          <cell r="D2166" t="str">
            <v>CSR</v>
          </cell>
          <cell r="E2166" t="str">
            <v>ITEM</v>
          </cell>
          <cell r="F2166" t="str">
            <v>AMOUNT</v>
          </cell>
          <cell r="G2166" t="str">
            <v>TRANSTYPE (P/C/X)</v>
          </cell>
        </row>
        <row r="2167">
          <cell r="B2167" t="str">
            <v>September</v>
          </cell>
          <cell r="D2167" t="str">
            <v>98-063</v>
          </cell>
          <cell r="G2167" t="str">
            <v>P</v>
          </cell>
        </row>
        <row r="2168">
          <cell r="B2168" t="str">
            <v>MONTH</v>
          </cell>
          <cell r="C2168" t="str">
            <v>REF</v>
          </cell>
          <cell r="D2168" t="str">
            <v>CSR</v>
          </cell>
          <cell r="E2168" t="str">
            <v>ITEM</v>
          </cell>
          <cell r="F2168" t="str">
            <v>AMOUNT</v>
          </cell>
          <cell r="G2168" t="str">
            <v>TRANSTYPE (P/C/X)</v>
          </cell>
        </row>
        <row r="2169">
          <cell r="B2169" t="str">
            <v>September</v>
          </cell>
          <cell r="D2169" t="str">
            <v>98-064</v>
          </cell>
          <cell r="G2169" t="str">
            <v>P</v>
          </cell>
        </row>
        <row r="2170">
          <cell r="B2170" t="str">
            <v>MONTH</v>
          </cell>
          <cell r="C2170" t="str">
            <v>REF</v>
          </cell>
          <cell r="D2170" t="str">
            <v>CSR</v>
          </cell>
          <cell r="E2170" t="str">
            <v>ITEM</v>
          </cell>
          <cell r="F2170" t="str">
            <v>AMOUNT</v>
          </cell>
          <cell r="G2170" t="str">
            <v>TRANSTYPE (P/C/X)</v>
          </cell>
        </row>
        <row r="2171">
          <cell r="B2171" t="str">
            <v>September</v>
          </cell>
          <cell r="D2171" t="str">
            <v>98-065</v>
          </cell>
          <cell r="G2171" t="str">
            <v>P</v>
          </cell>
        </row>
        <row r="2172">
          <cell r="B2172" t="str">
            <v>MONTH</v>
          </cell>
          <cell r="C2172" t="str">
            <v>REF</v>
          </cell>
          <cell r="D2172" t="str">
            <v>CSR</v>
          </cell>
          <cell r="E2172" t="str">
            <v>ITEM</v>
          </cell>
          <cell r="F2172" t="str">
            <v>AMOUNT</v>
          </cell>
          <cell r="G2172" t="str">
            <v>TRANSTYPE (P/C/X)</v>
          </cell>
        </row>
        <row r="2173">
          <cell r="B2173" t="str">
            <v>September</v>
          </cell>
          <cell r="D2173" t="str">
            <v>98-066</v>
          </cell>
          <cell r="G2173" t="str">
            <v>P</v>
          </cell>
        </row>
        <row r="2174">
          <cell r="B2174" t="str">
            <v>MONTH</v>
          </cell>
          <cell r="C2174" t="str">
            <v>REF</v>
          </cell>
          <cell r="D2174" t="str">
            <v>CSR</v>
          </cell>
          <cell r="E2174" t="str">
            <v>ITEM</v>
          </cell>
          <cell r="F2174" t="str">
            <v>AMOUNT</v>
          </cell>
          <cell r="G2174" t="str">
            <v>TRANSTYPE (P/C/X)</v>
          </cell>
        </row>
        <row r="2175">
          <cell r="B2175" t="str">
            <v>September</v>
          </cell>
          <cell r="D2175" t="str">
            <v>98-067</v>
          </cell>
          <cell r="G2175" t="str">
            <v>P</v>
          </cell>
        </row>
        <row r="2176">
          <cell r="B2176" t="str">
            <v>MONTH</v>
          </cell>
          <cell r="C2176" t="str">
            <v>REF</v>
          </cell>
          <cell r="D2176" t="str">
            <v>CSR</v>
          </cell>
          <cell r="E2176" t="str">
            <v>ITEM</v>
          </cell>
          <cell r="F2176" t="str">
            <v>AMOUNT</v>
          </cell>
          <cell r="G2176" t="str">
            <v>TRANSTYPE (P/C/X)</v>
          </cell>
        </row>
        <row r="2177">
          <cell r="B2177" t="str">
            <v>September</v>
          </cell>
          <cell r="D2177" t="str">
            <v>98-068</v>
          </cell>
          <cell r="G2177" t="str">
            <v>P</v>
          </cell>
        </row>
        <row r="2178">
          <cell r="B2178" t="str">
            <v>MONTH</v>
          </cell>
          <cell r="C2178" t="str">
            <v>REF</v>
          </cell>
          <cell r="D2178" t="str">
            <v>CSR</v>
          </cell>
          <cell r="E2178" t="str">
            <v>ITEM</v>
          </cell>
          <cell r="F2178" t="str">
            <v>AMOUNT</v>
          </cell>
          <cell r="G2178" t="str">
            <v>TRANSTYPE (P/C/X)</v>
          </cell>
        </row>
        <row r="2179">
          <cell r="B2179" t="str">
            <v>September</v>
          </cell>
          <cell r="D2179" t="str">
            <v>98-069</v>
          </cell>
          <cell r="G2179" t="str">
            <v>P</v>
          </cell>
        </row>
        <row r="2180">
          <cell r="B2180" t="str">
            <v>MONTH</v>
          </cell>
          <cell r="C2180" t="str">
            <v>REF</v>
          </cell>
          <cell r="D2180" t="str">
            <v>CSR</v>
          </cell>
          <cell r="E2180" t="str">
            <v>ITEM</v>
          </cell>
          <cell r="F2180" t="str">
            <v>AMOUNT</v>
          </cell>
          <cell r="G2180" t="str">
            <v>TRANSTYPE (P/C/X)</v>
          </cell>
        </row>
        <row r="2181">
          <cell r="B2181" t="str">
            <v>September</v>
          </cell>
          <cell r="D2181" t="str">
            <v>98-070</v>
          </cell>
          <cell r="G2181" t="str">
            <v>P</v>
          </cell>
        </row>
        <row r="2182">
          <cell r="B2182" t="str">
            <v>MONTH</v>
          </cell>
          <cell r="C2182" t="str">
            <v>REF</v>
          </cell>
          <cell r="D2182" t="str">
            <v>CSR</v>
          </cell>
          <cell r="E2182" t="str">
            <v>ITEM</v>
          </cell>
          <cell r="F2182" t="str">
            <v>AMOUNT</v>
          </cell>
          <cell r="G2182" t="str">
            <v>TRANSTYPE (P/C/X)</v>
          </cell>
        </row>
        <row r="2183">
          <cell r="B2183" t="str">
            <v>September</v>
          </cell>
          <cell r="D2183" t="str">
            <v>98-071</v>
          </cell>
          <cell r="G2183" t="str">
            <v>P</v>
          </cell>
        </row>
        <row r="2184">
          <cell r="B2184" t="str">
            <v>MONTH</v>
          </cell>
          <cell r="C2184" t="str">
            <v>REF</v>
          </cell>
          <cell r="D2184" t="str">
            <v>CSR</v>
          </cell>
          <cell r="E2184" t="str">
            <v>ITEM</v>
          </cell>
          <cell r="F2184" t="str">
            <v>AMOUNT</v>
          </cell>
          <cell r="G2184" t="str">
            <v>TRANSTYPE (P/C/X)</v>
          </cell>
        </row>
        <row r="2185">
          <cell r="B2185" t="str">
            <v>September</v>
          </cell>
          <cell r="D2185" t="str">
            <v>98-072</v>
          </cell>
          <cell r="G2185" t="str">
            <v>P</v>
          </cell>
        </row>
        <row r="2186">
          <cell r="B2186" t="str">
            <v>MONTH</v>
          </cell>
          <cell r="C2186" t="str">
            <v>REF</v>
          </cell>
          <cell r="D2186" t="str">
            <v>CSR</v>
          </cell>
          <cell r="E2186" t="str">
            <v>ITEM</v>
          </cell>
          <cell r="F2186" t="str">
            <v>AMOUNT</v>
          </cell>
          <cell r="G2186" t="str">
            <v>TRANSTYPE (P/C/X)</v>
          </cell>
        </row>
        <row r="2187">
          <cell r="B2187" t="str">
            <v>September</v>
          </cell>
          <cell r="D2187" t="str">
            <v>98-073</v>
          </cell>
          <cell r="G2187" t="str">
            <v>P</v>
          </cell>
        </row>
        <row r="2188">
          <cell r="B2188" t="str">
            <v>MONTH</v>
          </cell>
          <cell r="C2188" t="str">
            <v>REF</v>
          </cell>
          <cell r="D2188" t="str">
            <v>CSR</v>
          </cell>
          <cell r="E2188" t="str">
            <v>ITEM</v>
          </cell>
          <cell r="F2188" t="str">
            <v>AMOUNT</v>
          </cell>
          <cell r="G2188" t="str">
            <v>TRANSTYPE (P/C/X)</v>
          </cell>
        </row>
        <row r="2189">
          <cell r="B2189" t="str">
            <v>September</v>
          </cell>
          <cell r="D2189" t="str">
            <v>98-074</v>
          </cell>
          <cell r="G2189" t="str">
            <v>P</v>
          </cell>
        </row>
        <row r="2190">
          <cell r="B2190" t="str">
            <v>MONTH</v>
          </cell>
          <cell r="C2190" t="str">
            <v>REF</v>
          </cell>
          <cell r="D2190" t="str">
            <v>CSR</v>
          </cell>
          <cell r="E2190" t="str">
            <v>ITEM</v>
          </cell>
          <cell r="F2190" t="str">
            <v>AMOUNT</v>
          </cell>
          <cell r="G2190" t="str">
            <v>TRANSTYPE (P/C/X)</v>
          </cell>
        </row>
        <row r="2191">
          <cell r="B2191" t="str">
            <v>September</v>
          </cell>
          <cell r="D2191" t="str">
            <v>98-075</v>
          </cell>
          <cell r="G2191" t="str">
            <v>P</v>
          </cell>
        </row>
        <row r="2192">
          <cell r="B2192" t="str">
            <v>MONTH</v>
          </cell>
          <cell r="C2192" t="str">
            <v>REF</v>
          </cell>
          <cell r="D2192" t="str">
            <v>CSR</v>
          </cell>
          <cell r="E2192" t="str">
            <v>ITEM</v>
          </cell>
          <cell r="F2192" t="str">
            <v>AMOUNT</v>
          </cell>
          <cell r="G2192" t="str">
            <v>TRANSTYPE (P/C/X)</v>
          </cell>
        </row>
        <row r="2193">
          <cell r="B2193" t="str">
            <v>September</v>
          </cell>
          <cell r="D2193" t="str">
            <v>98-076</v>
          </cell>
          <cell r="G2193" t="str">
            <v>P</v>
          </cell>
        </row>
        <row r="2194">
          <cell r="B2194" t="str">
            <v>MONTH</v>
          </cell>
          <cell r="C2194" t="str">
            <v>REF</v>
          </cell>
          <cell r="D2194" t="str">
            <v>CSR</v>
          </cell>
          <cell r="E2194" t="str">
            <v>ITEM</v>
          </cell>
          <cell r="F2194" t="str">
            <v>AMOUNT</v>
          </cell>
          <cell r="G2194" t="str">
            <v>TRANSTYPE (P/C/X)</v>
          </cell>
        </row>
        <row r="2195">
          <cell r="B2195" t="str">
            <v>September</v>
          </cell>
          <cell r="D2195" t="str">
            <v>98-078</v>
          </cell>
          <cell r="G2195" t="str">
            <v>P</v>
          </cell>
        </row>
        <row r="2196">
          <cell r="B2196" t="str">
            <v>MONTH</v>
          </cell>
          <cell r="C2196" t="str">
            <v>REF</v>
          </cell>
          <cell r="D2196" t="str">
            <v>CSR</v>
          </cell>
          <cell r="E2196" t="str">
            <v>ITEM</v>
          </cell>
          <cell r="F2196" t="str">
            <v>AMOUNT</v>
          </cell>
          <cell r="G2196" t="str">
            <v>TRANSTYPE (P/C/X)</v>
          </cell>
        </row>
        <row r="2197">
          <cell r="B2197" t="str">
            <v>September</v>
          </cell>
          <cell r="D2197" t="str">
            <v>98-079</v>
          </cell>
          <cell r="G2197" t="str">
            <v>P</v>
          </cell>
        </row>
        <row r="2198">
          <cell r="B2198" t="str">
            <v>MONTH</v>
          </cell>
          <cell r="C2198" t="str">
            <v>REF</v>
          </cell>
          <cell r="D2198" t="str">
            <v>CSR</v>
          </cell>
          <cell r="E2198" t="str">
            <v>ITEM</v>
          </cell>
          <cell r="F2198" t="str">
            <v>AMOUNT</v>
          </cell>
          <cell r="G2198" t="str">
            <v>TRANSTYPE (P/C/X)</v>
          </cell>
        </row>
        <row r="2199">
          <cell r="B2199" t="str">
            <v>September</v>
          </cell>
          <cell r="D2199" t="str">
            <v>98-080</v>
          </cell>
          <cell r="G2199" t="str">
            <v>P</v>
          </cell>
        </row>
        <row r="2200">
          <cell r="B2200" t="str">
            <v>MONTH</v>
          </cell>
          <cell r="C2200" t="str">
            <v>REF</v>
          </cell>
          <cell r="D2200" t="str">
            <v>CSR</v>
          </cell>
          <cell r="E2200" t="str">
            <v>ITEM</v>
          </cell>
          <cell r="F2200" t="str">
            <v>AMOUNT</v>
          </cell>
          <cell r="G2200" t="str">
            <v>TRANSTYPE (P/C/X)</v>
          </cell>
        </row>
        <row r="2201">
          <cell r="B2201" t="str">
            <v>September</v>
          </cell>
          <cell r="D2201" t="str">
            <v>98-081</v>
          </cell>
          <cell r="G2201" t="str">
            <v>P</v>
          </cell>
        </row>
        <row r="2202">
          <cell r="B2202" t="str">
            <v>MONTH</v>
          </cell>
          <cell r="C2202" t="str">
            <v>REF</v>
          </cell>
          <cell r="D2202" t="str">
            <v>CSR</v>
          </cell>
          <cell r="E2202" t="str">
            <v>ITEM</v>
          </cell>
          <cell r="F2202" t="str">
            <v>AMOUNT</v>
          </cell>
          <cell r="G2202" t="str">
            <v>TRANSTYPE (P/C/X)</v>
          </cell>
        </row>
        <row r="2203">
          <cell r="B2203" t="str">
            <v>September</v>
          </cell>
          <cell r="D2203" t="str">
            <v>98-082</v>
          </cell>
          <cell r="G2203" t="str">
            <v>P</v>
          </cell>
        </row>
        <row r="2204">
          <cell r="B2204" t="str">
            <v>MONTH</v>
          </cell>
          <cell r="C2204" t="str">
            <v>REF</v>
          </cell>
          <cell r="D2204" t="str">
            <v>CSR</v>
          </cell>
          <cell r="E2204" t="str">
            <v>ITEM</v>
          </cell>
          <cell r="F2204" t="str">
            <v>AMOUNT</v>
          </cell>
          <cell r="G2204" t="str">
            <v>TRANSTYPE (P/C/X)</v>
          </cell>
        </row>
        <row r="2205">
          <cell r="B2205" t="str">
            <v>September</v>
          </cell>
          <cell r="D2205" t="str">
            <v>98-085</v>
          </cell>
          <cell r="G2205" t="str">
            <v>P</v>
          </cell>
        </row>
        <row r="2206">
          <cell r="B2206" t="str">
            <v>MONTH</v>
          </cell>
          <cell r="C2206" t="str">
            <v>REF</v>
          </cell>
          <cell r="D2206" t="str">
            <v>CSR</v>
          </cell>
          <cell r="E2206" t="str">
            <v>ITEM</v>
          </cell>
          <cell r="F2206" t="str">
            <v>AMOUNT</v>
          </cell>
          <cell r="G2206" t="str">
            <v>TRANSTYPE (P/C/X)</v>
          </cell>
        </row>
        <row r="2207">
          <cell r="B2207" t="str">
            <v>September</v>
          </cell>
          <cell r="D2207" t="str">
            <v>98-086</v>
          </cell>
          <cell r="G2207" t="str">
            <v>P</v>
          </cell>
        </row>
        <row r="2208">
          <cell r="B2208" t="str">
            <v>MONTH</v>
          </cell>
          <cell r="C2208" t="str">
            <v>REF</v>
          </cell>
          <cell r="D2208" t="str">
            <v>CSR</v>
          </cell>
          <cell r="E2208" t="str">
            <v>ITEM</v>
          </cell>
          <cell r="F2208" t="str">
            <v>AMOUNT</v>
          </cell>
          <cell r="G2208" t="str">
            <v>TRANSTYPE (P/C/X)</v>
          </cell>
        </row>
        <row r="2209">
          <cell r="B2209" t="str">
            <v>September</v>
          </cell>
          <cell r="D2209" t="str">
            <v>98-087</v>
          </cell>
          <cell r="G2209" t="str">
            <v>P</v>
          </cell>
        </row>
        <row r="2210">
          <cell r="B2210" t="str">
            <v>MONTH</v>
          </cell>
          <cell r="C2210" t="str">
            <v>REF</v>
          </cell>
          <cell r="D2210" t="str">
            <v>CSR</v>
          </cell>
          <cell r="E2210" t="str">
            <v>ITEM</v>
          </cell>
          <cell r="F2210" t="str">
            <v>AMOUNT</v>
          </cell>
          <cell r="G2210" t="str">
            <v>TRANSTYPE (P/C/X)</v>
          </cell>
        </row>
        <row r="2211">
          <cell r="B2211" t="str">
            <v>September</v>
          </cell>
          <cell r="D2211" t="str">
            <v>98-088</v>
          </cell>
          <cell r="G2211" t="str">
            <v>P</v>
          </cell>
        </row>
        <row r="2212">
          <cell r="B2212" t="str">
            <v>MONTH</v>
          </cell>
          <cell r="C2212" t="str">
            <v>REF</v>
          </cell>
          <cell r="D2212" t="str">
            <v>CSR</v>
          </cell>
          <cell r="E2212" t="str">
            <v>ITEM</v>
          </cell>
          <cell r="F2212" t="str">
            <v>AMOUNT</v>
          </cell>
          <cell r="G2212" t="str">
            <v>TRANSTYPE (P/C/X)</v>
          </cell>
        </row>
        <row r="2213">
          <cell r="B2213" t="str">
            <v>September</v>
          </cell>
          <cell r="D2213" t="str">
            <v>98-089</v>
          </cell>
          <cell r="G2213" t="str">
            <v>P</v>
          </cell>
        </row>
        <row r="2214">
          <cell r="B2214" t="str">
            <v>MONTH</v>
          </cell>
          <cell r="C2214" t="str">
            <v>REF</v>
          </cell>
          <cell r="D2214" t="str">
            <v>CSR</v>
          </cell>
          <cell r="E2214" t="str">
            <v>ITEM</v>
          </cell>
          <cell r="F2214" t="str">
            <v>AMOUNT</v>
          </cell>
          <cell r="G2214" t="str">
            <v>TRANSTYPE (P/C/X)</v>
          </cell>
        </row>
        <row r="2215">
          <cell r="B2215" t="str">
            <v>September</v>
          </cell>
          <cell r="D2215" t="str">
            <v>98-090</v>
          </cell>
          <cell r="G2215" t="str">
            <v>P</v>
          </cell>
        </row>
        <row r="2216">
          <cell r="B2216" t="str">
            <v>MONTH</v>
          </cell>
          <cell r="C2216" t="str">
            <v>REF</v>
          </cell>
          <cell r="D2216" t="str">
            <v>CSR</v>
          </cell>
          <cell r="E2216" t="str">
            <v>ITEM</v>
          </cell>
          <cell r="F2216" t="str">
            <v>AMOUNT</v>
          </cell>
          <cell r="G2216" t="str">
            <v>TRANSTYPE (P/C/X)</v>
          </cell>
        </row>
        <row r="2217">
          <cell r="B2217" t="str">
            <v>September</v>
          </cell>
          <cell r="D2217" t="str">
            <v>98-091</v>
          </cell>
          <cell r="G2217" t="str">
            <v>P</v>
          </cell>
        </row>
        <row r="2218">
          <cell r="B2218" t="str">
            <v>MONTH</v>
          </cell>
          <cell r="C2218" t="str">
            <v>REF</v>
          </cell>
          <cell r="D2218" t="str">
            <v>CSR</v>
          </cell>
          <cell r="E2218" t="str">
            <v>ITEM</v>
          </cell>
          <cell r="F2218" t="str">
            <v>AMOUNT</v>
          </cell>
          <cell r="G2218" t="str">
            <v>TRANSTYPE (P/C/X)</v>
          </cell>
        </row>
        <row r="2219">
          <cell r="B2219" t="str">
            <v>September</v>
          </cell>
          <cell r="D2219" t="str">
            <v>98-093</v>
          </cell>
          <cell r="G2219" t="str">
            <v>P</v>
          </cell>
        </row>
        <row r="2220">
          <cell r="B2220" t="str">
            <v>MONTH</v>
          </cell>
          <cell r="C2220" t="str">
            <v>REF</v>
          </cell>
          <cell r="D2220" t="str">
            <v>CSR</v>
          </cell>
          <cell r="E2220" t="str">
            <v>ITEM</v>
          </cell>
          <cell r="F2220" t="str">
            <v>AMOUNT</v>
          </cell>
          <cell r="G2220" t="str">
            <v>TRANSTYPE (P/C/X)</v>
          </cell>
        </row>
        <row r="2221">
          <cell r="B2221" t="str">
            <v>September</v>
          </cell>
          <cell r="D2221" t="str">
            <v>98-094</v>
          </cell>
          <cell r="G2221" t="str">
            <v>P</v>
          </cell>
        </row>
        <row r="2222">
          <cell r="B2222" t="str">
            <v>MONTH</v>
          </cell>
          <cell r="C2222" t="str">
            <v>REF</v>
          </cell>
          <cell r="D2222" t="str">
            <v>CSR</v>
          </cell>
          <cell r="E2222" t="str">
            <v>ITEM</v>
          </cell>
          <cell r="F2222" t="str">
            <v>AMOUNT</v>
          </cell>
          <cell r="G2222" t="str">
            <v>TRANSTYPE (P/C/X)</v>
          </cell>
        </row>
        <row r="2223">
          <cell r="B2223" t="str">
            <v>September</v>
          </cell>
          <cell r="D2223" t="str">
            <v>98-095</v>
          </cell>
          <cell r="G2223" t="str">
            <v>P</v>
          </cell>
        </row>
        <row r="2224">
          <cell r="B2224" t="str">
            <v>MONTH</v>
          </cell>
          <cell r="C2224" t="str">
            <v>REF</v>
          </cell>
          <cell r="D2224" t="str">
            <v>CSR</v>
          </cell>
          <cell r="E2224" t="str">
            <v>ITEM</v>
          </cell>
          <cell r="F2224" t="str">
            <v>AMOUNT</v>
          </cell>
          <cell r="G2224" t="str">
            <v>TRANSTYPE (P/C/X)</v>
          </cell>
        </row>
        <row r="2225">
          <cell r="B2225" t="str">
            <v>September</v>
          </cell>
          <cell r="D2225" t="str">
            <v>98-096</v>
          </cell>
          <cell r="G2225" t="str">
            <v>P</v>
          </cell>
        </row>
        <row r="2226">
          <cell r="B2226" t="str">
            <v>MONTH</v>
          </cell>
          <cell r="C2226" t="str">
            <v>REF</v>
          </cell>
          <cell r="D2226" t="str">
            <v>CSR</v>
          </cell>
          <cell r="E2226" t="str">
            <v>ITEM</v>
          </cell>
          <cell r="F2226" t="str">
            <v>AMOUNT</v>
          </cell>
          <cell r="G2226" t="str">
            <v>TRANSTYPE (P/C/X)</v>
          </cell>
        </row>
        <row r="2227">
          <cell r="B2227" t="str">
            <v>September</v>
          </cell>
          <cell r="D2227" t="str">
            <v>98-097</v>
          </cell>
          <cell r="G2227" t="str">
            <v>P</v>
          </cell>
        </row>
        <row r="2228">
          <cell r="B2228" t="str">
            <v>MONTH</v>
          </cell>
          <cell r="C2228" t="str">
            <v>REF</v>
          </cell>
          <cell r="D2228" t="str">
            <v>CSR</v>
          </cell>
          <cell r="E2228" t="str">
            <v>ITEM</v>
          </cell>
          <cell r="F2228" t="str">
            <v>AMOUNT</v>
          </cell>
          <cell r="G2228" t="str">
            <v>TRANSTYPE (P/C/X)</v>
          </cell>
        </row>
        <row r="2229">
          <cell r="B2229" t="str">
            <v>September</v>
          </cell>
          <cell r="D2229" t="str">
            <v>98-099</v>
          </cell>
          <cell r="G2229" t="str">
            <v>P</v>
          </cell>
        </row>
        <row r="2230">
          <cell r="B2230" t="str">
            <v>MONTH</v>
          </cell>
          <cell r="C2230" t="str">
            <v>REF</v>
          </cell>
          <cell r="D2230" t="str">
            <v>CSR</v>
          </cell>
          <cell r="E2230" t="str">
            <v>ITEM</v>
          </cell>
          <cell r="F2230" t="str">
            <v>AMOUNT</v>
          </cell>
          <cell r="G2230" t="str">
            <v>TRANSTYPE (P/C/X)</v>
          </cell>
        </row>
        <row r="2231">
          <cell r="B2231" t="str">
            <v>September</v>
          </cell>
          <cell r="D2231" t="str">
            <v>98-100</v>
          </cell>
          <cell r="G2231" t="str">
            <v>P</v>
          </cell>
        </row>
        <row r="2232">
          <cell r="B2232" t="str">
            <v>MONTH</v>
          </cell>
          <cell r="C2232" t="str">
            <v>REF</v>
          </cell>
          <cell r="D2232" t="str">
            <v>CSR</v>
          </cell>
          <cell r="E2232" t="str">
            <v>ITEM</v>
          </cell>
          <cell r="F2232" t="str">
            <v>AMOUNT</v>
          </cell>
          <cell r="G2232" t="str">
            <v>TRANSTYPE (P/C/X)</v>
          </cell>
        </row>
        <row r="2233">
          <cell r="B2233" t="str">
            <v>September</v>
          </cell>
          <cell r="D2233" t="str">
            <v>98-101</v>
          </cell>
          <cell r="G2233" t="str">
            <v>P</v>
          </cell>
        </row>
        <row r="2234">
          <cell r="B2234" t="str">
            <v>MONTH</v>
          </cell>
          <cell r="C2234" t="str">
            <v>REF</v>
          </cell>
          <cell r="D2234" t="str">
            <v>CSR</v>
          </cell>
          <cell r="E2234" t="str">
            <v>ITEM</v>
          </cell>
          <cell r="F2234" t="str">
            <v>AMOUNT</v>
          </cell>
          <cell r="G2234" t="str">
            <v>TRANSTYPE (P/C/X)</v>
          </cell>
        </row>
        <row r="2235">
          <cell r="B2235" t="str">
            <v>September</v>
          </cell>
          <cell r="D2235" t="str">
            <v>98-102</v>
          </cell>
          <cell r="G2235" t="str">
            <v>P</v>
          </cell>
        </row>
        <row r="2236">
          <cell r="B2236" t="str">
            <v>MONTH</v>
          </cell>
          <cell r="C2236" t="str">
            <v>REF</v>
          </cell>
          <cell r="D2236" t="str">
            <v>CSR</v>
          </cell>
          <cell r="E2236" t="str">
            <v>ITEM</v>
          </cell>
          <cell r="F2236" t="str">
            <v>AMOUNT</v>
          </cell>
          <cell r="G2236" t="str">
            <v>TRANSTYPE (P/C/X)</v>
          </cell>
        </row>
        <row r="2237">
          <cell r="B2237" t="str">
            <v>September</v>
          </cell>
          <cell r="D2237" t="str">
            <v>98-103</v>
          </cell>
          <cell r="G2237" t="str">
            <v>P</v>
          </cell>
        </row>
        <row r="2238">
          <cell r="B2238" t="str">
            <v>MONTH</v>
          </cell>
          <cell r="C2238" t="str">
            <v>REF</v>
          </cell>
          <cell r="D2238" t="str">
            <v>CSR</v>
          </cell>
          <cell r="E2238" t="str">
            <v>ITEM</v>
          </cell>
          <cell r="F2238" t="str">
            <v>AMOUNT</v>
          </cell>
          <cell r="G2238" t="str">
            <v>TRANSTYPE (P/C/X)</v>
          </cell>
        </row>
        <row r="2239">
          <cell r="B2239" t="str">
            <v>September</v>
          </cell>
          <cell r="D2239" t="str">
            <v>98-104</v>
          </cell>
          <cell r="G2239" t="str">
            <v>P</v>
          </cell>
        </row>
        <row r="2240">
          <cell r="B2240" t="str">
            <v>MONTH</v>
          </cell>
          <cell r="C2240" t="str">
            <v>REF</v>
          </cell>
          <cell r="D2240" t="str">
            <v>CSR</v>
          </cell>
          <cell r="E2240" t="str">
            <v>ITEM</v>
          </cell>
          <cell r="F2240" t="str">
            <v>AMOUNT</v>
          </cell>
          <cell r="G2240" t="str">
            <v>TRANSTYPE (P/C/X)</v>
          </cell>
        </row>
        <row r="2241">
          <cell r="B2241" t="str">
            <v>September</v>
          </cell>
          <cell r="D2241" t="str">
            <v>98-105</v>
          </cell>
          <cell r="G2241" t="str">
            <v>P</v>
          </cell>
        </row>
        <row r="2242">
          <cell r="B2242" t="str">
            <v>MONTH</v>
          </cell>
          <cell r="C2242" t="str">
            <v>REF</v>
          </cell>
          <cell r="D2242" t="str">
            <v>CSR</v>
          </cell>
          <cell r="E2242" t="str">
            <v>ITEM</v>
          </cell>
          <cell r="F2242" t="str">
            <v>AMOUNT</v>
          </cell>
          <cell r="G2242" t="str">
            <v>TRANSTYPE (P/C/X)</v>
          </cell>
        </row>
        <row r="2243">
          <cell r="B2243" t="str">
            <v>September</v>
          </cell>
          <cell r="D2243" t="str">
            <v>98-108</v>
          </cell>
          <cell r="G2243" t="str">
            <v>P</v>
          </cell>
        </row>
        <row r="2244">
          <cell r="B2244" t="str">
            <v>MONTH</v>
          </cell>
          <cell r="C2244" t="str">
            <v>REF</v>
          </cell>
          <cell r="D2244" t="str">
            <v>CSR</v>
          </cell>
          <cell r="E2244" t="str">
            <v>ITEM</v>
          </cell>
          <cell r="F2244" t="str">
            <v>AMOUNT</v>
          </cell>
          <cell r="G2244" t="str">
            <v>TRANSTYPE (P/C/X)</v>
          </cell>
        </row>
        <row r="2245">
          <cell r="B2245" t="str">
            <v>September</v>
          </cell>
          <cell r="D2245" t="str">
            <v>98-109</v>
          </cell>
          <cell r="G2245" t="str">
            <v>P</v>
          </cell>
        </row>
        <row r="2246">
          <cell r="B2246" t="str">
            <v>MONTH</v>
          </cell>
          <cell r="C2246" t="str">
            <v>REF</v>
          </cell>
          <cell r="D2246" t="str">
            <v>CSR</v>
          </cell>
          <cell r="E2246" t="str">
            <v>ITEM</v>
          </cell>
          <cell r="F2246" t="str">
            <v>AMOUNT</v>
          </cell>
          <cell r="G2246" t="str">
            <v>TRANSTYPE (P/C/X)</v>
          </cell>
        </row>
        <row r="2247">
          <cell r="B2247" t="str">
            <v>September</v>
          </cell>
          <cell r="D2247" t="str">
            <v>98-110</v>
          </cell>
          <cell r="G2247" t="str">
            <v>P</v>
          </cell>
        </row>
        <row r="2248">
          <cell r="B2248" t="str">
            <v>MONTH</v>
          </cell>
          <cell r="C2248" t="str">
            <v>REF</v>
          </cell>
          <cell r="D2248" t="str">
            <v>CSR</v>
          </cell>
          <cell r="E2248" t="str">
            <v>ITEM</v>
          </cell>
          <cell r="F2248" t="str">
            <v>AMOUNT</v>
          </cell>
          <cell r="G2248" t="str">
            <v>TRANSTYPE (P/C/X)</v>
          </cell>
        </row>
        <row r="2249">
          <cell r="B2249" t="str">
            <v>September</v>
          </cell>
          <cell r="D2249" t="str">
            <v>98-111</v>
          </cell>
          <cell r="G2249" t="str">
            <v>P</v>
          </cell>
        </row>
        <row r="2250">
          <cell r="B2250" t="str">
            <v>MONTH</v>
          </cell>
          <cell r="C2250" t="str">
            <v>REF</v>
          </cell>
          <cell r="D2250" t="str">
            <v>CSR</v>
          </cell>
          <cell r="E2250" t="str">
            <v>ITEM</v>
          </cell>
          <cell r="F2250" t="str">
            <v>AMOUNT</v>
          </cell>
          <cell r="G2250" t="str">
            <v>TRANSTYPE (P/C/X)</v>
          </cell>
        </row>
        <row r="2251">
          <cell r="B2251" t="str">
            <v>September</v>
          </cell>
          <cell r="D2251" t="str">
            <v>98-112</v>
          </cell>
          <cell r="G2251" t="str">
            <v>P</v>
          </cell>
        </row>
        <row r="2252">
          <cell r="B2252" t="str">
            <v>MONTH</v>
          </cell>
          <cell r="C2252" t="str">
            <v>REF</v>
          </cell>
          <cell r="D2252" t="str">
            <v>CSR</v>
          </cell>
          <cell r="E2252" t="str">
            <v>ITEM</v>
          </cell>
          <cell r="F2252" t="str">
            <v>AMOUNT</v>
          </cell>
          <cell r="G2252" t="str">
            <v>TRANSTYPE (P/C/X)</v>
          </cell>
        </row>
        <row r="2253">
          <cell r="B2253" t="str">
            <v>September</v>
          </cell>
          <cell r="D2253" t="str">
            <v>98-113</v>
          </cell>
          <cell r="G2253" t="str">
            <v>P</v>
          </cell>
        </row>
        <row r="2254">
          <cell r="B2254" t="str">
            <v>MONTH</v>
          </cell>
          <cell r="C2254" t="str">
            <v>REF</v>
          </cell>
          <cell r="D2254" t="str">
            <v>CSR</v>
          </cell>
          <cell r="E2254" t="str">
            <v>ITEM</v>
          </cell>
          <cell r="F2254" t="str">
            <v>AMOUNT</v>
          </cell>
          <cell r="G2254" t="str">
            <v>TRANSTYPE (P/C/X)</v>
          </cell>
        </row>
        <row r="2255">
          <cell r="B2255" t="str">
            <v>September</v>
          </cell>
          <cell r="D2255" t="str">
            <v>98-114</v>
          </cell>
          <cell r="G2255" t="str">
            <v>P</v>
          </cell>
        </row>
        <row r="2256">
          <cell r="B2256" t="str">
            <v>MONTH</v>
          </cell>
          <cell r="C2256" t="str">
            <v>REF</v>
          </cell>
          <cell r="D2256" t="str">
            <v>CSR</v>
          </cell>
          <cell r="E2256" t="str">
            <v>ITEM</v>
          </cell>
          <cell r="F2256" t="str">
            <v>AMOUNT</v>
          </cell>
          <cell r="G2256" t="str">
            <v>TRANSTYPE (P/C/X)</v>
          </cell>
        </row>
        <row r="2257">
          <cell r="B2257" t="str">
            <v>September</v>
          </cell>
          <cell r="D2257" t="str">
            <v>98-115</v>
          </cell>
          <cell r="G2257" t="str">
            <v>P</v>
          </cell>
        </row>
        <row r="2258">
          <cell r="B2258" t="str">
            <v>MONTH</v>
          </cell>
          <cell r="C2258" t="str">
            <v>REF</v>
          </cell>
          <cell r="D2258" t="str">
            <v>CSR</v>
          </cell>
          <cell r="E2258" t="str">
            <v>ITEM</v>
          </cell>
          <cell r="F2258" t="str">
            <v>AMOUNT</v>
          </cell>
          <cell r="G2258" t="str">
            <v>TRANSTYPE (P/C/X)</v>
          </cell>
        </row>
        <row r="2259">
          <cell r="B2259" t="str">
            <v>September</v>
          </cell>
          <cell r="D2259" t="str">
            <v>98-116</v>
          </cell>
          <cell r="G2259" t="str">
            <v>P</v>
          </cell>
        </row>
        <row r="2260">
          <cell r="B2260" t="str">
            <v>MONTH</v>
          </cell>
          <cell r="C2260" t="str">
            <v>REF</v>
          </cell>
          <cell r="D2260" t="str">
            <v>CSR</v>
          </cell>
          <cell r="E2260" t="str">
            <v>ITEM</v>
          </cell>
          <cell r="F2260" t="str">
            <v>AMOUNT</v>
          </cell>
          <cell r="G2260" t="str">
            <v>TRANSTYPE (P/C/X)</v>
          </cell>
        </row>
        <row r="2261">
          <cell r="B2261" t="str">
            <v>September</v>
          </cell>
          <cell r="D2261" t="str">
            <v>98-117</v>
          </cell>
          <cell r="G2261" t="str">
            <v>P</v>
          </cell>
        </row>
        <row r="2262">
          <cell r="B2262" t="str">
            <v>MONTH</v>
          </cell>
          <cell r="C2262" t="str">
            <v>REF</v>
          </cell>
          <cell r="D2262" t="str">
            <v>CSR</v>
          </cell>
          <cell r="E2262" t="str">
            <v>ITEM</v>
          </cell>
          <cell r="F2262" t="str">
            <v>AMOUNT</v>
          </cell>
          <cell r="G2262" t="str">
            <v>TRANSTYPE (P/C/X)</v>
          </cell>
        </row>
        <row r="2263">
          <cell r="B2263" t="str">
            <v>September</v>
          </cell>
          <cell r="D2263" t="str">
            <v>98-118</v>
          </cell>
          <cell r="G2263" t="str">
            <v>P</v>
          </cell>
        </row>
        <row r="2264">
          <cell r="B2264" t="str">
            <v>MONTH</v>
          </cell>
          <cell r="C2264" t="str">
            <v>REF</v>
          </cell>
          <cell r="D2264" t="str">
            <v>CSR</v>
          </cell>
          <cell r="E2264" t="str">
            <v>ITEM</v>
          </cell>
          <cell r="F2264" t="str">
            <v>AMOUNT</v>
          </cell>
          <cell r="G2264" t="str">
            <v>TRANSTYPE (P/C/X)</v>
          </cell>
        </row>
        <row r="2265">
          <cell r="B2265" t="str">
            <v>September</v>
          </cell>
          <cell r="D2265" t="str">
            <v>98-119</v>
          </cell>
          <cell r="G2265" t="str">
            <v>P</v>
          </cell>
        </row>
        <row r="2266">
          <cell r="B2266" t="str">
            <v>MONTH</v>
          </cell>
          <cell r="C2266" t="str">
            <v>REF</v>
          </cell>
          <cell r="D2266" t="str">
            <v>CSR</v>
          </cell>
          <cell r="E2266" t="str">
            <v>ITEM</v>
          </cell>
          <cell r="F2266" t="str">
            <v>AMOUNT</v>
          </cell>
          <cell r="G2266" t="str">
            <v>TRANSTYPE (P/C/X)</v>
          </cell>
        </row>
        <row r="2267">
          <cell r="B2267" t="str">
            <v>September</v>
          </cell>
          <cell r="D2267" t="str">
            <v>98-120</v>
          </cell>
          <cell r="G2267" t="str">
            <v>P</v>
          </cell>
        </row>
        <row r="2268">
          <cell r="B2268" t="str">
            <v>MONTH</v>
          </cell>
          <cell r="C2268" t="str">
            <v>REF</v>
          </cell>
          <cell r="D2268" t="str">
            <v>CSR</v>
          </cell>
          <cell r="E2268" t="str">
            <v>ITEM</v>
          </cell>
          <cell r="F2268" t="str">
            <v>AMOUNT</v>
          </cell>
          <cell r="G2268" t="str">
            <v>TRANSTYPE (P/C/X)</v>
          </cell>
        </row>
        <row r="2269">
          <cell r="B2269" t="str">
            <v>September</v>
          </cell>
          <cell r="D2269" t="str">
            <v>98-121</v>
          </cell>
          <cell r="G2269" t="str">
            <v>P</v>
          </cell>
        </row>
        <row r="2270">
          <cell r="B2270" t="str">
            <v>MONTH</v>
          </cell>
          <cell r="C2270" t="str">
            <v>REF</v>
          </cell>
          <cell r="D2270" t="str">
            <v>CSR</v>
          </cell>
          <cell r="E2270" t="str">
            <v>ITEM</v>
          </cell>
          <cell r="F2270" t="str">
            <v>AMOUNT</v>
          </cell>
          <cell r="G2270" t="str">
            <v>TRANSTYPE (P/C/X)</v>
          </cell>
        </row>
        <row r="2271">
          <cell r="B2271" t="str">
            <v>September</v>
          </cell>
          <cell r="D2271" t="str">
            <v>98-122</v>
          </cell>
          <cell r="G2271" t="str">
            <v>P</v>
          </cell>
        </row>
        <row r="2272">
          <cell r="B2272" t="str">
            <v>MONTH</v>
          </cell>
          <cell r="C2272" t="str">
            <v>REF</v>
          </cell>
          <cell r="D2272" t="str">
            <v>CSR</v>
          </cell>
          <cell r="E2272" t="str">
            <v>ITEM</v>
          </cell>
          <cell r="F2272" t="str">
            <v>AMOUNT</v>
          </cell>
          <cell r="G2272" t="str">
            <v>TRANSTYPE (P/C/X)</v>
          </cell>
        </row>
        <row r="2273">
          <cell r="B2273" t="str">
            <v>September</v>
          </cell>
          <cell r="D2273" t="str">
            <v>98-123</v>
          </cell>
          <cell r="G2273" t="str">
            <v>P</v>
          </cell>
        </row>
        <row r="2274">
          <cell r="B2274" t="str">
            <v>MONTH</v>
          </cell>
          <cell r="C2274" t="str">
            <v>REF</v>
          </cell>
          <cell r="D2274" t="str">
            <v>CSR</v>
          </cell>
          <cell r="E2274" t="str">
            <v>ITEM</v>
          </cell>
          <cell r="F2274" t="str">
            <v>AMOUNT</v>
          </cell>
          <cell r="G2274" t="str">
            <v>TRANSTYPE (P/C/X)</v>
          </cell>
        </row>
        <row r="2275">
          <cell r="B2275" t="str">
            <v>September</v>
          </cell>
          <cell r="D2275" t="str">
            <v>98-124</v>
          </cell>
          <cell r="G2275" t="str">
            <v>P</v>
          </cell>
        </row>
        <row r="2276">
          <cell r="B2276" t="str">
            <v>MONTH</v>
          </cell>
          <cell r="C2276" t="str">
            <v>REF</v>
          </cell>
          <cell r="D2276" t="str">
            <v>CSR</v>
          </cell>
          <cell r="E2276" t="str">
            <v>ITEM</v>
          </cell>
          <cell r="F2276" t="str">
            <v>AMOUNT</v>
          </cell>
          <cell r="G2276" t="str">
            <v>TRANSTYPE (P/C/X)</v>
          </cell>
        </row>
        <row r="2277">
          <cell r="B2277" t="str">
            <v>September</v>
          </cell>
          <cell r="D2277" t="str">
            <v>98-125</v>
          </cell>
          <cell r="G2277" t="str">
            <v>P</v>
          </cell>
        </row>
        <row r="2278">
          <cell r="B2278" t="str">
            <v>MONTH</v>
          </cell>
          <cell r="C2278" t="str">
            <v>REF</v>
          </cell>
          <cell r="D2278" t="str">
            <v>CSR</v>
          </cell>
          <cell r="E2278" t="str">
            <v>ITEM</v>
          </cell>
          <cell r="F2278" t="str">
            <v>AMOUNT</v>
          </cell>
          <cell r="G2278" t="str">
            <v>TRANSTYPE (P/C/X)</v>
          </cell>
        </row>
        <row r="2279">
          <cell r="B2279" t="str">
            <v>September</v>
          </cell>
          <cell r="D2279" t="str">
            <v>98-126</v>
          </cell>
          <cell r="G2279" t="str">
            <v>P</v>
          </cell>
        </row>
        <row r="2280">
          <cell r="B2280" t="str">
            <v>MONTH</v>
          </cell>
          <cell r="C2280" t="str">
            <v>REF</v>
          </cell>
          <cell r="D2280" t="str">
            <v>CSR</v>
          </cell>
          <cell r="E2280" t="str">
            <v>ITEM</v>
          </cell>
          <cell r="F2280" t="str">
            <v>AMOUNT</v>
          </cell>
          <cell r="G2280" t="str">
            <v>TRANSTYPE (P/C/X)</v>
          </cell>
        </row>
        <row r="2281">
          <cell r="B2281" t="str">
            <v>September</v>
          </cell>
          <cell r="D2281" t="str">
            <v>98-127</v>
          </cell>
          <cell r="G2281" t="str">
            <v>P</v>
          </cell>
        </row>
        <row r="2282">
          <cell r="B2282" t="str">
            <v>MONTH</v>
          </cell>
          <cell r="C2282" t="str">
            <v>REF</v>
          </cell>
          <cell r="D2282" t="str">
            <v>CSR</v>
          </cell>
          <cell r="E2282" t="str">
            <v>ITEM</v>
          </cell>
          <cell r="F2282" t="str">
            <v>AMOUNT</v>
          </cell>
          <cell r="G2282" t="str">
            <v>TRANSTYPE (P/C/X)</v>
          </cell>
        </row>
        <row r="2283">
          <cell r="B2283" t="str">
            <v>September</v>
          </cell>
          <cell r="D2283" t="str">
            <v>98-128</v>
          </cell>
          <cell r="G2283" t="str">
            <v>P</v>
          </cell>
        </row>
        <row r="2284">
          <cell r="B2284" t="str">
            <v>MONTH</v>
          </cell>
          <cell r="C2284" t="str">
            <v>REF</v>
          </cell>
          <cell r="D2284" t="str">
            <v>CSR</v>
          </cell>
          <cell r="E2284" t="str">
            <v>ITEM</v>
          </cell>
          <cell r="F2284" t="str">
            <v>AMOUNT</v>
          </cell>
          <cell r="G2284" t="str">
            <v>TRANSTYPE (P/C/X)</v>
          </cell>
        </row>
        <row r="2285">
          <cell r="B2285" t="str">
            <v>September</v>
          </cell>
          <cell r="D2285" t="str">
            <v>98-129</v>
          </cell>
          <cell r="G2285" t="str">
            <v>P</v>
          </cell>
        </row>
        <row r="2286">
          <cell r="B2286" t="str">
            <v>MONTH</v>
          </cell>
          <cell r="C2286" t="str">
            <v>REF</v>
          </cell>
          <cell r="D2286" t="str">
            <v>CSR</v>
          </cell>
          <cell r="E2286" t="str">
            <v>ITEM</v>
          </cell>
          <cell r="F2286" t="str">
            <v>AMOUNT</v>
          </cell>
          <cell r="G2286" t="str">
            <v>TRANSTYPE (P/C/X)</v>
          </cell>
        </row>
        <row r="2287">
          <cell r="B2287" t="str">
            <v>September</v>
          </cell>
          <cell r="D2287" t="str">
            <v>98-130</v>
          </cell>
          <cell r="G2287" t="str">
            <v>P</v>
          </cell>
        </row>
        <row r="2288">
          <cell r="B2288" t="str">
            <v>MONTH</v>
          </cell>
          <cell r="C2288" t="str">
            <v>REF</v>
          </cell>
          <cell r="D2288" t="str">
            <v>CSR</v>
          </cell>
          <cell r="E2288" t="str">
            <v>ITEM</v>
          </cell>
          <cell r="F2288" t="str">
            <v>AMOUNT</v>
          </cell>
          <cell r="G2288" t="str">
            <v>TRANSTYPE (P/C/X)</v>
          </cell>
        </row>
        <row r="2289">
          <cell r="B2289" t="str">
            <v>September</v>
          </cell>
          <cell r="D2289" t="str">
            <v>98-131</v>
          </cell>
          <cell r="G2289" t="str">
            <v>P</v>
          </cell>
        </row>
        <row r="2290">
          <cell r="B2290" t="str">
            <v>MONTH</v>
          </cell>
          <cell r="C2290" t="str">
            <v>REF</v>
          </cell>
          <cell r="D2290" t="str">
            <v>CSR</v>
          </cell>
          <cell r="E2290" t="str">
            <v>ITEM</v>
          </cell>
          <cell r="F2290" t="str">
            <v>AMOUNT</v>
          </cell>
          <cell r="G2290" t="str">
            <v>TRANSTYPE (P/C/X)</v>
          </cell>
        </row>
        <row r="2291">
          <cell r="B2291" t="str">
            <v>September</v>
          </cell>
          <cell r="D2291" t="str">
            <v>98-132</v>
          </cell>
          <cell r="G2291" t="str">
            <v>P</v>
          </cell>
        </row>
        <row r="2292">
          <cell r="B2292" t="str">
            <v>MONTH</v>
          </cell>
          <cell r="C2292" t="str">
            <v>REF</v>
          </cell>
          <cell r="D2292" t="str">
            <v>CSR</v>
          </cell>
          <cell r="E2292" t="str">
            <v>ITEM</v>
          </cell>
          <cell r="F2292" t="str">
            <v>AMOUNT</v>
          </cell>
          <cell r="G2292" t="str">
            <v>TRANSTYPE (P/C/X)</v>
          </cell>
        </row>
        <row r="2293">
          <cell r="B2293" t="str">
            <v>September</v>
          </cell>
          <cell r="D2293" t="str">
            <v>98-133</v>
          </cell>
          <cell r="G2293" t="str">
            <v>P</v>
          </cell>
        </row>
        <row r="2294">
          <cell r="B2294" t="str">
            <v>MONTH</v>
          </cell>
          <cell r="C2294" t="str">
            <v>REF</v>
          </cell>
          <cell r="D2294" t="str">
            <v>CSR</v>
          </cell>
          <cell r="E2294" t="str">
            <v>ITEM</v>
          </cell>
          <cell r="F2294" t="str">
            <v>AMOUNT</v>
          </cell>
          <cell r="G2294" t="str">
            <v>TRANSTYPE (P/C/X)</v>
          </cell>
        </row>
        <row r="2295">
          <cell r="B2295" t="str">
            <v>September</v>
          </cell>
          <cell r="D2295" t="str">
            <v>98-134</v>
          </cell>
          <cell r="G2295" t="str">
            <v>P</v>
          </cell>
        </row>
        <row r="2296">
          <cell r="B2296" t="str">
            <v>MONTH</v>
          </cell>
          <cell r="C2296" t="str">
            <v>REF</v>
          </cell>
          <cell r="D2296" t="str">
            <v>CSR</v>
          </cell>
          <cell r="E2296" t="str">
            <v>ITEM</v>
          </cell>
          <cell r="F2296" t="str">
            <v>AMOUNT</v>
          </cell>
          <cell r="G2296" t="str">
            <v>TRANSTYPE (P/C/X)</v>
          </cell>
        </row>
        <row r="2297">
          <cell r="B2297" t="str">
            <v>September</v>
          </cell>
          <cell r="D2297" t="str">
            <v>98-135</v>
          </cell>
          <cell r="G2297" t="str">
            <v>P</v>
          </cell>
        </row>
        <row r="2298">
          <cell r="B2298" t="str">
            <v>MONTH</v>
          </cell>
          <cell r="C2298" t="str">
            <v>REF</v>
          </cell>
          <cell r="D2298" t="str">
            <v>CSR</v>
          </cell>
          <cell r="E2298" t="str">
            <v>ITEM</v>
          </cell>
          <cell r="F2298" t="str">
            <v>AMOUNT</v>
          </cell>
          <cell r="G2298" t="str">
            <v>TRANSTYPE (P/C/X)</v>
          </cell>
        </row>
        <row r="2299">
          <cell r="B2299" t="str">
            <v>September</v>
          </cell>
          <cell r="D2299" t="str">
            <v>98-136</v>
          </cell>
          <cell r="G2299" t="str">
            <v>P</v>
          </cell>
        </row>
        <row r="2300">
          <cell r="B2300" t="str">
            <v>MONTH</v>
          </cell>
          <cell r="C2300" t="str">
            <v>REF</v>
          </cell>
          <cell r="D2300" t="str">
            <v>CSR</v>
          </cell>
          <cell r="E2300" t="str">
            <v>ITEM</v>
          </cell>
          <cell r="F2300" t="str">
            <v>AMOUNT</v>
          </cell>
          <cell r="G2300" t="str">
            <v>TRANSTYPE (P/C/X)</v>
          </cell>
        </row>
        <row r="2301">
          <cell r="B2301" t="str">
            <v>September</v>
          </cell>
          <cell r="D2301" t="str">
            <v>98-139</v>
          </cell>
          <cell r="G2301" t="str">
            <v>P</v>
          </cell>
        </row>
        <row r="2302">
          <cell r="B2302" t="str">
            <v>MONTH</v>
          </cell>
          <cell r="C2302" t="str">
            <v>REF</v>
          </cell>
          <cell r="D2302" t="str">
            <v>CSR</v>
          </cell>
          <cell r="E2302" t="str">
            <v>ITEM</v>
          </cell>
          <cell r="F2302" t="str">
            <v>AMOUNT</v>
          </cell>
          <cell r="G2302" t="str">
            <v>TRANSTYPE (P/C/X)</v>
          </cell>
        </row>
        <row r="2303">
          <cell r="B2303" t="str">
            <v>September</v>
          </cell>
          <cell r="D2303" t="str">
            <v>98-140</v>
          </cell>
          <cell r="G2303" t="str">
            <v>P</v>
          </cell>
        </row>
        <row r="2304">
          <cell r="B2304" t="str">
            <v>MONTH</v>
          </cell>
          <cell r="C2304" t="str">
            <v>REF</v>
          </cell>
          <cell r="D2304" t="str">
            <v>CSR</v>
          </cell>
          <cell r="E2304" t="str">
            <v>ITEM</v>
          </cell>
          <cell r="F2304" t="str">
            <v>AMOUNT</v>
          </cell>
          <cell r="G2304" t="str">
            <v>TRANSTYPE (P/C/X)</v>
          </cell>
        </row>
        <row r="2305">
          <cell r="B2305" t="str">
            <v>September</v>
          </cell>
          <cell r="D2305" t="str">
            <v>98-141</v>
          </cell>
          <cell r="G2305" t="str">
            <v>P</v>
          </cell>
        </row>
        <row r="2306">
          <cell r="B2306" t="str">
            <v>MONTH</v>
          </cell>
          <cell r="C2306" t="str">
            <v>REF</v>
          </cell>
          <cell r="D2306" t="str">
            <v>CSR</v>
          </cell>
          <cell r="E2306" t="str">
            <v>ITEM</v>
          </cell>
          <cell r="F2306" t="str">
            <v>AMOUNT</v>
          </cell>
          <cell r="G2306" t="str">
            <v>TRANSTYPE (P/C/X)</v>
          </cell>
        </row>
        <row r="2307">
          <cell r="B2307" t="str">
            <v>September</v>
          </cell>
          <cell r="D2307" t="str">
            <v>98-142</v>
          </cell>
          <cell r="G2307" t="str">
            <v>P</v>
          </cell>
        </row>
        <row r="2308">
          <cell r="B2308" t="str">
            <v>MONTH</v>
          </cell>
          <cell r="C2308" t="str">
            <v>REF</v>
          </cell>
          <cell r="D2308" t="str">
            <v>CSR</v>
          </cell>
          <cell r="E2308" t="str">
            <v>ITEM</v>
          </cell>
          <cell r="F2308" t="str">
            <v>AMOUNT</v>
          </cell>
          <cell r="G2308" t="str">
            <v>TRANSTYPE (P/C/X)</v>
          </cell>
        </row>
        <row r="2309">
          <cell r="B2309" t="str">
            <v>September</v>
          </cell>
          <cell r="D2309" t="str">
            <v>98-144</v>
          </cell>
          <cell r="G2309" t="str">
            <v>P</v>
          </cell>
        </row>
        <row r="2310">
          <cell r="B2310" t="str">
            <v>MONTH</v>
          </cell>
          <cell r="C2310" t="str">
            <v>REF</v>
          </cell>
          <cell r="D2310" t="str">
            <v>CSR</v>
          </cell>
          <cell r="E2310" t="str">
            <v>ITEM</v>
          </cell>
          <cell r="F2310" t="str">
            <v>AMOUNT</v>
          </cell>
          <cell r="G2310" t="str">
            <v>TRANSTYPE (P/C/X)</v>
          </cell>
        </row>
        <row r="2311">
          <cell r="B2311" t="str">
            <v>September</v>
          </cell>
          <cell r="D2311" t="str">
            <v>98-145</v>
          </cell>
          <cell r="G2311" t="str">
            <v>P</v>
          </cell>
        </row>
        <row r="2312">
          <cell r="B2312" t="str">
            <v>MONTH</v>
          </cell>
          <cell r="C2312" t="str">
            <v>REF</v>
          </cell>
          <cell r="D2312" t="str">
            <v>CSR</v>
          </cell>
          <cell r="E2312" t="str">
            <v>ITEM</v>
          </cell>
          <cell r="F2312" t="str">
            <v>AMOUNT</v>
          </cell>
          <cell r="G2312" t="str">
            <v>TRANSTYPE (P/C/X)</v>
          </cell>
        </row>
        <row r="2313">
          <cell r="B2313" t="str">
            <v>September</v>
          </cell>
          <cell r="D2313" t="str">
            <v>98-147</v>
          </cell>
          <cell r="G2313" t="str">
            <v>P</v>
          </cell>
        </row>
        <row r="2314">
          <cell r="B2314" t="str">
            <v>MONTH</v>
          </cell>
          <cell r="C2314" t="str">
            <v>REF</v>
          </cell>
          <cell r="D2314" t="str">
            <v>CSR</v>
          </cell>
          <cell r="E2314" t="str">
            <v>ITEM</v>
          </cell>
          <cell r="F2314" t="str">
            <v>AMOUNT</v>
          </cell>
          <cell r="G2314" t="str">
            <v>TRANSTYPE (P/C/X)</v>
          </cell>
        </row>
        <row r="2315">
          <cell r="B2315" t="str">
            <v>September</v>
          </cell>
          <cell r="D2315" t="str">
            <v>98-148</v>
          </cell>
          <cell r="G2315" t="str">
            <v>P</v>
          </cell>
        </row>
        <row r="2316">
          <cell r="B2316" t="str">
            <v>MONTH</v>
          </cell>
          <cell r="C2316" t="str">
            <v>REF</v>
          </cell>
          <cell r="D2316" t="str">
            <v>CSR</v>
          </cell>
          <cell r="E2316" t="str">
            <v>ITEM</v>
          </cell>
          <cell r="F2316" t="str">
            <v>AMOUNT</v>
          </cell>
          <cell r="G2316" t="str">
            <v>TRANSTYPE (P/C/X)</v>
          </cell>
        </row>
        <row r="2317">
          <cell r="B2317" t="str">
            <v>September</v>
          </cell>
          <cell r="D2317" t="str">
            <v>98-149</v>
          </cell>
          <cell r="G2317" t="str">
            <v>P</v>
          </cell>
        </row>
        <row r="2318">
          <cell r="B2318" t="str">
            <v>MONTH</v>
          </cell>
          <cell r="C2318" t="str">
            <v>REF</v>
          </cell>
          <cell r="D2318" t="str">
            <v>CSR</v>
          </cell>
          <cell r="E2318" t="str">
            <v>ITEM</v>
          </cell>
          <cell r="F2318" t="str">
            <v>AMOUNT</v>
          </cell>
          <cell r="G2318" t="str">
            <v>TRANSTYPE (P/C/X)</v>
          </cell>
        </row>
        <row r="2319">
          <cell r="B2319" t="str">
            <v>September</v>
          </cell>
          <cell r="D2319" t="str">
            <v>98-150</v>
          </cell>
          <cell r="G2319" t="str">
            <v>P</v>
          </cell>
        </row>
        <row r="2320">
          <cell r="B2320" t="str">
            <v>MONTH</v>
          </cell>
          <cell r="C2320" t="str">
            <v>REF</v>
          </cell>
          <cell r="D2320" t="str">
            <v>CSR</v>
          </cell>
          <cell r="E2320" t="str">
            <v>ITEM</v>
          </cell>
          <cell r="F2320" t="str">
            <v>AMOUNT</v>
          </cell>
          <cell r="G2320" t="str">
            <v>TRANSTYPE (P/C/X)</v>
          </cell>
        </row>
        <row r="2321">
          <cell r="B2321" t="str">
            <v>September</v>
          </cell>
          <cell r="D2321" t="str">
            <v>98-151</v>
          </cell>
          <cell r="G2321" t="str">
            <v>P</v>
          </cell>
        </row>
        <row r="2322">
          <cell r="B2322" t="str">
            <v>MONTH</v>
          </cell>
          <cell r="C2322" t="str">
            <v>REF</v>
          </cell>
          <cell r="D2322" t="str">
            <v>CSR</v>
          </cell>
          <cell r="E2322" t="str">
            <v>ITEM</v>
          </cell>
          <cell r="F2322" t="str">
            <v>AMOUNT</v>
          </cell>
          <cell r="G2322" t="str">
            <v>TRANSTYPE (P/C/X)</v>
          </cell>
        </row>
        <row r="2323">
          <cell r="B2323" t="str">
            <v>September</v>
          </cell>
          <cell r="D2323" t="str">
            <v>98-153</v>
          </cell>
          <cell r="G2323" t="str">
            <v>P</v>
          </cell>
        </row>
        <row r="2324">
          <cell r="B2324" t="str">
            <v>MONTH</v>
          </cell>
          <cell r="C2324" t="str">
            <v>REF</v>
          </cell>
          <cell r="D2324" t="str">
            <v>CSR</v>
          </cell>
          <cell r="E2324" t="str">
            <v>ITEM</v>
          </cell>
          <cell r="F2324" t="str">
            <v>AMOUNT</v>
          </cell>
          <cell r="G2324" t="str">
            <v>TRANSTYPE (P/C/X)</v>
          </cell>
        </row>
        <row r="2325">
          <cell r="B2325" t="str">
            <v>September</v>
          </cell>
          <cell r="D2325" t="str">
            <v>98-154</v>
          </cell>
          <cell r="G2325" t="str">
            <v>P</v>
          </cell>
        </row>
        <row r="2326">
          <cell r="B2326" t="str">
            <v>MONTH</v>
          </cell>
          <cell r="C2326" t="str">
            <v>REF</v>
          </cell>
          <cell r="D2326" t="str">
            <v>CSR</v>
          </cell>
          <cell r="E2326" t="str">
            <v>ITEM</v>
          </cell>
          <cell r="F2326" t="str">
            <v>AMOUNT</v>
          </cell>
          <cell r="G2326" t="str">
            <v>TRANSTYPE (P/C/X)</v>
          </cell>
        </row>
        <row r="2327">
          <cell r="B2327" t="str">
            <v>September</v>
          </cell>
          <cell r="D2327" t="str">
            <v>98-156</v>
          </cell>
          <cell r="G2327" t="str">
            <v>P</v>
          </cell>
        </row>
        <row r="2328">
          <cell r="B2328" t="str">
            <v>MONTH</v>
          </cell>
          <cell r="C2328" t="str">
            <v>REF</v>
          </cell>
          <cell r="D2328" t="str">
            <v>CSR</v>
          </cell>
          <cell r="E2328" t="str">
            <v>ITEM</v>
          </cell>
          <cell r="F2328" t="str">
            <v>AMOUNT</v>
          </cell>
          <cell r="G2328" t="str">
            <v>TRANSTYPE (P/C/X)</v>
          </cell>
        </row>
        <row r="2329">
          <cell r="B2329" t="str">
            <v>September</v>
          </cell>
          <cell r="D2329" t="str">
            <v>98-159</v>
          </cell>
          <cell r="G2329" t="str">
            <v>P</v>
          </cell>
        </row>
        <row r="2330">
          <cell r="B2330" t="str">
            <v>MONTH</v>
          </cell>
          <cell r="C2330" t="str">
            <v>REF</v>
          </cell>
          <cell r="D2330" t="str">
            <v>CSR</v>
          </cell>
          <cell r="E2330" t="str">
            <v>ITEM</v>
          </cell>
          <cell r="F2330" t="str">
            <v>AMOUNT</v>
          </cell>
          <cell r="G2330" t="str">
            <v>TRANSTYPE (P/C/X)</v>
          </cell>
        </row>
        <row r="2331">
          <cell r="B2331" t="str">
            <v>September</v>
          </cell>
          <cell r="D2331" t="str">
            <v>98-160</v>
          </cell>
          <cell r="G2331" t="str">
            <v>P</v>
          </cell>
        </row>
        <row r="2332">
          <cell r="B2332" t="str">
            <v>MONTH</v>
          </cell>
          <cell r="C2332" t="str">
            <v>REF</v>
          </cell>
          <cell r="D2332" t="str">
            <v>CSR</v>
          </cell>
          <cell r="E2332" t="str">
            <v>ITEM</v>
          </cell>
          <cell r="F2332" t="str">
            <v>AMOUNT</v>
          </cell>
          <cell r="G2332" t="str">
            <v>TRANSTYPE (P/C/X)</v>
          </cell>
        </row>
        <row r="2333">
          <cell r="B2333" t="str">
            <v>September</v>
          </cell>
          <cell r="D2333" t="str">
            <v>98-161</v>
          </cell>
          <cell r="G2333" t="str">
            <v>P</v>
          </cell>
        </row>
        <row r="2334">
          <cell r="B2334" t="str">
            <v>MONTH</v>
          </cell>
          <cell r="C2334" t="str">
            <v>REF</v>
          </cell>
          <cell r="D2334" t="str">
            <v>CSR</v>
          </cell>
          <cell r="E2334" t="str">
            <v>ITEM</v>
          </cell>
          <cell r="F2334" t="str">
            <v>AMOUNT</v>
          </cell>
          <cell r="G2334" t="str">
            <v>TRANSTYPE (P/C/X)</v>
          </cell>
        </row>
        <row r="2335">
          <cell r="B2335" t="str">
            <v>September</v>
          </cell>
          <cell r="D2335" t="str">
            <v>98-162</v>
          </cell>
          <cell r="G2335" t="str">
            <v>P</v>
          </cell>
        </row>
        <row r="2336">
          <cell r="B2336" t="str">
            <v>MONTH</v>
          </cell>
          <cell r="C2336" t="str">
            <v>REF</v>
          </cell>
          <cell r="D2336" t="str">
            <v>CSR</v>
          </cell>
          <cell r="E2336" t="str">
            <v>ITEM</v>
          </cell>
          <cell r="F2336" t="str">
            <v>AMOUNT</v>
          </cell>
          <cell r="G2336" t="str">
            <v>TRANSTYPE (P/C/X)</v>
          </cell>
        </row>
        <row r="2337">
          <cell r="B2337" t="str">
            <v>September</v>
          </cell>
          <cell r="D2337" t="str">
            <v>98-163</v>
          </cell>
          <cell r="G2337" t="str">
            <v>P</v>
          </cell>
        </row>
        <row r="2338">
          <cell r="B2338" t="str">
            <v>MONTH</v>
          </cell>
          <cell r="C2338" t="str">
            <v>REF</v>
          </cell>
          <cell r="D2338" t="str">
            <v>CSR</v>
          </cell>
          <cell r="E2338" t="str">
            <v>ITEM</v>
          </cell>
          <cell r="F2338" t="str">
            <v>AMOUNT</v>
          </cell>
          <cell r="G2338" t="str">
            <v>TRANSTYPE (P/C/X)</v>
          </cell>
        </row>
        <row r="2339">
          <cell r="B2339" t="str">
            <v>September</v>
          </cell>
          <cell r="D2339" t="str">
            <v>98-164</v>
          </cell>
          <cell r="G2339" t="str">
            <v>P</v>
          </cell>
        </row>
        <row r="2340">
          <cell r="B2340" t="str">
            <v>MONTH</v>
          </cell>
          <cell r="C2340" t="str">
            <v>REF</v>
          </cell>
          <cell r="D2340" t="str">
            <v>CSR</v>
          </cell>
          <cell r="E2340" t="str">
            <v>ITEM</v>
          </cell>
          <cell r="F2340" t="str">
            <v>AMOUNT</v>
          </cell>
          <cell r="G2340" t="str">
            <v>TRANSTYPE (P/C/X)</v>
          </cell>
        </row>
        <row r="2341">
          <cell r="B2341" t="str">
            <v>September</v>
          </cell>
          <cell r="D2341" t="str">
            <v>98-165</v>
          </cell>
          <cell r="G2341" t="str">
            <v>P</v>
          </cell>
        </row>
        <row r="2342">
          <cell r="B2342" t="str">
            <v>MONTH</v>
          </cell>
          <cell r="C2342" t="str">
            <v>REF</v>
          </cell>
          <cell r="D2342" t="str">
            <v>CSR</v>
          </cell>
          <cell r="E2342" t="str">
            <v>ITEM</v>
          </cell>
          <cell r="F2342" t="str">
            <v>AMOUNT</v>
          </cell>
          <cell r="G2342" t="str">
            <v>TRANSTYPE (P/C/X)</v>
          </cell>
        </row>
        <row r="2343">
          <cell r="B2343" t="str">
            <v>September</v>
          </cell>
          <cell r="D2343" t="str">
            <v>98-400</v>
          </cell>
          <cell r="G2343" t="str">
            <v>P</v>
          </cell>
        </row>
        <row r="2344">
          <cell r="B2344" t="str">
            <v>MONTH</v>
          </cell>
          <cell r="C2344" t="str">
            <v>REF</v>
          </cell>
          <cell r="D2344" t="str">
            <v>CSR</v>
          </cell>
          <cell r="E2344" t="str">
            <v>ITEM</v>
          </cell>
          <cell r="F2344" t="str">
            <v>AMOUNT</v>
          </cell>
          <cell r="G2344" t="str">
            <v>TRANSTYPE (P/C/X)</v>
          </cell>
        </row>
        <row r="2345">
          <cell r="B2345" t="str">
            <v>September</v>
          </cell>
          <cell r="D2345" t="str">
            <v>98-401</v>
          </cell>
          <cell r="G2345" t="str">
            <v>P</v>
          </cell>
        </row>
        <row r="2346">
          <cell r="B2346" t="str">
            <v>MONTH</v>
          </cell>
          <cell r="C2346" t="str">
            <v>REF</v>
          </cell>
          <cell r="D2346" t="str">
            <v>CSR</v>
          </cell>
          <cell r="E2346" t="str">
            <v>ITEM</v>
          </cell>
          <cell r="F2346" t="str">
            <v>AMOUNT</v>
          </cell>
          <cell r="G2346" t="str">
            <v>TRANSTYPE (P/C/X)</v>
          </cell>
        </row>
        <row r="2347">
          <cell r="B2347" t="str">
            <v>September</v>
          </cell>
          <cell r="D2347" t="str">
            <v>98-402</v>
          </cell>
          <cell r="G2347" t="str">
            <v>P</v>
          </cell>
        </row>
        <row r="2348">
          <cell r="B2348" t="str">
            <v>MONTH</v>
          </cell>
          <cell r="C2348" t="str">
            <v>REF</v>
          </cell>
          <cell r="D2348" t="str">
            <v>CSR</v>
          </cell>
          <cell r="E2348" t="str">
            <v>ITEM</v>
          </cell>
          <cell r="F2348" t="str">
            <v>AMOUNT</v>
          </cell>
          <cell r="G2348" t="str">
            <v>TRANSTYPE (P/C/X)</v>
          </cell>
        </row>
        <row r="2349">
          <cell r="B2349" t="str">
            <v>September</v>
          </cell>
          <cell r="D2349" t="str">
            <v>98-403</v>
          </cell>
          <cell r="G2349" t="str">
            <v>P</v>
          </cell>
        </row>
        <row r="2350">
          <cell r="B2350" t="str">
            <v>MONTH</v>
          </cell>
          <cell r="C2350" t="str">
            <v>REF</v>
          </cell>
          <cell r="D2350" t="str">
            <v>CSR</v>
          </cell>
          <cell r="E2350" t="str">
            <v>ITEM</v>
          </cell>
          <cell r="F2350" t="str">
            <v>AMOUNT</v>
          </cell>
          <cell r="G2350" t="str">
            <v>TRANSTYPE (P/C/X)</v>
          </cell>
        </row>
        <row r="2351">
          <cell r="B2351" t="str">
            <v>September</v>
          </cell>
          <cell r="D2351" t="str">
            <v>98-404</v>
          </cell>
          <cell r="G2351" t="str">
            <v>P</v>
          </cell>
        </row>
        <row r="2352">
          <cell r="B2352" t="str">
            <v>MONTH</v>
          </cell>
          <cell r="C2352" t="str">
            <v>REF</v>
          </cell>
          <cell r="D2352" t="str">
            <v>CSR</v>
          </cell>
          <cell r="E2352" t="str">
            <v>ITEM</v>
          </cell>
          <cell r="F2352" t="str">
            <v>AMOUNT</v>
          </cell>
          <cell r="G2352" t="str">
            <v>TRANSTYPE (P/C/X)</v>
          </cell>
        </row>
        <row r="2353">
          <cell r="B2353" t="str">
            <v>September</v>
          </cell>
          <cell r="D2353" t="str">
            <v>98-405</v>
          </cell>
          <cell r="G2353" t="str">
            <v>P</v>
          </cell>
        </row>
        <row r="2354">
          <cell r="B2354" t="str">
            <v>MONTH</v>
          </cell>
          <cell r="C2354" t="str">
            <v>REF</v>
          </cell>
          <cell r="D2354" t="str">
            <v>CSR</v>
          </cell>
          <cell r="E2354" t="str">
            <v>ITEM</v>
          </cell>
          <cell r="F2354" t="str">
            <v>AMOUNT</v>
          </cell>
          <cell r="G2354" t="str">
            <v>TRANSTYPE (P/C/X)</v>
          </cell>
        </row>
        <row r="2355">
          <cell r="B2355" t="str">
            <v>September</v>
          </cell>
          <cell r="D2355" t="str">
            <v>98-406</v>
          </cell>
          <cell r="G2355" t="str">
            <v>P</v>
          </cell>
        </row>
        <row r="2356">
          <cell r="B2356" t="str">
            <v>MONTH</v>
          </cell>
          <cell r="C2356" t="str">
            <v>REF</v>
          </cell>
          <cell r="D2356" t="str">
            <v>CSR</v>
          </cell>
          <cell r="E2356" t="str">
            <v>ITEM</v>
          </cell>
          <cell r="F2356" t="str">
            <v>AMOUNT</v>
          </cell>
          <cell r="G2356" t="str">
            <v>TRANSTYPE (P/C/X)</v>
          </cell>
        </row>
        <row r="2357">
          <cell r="B2357" t="str">
            <v>September</v>
          </cell>
          <cell r="D2357" t="str">
            <v>98-407</v>
          </cell>
          <cell r="G2357" t="str">
            <v>P</v>
          </cell>
        </row>
        <row r="2358">
          <cell r="B2358" t="str">
            <v>MONTH</v>
          </cell>
          <cell r="C2358" t="str">
            <v>REF</v>
          </cell>
          <cell r="D2358" t="str">
            <v>CSR</v>
          </cell>
          <cell r="E2358" t="str">
            <v>ITEM</v>
          </cell>
          <cell r="F2358" t="str">
            <v>AMOUNT</v>
          </cell>
          <cell r="G2358" t="str">
            <v>TRANSTYPE (P/C/X)</v>
          </cell>
        </row>
        <row r="2359">
          <cell r="B2359" t="str">
            <v>September</v>
          </cell>
          <cell r="D2359" t="str">
            <v>98-408</v>
          </cell>
          <cell r="G2359" t="str">
            <v>P</v>
          </cell>
        </row>
        <row r="2360">
          <cell r="B2360" t="str">
            <v>MONTH</v>
          </cell>
          <cell r="C2360" t="str">
            <v>REF</v>
          </cell>
          <cell r="D2360" t="str">
            <v>CSR</v>
          </cell>
          <cell r="E2360" t="str">
            <v>ITEM</v>
          </cell>
          <cell r="F2360" t="str">
            <v>AMOUNT</v>
          </cell>
          <cell r="G2360" t="str">
            <v>TRANSTYPE (P/C/X)</v>
          </cell>
        </row>
        <row r="2361">
          <cell r="B2361" t="str">
            <v>September</v>
          </cell>
          <cell r="D2361" t="str">
            <v>98-500</v>
          </cell>
          <cell r="G2361" t="str">
            <v>P</v>
          </cell>
        </row>
        <row r="2362">
          <cell r="B2362" t="str">
            <v>MONTH</v>
          </cell>
          <cell r="C2362" t="str">
            <v>REF</v>
          </cell>
          <cell r="D2362" t="str">
            <v>CSR</v>
          </cell>
          <cell r="E2362" t="str">
            <v>ITEM</v>
          </cell>
          <cell r="F2362" t="str">
            <v>AMOUNT</v>
          </cell>
          <cell r="G2362" t="str">
            <v>TRANSTYPE (P/C/X)</v>
          </cell>
        </row>
        <row r="2363">
          <cell r="B2363" t="str">
            <v>September</v>
          </cell>
          <cell r="D2363" t="str">
            <v>98-501</v>
          </cell>
          <cell r="G2363" t="str">
            <v>P</v>
          </cell>
        </row>
        <row r="2364">
          <cell r="B2364" t="str">
            <v>MONTH</v>
          </cell>
          <cell r="C2364" t="str">
            <v>REF</v>
          </cell>
          <cell r="D2364" t="str">
            <v>CSR</v>
          </cell>
          <cell r="E2364" t="str">
            <v>ITEM</v>
          </cell>
          <cell r="F2364" t="str">
            <v>AMOUNT</v>
          </cell>
          <cell r="G2364" t="str">
            <v>TRANSTYPE (P/C/X)</v>
          </cell>
        </row>
        <row r="2365">
          <cell r="B2365" t="str">
            <v>September</v>
          </cell>
          <cell r="D2365" t="str">
            <v>98-502</v>
          </cell>
          <cell r="G2365" t="str">
            <v>P</v>
          </cell>
        </row>
        <row r="2366">
          <cell r="B2366" t="str">
            <v>MONTH</v>
          </cell>
          <cell r="C2366" t="str">
            <v>REF</v>
          </cell>
          <cell r="D2366" t="str">
            <v>CSR</v>
          </cell>
          <cell r="E2366" t="str">
            <v>ITEM</v>
          </cell>
          <cell r="F2366" t="str">
            <v>AMOUNT</v>
          </cell>
          <cell r="G2366" t="str">
            <v>TRANSTYPE (P/C/X)</v>
          </cell>
        </row>
        <row r="2367">
          <cell r="B2367" t="str">
            <v>September</v>
          </cell>
          <cell r="D2367" t="str">
            <v>98-503</v>
          </cell>
          <cell r="G2367" t="str">
            <v>P</v>
          </cell>
        </row>
        <row r="2368">
          <cell r="B2368" t="str">
            <v>MONTH</v>
          </cell>
          <cell r="C2368" t="str">
            <v>REF</v>
          </cell>
          <cell r="D2368" t="str">
            <v>CSR</v>
          </cell>
          <cell r="E2368" t="str">
            <v>ITEM</v>
          </cell>
          <cell r="F2368" t="str">
            <v>AMOUNT</v>
          </cell>
          <cell r="G2368" t="str">
            <v>TRANSTYPE (P/C/X)</v>
          </cell>
        </row>
        <row r="2369">
          <cell r="B2369" t="str">
            <v>September</v>
          </cell>
          <cell r="D2369" t="str">
            <v>98-504</v>
          </cell>
          <cell r="G2369" t="str">
            <v>P</v>
          </cell>
        </row>
        <row r="2370">
          <cell r="B2370" t="str">
            <v>MONTH</v>
          </cell>
          <cell r="C2370" t="str">
            <v>REF</v>
          </cell>
          <cell r="D2370" t="str">
            <v>CSR</v>
          </cell>
          <cell r="E2370" t="str">
            <v>ITEM</v>
          </cell>
          <cell r="F2370" t="str">
            <v>AMOUNT</v>
          </cell>
          <cell r="G2370" t="str">
            <v>TRANSTYPE (P/C/X)</v>
          </cell>
        </row>
        <row r="2371">
          <cell r="B2371" t="str">
            <v>September</v>
          </cell>
          <cell r="D2371" t="str">
            <v>98-505</v>
          </cell>
          <cell r="G2371" t="str">
            <v>P</v>
          </cell>
        </row>
        <row r="2372">
          <cell r="B2372" t="str">
            <v>MONTH</v>
          </cell>
          <cell r="C2372" t="str">
            <v>REF</v>
          </cell>
          <cell r="D2372" t="str">
            <v>CSR</v>
          </cell>
          <cell r="E2372" t="str">
            <v>ITEM</v>
          </cell>
          <cell r="F2372" t="str">
            <v>AMOUNT</v>
          </cell>
          <cell r="G2372" t="str">
            <v>TRANSTYPE (P/C/X)</v>
          </cell>
        </row>
        <row r="2373">
          <cell r="B2373" t="str">
            <v>September</v>
          </cell>
          <cell r="D2373" t="str">
            <v>98-506</v>
          </cell>
          <cell r="G2373" t="str">
            <v>P</v>
          </cell>
        </row>
        <row r="2374">
          <cell r="B2374" t="str">
            <v>MONTH</v>
          </cell>
          <cell r="C2374" t="str">
            <v>REF</v>
          </cell>
          <cell r="D2374" t="str">
            <v>CSR</v>
          </cell>
          <cell r="E2374" t="str">
            <v>ITEM</v>
          </cell>
          <cell r="F2374" t="str">
            <v>AMOUNT</v>
          </cell>
          <cell r="G2374" t="str">
            <v>TRANSTYPE (P/C/X)</v>
          </cell>
        </row>
        <row r="2375">
          <cell r="B2375" t="str">
            <v>September</v>
          </cell>
          <cell r="D2375" t="str">
            <v>98-507</v>
          </cell>
          <cell r="G2375" t="str">
            <v>P</v>
          </cell>
        </row>
        <row r="2376">
          <cell r="B2376" t="str">
            <v>MONTH</v>
          </cell>
          <cell r="C2376" t="str">
            <v>REF</v>
          </cell>
          <cell r="D2376" t="str">
            <v>CSR</v>
          </cell>
          <cell r="E2376" t="str">
            <v>ITEM</v>
          </cell>
          <cell r="F2376" t="str">
            <v>AMOUNT</v>
          </cell>
          <cell r="G2376" t="str">
            <v>TRANSTYPE (P/C/X)</v>
          </cell>
        </row>
        <row r="2377">
          <cell r="B2377" t="str">
            <v>September</v>
          </cell>
          <cell r="D2377" t="str">
            <v>98-508</v>
          </cell>
          <cell r="G2377" t="str">
            <v>P</v>
          </cell>
        </row>
        <row r="2378">
          <cell r="B2378" t="str">
            <v>MONTH</v>
          </cell>
          <cell r="C2378" t="str">
            <v>REF</v>
          </cell>
          <cell r="D2378" t="str">
            <v>CSR</v>
          </cell>
          <cell r="E2378" t="str">
            <v>ITEM</v>
          </cell>
          <cell r="F2378" t="str">
            <v>AMOUNT</v>
          </cell>
          <cell r="G2378" t="str">
            <v>TRANSTYPE (P/C/X)</v>
          </cell>
        </row>
        <row r="2379">
          <cell r="B2379" t="str">
            <v>September</v>
          </cell>
          <cell r="D2379" t="str">
            <v>98-509</v>
          </cell>
          <cell r="G2379" t="str">
            <v>P</v>
          </cell>
        </row>
        <row r="2380">
          <cell r="B2380" t="str">
            <v>MONTH</v>
          </cell>
          <cell r="C2380" t="str">
            <v>REF</v>
          </cell>
          <cell r="D2380" t="str">
            <v>CSR</v>
          </cell>
          <cell r="E2380" t="str">
            <v>ITEM</v>
          </cell>
          <cell r="F2380" t="str">
            <v>AMOUNT</v>
          </cell>
          <cell r="G2380" t="str">
            <v>TRANSTYPE (P/C/X)</v>
          </cell>
        </row>
        <row r="2381">
          <cell r="B2381" t="str">
            <v>September</v>
          </cell>
          <cell r="D2381" t="str">
            <v>98-510</v>
          </cell>
          <cell r="G2381" t="str">
            <v>P</v>
          </cell>
        </row>
        <row r="2382">
          <cell r="B2382" t="str">
            <v>MONTH</v>
          </cell>
          <cell r="C2382" t="str">
            <v>REF</v>
          </cell>
          <cell r="D2382" t="str">
            <v>CSR</v>
          </cell>
          <cell r="E2382" t="str">
            <v>ITEM</v>
          </cell>
          <cell r="F2382" t="str">
            <v>AMOUNT</v>
          </cell>
          <cell r="G2382" t="str">
            <v>TRANSTYPE (P/C/X)</v>
          </cell>
        </row>
        <row r="2383">
          <cell r="B2383" t="str">
            <v>September</v>
          </cell>
          <cell r="D2383" t="str">
            <v>98-511</v>
          </cell>
          <cell r="G2383" t="str">
            <v>P</v>
          </cell>
        </row>
        <row r="2384">
          <cell r="B2384" t="str">
            <v>MONTH</v>
          </cell>
          <cell r="C2384" t="str">
            <v>REF</v>
          </cell>
          <cell r="D2384" t="str">
            <v>CSR</v>
          </cell>
          <cell r="E2384" t="str">
            <v>ITEM</v>
          </cell>
          <cell r="F2384" t="str">
            <v>AMOUNT</v>
          </cell>
          <cell r="G2384" t="str">
            <v>TRANSTYPE (P/C/X)</v>
          </cell>
        </row>
        <row r="2385">
          <cell r="B2385" t="str">
            <v>September</v>
          </cell>
          <cell r="D2385" t="str">
            <v>98-512</v>
          </cell>
          <cell r="G2385" t="str">
            <v>P</v>
          </cell>
        </row>
        <row r="2386">
          <cell r="B2386" t="str">
            <v>MONTH</v>
          </cell>
          <cell r="C2386" t="str">
            <v>REF</v>
          </cell>
          <cell r="D2386" t="str">
            <v>CSR</v>
          </cell>
          <cell r="E2386" t="str">
            <v>ITEM</v>
          </cell>
          <cell r="F2386" t="str">
            <v>AMOUNT</v>
          </cell>
          <cell r="G2386" t="str">
            <v>TRANSTYPE (P/C/X)</v>
          </cell>
        </row>
        <row r="2387">
          <cell r="B2387" t="str">
            <v>September</v>
          </cell>
          <cell r="D2387" t="str">
            <v>98-513</v>
          </cell>
          <cell r="G2387" t="str">
            <v>P</v>
          </cell>
        </row>
        <row r="2388">
          <cell r="B2388" t="str">
            <v>MONTH</v>
          </cell>
          <cell r="C2388" t="str">
            <v>REF</v>
          </cell>
          <cell r="D2388" t="str">
            <v>CSR</v>
          </cell>
          <cell r="E2388" t="str">
            <v>ITEM</v>
          </cell>
          <cell r="F2388" t="str">
            <v>AMOUNT</v>
          </cell>
          <cell r="G2388" t="str">
            <v>TRANSTYPE (P/C/X)</v>
          </cell>
        </row>
        <row r="2389">
          <cell r="B2389" t="str">
            <v>September</v>
          </cell>
          <cell r="D2389" t="str">
            <v>98-514</v>
          </cell>
          <cell r="G2389" t="str">
            <v>P</v>
          </cell>
        </row>
        <row r="2390">
          <cell r="B2390" t="str">
            <v>MONTH</v>
          </cell>
          <cell r="C2390" t="str">
            <v>REF</v>
          </cell>
          <cell r="D2390" t="str">
            <v>CSR</v>
          </cell>
          <cell r="E2390" t="str">
            <v>ITEM</v>
          </cell>
          <cell r="F2390" t="str">
            <v>AMOUNT</v>
          </cell>
          <cell r="G2390" t="str">
            <v>TRANSTYPE (P/C/X)</v>
          </cell>
        </row>
        <row r="2391">
          <cell r="B2391" t="str">
            <v>September</v>
          </cell>
          <cell r="D2391" t="str">
            <v>98-515</v>
          </cell>
          <cell r="G2391" t="str">
            <v>P</v>
          </cell>
        </row>
        <row r="2392">
          <cell r="B2392" t="str">
            <v>MONTH</v>
          </cell>
          <cell r="C2392" t="str">
            <v>REF</v>
          </cell>
          <cell r="D2392" t="str">
            <v>CSR</v>
          </cell>
          <cell r="E2392" t="str">
            <v>ITEM</v>
          </cell>
          <cell r="F2392" t="str">
            <v>AMOUNT</v>
          </cell>
          <cell r="G2392" t="str">
            <v>TRANSTYPE (P/C/X)</v>
          </cell>
        </row>
        <row r="2393">
          <cell r="B2393" t="str">
            <v>September</v>
          </cell>
          <cell r="D2393" t="str">
            <v>98-516</v>
          </cell>
          <cell r="G2393" t="str">
            <v>P</v>
          </cell>
        </row>
        <row r="2394">
          <cell r="B2394" t="str">
            <v>MONTH</v>
          </cell>
          <cell r="C2394" t="str">
            <v>REF</v>
          </cell>
          <cell r="D2394" t="str">
            <v>CSR</v>
          </cell>
          <cell r="E2394" t="str">
            <v>ITEM</v>
          </cell>
          <cell r="F2394" t="str">
            <v>AMOUNT</v>
          </cell>
          <cell r="G2394" t="str">
            <v>TRANSTYPE (P/C/X)</v>
          </cell>
        </row>
        <row r="2395">
          <cell r="B2395" t="str">
            <v>September</v>
          </cell>
          <cell r="D2395" t="str">
            <v>98-517</v>
          </cell>
          <cell r="G2395" t="str">
            <v>P</v>
          </cell>
        </row>
        <row r="2396">
          <cell r="B2396" t="str">
            <v>MONTH</v>
          </cell>
          <cell r="C2396" t="str">
            <v>REF</v>
          </cell>
          <cell r="D2396" t="str">
            <v>CSR</v>
          </cell>
          <cell r="E2396" t="str">
            <v>ITEM</v>
          </cell>
          <cell r="F2396" t="str">
            <v>AMOUNT</v>
          </cell>
          <cell r="G2396" t="str">
            <v>TRANSTYPE (P/C/X)</v>
          </cell>
        </row>
        <row r="2397">
          <cell r="B2397" t="str">
            <v>September</v>
          </cell>
          <cell r="D2397" t="str">
            <v>98-518</v>
          </cell>
          <cell r="G2397" t="str">
            <v>P</v>
          </cell>
        </row>
        <row r="2398">
          <cell r="B2398" t="str">
            <v>MONTH</v>
          </cell>
          <cell r="C2398" t="str">
            <v>REF</v>
          </cell>
          <cell r="D2398" t="str">
            <v>CSR</v>
          </cell>
          <cell r="E2398" t="str">
            <v>ITEM</v>
          </cell>
          <cell r="F2398" t="str">
            <v>AMOUNT</v>
          </cell>
          <cell r="G2398" t="str">
            <v>TRANSTYPE (P/C/X)</v>
          </cell>
        </row>
        <row r="2399">
          <cell r="B2399" t="str">
            <v>September</v>
          </cell>
          <cell r="D2399" t="str">
            <v>98-519</v>
          </cell>
          <cell r="G2399" t="str">
            <v>P</v>
          </cell>
        </row>
        <row r="2400">
          <cell r="B2400" t="str">
            <v>MONTH</v>
          </cell>
          <cell r="C2400" t="str">
            <v>REF</v>
          </cell>
          <cell r="D2400" t="str">
            <v>CSR</v>
          </cell>
          <cell r="E2400" t="str">
            <v>ITEM</v>
          </cell>
          <cell r="F2400" t="str">
            <v>AMOUNT</v>
          </cell>
          <cell r="G2400" t="str">
            <v>TRANSTYPE (P/C/X)</v>
          </cell>
        </row>
        <row r="2401">
          <cell r="B2401" t="str">
            <v>September</v>
          </cell>
          <cell r="D2401" t="str">
            <v>98-520</v>
          </cell>
          <cell r="G2401" t="str">
            <v>P</v>
          </cell>
        </row>
        <row r="2402">
          <cell r="B2402" t="str">
            <v>MONTH</v>
          </cell>
          <cell r="C2402" t="str">
            <v>REF</v>
          </cell>
          <cell r="D2402" t="str">
            <v>CSR</v>
          </cell>
          <cell r="E2402" t="str">
            <v>ITEM</v>
          </cell>
          <cell r="F2402" t="str">
            <v>AMOUNT</v>
          </cell>
          <cell r="G2402" t="str">
            <v>TRANSTYPE (P/C/X)</v>
          </cell>
        </row>
        <row r="2403">
          <cell r="B2403" t="str">
            <v>September</v>
          </cell>
          <cell r="D2403" t="str">
            <v>98-521</v>
          </cell>
          <cell r="G2403" t="str">
            <v>P</v>
          </cell>
        </row>
        <row r="2404">
          <cell r="B2404" t="str">
            <v>MONTH</v>
          </cell>
          <cell r="C2404" t="str">
            <v>REF</v>
          </cell>
          <cell r="D2404" t="str">
            <v>CSR</v>
          </cell>
          <cell r="E2404" t="str">
            <v>ITEM</v>
          </cell>
          <cell r="F2404" t="str">
            <v>AMOUNT</v>
          </cell>
          <cell r="G2404" t="str">
            <v>TRANSTYPE (P/C/X)</v>
          </cell>
        </row>
        <row r="2405">
          <cell r="B2405" t="str">
            <v>September</v>
          </cell>
          <cell r="D2405" t="str">
            <v>98-522</v>
          </cell>
          <cell r="G2405" t="str">
            <v>P</v>
          </cell>
        </row>
        <row r="2406">
          <cell r="B2406" t="str">
            <v>MONTH</v>
          </cell>
          <cell r="C2406" t="str">
            <v>REF</v>
          </cell>
          <cell r="D2406" t="str">
            <v>CSR</v>
          </cell>
          <cell r="E2406" t="str">
            <v>ITEM</v>
          </cell>
          <cell r="F2406" t="str">
            <v>AMOUNT</v>
          </cell>
          <cell r="G2406" t="str">
            <v>TRANSTYPE (P/C/X)</v>
          </cell>
        </row>
        <row r="2407">
          <cell r="B2407" t="str">
            <v>September</v>
          </cell>
          <cell r="D2407" t="str">
            <v>98-523</v>
          </cell>
          <cell r="G2407" t="str">
            <v>P</v>
          </cell>
        </row>
        <row r="2408">
          <cell r="B2408" t="str">
            <v>MONTH</v>
          </cell>
          <cell r="C2408" t="str">
            <v>REF</v>
          </cell>
          <cell r="D2408" t="str">
            <v>CSR</v>
          </cell>
          <cell r="E2408" t="str">
            <v>ITEM</v>
          </cell>
          <cell r="F2408" t="str">
            <v>AMOUNT</v>
          </cell>
          <cell r="G2408" t="str">
            <v>TRANSTYPE (P/C/X)</v>
          </cell>
        </row>
        <row r="2409">
          <cell r="B2409" t="str">
            <v>September</v>
          </cell>
          <cell r="D2409" t="str">
            <v>98-524</v>
          </cell>
          <cell r="G2409" t="str">
            <v>P</v>
          </cell>
        </row>
        <row r="2410">
          <cell r="B2410" t="str">
            <v>MONTH</v>
          </cell>
          <cell r="C2410" t="str">
            <v>REF</v>
          </cell>
          <cell r="D2410" t="str">
            <v>CSR</v>
          </cell>
          <cell r="E2410" t="str">
            <v>ITEM</v>
          </cell>
          <cell r="F2410" t="str">
            <v>AMOUNT</v>
          </cell>
          <cell r="G2410" t="str">
            <v>TRANSTYPE (P/C/X)</v>
          </cell>
        </row>
        <row r="2411">
          <cell r="B2411" t="str">
            <v>September</v>
          </cell>
          <cell r="D2411" t="str">
            <v>98-525</v>
          </cell>
          <cell r="G2411" t="str">
            <v>P</v>
          </cell>
        </row>
        <row r="2412">
          <cell r="B2412" t="str">
            <v>MONTH</v>
          </cell>
          <cell r="C2412" t="str">
            <v>REF</v>
          </cell>
          <cell r="D2412" t="str">
            <v>CSR</v>
          </cell>
          <cell r="E2412" t="str">
            <v>ITEM</v>
          </cell>
          <cell r="F2412" t="str">
            <v>AMOUNT</v>
          </cell>
          <cell r="G2412" t="str">
            <v>TRANSTYPE (P/C/X)</v>
          </cell>
        </row>
        <row r="2413">
          <cell r="B2413" t="str">
            <v>September</v>
          </cell>
          <cell r="D2413" t="str">
            <v>98-526</v>
          </cell>
          <cell r="G2413" t="str">
            <v>P</v>
          </cell>
        </row>
        <row r="2414">
          <cell r="B2414" t="str">
            <v>MONTH</v>
          </cell>
          <cell r="C2414" t="str">
            <v>REF</v>
          </cell>
          <cell r="D2414" t="str">
            <v>CSR</v>
          </cell>
          <cell r="E2414" t="str">
            <v>ITEM</v>
          </cell>
          <cell r="F2414" t="str">
            <v>AMOUNT</v>
          </cell>
          <cell r="G2414" t="str">
            <v>TRANSTYPE (P/C/X)</v>
          </cell>
        </row>
        <row r="2415">
          <cell r="B2415" t="str">
            <v>September</v>
          </cell>
          <cell r="D2415" t="str">
            <v>98-527</v>
          </cell>
          <cell r="G2415" t="str">
            <v>P</v>
          </cell>
        </row>
        <row r="2416">
          <cell r="B2416" t="str">
            <v>MONTH</v>
          </cell>
          <cell r="C2416" t="str">
            <v>REF</v>
          </cell>
          <cell r="D2416" t="str">
            <v>CSR</v>
          </cell>
          <cell r="E2416" t="str">
            <v>ITEM</v>
          </cell>
          <cell r="F2416" t="str">
            <v>AMOUNT</v>
          </cell>
          <cell r="G2416" t="str">
            <v>TRANSTYPE (P/C/X)</v>
          </cell>
        </row>
        <row r="2417">
          <cell r="B2417" t="str">
            <v>September</v>
          </cell>
          <cell r="D2417" t="str">
            <v>98-528</v>
          </cell>
          <cell r="G2417" t="str">
            <v>P</v>
          </cell>
        </row>
        <row r="2418">
          <cell r="B2418" t="str">
            <v>MONTH</v>
          </cell>
          <cell r="C2418" t="str">
            <v>REF</v>
          </cell>
          <cell r="D2418" t="str">
            <v>CSR</v>
          </cell>
          <cell r="E2418" t="str">
            <v>ITEM</v>
          </cell>
          <cell r="F2418" t="str">
            <v>AMOUNT</v>
          </cell>
          <cell r="G2418" t="str">
            <v>TRANSTYPE (P/C/X)</v>
          </cell>
        </row>
        <row r="2419">
          <cell r="B2419" t="str">
            <v>September</v>
          </cell>
          <cell r="D2419" t="str">
            <v>98-529</v>
          </cell>
          <cell r="G2419" t="str">
            <v>P</v>
          </cell>
        </row>
        <row r="2420">
          <cell r="B2420" t="str">
            <v>MONTH</v>
          </cell>
          <cell r="C2420" t="str">
            <v>REF</v>
          </cell>
          <cell r="D2420" t="str">
            <v>CSR</v>
          </cell>
          <cell r="E2420" t="str">
            <v>ITEM</v>
          </cell>
          <cell r="F2420" t="str">
            <v>AMOUNT</v>
          </cell>
          <cell r="G2420" t="str">
            <v>TRANSTYPE (P/C/X)</v>
          </cell>
        </row>
        <row r="2421">
          <cell r="B2421" t="str">
            <v>September</v>
          </cell>
          <cell r="D2421" t="str">
            <v>98-530</v>
          </cell>
          <cell r="G2421" t="str">
            <v>P</v>
          </cell>
        </row>
        <row r="2422">
          <cell r="B2422" t="str">
            <v>MONTH</v>
          </cell>
          <cell r="C2422" t="str">
            <v>REF</v>
          </cell>
          <cell r="D2422" t="str">
            <v>CSR</v>
          </cell>
          <cell r="E2422" t="str">
            <v>ITEM</v>
          </cell>
          <cell r="F2422" t="str">
            <v>AMOUNT</v>
          </cell>
          <cell r="G2422" t="str">
            <v>TRANSTYPE (P/C/X)</v>
          </cell>
        </row>
        <row r="2423">
          <cell r="B2423" t="str">
            <v>September</v>
          </cell>
          <cell r="D2423" t="str">
            <v>98-531</v>
          </cell>
          <cell r="G2423" t="str">
            <v>P</v>
          </cell>
        </row>
        <row r="2424">
          <cell r="B2424" t="str">
            <v>MONTH</v>
          </cell>
          <cell r="C2424" t="str">
            <v>REF</v>
          </cell>
          <cell r="D2424" t="str">
            <v>CSR</v>
          </cell>
          <cell r="E2424" t="str">
            <v>ITEM</v>
          </cell>
          <cell r="F2424" t="str">
            <v>AMOUNT</v>
          </cell>
          <cell r="G2424" t="str">
            <v>TRANSTYPE (P/C/X)</v>
          </cell>
        </row>
        <row r="2425">
          <cell r="B2425" t="str">
            <v>September</v>
          </cell>
          <cell r="D2425" t="str">
            <v>98-532</v>
          </cell>
          <cell r="G2425" t="str">
            <v>P</v>
          </cell>
        </row>
        <row r="2426">
          <cell r="B2426" t="str">
            <v>MONTH</v>
          </cell>
          <cell r="C2426" t="str">
            <v>REF</v>
          </cell>
          <cell r="D2426" t="str">
            <v>CSR</v>
          </cell>
          <cell r="E2426" t="str">
            <v>ITEM</v>
          </cell>
          <cell r="F2426" t="str">
            <v>AMOUNT</v>
          </cell>
          <cell r="G2426" t="str">
            <v>TRANSTYPE (P/C/X)</v>
          </cell>
        </row>
        <row r="2427">
          <cell r="B2427" t="str">
            <v>September</v>
          </cell>
          <cell r="D2427" t="str">
            <v>98-533</v>
          </cell>
          <cell r="G2427" t="str">
            <v>P</v>
          </cell>
        </row>
        <row r="2428">
          <cell r="B2428" t="str">
            <v>MONTH</v>
          </cell>
          <cell r="C2428" t="str">
            <v>REF</v>
          </cell>
          <cell r="D2428" t="str">
            <v>CSR</v>
          </cell>
          <cell r="E2428" t="str">
            <v>ITEM</v>
          </cell>
          <cell r="F2428" t="str">
            <v>AMOUNT</v>
          </cell>
          <cell r="G2428" t="str">
            <v>TRANSTYPE (P/C/X)</v>
          </cell>
        </row>
        <row r="2429">
          <cell r="B2429" t="str">
            <v>September</v>
          </cell>
          <cell r="D2429" t="str">
            <v>98-534</v>
          </cell>
          <cell r="G2429" t="str">
            <v>P</v>
          </cell>
        </row>
        <row r="2430">
          <cell r="B2430" t="str">
            <v>MONTH</v>
          </cell>
          <cell r="C2430" t="str">
            <v>REF</v>
          </cell>
          <cell r="D2430" t="str">
            <v>CSR</v>
          </cell>
          <cell r="E2430" t="str">
            <v>ITEM</v>
          </cell>
          <cell r="F2430" t="str">
            <v>AMOUNT</v>
          </cell>
          <cell r="G2430" t="str">
            <v>TRANSTYPE (P/C/X)</v>
          </cell>
        </row>
        <row r="2431">
          <cell r="B2431" t="str">
            <v>September</v>
          </cell>
          <cell r="D2431" t="str">
            <v>98-535</v>
          </cell>
          <cell r="G2431" t="str">
            <v>P</v>
          </cell>
        </row>
        <row r="2432">
          <cell r="B2432" t="str">
            <v>MONTH</v>
          </cell>
          <cell r="C2432" t="str">
            <v>REF</v>
          </cell>
          <cell r="D2432" t="str">
            <v>CSR</v>
          </cell>
          <cell r="E2432" t="str">
            <v>ITEM</v>
          </cell>
          <cell r="F2432" t="str">
            <v>AMOUNT</v>
          </cell>
          <cell r="G2432" t="str">
            <v>TRANSTYPE (P/C/X)</v>
          </cell>
        </row>
        <row r="2433">
          <cell r="B2433" t="str">
            <v>September</v>
          </cell>
          <cell r="D2433" t="str">
            <v>98-536</v>
          </cell>
          <cell r="G2433" t="str">
            <v>P</v>
          </cell>
        </row>
        <row r="2434">
          <cell r="B2434" t="str">
            <v>MONTH</v>
          </cell>
          <cell r="C2434" t="str">
            <v>REF</v>
          </cell>
          <cell r="D2434" t="str">
            <v>CSR</v>
          </cell>
          <cell r="E2434" t="str">
            <v>ITEM</v>
          </cell>
          <cell r="F2434" t="str">
            <v>AMOUNT</v>
          </cell>
          <cell r="G2434" t="str">
            <v>TRANSTYPE (P/C/X)</v>
          </cell>
        </row>
        <row r="2435">
          <cell r="B2435" t="str">
            <v>September</v>
          </cell>
          <cell r="D2435" t="str">
            <v>98-537</v>
          </cell>
          <cell r="G2435" t="str">
            <v>P</v>
          </cell>
        </row>
        <row r="2436">
          <cell r="B2436" t="str">
            <v>MONTH</v>
          </cell>
          <cell r="C2436" t="str">
            <v>REF</v>
          </cell>
          <cell r="D2436" t="str">
            <v>CSR</v>
          </cell>
          <cell r="E2436" t="str">
            <v>ITEM</v>
          </cell>
          <cell r="F2436" t="str">
            <v>AMOUNT</v>
          </cell>
          <cell r="G2436" t="str">
            <v>TRANSTYPE (P/C/X)</v>
          </cell>
        </row>
        <row r="2437">
          <cell r="B2437" t="str">
            <v>September</v>
          </cell>
          <cell r="D2437" t="str">
            <v>98-538</v>
          </cell>
          <cell r="G2437" t="str">
            <v>P</v>
          </cell>
        </row>
        <row r="2438">
          <cell r="B2438" t="str">
            <v>MONTH</v>
          </cell>
          <cell r="C2438" t="str">
            <v>REF</v>
          </cell>
          <cell r="D2438" t="str">
            <v>CSR</v>
          </cell>
          <cell r="E2438" t="str">
            <v>ITEM</v>
          </cell>
          <cell r="F2438" t="str">
            <v>AMOUNT</v>
          </cell>
          <cell r="G2438" t="str">
            <v>TRANSTYPE (P/C/X)</v>
          </cell>
        </row>
        <row r="2439">
          <cell r="B2439" t="str">
            <v>September</v>
          </cell>
          <cell r="D2439" t="str">
            <v>98-539</v>
          </cell>
          <cell r="G2439" t="str">
            <v>P</v>
          </cell>
        </row>
        <row r="2440">
          <cell r="B2440" t="str">
            <v>MONTH</v>
          </cell>
          <cell r="C2440" t="str">
            <v>REF</v>
          </cell>
          <cell r="D2440" t="str">
            <v>CSR</v>
          </cell>
          <cell r="E2440" t="str">
            <v>ITEM</v>
          </cell>
          <cell r="F2440" t="str">
            <v>AMOUNT</v>
          </cell>
          <cell r="G2440" t="str">
            <v>TRANSTYPE (P/C/X)</v>
          </cell>
        </row>
        <row r="2441">
          <cell r="B2441" t="str">
            <v>September</v>
          </cell>
          <cell r="D2441" t="str">
            <v>98-540</v>
          </cell>
          <cell r="G2441" t="str">
            <v>P</v>
          </cell>
        </row>
        <row r="2442">
          <cell r="B2442" t="str">
            <v>MONTH</v>
          </cell>
          <cell r="C2442" t="str">
            <v>REF</v>
          </cell>
          <cell r="D2442" t="str">
            <v>CSR</v>
          </cell>
          <cell r="E2442" t="str">
            <v>ITEM</v>
          </cell>
          <cell r="F2442" t="str">
            <v>AMOUNT</v>
          </cell>
          <cell r="G2442" t="str">
            <v>TRANSTYPE (P/C/X)</v>
          </cell>
        </row>
        <row r="2443">
          <cell r="B2443" t="str">
            <v>September</v>
          </cell>
          <cell r="D2443" t="str">
            <v>98-541</v>
          </cell>
          <cell r="G2443" t="str">
            <v>P</v>
          </cell>
        </row>
        <row r="2444">
          <cell r="B2444" t="str">
            <v>MONTH</v>
          </cell>
          <cell r="C2444" t="str">
            <v>REF</v>
          </cell>
          <cell r="D2444" t="str">
            <v>CSR</v>
          </cell>
          <cell r="E2444" t="str">
            <v>ITEM</v>
          </cell>
          <cell r="F2444" t="str">
            <v>AMOUNT</v>
          </cell>
          <cell r="G2444" t="str">
            <v>TRANSTYPE (P/C/X)</v>
          </cell>
        </row>
        <row r="2445">
          <cell r="B2445" t="str">
            <v>September</v>
          </cell>
          <cell r="D2445" t="str">
            <v>98-542</v>
          </cell>
          <cell r="G2445" t="str">
            <v>P</v>
          </cell>
        </row>
        <row r="2446">
          <cell r="B2446" t="str">
            <v>MONTH</v>
          </cell>
          <cell r="C2446" t="str">
            <v>REF</v>
          </cell>
          <cell r="D2446" t="str">
            <v>CSR</v>
          </cell>
          <cell r="E2446" t="str">
            <v>ITEM</v>
          </cell>
          <cell r="F2446" t="str">
            <v>AMOUNT</v>
          </cell>
          <cell r="G2446" t="str">
            <v>TRANSTYPE (P/C/X)</v>
          </cell>
        </row>
        <row r="2447">
          <cell r="B2447" t="str">
            <v>September</v>
          </cell>
          <cell r="D2447" t="str">
            <v>98-543</v>
          </cell>
          <cell r="G2447" t="str">
            <v>P</v>
          </cell>
        </row>
        <row r="2448">
          <cell r="B2448" t="str">
            <v>MONTH</v>
          </cell>
          <cell r="C2448" t="str">
            <v>REF</v>
          </cell>
          <cell r="D2448" t="str">
            <v>CSR</v>
          </cell>
          <cell r="E2448" t="str">
            <v>ITEM</v>
          </cell>
          <cell r="F2448" t="str">
            <v>AMOUNT</v>
          </cell>
          <cell r="G2448" t="str">
            <v>TRANSTYPE (P/C/X)</v>
          </cell>
        </row>
        <row r="2449">
          <cell r="B2449" t="str">
            <v>September</v>
          </cell>
          <cell r="D2449" t="str">
            <v>98-544</v>
          </cell>
          <cell r="G2449" t="str">
            <v>P</v>
          </cell>
        </row>
        <row r="2450">
          <cell r="B2450" t="str">
            <v>MONTH</v>
          </cell>
          <cell r="C2450" t="str">
            <v>REF</v>
          </cell>
          <cell r="D2450" t="str">
            <v>CSR</v>
          </cell>
          <cell r="E2450" t="str">
            <v>ITEM</v>
          </cell>
          <cell r="F2450" t="str">
            <v>AMOUNT</v>
          </cell>
          <cell r="G2450" t="str">
            <v>TRANSTYPE (P/C/X)</v>
          </cell>
        </row>
        <row r="2451">
          <cell r="B2451" t="str">
            <v>September</v>
          </cell>
          <cell r="D2451" t="str">
            <v>98-545</v>
          </cell>
          <cell r="G2451" t="str">
            <v>P</v>
          </cell>
        </row>
        <row r="2452">
          <cell r="B2452" t="str">
            <v>MONTH</v>
          </cell>
          <cell r="C2452" t="str">
            <v>REF</v>
          </cell>
          <cell r="D2452" t="str">
            <v>CSR</v>
          </cell>
          <cell r="E2452" t="str">
            <v>ITEM</v>
          </cell>
          <cell r="F2452" t="str">
            <v>AMOUNT</v>
          </cell>
          <cell r="G2452" t="str">
            <v>TRANSTYPE (P/C/X)</v>
          </cell>
        </row>
        <row r="2453">
          <cell r="B2453" t="str">
            <v>September</v>
          </cell>
          <cell r="D2453" t="str">
            <v>98-546</v>
          </cell>
          <cell r="G2453" t="str">
            <v>P</v>
          </cell>
        </row>
        <row r="2454">
          <cell r="B2454" t="str">
            <v>MONTH</v>
          </cell>
          <cell r="C2454" t="str">
            <v>REF</v>
          </cell>
          <cell r="D2454" t="str">
            <v>CSR</v>
          </cell>
          <cell r="E2454" t="str">
            <v>ITEM</v>
          </cell>
          <cell r="F2454" t="str">
            <v>AMOUNT</v>
          </cell>
          <cell r="G2454" t="str">
            <v>TRANSTYPE (P/C/X)</v>
          </cell>
        </row>
        <row r="2455">
          <cell r="B2455" t="str">
            <v>September</v>
          </cell>
          <cell r="D2455" t="str">
            <v>98-547</v>
          </cell>
          <cell r="G2455" t="str">
            <v>P</v>
          </cell>
        </row>
        <row r="2456">
          <cell r="B2456" t="str">
            <v>MONTH</v>
          </cell>
          <cell r="C2456" t="str">
            <v>REF</v>
          </cell>
          <cell r="D2456" t="str">
            <v>CSR</v>
          </cell>
          <cell r="E2456" t="str">
            <v>ITEM</v>
          </cell>
          <cell r="F2456" t="str">
            <v>AMOUNT</v>
          </cell>
          <cell r="G2456" t="str">
            <v>TRANSTYPE (P/C/X)</v>
          </cell>
        </row>
        <row r="2457">
          <cell r="B2457" t="str">
            <v>September</v>
          </cell>
          <cell r="D2457" t="str">
            <v>98-548</v>
          </cell>
          <cell r="G2457" t="str">
            <v>P</v>
          </cell>
        </row>
        <row r="2458">
          <cell r="B2458" t="str">
            <v>MONTH</v>
          </cell>
          <cell r="C2458" t="str">
            <v>REF</v>
          </cell>
          <cell r="D2458" t="str">
            <v>CSR</v>
          </cell>
          <cell r="E2458" t="str">
            <v>ITEM</v>
          </cell>
          <cell r="F2458" t="str">
            <v>AMOUNT</v>
          </cell>
          <cell r="G2458" t="str">
            <v>TRANSTYPE (P/C/X)</v>
          </cell>
        </row>
        <row r="2459">
          <cell r="B2459" t="str">
            <v>September</v>
          </cell>
          <cell r="D2459" t="str">
            <v>98-549</v>
          </cell>
          <cell r="G2459" t="str">
            <v>P</v>
          </cell>
        </row>
        <row r="2460">
          <cell r="B2460" t="str">
            <v>MONTH</v>
          </cell>
          <cell r="C2460" t="str">
            <v>REF</v>
          </cell>
          <cell r="D2460" t="str">
            <v>CSR</v>
          </cell>
          <cell r="E2460" t="str">
            <v>ITEM</v>
          </cell>
          <cell r="F2460" t="str">
            <v>AMOUNT</v>
          </cell>
          <cell r="G2460" t="str">
            <v>TRANSTYPE (P/C/X)</v>
          </cell>
        </row>
        <row r="2461">
          <cell r="B2461" t="str">
            <v>September</v>
          </cell>
          <cell r="D2461" t="str">
            <v>98-550</v>
          </cell>
          <cell r="G2461" t="str">
            <v>P</v>
          </cell>
        </row>
        <row r="2462">
          <cell r="B2462" t="str">
            <v>MONTH</v>
          </cell>
          <cell r="C2462" t="str">
            <v>REF</v>
          </cell>
          <cell r="D2462" t="str">
            <v>CSR</v>
          </cell>
          <cell r="E2462" t="str">
            <v>ITEM</v>
          </cell>
          <cell r="F2462" t="str">
            <v>AMOUNT</v>
          </cell>
          <cell r="G2462" t="str">
            <v>TRANSTYPE (P/C/X)</v>
          </cell>
        </row>
        <row r="2463">
          <cell r="B2463" t="str">
            <v>September</v>
          </cell>
          <cell r="D2463" t="str">
            <v>98-551</v>
          </cell>
          <cell r="G2463" t="str">
            <v>P</v>
          </cell>
        </row>
        <row r="2464">
          <cell r="B2464" t="str">
            <v>MONTH</v>
          </cell>
          <cell r="C2464" t="str">
            <v>REF</v>
          </cell>
          <cell r="D2464" t="str">
            <v>CSR</v>
          </cell>
          <cell r="E2464" t="str">
            <v>ITEM</v>
          </cell>
          <cell r="F2464" t="str">
            <v>AMOUNT</v>
          </cell>
          <cell r="G2464" t="str">
            <v>TRANSTYPE (P/C/X)</v>
          </cell>
        </row>
        <row r="2465">
          <cell r="B2465" t="str">
            <v>September</v>
          </cell>
          <cell r="D2465" t="str">
            <v>98-552</v>
          </cell>
          <cell r="G2465" t="str">
            <v>P</v>
          </cell>
        </row>
        <row r="2466">
          <cell r="B2466" t="str">
            <v>MONTH</v>
          </cell>
          <cell r="C2466" t="str">
            <v>REF</v>
          </cell>
          <cell r="D2466" t="str">
            <v>CSR</v>
          </cell>
          <cell r="E2466" t="str">
            <v>ITEM</v>
          </cell>
          <cell r="F2466" t="str">
            <v>AMOUNT</v>
          </cell>
          <cell r="G2466" t="str">
            <v>TRANSTYPE (P/C/X)</v>
          </cell>
        </row>
        <row r="2467">
          <cell r="B2467" t="str">
            <v>September</v>
          </cell>
          <cell r="D2467" t="str">
            <v>98-553</v>
          </cell>
          <cell r="G2467" t="str">
            <v>P</v>
          </cell>
        </row>
        <row r="2468">
          <cell r="B2468" t="str">
            <v>MONTH</v>
          </cell>
          <cell r="C2468" t="str">
            <v>REF</v>
          </cell>
          <cell r="D2468" t="str">
            <v>CSR</v>
          </cell>
          <cell r="E2468" t="str">
            <v>ITEM</v>
          </cell>
          <cell r="F2468" t="str">
            <v>AMOUNT</v>
          </cell>
          <cell r="G2468" t="str">
            <v>TRANSTYPE (P/C/X)</v>
          </cell>
        </row>
        <row r="2469">
          <cell r="B2469" t="str">
            <v>September</v>
          </cell>
          <cell r="D2469" t="str">
            <v>98-554</v>
          </cell>
          <cell r="G2469" t="str">
            <v>P</v>
          </cell>
        </row>
        <row r="2470">
          <cell r="B2470" t="str">
            <v>MONTH</v>
          </cell>
          <cell r="C2470" t="str">
            <v>REF</v>
          </cell>
          <cell r="D2470" t="str">
            <v>CSR</v>
          </cell>
          <cell r="E2470" t="str">
            <v>ITEM</v>
          </cell>
          <cell r="F2470" t="str">
            <v>AMOUNT</v>
          </cell>
          <cell r="G2470" t="str">
            <v>TRANSTYPE (P/C/X)</v>
          </cell>
        </row>
        <row r="2471">
          <cell r="B2471" t="str">
            <v>September</v>
          </cell>
          <cell r="D2471" t="str">
            <v>98-555</v>
          </cell>
          <cell r="G2471" t="str">
            <v>P</v>
          </cell>
        </row>
        <row r="2472">
          <cell r="B2472" t="str">
            <v>MONTH</v>
          </cell>
          <cell r="C2472" t="str">
            <v>REF</v>
          </cell>
          <cell r="D2472" t="str">
            <v>CSR</v>
          </cell>
          <cell r="E2472" t="str">
            <v>ITEM</v>
          </cell>
          <cell r="F2472" t="str">
            <v>AMOUNT</v>
          </cell>
          <cell r="G2472" t="str">
            <v>TRANSTYPE (P/C/X)</v>
          </cell>
        </row>
        <row r="2473">
          <cell r="B2473" t="str">
            <v>September</v>
          </cell>
          <cell r="D2473" t="str">
            <v>98-556</v>
          </cell>
          <cell r="G2473" t="str">
            <v>P</v>
          </cell>
        </row>
        <row r="2474">
          <cell r="B2474" t="str">
            <v>MONTH</v>
          </cell>
          <cell r="C2474" t="str">
            <v>REF</v>
          </cell>
          <cell r="D2474" t="str">
            <v>CSR</v>
          </cell>
          <cell r="E2474" t="str">
            <v>ITEM</v>
          </cell>
          <cell r="F2474" t="str">
            <v>AMOUNT</v>
          </cell>
          <cell r="G2474" t="str">
            <v>TRANSTYPE (P/C/X)</v>
          </cell>
        </row>
        <row r="2475">
          <cell r="B2475" t="str">
            <v>September</v>
          </cell>
          <cell r="D2475" t="str">
            <v>98-557</v>
          </cell>
          <cell r="G2475" t="str">
            <v>P</v>
          </cell>
        </row>
        <row r="2476">
          <cell r="B2476" t="str">
            <v>MONTH</v>
          </cell>
          <cell r="C2476" t="str">
            <v>REF</v>
          </cell>
          <cell r="D2476" t="str">
            <v>CSR</v>
          </cell>
          <cell r="E2476" t="str">
            <v>ITEM</v>
          </cell>
          <cell r="F2476" t="str">
            <v>AMOUNT</v>
          </cell>
          <cell r="G2476" t="str">
            <v>TRANSTYPE (P/C/X)</v>
          </cell>
        </row>
        <row r="2477">
          <cell r="B2477" t="str">
            <v>September</v>
          </cell>
          <cell r="D2477" t="str">
            <v>98-558</v>
          </cell>
          <cell r="G2477" t="str">
            <v>P</v>
          </cell>
        </row>
        <row r="2478">
          <cell r="B2478" t="str">
            <v>MONTH</v>
          </cell>
          <cell r="C2478" t="str">
            <v>REF</v>
          </cell>
          <cell r="D2478" t="str">
            <v>CSR</v>
          </cell>
          <cell r="E2478" t="str">
            <v>ITEM</v>
          </cell>
          <cell r="F2478" t="str">
            <v>AMOUNT</v>
          </cell>
          <cell r="G2478" t="str">
            <v>TRANSTYPE (P/C/X)</v>
          </cell>
        </row>
        <row r="2479">
          <cell r="B2479" t="str">
            <v>September</v>
          </cell>
          <cell r="D2479" t="str">
            <v>98-559</v>
          </cell>
          <cell r="G2479" t="str">
            <v>P</v>
          </cell>
        </row>
        <row r="2480">
          <cell r="B2480" t="str">
            <v>MONTH</v>
          </cell>
          <cell r="C2480" t="str">
            <v>REF</v>
          </cell>
          <cell r="D2480" t="str">
            <v>CSR</v>
          </cell>
          <cell r="E2480" t="str">
            <v>ITEM</v>
          </cell>
          <cell r="F2480" t="str">
            <v>AMOUNT</v>
          </cell>
          <cell r="G2480" t="str">
            <v>TRANSTYPE (P/C/X)</v>
          </cell>
        </row>
        <row r="2481">
          <cell r="B2481" t="str">
            <v>September</v>
          </cell>
          <cell r="D2481" t="str">
            <v>98-560</v>
          </cell>
          <cell r="G2481" t="str">
            <v>P</v>
          </cell>
        </row>
        <row r="2482">
          <cell r="B2482" t="str">
            <v>MONTH</v>
          </cell>
          <cell r="C2482" t="str">
            <v>REF</v>
          </cell>
          <cell r="D2482" t="str">
            <v>CSR</v>
          </cell>
          <cell r="E2482" t="str">
            <v>ITEM</v>
          </cell>
          <cell r="F2482" t="str">
            <v>AMOUNT</v>
          </cell>
          <cell r="G2482" t="str">
            <v>TRANSTYPE (P/C/X)</v>
          </cell>
        </row>
        <row r="2483">
          <cell r="B2483" t="str">
            <v>September</v>
          </cell>
          <cell r="D2483" t="str">
            <v>98-561</v>
          </cell>
          <cell r="G2483" t="str">
            <v>P</v>
          </cell>
        </row>
        <row r="2484">
          <cell r="B2484" t="str">
            <v>MONTH</v>
          </cell>
          <cell r="C2484" t="str">
            <v>REF</v>
          </cell>
          <cell r="D2484" t="str">
            <v>CSR</v>
          </cell>
          <cell r="E2484" t="str">
            <v>ITEM</v>
          </cell>
          <cell r="F2484" t="str">
            <v>AMOUNT</v>
          </cell>
          <cell r="G2484" t="str">
            <v>TRANSTYPE (P/C/X)</v>
          </cell>
        </row>
        <row r="2485">
          <cell r="B2485" t="str">
            <v>September</v>
          </cell>
          <cell r="D2485" t="str">
            <v>98-562</v>
          </cell>
          <cell r="G2485" t="str">
            <v>P</v>
          </cell>
        </row>
        <row r="2486">
          <cell r="B2486" t="str">
            <v>MONTH</v>
          </cell>
          <cell r="C2486" t="str">
            <v>REF</v>
          </cell>
          <cell r="D2486" t="str">
            <v>CSR</v>
          </cell>
          <cell r="E2486" t="str">
            <v>ITEM</v>
          </cell>
          <cell r="F2486" t="str">
            <v>AMOUNT</v>
          </cell>
          <cell r="G2486" t="str">
            <v>TRANSTYPE (P/C/X)</v>
          </cell>
        </row>
        <row r="2487">
          <cell r="B2487" t="str">
            <v>September</v>
          </cell>
          <cell r="D2487" t="str">
            <v>98-563</v>
          </cell>
          <cell r="G2487" t="str">
            <v>P</v>
          </cell>
        </row>
        <row r="2488">
          <cell r="B2488" t="str">
            <v>MONTH</v>
          </cell>
          <cell r="C2488" t="str">
            <v>REF</v>
          </cell>
          <cell r="D2488" t="str">
            <v>CSR</v>
          </cell>
          <cell r="E2488" t="str">
            <v>ITEM</v>
          </cell>
          <cell r="F2488" t="str">
            <v>AMOUNT</v>
          </cell>
          <cell r="G2488" t="str">
            <v>TRANSTYPE (P/C/X)</v>
          </cell>
        </row>
        <row r="2489">
          <cell r="B2489" t="str">
            <v>September</v>
          </cell>
          <cell r="D2489" t="str">
            <v>98-564</v>
          </cell>
          <cell r="G2489" t="str">
            <v>P</v>
          </cell>
        </row>
        <row r="2490">
          <cell r="B2490" t="str">
            <v>MONTH</v>
          </cell>
          <cell r="C2490" t="str">
            <v>REF</v>
          </cell>
          <cell r="D2490" t="str">
            <v>CSR</v>
          </cell>
          <cell r="E2490" t="str">
            <v>ITEM</v>
          </cell>
          <cell r="F2490" t="str">
            <v>AMOUNT</v>
          </cell>
          <cell r="G2490" t="str">
            <v>TRANSTYPE (P/C/X)</v>
          </cell>
        </row>
        <row r="2491">
          <cell r="B2491" t="str">
            <v>September</v>
          </cell>
          <cell r="D2491" t="str">
            <v>98-565</v>
          </cell>
          <cell r="G2491" t="str">
            <v>P</v>
          </cell>
        </row>
        <row r="2492">
          <cell r="B2492" t="str">
            <v>MONTH</v>
          </cell>
          <cell r="C2492" t="str">
            <v>REF</v>
          </cell>
          <cell r="D2492" t="str">
            <v>CSR</v>
          </cell>
          <cell r="E2492" t="str">
            <v>ITEM</v>
          </cell>
          <cell r="F2492" t="str">
            <v>AMOUNT</v>
          </cell>
          <cell r="G2492" t="str">
            <v>TRANSTYPE (P/C/X)</v>
          </cell>
        </row>
        <row r="2493">
          <cell r="B2493" t="str">
            <v>September</v>
          </cell>
          <cell r="D2493" t="str">
            <v>98-566</v>
          </cell>
          <cell r="G2493" t="str">
            <v>P</v>
          </cell>
        </row>
        <row r="2494">
          <cell r="B2494" t="str">
            <v>MONTH</v>
          </cell>
          <cell r="C2494" t="str">
            <v>REF</v>
          </cell>
          <cell r="D2494" t="str">
            <v>CSR</v>
          </cell>
          <cell r="E2494" t="str">
            <v>ITEM</v>
          </cell>
          <cell r="F2494" t="str">
            <v>AMOUNT</v>
          </cell>
          <cell r="G2494" t="str">
            <v>TRANSTYPE (P/C/X)</v>
          </cell>
        </row>
        <row r="2495">
          <cell r="B2495" t="str">
            <v>September</v>
          </cell>
          <cell r="D2495" t="str">
            <v>98-567</v>
          </cell>
          <cell r="G2495" t="str">
            <v>P</v>
          </cell>
        </row>
        <row r="2496">
          <cell r="B2496" t="str">
            <v>MONTH</v>
          </cell>
          <cell r="C2496" t="str">
            <v>REF</v>
          </cell>
          <cell r="D2496" t="str">
            <v>CSR</v>
          </cell>
          <cell r="E2496" t="str">
            <v>ITEM</v>
          </cell>
          <cell r="F2496" t="str">
            <v>AMOUNT</v>
          </cell>
          <cell r="G2496" t="str">
            <v>TRANSTYPE (P/C/X)</v>
          </cell>
        </row>
        <row r="2497">
          <cell r="B2497" t="str">
            <v>September</v>
          </cell>
          <cell r="D2497" t="str">
            <v>98-568</v>
          </cell>
          <cell r="G2497" t="str">
            <v>P</v>
          </cell>
        </row>
        <row r="2498">
          <cell r="B2498" t="str">
            <v>MONTH</v>
          </cell>
          <cell r="C2498" t="str">
            <v>REF</v>
          </cell>
          <cell r="D2498" t="str">
            <v>CSR</v>
          </cell>
          <cell r="E2498" t="str">
            <v>ITEM</v>
          </cell>
          <cell r="F2498" t="str">
            <v>AMOUNT</v>
          </cell>
          <cell r="G2498" t="str">
            <v>TRANSTYPE (P/C/X)</v>
          </cell>
        </row>
        <row r="2499">
          <cell r="B2499" t="str">
            <v>September</v>
          </cell>
          <cell r="D2499" t="str">
            <v>98-569</v>
          </cell>
          <cell r="G2499" t="str">
            <v>P</v>
          </cell>
        </row>
        <row r="2500">
          <cell r="B2500" t="str">
            <v>MONTH</v>
          </cell>
          <cell r="C2500" t="str">
            <v>REF</v>
          </cell>
          <cell r="D2500" t="str">
            <v>CSR</v>
          </cell>
          <cell r="E2500" t="str">
            <v>ITEM</v>
          </cell>
          <cell r="F2500" t="str">
            <v>AMOUNT</v>
          </cell>
          <cell r="G2500" t="str">
            <v>TRANSTYPE (P/C/X)</v>
          </cell>
        </row>
        <row r="2501">
          <cell r="B2501" t="str">
            <v>September</v>
          </cell>
          <cell r="D2501" t="str">
            <v>98-570</v>
          </cell>
          <cell r="G2501" t="str">
            <v>P</v>
          </cell>
        </row>
        <row r="2502">
          <cell r="B2502" t="str">
            <v>MONTH</v>
          </cell>
          <cell r="C2502" t="str">
            <v>REF</v>
          </cell>
          <cell r="D2502" t="str">
            <v>CSR</v>
          </cell>
          <cell r="E2502" t="str">
            <v>ITEM</v>
          </cell>
          <cell r="F2502" t="str">
            <v>AMOUNT</v>
          </cell>
          <cell r="G2502" t="str">
            <v>TRANSTYPE (P/C/X)</v>
          </cell>
        </row>
        <row r="2503">
          <cell r="B2503" t="str">
            <v>September</v>
          </cell>
          <cell r="D2503" t="str">
            <v>98-571</v>
          </cell>
          <cell r="G2503" t="str">
            <v>P</v>
          </cell>
        </row>
        <row r="2504">
          <cell r="B2504" t="str">
            <v>MONTH</v>
          </cell>
          <cell r="C2504" t="str">
            <v>REF</v>
          </cell>
          <cell r="D2504" t="str">
            <v>CSR</v>
          </cell>
          <cell r="E2504" t="str">
            <v>ITEM</v>
          </cell>
          <cell r="F2504" t="str">
            <v>AMOUNT</v>
          </cell>
          <cell r="G2504" t="str">
            <v>TRANSTYPE (P/C/X)</v>
          </cell>
        </row>
        <row r="2505">
          <cell r="B2505" t="str">
            <v>September</v>
          </cell>
          <cell r="D2505" t="str">
            <v>98-572</v>
          </cell>
          <cell r="G2505" t="str">
            <v>P</v>
          </cell>
        </row>
        <row r="2506">
          <cell r="B2506" t="str">
            <v>MONTH</v>
          </cell>
          <cell r="C2506" t="str">
            <v>REF</v>
          </cell>
          <cell r="D2506" t="str">
            <v>CSR</v>
          </cell>
          <cell r="E2506" t="str">
            <v>ITEM</v>
          </cell>
          <cell r="F2506" t="str">
            <v>AMOUNT</v>
          </cell>
          <cell r="G2506" t="str">
            <v>TRANSTYPE (P/C/X)</v>
          </cell>
        </row>
        <row r="2507">
          <cell r="B2507" t="str">
            <v>September</v>
          </cell>
          <cell r="D2507" t="str">
            <v>98-573</v>
          </cell>
          <cell r="G2507" t="str">
            <v>P</v>
          </cell>
        </row>
        <row r="2508">
          <cell r="B2508" t="str">
            <v>MONTH</v>
          </cell>
          <cell r="C2508" t="str">
            <v>REF</v>
          </cell>
          <cell r="D2508" t="str">
            <v>CSR</v>
          </cell>
          <cell r="E2508" t="str">
            <v>ITEM</v>
          </cell>
          <cell r="F2508" t="str">
            <v>AMOUNT</v>
          </cell>
          <cell r="G2508" t="str">
            <v>TRANSTYPE (P/C/X)</v>
          </cell>
        </row>
        <row r="2509">
          <cell r="B2509" t="str">
            <v>September</v>
          </cell>
          <cell r="D2509" t="str">
            <v>98-574</v>
          </cell>
          <cell r="G2509" t="str">
            <v>P</v>
          </cell>
        </row>
        <row r="2510">
          <cell r="B2510" t="str">
            <v>MONTH</v>
          </cell>
          <cell r="C2510" t="str">
            <v>REF</v>
          </cell>
          <cell r="D2510" t="str">
            <v>CSR</v>
          </cell>
          <cell r="E2510" t="str">
            <v>ITEM</v>
          </cell>
          <cell r="F2510" t="str">
            <v>AMOUNT</v>
          </cell>
          <cell r="G2510" t="str">
            <v>TRANSTYPE (P/C/X)</v>
          </cell>
        </row>
        <row r="2511">
          <cell r="B2511" t="str">
            <v>September</v>
          </cell>
          <cell r="D2511" t="str">
            <v>98-575</v>
          </cell>
          <cell r="G2511" t="str">
            <v>P</v>
          </cell>
        </row>
        <row r="2512">
          <cell r="B2512" t="str">
            <v>MONTH</v>
          </cell>
          <cell r="C2512" t="str">
            <v>REF</v>
          </cell>
          <cell r="D2512" t="str">
            <v>CSR</v>
          </cell>
          <cell r="E2512" t="str">
            <v>ITEM</v>
          </cell>
          <cell r="F2512" t="str">
            <v>AMOUNT</v>
          </cell>
          <cell r="G2512" t="str">
            <v>TRANSTYPE (P/C/X)</v>
          </cell>
        </row>
        <row r="2513">
          <cell r="B2513" t="str">
            <v>September</v>
          </cell>
          <cell r="D2513" t="str">
            <v>98-576</v>
          </cell>
          <cell r="G2513" t="str">
            <v>P</v>
          </cell>
        </row>
        <row r="2514">
          <cell r="B2514" t="str">
            <v>MONTH</v>
          </cell>
          <cell r="C2514" t="str">
            <v>REF</v>
          </cell>
          <cell r="D2514" t="str">
            <v>CSR</v>
          </cell>
          <cell r="E2514" t="str">
            <v>ITEM</v>
          </cell>
          <cell r="F2514" t="str">
            <v>AMOUNT</v>
          </cell>
          <cell r="G2514" t="str">
            <v>TRANSTYPE (P/C/X)</v>
          </cell>
        </row>
        <row r="2515">
          <cell r="B2515" t="str">
            <v>September</v>
          </cell>
          <cell r="D2515" t="str">
            <v>98-577</v>
          </cell>
          <cell r="G2515" t="str">
            <v>P</v>
          </cell>
        </row>
        <row r="2516">
          <cell r="B2516" t="str">
            <v>MONTH</v>
          </cell>
          <cell r="C2516" t="str">
            <v>REF</v>
          </cell>
          <cell r="D2516" t="str">
            <v>CSR</v>
          </cell>
          <cell r="E2516" t="str">
            <v>ITEM</v>
          </cell>
          <cell r="F2516" t="str">
            <v>AMOUNT</v>
          </cell>
          <cell r="G2516" t="str">
            <v>TRANSTYPE (P/C/X)</v>
          </cell>
        </row>
        <row r="2517">
          <cell r="B2517" t="str">
            <v>September</v>
          </cell>
          <cell r="D2517" t="str">
            <v>98-578</v>
          </cell>
          <cell r="G2517" t="str">
            <v>P</v>
          </cell>
        </row>
        <row r="2518">
          <cell r="B2518" t="str">
            <v>MONTH</v>
          </cell>
          <cell r="C2518" t="str">
            <v>REF</v>
          </cell>
          <cell r="D2518" t="str">
            <v>CSR</v>
          </cell>
          <cell r="E2518" t="str">
            <v>ITEM</v>
          </cell>
          <cell r="F2518" t="str">
            <v>AMOUNT</v>
          </cell>
          <cell r="G2518" t="str">
            <v>TRANSTYPE (P/C/X)</v>
          </cell>
        </row>
        <row r="2519">
          <cell r="B2519" t="str">
            <v>September</v>
          </cell>
          <cell r="D2519" t="str">
            <v>98-579</v>
          </cell>
          <cell r="G2519" t="str">
            <v>P</v>
          </cell>
        </row>
        <row r="2520">
          <cell r="B2520" t="str">
            <v>MONTH</v>
          </cell>
          <cell r="C2520" t="str">
            <v>REF</v>
          </cell>
          <cell r="D2520" t="str">
            <v>CSR</v>
          </cell>
          <cell r="E2520" t="str">
            <v>ITEM</v>
          </cell>
          <cell r="F2520" t="str">
            <v>AMOUNT</v>
          </cell>
          <cell r="G2520" t="str">
            <v>TRANSTYPE (P/C/X)</v>
          </cell>
        </row>
        <row r="2521">
          <cell r="B2521" t="str">
            <v>September</v>
          </cell>
          <cell r="D2521" t="str">
            <v>98-580</v>
          </cell>
          <cell r="G2521" t="str">
            <v>P</v>
          </cell>
        </row>
        <row r="2522">
          <cell r="B2522" t="str">
            <v>MONTH</v>
          </cell>
          <cell r="C2522" t="str">
            <v>REF</v>
          </cell>
          <cell r="D2522" t="str">
            <v>CSR</v>
          </cell>
          <cell r="E2522" t="str">
            <v>ITEM</v>
          </cell>
          <cell r="F2522" t="str">
            <v>AMOUNT</v>
          </cell>
          <cell r="G2522" t="str">
            <v>TRANSTYPE (P/C/X)</v>
          </cell>
        </row>
        <row r="2523">
          <cell r="B2523" t="str">
            <v>September</v>
          </cell>
          <cell r="D2523" t="str">
            <v>98-581</v>
          </cell>
          <cell r="G2523" t="str">
            <v>P</v>
          </cell>
        </row>
        <row r="2524">
          <cell r="B2524" t="str">
            <v>MONTH</v>
          </cell>
          <cell r="C2524" t="str">
            <v>REF</v>
          </cell>
          <cell r="D2524" t="str">
            <v>CSR</v>
          </cell>
          <cell r="E2524" t="str">
            <v>ITEM</v>
          </cell>
          <cell r="F2524" t="str">
            <v>AMOUNT</v>
          </cell>
          <cell r="G2524" t="str">
            <v>TRANSTYPE (P/C/X)</v>
          </cell>
        </row>
        <row r="2525">
          <cell r="B2525" t="str">
            <v>September</v>
          </cell>
          <cell r="D2525" t="str">
            <v>98-582</v>
          </cell>
          <cell r="G2525" t="str">
            <v>P</v>
          </cell>
        </row>
        <row r="2526">
          <cell r="B2526" t="str">
            <v>MONTH</v>
          </cell>
          <cell r="C2526" t="str">
            <v>REF</v>
          </cell>
          <cell r="D2526" t="str">
            <v>CSR</v>
          </cell>
          <cell r="E2526" t="str">
            <v>ITEM</v>
          </cell>
          <cell r="F2526" t="str">
            <v>AMOUNT</v>
          </cell>
          <cell r="G2526" t="str">
            <v>TRANSTYPE (P/C/X)</v>
          </cell>
        </row>
        <row r="2527">
          <cell r="B2527" t="str">
            <v>September</v>
          </cell>
          <cell r="D2527" t="str">
            <v>98-584</v>
          </cell>
          <cell r="G2527" t="str">
            <v>P</v>
          </cell>
        </row>
        <row r="2528">
          <cell r="B2528" t="str">
            <v>MONTH</v>
          </cell>
          <cell r="C2528" t="str">
            <v>REF</v>
          </cell>
          <cell r="D2528" t="str">
            <v>CSR</v>
          </cell>
          <cell r="E2528" t="str">
            <v>ITEM</v>
          </cell>
          <cell r="F2528" t="str">
            <v>AMOUNT</v>
          </cell>
          <cell r="G2528" t="str">
            <v>TRANSTYPE (P/C/X)</v>
          </cell>
        </row>
        <row r="2529">
          <cell r="B2529" t="str">
            <v>September</v>
          </cell>
          <cell r="D2529" t="str">
            <v>98-585</v>
          </cell>
          <cell r="G2529" t="str">
            <v>P</v>
          </cell>
        </row>
        <row r="2530">
          <cell r="B2530" t="str">
            <v>MONTH</v>
          </cell>
          <cell r="C2530" t="str">
            <v>REF</v>
          </cell>
          <cell r="D2530" t="str">
            <v>CSR</v>
          </cell>
          <cell r="E2530" t="str">
            <v>ITEM</v>
          </cell>
          <cell r="F2530" t="str">
            <v>AMOUNT</v>
          </cell>
          <cell r="G2530" t="str">
            <v>TRANSTYPE (P/C/X)</v>
          </cell>
        </row>
        <row r="2531">
          <cell r="B2531" t="str">
            <v>September</v>
          </cell>
          <cell r="D2531" t="str">
            <v>98-586</v>
          </cell>
          <cell r="G2531" t="str">
            <v>P</v>
          </cell>
        </row>
        <row r="2532">
          <cell r="B2532" t="str">
            <v>MONTH</v>
          </cell>
          <cell r="C2532" t="str">
            <v>REF</v>
          </cell>
          <cell r="D2532" t="str">
            <v>CSR</v>
          </cell>
          <cell r="E2532" t="str">
            <v>ITEM</v>
          </cell>
          <cell r="F2532" t="str">
            <v>AMOUNT</v>
          </cell>
          <cell r="G2532" t="str">
            <v>TRANSTYPE (P/C/X)</v>
          </cell>
        </row>
        <row r="2533">
          <cell r="B2533" t="str">
            <v>September</v>
          </cell>
          <cell r="D2533" t="str">
            <v>98-587</v>
          </cell>
          <cell r="G2533" t="str">
            <v>P</v>
          </cell>
        </row>
        <row r="2534">
          <cell r="B2534" t="str">
            <v>MONTH</v>
          </cell>
          <cell r="C2534" t="str">
            <v>REF</v>
          </cell>
          <cell r="D2534" t="str">
            <v>CSR</v>
          </cell>
          <cell r="E2534" t="str">
            <v>ITEM</v>
          </cell>
          <cell r="F2534" t="str">
            <v>AMOUNT</v>
          </cell>
          <cell r="G2534" t="str">
            <v>TRANSTYPE (P/C/X)</v>
          </cell>
        </row>
        <row r="2535">
          <cell r="B2535" t="str">
            <v>September</v>
          </cell>
          <cell r="D2535" t="str">
            <v>98-588</v>
          </cell>
          <cell r="G2535" t="str">
            <v>P</v>
          </cell>
        </row>
        <row r="2536">
          <cell r="B2536" t="str">
            <v>MONTH</v>
          </cell>
          <cell r="C2536" t="str">
            <v>REF</v>
          </cell>
          <cell r="D2536" t="str">
            <v>CSR</v>
          </cell>
          <cell r="E2536" t="str">
            <v>ITEM</v>
          </cell>
          <cell r="F2536" t="str">
            <v>AMOUNT</v>
          </cell>
          <cell r="G2536" t="str">
            <v>TRANSTYPE (P/C/X)</v>
          </cell>
        </row>
        <row r="2537">
          <cell r="B2537" t="str">
            <v>September</v>
          </cell>
          <cell r="D2537" t="str">
            <v>98-589</v>
          </cell>
          <cell r="G2537" t="str">
            <v>P</v>
          </cell>
        </row>
        <row r="2538">
          <cell r="B2538" t="str">
            <v>MONTH</v>
          </cell>
          <cell r="C2538" t="str">
            <v>REF</v>
          </cell>
          <cell r="D2538" t="str">
            <v>CSR</v>
          </cell>
          <cell r="E2538" t="str">
            <v>ITEM</v>
          </cell>
          <cell r="F2538" t="str">
            <v>AMOUNT</v>
          </cell>
          <cell r="G2538" t="str">
            <v>TRANSTYPE (P/C/X)</v>
          </cell>
        </row>
        <row r="2539">
          <cell r="B2539" t="str">
            <v>September</v>
          </cell>
          <cell r="D2539" t="str">
            <v>98-590</v>
          </cell>
          <cell r="G2539" t="str">
            <v>P</v>
          </cell>
        </row>
        <row r="2540">
          <cell r="B2540" t="str">
            <v>MONTH</v>
          </cell>
          <cell r="C2540" t="str">
            <v>REF</v>
          </cell>
          <cell r="D2540" t="str">
            <v>CSR</v>
          </cell>
          <cell r="E2540" t="str">
            <v>ITEM</v>
          </cell>
          <cell r="F2540" t="str">
            <v>AMOUNT</v>
          </cell>
          <cell r="G2540" t="str">
            <v>TRANSTYPE (P/C/X)</v>
          </cell>
        </row>
        <row r="2541">
          <cell r="B2541" t="str">
            <v>September</v>
          </cell>
          <cell r="D2541" t="str">
            <v>98-591</v>
          </cell>
          <cell r="G2541" t="str">
            <v>P</v>
          </cell>
        </row>
        <row r="2542">
          <cell r="B2542" t="str">
            <v>MONTH</v>
          </cell>
          <cell r="C2542" t="str">
            <v>REF</v>
          </cell>
          <cell r="D2542" t="str">
            <v>CSR</v>
          </cell>
          <cell r="E2542" t="str">
            <v>ITEM</v>
          </cell>
          <cell r="F2542" t="str">
            <v>AMOUNT</v>
          </cell>
          <cell r="G2542" t="str">
            <v>TRANSTYPE (P/C/X)</v>
          </cell>
        </row>
        <row r="2543">
          <cell r="B2543" t="str">
            <v>September</v>
          </cell>
          <cell r="D2543" t="str">
            <v>98-592</v>
          </cell>
          <cell r="G2543" t="str">
            <v>P</v>
          </cell>
        </row>
        <row r="2544">
          <cell r="B2544" t="str">
            <v>MONTH</v>
          </cell>
          <cell r="C2544" t="str">
            <v>REF</v>
          </cell>
          <cell r="D2544" t="str">
            <v>CSR</v>
          </cell>
          <cell r="E2544" t="str">
            <v>ITEM</v>
          </cell>
          <cell r="F2544" t="str">
            <v>AMOUNT</v>
          </cell>
          <cell r="G2544" t="str">
            <v>TRANSTYPE (P/C/X)</v>
          </cell>
        </row>
        <row r="2545">
          <cell r="B2545" t="str">
            <v>September</v>
          </cell>
          <cell r="D2545" t="str">
            <v>98-593</v>
          </cell>
          <cell r="G2545" t="str">
            <v>P</v>
          </cell>
        </row>
        <row r="2546">
          <cell r="B2546" t="str">
            <v>MONTH</v>
          </cell>
          <cell r="C2546" t="str">
            <v>REF</v>
          </cell>
          <cell r="D2546" t="str">
            <v>CSR</v>
          </cell>
          <cell r="E2546" t="str">
            <v>ITEM</v>
          </cell>
          <cell r="F2546" t="str">
            <v>AMOUNT</v>
          </cell>
          <cell r="G2546" t="str">
            <v>TRANSTYPE (P/C/X)</v>
          </cell>
        </row>
        <row r="2547">
          <cell r="B2547" t="str">
            <v>September</v>
          </cell>
          <cell r="D2547" t="str">
            <v>98-594</v>
          </cell>
          <cell r="G2547" t="str">
            <v>P</v>
          </cell>
        </row>
        <row r="2548">
          <cell r="B2548" t="str">
            <v>MONTH</v>
          </cell>
          <cell r="C2548" t="str">
            <v>REF</v>
          </cell>
          <cell r="D2548" t="str">
            <v>CSR</v>
          </cell>
          <cell r="E2548" t="str">
            <v>ITEM</v>
          </cell>
          <cell r="F2548" t="str">
            <v>AMOUNT</v>
          </cell>
          <cell r="G2548" t="str">
            <v>TRANSTYPE (P/C/X)</v>
          </cell>
        </row>
        <row r="2549">
          <cell r="B2549" t="str">
            <v>September</v>
          </cell>
          <cell r="D2549" t="str">
            <v>98-595</v>
          </cell>
          <cell r="G2549" t="str">
            <v>P</v>
          </cell>
        </row>
        <row r="2550">
          <cell r="B2550" t="str">
            <v>MONTH</v>
          </cell>
          <cell r="C2550" t="str">
            <v>REF</v>
          </cell>
          <cell r="D2550" t="str">
            <v>CSR</v>
          </cell>
          <cell r="E2550" t="str">
            <v>ITEM</v>
          </cell>
          <cell r="F2550" t="str">
            <v>AMOUNT</v>
          </cell>
          <cell r="G2550" t="str">
            <v>TRANSTYPE (P/C/X)</v>
          </cell>
        </row>
        <row r="2551">
          <cell r="B2551" t="str">
            <v>September</v>
          </cell>
          <cell r="D2551" t="str">
            <v>98-595A</v>
          </cell>
          <cell r="G2551" t="str">
            <v>P</v>
          </cell>
        </row>
        <row r="2552">
          <cell r="B2552" t="str">
            <v>MONTH</v>
          </cell>
          <cell r="C2552" t="str">
            <v>REF</v>
          </cell>
          <cell r="D2552" t="str">
            <v>CSR</v>
          </cell>
          <cell r="E2552" t="str">
            <v>ITEM</v>
          </cell>
          <cell r="F2552" t="str">
            <v>AMOUNT</v>
          </cell>
          <cell r="G2552" t="str">
            <v>TRANSTYPE (P/C/X)</v>
          </cell>
        </row>
        <row r="2553">
          <cell r="B2553" t="str">
            <v>September</v>
          </cell>
          <cell r="D2553" t="str">
            <v>98-596</v>
          </cell>
          <cell r="G2553" t="str">
            <v>P</v>
          </cell>
        </row>
        <row r="2554">
          <cell r="B2554" t="str">
            <v>MONTH</v>
          </cell>
          <cell r="C2554" t="str">
            <v>REF</v>
          </cell>
          <cell r="D2554" t="str">
            <v>CSR</v>
          </cell>
          <cell r="E2554" t="str">
            <v>ITEM</v>
          </cell>
          <cell r="F2554" t="str">
            <v>AMOUNT</v>
          </cell>
          <cell r="G2554" t="str">
            <v>TRANSTYPE (P/C/X)</v>
          </cell>
        </row>
        <row r="2555">
          <cell r="B2555" t="str">
            <v>September</v>
          </cell>
          <cell r="D2555" t="str">
            <v>98-597</v>
          </cell>
          <cell r="G2555" t="str">
            <v>P</v>
          </cell>
        </row>
        <row r="2556">
          <cell r="B2556" t="str">
            <v>MONTH</v>
          </cell>
          <cell r="C2556" t="str">
            <v>REF</v>
          </cell>
          <cell r="D2556" t="str">
            <v>CSR</v>
          </cell>
          <cell r="E2556" t="str">
            <v>ITEM</v>
          </cell>
          <cell r="F2556" t="str">
            <v>AMOUNT</v>
          </cell>
          <cell r="G2556" t="str">
            <v>TRANSTYPE (P/C/X)</v>
          </cell>
        </row>
        <row r="2557">
          <cell r="B2557" t="str">
            <v>September</v>
          </cell>
          <cell r="D2557" t="str">
            <v>98-598</v>
          </cell>
          <cell r="G2557" t="str">
            <v>P</v>
          </cell>
        </row>
        <row r="2558">
          <cell r="B2558" t="str">
            <v>MONTH</v>
          </cell>
          <cell r="C2558" t="str">
            <v>REF</v>
          </cell>
          <cell r="D2558" t="str">
            <v>CSR</v>
          </cell>
          <cell r="E2558" t="str">
            <v>ITEM</v>
          </cell>
          <cell r="F2558" t="str">
            <v>AMOUNT</v>
          </cell>
          <cell r="G2558" t="str">
            <v>TRANSTYPE (P/C/X)</v>
          </cell>
        </row>
        <row r="2559">
          <cell r="B2559" t="str">
            <v>September</v>
          </cell>
          <cell r="D2559" t="str">
            <v>98-599</v>
          </cell>
          <cell r="G2559" t="str">
            <v>P</v>
          </cell>
        </row>
        <row r="2560">
          <cell r="B2560" t="str">
            <v>MONTH</v>
          </cell>
          <cell r="C2560" t="str">
            <v>REF</v>
          </cell>
          <cell r="D2560" t="str">
            <v>CSR</v>
          </cell>
          <cell r="E2560" t="str">
            <v>ITEM</v>
          </cell>
          <cell r="F2560" t="str">
            <v>AMOUNT</v>
          </cell>
          <cell r="G2560" t="str">
            <v>TRANSTYPE (P/C/X)</v>
          </cell>
        </row>
        <row r="2561">
          <cell r="B2561" t="str">
            <v>September</v>
          </cell>
          <cell r="D2561" t="str">
            <v>98-600</v>
          </cell>
          <cell r="G2561" t="str">
            <v>P</v>
          </cell>
        </row>
        <row r="2562">
          <cell r="B2562" t="str">
            <v>MONTH</v>
          </cell>
          <cell r="C2562" t="str">
            <v>REF</v>
          </cell>
          <cell r="D2562" t="str">
            <v>CSR</v>
          </cell>
          <cell r="E2562" t="str">
            <v>ITEM</v>
          </cell>
          <cell r="F2562" t="str">
            <v>AMOUNT</v>
          </cell>
          <cell r="G2562" t="str">
            <v>TRANSTYPE (P/C/X)</v>
          </cell>
        </row>
        <row r="2563">
          <cell r="B2563" t="str">
            <v>September</v>
          </cell>
          <cell r="D2563" t="str">
            <v>98-601</v>
          </cell>
          <cell r="G2563" t="str">
            <v>P</v>
          </cell>
        </row>
        <row r="2564">
          <cell r="B2564" t="str">
            <v>MONTH</v>
          </cell>
          <cell r="C2564" t="str">
            <v>REF</v>
          </cell>
          <cell r="D2564" t="str">
            <v>CSR</v>
          </cell>
          <cell r="E2564" t="str">
            <v>ITEM</v>
          </cell>
          <cell r="F2564" t="str">
            <v>AMOUNT</v>
          </cell>
          <cell r="G2564" t="str">
            <v>TRANSTYPE (P/C/X)</v>
          </cell>
        </row>
        <row r="2565">
          <cell r="B2565" t="str">
            <v>September</v>
          </cell>
          <cell r="D2565" t="str">
            <v>98-602</v>
          </cell>
          <cell r="G2565" t="str">
            <v>P</v>
          </cell>
        </row>
        <row r="2566">
          <cell r="B2566" t="str">
            <v>MONTH</v>
          </cell>
          <cell r="C2566" t="str">
            <v>REF</v>
          </cell>
          <cell r="D2566" t="str">
            <v>CSR</v>
          </cell>
          <cell r="E2566" t="str">
            <v>ITEM</v>
          </cell>
          <cell r="F2566" t="str">
            <v>AMOUNT</v>
          </cell>
          <cell r="G2566" t="str">
            <v>TRANSTYPE (P/C/X)</v>
          </cell>
        </row>
        <row r="2567">
          <cell r="B2567" t="str">
            <v>September</v>
          </cell>
          <cell r="D2567" t="str">
            <v>98-603</v>
          </cell>
          <cell r="G2567" t="str">
            <v>P</v>
          </cell>
        </row>
        <row r="2568">
          <cell r="B2568" t="str">
            <v>MONTH</v>
          </cell>
          <cell r="C2568" t="str">
            <v>REF</v>
          </cell>
          <cell r="D2568" t="str">
            <v>CSR</v>
          </cell>
          <cell r="E2568" t="str">
            <v>ITEM</v>
          </cell>
          <cell r="F2568" t="str">
            <v>AMOUNT</v>
          </cell>
          <cell r="G2568" t="str">
            <v>TRANSTYPE (P/C/X)</v>
          </cell>
        </row>
        <row r="2569">
          <cell r="B2569" t="str">
            <v>September</v>
          </cell>
          <cell r="D2569" t="str">
            <v>98-604</v>
          </cell>
          <cell r="G2569" t="str">
            <v>P</v>
          </cell>
        </row>
        <row r="2570">
          <cell r="B2570" t="str">
            <v>MONTH</v>
          </cell>
          <cell r="C2570" t="str">
            <v>REF</v>
          </cell>
          <cell r="D2570" t="str">
            <v>CSR</v>
          </cell>
          <cell r="E2570" t="str">
            <v>ITEM</v>
          </cell>
          <cell r="F2570" t="str">
            <v>AMOUNT</v>
          </cell>
          <cell r="G2570" t="str">
            <v>TRANSTYPE (P/C/X)</v>
          </cell>
        </row>
        <row r="2571">
          <cell r="B2571" t="str">
            <v>September</v>
          </cell>
          <cell r="D2571" t="str">
            <v>98-605</v>
          </cell>
          <cell r="G2571" t="str">
            <v>P</v>
          </cell>
        </row>
        <row r="2572">
          <cell r="B2572" t="str">
            <v>MONTH</v>
          </cell>
          <cell r="C2572" t="str">
            <v>REF</v>
          </cell>
          <cell r="D2572" t="str">
            <v>CSR</v>
          </cell>
          <cell r="E2572" t="str">
            <v>ITEM</v>
          </cell>
          <cell r="F2572" t="str">
            <v>AMOUNT</v>
          </cell>
          <cell r="G2572" t="str">
            <v>TRANSTYPE (P/C/X)</v>
          </cell>
        </row>
        <row r="2573">
          <cell r="B2573" t="str">
            <v>September</v>
          </cell>
          <cell r="D2573" t="str">
            <v>98-606</v>
          </cell>
          <cell r="G2573" t="str">
            <v>P</v>
          </cell>
        </row>
        <row r="2574">
          <cell r="B2574" t="str">
            <v>MONTH</v>
          </cell>
          <cell r="C2574" t="str">
            <v>REF</v>
          </cell>
          <cell r="D2574" t="str">
            <v>CSR</v>
          </cell>
          <cell r="E2574" t="str">
            <v>ITEM</v>
          </cell>
          <cell r="F2574" t="str">
            <v>AMOUNT</v>
          </cell>
          <cell r="G2574" t="str">
            <v>TRANSTYPE (P/C/X)</v>
          </cell>
        </row>
        <row r="2575">
          <cell r="B2575" t="str">
            <v>September</v>
          </cell>
          <cell r="D2575" t="str">
            <v>98-607</v>
          </cell>
          <cell r="G2575" t="str">
            <v>P</v>
          </cell>
        </row>
        <row r="2576">
          <cell r="B2576" t="str">
            <v>MONTH</v>
          </cell>
          <cell r="C2576" t="str">
            <v>REF</v>
          </cell>
          <cell r="D2576" t="str">
            <v>CSR</v>
          </cell>
          <cell r="E2576" t="str">
            <v>ITEM</v>
          </cell>
          <cell r="F2576" t="str">
            <v>AMOUNT</v>
          </cell>
          <cell r="G2576" t="str">
            <v>TRANSTYPE (P/C/X)</v>
          </cell>
        </row>
        <row r="2577">
          <cell r="B2577" t="str">
            <v>September</v>
          </cell>
          <cell r="D2577" t="str">
            <v>98-608</v>
          </cell>
          <cell r="G2577" t="str">
            <v>P</v>
          </cell>
        </row>
        <row r="2578">
          <cell r="B2578" t="str">
            <v>MONTH</v>
          </cell>
          <cell r="C2578" t="str">
            <v>REF</v>
          </cell>
          <cell r="D2578" t="str">
            <v>CSR</v>
          </cell>
          <cell r="E2578" t="str">
            <v>ITEM</v>
          </cell>
          <cell r="F2578" t="str">
            <v>AMOUNT</v>
          </cell>
          <cell r="G2578" t="str">
            <v>TRANSTYPE (P/C/X)</v>
          </cell>
        </row>
        <row r="2579">
          <cell r="B2579" t="str">
            <v>September</v>
          </cell>
          <cell r="D2579" t="str">
            <v>98-609</v>
          </cell>
          <cell r="G2579" t="str">
            <v>P</v>
          </cell>
        </row>
        <row r="2580">
          <cell r="B2580" t="str">
            <v>MONTH</v>
          </cell>
          <cell r="C2580" t="str">
            <v>REF</v>
          </cell>
          <cell r="D2580" t="str">
            <v>CSR</v>
          </cell>
          <cell r="E2580" t="str">
            <v>ITEM</v>
          </cell>
          <cell r="F2580" t="str">
            <v>AMOUNT</v>
          </cell>
          <cell r="G2580" t="str">
            <v>TRANSTYPE (P/C/X)</v>
          </cell>
        </row>
        <row r="2581">
          <cell r="B2581" t="str">
            <v>September</v>
          </cell>
          <cell r="D2581" t="str">
            <v>98-610</v>
          </cell>
          <cell r="G2581" t="str">
            <v>P</v>
          </cell>
        </row>
        <row r="2582">
          <cell r="B2582" t="str">
            <v>MONTH</v>
          </cell>
          <cell r="C2582" t="str">
            <v>REF</v>
          </cell>
          <cell r="D2582" t="str">
            <v>CSR</v>
          </cell>
          <cell r="E2582" t="str">
            <v>ITEM</v>
          </cell>
          <cell r="F2582" t="str">
            <v>AMOUNT</v>
          </cell>
          <cell r="G2582" t="str">
            <v>TRANSTYPE (P/C/X)</v>
          </cell>
        </row>
        <row r="2583">
          <cell r="B2583" t="str">
            <v>September</v>
          </cell>
          <cell r="D2583" t="str">
            <v>98-611</v>
          </cell>
          <cell r="G2583" t="str">
            <v>P</v>
          </cell>
        </row>
        <row r="2584">
          <cell r="B2584" t="str">
            <v>MONTH</v>
          </cell>
          <cell r="C2584" t="str">
            <v>REF</v>
          </cell>
          <cell r="D2584" t="str">
            <v>CSR</v>
          </cell>
          <cell r="E2584" t="str">
            <v>ITEM</v>
          </cell>
          <cell r="F2584" t="str">
            <v>AMOUNT</v>
          </cell>
          <cell r="G2584" t="str">
            <v>TRANSTYPE (P/C/X)</v>
          </cell>
        </row>
        <row r="2585">
          <cell r="B2585" t="str">
            <v>September</v>
          </cell>
          <cell r="D2585" t="str">
            <v>98-612</v>
          </cell>
          <cell r="G2585" t="str">
            <v>P</v>
          </cell>
        </row>
        <row r="2586">
          <cell r="B2586" t="str">
            <v>MONTH</v>
          </cell>
          <cell r="C2586" t="str">
            <v>REF</v>
          </cell>
          <cell r="D2586" t="str">
            <v>CSR</v>
          </cell>
          <cell r="E2586" t="str">
            <v>ITEM</v>
          </cell>
          <cell r="F2586" t="str">
            <v>AMOUNT</v>
          </cell>
          <cell r="G2586" t="str">
            <v>TRANSTYPE (P/C/X)</v>
          </cell>
        </row>
        <row r="2587">
          <cell r="B2587" t="str">
            <v>September</v>
          </cell>
          <cell r="D2587" t="str">
            <v>98-613</v>
          </cell>
          <cell r="G2587" t="str">
            <v>P</v>
          </cell>
        </row>
        <row r="2588">
          <cell r="B2588" t="str">
            <v>MONTH</v>
          </cell>
          <cell r="C2588" t="str">
            <v>REF</v>
          </cell>
          <cell r="D2588" t="str">
            <v>CSR</v>
          </cell>
          <cell r="E2588" t="str">
            <v>ITEM</v>
          </cell>
          <cell r="F2588" t="str">
            <v>AMOUNT</v>
          </cell>
          <cell r="G2588" t="str">
            <v>TRANSTYPE (P/C/X)</v>
          </cell>
        </row>
        <row r="2589">
          <cell r="B2589" t="str">
            <v>September</v>
          </cell>
          <cell r="D2589" t="str">
            <v>98-614</v>
          </cell>
          <cell r="G2589" t="str">
            <v>P</v>
          </cell>
        </row>
        <row r="2590">
          <cell r="B2590" t="str">
            <v>MONTH</v>
          </cell>
          <cell r="C2590" t="str">
            <v>REF</v>
          </cell>
          <cell r="D2590" t="str">
            <v>CSR</v>
          </cell>
          <cell r="E2590" t="str">
            <v>ITEM</v>
          </cell>
          <cell r="F2590" t="str">
            <v>AMOUNT</v>
          </cell>
          <cell r="G2590" t="str">
            <v>TRANSTYPE (P/C/X)</v>
          </cell>
        </row>
        <row r="2591">
          <cell r="B2591" t="str">
            <v>September</v>
          </cell>
          <cell r="D2591" t="str">
            <v>98-615</v>
          </cell>
          <cell r="G2591" t="str">
            <v>P</v>
          </cell>
        </row>
        <row r="2592">
          <cell r="B2592" t="str">
            <v>MONTH</v>
          </cell>
          <cell r="C2592" t="str">
            <v>REF</v>
          </cell>
          <cell r="D2592" t="str">
            <v>CSR</v>
          </cell>
          <cell r="E2592" t="str">
            <v>ITEM</v>
          </cell>
          <cell r="F2592" t="str">
            <v>AMOUNT</v>
          </cell>
          <cell r="G2592" t="str">
            <v>TRANSTYPE (P/C/X)</v>
          </cell>
        </row>
        <row r="2593">
          <cell r="B2593" t="str">
            <v>September</v>
          </cell>
          <cell r="D2593" t="str">
            <v>98-616</v>
          </cell>
          <cell r="G2593" t="str">
            <v>P</v>
          </cell>
        </row>
        <row r="2594">
          <cell r="B2594" t="str">
            <v>MONTH</v>
          </cell>
          <cell r="C2594" t="str">
            <v>REF</v>
          </cell>
          <cell r="D2594" t="str">
            <v>CSR</v>
          </cell>
          <cell r="E2594" t="str">
            <v>ITEM</v>
          </cell>
          <cell r="F2594" t="str">
            <v>AMOUNT</v>
          </cell>
          <cell r="G2594" t="str">
            <v>TRANSTYPE (P/C/X)</v>
          </cell>
        </row>
        <row r="2595">
          <cell r="B2595" t="str">
            <v>September</v>
          </cell>
          <cell r="D2595" t="str">
            <v>98-617</v>
          </cell>
          <cell r="G2595" t="str">
            <v>P</v>
          </cell>
        </row>
        <row r="2596">
          <cell r="B2596" t="str">
            <v>MONTH</v>
          </cell>
          <cell r="C2596" t="str">
            <v>REF</v>
          </cell>
          <cell r="D2596" t="str">
            <v>CSR</v>
          </cell>
          <cell r="E2596" t="str">
            <v>ITEM</v>
          </cell>
          <cell r="F2596" t="str">
            <v>AMOUNT</v>
          </cell>
          <cell r="G2596" t="str">
            <v>TRANSTYPE (P/C/X)</v>
          </cell>
        </row>
        <row r="2597">
          <cell r="B2597" t="str">
            <v>September</v>
          </cell>
          <cell r="D2597" t="str">
            <v>98-618</v>
          </cell>
          <cell r="G2597" t="str">
            <v>P</v>
          </cell>
        </row>
        <row r="2598">
          <cell r="B2598" t="str">
            <v>MONTH</v>
          </cell>
          <cell r="C2598" t="str">
            <v>REF</v>
          </cell>
          <cell r="D2598" t="str">
            <v>CSR</v>
          </cell>
          <cell r="E2598" t="str">
            <v>ITEM</v>
          </cell>
          <cell r="F2598" t="str">
            <v>AMOUNT</v>
          </cell>
          <cell r="G2598" t="str">
            <v>TRANSTYPE (P/C/X)</v>
          </cell>
        </row>
        <row r="2599">
          <cell r="B2599" t="str">
            <v>September</v>
          </cell>
          <cell r="D2599" t="str">
            <v>98-619</v>
          </cell>
          <cell r="G2599" t="str">
            <v>P</v>
          </cell>
        </row>
        <row r="2600">
          <cell r="B2600" t="str">
            <v>MONTH</v>
          </cell>
          <cell r="C2600" t="str">
            <v>REF</v>
          </cell>
          <cell r="D2600" t="str">
            <v>CSR</v>
          </cell>
          <cell r="E2600" t="str">
            <v>ITEM</v>
          </cell>
          <cell r="F2600" t="str">
            <v>AMOUNT</v>
          </cell>
          <cell r="G2600" t="str">
            <v>TRANSTYPE (P/C/X)</v>
          </cell>
        </row>
        <row r="2601">
          <cell r="B2601" t="str">
            <v>September</v>
          </cell>
          <cell r="D2601" t="str">
            <v>98-620</v>
          </cell>
          <cell r="G2601" t="str">
            <v>P</v>
          </cell>
        </row>
        <row r="2602">
          <cell r="B2602" t="str">
            <v>MONTH</v>
          </cell>
          <cell r="C2602" t="str">
            <v>REF</v>
          </cell>
          <cell r="D2602" t="str">
            <v>CSR</v>
          </cell>
          <cell r="E2602" t="str">
            <v>ITEM</v>
          </cell>
          <cell r="F2602" t="str">
            <v>AMOUNT</v>
          </cell>
          <cell r="G2602" t="str">
            <v>TRANSTYPE (P/C/X)</v>
          </cell>
        </row>
        <row r="2603">
          <cell r="B2603" t="str">
            <v>September</v>
          </cell>
          <cell r="D2603" t="str">
            <v>98-621</v>
          </cell>
          <cell r="G2603" t="str">
            <v>P</v>
          </cell>
        </row>
        <row r="2604">
          <cell r="B2604" t="str">
            <v>MONTH</v>
          </cell>
          <cell r="C2604" t="str">
            <v>REF</v>
          </cell>
          <cell r="D2604" t="str">
            <v>CSR</v>
          </cell>
          <cell r="E2604" t="str">
            <v>ITEM</v>
          </cell>
          <cell r="F2604" t="str">
            <v>AMOUNT</v>
          </cell>
          <cell r="G2604" t="str">
            <v>TRANSTYPE (P/C/X)</v>
          </cell>
        </row>
        <row r="2605">
          <cell r="B2605" t="str">
            <v>September</v>
          </cell>
          <cell r="D2605" t="str">
            <v>98-622</v>
          </cell>
          <cell r="G2605" t="str">
            <v>P</v>
          </cell>
        </row>
        <row r="2606">
          <cell r="B2606" t="str">
            <v>MONTH</v>
          </cell>
          <cell r="C2606" t="str">
            <v>REF</v>
          </cell>
          <cell r="D2606" t="str">
            <v>CSR</v>
          </cell>
          <cell r="E2606" t="str">
            <v>ITEM</v>
          </cell>
          <cell r="F2606" t="str">
            <v>AMOUNT</v>
          </cell>
          <cell r="G2606" t="str">
            <v>TRANSTYPE (P/C/X)</v>
          </cell>
        </row>
        <row r="2607">
          <cell r="B2607" t="str">
            <v>September</v>
          </cell>
          <cell r="D2607" t="str">
            <v>98-623</v>
          </cell>
          <cell r="G2607" t="str">
            <v>P</v>
          </cell>
        </row>
        <row r="2608">
          <cell r="B2608" t="str">
            <v>MONTH</v>
          </cell>
          <cell r="C2608" t="str">
            <v>REF</v>
          </cell>
          <cell r="D2608" t="str">
            <v>CSR</v>
          </cell>
          <cell r="E2608" t="str">
            <v>ITEM</v>
          </cell>
          <cell r="F2608" t="str">
            <v>AMOUNT</v>
          </cell>
          <cell r="G2608" t="str">
            <v>TRANSTYPE (P/C/X)</v>
          </cell>
        </row>
        <row r="2609">
          <cell r="B2609" t="str">
            <v>September</v>
          </cell>
          <cell r="D2609" t="str">
            <v>98-624</v>
          </cell>
          <cell r="G2609" t="str">
            <v>P</v>
          </cell>
        </row>
        <row r="2610">
          <cell r="B2610" t="str">
            <v>MONTH</v>
          </cell>
          <cell r="C2610" t="str">
            <v>REF</v>
          </cell>
          <cell r="D2610" t="str">
            <v>CSR</v>
          </cell>
          <cell r="E2610" t="str">
            <v>ITEM</v>
          </cell>
          <cell r="F2610" t="str">
            <v>AMOUNT</v>
          </cell>
          <cell r="G2610" t="str">
            <v>TRANSTYPE (P/C/X)</v>
          </cell>
        </row>
        <row r="2611">
          <cell r="B2611" t="str">
            <v>September</v>
          </cell>
          <cell r="D2611" t="str">
            <v>98-625</v>
          </cell>
          <cell r="G2611" t="str">
            <v>P</v>
          </cell>
        </row>
        <row r="2612">
          <cell r="B2612" t="str">
            <v>MONTH</v>
          </cell>
          <cell r="C2612" t="str">
            <v>REF</v>
          </cell>
          <cell r="D2612" t="str">
            <v>CSR</v>
          </cell>
          <cell r="E2612" t="str">
            <v>ITEM</v>
          </cell>
          <cell r="F2612" t="str">
            <v>AMOUNT</v>
          </cell>
          <cell r="G2612" t="str">
            <v>TRANSTYPE (P/C/X)</v>
          </cell>
        </row>
        <row r="2613">
          <cell r="B2613" t="str">
            <v>September</v>
          </cell>
          <cell r="D2613" t="str">
            <v>98-626</v>
          </cell>
          <cell r="G2613" t="str">
            <v>P</v>
          </cell>
        </row>
        <row r="2614">
          <cell r="B2614" t="str">
            <v>MONTH</v>
          </cell>
          <cell r="C2614" t="str">
            <v>REF</v>
          </cell>
          <cell r="D2614" t="str">
            <v>CSR</v>
          </cell>
          <cell r="E2614" t="str">
            <v>ITEM</v>
          </cell>
          <cell r="F2614" t="str">
            <v>AMOUNT</v>
          </cell>
          <cell r="G2614" t="str">
            <v>TRANSTYPE (P/C/X)</v>
          </cell>
        </row>
        <row r="2615">
          <cell r="B2615" t="str">
            <v>September</v>
          </cell>
          <cell r="D2615" t="str">
            <v>98-627</v>
          </cell>
          <cell r="G2615" t="str">
            <v>P</v>
          </cell>
        </row>
        <row r="2616">
          <cell r="B2616" t="str">
            <v>MONTH</v>
          </cell>
          <cell r="C2616" t="str">
            <v>REF</v>
          </cell>
          <cell r="D2616" t="str">
            <v>CSR</v>
          </cell>
          <cell r="E2616" t="str">
            <v>ITEM</v>
          </cell>
          <cell r="F2616" t="str">
            <v>AMOUNT</v>
          </cell>
          <cell r="G2616" t="str">
            <v>TRANSTYPE (P/C/X)</v>
          </cell>
        </row>
        <row r="2617">
          <cell r="B2617" t="str">
            <v>September</v>
          </cell>
          <cell r="D2617" t="str">
            <v>98-628</v>
          </cell>
          <cell r="G2617" t="str">
            <v>P</v>
          </cell>
        </row>
        <row r="2618">
          <cell r="B2618" t="str">
            <v>MONTH</v>
          </cell>
          <cell r="C2618" t="str">
            <v>REF</v>
          </cell>
          <cell r="D2618" t="str">
            <v>CSR</v>
          </cell>
          <cell r="E2618" t="str">
            <v>ITEM</v>
          </cell>
          <cell r="F2618" t="str">
            <v>AMOUNT</v>
          </cell>
          <cell r="G2618" t="str">
            <v>TRANSTYPE (P/C/X)</v>
          </cell>
        </row>
        <row r="2619">
          <cell r="B2619" t="str">
            <v>September</v>
          </cell>
          <cell r="D2619" t="str">
            <v>98-629</v>
          </cell>
          <cell r="G2619" t="str">
            <v>P</v>
          </cell>
        </row>
        <row r="2620">
          <cell r="B2620" t="str">
            <v>MONTH</v>
          </cell>
          <cell r="C2620" t="str">
            <v>REF</v>
          </cell>
          <cell r="D2620" t="str">
            <v>CSR</v>
          </cell>
          <cell r="E2620" t="str">
            <v>ITEM</v>
          </cell>
          <cell r="F2620" t="str">
            <v>AMOUNT</v>
          </cell>
          <cell r="G2620" t="str">
            <v>TRANSTYPE (P/C/X)</v>
          </cell>
        </row>
        <row r="2621">
          <cell r="B2621" t="str">
            <v>September</v>
          </cell>
          <cell r="D2621" t="str">
            <v>98-630</v>
          </cell>
          <cell r="G2621" t="str">
            <v>P</v>
          </cell>
        </row>
        <row r="2622">
          <cell r="B2622" t="str">
            <v>MONTH</v>
          </cell>
          <cell r="C2622" t="str">
            <v>REF</v>
          </cell>
          <cell r="D2622" t="str">
            <v>CSR</v>
          </cell>
          <cell r="E2622" t="str">
            <v>ITEM</v>
          </cell>
          <cell r="F2622" t="str">
            <v>AMOUNT</v>
          </cell>
          <cell r="G2622" t="str">
            <v>TRANSTYPE (P/C/X)</v>
          </cell>
        </row>
        <row r="2623">
          <cell r="B2623" t="str">
            <v>September</v>
          </cell>
          <cell r="D2623" t="str">
            <v>98-631</v>
          </cell>
          <cell r="G2623" t="str">
            <v>P</v>
          </cell>
        </row>
        <row r="2624">
          <cell r="B2624" t="str">
            <v>MONTH</v>
          </cell>
          <cell r="C2624" t="str">
            <v>REF</v>
          </cell>
          <cell r="D2624" t="str">
            <v>CSR</v>
          </cell>
          <cell r="E2624" t="str">
            <v>ITEM</v>
          </cell>
          <cell r="F2624" t="str">
            <v>AMOUNT</v>
          </cell>
          <cell r="G2624" t="str">
            <v>TRANSTYPE (P/C/X)</v>
          </cell>
        </row>
        <row r="2625">
          <cell r="B2625" t="str">
            <v>September</v>
          </cell>
          <cell r="D2625" t="str">
            <v>98-632</v>
          </cell>
          <cell r="G2625" t="str">
            <v>P</v>
          </cell>
        </row>
        <row r="2626">
          <cell r="B2626" t="str">
            <v>MONTH</v>
          </cell>
          <cell r="C2626" t="str">
            <v>REF</v>
          </cell>
          <cell r="D2626" t="str">
            <v>CSR</v>
          </cell>
          <cell r="E2626" t="str">
            <v>ITEM</v>
          </cell>
          <cell r="F2626" t="str">
            <v>AMOUNT</v>
          </cell>
          <cell r="G2626" t="str">
            <v>TRANSTYPE (P/C/X)</v>
          </cell>
        </row>
        <row r="2627">
          <cell r="B2627" t="str">
            <v>September</v>
          </cell>
          <cell r="D2627" t="str">
            <v>98-633</v>
          </cell>
          <cell r="G2627" t="str">
            <v>P</v>
          </cell>
        </row>
        <row r="2628">
          <cell r="B2628" t="str">
            <v>MONTH</v>
          </cell>
          <cell r="C2628" t="str">
            <v>REF</v>
          </cell>
          <cell r="D2628" t="str">
            <v>CSR</v>
          </cell>
          <cell r="E2628" t="str">
            <v>ITEM</v>
          </cell>
          <cell r="F2628" t="str">
            <v>AMOUNT</v>
          </cell>
          <cell r="G2628" t="str">
            <v>TRANSTYPE (P/C/X)</v>
          </cell>
        </row>
        <row r="2629">
          <cell r="B2629" t="str">
            <v>September</v>
          </cell>
          <cell r="D2629" t="str">
            <v>98-634</v>
          </cell>
          <cell r="G2629" t="str">
            <v>P</v>
          </cell>
        </row>
        <row r="2630">
          <cell r="B2630" t="str">
            <v>MONTH</v>
          </cell>
          <cell r="C2630" t="str">
            <v>REF</v>
          </cell>
          <cell r="D2630" t="str">
            <v>CSR</v>
          </cell>
          <cell r="E2630" t="str">
            <v>ITEM</v>
          </cell>
          <cell r="F2630" t="str">
            <v>AMOUNT</v>
          </cell>
          <cell r="G2630" t="str">
            <v>TRANSTYPE (P/C/X)</v>
          </cell>
        </row>
        <row r="2631">
          <cell r="B2631" t="str">
            <v>September</v>
          </cell>
          <cell r="D2631" t="str">
            <v>98-635</v>
          </cell>
          <cell r="G2631" t="str">
            <v>P</v>
          </cell>
        </row>
        <row r="2632">
          <cell r="B2632" t="str">
            <v>MONTH</v>
          </cell>
          <cell r="C2632" t="str">
            <v>REF</v>
          </cell>
          <cell r="D2632" t="str">
            <v>CSR</v>
          </cell>
          <cell r="E2632" t="str">
            <v>ITEM</v>
          </cell>
          <cell r="F2632" t="str">
            <v>AMOUNT</v>
          </cell>
          <cell r="G2632" t="str">
            <v>TRANSTYPE (P/C/X)</v>
          </cell>
        </row>
        <row r="2633">
          <cell r="B2633" t="str">
            <v>September</v>
          </cell>
          <cell r="D2633" t="str">
            <v>98-900</v>
          </cell>
          <cell r="G2633" t="str">
            <v>P</v>
          </cell>
        </row>
        <row r="2634">
          <cell r="B2634" t="str">
            <v>MONTH</v>
          </cell>
          <cell r="C2634" t="str">
            <v>REF</v>
          </cell>
          <cell r="D2634" t="str">
            <v>CSR</v>
          </cell>
          <cell r="E2634" t="str">
            <v>ITEM</v>
          </cell>
          <cell r="F2634" t="str">
            <v>AMOUNT</v>
          </cell>
          <cell r="G2634" t="str">
            <v>TRANSTYPE (P/C/X)</v>
          </cell>
        </row>
        <row r="2635">
          <cell r="B2635" t="str">
            <v>September</v>
          </cell>
          <cell r="D2635" t="str">
            <v>98-901</v>
          </cell>
          <cell r="G2635" t="str">
            <v>P</v>
          </cell>
        </row>
        <row r="2636">
          <cell r="B2636" t="str">
            <v>MONTH</v>
          </cell>
          <cell r="C2636" t="str">
            <v>REF</v>
          </cell>
          <cell r="D2636" t="str">
            <v>CSR</v>
          </cell>
          <cell r="E2636" t="str">
            <v>ITEM</v>
          </cell>
          <cell r="F2636" t="str">
            <v>AMOUNT</v>
          </cell>
          <cell r="G2636" t="str">
            <v>TRANSTYPE (P/C/X)</v>
          </cell>
        </row>
        <row r="2637">
          <cell r="B2637" t="str">
            <v>September</v>
          </cell>
          <cell r="D2637" t="str">
            <v>99-900</v>
          </cell>
          <cell r="G2637" t="str">
            <v>P</v>
          </cell>
        </row>
        <row r="2638">
          <cell r="B2638" t="str">
            <v>MONTH</v>
          </cell>
          <cell r="C2638" t="str">
            <v>REF</v>
          </cell>
          <cell r="D2638" t="str">
            <v>CSR</v>
          </cell>
          <cell r="E2638" t="str">
            <v>ITEM</v>
          </cell>
          <cell r="F2638" t="str">
            <v>AMOUNT</v>
          </cell>
          <cell r="G2638" t="str">
            <v>TRANSTYPE (P/C/X)</v>
          </cell>
        </row>
        <row r="2639">
          <cell r="B2639" t="str">
            <v>September</v>
          </cell>
          <cell r="D2639" t="str">
            <v>98-XXX</v>
          </cell>
          <cell r="G2639" t="str">
            <v>P</v>
          </cell>
        </row>
        <row r="2640">
          <cell r="B2640" t="str">
            <v>MONTH</v>
          </cell>
          <cell r="C2640" t="str">
            <v>REF</v>
          </cell>
          <cell r="D2640" t="str">
            <v>CSR</v>
          </cell>
          <cell r="E2640" t="str">
            <v>ITEM</v>
          </cell>
          <cell r="F2640" t="str">
            <v>AMOUNT</v>
          </cell>
          <cell r="G2640" t="str">
            <v>TRANSTYPE (P/C/X)</v>
          </cell>
        </row>
        <row r="2641">
          <cell r="B2641" t="str">
            <v>September</v>
          </cell>
          <cell r="D2641" t="str">
            <v>98-leased</v>
          </cell>
          <cell r="G2641" t="str">
            <v>P</v>
          </cell>
        </row>
        <row r="2642">
          <cell r="B2642" t="str">
            <v>MONTH</v>
          </cell>
          <cell r="C2642" t="str">
            <v>REF</v>
          </cell>
          <cell r="D2642" t="str">
            <v>CSR</v>
          </cell>
          <cell r="E2642" t="str">
            <v>ITEM</v>
          </cell>
          <cell r="F2642" t="str">
            <v>AMOUNT</v>
          </cell>
          <cell r="G2642" t="str">
            <v>TRANSTYPE (P/C/X)</v>
          </cell>
        </row>
        <row r="2643">
          <cell r="B2643" t="str">
            <v>September</v>
          </cell>
          <cell r="D2643" t="str">
            <v>99-001</v>
          </cell>
          <cell r="G2643" t="str">
            <v>P</v>
          </cell>
        </row>
        <row r="2644">
          <cell r="B2644" t="str">
            <v>MONTH</v>
          </cell>
          <cell r="C2644" t="str">
            <v>REF</v>
          </cell>
          <cell r="D2644" t="str">
            <v>CSR</v>
          </cell>
          <cell r="E2644" t="str">
            <v>ITEM</v>
          </cell>
          <cell r="F2644" t="str">
            <v>AMOUNT</v>
          </cell>
          <cell r="G2644" t="str">
            <v>TRANSTYPE (P/C/X)</v>
          </cell>
        </row>
        <row r="2645">
          <cell r="B2645" t="str">
            <v>September</v>
          </cell>
          <cell r="D2645" t="str">
            <v>99-002</v>
          </cell>
          <cell r="G2645" t="str">
            <v>P</v>
          </cell>
        </row>
        <row r="2646">
          <cell r="B2646" t="str">
            <v>MONTH</v>
          </cell>
          <cell r="C2646" t="str">
            <v>REF</v>
          </cell>
          <cell r="D2646" t="str">
            <v>CSR</v>
          </cell>
          <cell r="E2646" t="str">
            <v>ITEM</v>
          </cell>
          <cell r="F2646" t="str">
            <v>AMOUNT</v>
          </cell>
          <cell r="G2646" t="str">
            <v>TRANSTYPE (P/C/X)</v>
          </cell>
        </row>
        <row r="2647">
          <cell r="B2647" t="str">
            <v>September</v>
          </cell>
          <cell r="D2647" t="str">
            <v>99-003</v>
          </cell>
          <cell r="G2647" t="str">
            <v>P</v>
          </cell>
        </row>
        <row r="2648">
          <cell r="B2648" t="str">
            <v>MONTH</v>
          </cell>
          <cell r="C2648" t="str">
            <v>REF</v>
          </cell>
          <cell r="D2648" t="str">
            <v>CSR</v>
          </cell>
          <cell r="E2648" t="str">
            <v>ITEM</v>
          </cell>
          <cell r="F2648" t="str">
            <v>AMOUNT</v>
          </cell>
          <cell r="G2648" t="str">
            <v>TRANSTYPE (P/C/X)</v>
          </cell>
        </row>
        <row r="2649">
          <cell r="B2649" t="str">
            <v>September</v>
          </cell>
          <cell r="D2649" t="str">
            <v>99-004</v>
          </cell>
          <cell r="G2649" t="str">
            <v>P</v>
          </cell>
        </row>
        <row r="2650">
          <cell r="B2650" t="str">
            <v>MONTH</v>
          </cell>
          <cell r="C2650" t="str">
            <v>REF</v>
          </cell>
          <cell r="D2650" t="str">
            <v>CSR</v>
          </cell>
          <cell r="E2650" t="str">
            <v>ITEM</v>
          </cell>
          <cell r="F2650" t="str">
            <v>AMOUNT</v>
          </cell>
          <cell r="G2650" t="str">
            <v>TRANSTYPE (P/C/X)</v>
          </cell>
        </row>
        <row r="2651">
          <cell r="B2651" t="str">
            <v>September</v>
          </cell>
          <cell r="D2651" t="str">
            <v>99-005</v>
          </cell>
          <cell r="G2651" t="str">
            <v>P</v>
          </cell>
        </row>
        <row r="2652">
          <cell r="B2652" t="str">
            <v>MONTH</v>
          </cell>
          <cell r="C2652" t="str">
            <v>REF</v>
          </cell>
          <cell r="D2652" t="str">
            <v>CSR</v>
          </cell>
          <cell r="E2652" t="str">
            <v>ITEM</v>
          </cell>
          <cell r="F2652" t="str">
            <v>AMOUNT</v>
          </cell>
          <cell r="G2652" t="str">
            <v>TRANSTYPE (P/C/X)</v>
          </cell>
        </row>
        <row r="2653">
          <cell r="B2653" t="str">
            <v>September</v>
          </cell>
          <cell r="D2653" t="str">
            <v>99-006</v>
          </cell>
          <cell r="G2653" t="str">
            <v>P</v>
          </cell>
        </row>
        <row r="2654">
          <cell r="B2654" t="str">
            <v>MONTH</v>
          </cell>
          <cell r="C2654" t="str">
            <v>REF</v>
          </cell>
          <cell r="D2654" t="str">
            <v>CSR</v>
          </cell>
          <cell r="E2654" t="str">
            <v>ITEM</v>
          </cell>
          <cell r="F2654" t="str">
            <v>AMOUNT</v>
          </cell>
          <cell r="G2654" t="str">
            <v>TRANSTYPE (P/C/X)</v>
          </cell>
        </row>
        <row r="2655">
          <cell r="B2655" t="str">
            <v>September</v>
          </cell>
          <cell r="D2655" t="str">
            <v>99-007</v>
          </cell>
          <cell r="G2655" t="str">
            <v>P</v>
          </cell>
        </row>
        <row r="2656">
          <cell r="B2656" t="str">
            <v>MONTH</v>
          </cell>
          <cell r="C2656" t="str">
            <v>REF</v>
          </cell>
          <cell r="D2656" t="str">
            <v>CSR</v>
          </cell>
          <cell r="E2656" t="str">
            <v>ITEM</v>
          </cell>
          <cell r="F2656" t="str">
            <v>AMOUNT</v>
          </cell>
          <cell r="G2656" t="str">
            <v>TRANSTYPE (P/C/X)</v>
          </cell>
        </row>
        <row r="2657">
          <cell r="B2657" t="str">
            <v>September</v>
          </cell>
          <cell r="D2657" t="str">
            <v>99-008</v>
          </cell>
          <cell r="G2657" t="str">
            <v>P</v>
          </cell>
        </row>
        <row r="2658">
          <cell r="B2658" t="str">
            <v>MONTH</v>
          </cell>
          <cell r="C2658" t="str">
            <v>REF</v>
          </cell>
          <cell r="D2658" t="str">
            <v>CSR</v>
          </cell>
          <cell r="E2658" t="str">
            <v>ITEM</v>
          </cell>
          <cell r="F2658" t="str">
            <v>AMOUNT</v>
          </cell>
          <cell r="G2658" t="str">
            <v>TRANSTYPE (P/C/X)</v>
          </cell>
        </row>
        <row r="2659">
          <cell r="B2659" t="str">
            <v>September</v>
          </cell>
          <cell r="D2659" t="str">
            <v>99-009</v>
          </cell>
          <cell r="G2659" t="str">
            <v>P</v>
          </cell>
        </row>
        <row r="2660">
          <cell r="B2660" t="str">
            <v>MONTH</v>
          </cell>
          <cell r="C2660" t="str">
            <v>REF</v>
          </cell>
          <cell r="D2660" t="str">
            <v>CSR</v>
          </cell>
          <cell r="E2660" t="str">
            <v>ITEM</v>
          </cell>
          <cell r="F2660" t="str">
            <v>AMOUNT</v>
          </cell>
          <cell r="G2660" t="str">
            <v>TRANSTYPE (P/C/X)</v>
          </cell>
        </row>
        <row r="2661">
          <cell r="B2661" t="str">
            <v>September</v>
          </cell>
          <cell r="D2661" t="str">
            <v>99-010</v>
          </cell>
          <cell r="G2661" t="str">
            <v>P</v>
          </cell>
        </row>
        <row r="2662">
          <cell r="B2662" t="str">
            <v>MONTH</v>
          </cell>
          <cell r="C2662" t="str">
            <v>REF</v>
          </cell>
          <cell r="D2662" t="str">
            <v>CSR</v>
          </cell>
          <cell r="E2662" t="str">
            <v>ITEM</v>
          </cell>
          <cell r="F2662" t="str">
            <v>AMOUNT</v>
          </cell>
          <cell r="G2662" t="str">
            <v>TRANSTYPE (P/C/X)</v>
          </cell>
        </row>
        <row r="2663">
          <cell r="B2663" t="str">
            <v>September</v>
          </cell>
          <cell r="D2663" t="str">
            <v>99-011</v>
          </cell>
          <cell r="G2663" t="str">
            <v>P</v>
          </cell>
        </row>
        <row r="2664">
          <cell r="B2664" t="str">
            <v>MONTH</v>
          </cell>
          <cell r="C2664" t="str">
            <v>REF</v>
          </cell>
          <cell r="D2664" t="str">
            <v>CSR</v>
          </cell>
          <cell r="E2664" t="str">
            <v>ITEM</v>
          </cell>
          <cell r="F2664" t="str">
            <v>AMOUNT</v>
          </cell>
          <cell r="G2664" t="str">
            <v>TRANSTYPE (P/C/X)</v>
          </cell>
        </row>
        <row r="2665">
          <cell r="B2665" t="str">
            <v>September</v>
          </cell>
          <cell r="D2665" t="str">
            <v>99-012</v>
          </cell>
          <cell r="G2665" t="str">
            <v>P</v>
          </cell>
        </row>
        <row r="2666">
          <cell r="B2666" t="str">
            <v>MONTH</v>
          </cell>
          <cell r="C2666" t="str">
            <v>REF</v>
          </cell>
          <cell r="D2666" t="str">
            <v>CSR</v>
          </cell>
          <cell r="E2666" t="str">
            <v>ITEM</v>
          </cell>
          <cell r="F2666" t="str">
            <v>AMOUNT</v>
          </cell>
          <cell r="G2666" t="str">
            <v>TRANSTYPE (P/C/X)</v>
          </cell>
        </row>
        <row r="2667">
          <cell r="B2667" t="str">
            <v>September</v>
          </cell>
          <cell r="D2667" t="str">
            <v>99-013</v>
          </cell>
          <cell r="G2667" t="str">
            <v>P</v>
          </cell>
        </row>
        <row r="2668">
          <cell r="B2668" t="str">
            <v>MONTH</v>
          </cell>
          <cell r="C2668" t="str">
            <v>REF</v>
          </cell>
          <cell r="D2668" t="str">
            <v>CSR</v>
          </cell>
          <cell r="E2668" t="str">
            <v>ITEM</v>
          </cell>
          <cell r="F2668" t="str">
            <v>AMOUNT</v>
          </cell>
          <cell r="G2668" t="str">
            <v>TRANSTYPE (P/C/X)</v>
          </cell>
        </row>
        <row r="2669">
          <cell r="B2669" t="str">
            <v>September</v>
          </cell>
          <cell r="D2669" t="str">
            <v>99-014</v>
          </cell>
          <cell r="G2669" t="str">
            <v>P</v>
          </cell>
        </row>
        <row r="2670">
          <cell r="B2670" t="str">
            <v>MONTH</v>
          </cell>
          <cell r="C2670" t="str">
            <v>REF</v>
          </cell>
          <cell r="D2670" t="str">
            <v>CSR</v>
          </cell>
          <cell r="E2670" t="str">
            <v>ITEM</v>
          </cell>
          <cell r="F2670" t="str">
            <v>AMOUNT</v>
          </cell>
          <cell r="G2670" t="str">
            <v>TRANSTYPE (P/C/X)</v>
          </cell>
        </row>
        <row r="2671">
          <cell r="B2671" t="str">
            <v>September</v>
          </cell>
          <cell r="D2671" t="str">
            <v>99-015</v>
          </cell>
          <cell r="G2671" t="str">
            <v>P</v>
          </cell>
        </row>
        <row r="2672">
          <cell r="B2672" t="str">
            <v>MONTH</v>
          </cell>
          <cell r="C2672" t="str">
            <v>REF</v>
          </cell>
          <cell r="D2672" t="str">
            <v>CSR</v>
          </cell>
          <cell r="E2672" t="str">
            <v>ITEM</v>
          </cell>
          <cell r="F2672" t="str">
            <v>AMOUNT</v>
          </cell>
          <cell r="G2672" t="str">
            <v>TRANSTYPE (P/C/X)</v>
          </cell>
        </row>
        <row r="2673">
          <cell r="B2673" t="str">
            <v>September</v>
          </cell>
          <cell r="D2673" t="str">
            <v>99-016</v>
          </cell>
          <cell r="G2673" t="str">
            <v>P</v>
          </cell>
        </row>
        <row r="2674">
          <cell r="B2674" t="str">
            <v>MONTH</v>
          </cell>
          <cell r="C2674" t="str">
            <v>REF</v>
          </cell>
          <cell r="D2674" t="str">
            <v>CSR</v>
          </cell>
          <cell r="E2674" t="str">
            <v>ITEM</v>
          </cell>
          <cell r="F2674" t="str">
            <v>AMOUNT</v>
          </cell>
          <cell r="G2674" t="str">
            <v>TRANSTYPE (P/C/X)</v>
          </cell>
        </row>
        <row r="2675">
          <cell r="B2675" t="str">
            <v>September</v>
          </cell>
          <cell r="D2675" t="str">
            <v>99-017</v>
          </cell>
          <cell r="G2675" t="str">
            <v>P</v>
          </cell>
        </row>
        <row r="2676">
          <cell r="B2676" t="str">
            <v>MONTH</v>
          </cell>
          <cell r="C2676" t="str">
            <v>REF</v>
          </cell>
          <cell r="D2676" t="str">
            <v>CSR</v>
          </cell>
          <cell r="E2676" t="str">
            <v>ITEM</v>
          </cell>
          <cell r="F2676" t="str">
            <v>AMOUNT</v>
          </cell>
          <cell r="G2676" t="str">
            <v>TRANSTYPE (P/C/X)</v>
          </cell>
        </row>
        <row r="2677">
          <cell r="B2677" t="str">
            <v>September</v>
          </cell>
          <cell r="D2677" t="str">
            <v>99-018</v>
          </cell>
          <cell r="G2677" t="str">
            <v>P</v>
          </cell>
        </row>
        <row r="2678">
          <cell r="B2678" t="str">
            <v>MONTH</v>
          </cell>
          <cell r="C2678" t="str">
            <v>REF</v>
          </cell>
          <cell r="D2678" t="str">
            <v>CSR</v>
          </cell>
          <cell r="E2678" t="str">
            <v>ITEM</v>
          </cell>
          <cell r="F2678" t="str">
            <v>AMOUNT</v>
          </cell>
          <cell r="G2678" t="str">
            <v>TRANSTYPE (P/C/X)</v>
          </cell>
        </row>
        <row r="2679">
          <cell r="B2679" t="str">
            <v>September</v>
          </cell>
          <cell r="D2679" t="str">
            <v>99-019</v>
          </cell>
          <cell r="G2679" t="str">
            <v>P</v>
          </cell>
        </row>
        <row r="2680">
          <cell r="B2680" t="str">
            <v>MONTH</v>
          </cell>
          <cell r="C2680" t="str">
            <v>REF</v>
          </cell>
          <cell r="D2680" t="str">
            <v>CSR</v>
          </cell>
          <cell r="E2680" t="str">
            <v>ITEM</v>
          </cell>
          <cell r="F2680" t="str">
            <v>AMOUNT</v>
          </cell>
          <cell r="G2680" t="str">
            <v>TRANSTYPE (P/C/X)</v>
          </cell>
        </row>
        <row r="2681">
          <cell r="B2681" t="str">
            <v>September</v>
          </cell>
          <cell r="D2681" t="str">
            <v>99-020</v>
          </cell>
          <cell r="G2681" t="str">
            <v>P</v>
          </cell>
        </row>
        <row r="2682">
          <cell r="B2682" t="str">
            <v>MONTH</v>
          </cell>
          <cell r="C2682" t="str">
            <v>REF</v>
          </cell>
          <cell r="D2682" t="str">
            <v>CSR</v>
          </cell>
          <cell r="E2682" t="str">
            <v>ITEM</v>
          </cell>
          <cell r="F2682" t="str">
            <v>AMOUNT</v>
          </cell>
          <cell r="G2682" t="str">
            <v>TRANSTYPE (P/C/X)</v>
          </cell>
        </row>
        <row r="2683">
          <cell r="B2683" t="str">
            <v>September</v>
          </cell>
          <cell r="D2683" t="str">
            <v>99-021</v>
          </cell>
          <cell r="G2683" t="str">
            <v>P</v>
          </cell>
        </row>
        <row r="2684">
          <cell r="B2684" t="str">
            <v>MONTH</v>
          </cell>
          <cell r="C2684" t="str">
            <v>REF</v>
          </cell>
          <cell r="D2684" t="str">
            <v>CSR</v>
          </cell>
          <cell r="E2684" t="str">
            <v>ITEM</v>
          </cell>
          <cell r="F2684" t="str">
            <v>AMOUNT</v>
          </cell>
          <cell r="G2684" t="str">
            <v>TRANSTYPE (P/C/X)</v>
          </cell>
        </row>
        <row r="2685">
          <cell r="B2685" t="str">
            <v>September</v>
          </cell>
          <cell r="D2685" t="str">
            <v>99-022</v>
          </cell>
          <cell r="G2685" t="str">
            <v>P</v>
          </cell>
        </row>
        <row r="2686">
          <cell r="B2686" t="str">
            <v>MONTH</v>
          </cell>
          <cell r="C2686" t="str">
            <v>REF</v>
          </cell>
          <cell r="D2686" t="str">
            <v>CSR</v>
          </cell>
          <cell r="E2686" t="str">
            <v>ITEM</v>
          </cell>
          <cell r="F2686" t="str">
            <v>AMOUNT</v>
          </cell>
          <cell r="G2686" t="str">
            <v>TRANSTYPE (P/C/X)</v>
          </cell>
        </row>
        <row r="2687">
          <cell r="B2687" t="str">
            <v>September</v>
          </cell>
          <cell r="D2687" t="str">
            <v>99-023</v>
          </cell>
          <cell r="G2687" t="str">
            <v>P</v>
          </cell>
        </row>
        <row r="2688">
          <cell r="B2688" t="str">
            <v>MONTH</v>
          </cell>
          <cell r="C2688" t="str">
            <v>REF</v>
          </cell>
          <cell r="D2688" t="str">
            <v>CSR</v>
          </cell>
          <cell r="E2688" t="str">
            <v>ITEM</v>
          </cell>
          <cell r="F2688" t="str">
            <v>AMOUNT</v>
          </cell>
          <cell r="G2688" t="str">
            <v>TRANSTYPE (P/C/X)</v>
          </cell>
        </row>
        <row r="2689">
          <cell r="B2689" t="str">
            <v>September</v>
          </cell>
          <cell r="D2689" t="str">
            <v>99-024</v>
          </cell>
          <cell r="G2689" t="str">
            <v>P</v>
          </cell>
        </row>
        <row r="2690">
          <cell r="B2690" t="str">
            <v>MONTH</v>
          </cell>
          <cell r="C2690" t="str">
            <v>REF</v>
          </cell>
          <cell r="D2690" t="str">
            <v>CSR</v>
          </cell>
          <cell r="E2690" t="str">
            <v>ITEM</v>
          </cell>
          <cell r="F2690" t="str">
            <v>AMOUNT</v>
          </cell>
          <cell r="G2690" t="str">
            <v>TRANSTYPE (P/C/X)</v>
          </cell>
        </row>
        <row r="2691">
          <cell r="B2691" t="str">
            <v>September</v>
          </cell>
          <cell r="D2691" t="str">
            <v>99-025</v>
          </cell>
          <cell r="G2691" t="str">
            <v>P</v>
          </cell>
        </row>
        <row r="2692">
          <cell r="B2692" t="str">
            <v>MONTH</v>
          </cell>
          <cell r="C2692" t="str">
            <v>REF</v>
          </cell>
          <cell r="D2692" t="str">
            <v>CSR</v>
          </cell>
          <cell r="E2692" t="str">
            <v>ITEM</v>
          </cell>
          <cell r="F2692" t="str">
            <v>AMOUNT</v>
          </cell>
          <cell r="G2692" t="str">
            <v>TRANSTYPE (P/C/X)</v>
          </cell>
        </row>
        <row r="2693">
          <cell r="B2693" t="str">
            <v>September</v>
          </cell>
          <cell r="D2693" t="str">
            <v>99-026</v>
          </cell>
          <cell r="G2693" t="str">
            <v>P</v>
          </cell>
        </row>
        <row r="2694">
          <cell r="B2694" t="str">
            <v>MONTH</v>
          </cell>
          <cell r="C2694" t="str">
            <v>REF</v>
          </cell>
          <cell r="D2694" t="str">
            <v>CSR</v>
          </cell>
          <cell r="E2694" t="str">
            <v>ITEM</v>
          </cell>
          <cell r="F2694" t="str">
            <v>AMOUNT</v>
          </cell>
          <cell r="G2694" t="str">
            <v>TRANSTYPE (P/C/X)</v>
          </cell>
        </row>
        <row r="2695">
          <cell r="B2695" t="str">
            <v>September</v>
          </cell>
          <cell r="D2695" t="str">
            <v>99-027</v>
          </cell>
          <cell r="G2695" t="str">
            <v>P</v>
          </cell>
        </row>
        <row r="2696">
          <cell r="B2696" t="str">
            <v>MONTH</v>
          </cell>
          <cell r="C2696" t="str">
            <v>REF</v>
          </cell>
          <cell r="D2696" t="str">
            <v>CSR</v>
          </cell>
          <cell r="E2696" t="str">
            <v>ITEM</v>
          </cell>
          <cell r="F2696" t="str">
            <v>AMOUNT</v>
          </cell>
          <cell r="G2696" t="str">
            <v>TRANSTYPE (P/C/X)</v>
          </cell>
        </row>
        <row r="2697">
          <cell r="B2697" t="str">
            <v>September</v>
          </cell>
          <cell r="D2697" t="str">
            <v>99-028</v>
          </cell>
          <cell r="G2697" t="str">
            <v>P</v>
          </cell>
        </row>
        <row r="2698">
          <cell r="B2698" t="str">
            <v>MONTH</v>
          </cell>
          <cell r="C2698" t="str">
            <v>REF</v>
          </cell>
          <cell r="D2698" t="str">
            <v>CSR</v>
          </cell>
          <cell r="E2698" t="str">
            <v>ITEM</v>
          </cell>
          <cell r="F2698" t="str">
            <v>AMOUNT</v>
          </cell>
          <cell r="G2698" t="str">
            <v>TRANSTYPE (P/C/X)</v>
          </cell>
        </row>
        <row r="2699">
          <cell r="B2699" t="str">
            <v>September</v>
          </cell>
          <cell r="D2699" t="str">
            <v>99-029</v>
          </cell>
          <cell r="G2699" t="str">
            <v>P</v>
          </cell>
        </row>
        <row r="2700">
          <cell r="B2700" t="str">
            <v>MONTH</v>
          </cell>
          <cell r="C2700" t="str">
            <v>REF</v>
          </cell>
          <cell r="D2700" t="str">
            <v>CSR</v>
          </cell>
          <cell r="E2700" t="str">
            <v>ITEM</v>
          </cell>
          <cell r="F2700" t="str">
            <v>AMOUNT</v>
          </cell>
          <cell r="G2700" t="str">
            <v>TRANSTYPE (P/C/X)</v>
          </cell>
        </row>
        <row r="2701">
          <cell r="B2701" t="str">
            <v>September</v>
          </cell>
          <cell r="D2701" t="str">
            <v>99-030</v>
          </cell>
          <cell r="G2701" t="str">
            <v>P</v>
          </cell>
        </row>
        <row r="2702">
          <cell r="B2702" t="str">
            <v>MONTH</v>
          </cell>
          <cell r="C2702" t="str">
            <v>REF</v>
          </cell>
          <cell r="D2702" t="str">
            <v>CSR</v>
          </cell>
          <cell r="E2702" t="str">
            <v>ITEM</v>
          </cell>
          <cell r="F2702" t="str">
            <v>AMOUNT</v>
          </cell>
          <cell r="G2702" t="str">
            <v>TRANSTYPE (P/C/X)</v>
          </cell>
        </row>
        <row r="2703">
          <cell r="B2703" t="str">
            <v>September</v>
          </cell>
          <cell r="D2703" t="str">
            <v>99-031</v>
          </cell>
          <cell r="G2703" t="str">
            <v>P</v>
          </cell>
        </row>
        <row r="2704">
          <cell r="B2704" t="str">
            <v>MONTH</v>
          </cell>
          <cell r="C2704" t="str">
            <v>REF</v>
          </cell>
          <cell r="D2704" t="str">
            <v>CSR</v>
          </cell>
          <cell r="E2704" t="str">
            <v>ITEM</v>
          </cell>
          <cell r="F2704" t="str">
            <v>AMOUNT</v>
          </cell>
          <cell r="G2704" t="str">
            <v>TRANSTYPE (P/C/X)</v>
          </cell>
        </row>
        <row r="2705">
          <cell r="B2705" t="str">
            <v>September</v>
          </cell>
          <cell r="D2705" t="str">
            <v>99-032</v>
          </cell>
          <cell r="G2705" t="str">
            <v>P</v>
          </cell>
        </row>
        <row r="2706">
          <cell r="B2706" t="str">
            <v>MONTH</v>
          </cell>
          <cell r="C2706" t="str">
            <v>REF</v>
          </cell>
          <cell r="D2706" t="str">
            <v>CSR</v>
          </cell>
          <cell r="E2706" t="str">
            <v>ITEM</v>
          </cell>
          <cell r="F2706" t="str">
            <v>AMOUNT</v>
          </cell>
          <cell r="G2706" t="str">
            <v>TRANSTYPE (P/C/X)</v>
          </cell>
        </row>
        <row r="2707">
          <cell r="B2707" t="str">
            <v>September</v>
          </cell>
          <cell r="D2707" t="str">
            <v>99-033</v>
          </cell>
          <cell r="G2707" t="str">
            <v>P</v>
          </cell>
        </row>
        <row r="2708">
          <cell r="B2708" t="str">
            <v>MONTH</v>
          </cell>
          <cell r="C2708" t="str">
            <v>REF</v>
          </cell>
          <cell r="D2708" t="str">
            <v>CSR</v>
          </cell>
          <cell r="E2708" t="str">
            <v>ITEM</v>
          </cell>
          <cell r="F2708" t="str">
            <v>AMOUNT</v>
          </cell>
          <cell r="G2708" t="str">
            <v>TRANSTYPE (P/C/X)</v>
          </cell>
        </row>
        <row r="2709">
          <cell r="B2709" t="str">
            <v>September</v>
          </cell>
          <cell r="D2709" t="str">
            <v>99-034</v>
          </cell>
          <cell r="G2709" t="str">
            <v>P</v>
          </cell>
        </row>
        <row r="2710">
          <cell r="B2710" t="str">
            <v>MONTH</v>
          </cell>
          <cell r="C2710" t="str">
            <v>REF</v>
          </cell>
          <cell r="D2710" t="str">
            <v>CSR</v>
          </cell>
          <cell r="E2710" t="str">
            <v>ITEM</v>
          </cell>
          <cell r="F2710" t="str">
            <v>AMOUNT</v>
          </cell>
          <cell r="G2710" t="str">
            <v>TRANSTYPE (P/C/X)</v>
          </cell>
        </row>
        <row r="2711">
          <cell r="B2711" t="str">
            <v>September</v>
          </cell>
          <cell r="D2711" t="str">
            <v>99-035</v>
          </cell>
          <cell r="G2711" t="str">
            <v>P</v>
          </cell>
        </row>
        <row r="2712">
          <cell r="B2712" t="str">
            <v>MONTH</v>
          </cell>
          <cell r="C2712" t="str">
            <v>REF</v>
          </cell>
          <cell r="D2712" t="str">
            <v>CSR</v>
          </cell>
          <cell r="E2712" t="str">
            <v>ITEM</v>
          </cell>
          <cell r="F2712" t="str">
            <v>AMOUNT</v>
          </cell>
          <cell r="G2712" t="str">
            <v>TRANSTYPE (P/C/X)</v>
          </cell>
        </row>
        <row r="2713">
          <cell r="B2713" t="str">
            <v>September</v>
          </cell>
          <cell r="D2713" t="str">
            <v>99-036</v>
          </cell>
          <cell r="G2713" t="str">
            <v>P</v>
          </cell>
        </row>
        <row r="2714">
          <cell r="B2714" t="str">
            <v>MONTH</v>
          </cell>
          <cell r="C2714" t="str">
            <v>REF</v>
          </cell>
          <cell r="D2714" t="str">
            <v>CSR</v>
          </cell>
          <cell r="E2714" t="str">
            <v>ITEM</v>
          </cell>
          <cell r="F2714" t="str">
            <v>AMOUNT</v>
          </cell>
          <cell r="G2714" t="str">
            <v>TRANSTYPE (P/C/X)</v>
          </cell>
        </row>
        <row r="2715">
          <cell r="B2715" t="str">
            <v>September</v>
          </cell>
          <cell r="D2715" t="str">
            <v>99-037</v>
          </cell>
          <cell r="G2715" t="str">
            <v>P</v>
          </cell>
        </row>
        <row r="2716">
          <cell r="B2716" t="str">
            <v>MONTH</v>
          </cell>
          <cell r="C2716" t="str">
            <v>REF</v>
          </cell>
          <cell r="D2716" t="str">
            <v>CSR</v>
          </cell>
          <cell r="E2716" t="str">
            <v>ITEM</v>
          </cell>
          <cell r="F2716" t="str">
            <v>AMOUNT</v>
          </cell>
          <cell r="G2716" t="str">
            <v>TRANSTYPE (P/C/X)</v>
          </cell>
        </row>
        <row r="2717">
          <cell r="B2717" t="str">
            <v>September</v>
          </cell>
          <cell r="D2717" t="str">
            <v>99-038</v>
          </cell>
          <cell r="G2717" t="str">
            <v>P</v>
          </cell>
        </row>
        <row r="2718">
          <cell r="B2718" t="str">
            <v>MONTH</v>
          </cell>
          <cell r="C2718" t="str">
            <v>REF</v>
          </cell>
          <cell r="D2718" t="str">
            <v>CSR</v>
          </cell>
          <cell r="E2718" t="str">
            <v>ITEM</v>
          </cell>
          <cell r="F2718" t="str">
            <v>AMOUNT</v>
          </cell>
          <cell r="G2718" t="str">
            <v>TRANSTYPE (P/C/X)</v>
          </cell>
        </row>
        <row r="2719">
          <cell r="B2719" t="str">
            <v>September</v>
          </cell>
          <cell r="D2719" t="str">
            <v>99-039</v>
          </cell>
          <cell r="G2719" t="str">
            <v>P</v>
          </cell>
        </row>
        <row r="2720">
          <cell r="B2720" t="str">
            <v>MONTH</v>
          </cell>
          <cell r="C2720" t="str">
            <v>REF</v>
          </cell>
          <cell r="D2720" t="str">
            <v>CSR</v>
          </cell>
          <cell r="E2720" t="str">
            <v>ITEM</v>
          </cell>
          <cell r="F2720" t="str">
            <v>AMOUNT</v>
          </cell>
          <cell r="G2720" t="str">
            <v>TRANSTYPE (P/C/X)</v>
          </cell>
        </row>
        <row r="2721">
          <cell r="B2721" t="str">
            <v>September</v>
          </cell>
          <cell r="D2721" t="str">
            <v>99-040</v>
          </cell>
          <cell r="G2721" t="str">
            <v>P</v>
          </cell>
        </row>
        <row r="2722">
          <cell r="B2722" t="str">
            <v>MONTH</v>
          </cell>
          <cell r="C2722" t="str">
            <v>REF</v>
          </cell>
          <cell r="D2722" t="str">
            <v>CSR</v>
          </cell>
          <cell r="E2722" t="str">
            <v>ITEM</v>
          </cell>
          <cell r="F2722" t="str">
            <v>AMOUNT</v>
          </cell>
          <cell r="G2722" t="str">
            <v>TRANSTYPE (P/C/X)</v>
          </cell>
        </row>
        <row r="2723">
          <cell r="B2723" t="str">
            <v>September</v>
          </cell>
          <cell r="D2723" t="str">
            <v>99-041</v>
          </cell>
          <cell r="G2723" t="str">
            <v>P</v>
          </cell>
        </row>
        <row r="2724">
          <cell r="B2724" t="str">
            <v>MONTH</v>
          </cell>
          <cell r="C2724" t="str">
            <v>REF</v>
          </cell>
          <cell r="D2724" t="str">
            <v>CSR</v>
          </cell>
          <cell r="E2724" t="str">
            <v>ITEM</v>
          </cell>
          <cell r="F2724" t="str">
            <v>AMOUNT</v>
          </cell>
          <cell r="G2724" t="str">
            <v>TRANSTYPE (P/C/X)</v>
          </cell>
        </row>
        <row r="2725">
          <cell r="B2725" t="str">
            <v>September</v>
          </cell>
          <cell r="D2725" t="str">
            <v>99-042</v>
          </cell>
          <cell r="G2725" t="str">
            <v>P</v>
          </cell>
        </row>
        <row r="2726">
          <cell r="B2726" t="str">
            <v>MONTH</v>
          </cell>
          <cell r="C2726" t="str">
            <v>REF</v>
          </cell>
          <cell r="D2726" t="str">
            <v>CSR</v>
          </cell>
          <cell r="E2726" t="str">
            <v>ITEM</v>
          </cell>
          <cell r="F2726" t="str">
            <v>AMOUNT</v>
          </cell>
          <cell r="G2726" t="str">
            <v>TRANSTYPE (P/C/X)</v>
          </cell>
        </row>
        <row r="2727">
          <cell r="B2727" t="str">
            <v>September</v>
          </cell>
          <cell r="D2727" t="str">
            <v>99-043</v>
          </cell>
          <cell r="G2727" t="str">
            <v>P</v>
          </cell>
        </row>
        <row r="2728">
          <cell r="B2728" t="str">
            <v>MONTH</v>
          </cell>
          <cell r="C2728" t="str">
            <v>REF</v>
          </cell>
          <cell r="D2728" t="str">
            <v>CSR</v>
          </cell>
          <cell r="E2728" t="str">
            <v>ITEM</v>
          </cell>
          <cell r="F2728" t="str">
            <v>AMOUNT</v>
          </cell>
          <cell r="G2728" t="str">
            <v>TRANSTYPE (P/C/X)</v>
          </cell>
        </row>
        <row r="2729">
          <cell r="B2729" t="str">
            <v>September</v>
          </cell>
          <cell r="D2729" t="str">
            <v>99-044</v>
          </cell>
          <cell r="G2729" t="str">
            <v>P</v>
          </cell>
        </row>
        <row r="2730">
          <cell r="B2730" t="str">
            <v>MONTH</v>
          </cell>
          <cell r="C2730" t="str">
            <v>REF</v>
          </cell>
          <cell r="D2730" t="str">
            <v>CSR</v>
          </cell>
          <cell r="E2730" t="str">
            <v>ITEM</v>
          </cell>
          <cell r="F2730" t="str">
            <v>AMOUNT</v>
          </cell>
          <cell r="G2730" t="str">
            <v>TRANSTYPE (P/C/X)</v>
          </cell>
        </row>
        <row r="2731">
          <cell r="B2731" t="str">
            <v>September</v>
          </cell>
          <cell r="D2731" t="str">
            <v>99-046</v>
          </cell>
          <cell r="G2731" t="str">
            <v>P</v>
          </cell>
        </row>
        <row r="2732">
          <cell r="B2732" t="str">
            <v>MONTH</v>
          </cell>
          <cell r="C2732" t="str">
            <v>REF</v>
          </cell>
          <cell r="D2732" t="str">
            <v>CSR</v>
          </cell>
          <cell r="E2732" t="str">
            <v>ITEM</v>
          </cell>
          <cell r="F2732" t="str">
            <v>AMOUNT</v>
          </cell>
          <cell r="G2732" t="str">
            <v>TRANSTYPE (P/C/X)</v>
          </cell>
        </row>
        <row r="2733">
          <cell r="B2733" t="str">
            <v>September</v>
          </cell>
          <cell r="D2733" t="str">
            <v>99-047</v>
          </cell>
          <cell r="G2733" t="str">
            <v>P</v>
          </cell>
        </row>
        <row r="2734">
          <cell r="B2734" t="str">
            <v>MONTH</v>
          </cell>
          <cell r="C2734" t="str">
            <v>REF</v>
          </cell>
          <cell r="D2734" t="str">
            <v>CSR</v>
          </cell>
          <cell r="E2734" t="str">
            <v>ITEM</v>
          </cell>
          <cell r="F2734" t="str">
            <v>AMOUNT</v>
          </cell>
          <cell r="G2734" t="str">
            <v>TRANSTYPE (P/C/X)</v>
          </cell>
        </row>
        <row r="2735">
          <cell r="B2735" t="str">
            <v>September</v>
          </cell>
          <cell r="D2735" t="str">
            <v>99-048</v>
          </cell>
          <cell r="G2735" t="str">
            <v>P</v>
          </cell>
        </row>
        <row r="2736">
          <cell r="B2736" t="str">
            <v>MONTH</v>
          </cell>
          <cell r="C2736" t="str">
            <v>REF</v>
          </cell>
          <cell r="D2736" t="str">
            <v>CSR</v>
          </cell>
          <cell r="E2736" t="str">
            <v>ITEM</v>
          </cell>
          <cell r="F2736" t="str">
            <v>AMOUNT</v>
          </cell>
          <cell r="G2736" t="str">
            <v>TRANSTYPE (P/C/X)</v>
          </cell>
        </row>
        <row r="2737">
          <cell r="B2737" t="str">
            <v>September</v>
          </cell>
          <cell r="D2737" t="str">
            <v>99-049</v>
          </cell>
          <cell r="G2737" t="str">
            <v>P</v>
          </cell>
        </row>
        <row r="2738">
          <cell r="B2738" t="str">
            <v>MONTH</v>
          </cell>
          <cell r="C2738" t="str">
            <v>REF</v>
          </cell>
          <cell r="D2738" t="str">
            <v>CSR</v>
          </cell>
          <cell r="E2738" t="str">
            <v>ITEM</v>
          </cell>
          <cell r="F2738" t="str">
            <v>AMOUNT</v>
          </cell>
          <cell r="G2738" t="str">
            <v>TRANSTYPE (P/C/X)</v>
          </cell>
        </row>
        <row r="2739">
          <cell r="B2739" t="str">
            <v>September</v>
          </cell>
          <cell r="D2739" t="str">
            <v>99-050</v>
          </cell>
          <cell r="G2739" t="str">
            <v>P</v>
          </cell>
        </row>
        <row r="2740">
          <cell r="B2740" t="str">
            <v>MONTH</v>
          </cell>
          <cell r="C2740" t="str">
            <v>REF</v>
          </cell>
          <cell r="D2740" t="str">
            <v>CSR</v>
          </cell>
          <cell r="E2740" t="str">
            <v>ITEM</v>
          </cell>
          <cell r="F2740" t="str">
            <v>AMOUNT</v>
          </cell>
          <cell r="G2740" t="str">
            <v>TRANSTYPE (P/C/X)</v>
          </cell>
        </row>
        <row r="2741">
          <cell r="B2741" t="str">
            <v>September</v>
          </cell>
          <cell r="D2741" t="str">
            <v>99-052</v>
          </cell>
          <cell r="G2741" t="str">
            <v>P</v>
          </cell>
        </row>
        <row r="2742">
          <cell r="B2742" t="str">
            <v>MONTH</v>
          </cell>
          <cell r="C2742" t="str">
            <v>REF</v>
          </cell>
          <cell r="D2742" t="str">
            <v>CSR</v>
          </cell>
          <cell r="E2742" t="str">
            <v>ITEM</v>
          </cell>
          <cell r="F2742" t="str">
            <v>AMOUNT</v>
          </cell>
          <cell r="G2742" t="str">
            <v>TRANSTYPE (P/C/X)</v>
          </cell>
        </row>
        <row r="2743">
          <cell r="B2743" t="str">
            <v>September</v>
          </cell>
          <cell r="D2743" t="str">
            <v>99-053</v>
          </cell>
          <cell r="G2743" t="str">
            <v>P</v>
          </cell>
        </row>
        <row r="2744">
          <cell r="B2744" t="str">
            <v>MONTH</v>
          </cell>
          <cell r="C2744" t="str">
            <v>REF</v>
          </cell>
          <cell r="D2744" t="str">
            <v>CSR</v>
          </cell>
          <cell r="E2744" t="str">
            <v>ITEM</v>
          </cell>
          <cell r="F2744" t="str">
            <v>AMOUNT</v>
          </cell>
          <cell r="G2744" t="str">
            <v>TRANSTYPE (P/C/X)</v>
          </cell>
        </row>
        <row r="2745">
          <cell r="B2745" t="str">
            <v>September</v>
          </cell>
          <cell r="D2745" t="str">
            <v>99-054</v>
          </cell>
          <cell r="G2745" t="str">
            <v>P</v>
          </cell>
        </row>
        <row r="2746">
          <cell r="B2746" t="str">
            <v>MONTH</v>
          </cell>
          <cell r="C2746" t="str">
            <v>REF</v>
          </cell>
          <cell r="D2746" t="str">
            <v>CSR</v>
          </cell>
          <cell r="E2746" t="str">
            <v>ITEM</v>
          </cell>
          <cell r="F2746" t="str">
            <v>AMOUNT</v>
          </cell>
          <cell r="G2746" t="str">
            <v>TRANSTYPE (P/C/X)</v>
          </cell>
        </row>
        <row r="2747">
          <cell r="B2747" t="str">
            <v>September</v>
          </cell>
          <cell r="D2747" t="str">
            <v>99-055</v>
          </cell>
          <cell r="G2747" t="str">
            <v>P</v>
          </cell>
        </row>
        <row r="2748">
          <cell r="B2748" t="str">
            <v>MONTH</v>
          </cell>
          <cell r="C2748" t="str">
            <v>REF</v>
          </cell>
          <cell r="D2748" t="str">
            <v>CSR</v>
          </cell>
          <cell r="E2748" t="str">
            <v>ITEM</v>
          </cell>
          <cell r="F2748" t="str">
            <v>AMOUNT</v>
          </cell>
          <cell r="G2748" t="str">
            <v>TRANSTYPE (P/C/X)</v>
          </cell>
        </row>
        <row r="2749">
          <cell r="B2749" t="str">
            <v>September</v>
          </cell>
          <cell r="D2749" t="str">
            <v>99-057</v>
          </cell>
          <cell r="G2749" t="str">
            <v>P</v>
          </cell>
        </row>
        <row r="2750">
          <cell r="B2750" t="str">
            <v>MONTH</v>
          </cell>
          <cell r="C2750" t="str">
            <v>REF</v>
          </cell>
          <cell r="D2750" t="str">
            <v>CSR</v>
          </cell>
          <cell r="E2750" t="str">
            <v>ITEM</v>
          </cell>
          <cell r="F2750" t="str">
            <v>AMOUNT</v>
          </cell>
          <cell r="G2750" t="str">
            <v>TRANSTYPE (P/C/X)</v>
          </cell>
        </row>
        <row r="2751">
          <cell r="B2751" t="str">
            <v>September</v>
          </cell>
          <cell r="D2751" t="str">
            <v>99-058</v>
          </cell>
          <cell r="G2751" t="str">
            <v>P</v>
          </cell>
        </row>
        <row r="2752">
          <cell r="B2752" t="str">
            <v>MONTH</v>
          </cell>
          <cell r="C2752" t="str">
            <v>REF</v>
          </cell>
          <cell r="D2752" t="str">
            <v>CSR</v>
          </cell>
          <cell r="E2752" t="str">
            <v>ITEM</v>
          </cell>
          <cell r="F2752" t="str">
            <v>AMOUNT</v>
          </cell>
          <cell r="G2752" t="str">
            <v>TRANSTYPE (P/C/X)</v>
          </cell>
        </row>
        <row r="2753">
          <cell r="B2753" t="str">
            <v>September</v>
          </cell>
          <cell r="D2753" t="str">
            <v>99-059</v>
          </cell>
          <cell r="G2753" t="str">
            <v>P</v>
          </cell>
        </row>
        <row r="2754">
          <cell r="B2754" t="str">
            <v>MONTH</v>
          </cell>
          <cell r="C2754" t="str">
            <v>REF</v>
          </cell>
          <cell r="D2754" t="str">
            <v>CSR</v>
          </cell>
          <cell r="E2754" t="str">
            <v>ITEM</v>
          </cell>
          <cell r="F2754" t="str">
            <v>AMOUNT</v>
          </cell>
          <cell r="G2754" t="str">
            <v>TRANSTYPE (P/C/X)</v>
          </cell>
        </row>
        <row r="2755">
          <cell r="B2755" t="str">
            <v>September</v>
          </cell>
          <cell r="D2755" t="str">
            <v>99-060</v>
          </cell>
          <cell r="G2755" t="str">
            <v>P</v>
          </cell>
        </row>
        <row r="2756">
          <cell r="B2756" t="str">
            <v>MONTH</v>
          </cell>
          <cell r="C2756" t="str">
            <v>REF</v>
          </cell>
          <cell r="D2756" t="str">
            <v>CSR</v>
          </cell>
          <cell r="E2756" t="str">
            <v>ITEM</v>
          </cell>
          <cell r="F2756" t="str">
            <v>AMOUNT</v>
          </cell>
          <cell r="G2756" t="str">
            <v>TRANSTYPE (P/C/X)</v>
          </cell>
        </row>
        <row r="2757">
          <cell r="B2757" t="str">
            <v>September</v>
          </cell>
          <cell r="D2757" t="str">
            <v>99-061</v>
          </cell>
          <cell r="G2757" t="str">
            <v>P</v>
          </cell>
        </row>
        <row r="2758">
          <cell r="B2758" t="str">
            <v>MONTH</v>
          </cell>
          <cell r="C2758" t="str">
            <v>REF</v>
          </cell>
          <cell r="D2758" t="str">
            <v>CSR</v>
          </cell>
          <cell r="E2758" t="str">
            <v>ITEM</v>
          </cell>
          <cell r="F2758" t="str">
            <v>AMOUNT</v>
          </cell>
          <cell r="G2758" t="str">
            <v>TRANSTYPE (P/C/X)</v>
          </cell>
        </row>
        <row r="2759">
          <cell r="B2759" t="str">
            <v>September</v>
          </cell>
          <cell r="D2759" t="str">
            <v>99-062</v>
          </cell>
          <cell r="G2759" t="str">
            <v>P</v>
          </cell>
        </row>
        <row r="2760">
          <cell r="B2760" t="str">
            <v>MONTH</v>
          </cell>
          <cell r="C2760" t="str">
            <v>REF</v>
          </cell>
          <cell r="D2760" t="str">
            <v>CSR</v>
          </cell>
          <cell r="E2760" t="str">
            <v>ITEM</v>
          </cell>
          <cell r="F2760" t="str">
            <v>AMOUNT</v>
          </cell>
          <cell r="G2760" t="str">
            <v>TRANSTYPE (P/C/X)</v>
          </cell>
        </row>
        <row r="2761">
          <cell r="B2761" t="str">
            <v>September</v>
          </cell>
          <cell r="D2761" t="str">
            <v>99-063</v>
          </cell>
          <cell r="G2761" t="str">
            <v>P</v>
          </cell>
        </row>
        <row r="2762">
          <cell r="B2762" t="str">
            <v>MONTH</v>
          </cell>
          <cell r="C2762" t="str">
            <v>REF</v>
          </cell>
          <cell r="D2762" t="str">
            <v>CSR</v>
          </cell>
          <cell r="E2762" t="str">
            <v>ITEM</v>
          </cell>
          <cell r="F2762" t="str">
            <v>AMOUNT</v>
          </cell>
          <cell r="G2762" t="str">
            <v>TRANSTYPE (P/C/X)</v>
          </cell>
        </row>
        <row r="2763">
          <cell r="B2763" t="str">
            <v>September</v>
          </cell>
          <cell r="D2763" t="str">
            <v>99-064</v>
          </cell>
          <cell r="G2763" t="str">
            <v>P</v>
          </cell>
        </row>
        <row r="2764">
          <cell r="B2764" t="str">
            <v>MONTH</v>
          </cell>
          <cell r="C2764" t="str">
            <v>REF</v>
          </cell>
          <cell r="D2764" t="str">
            <v>CSR</v>
          </cell>
          <cell r="E2764" t="str">
            <v>ITEM</v>
          </cell>
          <cell r="F2764" t="str">
            <v>AMOUNT</v>
          </cell>
          <cell r="G2764" t="str">
            <v>TRANSTYPE (P/C/X)</v>
          </cell>
        </row>
        <row r="2765">
          <cell r="B2765" t="str">
            <v>September</v>
          </cell>
          <cell r="D2765" t="str">
            <v>99-066</v>
          </cell>
          <cell r="G2765" t="str">
            <v>P</v>
          </cell>
        </row>
        <row r="2766">
          <cell r="B2766" t="str">
            <v>MONTH</v>
          </cell>
          <cell r="C2766" t="str">
            <v>REF</v>
          </cell>
          <cell r="D2766" t="str">
            <v>CSR</v>
          </cell>
          <cell r="E2766" t="str">
            <v>ITEM</v>
          </cell>
          <cell r="F2766" t="str">
            <v>AMOUNT</v>
          </cell>
          <cell r="G2766" t="str">
            <v>TRANSTYPE (P/C/X)</v>
          </cell>
        </row>
        <row r="2767">
          <cell r="B2767" t="str">
            <v>September</v>
          </cell>
          <cell r="D2767" t="str">
            <v>99-067</v>
          </cell>
          <cell r="G2767" t="str">
            <v>P</v>
          </cell>
        </row>
        <row r="2768">
          <cell r="B2768" t="str">
            <v>MONTH</v>
          </cell>
          <cell r="C2768" t="str">
            <v>REF</v>
          </cell>
          <cell r="D2768" t="str">
            <v>CSR</v>
          </cell>
          <cell r="E2768" t="str">
            <v>ITEM</v>
          </cell>
          <cell r="F2768" t="str">
            <v>AMOUNT</v>
          </cell>
          <cell r="G2768" t="str">
            <v>TRANSTYPE (P/C/X)</v>
          </cell>
        </row>
        <row r="2769">
          <cell r="B2769" t="str">
            <v>September</v>
          </cell>
          <cell r="D2769" t="str">
            <v>99-068</v>
          </cell>
          <cell r="G2769" t="str">
            <v>P</v>
          </cell>
        </row>
        <row r="2770">
          <cell r="B2770" t="str">
            <v>MONTH</v>
          </cell>
          <cell r="C2770" t="str">
            <v>REF</v>
          </cell>
          <cell r="D2770" t="str">
            <v>CSR</v>
          </cell>
          <cell r="E2770" t="str">
            <v>ITEM</v>
          </cell>
          <cell r="F2770" t="str">
            <v>AMOUNT</v>
          </cell>
          <cell r="G2770" t="str">
            <v>TRANSTYPE (P/C/X)</v>
          </cell>
        </row>
        <row r="2771">
          <cell r="B2771" t="str">
            <v>September</v>
          </cell>
          <cell r="D2771" t="str">
            <v>99-069</v>
          </cell>
          <cell r="G2771" t="str">
            <v>P</v>
          </cell>
        </row>
        <row r="2772">
          <cell r="B2772" t="str">
            <v>MONTH</v>
          </cell>
          <cell r="C2772" t="str">
            <v>REF</v>
          </cell>
          <cell r="D2772" t="str">
            <v>CSR</v>
          </cell>
          <cell r="E2772" t="str">
            <v>ITEM</v>
          </cell>
          <cell r="F2772" t="str">
            <v>AMOUNT</v>
          </cell>
          <cell r="G2772" t="str">
            <v>TRANSTYPE (P/C/X)</v>
          </cell>
        </row>
        <row r="2773">
          <cell r="B2773" t="str">
            <v>September</v>
          </cell>
          <cell r="D2773" t="str">
            <v>99-070</v>
          </cell>
          <cell r="G2773" t="str">
            <v>P</v>
          </cell>
        </row>
        <row r="2774">
          <cell r="B2774" t="str">
            <v>MONTH</v>
          </cell>
          <cell r="C2774" t="str">
            <v>REF</v>
          </cell>
          <cell r="D2774" t="str">
            <v>CSR</v>
          </cell>
          <cell r="E2774" t="str">
            <v>ITEM</v>
          </cell>
          <cell r="F2774" t="str">
            <v>AMOUNT</v>
          </cell>
          <cell r="G2774" t="str">
            <v>TRANSTYPE (P/C/X)</v>
          </cell>
        </row>
        <row r="2775">
          <cell r="B2775" t="str">
            <v>September</v>
          </cell>
          <cell r="D2775" t="str">
            <v>99-071</v>
          </cell>
          <cell r="G2775" t="str">
            <v>P</v>
          </cell>
        </row>
        <row r="2776">
          <cell r="B2776" t="str">
            <v>MONTH</v>
          </cell>
          <cell r="C2776" t="str">
            <v>REF</v>
          </cell>
          <cell r="D2776" t="str">
            <v>CSR</v>
          </cell>
          <cell r="E2776" t="str">
            <v>ITEM</v>
          </cell>
          <cell r="F2776" t="str">
            <v>AMOUNT</v>
          </cell>
          <cell r="G2776" t="str">
            <v>TRANSTYPE (P/C/X)</v>
          </cell>
        </row>
        <row r="2777">
          <cell r="B2777" t="str">
            <v>September</v>
          </cell>
          <cell r="D2777" t="str">
            <v>99-072</v>
          </cell>
          <cell r="G2777" t="str">
            <v>P</v>
          </cell>
        </row>
        <row r="2778">
          <cell r="B2778" t="str">
            <v>MONTH</v>
          </cell>
          <cell r="C2778" t="str">
            <v>REF</v>
          </cell>
          <cell r="D2778" t="str">
            <v>CSR</v>
          </cell>
          <cell r="E2778" t="str">
            <v>ITEM</v>
          </cell>
          <cell r="F2778" t="str">
            <v>AMOUNT</v>
          </cell>
          <cell r="G2778" t="str">
            <v>TRANSTYPE (P/C/X)</v>
          </cell>
        </row>
        <row r="2779">
          <cell r="B2779" t="str">
            <v>September</v>
          </cell>
          <cell r="D2779" t="str">
            <v>99-073</v>
          </cell>
          <cell r="G2779" t="str">
            <v>P</v>
          </cell>
        </row>
        <row r="2780">
          <cell r="B2780" t="str">
            <v>MONTH</v>
          </cell>
          <cell r="C2780" t="str">
            <v>REF</v>
          </cell>
          <cell r="D2780" t="str">
            <v>CSR</v>
          </cell>
          <cell r="E2780" t="str">
            <v>ITEM</v>
          </cell>
          <cell r="F2780" t="str">
            <v>AMOUNT</v>
          </cell>
          <cell r="G2780" t="str">
            <v>TRANSTYPE (P/C/X)</v>
          </cell>
        </row>
        <row r="2781">
          <cell r="B2781" t="str">
            <v>September</v>
          </cell>
          <cell r="D2781" t="str">
            <v>99-074</v>
          </cell>
          <cell r="G2781" t="str">
            <v>P</v>
          </cell>
        </row>
        <row r="2782">
          <cell r="B2782" t="str">
            <v>MONTH</v>
          </cell>
          <cell r="C2782" t="str">
            <v>REF</v>
          </cell>
          <cell r="D2782" t="str">
            <v>CSR</v>
          </cell>
          <cell r="E2782" t="str">
            <v>ITEM</v>
          </cell>
          <cell r="F2782" t="str">
            <v>AMOUNT</v>
          </cell>
          <cell r="G2782" t="str">
            <v>TRANSTYPE (P/C/X)</v>
          </cell>
        </row>
        <row r="2783">
          <cell r="B2783" t="str">
            <v>September</v>
          </cell>
          <cell r="D2783" t="str">
            <v>99-075</v>
          </cell>
          <cell r="G2783" t="str">
            <v>P</v>
          </cell>
        </row>
        <row r="2784">
          <cell r="B2784" t="str">
            <v>MONTH</v>
          </cell>
          <cell r="C2784" t="str">
            <v>REF</v>
          </cell>
          <cell r="D2784" t="str">
            <v>CSR</v>
          </cell>
          <cell r="E2784" t="str">
            <v>ITEM</v>
          </cell>
          <cell r="F2784" t="str">
            <v>AMOUNT</v>
          </cell>
          <cell r="G2784" t="str">
            <v>TRANSTYPE (P/C/X)</v>
          </cell>
        </row>
        <row r="2785">
          <cell r="B2785" t="str">
            <v>September</v>
          </cell>
          <cell r="D2785" t="str">
            <v>99-076</v>
          </cell>
          <cell r="G2785" t="str">
            <v>P</v>
          </cell>
        </row>
        <row r="2786">
          <cell r="B2786" t="str">
            <v>MONTH</v>
          </cell>
          <cell r="C2786" t="str">
            <v>REF</v>
          </cell>
          <cell r="D2786" t="str">
            <v>CSR</v>
          </cell>
          <cell r="E2786" t="str">
            <v>ITEM</v>
          </cell>
          <cell r="F2786" t="str">
            <v>AMOUNT</v>
          </cell>
          <cell r="G2786" t="str">
            <v>TRANSTYPE (P/C/X)</v>
          </cell>
        </row>
        <row r="2787">
          <cell r="B2787" t="str">
            <v>September</v>
          </cell>
          <cell r="D2787" t="str">
            <v>99-077</v>
          </cell>
          <cell r="G2787" t="str">
            <v>P</v>
          </cell>
        </row>
        <row r="2788">
          <cell r="B2788" t="str">
            <v>MONTH</v>
          </cell>
          <cell r="C2788" t="str">
            <v>REF</v>
          </cell>
          <cell r="D2788" t="str">
            <v>CSR</v>
          </cell>
          <cell r="E2788" t="str">
            <v>ITEM</v>
          </cell>
          <cell r="F2788" t="str">
            <v>AMOUNT</v>
          </cell>
          <cell r="G2788" t="str">
            <v>TRANSTYPE (P/C/X)</v>
          </cell>
        </row>
        <row r="2789">
          <cell r="B2789" t="str">
            <v>September</v>
          </cell>
          <cell r="D2789" t="str">
            <v>99-078</v>
          </cell>
          <cell r="G2789" t="str">
            <v>P</v>
          </cell>
        </row>
        <row r="2790">
          <cell r="B2790" t="str">
            <v>MONTH</v>
          </cell>
          <cell r="C2790" t="str">
            <v>REF</v>
          </cell>
          <cell r="D2790" t="str">
            <v>CSR</v>
          </cell>
          <cell r="E2790" t="str">
            <v>ITEM</v>
          </cell>
          <cell r="F2790" t="str">
            <v>AMOUNT</v>
          </cell>
          <cell r="G2790" t="str">
            <v>TRANSTYPE (P/C/X)</v>
          </cell>
        </row>
        <row r="2791">
          <cell r="B2791" t="str">
            <v>September</v>
          </cell>
          <cell r="D2791" t="str">
            <v>99-079</v>
          </cell>
          <cell r="G2791" t="str">
            <v>P</v>
          </cell>
        </row>
        <row r="2792">
          <cell r="B2792" t="str">
            <v>MONTH</v>
          </cell>
          <cell r="C2792" t="str">
            <v>REF</v>
          </cell>
          <cell r="D2792" t="str">
            <v>CSR</v>
          </cell>
          <cell r="E2792" t="str">
            <v>ITEM</v>
          </cell>
          <cell r="F2792" t="str">
            <v>AMOUNT</v>
          </cell>
          <cell r="G2792" t="str">
            <v>TRANSTYPE (P/C/X)</v>
          </cell>
        </row>
        <row r="2793">
          <cell r="B2793" t="str">
            <v>September</v>
          </cell>
          <cell r="D2793" t="str">
            <v>99-080</v>
          </cell>
          <cell r="G2793" t="str">
            <v>P</v>
          </cell>
        </row>
        <row r="2794">
          <cell r="B2794" t="str">
            <v>MONTH</v>
          </cell>
          <cell r="C2794" t="str">
            <v>REF</v>
          </cell>
          <cell r="D2794" t="str">
            <v>CSR</v>
          </cell>
          <cell r="E2794" t="str">
            <v>ITEM</v>
          </cell>
          <cell r="F2794" t="str">
            <v>AMOUNT</v>
          </cell>
          <cell r="G2794" t="str">
            <v>TRANSTYPE (P/C/X)</v>
          </cell>
        </row>
        <row r="2795">
          <cell r="B2795" t="str">
            <v>September</v>
          </cell>
          <cell r="D2795" t="str">
            <v>99-081</v>
          </cell>
          <cell r="G2795" t="str">
            <v>P</v>
          </cell>
        </row>
        <row r="2796">
          <cell r="B2796" t="str">
            <v>MONTH</v>
          </cell>
          <cell r="C2796" t="str">
            <v>REF</v>
          </cell>
          <cell r="D2796" t="str">
            <v>CSR</v>
          </cell>
          <cell r="E2796" t="str">
            <v>ITEM</v>
          </cell>
          <cell r="F2796" t="str">
            <v>AMOUNT</v>
          </cell>
          <cell r="G2796" t="str">
            <v>TRANSTYPE (P/C/X)</v>
          </cell>
        </row>
        <row r="2797">
          <cell r="B2797" t="str">
            <v>September</v>
          </cell>
          <cell r="D2797" t="str">
            <v>99-082</v>
          </cell>
          <cell r="G2797" t="str">
            <v>P</v>
          </cell>
        </row>
        <row r="2798">
          <cell r="B2798" t="str">
            <v>MONTH</v>
          </cell>
          <cell r="C2798" t="str">
            <v>REF</v>
          </cell>
          <cell r="D2798" t="str">
            <v>CSR</v>
          </cell>
          <cell r="E2798" t="str">
            <v>ITEM</v>
          </cell>
          <cell r="F2798" t="str">
            <v>AMOUNT</v>
          </cell>
          <cell r="G2798" t="str">
            <v>TRANSTYPE (P/C/X)</v>
          </cell>
        </row>
        <row r="2799">
          <cell r="B2799" t="str">
            <v>September</v>
          </cell>
          <cell r="D2799" t="str">
            <v>99-083</v>
          </cell>
          <cell r="G2799" t="str">
            <v>P</v>
          </cell>
        </row>
        <row r="2800">
          <cell r="B2800" t="str">
            <v>MONTH</v>
          </cell>
          <cell r="C2800" t="str">
            <v>REF</v>
          </cell>
          <cell r="D2800" t="str">
            <v>CSR</v>
          </cell>
          <cell r="E2800" t="str">
            <v>ITEM</v>
          </cell>
          <cell r="F2800" t="str">
            <v>AMOUNT</v>
          </cell>
          <cell r="G2800" t="str">
            <v>TRANSTYPE (P/C/X)</v>
          </cell>
        </row>
        <row r="2801">
          <cell r="B2801" t="str">
            <v>September</v>
          </cell>
          <cell r="D2801" t="str">
            <v>99-084</v>
          </cell>
          <cell r="G2801" t="str">
            <v>P</v>
          </cell>
        </row>
        <row r="2802">
          <cell r="B2802" t="str">
            <v>MONTH</v>
          </cell>
          <cell r="C2802" t="str">
            <v>REF</v>
          </cell>
          <cell r="D2802" t="str">
            <v>CSR</v>
          </cell>
          <cell r="E2802" t="str">
            <v>ITEM</v>
          </cell>
          <cell r="F2802" t="str">
            <v>AMOUNT</v>
          </cell>
          <cell r="G2802" t="str">
            <v>TRANSTYPE (P/C/X)</v>
          </cell>
        </row>
        <row r="2803">
          <cell r="B2803" t="str">
            <v>September</v>
          </cell>
          <cell r="D2803" t="str">
            <v>99-085</v>
          </cell>
          <cell r="G2803" t="str">
            <v>P</v>
          </cell>
        </row>
        <row r="2804">
          <cell r="B2804" t="str">
            <v>MONTH</v>
          </cell>
          <cell r="C2804" t="str">
            <v>REF</v>
          </cell>
          <cell r="D2804" t="str">
            <v>CSR</v>
          </cell>
          <cell r="E2804" t="str">
            <v>ITEM</v>
          </cell>
          <cell r="F2804" t="str">
            <v>AMOUNT</v>
          </cell>
          <cell r="G2804" t="str">
            <v>TRANSTYPE (P/C/X)</v>
          </cell>
        </row>
        <row r="2805">
          <cell r="B2805" t="str">
            <v>September</v>
          </cell>
          <cell r="D2805" t="str">
            <v>99-086</v>
          </cell>
          <cell r="G2805" t="str">
            <v>P</v>
          </cell>
        </row>
        <row r="2806">
          <cell r="B2806" t="str">
            <v>MONTH</v>
          </cell>
          <cell r="C2806" t="str">
            <v>REF</v>
          </cell>
          <cell r="D2806" t="str">
            <v>CSR</v>
          </cell>
          <cell r="E2806" t="str">
            <v>ITEM</v>
          </cell>
          <cell r="F2806" t="str">
            <v>AMOUNT</v>
          </cell>
          <cell r="G2806" t="str">
            <v>TRANSTYPE (P/C/X)</v>
          </cell>
        </row>
        <row r="2807">
          <cell r="B2807" t="str">
            <v>September</v>
          </cell>
          <cell r="D2807" t="str">
            <v>99-087</v>
          </cell>
          <cell r="G2807" t="str">
            <v>P</v>
          </cell>
        </row>
        <row r="2808">
          <cell r="B2808" t="str">
            <v>MONTH</v>
          </cell>
          <cell r="C2808" t="str">
            <v>REF</v>
          </cell>
          <cell r="D2808" t="str">
            <v>CSR</v>
          </cell>
          <cell r="E2808" t="str">
            <v>ITEM</v>
          </cell>
          <cell r="F2808" t="str">
            <v>AMOUNT</v>
          </cell>
          <cell r="G2808" t="str">
            <v>TRANSTYPE (P/C/X)</v>
          </cell>
        </row>
        <row r="2809">
          <cell r="B2809" t="str">
            <v>September</v>
          </cell>
          <cell r="D2809" t="str">
            <v>99-089</v>
          </cell>
          <cell r="G2809" t="str">
            <v>P</v>
          </cell>
        </row>
        <row r="2810">
          <cell r="B2810" t="str">
            <v>MONTH</v>
          </cell>
          <cell r="C2810" t="str">
            <v>REF</v>
          </cell>
          <cell r="D2810" t="str">
            <v>CSR</v>
          </cell>
          <cell r="E2810" t="str">
            <v>ITEM</v>
          </cell>
          <cell r="F2810" t="str">
            <v>AMOUNT</v>
          </cell>
          <cell r="G2810" t="str">
            <v>TRANSTYPE (P/C/X)</v>
          </cell>
        </row>
        <row r="2811">
          <cell r="B2811" t="str">
            <v>September</v>
          </cell>
          <cell r="D2811" t="str">
            <v>99-090</v>
          </cell>
          <cell r="G2811" t="str">
            <v>P</v>
          </cell>
        </row>
        <row r="2812">
          <cell r="B2812" t="str">
            <v>MONTH</v>
          </cell>
          <cell r="C2812" t="str">
            <v>REF</v>
          </cell>
          <cell r="D2812" t="str">
            <v>CSR</v>
          </cell>
          <cell r="E2812" t="str">
            <v>ITEM</v>
          </cell>
          <cell r="F2812" t="str">
            <v>AMOUNT</v>
          </cell>
          <cell r="G2812" t="str">
            <v>TRANSTYPE (P/C/X)</v>
          </cell>
        </row>
        <row r="2813">
          <cell r="B2813" t="str">
            <v>September</v>
          </cell>
          <cell r="D2813" t="str">
            <v>99-091</v>
          </cell>
          <cell r="G2813" t="str">
            <v>P</v>
          </cell>
        </row>
        <row r="2814">
          <cell r="B2814" t="str">
            <v>MONTH</v>
          </cell>
          <cell r="C2814" t="str">
            <v>REF</v>
          </cell>
          <cell r="D2814" t="str">
            <v>CSR</v>
          </cell>
          <cell r="E2814" t="str">
            <v>ITEM</v>
          </cell>
          <cell r="F2814" t="str">
            <v>AMOUNT</v>
          </cell>
          <cell r="G2814" t="str">
            <v>TRANSTYPE (P/C/X)</v>
          </cell>
        </row>
        <row r="2815">
          <cell r="B2815" t="str">
            <v>September</v>
          </cell>
          <cell r="D2815" t="str">
            <v>99-092</v>
          </cell>
          <cell r="G2815" t="str">
            <v>P</v>
          </cell>
        </row>
        <row r="2816">
          <cell r="B2816" t="str">
            <v>MONTH</v>
          </cell>
          <cell r="C2816" t="str">
            <v>REF</v>
          </cell>
          <cell r="D2816" t="str">
            <v>CSR</v>
          </cell>
          <cell r="E2816" t="str">
            <v>ITEM</v>
          </cell>
          <cell r="F2816" t="str">
            <v>AMOUNT</v>
          </cell>
          <cell r="G2816" t="str">
            <v>TRANSTYPE (P/C/X)</v>
          </cell>
        </row>
        <row r="2817">
          <cell r="B2817" t="str">
            <v>September</v>
          </cell>
          <cell r="D2817" t="str">
            <v>99-093</v>
          </cell>
          <cell r="G2817" t="str">
            <v>P</v>
          </cell>
        </row>
        <row r="2818">
          <cell r="B2818" t="str">
            <v>MONTH</v>
          </cell>
          <cell r="C2818" t="str">
            <v>REF</v>
          </cell>
          <cell r="D2818" t="str">
            <v>CSR</v>
          </cell>
          <cell r="E2818" t="str">
            <v>ITEM</v>
          </cell>
          <cell r="F2818" t="str">
            <v>AMOUNT</v>
          </cell>
          <cell r="G2818" t="str">
            <v>TRANSTYPE (P/C/X)</v>
          </cell>
        </row>
        <row r="2819">
          <cell r="B2819" t="str">
            <v>September</v>
          </cell>
          <cell r="D2819" t="str">
            <v>99-094</v>
          </cell>
          <cell r="G2819" t="str">
            <v>P</v>
          </cell>
        </row>
        <row r="2820">
          <cell r="B2820" t="str">
            <v>MONTH</v>
          </cell>
          <cell r="C2820" t="str">
            <v>REF</v>
          </cell>
          <cell r="D2820" t="str">
            <v>CSR</v>
          </cell>
          <cell r="E2820" t="str">
            <v>ITEM</v>
          </cell>
          <cell r="F2820" t="str">
            <v>AMOUNT</v>
          </cell>
          <cell r="G2820" t="str">
            <v>TRANSTYPE (P/C/X)</v>
          </cell>
        </row>
        <row r="2821">
          <cell r="B2821" t="str">
            <v>September</v>
          </cell>
          <cell r="D2821" t="str">
            <v>99-095</v>
          </cell>
          <cell r="G2821" t="str">
            <v>P</v>
          </cell>
        </row>
        <row r="2822">
          <cell r="B2822" t="str">
            <v>MONTH</v>
          </cell>
          <cell r="C2822" t="str">
            <v>REF</v>
          </cell>
          <cell r="D2822" t="str">
            <v>CSR</v>
          </cell>
          <cell r="E2822" t="str">
            <v>ITEM</v>
          </cell>
          <cell r="F2822" t="str">
            <v>AMOUNT</v>
          </cell>
          <cell r="G2822" t="str">
            <v>TRANSTYPE (P/C/X)</v>
          </cell>
        </row>
        <row r="2823">
          <cell r="B2823" t="str">
            <v>September</v>
          </cell>
          <cell r="D2823" t="str">
            <v>99-096</v>
          </cell>
          <cell r="G2823" t="str">
            <v>P</v>
          </cell>
        </row>
        <row r="2824">
          <cell r="B2824" t="str">
            <v>MONTH</v>
          </cell>
          <cell r="C2824" t="str">
            <v>REF</v>
          </cell>
          <cell r="D2824" t="str">
            <v>CSR</v>
          </cell>
          <cell r="E2824" t="str">
            <v>ITEM</v>
          </cell>
          <cell r="F2824" t="str">
            <v>AMOUNT</v>
          </cell>
          <cell r="G2824" t="str">
            <v>TRANSTYPE (P/C/X)</v>
          </cell>
        </row>
        <row r="2825">
          <cell r="B2825" t="str">
            <v>September</v>
          </cell>
          <cell r="D2825" t="str">
            <v>99-097</v>
          </cell>
          <cell r="G2825" t="str">
            <v>P</v>
          </cell>
        </row>
        <row r="2826">
          <cell r="B2826" t="str">
            <v>MONTH</v>
          </cell>
          <cell r="C2826" t="str">
            <v>REF</v>
          </cell>
          <cell r="D2826" t="str">
            <v>CSR</v>
          </cell>
          <cell r="E2826" t="str">
            <v>ITEM</v>
          </cell>
          <cell r="F2826" t="str">
            <v>AMOUNT</v>
          </cell>
          <cell r="G2826" t="str">
            <v>TRANSTYPE (P/C/X)</v>
          </cell>
        </row>
        <row r="2827">
          <cell r="B2827" t="str">
            <v>September</v>
          </cell>
          <cell r="D2827" t="str">
            <v>99-098</v>
          </cell>
          <cell r="G2827" t="str">
            <v>P</v>
          </cell>
        </row>
        <row r="2828">
          <cell r="B2828" t="str">
            <v>MONTH</v>
          </cell>
          <cell r="C2828" t="str">
            <v>REF</v>
          </cell>
          <cell r="D2828" t="str">
            <v>CSR</v>
          </cell>
          <cell r="E2828" t="str">
            <v>ITEM</v>
          </cell>
          <cell r="F2828" t="str">
            <v>AMOUNT</v>
          </cell>
          <cell r="G2828" t="str">
            <v>TRANSTYPE (P/C/X)</v>
          </cell>
        </row>
        <row r="2829">
          <cell r="B2829" t="str">
            <v>September</v>
          </cell>
          <cell r="D2829" t="str">
            <v>99-100</v>
          </cell>
          <cell r="G2829" t="str">
            <v>P</v>
          </cell>
        </row>
        <row r="2830">
          <cell r="B2830" t="str">
            <v>MONTH</v>
          </cell>
          <cell r="C2830" t="str">
            <v>REF</v>
          </cell>
          <cell r="D2830" t="str">
            <v>CSR</v>
          </cell>
          <cell r="E2830" t="str">
            <v>ITEM</v>
          </cell>
          <cell r="F2830" t="str">
            <v>AMOUNT</v>
          </cell>
          <cell r="G2830" t="str">
            <v>TRANSTYPE (P/C/X)</v>
          </cell>
        </row>
        <row r="2831">
          <cell r="B2831" t="str">
            <v>September</v>
          </cell>
          <cell r="D2831" t="str">
            <v>99-101</v>
          </cell>
          <cell r="G2831" t="str">
            <v>P</v>
          </cell>
        </row>
        <row r="2832">
          <cell r="B2832" t="str">
            <v>MONTH</v>
          </cell>
          <cell r="C2832" t="str">
            <v>REF</v>
          </cell>
          <cell r="D2832" t="str">
            <v>CSR</v>
          </cell>
          <cell r="E2832" t="str">
            <v>ITEM</v>
          </cell>
          <cell r="F2832" t="str">
            <v>AMOUNT</v>
          </cell>
          <cell r="G2832" t="str">
            <v>TRANSTYPE (P/C/X)</v>
          </cell>
        </row>
        <row r="2833">
          <cell r="B2833" t="str">
            <v>September</v>
          </cell>
          <cell r="D2833" t="str">
            <v>99-102</v>
          </cell>
          <cell r="G2833" t="str">
            <v>P</v>
          </cell>
        </row>
        <row r="2834">
          <cell r="B2834" t="str">
            <v>MONTH</v>
          </cell>
          <cell r="C2834" t="str">
            <v>REF</v>
          </cell>
          <cell r="D2834" t="str">
            <v>CSR</v>
          </cell>
          <cell r="E2834" t="str">
            <v>ITEM</v>
          </cell>
          <cell r="F2834" t="str">
            <v>AMOUNT</v>
          </cell>
          <cell r="G2834" t="str">
            <v>TRANSTYPE (P/C/X)</v>
          </cell>
        </row>
        <row r="2835">
          <cell r="B2835" t="str">
            <v>September</v>
          </cell>
          <cell r="D2835" t="str">
            <v>99-103</v>
          </cell>
          <cell r="G2835" t="str">
            <v>P</v>
          </cell>
        </row>
        <row r="2836">
          <cell r="B2836" t="str">
            <v>MONTH</v>
          </cell>
          <cell r="C2836" t="str">
            <v>REF</v>
          </cell>
          <cell r="D2836" t="str">
            <v>CSR</v>
          </cell>
          <cell r="E2836" t="str">
            <v>ITEM</v>
          </cell>
          <cell r="F2836" t="str">
            <v>AMOUNT</v>
          </cell>
          <cell r="G2836" t="str">
            <v>TRANSTYPE (P/C/X)</v>
          </cell>
        </row>
        <row r="2837">
          <cell r="B2837" t="str">
            <v>September</v>
          </cell>
          <cell r="D2837" t="str">
            <v>99-104</v>
          </cell>
          <cell r="G2837" t="str">
            <v>P</v>
          </cell>
        </row>
        <row r="2838">
          <cell r="B2838" t="str">
            <v>MONTH</v>
          </cell>
          <cell r="C2838" t="str">
            <v>REF</v>
          </cell>
          <cell r="D2838" t="str">
            <v>CSR</v>
          </cell>
          <cell r="E2838" t="str">
            <v>ITEM</v>
          </cell>
          <cell r="F2838" t="str">
            <v>AMOUNT</v>
          </cell>
          <cell r="G2838" t="str">
            <v>TRANSTYPE (P/C/X)</v>
          </cell>
        </row>
        <row r="2839">
          <cell r="B2839" t="str">
            <v>September</v>
          </cell>
          <cell r="D2839" t="str">
            <v>99-105</v>
          </cell>
          <cell r="G2839" t="str">
            <v>P</v>
          </cell>
        </row>
        <row r="2840">
          <cell r="B2840" t="str">
            <v>MONTH</v>
          </cell>
          <cell r="C2840" t="str">
            <v>REF</v>
          </cell>
          <cell r="D2840" t="str">
            <v>CSR</v>
          </cell>
          <cell r="E2840" t="str">
            <v>ITEM</v>
          </cell>
          <cell r="F2840" t="str">
            <v>AMOUNT</v>
          </cell>
          <cell r="G2840" t="str">
            <v>TRANSTYPE (P/C/X)</v>
          </cell>
        </row>
        <row r="2841">
          <cell r="B2841" t="str">
            <v>September</v>
          </cell>
          <cell r="D2841" t="str">
            <v>99-106</v>
          </cell>
          <cell r="G2841" t="str">
            <v>P</v>
          </cell>
        </row>
        <row r="2842">
          <cell r="B2842" t="str">
            <v>MONTH</v>
          </cell>
          <cell r="C2842" t="str">
            <v>REF</v>
          </cell>
          <cell r="D2842" t="str">
            <v>CSR</v>
          </cell>
          <cell r="E2842" t="str">
            <v>ITEM</v>
          </cell>
          <cell r="F2842" t="str">
            <v>AMOUNT</v>
          </cell>
          <cell r="G2842" t="str">
            <v>TRANSTYPE (P/C/X)</v>
          </cell>
        </row>
        <row r="2843">
          <cell r="B2843" t="str">
            <v>September</v>
          </cell>
          <cell r="D2843" t="str">
            <v>99-108</v>
          </cell>
          <cell r="G2843" t="str">
            <v>P</v>
          </cell>
        </row>
        <row r="2844">
          <cell r="B2844" t="str">
            <v>MONTH</v>
          </cell>
          <cell r="C2844" t="str">
            <v>REF</v>
          </cell>
          <cell r="D2844" t="str">
            <v>CSR</v>
          </cell>
          <cell r="E2844" t="str">
            <v>ITEM</v>
          </cell>
          <cell r="F2844" t="str">
            <v>AMOUNT</v>
          </cell>
          <cell r="G2844" t="str">
            <v>TRANSTYPE (P/C/X)</v>
          </cell>
        </row>
        <row r="2845">
          <cell r="B2845" t="str">
            <v>September</v>
          </cell>
          <cell r="D2845" t="str">
            <v>99-109</v>
          </cell>
          <cell r="G2845" t="str">
            <v>P</v>
          </cell>
        </row>
        <row r="2846">
          <cell r="B2846" t="str">
            <v>MONTH</v>
          </cell>
          <cell r="C2846" t="str">
            <v>REF</v>
          </cell>
          <cell r="D2846" t="str">
            <v>CSR</v>
          </cell>
          <cell r="E2846" t="str">
            <v>ITEM</v>
          </cell>
          <cell r="F2846" t="str">
            <v>AMOUNT</v>
          </cell>
          <cell r="G2846" t="str">
            <v>TRANSTYPE (P/C/X)</v>
          </cell>
        </row>
        <row r="2847">
          <cell r="B2847" t="str">
            <v>September</v>
          </cell>
          <cell r="D2847" t="str">
            <v>99-110</v>
          </cell>
          <cell r="G2847" t="str">
            <v>P</v>
          </cell>
        </row>
        <row r="2848">
          <cell r="B2848" t="str">
            <v>MONTH</v>
          </cell>
          <cell r="C2848" t="str">
            <v>REF</v>
          </cell>
          <cell r="D2848" t="str">
            <v>CSR</v>
          </cell>
          <cell r="E2848" t="str">
            <v>ITEM</v>
          </cell>
          <cell r="F2848" t="str">
            <v>AMOUNT</v>
          </cell>
          <cell r="G2848" t="str">
            <v>TRANSTYPE (P/C/X)</v>
          </cell>
        </row>
        <row r="2849">
          <cell r="B2849" t="str">
            <v>September</v>
          </cell>
          <cell r="D2849" t="str">
            <v>99-111</v>
          </cell>
          <cell r="G2849" t="str">
            <v>P</v>
          </cell>
        </row>
        <row r="2850">
          <cell r="B2850" t="str">
            <v>MONTH</v>
          </cell>
          <cell r="C2850" t="str">
            <v>REF</v>
          </cell>
          <cell r="D2850" t="str">
            <v>CSR</v>
          </cell>
          <cell r="E2850" t="str">
            <v>ITEM</v>
          </cell>
          <cell r="F2850" t="str">
            <v>AMOUNT</v>
          </cell>
          <cell r="G2850" t="str">
            <v>TRANSTYPE (P/C/X)</v>
          </cell>
        </row>
        <row r="2851">
          <cell r="B2851" t="str">
            <v>September</v>
          </cell>
          <cell r="D2851" t="str">
            <v>99-112</v>
          </cell>
          <cell r="G2851" t="str">
            <v>P</v>
          </cell>
        </row>
        <row r="2852">
          <cell r="B2852" t="str">
            <v>MONTH</v>
          </cell>
          <cell r="C2852" t="str">
            <v>REF</v>
          </cell>
          <cell r="D2852" t="str">
            <v>CSR</v>
          </cell>
          <cell r="E2852" t="str">
            <v>ITEM</v>
          </cell>
          <cell r="F2852" t="str">
            <v>AMOUNT</v>
          </cell>
          <cell r="G2852" t="str">
            <v>TRANSTYPE (P/C/X)</v>
          </cell>
        </row>
        <row r="2853">
          <cell r="B2853" t="str">
            <v>September</v>
          </cell>
          <cell r="D2853" t="str">
            <v>99-113</v>
          </cell>
          <cell r="G2853" t="str">
            <v>P</v>
          </cell>
        </row>
        <row r="2854">
          <cell r="B2854" t="str">
            <v>MONTH</v>
          </cell>
          <cell r="C2854" t="str">
            <v>REF</v>
          </cell>
          <cell r="D2854" t="str">
            <v>CSR</v>
          </cell>
          <cell r="E2854" t="str">
            <v>ITEM</v>
          </cell>
          <cell r="F2854" t="str">
            <v>AMOUNT</v>
          </cell>
          <cell r="G2854" t="str">
            <v>TRANSTYPE (P/C/X)</v>
          </cell>
        </row>
        <row r="2855">
          <cell r="B2855" t="str">
            <v>September</v>
          </cell>
          <cell r="D2855" t="str">
            <v>99-114</v>
          </cell>
          <cell r="G2855" t="str">
            <v>P</v>
          </cell>
        </row>
        <row r="2856">
          <cell r="B2856" t="str">
            <v>MONTH</v>
          </cell>
          <cell r="C2856" t="str">
            <v>REF</v>
          </cell>
          <cell r="D2856" t="str">
            <v>CSR</v>
          </cell>
          <cell r="E2856" t="str">
            <v>ITEM</v>
          </cell>
          <cell r="F2856" t="str">
            <v>AMOUNT</v>
          </cell>
          <cell r="G2856" t="str">
            <v>TRANSTYPE (P/C/X)</v>
          </cell>
        </row>
        <row r="2857">
          <cell r="B2857" t="str">
            <v>September</v>
          </cell>
          <cell r="D2857" t="str">
            <v>99-115</v>
          </cell>
          <cell r="G2857" t="str">
            <v>P</v>
          </cell>
        </row>
        <row r="2858">
          <cell r="B2858" t="str">
            <v>MONTH</v>
          </cell>
          <cell r="C2858" t="str">
            <v>REF</v>
          </cell>
          <cell r="D2858" t="str">
            <v>CSR</v>
          </cell>
          <cell r="E2858" t="str">
            <v>ITEM</v>
          </cell>
          <cell r="F2858" t="str">
            <v>AMOUNT</v>
          </cell>
          <cell r="G2858" t="str">
            <v>TRANSTYPE (P/C/X)</v>
          </cell>
        </row>
        <row r="2859">
          <cell r="B2859" t="str">
            <v>September</v>
          </cell>
          <cell r="D2859" t="str">
            <v>99-116</v>
          </cell>
          <cell r="G2859" t="str">
            <v>P</v>
          </cell>
        </row>
        <row r="2860">
          <cell r="B2860" t="str">
            <v>MONTH</v>
          </cell>
          <cell r="C2860" t="str">
            <v>REF</v>
          </cell>
          <cell r="D2860" t="str">
            <v>CSR</v>
          </cell>
          <cell r="E2860" t="str">
            <v>ITEM</v>
          </cell>
          <cell r="F2860" t="str">
            <v>AMOUNT</v>
          </cell>
          <cell r="G2860" t="str">
            <v>TRANSTYPE (P/C/X)</v>
          </cell>
        </row>
        <row r="2861">
          <cell r="B2861" t="str">
            <v>September</v>
          </cell>
          <cell r="D2861" t="str">
            <v>99-117</v>
          </cell>
          <cell r="G2861" t="str">
            <v>P</v>
          </cell>
        </row>
        <row r="2862">
          <cell r="B2862" t="str">
            <v>MONTH</v>
          </cell>
          <cell r="C2862" t="str">
            <v>REF</v>
          </cell>
          <cell r="D2862" t="str">
            <v>CSR</v>
          </cell>
          <cell r="E2862" t="str">
            <v>ITEM</v>
          </cell>
          <cell r="F2862" t="str">
            <v>AMOUNT</v>
          </cell>
          <cell r="G2862" t="str">
            <v>TRANSTYPE (P/C/X)</v>
          </cell>
        </row>
        <row r="2863">
          <cell r="B2863" t="str">
            <v>September</v>
          </cell>
          <cell r="D2863" t="str">
            <v>99-118</v>
          </cell>
          <cell r="G2863" t="str">
            <v>P</v>
          </cell>
        </row>
        <row r="2864">
          <cell r="B2864" t="str">
            <v>MONTH</v>
          </cell>
          <cell r="C2864" t="str">
            <v>REF</v>
          </cell>
          <cell r="D2864" t="str">
            <v>CSR</v>
          </cell>
          <cell r="E2864" t="str">
            <v>ITEM</v>
          </cell>
          <cell r="F2864" t="str">
            <v>AMOUNT</v>
          </cell>
          <cell r="G2864" t="str">
            <v>TRANSTYPE (P/C/X)</v>
          </cell>
        </row>
        <row r="2865">
          <cell r="B2865" t="str">
            <v>September</v>
          </cell>
          <cell r="D2865" t="str">
            <v>99-119</v>
          </cell>
          <cell r="G2865" t="str">
            <v>P</v>
          </cell>
        </row>
        <row r="2866">
          <cell r="B2866" t="str">
            <v>MONTH</v>
          </cell>
          <cell r="C2866" t="str">
            <v>REF</v>
          </cell>
          <cell r="D2866" t="str">
            <v>CSR</v>
          </cell>
          <cell r="E2866" t="str">
            <v>ITEM</v>
          </cell>
          <cell r="F2866" t="str">
            <v>AMOUNT</v>
          </cell>
          <cell r="G2866" t="str">
            <v>TRANSTYPE (P/C/X)</v>
          </cell>
        </row>
        <row r="2867">
          <cell r="B2867" t="str">
            <v>September</v>
          </cell>
          <cell r="D2867" t="str">
            <v>99-120</v>
          </cell>
          <cell r="G2867" t="str">
            <v>P</v>
          </cell>
        </row>
        <row r="2868">
          <cell r="B2868" t="str">
            <v>MONTH</v>
          </cell>
          <cell r="C2868" t="str">
            <v>REF</v>
          </cell>
          <cell r="D2868" t="str">
            <v>CSR</v>
          </cell>
          <cell r="E2868" t="str">
            <v>ITEM</v>
          </cell>
          <cell r="F2868" t="str">
            <v>AMOUNT</v>
          </cell>
          <cell r="G2868" t="str">
            <v>TRANSTYPE (P/C/X)</v>
          </cell>
        </row>
        <row r="2869">
          <cell r="B2869" t="str">
            <v>September</v>
          </cell>
          <cell r="D2869" t="str">
            <v>99-121</v>
          </cell>
          <cell r="G2869" t="str">
            <v>P</v>
          </cell>
        </row>
        <row r="2870">
          <cell r="B2870" t="str">
            <v>MONTH</v>
          </cell>
          <cell r="C2870" t="str">
            <v>REF</v>
          </cell>
          <cell r="D2870" t="str">
            <v>CSR</v>
          </cell>
          <cell r="E2870" t="str">
            <v>ITEM</v>
          </cell>
          <cell r="F2870" t="str">
            <v>AMOUNT</v>
          </cell>
          <cell r="G2870" t="str">
            <v>TRANSTYPE (P/C/X)</v>
          </cell>
        </row>
        <row r="2871">
          <cell r="B2871" t="str">
            <v>September</v>
          </cell>
          <cell r="D2871" t="str">
            <v>99-122</v>
          </cell>
          <cell r="G2871" t="str">
            <v>P</v>
          </cell>
        </row>
        <row r="2872">
          <cell r="B2872" t="str">
            <v>MONTH</v>
          </cell>
          <cell r="C2872" t="str">
            <v>REF</v>
          </cell>
          <cell r="D2872" t="str">
            <v>CSR</v>
          </cell>
          <cell r="E2872" t="str">
            <v>ITEM</v>
          </cell>
          <cell r="F2872" t="str">
            <v>AMOUNT</v>
          </cell>
          <cell r="G2872" t="str">
            <v>TRANSTYPE (P/C/X)</v>
          </cell>
        </row>
        <row r="2873">
          <cell r="B2873" t="str">
            <v>September</v>
          </cell>
          <cell r="D2873" t="str">
            <v>99-123</v>
          </cell>
          <cell r="G2873" t="str">
            <v>P</v>
          </cell>
        </row>
        <row r="2874">
          <cell r="B2874" t="str">
            <v>MONTH</v>
          </cell>
          <cell r="C2874" t="str">
            <v>REF</v>
          </cell>
          <cell r="D2874" t="str">
            <v>CSR</v>
          </cell>
          <cell r="E2874" t="str">
            <v>ITEM</v>
          </cell>
          <cell r="F2874" t="str">
            <v>AMOUNT</v>
          </cell>
          <cell r="G2874" t="str">
            <v>TRANSTYPE (P/C/X)</v>
          </cell>
        </row>
        <row r="2875">
          <cell r="B2875" t="str">
            <v>September</v>
          </cell>
          <cell r="D2875" t="str">
            <v>99-124</v>
          </cell>
          <cell r="G2875" t="str">
            <v>P</v>
          </cell>
        </row>
        <row r="2876">
          <cell r="B2876" t="str">
            <v>MONTH</v>
          </cell>
          <cell r="C2876" t="str">
            <v>REF</v>
          </cell>
          <cell r="D2876" t="str">
            <v>CSR</v>
          </cell>
          <cell r="E2876" t="str">
            <v>ITEM</v>
          </cell>
          <cell r="F2876" t="str">
            <v>AMOUNT</v>
          </cell>
          <cell r="G2876" t="str">
            <v>TRANSTYPE (P/C/X)</v>
          </cell>
        </row>
        <row r="2877">
          <cell r="B2877" t="str">
            <v>September</v>
          </cell>
          <cell r="D2877" t="str">
            <v>99-125</v>
          </cell>
          <cell r="G2877" t="str">
            <v>P</v>
          </cell>
        </row>
        <row r="2878">
          <cell r="B2878" t="str">
            <v>MONTH</v>
          </cell>
          <cell r="C2878" t="str">
            <v>REF</v>
          </cell>
          <cell r="D2878" t="str">
            <v>CSR</v>
          </cell>
          <cell r="E2878" t="str">
            <v>ITEM</v>
          </cell>
          <cell r="F2878" t="str">
            <v>AMOUNT</v>
          </cell>
          <cell r="G2878" t="str">
            <v>TRANSTYPE (P/C/X)</v>
          </cell>
        </row>
        <row r="2879">
          <cell r="B2879" t="str">
            <v>September</v>
          </cell>
          <cell r="D2879" t="str">
            <v>99-127</v>
          </cell>
          <cell r="G2879" t="str">
            <v>P</v>
          </cell>
        </row>
        <row r="2880">
          <cell r="B2880" t="str">
            <v>MONTH</v>
          </cell>
          <cell r="C2880" t="str">
            <v>REF</v>
          </cell>
          <cell r="D2880" t="str">
            <v>CSR</v>
          </cell>
          <cell r="E2880" t="str">
            <v>ITEM</v>
          </cell>
          <cell r="F2880" t="str">
            <v>AMOUNT</v>
          </cell>
          <cell r="G2880" t="str">
            <v>TRANSTYPE (P/C/X)</v>
          </cell>
        </row>
        <row r="2881">
          <cell r="B2881" t="str">
            <v>September</v>
          </cell>
          <cell r="D2881" t="str">
            <v>99-128</v>
          </cell>
          <cell r="G2881" t="str">
            <v>P</v>
          </cell>
        </row>
        <row r="2882">
          <cell r="B2882" t="str">
            <v>MONTH</v>
          </cell>
          <cell r="C2882" t="str">
            <v>REF</v>
          </cell>
          <cell r="D2882" t="str">
            <v>CSR</v>
          </cell>
          <cell r="E2882" t="str">
            <v>ITEM</v>
          </cell>
          <cell r="F2882" t="str">
            <v>AMOUNT</v>
          </cell>
          <cell r="G2882" t="str">
            <v>TRANSTYPE (P/C/X)</v>
          </cell>
        </row>
        <row r="2883">
          <cell r="B2883" t="str">
            <v>September</v>
          </cell>
          <cell r="D2883" t="str">
            <v>99-129</v>
          </cell>
          <cell r="G2883" t="str">
            <v>P</v>
          </cell>
        </row>
        <row r="2884">
          <cell r="B2884" t="str">
            <v>MONTH</v>
          </cell>
          <cell r="C2884" t="str">
            <v>REF</v>
          </cell>
          <cell r="D2884" t="str">
            <v>CSR</v>
          </cell>
          <cell r="E2884" t="str">
            <v>ITEM</v>
          </cell>
          <cell r="F2884" t="str">
            <v>AMOUNT</v>
          </cell>
          <cell r="G2884" t="str">
            <v>TRANSTYPE (P/C/X)</v>
          </cell>
        </row>
        <row r="2885">
          <cell r="B2885" t="str">
            <v>September</v>
          </cell>
          <cell r="D2885" t="str">
            <v>99-130</v>
          </cell>
          <cell r="G2885" t="str">
            <v>P</v>
          </cell>
        </row>
        <row r="2886">
          <cell r="B2886" t="str">
            <v>MONTH</v>
          </cell>
          <cell r="C2886" t="str">
            <v>REF</v>
          </cell>
          <cell r="D2886" t="str">
            <v>CSR</v>
          </cell>
          <cell r="E2886" t="str">
            <v>ITEM</v>
          </cell>
          <cell r="F2886" t="str">
            <v>AMOUNT</v>
          </cell>
          <cell r="G2886" t="str">
            <v>TRANSTYPE (P/C/X)</v>
          </cell>
        </row>
        <row r="2887">
          <cell r="B2887" t="str">
            <v>September</v>
          </cell>
          <cell r="D2887" t="str">
            <v>99-132</v>
          </cell>
          <cell r="G2887" t="str">
            <v>P</v>
          </cell>
        </row>
        <row r="2888">
          <cell r="B2888" t="str">
            <v>MONTH</v>
          </cell>
          <cell r="C2888" t="str">
            <v>REF</v>
          </cell>
          <cell r="D2888" t="str">
            <v>CSR</v>
          </cell>
          <cell r="E2888" t="str">
            <v>ITEM</v>
          </cell>
          <cell r="F2888" t="str">
            <v>AMOUNT</v>
          </cell>
          <cell r="G2888" t="str">
            <v>TRANSTYPE (P/C/X)</v>
          </cell>
        </row>
        <row r="2889">
          <cell r="B2889" t="str">
            <v>September</v>
          </cell>
          <cell r="D2889" t="str">
            <v>99-133</v>
          </cell>
          <cell r="G2889" t="str">
            <v>P</v>
          </cell>
        </row>
        <row r="2890">
          <cell r="B2890" t="str">
            <v>MONTH</v>
          </cell>
          <cell r="C2890" t="str">
            <v>REF</v>
          </cell>
          <cell r="D2890" t="str">
            <v>CSR</v>
          </cell>
          <cell r="E2890" t="str">
            <v>ITEM</v>
          </cell>
          <cell r="F2890" t="str">
            <v>AMOUNT</v>
          </cell>
          <cell r="G2890" t="str">
            <v>TRANSTYPE (P/C/X)</v>
          </cell>
        </row>
        <row r="2891">
          <cell r="B2891" t="str">
            <v>September</v>
          </cell>
          <cell r="D2891" t="str">
            <v>99-134</v>
          </cell>
          <cell r="G2891" t="str">
            <v>P</v>
          </cell>
        </row>
        <row r="2892">
          <cell r="B2892" t="str">
            <v>MONTH</v>
          </cell>
          <cell r="C2892" t="str">
            <v>REF</v>
          </cell>
          <cell r="D2892" t="str">
            <v>CSR</v>
          </cell>
          <cell r="E2892" t="str">
            <v>ITEM</v>
          </cell>
          <cell r="F2892" t="str">
            <v>AMOUNT</v>
          </cell>
          <cell r="G2892" t="str">
            <v>TRANSTYPE (P/C/X)</v>
          </cell>
        </row>
        <row r="2893">
          <cell r="B2893" t="str">
            <v>September</v>
          </cell>
          <cell r="D2893" t="str">
            <v>99-136</v>
          </cell>
          <cell r="G2893" t="str">
            <v>P</v>
          </cell>
        </row>
        <row r="2894">
          <cell r="B2894" t="str">
            <v>MONTH</v>
          </cell>
          <cell r="C2894" t="str">
            <v>REF</v>
          </cell>
          <cell r="D2894" t="str">
            <v>CSR</v>
          </cell>
          <cell r="E2894" t="str">
            <v>ITEM</v>
          </cell>
          <cell r="F2894" t="str">
            <v>AMOUNT</v>
          </cell>
          <cell r="G2894" t="str">
            <v>TRANSTYPE (P/C/X)</v>
          </cell>
        </row>
        <row r="2895">
          <cell r="B2895" t="str">
            <v>September</v>
          </cell>
          <cell r="D2895" t="str">
            <v>99-137</v>
          </cell>
          <cell r="G2895" t="str">
            <v>P</v>
          </cell>
        </row>
        <row r="2896">
          <cell r="B2896" t="str">
            <v>MONTH</v>
          </cell>
          <cell r="C2896" t="str">
            <v>REF</v>
          </cell>
          <cell r="D2896" t="str">
            <v>CSR</v>
          </cell>
          <cell r="E2896" t="str">
            <v>ITEM</v>
          </cell>
          <cell r="F2896" t="str">
            <v>AMOUNT</v>
          </cell>
          <cell r="G2896" t="str">
            <v>TRANSTYPE (P/C/X)</v>
          </cell>
        </row>
        <row r="2897">
          <cell r="B2897" t="str">
            <v>September</v>
          </cell>
          <cell r="D2897" t="str">
            <v>99-139</v>
          </cell>
          <cell r="G2897" t="str">
            <v>P</v>
          </cell>
        </row>
        <row r="2898">
          <cell r="B2898" t="str">
            <v>MONTH</v>
          </cell>
          <cell r="C2898" t="str">
            <v>REF</v>
          </cell>
          <cell r="D2898" t="str">
            <v>CSR</v>
          </cell>
          <cell r="E2898" t="str">
            <v>ITEM</v>
          </cell>
          <cell r="F2898" t="str">
            <v>AMOUNT</v>
          </cell>
          <cell r="G2898" t="str">
            <v>TRANSTYPE (P/C/X)</v>
          </cell>
        </row>
        <row r="2899">
          <cell r="B2899" t="str">
            <v>September</v>
          </cell>
          <cell r="D2899" t="str">
            <v>99-141</v>
          </cell>
          <cell r="G2899" t="str">
            <v>P</v>
          </cell>
        </row>
        <row r="2900">
          <cell r="B2900" t="str">
            <v>MONTH</v>
          </cell>
          <cell r="C2900" t="str">
            <v>REF</v>
          </cell>
          <cell r="D2900" t="str">
            <v>CSR</v>
          </cell>
          <cell r="E2900" t="str">
            <v>ITEM</v>
          </cell>
          <cell r="F2900" t="str">
            <v>AMOUNT</v>
          </cell>
          <cell r="G2900" t="str">
            <v>TRANSTYPE (P/C/X)</v>
          </cell>
        </row>
        <row r="2901">
          <cell r="B2901" t="str">
            <v>September</v>
          </cell>
          <cell r="D2901" t="str">
            <v>99-142</v>
          </cell>
          <cell r="G2901" t="str">
            <v>P</v>
          </cell>
        </row>
        <row r="2902">
          <cell r="B2902" t="str">
            <v>MONTH</v>
          </cell>
          <cell r="C2902" t="str">
            <v>REF</v>
          </cell>
          <cell r="D2902" t="str">
            <v>CSR</v>
          </cell>
          <cell r="E2902" t="str">
            <v>ITEM</v>
          </cell>
          <cell r="F2902" t="str">
            <v>AMOUNT</v>
          </cell>
          <cell r="G2902" t="str">
            <v>TRANSTYPE (P/C/X)</v>
          </cell>
        </row>
        <row r="2903">
          <cell r="B2903" t="str">
            <v>September</v>
          </cell>
          <cell r="D2903" t="str">
            <v>99-143</v>
          </cell>
          <cell r="G2903" t="str">
            <v>P</v>
          </cell>
        </row>
        <row r="2904">
          <cell r="B2904" t="str">
            <v>MONTH</v>
          </cell>
          <cell r="C2904" t="str">
            <v>REF</v>
          </cell>
          <cell r="D2904" t="str">
            <v>CSR</v>
          </cell>
          <cell r="E2904" t="str">
            <v>ITEM</v>
          </cell>
          <cell r="F2904" t="str">
            <v>AMOUNT</v>
          </cell>
          <cell r="G2904" t="str">
            <v>TRANSTYPE (P/C/X)</v>
          </cell>
        </row>
        <row r="2905">
          <cell r="B2905" t="str">
            <v>September</v>
          </cell>
          <cell r="D2905" t="str">
            <v>99-144</v>
          </cell>
          <cell r="G2905" t="str">
            <v>P</v>
          </cell>
        </row>
        <row r="2906">
          <cell r="B2906" t="str">
            <v>MONTH</v>
          </cell>
          <cell r="C2906" t="str">
            <v>REF</v>
          </cell>
          <cell r="D2906" t="str">
            <v>CSR</v>
          </cell>
          <cell r="E2906" t="str">
            <v>ITEM</v>
          </cell>
          <cell r="F2906" t="str">
            <v>AMOUNT</v>
          </cell>
          <cell r="G2906" t="str">
            <v>TRANSTYPE (P/C/X)</v>
          </cell>
        </row>
        <row r="2907">
          <cell r="B2907" t="str">
            <v>September</v>
          </cell>
          <cell r="D2907" t="str">
            <v>99-145</v>
          </cell>
          <cell r="G2907" t="str">
            <v>P</v>
          </cell>
        </row>
        <row r="2908">
          <cell r="B2908" t="str">
            <v>MONTH</v>
          </cell>
          <cell r="C2908" t="str">
            <v>REF</v>
          </cell>
          <cell r="D2908" t="str">
            <v>CSR</v>
          </cell>
          <cell r="E2908" t="str">
            <v>ITEM</v>
          </cell>
          <cell r="F2908" t="str">
            <v>AMOUNT</v>
          </cell>
          <cell r="G2908" t="str">
            <v>TRANSTYPE (P/C/X)</v>
          </cell>
        </row>
        <row r="2909">
          <cell r="B2909" t="str">
            <v>September</v>
          </cell>
          <cell r="D2909" t="str">
            <v>99-146</v>
          </cell>
          <cell r="G2909" t="str">
            <v>P</v>
          </cell>
        </row>
        <row r="2910">
          <cell r="B2910" t="str">
            <v>MONTH</v>
          </cell>
          <cell r="C2910" t="str">
            <v>REF</v>
          </cell>
          <cell r="D2910" t="str">
            <v>CSR</v>
          </cell>
          <cell r="E2910" t="str">
            <v>ITEM</v>
          </cell>
          <cell r="F2910" t="str">
            <v>AMOUNT</v>
          </cell>
          <cell r="G2910" t="str">
            <v>TRANSTYPE (P/C/X)</v>
          </cell>
        </row>
        <row r="2911">
          <cell r="B2911" t="str">
            <v>September</v>
          </cell>
          <cell r="D2911" t="str">
            <v>99-147</v>
          </cell>
          <cell r="G2911" t="str">
            <v>P</v>
          </cell>
        </row>
        <row r="2912">
          <cell r="B2912" t="str">
            <v>MONTH</v>
          </cell>
          <cell r="C2912" t="str">
            <v>REF</v>
          </cell>
          <cell r="D2912" t="str">
            <v>CSR</v>
          </cell>
          <cell r="E2912" t="str">
            <v>ITEM</v>
          </cell>
          <cell r="F2912" t="str">
            <v>AMOUNT</v>
          </cell>
          <cell r="G2912" t="str">
            <v>TRANSTYPE (P/C/X)</v>
          </cell>
        </row>
        <row r="2913">
          <cell r="B2913" t="str">
            <v>September</v>
          </cell>
          <cell r="D2913" t="str">
            <v>99-148</v>
          </cell>
          <cell r="G2913" t="str">
            <v>P</v>
          </cell>
        </row>
        <row r="2914">
          <cell r="B2914" t="str">
            <v>MONTH</v>
          </cell>
          <cell r="C2914" t="str">
            <v>REF</v>
          </cell>
          <cell r="D2914" t="str">
            <v>CSR</v>
          </cell>
          <cell r="E2914" t="str">
            <v>ITEM</v>
          </cell>
          <cell r="F2914" t="str">
            <v>AMOUNT</v>
          </cell>
          <cell r="G2914" t="str">
            <v>TRANSTYPE (P/C/X)</v>
          </cell>
        </row>
        <row r="2915">
          <cell r="B2915" t="str">
            <v>September</v>
          </cell>
          <cell r="D2915" t="str">
            <v>99-149</v>
          </cell>
          <cell r="G2915" t="str">
            <v>P</v>
          </cell>
        </row>
        <row r="2916">
          <cell r="B2916" t="str">
            <v>MONTH</v>
          </cell>
          <cell r="C2916" t="str">
            <v>REF</v>
          </cell>
          <cell r="D2916" t="str">
            <v>CSR</v>
          </cell>
          <cell r="E2916" t="str">
            <v>ITEM</v>
          </cell>
          <cell r="F2916" t="str">
            <v>AMOUNT</v>
          </cell>
          <cell r="G2916" t="str">
            <v>TRANSTYPE (P/C/X)</v>
          </cell>
        </row>
        <row r="2917">
          <cell r="B2917" t="str">
            <v>September</v>
          </cell>
          <cell r="D2917" t="str">
            <v>99-151</v>
          </cell>
          <cell r="G2917" t="str">
            <v>P</v>
          </cell>
        </row>
        <row r="2918">
          <cell r="B2918" t="str">
            <v>MONTH</v>
          </cell>
          <cell r="C2918" t="str">
            <v>REF</v>
          </cell>
          <cell r="D2918" t="str">
            <v>CSR</v>
          </cell>
          <cell r="E2918" t="str">
            <v>ITEM</v>
          </cell>
          <cell r="F2918" t="str">
            <v>AMOUNT</v>
          </cell>
          <cell r="G2918" t="str">
            <v>TRANSTYPE (P/C/X)</v>
          </cell>
        </row>
        <row r="2919">
          <cell r="B2919" t="str">
            <v>September</v>
          </cell>
          <cell r="D2919" t="str">
            <v>99-152</v>
          </cell>
          <cell r="G2919" t="str">
            <v>P</v>
          </cell>
        </row>
        <row r="2920">
          <cell r="B2920" t="str">
            <v>MONTH</v>
          </cell>
          <cell r="C2920" t="str">
            <v>REF</v>
          </cell>
          <cell r="D2920" t="str">
            <v>CSR</v>
          </cell>
          <cell r="E2920" t="str">
            <v>ITEM</v>
          </cell>
          <cell r="F2920" t="str">
            <v>AMOUNT</v>
          </cell>
          <cell r="G2920" t="str">
            <v>TRANSTYPE (P/C/X)</v>
          </cell>
        </row>
        <row r="2921">
          <cell r="B2921" t="str">
            <v>September</v>
          </cell>
          <cell r="D2921" t="str">
            <v>99-153</v>
          </cell>
          <cell r="G2921" t="str">
            <v>P</v>
          </cell>
        </row>
        <row r="2922">
          <cell r="B2922" t="str">
            <v>MONTH</v>
          </cell>
          <cell r="C2922" t="str">
            <v>REF</v>
          </cell>
          <cell r="D2922" t="str">
            <v>CSR</v>
          </cell>
          <cell r="E2922" t="str">
            <v>ITEM</v>
          </cell>
          <cell r="F2922" t="str">
            <v>AMOUNT</v>
          </cell>
          <cell r="G2922" t="str">
            <v>TRANSTYPE (P/C/X)</v>
          </cell>
        </row>
        <row r="2923">
          <cell r="B2923" t="str">
            <v>September</v>
          </cell>
          <cell r="D2923" t="str">
            <v>99-154</v>
          </cell>
          <cell r="G2923" t="str">
            <v>P</v>
          </cell>
        </row>
        <row r="2924">
          <cell r="B2924" t="str">
            <v>MONTH</v>
          </cell>
          <cell r="C2924" t="str">
            <v>REF</v>
          </cell>
          <cell r="D2924" t="str">
            <v>CSR</v>
          </cell>
          <cell r="E2924" t="str">
            <v>ITEM</v>
          </cell>
          <cell r="F2924" t="str">
            <v>AMOUNT</v>
          </cell>
          <cell r="G2924" t="str">
            <v>TRANSTYPE (P/C/X)</v>
          </cell>
        </row>
        <row r="2925">
          <cell r="B2925" t="str">
            <v>September</v>
          </cell>
          <cell r="D2925" t="str">
            <v>99-155</v>
          </cell>
          <cell r="G2925" t="str">
            <v>P</v>
          </cell>
        </row>
        <row r="2926">
          <cell r="B2926" t="str">
            <v>MONTH</v>
          </cell>
          <cell r="C2926" t="str">
            <v>REF</v>
          </cell>
          <cell r="D2926" t="str">
            <v>CSR</v>
          </cell>
          <cell r="E2926" t="str">
            <v>ITEM</v>
          </cell>
          <cell r="F2926" t="str">
            <v>AMOUNT</v>
          </cell>
          <cell r="G2926" t="str">
            <v>TRANSTYPE (P/C/X)</v>
          </cell>
        </row>
        <row r="2927">
          <cell r="B2927" t="str">
            <v>September</v>
          </cell>
          <cell r="D2927" t="str">
            <v>99-156</v>
          </cell>
          <cell r="G2927" t="str">
            <v>P</v>
          </cell>
        </row>
        <row r="2928">
          <cell r="B2928" t="str">
            <v>MONTH</v>
          </cell>
          <cell r="C2928" t="str">
            <v>REF</v>
          </cell>
          <cell r="D2928" t="str">
            <v>CSR</v>
          </cell>
          <cell r="E2928" t="str">
            <v>ITEM</v>
          </cell>
          <cell r="F2928" t="str">
            <v>AMOUNT</v>
          </cell>
          <cell r="G2928" t="str">
            <v>TRANSTYPE (P/C/X)</v>
          </cell>
        </row>
        <row r="2929">
          <cell r="B2929" t="str">
            <v>September</v>
          </cell>
          <cell r="D2929" t="str">
            <v>99-158</v>
          </cell>
          <cell r="G2929" t="str">
            <v>P</v>
          </cell>
        </row>
        <row r="2930">
          <cell r="B2930" t="str">
            <v>MONTH</v>
          </cell>
          <cell r="C2930" t="str">
            <v>REF</v>
          </cell>
          <cell r="D2930" t="str">
            <v>CSR</v>
          </cell>
          <cell r="E2930" t="str">
            <v>ITEM</v>
          </cell>
          <cell r="F2930" t="str">
            <v>AMOUNT</v>
          </cell>
          <cell r="G2930" t="str">
            <v>TRANSTYPE (P/C/X)</v>
          </cell>
        </row>
        <row r="2931">
          <cell r="B2931" t="str">
            <v>September</v>
          </cell>
          <cell r="D2931" t="str">
            <v>99-159</v>
          </cell>
          <cell r="G2931" t="str">
            <v>P</v>
          </cell>
        </row>
        <row r="2932">
          <cell r="B2932" t="str">
            <v>MONTH</v>
          </cell>
          <cell r="C2932" t="str">
            <v>REF</v>
          </cell>
          <cell r="D2932" t="str">
            <v>CSR</v>
          </cell>
          <cell r="E2932" t="str">
            <v>ITEM</v>
          </cell>
          <cell r="F2932" t="str">
            <v>AMOUNT</v>
          </cell>
          <cell r="G2932" t="str">
            <v>TRANSTYPE (P/C/X)</v>
          </cell>
        </row>
        <row r="2933">
          <cell r="B2933" t="str">
            <v>September</v>
          </cell>
          <cell r="D2933" t="str">
            <v>99-160</v>
          </cell>
          <cell r="G2933" t="str">
            <v>P</v>
          </cell>
        </row>
        <row r="2934">
          <cell r="B2934" t="str">
            <v>MONTH</v>
          </cell>
          <cell r="C2934" t="str">
            <v>REF</v>
          </cell>
          <cell r="D2934" t="str">
            <v>CSR</v>
          </cell>
          <cell r="E2934" t="str">
            <v>ITEM</v>
          </cell>
          <cell r="F2934" t="str">
            <v>AMOUNT</v>
          </cell>
          <cell r="G2934" t="str">
            <v>TRANSTYPE (P/C/X)</v>
          </cell>
        </row>
        <row r="2935">
          <cell r="B2935" t="str">
            <v>September</v>
          </cell>
          <cell r="D2935" t="str">
            <v>99-161</v>
          </cell>
          <cell r="G2935" t="str">
            <v>P</v>
          </cell>
        </row>
        <row r="2936">
          <cell r="B2936" t="str">
            <v>MONTH</v>
          </cell>
          <cell r="C2936" t="str">
            <v>REF</v>
          </cell>
          <cell r="D2936" t="str">
            <v>CSR</v>
          </cell>
          <cell r="E2936" t="str">
            <v>ITEM</v>
          </cell>
          <cell r="F2936" t="str">
            <v>AMOUNT</v>
          </cell>
          <cell r="G2936" t="str">
            <v>TRANSTYPE (P/C/X)</v>
          </cell>
        </row>
        <row r="2937">
          <cell r="B2937" t="str">
            <v>September</v>
          </cell>
          <cell r="D2937" t="str">
            <v>99-163</v>
          </cell>
          <cell r="G2937" t="str">
            <v>P</v>
          </cell>
        </row>
        <row r="2938">
          <cell r="B2938" t="str">
            <v>MONTH</v>
          </cell>
          <cell r="C2938" t="str">
            <v>REF</v>
          </cell>
          <cell r="D2938" t="str">
            <v>CSR</v>
          </cell>
          <cell r="E2938" t="str">
            <v>ITEM</v>
          </cell>
          <cell r="F2938" t="str">
            <v>AMOUNT</v>
          </cell>
          <cell r="G2938" t="str">
            <v>TRANSTYPE (P/C/X)</v>
          </cell>
        </row>
        <row r="2939">
          <cell r="B2939" t="str">
            <v>September</v>
          </cell>
          <cell r="D2939" t="str">
            <v>99-164</v>
          </cell>
          <cell r="G2939" t="str">
            <v>P</v>
          </cell>
        </row>
        <row r="2940">
          <cell r="B2940" t="str">
            <v>MONTH</v>
          </cell>
          <cell r="C2940" t="str">
            <v>REF</v>
          </cell>
          <cell r="D2940" t="str">
            <v>CSR</v>
          </cell>
          <cell r="E2940" t="str">
            <v>ITEM</v>
          </cell>
          <cell r="F2940" t="str">
            <v>AMOUNT</v>
          </cell>
          <cell r="G2940" t="str">
            <v>TRANSTYPE (P/C/X)</v>
          </cell>
        </row>
        <row r="2941">
          <cell r="B2941" t="str">
            <v>September</v>
          </cell>
          <cell r="D2941" t="str">
            <v>99-165</v>
          </cell>
          <cell r="G2941" t="str">
            <v>P</v>
          </cell>
        </row>
        <row r="2942">
          <cell r="B2942" t="str">
            <v>MONTH</v>
          </cell>
          <cell r="C2942" t="str">
            <v>REF</v>
          </cell>
          <cell r="D2942" t="str">
            <v>CSR</v>
          </cell>
          <cell r="E2942" t="str">
            <v>ITEM</v>
          </cell>
          <cell r="F2942" t="str">
            <v>AMOUNT</v>
          </cell>
          <cell r="G2942" t="str">
            <v>TRANSTYPE (P/C/X)</v>
          </cell>
        </row>
        <row r="2943">
          <cell r="B2943" t="str">
            <v>September</v>
          </cell>
          <cell r="D2943" t="str">
            <v>99-166</v>
          </cell>
          <cell r="G2943" t="str">
            <v>P</v>
          </cell>
        </row>
        <row r="2944">
          <cell r="B2944" t="str">
            <v>MONTH</v>
          </cell>
          <cell r="C2944" t="str">
            <v>REF</v>
          </cell>
          <cell r="D2944" t="str">
            <v>CSR</v>
          </cell>
          <cell r="E2944" t="str">
            <v>ITEM</v>
          </cell>
          <cell r="F2944" t="str">
            <v>AMOUNT</v>
          </cell>
          <cell r="G2944" t="str">
            <v>TRANSTYPE (P/C/X)</v>
          </cell>
        </row>
        <row r="2945">
          <cell r="B2945" t="str">
            <v>September</v>
          </cell>
          <cell r="D2945" t="str">
            <v>99-167</v>
          </cell>
          <cell r="G2945" t="str">
            <v>P</v>
          </cell>
        </row>
        <row r="2946">
          <cell r="B2946" t="str">
            <v>MONTH</v>
          </cell>
          <cell r="C2946" t="str">
            <v>REF</v>
          </cell>
          <cell r="D2946" t="str">
            <v>CSR</v>
          </cell>
          <cell r="E2946" t="str">
            <v>ITEM</v>
          </cell>
          <cell r="F2946" t="str">
            <v>AMOUNT</v>
          </cell>
          <cell r="G2946" t="str">
            <v>TRANSTYPE (P/C/X)</v>
          </cell>
        </row>
        <row r="2947">
          <cell r="B2947" t="str">
            <v>September</v>
          </cell>
          <cell r="D2947" t="str">
            <v>99-168</v>
          </cell>
          <cell r="G2947" t="str">
            <v>P</v>
          </cell>
        </row>
        <row r="2948">
          <cell r="B2948" t="str">
            <v>MONTH</v>
          </cell>
          <cell r="C2948" t="str">
            <v>REF</v>
          </cell>
          <cell r="D2948" t="str">
            <v>CSR</v>
          </cell>
          <cell r="E2948" t="str">
            <v>ITEM</v>
          </cell>
          <cell r="F2948" t="str">
            <v>AMOUNT</v>
          </cell>
          <cell r="G2948" t="str">
            <v>TRANSTYPE (P/C/X)</v>
          </cell>
        </row>
        <row r="2949">
          <cell r="B2949" t="str">
            <v>September</v>
          </cell>
          <cell r="D2949" t="str">
            <v>99-169</v>
          </cell>
          <cell r="G2949" t="str">
            <v>P</v>
          </cell>
        </row>
        <row r="2950">
          <cell r="B2950" t="str">
            <v>MONTH</v>
          </cell>
          <cell r="C2950" t="str">
            <v>REF</v>
          </cell>
          <cell r="D2950" t="str">
            <v>CSR</v>
          </cell>
          <cell r="E2950" t="str">
            <v>ITEM</v>
          </cell>
          <cell r="F2950" t="str">
            <v>AMOUNT</v>
          </cell>
          <cell r="G2950" t="str">
            <v>TRANSTYPE (P/C/X)</v>
          </cell>
        </row>
        <row r="2951">
          <cell r="B2951" t="str">
            <v>September</v>
          </cell>
          <cell r="D2951" t="str">
            <v>99-170</v>
          </cell>
          <cell r="G2951" t="str">
            <v>P</v>
          </cell>
        </row>
        <row r="2952">
          <cell r="B2952" t="str">
            <v>MONTH</v>
          </cell>
          <cell r="C2952" t="str">
            <v>REF</v>
          </cell>
          <cell r="D2952" t="str">
            <v>CSR</v>
          </cell>
          <cell r="E2952" t="str">
            <v>ITEM</v>
          </cell>
          <cell r="F2952" t="str">
            <v>AMOUNT</v>
          </cell>
          <cell r="G2952" t="str">
            <v>TRANSTYPE (P/C/X)</v>
          </cell>
        </row>
        <row r="2953">
          <cell r="B2953" t="str">
            <v>September</v>
          </cell>
          <cell r="D2953" t="str">
            <v>99-171</v>
          </cell>
          <cell r="G2953" t="str">
            <v>P</v>
          </cell>
        </row>
        <row r="2954">
          <cell r="B2954" t="str">
            <v>MONTH</v>
          </cell>
          <cell r="C2954" t="str">
            <v>REF</v>
          </cell>
          <cell r="D2954" t="str">
            <v>CSR</v>
          </cell>
          <cell r="E2954" t="str">
            <v>ITEM</v>
          </cell>
          <cell r="F2954" t="str">
            <v>AMOUNT</v>
          </cell>
          <cell r="G2954" t="str">
            <v>TRANSTYPE (P/C/X)</v>
          </cell>
        </row>
        <row r="2955">
          <cell r="B2955" t="str">
            <v>September</v>
          </cell>
          <cell r="D2955" t="str">
            <v>99-173</v>
          </cell>
          <cell r="G2955" t="str">
            <v>P</v>
          </cell>
        </row>
        <row r="2956">
          <cell r="B2956" t="str">
            <v>MONTH</v>
          </cell>
          <cell r="C2956" t="str">
            <v>REF</v>
          </cell>
          <cell r="D2956" t="str">
            <v>CSR</v>
          </cell>
          <cell r="E2956" t="str">
            <v>ITEM</v>
          </cell>
          <cell r="F2956" t="str">
            <v>AMOUNT</v>
          </cell>
          <cell r="G2956" t="str">
            <v>TRANSTYPE (P/C/X)</v>
          </cell>
        </row>
        <row r="2957">
          <cell r="B2957" t="str">
            <v>September</v>
          </cell>
          <cell r="D2957" t="str">
            <v>99-174</v>
          </cell>
          <cell r="G2957" t="str">
            <v>P</v>
          </cell>
        </row>
        <row r="2958">
          <cell r="B2958" t="str">
            <v>MONTH</v>
          </cell>
          <cell r="C2958" t="str">
            <v>REF</v>
          </cell>
          <cell r="D2958" t="str">
            <v>CSR</v>
          </cell>
          <cell r="E2958" t="str">
            <v>ITEM</v>
          </cell>
          <cell r="F2958" t="str">
            <v>AMOUNT</v>
          </cell>
          <cell r="G2958" t="str">
            <v>TRANSTYPE (P/C/X)</v>
          </cell>
        </row>
        <row r="2959">
          <cell r="B2959" t="str">
            <v>September</v>
          </cell>
          <cell r="D2959" t="str">
            <v>99-175</v>
          </cell>
          <cell r="G2959" t="str">
            <v>P</v>
          </cell>
        </row>
        <row r="2960">
          <cell r="B2960" t="str">
            <v>MONTH</v>
          </cell>
          <cell r="C2960" t="str">
            <v>REF</v>
          </cell>
          <cell r="D2960" t="str">
            <v>CSR</v>
          </cell>
          <cell r="E2960" t="str">
            <v>ITEM</v>
          </cell>
          <cell r="F2960" t="str">
            <v>AMOUNT</v>
          </cell>
          <cell r="G2960" t="str">
            <v>TRANSTYPE (P/C/X)</v>
          </cell>
        </row>
        <row r="2961">
          <cell r="B2961" t="str">
            <v>September</v>
          </cell>
          <cell r="D2961" t="str">
            <v>99-176</v>
          </cell>
          <cell r="G2961" t="str">
            <v>P</v>
          </cell>
        </row>
        <row r="2962">
          <cell r="B2962" t="str">
            <v>MONTH</v>
          </cell>
          <cell r="C2962" t="str">
            <v>REF</v>
          </cell>
          <cell r="D2962" t="str">
            <v>CSR</v>
          </cell>
          <cell r="E2962" t="str">
            <v>ITEM</v>
          </cell>
          <cell r="F2962" t="str">
            <v>AMOUNT</v>
          </cell>
          <cell r="G2962" t="str">
            <v>TRANSTYPE (P/C/X)</v>
          </cell>
        </row>
        <row r="2963">
          <cell r="B2963" t="str">
            <v>September</v>
          </cell>
          <cell r="D2963" t="str">
            <v>99-177</v>
          </cell>
          <cell r="G2963" t="str">
            <v>P</v>
          </cell>
        </row>
        <row r="2964">
          <cell r="B2964" t="str">
            <v>MONTH</v>
          </cell>
          <cell r="C2964" t="str">
            <v>REF</v>
          </cell>
          <cell r="D2964" t="str">
            <v>CSR</v>
          </cell>
          <cell r="E2964" t="str">
            <v>ITEM</v>
          </cell>
          <cell r="F2964" t="str">
            <v>AMOUNT</v>
          </cell>
          <cell r="G2964" t="str">
            <v>TRANSTYPE (P/C/X)</v>
          </cell>
        </row>
        <row r="2965">
          <cell r="B2965" t="str">
            <v>September</v>
          </cell>
          <cell r="D2965" t="str">
            <v>99-178</v>
          </cell>
          <cell r="G2965" t="str">
            <v>P</v>
          </cell>
        </row>
        <row r="2966">
          <cell r="B2966" t="str">
            <v>MONTH</v>
          </cell>
          <cell r="C2966" t="str">
            <v>REF</v>
          </cell>
          <cell r="D2966" t="str">
            <v>CSR</v>
          </cell>
          <cell r="E2966" t="str">
            <v>ITEM</v>
          </cell>
          <cell r="F2966" t="str">
            <v>AMOUNT</v>
          </cell>
          <cell r="G2966" t="str">
            <v>TRANSTYPE (P/C/X)</v>
          </cell>
        </row>
        <row r="2967">
          <cell r="B2967" t="str">
            <v>September</v>
          </cell>
          <cell r="D2967" t="str">
            <v>99-179</v>
          </cell>
          <cell r="G2967" t="str">
            <v>P</v>
          </cell>
        </row>
        <row r="2968">
          <cell r="B2968" t="str">
            <v>MONTH</v>
          </cell>
          <cell r="C2968" t="str">
            <v>REF</v>
          </cell>
          <cell r="D2968" t="str">
            <v>CSR</v>
          </cell>
          <cell r="E2968" t="str">
            <v>ITEM</v>
          </cell>
          <cell r="F2968" t="str">
            <v>AMOUNT</v>
          </cell>
          <cell r="G2968" t="str">
            <v>TRANSTYPE (P/C/X)</v>
          </cell>
        </row>
        <row r="2969">
          <cell r="B2969" t="str">
            <v>September</v>
          </cell>
          <cell r="D2969" t="str">
            <v>99-180</v>
          </cell>
          <cell r="G2969" t="str">
            <v>P</v>
          </cell>
        </row>
        <row r="2970">
          <cell r="B2970" t="str">
            <v>MONTH</v>
          </cell>
          <cell r="C2970" t="str">
            <v>REF</v>
          </cell>
          <cell r="D2970" t="str">
            <v>CSR</v>
          </cell>
          <cell r="E2970" t="str">
            <v>ITEM</v>
          </cell>
          <cell r="F2970" t="str">
            <v>AMOUNT</v>
          </cell>
          <cell r="G2970" t="str">
            <v>TRANSTYPE (P/C/X)</v>
          </cell>
        </row>
        <row r="2971">
          <cell r="B2971" t="str">
            <v>September</v>
          </cell>
          <cell r="D2971" t="str">
            <v>99-181</v>
          </cell>
          <cell r="G2971" t="str">
            <v>P</v>
          </cell>
        </row>
        <row r="2972">
          <cell r="B2972" t="str">
            <v>MONTH</v>
          </cell>
          <cell r="C2972" t="str">
            <v>REF</v>
          </cell>
          <cell r="D2972" t="str">
            <v>CSR</v>
          </cell>
          <cell r="E2972" t="str">
            <v>ITEM</v>
          </cell>
          <cell r="F2972" t="str">
            <v>AMOUNT</v>
          </cell>
          <cell r="G2972" t="str">
            <v>TRANSTYPE (P/C/X)</v>
          </cell>
        </row>
        <row r="2973">
          <cell r="B2973" t="str">
            <v>September</v>
          </cell>
          <cell r="D2973" t="str">
            <v>99-182</v>
          </cell>
          <cell r="G2973" t="str">
            <v>P</v>
          </cell>
        </row>
        <row r="2974">
          <cell r="B2974" t="str">
            <v>MONTH</v>
          </cell>
          <cell r="C2974" t="str">
            <v>REF</v>
          </cell>
          <cell r="D2974" t="str">
            <v>CSR</v>
          </cell>
          <cell r="E2974" t="str">
            <v>ITEM</v>
          </cell>
          <cell r="F2974" t="str">
            <v>AMOUNT</v>
          </cell>
          <cell r="G2974" t="str">
            <v>TRANSTYPE (P/C/X)</v>
          </cell>
        </row>
        <row r="2975">
          <cell r="B2975" t="str">
            <v>September</v>
          </cell>
          <cell r="D2975" t="str">
            <v>99-183</v>
          </cell>
          <cell r="G2975" t="str">
            <v>P</v>
          </cell>
        </row>
        <row r="2976">
          <cell r="B2976" t="str">
            <v>MONTH</v>
          </cell>
          <cell r="C2976" t="str">
            <v>REF</v>
          </cell>
          <cell r="D2976" t="str">
            <v>CSR</v>
          </cell>
          <cell r="E2976" t="str">
            <v>ITEM</v>
          </cell>
          <cell r="F2976" t="str">
            <v>AMOUNT</v>
          </cell>
          <cell r="G2976" t="str">
            <v>TRANSTYPE (P/C/X)</v>
          </cell>
        </row>
        <row r="2977">
          <cell r="B2977" t="str">
            <v>September</v>
          </cell>
          <cell r="D2977" t="str">
            <v>99-186</v>
          </cell>
          <cell r="G2977" t="str">
            <v>P</v>
          </cell>
        </row>
        <row r="2978">
          <cell r="B2978" t="str">
            <v>MONTH</v>
          </cell>
          <cell r="C2978" t="str">
            <v>REF</v>
          </cell>
          <cell r="D2978" t="str">
            <v>CSR</v>
          </cell>
          <cell r="E2978" t="str">
            <v>ITEM</v>
          </cell>
          <cell r="F2978" t="str">
            <v>AMOUNT</v>
          </cell>
          <cell r="G2978" t="str">
            <v>TRANSTYPE (P/C/X)</v>
          </cell>
        </row>
        <row r="2979">
          <cell r="B2979" t="str">
            <v>September</v>
          </cell>
          <cell r="D2979" t="str">
            <v>99-187</v>
          </cell>
          <cell r="G2979" t="str">
            <v>P</v>
          </cell>
        </row>
        <row r="2980">
          <cell r="B2980" t="str">
            <v>MONTH</v>
          </cell>
          <cell r="C2980" t="str">
            <v>REF</v>
          </cell>
          <cell r="D2980" t="str">
            <v>CSR</v>
          </cell>
          <cell r="E2980" t="str">
            <v>ITEM</v>
          </cell>
          <cell r="F2980" t="str">
            <v>AMOUNT</v>
          </cell>
          <cell r="G2980" t="str">
            <v>TRANSTYPE (P/C/X)</v>
          </cell>
        </row>
        <row r="2981">
          <cell r="B2981" t="str">
            <v>September</v>
          </cell>
          <cell r="D2981" t="str">
            <v>99-188</v>
          </cell>
          <cell r="G2981" t="str">
            <v>P</v>
          </cell>
        </row>
        <row r="2982">
          <cell r="B2982" t="str">
            <v>MONTH</v>
          </cell>
          <cell r="C2982" t="str">
            <v>REF</v>
          </cell>
          <cell r="D2982" t="str">
            <v>CSR</v>
          </cell>
          <cell r="E2982" t="str">
            <v>ITEM</v>
          </cell>
          <cell r="F2982" t="str">
            <v>AMOUNT</v>
          </cell>
          <cell r="G2982" t="str">
            <v>TRANSTYPE (P/C/X)</v>
          </cell>
        </row>
        <row r="2983">
          <cell r="B2983" t="str">
            <v>September</v>
          </cell>
          <cell r="D2983" t="str">
            <v>99-189</v>
          </cell>
          <cell r="G2983" t="str">
            <v>P</v>
          </cell>
        </row>
        <row r="2984">
          <cell r="B2984" t="str">
            <v>MONTH</v>
          </cell>
          <cell r="C2984" t="str">
            <v>REF</v>
          </cell>
          <cell r="D2984" t="str">
            <v>CSR</v>
          </cell>
          <cell r="E2984" t="str">
            <v>ITEM</v>
          </cell>
          <cell r="F2984" t="str">
            <v>AMOUNT</v>
          </cell>
          <cell r="G2984" t="str">
            <v>TRANSTYPE (P/C/X)</v>
          </cell>
        </row>
        <row r="2985">
          <cell r="B2985" t="str">
            <v>September</v>
          </cell>
          <cell r="D2985" t="str">
            <v>99-190</v>
          </cell>
          <cell r="G2985" t="str">
            <v>P</v>
          </cell>
        </row>
        <row r="2986">
          <cell r="B2986" t="str">
            <v>MONTH</v>
          </cell>
          <cell r="C2986" t="str">
            <v>REF</v>
          </cell>
          <cell r="D2986" t="str">
            <v>CSR</v>
          </cell>
          <cell r="E2986" t="str">
            <v>ITEM</v>
          </cell>
          <cell r="F2986" t="str">
            <v>AMOUNT</v>
          </cell>
          <cell r="G2986" t="str">
            <v>TRANSTYPE (P/C/X)</v>
          </cell>
        </row>
        <row r="2987">
          <cell r="B2987" t="str">
            <v>September</v>
          </cell>
          <cell r="D2987" t="str">
            <v>99-191</v>
          </cell>
          <cell r="G2987" t="str">
            <v>P</v>
          </cell>
        </row>
        <row r="2988">
          <cell r="B2988" t="str">
            <v>MONTH</v>
          </cell>
          <cell r="C2988" t="str">
            <v>REF</v>
          </cell>
          <cell r="D2988" t="str">
            <v>CSR</v>
          </cell>
          <cell r="E2988" t="str">
            <v>ITEM</v>
          </cell>
          <cell r="F2988" t="str">
            <v>AMOUNT</v>
          </cell>
          <cell r="G2988" t="str">
            <v>TRANSTYPE (P/C/X)</v>
          </cell>
        </row>
        <row r="2989">
          <cell r="B2989" t="str">
            <v>September</v>
          </cell>
          <cell r="D2989" t="str">
            <v>99-192</v>
          </cell>
          <cell r="G2989" t="str">
            <v>P</v>
          </cell>
        </row>
        <row r="2990">
          <cell r="B2990" t="str">
            <v>MONTH</v>
          </cell>
          <cell r="C2990" t="str">
            <v>REF</v>
          </cell>
          <cell r="D2990" t="str">
            <v>CSR</v>
          </cell>
          <cell r="E2990" t="str">
            <v>ITEM</v>
          </cell>
          <cell r="F2990" t="str">
            <v>AMOUNT</v>
          </cell>
          <cell r="G2990" t="str">
            <v>TRANSTYPE (P/C/X)</v>
          </cell>
        </row>
        <row r="2991">
          <cell r="B2991" t="str">
            <v>September</v>
          </cell>
          <cell r="D2991" t="str">
            <v>99-193</v>
          </cell>
          <cell r="G2991" t="str">
            <v>P</v>
          </cell>
        </row>
        <row r="2992">
          <cell r="B2992" t="str">
            <v>MONTH</v>
          </cell>
          <cell r="C2992" t="str">
            <v>REF</v>
          </cell>
          <cell r="D2992" t="str">
            <v>CSR</v>
          </cell>
          <cell r="E2992" t="str">
            <v>ITEM</v>
          </cell>
          <cell r="F2992" t="str">
            <v>AMOUNT</v>
          </cell>
          <cell r="G2992" t="str">
            <v>TRANSTYPE (P/C/X)</v>
          </cell>
        </row>
        <row r="2993">
          <cell r="B2993" t="str">
            <v>September</v>
          </cell>
          <cell r="D2993" t="str">
            <v>99-194</v>
          </cell>
          <cell r="G2993" t="str">
            <v>P</v>
          </cell>
        </row>
        <row r="2994">
          <cell r="B2994" t="str">
            <v>MONTH</v>
          </cell>
          <cell r="C2994" t="str">
            <v>REF</v>
          </cell>
          <cell r="D2994" t="str">
            <v>CSR</v>
          </cell>
          <cell r="E2994" t="str">
            <v>ITEM</v>
          </cell>
          <cell r="F2994" t="str">
            <v>AMOUNT</v>
          </cell>
          <cell r="G2994" t="str">
            <v>TRANSTYPE (P/C/X)</v>
          </cell>
        </row>
        <row r="2995">
          <cell r="B2995" t="str">
            <v>September</v>
          </cell>
          <cell r="D2995" t="str">
            <v>99-195</v>
          </cell>
          <cell r="G2995" t="str">
            <v>P</v>
          </cell>
        </row>
        <row r="2996">
          <cell r="B2996" t="str">
            <v>MONTH</v>
          </cell>
          <cell r="C2996" t="str">
            <v>REF</v>
          </cell>
          <cell r="D2996" t="str">
            <v>CSR</v>
          </cell>
          <cell r="E2996" t="str">
            <v>ITEM</v>
          </cell>
          <cell r="F2996" t="str">
            <v>AMOUNT</v>
          </cell>
          <cell r="G2996" t="str">
            <v>TRANSTYPE (P/C/X)</v>
          </cell>
        </row>
        <row r="2997">
          <cell r="B2997" t="str">
            <v>September</v>
          </cell>
          <cell r="D2997" t="str">
            <v>99-196</v>
          </cell>
          <cell r="G2997" t="str">
            <v>P</v>
          </cell>
        </row>
        <row r="2998">
          <cell r="B2998" t="str">
            <v>MONTH</v>
          </cell>
          <cell r="C2998" t="str">
            <v>REF</v>
          </cell>
          <cell r="D2998" t="str">
            <v>CSR</v>
          </cell>
          <cell r="E2998" t="str">
            <v>ITEM</v>
          </cell>
          <cell r="F2998" t="str">
            <v>AMOUNT</v>
          </cell>
          <cell r="G2998" t="str">
            <v>TRANSTYPE (P/C/X)</v>
          </cell>
        </row>
        <row r="2999">
          <cell r="B2999" t="str">
            <v>September</v>
          </cell>
          <cell r="D2999" t="str">
            <v>99-197</v>
          </cell>
          <cell r="G2999" t="str">
            <v>P</v>
          </cell>
        </row>
        <row r="3000">
          <cell r="B3000" t="str">
            <v>MONTH</v>
          </cell>
          <cell r="C3000" t="str">
            <v>REF</v>
          </cell>
          <cell r="D3000" t="str">
            <v>CSR</v>
          </cell>
          <cell r="E3000" t="str">
            <v>ITEM</v>
          </cell>
          <cell r="F3000" t="str">
            <v>AMOUNT</v>
          </cell>
          <cell r="G3000" t="str">
            <v>TRANSTYPE (P/C/X)</v>
          </cell>
        </row>
        <row r="3001">
          <cell r="B3001" t="str">
            <v>September</v>
          </cell>
          <cell r="D3001" t="str">
            <v>99-198</v>
          </cell>
          <cell r="G3001" t="str">
            <v>P</v>
          </cell>
        </row>
        <row r="3002">
          <cell r="B3002" t="str">
            <v>MONTH</v>
          </cell>
          <cell r="C3002" t="str">
            <v>REF</v>
          </cell>
          <cell r="D3002" t="str">
            <v>CSR</v>
          </cell>
          <cell r="E3002" t="str">
            <v>ITEM</v>
          </cell>
          <cell r="F3002" t="str">
            <v>AMOUNT</v>
          </cell>
          <cell r="G3002" t="str">
            <v>TRANSTYPE (P/C/X)</v>
          </cell>
        </row>
        <row r="3003">
          <cell r="B3003" t="str">
            <v>September</v>
          </cell>
          <cell r="D3003" t="str">
            <v>99-199</v>
          </cell>
          <cell r="G3003" t="str">
            <v>P</v>
          </cell>
        </row>
        <row r="3004">
          <cell r="B3004" t="str">
            <v>MONTH</v>
          </cell>
          <cell r="C3004" t="str">
            <v>REF</v>
          </cell>
          <cell r="D3004" t="str">
            <v>CSR</v>
          </cell>
          <cell r="E3004" t="str">
            <v>ITEM</v>
          </cell>
          <cell r="F3004" t="str">
            <v>AMOUNT</v>
          </cell>
          <cell r="G3004" t="str">
            <v>TRANSTYPE (P/C/X)</v>
          </cell>
        </row>
        <row r="3005">
          <cell r="B3005" t="str">
            <v>September</v>
          </cell>
          <cell r="D3005" t="str">
            <v>99-200</v>
          </cell>
          <cell r="G3005" t="str">
            <v>P</v>
          </cell>
        </row>
        <row r="3006">
          <cell r="B3006" t="str">
            <v>MONTH</v>
          </cell>
          <cell r="C3006" t="str">
            <v>REF</v>
          </cell>
          <cell r="D3006" t="str">
            <v>CSR</v>
          </cell>
          <cell r="E3006" t="str">
            <v>ITEM</v>
          </cell>
          <cell r="F3006" t="str">
            <v>AMOUNT</v>
          </cell>
          <cell r="G3006" t="str">
            <v>TRANSTYPE (P/C/X)</v>
          </cell>
        </row>
        <row r="3007">
          <cell r="B3007" t="str">
            <v>September</v>
          </cell>
          <cell r="D3007" t="str">
            <v>99-201</v>
          </cell>
          <cell r="G3007" t="str">
            <v>P</v>
          </cell>
        </row>
        <row r="3008">
          <cell r="B3008" t="str">
            <v>MONTH</v>
          </cell>
          <cell r="C3008" t="str">
            <v>REF</v>
          </cell>
          <cell r="D3008" t="str">
            <v>CSR</v>
          </cell>
          <cell r="E3008" t="str">
            <v>ITEM</v>
          </cell>
          <cell r="F3008" t="str">
            <v>AMOUNT</v>
          </cell>
          <cell r="G3008" t="str">
            <v>TRANSTYPE (P/C/X)</v>
          </cell>
        </row>
        <row r="3009">
          <cell r="B3009" t="str">
            <v>September</v>
          </cell>
          <cell r="D3009" t="str">
            <v>99-202</v>
          </cell>
          <cell r="G3009" t="str">
            <v>P</v>
          </cell>
        </row>
        <row r="3010">
          <cell r="B3010" t="str">
            <v>MONTH</v>
          </cell>
          <cell r="C3010" t="str">
            <v>REF</v>
          </cell>
          <cell r="D3010" t="str">
            <v>CSR</v>
          </cell>
          <cell r="E3010" t="str">
            <v>ITEM</v>
          </cell>
          <cell r="F3010" t="str">
            <v>AMOUNT</v>
          </cell>
          <cell r="G3010" t="str">
            <v>TRANSTYPE (P/C/X)</v>
          </cell>
        </row>
        <row r="3011">
          <cell r="B3011" t="str">
            <v>September</v>
          </cell>
          <cell r="D3011" t="str">
            <v>99-203</v>
          </cell>
          <cell r="G3011" t="str">
            <v>P</v>
          </cell>
        </row>
        <row r="3012">
          <cell r="B3012" t="str">
            <v>MONTH</v>
          </cell>
          <cell r="C3012" t="str">
            <v>REF</v>
          </cell>
          <cell r="D3012" t="str">
            <v>CSR</v>
          </cell>
          <cell r="E3012" t="str">
            <v>ITEM</v>
          </cell>
          <cell r="F3012" t="str">
            <v>AMOUNT</v>
          </cell>
          <cell r="G3012" t="str">
            <v>TRANSTYPE (P/C/X)</v>
          </cell>
        </row>
        <row r="3013">
          <cell r="B3013" t="str">
            <v>September</v>
          </cell>
          <cell r="D3013" t="str">
            <v>99-204</v>
          </cell>
          <cell r="G3013" t="str">
            <v>P</v>
          </cell>
        </row>
        <row r="3014">
          <cell r="B3014" t="str">
            <v>MONTH</v>
          </cell>
          <cell r="C3014" t="str">
            <v>REF</v>
          </cell>
          <cell r="D3014" t="str">
            <v>CSR</v>
          </cell>
          <cell r="E3014" t="str">
            <v>ITEM</v>
          </cell>
          <cell r="F3014" t="str">
            <v>AMOUNT</v>
          </cell>
          <cell r="G3014" t="str">
            <v>TRANSTYPE (P/C/X)</v>
          </cell>
        </row>
        <row r="3015">
          <cell r="B3015" t="str">
            <v>September</v>
          </cell>
          <cell r="D3015" t="str">
            <v>99-205</v>
          </cell>
          <cell r="G3015" t="str">
            <v>P</v>
          </cell>
        </row>
        <row r="3016">
          <cell r="B3016" t="str">
            <v>MONTH</v>
          </cell>
          <cell r="C3016" t="str">
            <v>REF</v>
          </cell>
          <cell r="D3016" t="str">
            <v>CSR</v>
          </cell>
          <cell r="E3016" t="str">
            <v>ITEM</v>
          </cell>
          <cell r="F3016" t="str">
            <v>AMOUNT</v>
          </cell>
          <cell r="G3016" t="str">
            <v>TRANSTYPE (P/C/X)</v>
          </cell>
        </row>
        <row r="3017">
          <cell r="B3017" t="str">
            <v>September</v>
          </cell>
          <cell r="D3017" t="str">
            <v>99-206</v>
          </cell>
          <cell r="G3017" t="str">
            <v>P</v>
          </cell>
        </row>
        <row r="3018">
          <cell r="B3018" t="str">
            <v>MONTH</v>
          </cell>
          <cell r="C3018" t="str">
            <v>REF</v>
          </cell>
          <cell r="D3018" t="str">
            <v>CSR</v>
          </cell>
          <cell r="E3018" t="str">
            <v>ITEM</v>
          </cell>
          <cell r="F3018" t="str">
            <v>AMOUNT</v>
          </cell>
          <cell r="G3018" t="str">
            <v>TRANSTYPE (P/C/X)</v>
          </cell>
        </row>
        <row r="3019">
          <cell r="B3019" t="str">
            <v>September</v>
          </cell>
          <cell r="D3019" t="str">
            <v>99-207</v>
          </cell>
          <cell r="G3019" t="str">
            <v>P</v>
          </cell>
        </row>
        <row r="3020">
          <cell r="B3020" t="str">
            <v>MONTH</v>
          </cell>
          <cell r="C3020" t="str">
            <v>REF</v>
          </cell>
          <cell r="D3020" t="str">
            <v>CSR</v>
          </cell>
          <cell r="E3020" t="str">
            <v>ITEM</v>
          </cell>
          <cell r="F3020" t="str">
            <v>AMOUNT</v>
          </cell>
          <cell r="G3020" t="str">
            <v>TRANSTYPE (P/C/X)</v>
          </cell>
        </row>
        <row r="3021">
          <cell r="B3021" t="str">
            <v>September</v>
          </cell>
          <cell r="D3021" t="str">
            <v>99-208</v>
          </cell>
          <cell r="G3021" t="str">
            <v>P</v>
          </cell>
        </row>
        <row r="3022">
          <cell r="B3022" t="str">
            <v>MONTH</v>
          </cell>
          <cell r="C3022" t="str">
            <v>REF</v>
          </cell>
          <cell r="D3022" t="str">
            <v>CSR</v>
          </cell>
          <cell r="E3022" t="str">
            <v>ITEM</v>
          </cell>
          <cell r="F3022" t="str">
            <v>AMOUNT</v>
          </cell>
          <cell r="G3022" t="str">
            <v>TRANSTYPE (P/C/X)</v>
          </cell>
        </row>
        <row r="3023">
          <cell r="B3023" t="str">
            <v>September</v>
          </cell>
          <cell r="D3023" t="str">
            <v>99-209</v>
          </cell>
          <cell r="G3023" t="str">
            <v>P</v>
          </cell>
        </row>
        <row r="3024">
          <cell r="B3024" t="str">
            <v>MONTH</v>
          </cell>
          <cell r="C3024" t="str">
            <v>REF</v>
          </cell>
          <cell r="D3024" t="str">
            <v>CSR</v>
          </cell>
          <cell r="E3024" t="str">
            <v>ITEM</v>
          </cell>
          <cell r="F3024" t="str">
            <v>AMOUNT</v>
          </cell>
          <cell r="G3024" t="str">
            <v>TRANSTYPE (P/C/X)</v>
          </cell>
        </row>
        <row r="3025">
          <cell r="B3025" t="str">
            <v>September</v>
          </cell>
          <cell r="D3025" t="str">
            <v>99-210</v>
          </cell>
          <cell r="G3025" t="str">
            <v>P</v>
          </cell>
        </row>
        <row r="3026">
          <cell r="B3026" t="str">
            <v>MONTH</v>
          </cell>
          <cell r="C3026" t="str">
            <v>REF</v>
          </cell>
          <cell r="D3026" t="str">
            <v>CSR</v>
          </cell>
          <cell r="E3026" t="str">
            <v>ITEM</v>
          </cell>
          <cell r="F3026" t="str">
            <v>AMOUNT</v>
          </cell>
          <cell r="G3026" t="str">
            <v>TRANSTYPE (P/C/X)</v>
          </cell>
        </row>
        <row r="3027">
          <cell r="B3027" t="str">
            <v>September</v>
          </cell>
          <cell r="D3027" t="str">
            <v>99-211</v>
          </cell>
          <cell r="G3027" t="str">
            <v>P</v>
          </cell>
        </row>
        <row r="3028">
          <cell r="B3028" t="str">
            <v>MONTH</v>
          </cell>
          <cell r="C3028" t="str">
            <v>REF</v>
          </cell>
          <cell r="D3028" t="str">
            <v>CSR</v>
          </cell>
          <cell r="E3028" t="str">
            <v>ITEM</v>
          </cell>
          <cell r="F3028" t="str">
            <v>AMOUNT</v>
          </cell>
          <cell r="G3028" t="str">
            <v>TRANSTYPE (P/C/X)</v>
          </cell>
        </row>
        <row r="3029">
          <cell r="B3029" t="str">
            <v>September</v>
          </cell>
          <cell r="D3029" t="str">
            <v>99-212</v>
          </cell>
          <cell r="G3029" t="str">
            <v>P</v>
          </cell>
        </row>
        <row r="3030">
          <cell r="B3030" t="str">
            <v>MONTH</v>
          </cell>
          <cell r="C3030" t="str">
            <v>REF</v>
          </cell>
          <cell r="D3030" t="str">
            <v>CSR</v>
          </cell>
          <cell r="E3030" t="str">
            <v>ITEM</v>
          </cell>
          <cell r="F3030" t="str">
            <v>AMOUNT</v>
          </cell>
          <cell r="G3030" t="str">
            <v>TRANSTYPE (P/C/X)</v>
          </cell>
        </row>
        <row r="3031">
          <cell r="B3031" t="str">
            <v>September</v>
          </cell>
          <cell r="D3031" t="str">
            <v>99-213</v>
          </cell>
          <cell r="G3031" t="str">
            <v>P</v>
          </cell>
        </row>
        <row r="3032">
          <cell r="B3032" t="str">
            <v>MONTH</v>
          </cell>
          <cell r="C3032" t="str">
            <v>REF</v>
          </cell>
          <cell r="D3032" t="str">
            <v>CSR</v>
          </cell>
          <cell r="E3032" t="str">
            <v>ITEM</v>
          </cell>
          <cell r="F3032" t="str">
            <v>AMOUNT</v>
          </cell>
          <cell r="G3032" t="str">
            <v>TRANSTYPE (P/C/X)</v>
          </cell>
        </row>
        <row r="3033">
          <cell r="B3033" t="str">
            <v>September</v>
          </cell>
          <cell r="D3033" t="str">
            <v>NO CSR#</v>
          </cell>
          <cell r="G3033" t="str">
            <v>P</v>
          </cell>
        </row>
        <row r="3034">
          <cell r="B3034" t="str">
            <v>MONTH</v>
          </cell>
          <cell r="C3034" t="str">
            <v>REF</v>
          </cell>
          <cell r="D3034" t="str">
            <v>CSR</v>
          </cell>
          <cell r="E3034" t="str">
            <v>ITEM</v>
          </cell>
          <cell r="F3034" t="str">
            <v>AMOUNT</v>
          </cell>
          <cell r="G3034" t="str">
            <v>TRANSTYPE (P/C/X)</v>
          </cell>
        </row>
        <row r="3035">
          <cell r="B3035" t="str">
            <v>September</v>
          </cell>
          <cell r="D3035" t="str">
            <v>99-300</v>
          </cell>
          <cell r="G3035" t="str">
            <v>P</v>
          </cell>
        </row>
        <row r="3036">
          <cell r="B3036" t="str">
            <v>MONTH</v>
          </cell>
          <cell r="C3036" t="str">
            <v>REF</v>
          </cell>
          <cell r="D3036" t="str">
            <v>CSR</v>
          </cell>
          <cell r="E3036" t="str">
            <v>ITEM</v>
          </cell>
          <cell r="F3036" t="str">
            <v>AMOUNT</v>
          </cell>
          <cell r="G3036" t="str">
            <v>TRANSTYPE (P/C/X)</v>
          </cell>
        </row>
        <row r="3037">
          <cell r="B3037" t="str">
            <v>September</v>
          </cell>
          <cell r="D3037" t="str">
            <v>99-301</v>
          </cell>
          <cell r="G3037" t="str">
            <v>P</v>
          </cell>
        </row>
        <row r="3038">
          <cell r="B3038" t="str">
            <v>MONTH</v>
          </cell>
          <cell r="C3038" t="str">
            <v>REF</v>
          </cell>
          <cell r="D3038" t="str">
            <v>CSR</v>
          </cell>
          <cell r="E3038" t="str">
            <v>ITEM</v>
          </cell>
          <cell r="F3038" t="str">
            <v>AMOUNT</v>
          </cell>
          <cell r="G3038" t="str">
            <v>TRANSTYPE (P/C/X)</v>
          </cell>
        </row>
        <row r="3039">
          <cell r="B3039" t="str">
            <v>September</v>
          </cell>
          <cell r="D3039" t="str">
            <v>99-302</v>
          </cell>
          <cell r="G3039" t="str">
            <v>P</v>
          </cell>
        </row>
        <row r="3040">
          <cell r="B3040" t="str">
            <v>MONTH</v>
          </cell>
          <cell r="C3040" t="str">
            <v>REF</v>
          </cell>
          <cell r="D3040" t="str">
            <v>CSR</v>
          </cell>
          <cell r="E3040" t="str">
            <v>ITEM</v>
          </cell>
          <cell r="F3040" t="str">
            <v>AMOUNT</v>
          </cell>
          <cell r="G3040" t="str">
            <v>TRANSTYPE (P/C/X)</v>
          </cell>
        </row>
        <row r="3041">
          <cell r="B3041" t="str">
            <v>September</v>
          </cell>
          <cell r="D3041" t="str">
            <v>99-303</v>
          </cell>
          <cell r="G3041" t="str">
            <v>P</v>
          </cell>
        </row>
        <row r="3042">
          <cell r="B3042" t="str">
            <v>MONTH</v>
          </cell>
          <cell r="C3042" t="str">
            <v>REF</v>
          </cell>
          <cell r="D3042" t="str">
            <v>CSR</v>
          </cell>
          <cell r="E3042" t="str">
            <v>ITEM</v>
          </cell>
          <cell r="F3042" t="str">
            <v>AMOUNT</v>
          </cell>
          <cell r="G3042" t="str">
            <v>TRANSTYPE (P/C/X)</v>
          </cell>
        </row>
        <row r="3043">
          <cell r="B3043" t="str">
            <v>September</v>
          </cell>
          <cell r="D3043" t="str">
            <v>99-304</v>
          </cell>
          <cell r="G3043" t="str">
            <v>P</v>
          </cell>
        </row>
        <row r="3044">
          <cell r="B3044" t="str">
            <v>MONTH</v>
          </cell>
          <cell r="C3044" t="str">
            <v>REF</v>
          </cell>
          <cell r="D3044" t="str">
            <v>CSR</v>
          </cell>
          <cell r="E3044" t="str">
            <v>ITEM</v>
          </cell>
          <cell r="F3044" t="str">
            <v>AMOUNT</v>
          </cell>
          <cell r="G3044" t="str">
            <v>TRANSTYPE (P/C/X)</v>
          </cell>
        </row>
        <row r="3045">
          <cell r="B3045" t="str">
            <v>September</v>
          </cell>
          <cell r="D3045" t="str">
            <v>99-305</v>
          </cell>
          <cell r="G3045" t="str">
            <v>P</v>
          </cell>
        </row>
        <row r="3046">
          <cell r="B3046" t="str">
            <v>MONTH</v>
          </cell>
          <cell r="C3046" t="str">
            <v>REF</v>
          </cell>
          <cell r="D3046" t="str">
            <v>CSR</v>
          </cell>
          <cell r="E3046" t="str">
            <v>ITEM</v>
          </cell>
          <cell r="F3046" t="str">
            <v>AMOUNT</v>
          </cell>
          <cell r="G3046" t="str">
            <v>TRANSTYPE (P/C/X)</v>
          </cell>
        </row>
        <row r="3047">
          <cell r="B3047" t="str">
            <v>September</v>
          </cell>
          <cell r="D3047" t="str">
            <v>99-306</v>
          </cell>
          <cell r="G3047" t="str">
            <v>P</v>
          </cell>
        </row>
        <row r="3048">
          <cell r="B3048" t="str">
            <v>MONTH</v>
          </cell>
          <cell r="C3048" t="str">
            <v>REF</v>
          </cell>
          <cell r="D3048" t="str">
            <v>CSR</v>
          </cell>
          <cell r="E3048" t="str">
            <v>ITEM</v>
          </cell>
          <cell r="F3048" t="str">
            <v>AMOUNT</v>
          </cell>
          <cell r="G3048" t="str">
            <v>TRANSTYPE (P/C/X)</v>
          </cell>
        </row>
        <row r="3049">
          <cell r="B3049" t="str">
            <v>September</v>
          </cell>
          <cell r="D3049" t="str">
            <v>99-307</v>
          </cell>
          <cell r="G3049" t="str">
            <v>P</v>
          </cell>
        </row>
        <row r="3050">
          <cell r="B3050" t="str">
            <v>MONTH</v>
          </cell>
          <cell r="C3050" t="str">
            <v>REF</v>
          </cell>
          <cell r="D3050" t="str">
            <v>CSR</v>
          </cell>
          <cell r="E3050" t="str">
            <v>ITEM</v>
          </cell>
          <cell r="F3050" t="str">
            <v>AMOUNT</v>
          </cell>
          <cell r="G3050" t="str">
            <v>TRANSTYPE (P/C/X)</v>
          </cell>
        </row>
        <row r="3051">
          <cell r="B3051" t="str">
            <v>September</v>
          </cell>
          <cell r="D3051" t="str">
            <v>99-308</v>
          </cell>
          <cell r="G3051" t="str">
            <v>P</v>
          </cell>
        </row>
        <row r="3052">
          <cell r="B3052" t="str">
            <v>MONTH</v>
          </cell>
          <cell r="C3052" t="str">
            <v>REF</v>
          </cell>
          <cell r="D3052" t="str">
            <v>CSR</v>
          </cell>
          <cell r="E3052" t="str">
            <v>ITEM</v>
          </cell>
          <cell r="F3052" t="str">
            <v>AMOUNT</v>
          </cell>
          <cell r="G3052" t="str">
            <v>TRANSTYPE (P/C/X)</v>
          </cell>
        </row>
        <row r="3053">
          <cell r="B3053" t="str">
            <v>September</v>
          </cell>
          <cell r="D3053" t="str">
            <v>99-309</v>
          </cell>
          <cell r="G3053" t="str">
            <v>P</v>
          </cell>
        </row>
        <row r="3054">
          <cell r="B3054" t="str">
            <v>MONTH</v>
          </cell>
          <cell r="C3054" t="str">
            <v>REF</v>
          </cell>
          <cell r="D3054" t="str">
            <v>CSR</v>
          </cell>
          <cell r="E3054" t="str">
            <v>ITEM</v>
          </cell>
          <cell r="F3054" t="str">
            <v>AMOUNT</v>
          </cell>
          <cell r="G3054" t="str">
            <v>TRANSTYPE (P/C/X)</v>
          </cell>
        </row>
        <row r="3055">
          <cell r="B3055" t="str">
            <v>September</v>
          </cell>
          <cell r="D3055" t="str">
            <v>99-310</v>
          </cell>
          <cell r="G3055" t="str">
            <v>P</v>
          </cell>
        </row>
        <row r="3056">
          <cell r="B3056" t="str">
            <v>MONTH</v>
          </cell>
          <cell r="C3056" t="str">
            <v>REF</v>
          </cell>
          <cell r="D3056" t="str">
            <v>CSR</v>
          </cell>
          <cell r="E3056" t="str">
            <v>ITEM</v>
          </cell>
          <cell r="F3056" t="str">
            <v>AMOUNT</v>
          </cell>
          <cell r="G3056" t="str">
            <v>TRANSTYPE (P/C/X)</v>
          </cell>
        </row>
        <row r="3057">
          <cell r="B3057" t="str">
            <v>September</v>
          </cell>
          <cell r="D3057" t="str">
            <v>99-311</v>
          </cell>
          <cell r="G3057" t="str">
            <v>P</v>
          </cell>
        </row>
        <row r="3058">
          <cell r="B3058" t="str">
            <v>MONTH</v>
          </cell>
          <cell r="C3058" t="str">
            <v>REF</v>
          </cell>
          <cell r="D3058" t="str">
            <v>CSR</v>
          </cell>
          <cell r="E3058" t="str">
            <v>ITEM</v>
          </cell>
          <cell r="F3058" t="str">
            <v>AMOUNT</v>
          </cell>
          <cell r="G3058" t="str">
            <v>TRANSTYPE (P/C/X)</v>
          </cell>
        </row>
        <row r="3059">
          <cell r="B3059" t="str">
            <v>September</v>
          </cell>
          <cell r="D3059" t="str">
            <v>99-312</v>
          </cell>
          <cell r="G3059" t="str">
            <v>P</v>
          </cell>
        </row>
        <row r="3060">
          <cell r="B3060" t="str">
            <v>MONTH</v>
          </cell>
          <cell r="C3060" t="str">
            <v>REF</v>
          </cell>
          <cell r="D3060" t="str">
            <v>CSR</v>
          </cell>
          <cell r="E3060" t="str">
            <v>ITEM</v>
          </cell>
          <cell r="F3060" t="str">
            <v>AMOUNT</v>
          </cell>
          <cell r="G3060" t="str">
            <v>TRANSTYPE (P/C/X)</v>
          </cell>
        </row>
        <row r="3061">
          <cell r="B3061" t="str">
            <v>September</v>
          </cell>
          <cell r="D3061" t="str">
            <v>99-313</v>
          </cell>
          <cell r="G3061" t="str">
            <v>P</v>
          </cell>
        </row>
        <row r="3062">
          <cell r="B3062" t="str">
            <v>MONTH</v>
          </cell>
          <cell r="C3062" t="str">
            <v>REF</v>
          </cell>
          <cell r="D3062" t="str">
            <v>CSR</v>
          </cell>
          <cell r="E3062" t="str">
            <v>ITEM</v>
          </cell>
          <cell r="F3062" t="str">
            <v>AMOUNT</v>
          </cell>
          <cell r="G3062" t="str">
            <v>TRANSTYPE (P/C/X)</v>
          </cell>
        </row>
        <row r="3063">
          <cell r="B3063" t="str">
            <v>September</v>
          </cell>
          <cell r="D3063" t="str">
            <v>99-314</v>
          </cell>
          <cell r="G3063" t="str">
            <v>P</v>
          </cell>
        </row>
        <row r="3064">
          <cell r="B3064" t="str">
            <v>MONTH</v>
          </cell>
          <cell r="C3064" t="str">
            <v>REF</v>
          </cell>
          <cell r="D3064" t="str">
            <v>CSR</v>
          </cell>
          <cell r="E3064" t="str">
            <v>ITEM</v>
          </cell>
          <cell r="F3064" t="str">
            <v>AMOUNT</v>
          </cell>
          <cell r="G3064" t="str">
            <v>TRANSTYPE (P/C/X)</v>
          </cell>
        </row>
        <row r="3065">
          <cell r="B3065" t="str">
            <v>September</v>
          </cell>
          <cell r="D3065" t="str">
            <v>99-315</v>
          </cell>
          <cell r="G3065" t="str">
            <v>P</v>
          </cell>
        </row>
        <row r="3066">
          <cell r="B3066" t="str">
            <v>MONTH</v>
          </cell>
          <cell r="C3066" t="str">
            <v>REF</v>
          </cell>
          <cell r="D3066" t="str">
            <v>CSR</v>
          </cell>
          <cell r="E3066" t="str">
            <v>ITEM</v>
          </cell>
          <cell r="F3066" t="str">
            <v>AMOUNT</v>
          </cell>
          <cell r="G3066" t="str">
            <v>TRANSTYPE (P/C/X)</v>
          </cell>
        </row>
        <row r="3067">
          <cell r="B3067" t="str">
            <v>September</v>
          </cell>
          <cell r="D3067" t="str">
            <v>99-316</v>
          </cell>
          <cell r="G3067" t="str">
            <v>P</v>
          </cell>
        </row>
        <row r="3068">
          <cell r="B3068" t="str">
            <v>MONTH</v>
          </cell>
          <cell r="C3068" t="str">
            <v>REF</v>
          </cell>
          <cell r="D3068" t="str">
            <v>CSR</v>
          </cell>
          <cell r="E3068" t="str">
            <v>ITEM</v>
          </cell>
          <cell r="F3068" t="str">
            <v>AMOUNT</v>
          </cell>
          <cell r="G3068" t="str">
            <v>TRANSTYPE (P/C/X)</v>
          </cell>
        </row>
        <row r="3069">
          <cell r="B3069" t="str">
            <v>September</v>
          </cell>
          <cell r="D3069" t="str">
            <v>99-317</v>
          </cell>
          <cell r="G3069" t="str">
            <v>P</v>
          </cell>
        </row>
        <row r="3070">
          <cell r="B3070" t="str">
            <v>MONTH</v>
          </cell>
          <cell r="C3070" t="str">
            <v>REF</v>
          </cell>
          <cell r="D3070" t="str">
            <v>CSR</v>
          </cell>
          <cell r="E3070" t="str">
            <v>ITEM</v>
          </cell>
          <cell r="F3070" t="str">
            <v>AMOUNT</v>
          </cell>
          <cell r="G3070" t="str">
            <v>TRANSTYPE (P/C/X)</v>
          </cell>
        </row>
        <row r="3071">
          <cell r="B3071" t="str">
            <v>September</v>
          </cell>
          <cell r="D3071" t="str">
            <v>99-318</v>
          </cell>
          <cell r="G3071" t="str">
            <v>P</v>
          </cell>
        </row>
        <row r="3072">
          <cell r="B3072" t="str">
            <v>MONTH</v>
          </cell>
          <cell r="C3072" t="str">
            <v>REF</v>
          </cell>
          <cell r="D3072" t="str">
            <v>CSR</v>
          </cell>
          <cell r="E3072" t="str">
            <v>ITEM</v>
          </cell>
          <cell r="F3072" t="str">
            <v>AMOUNT</v>
          </cell>
          <cell r="G3072" t="str">
            <v>TRANSTYPE (P/C/X)</v>
          </cell>
        </row>
        <row r="3073">
          <cell r="B3073" t="str">
            <v>September</v>
          </cell>
          <cell r="D3073" t="str">
            <v>99-319</v>
          </cell>
          <cell r="G3073" t="str">
            <v>P</v>
          </cell>
        </row>
        <row r="3074">
          <cell r="B3074" t="str">
            <v>MONTH</v>
          </cell>
          <cell r="C3074" t="str">
            <v>REF</v>
          </cell>
          <cell r="D3074" t="str">
            <v>CSR</v>
          </cell>
          <cell r="E3074" t="str">
            <v>ITEM</v>
          </cell>
          <cell r="F3074" t="str">
            <v>AMOUNT</v>
          </cell>
          <cell r="G3074" t="str">
            <v>TRANSTYPE (P/C/X)</v>
          </cell>
        </row>
        <row r="3075">
          <cell r="B3075" t="str">
            <v>September</v>
          </cell>
          <cell r="D3075" t="str">
            <v>99-320</v>
          </cell>
          <cell r="G3075" t="str">
            <v>P</v>
          </cell>
        </row>
        <row r="3076">
          <cell r="B3076" t="str">
            <v>MONTH</v>
          </cell>
          <cell r="C3076" t="str">
            <v>REF</v>
          </cell>
          <cell r="D3076" t="str">
            <v>CSR</v>
          </cell>
          <cell r="E3076" t="str">
            <v>ITEM</v>
          </cell>
          <cell r="F3076" t="str">
            <v>AMOUNT</v>
          </cell>
          <cell r="G3076" t="str">
            <v>TRANSTYPE (P/C/X)</v>
          </cell>
        </row>
        <row r="3077">
          <cell r="B3077" t="str">
            <v>September</v>
          </cell>
          <cell r="D3077" t="str">
            <v>99-321</v>
          </cell>
          <cell r="G3077" t="str">
            <v>P</v>
          </cell>
        </row>
        <row r="3078">
          <cell r="B3078" t="str">
            <v>MONTH</v>
          </cell>
          <cell r="C3078" t="str">
            <v>REF</v>
          </cell>
          <cell r="D3078" t="str">
            <v>CSR</v>
          </cell>
          <cell r="E3078" t="str">
            <v>ITEM</v>
          </cell>
          <cell r="F3078" t="str">
            <v>AMOUNT</v>
          </cell>
          <cell r="G3078" t="str">
            <v>TRANSTYPE (P/C/X)</v>
          </cell>
        </row>
        <row r="3079">
          <cell r="B3079" t="str">
            <v>September</v>
          </cell>
          <cell r="D3079" t="str">
            <v>99-322</v>
          </cell>
          <cell r="G3079" t="str">
            <v>P</v>
          </cell>
        </row>
        <row r="3080">
          <cell r="B3080" t="str">
            <v>MONTH</v>
          </cell>
          <cell r="C3080" t="str">
            <v>REF</v>
          </cell>
          <cell r="D3080" t="str">
            <v>CSR</v>
          </cell>
          <cell r="E3080" t="str">
            <v>ITEM</v>
          </cell>
          <cell r="F3080" t="str">
            <v>AMOUNT</v>
          </cell>
          <cell r="G3080" t="str">
            <v>TRANSTYPE (P/C/X)</v>
          </cell>
        </row>
        <row r="3081">
          <cell r="B3081" t="str">
            <v>September</v>
          </cell>
          <cell r="D3081" t="str">
            <v>99-323</v>
          </cell>
          <cell r="G3081" t="str">
            <v>P</v>
          </cell>
        </row>
        <row r="3082">
          <cell r="B3082" t="str">
            <v>MONTH</v>
          </cell>
          <cell r="C3082" t="str">
            <v>REF</v>
          </cell>
          <cell r="D3082" t="str">
            <v>CSR</v>
          </cell>
          <cell r="E3082" t="str">
            <v>ITEM</v>
          </cell>
          <cell r="F3082" t="str">
            <v>AMOUNT</v>
          </cell>
          <cell r="G3082" t="str">
            <v>TRANSTYPE (P/C/X)</v>
          </cell>
        </row>
        <row r="3083">
          <cell r="B3083" t="str">
            <v>September</v>
          </cell>
          <cell r="D3083" t="str">
            <v>99-324</v>
          </cell>
          <cell r="G3083" t="str">
            <v>P</v>
          </cell>
        </row>
        <row r="3084">
          <cell r="B3084" t="str">
            <v>MONTH</v>
          </cell>
          <cell r="C3084" t="str">
            <v>REF</v>
          </cell>
          <cell r="D3084" t="str">
            <v>CSR</v>
          </cell>
          <cell r="E3084" t="str">
            <v>ITEM</v>
          </cell>
          <cell r="F3084" t="str">
            <v>AMOUNT</v>
          </cell>
          <cell r="G3084" t="str">
            <v>TRANSTYPE (P/C/X)</v>
          </cell>
        </row>
        <row r="3085">
          <cell r="B3085" t="str">
            <v>September</v>
          </cell>
          <cell r="D3085" t="str">
            <v>99-325</v>
          </cell>
          <cell r="G3085" t="str">
            <v>P</v>
          </cell>
        </row>
        <row r="3086">
          <cell r="B3086" t="str">
            <v>MONTH</v>
          </cell>
          <cell r="C3086" t="str">
            <v>REF</v>
          </cell>
          <cell r="D3086" t="str">
            <v>CSR</v>
          </cell>
          <cell r="E3086" t="str">
            <v>ITEM</v>
          </cell>
          <cell r="F3086" t="str">
            <v>AMOUNT</v>
          </cell>
          <cell r="G3086" t="str">
            <v>TRANSTYPE (P/C/X)</v>
          </cell>
        </row>
        <row r="3087">
          <cell r="B3087" t="str">
            <v>September</v>
          </cell>
          <cell r="D3087" t="str">
            <v>99-326</v>
          </cell>
          <cell r="G3087" t="str">
            <v>P</v>
          </cell>
        </row>
        <row r="3088">
          <cell r="B3088" t="str">
            <v>MONTH</v>
          </cell>
          <cell r="C3088" t="str">
            <v>REF</v>
          </cell>
          <cell r="D3088" t="str">
            <v>CSR</v>
          </cell>
          <cell r="E3088" t="str">
            <v>ITEM</v>
          </cell>
          <cell r="F3088" t="str">
            <v>AMOUNT</v>
          </cell>
          <cell r="G3088" t="str">
            <v>TRANSTYPE (P/C/X)</v>
          </cell>
        </row>
        <row r="3089">
          <cell r="B3089" t="str">
            <v>September</v>
          </cell>
          <cell r="D3089" t="str">
            <v>99-327</v>
          </cell>
          <cell r="G3089" t="str">
            <v>P</v>
          </cell>
        </row>
        <row r="3090">
          <cell r="B3090" t="str">
            <v>MONTH</v>
          </cell>
          <cell r="C3090" t="str">
            <v>REF</v>
          </cell>
          <cell r="D3090" t="str">
            <v>CSR</v>
          </cell>
          <cell r="E3090" t="str">
            <v>ITEM</v>
          </cell>
          <cell r="F3090" t="str">
            <v>AMOUNT</v>
          </cell>
          <cell r="G3090" t="str">
            <v>TRANSTYPE (P/C/X)</v>
          </cell>
        </row>
        <row r="3091">
          <cell r="B3091" t="str">
            <v>September</v>
          </cell>
          <cell r="D3091" t="str">
            <v>99-328</v>
          </cell>
          <cell r="G3091" t="str">
            <v>P</v>
          </cell>
        </row>
        <row r="3092">
          <cell r="B3092" t="str">
            <v>MONTH</v>
          </cell>
          <cell r="C3092" t="str">
            <v>REF</v>
          </cell>
          <cell r="D3092" t="str">
            <v>CSR</v>
          </cell>
          <cell r="E3092" t="str">
            <v>ITEM</v>
          </cell>
          <cell r="F3092" t="str">
            <v>AMOUNT</v>
          </cell>
          <cell r="G3092" t="str">
            <v>TRANSTYPE (P/C/X)</v>
          </cell>
        </row>
        <row r="3093">
          <cell r="B3093" t="str">
            <v>September</v>
          </cell>
          <cell r="D3093" t="str">
            <v>99-329</v>
          </cell>
          <cell r="G3093" t="str">
            <v>P</v>
          </cell>
        </row>
        <row r="3094">
          <cell r="B3094" t="str">
            <v>MONTH</v>
          </cell>
          <cell r="C3094" t="str">
            <v>REF</v>
          </cell>
          <cell r="D3094" t="str">
            <v>CSR</v>
          </cell>
          <cell r="E3094" t="str">
            <v>ITEM</v>
          </cell>
          <cell r="F3094" t="str">
            <v>AMOUNT</v>
          </cell>
          <cell r="G3094" t="str">
            <v>TRANSTYPE (P/C/X)</v>
          </cell>
        </row>
        <row r="3095">
          <cell r="B3095" t="str">
            <v>September</v>
          </cell>
          <cell r="D3095" t="str">
            <v>99-330</v>
          </cell>
          <cell r="G3095" t="str">
            <v>P</v>
          </cell>
        </row>
        <row r="3096">
          <cell r="B3096" t="str">
            <v>MONTH</v>
          </cell>
          <cell r="C3096" t="str">
            <v>REF</v>
          </cell>
          <cell r="D3096" t="str">
            <v>CSR</v>
          </cell>
          <cell r="E3096" t="str">
            <v>ITEM</v>
          </cell>
          <cell r="F3096" t="str">
            <v>AMOUNT</v>
          </cell>
          <cell r="G3096" t="str">
            <v>TRANSTYPE (P/C/X)</v>
          </cell>
        </row>
        <row r="3097">
          <cell r="B3097" t="str">
            <v>September</v>
          </cell>
          <cell r="D3097" t="str">
            <v>99-331</v>
          </cell>
          <cell r="G3097" t="str">
            <v>P</v>
          </cell>
        </row>
        <row r="3098">
          <cell r="B3098" t="str">
            <v>MONTH</v>
          </cell>
          <cell r="C3098" t="str">
            <v>REF</v>
          </cell>
          <cell r="D3098" t="str">
            <v>CSR</v>
          </cell>
          <cell r="E3098" t="str">
            <v>ITEM</v>
          </cell>
          <cell r="F3098" t="str">
            <v>AMOUNT</v>
          </cell>
          <cell r="G3098" t="str">
            <v>TRANSTYPE (P/C/X)</v>
          </cell>
        </row>
        <row r="3099">
          <cell r="B3099" t="str">
            <v>September</v>
          </cell>
          <cell r="D3099" t="str">
            <v>99-332</v>
          </cell>
          <cell r="G3099" t="str">
            <v>P</v>
          </cell>
        </row>
        <row r="3100">
          <cell r="B3100" t="str">
            <v>MONTH</v>
          </cell>
          <cell r="C3100" t="str">
            <v>REF</v>
          </cell>
          <cell r="D3100" t="str">
            <v>CSR</v>
          </cell>
          <cell r="E3100" t="str">
            <v>ITEM</v>
          </cell>
          <cell r="F3100" t="str">
            <v>AMOUNT</v>
          </cell>
          <cell r="G3100" t="str">
            <v>TRANSTYPE (P/C/X)</v>
          </cell>
        </row>
        <row r="3101">
          <cell r="B3101" t="str">
            <v>September</v>
          </cell>
          <cell r="D3101" t="str">
            <v>99-333</v>
          </cell>
          <cell r="G3101" t="str">
            <v>P</v>
          </cell>
        </row>
        <row r="3102">
          <cell r="B3102" t="str">
            <v>MONTH</v>
          </cell>
          <cell r="C3102" t="str">
            <v>REF</v>
          </cell>
          <cell r="D3102" t="str">
            <v>CSR</v>
          </cell>
          <cell r="E3102" t="str">
            <v>ITEM</v>
          </cell>
          <cell r="F3102" t="str">
            <v>AMOUNT</v>
          </cell>
          <cell r="G3102" t="str">
            <v>TRANSTYPE (P/C/X)</v>
          </cell>
        </row>
        <row r="3103">
          <cell r="B3103" t="str">
            <v>September</v>
          </cell>
          <cell r="D3103" t="str">
            <v>99-334</v>
          </cell>
          <cell r="G3103" t="str">
            <v>P</v>
          </cell>
        </row>
        <row r="3104">
          <cell r="B3104" t="str">
            <v>MONTH</v>
          </cell>
          <cell r="C3104" t="str">
            <v>REF</v>
          </cell>
          <cell r="D3104" t="str">
            <v>CSR</v>
          </cell>
          <cell r="E3104" t="str">
            <v>ITEM</v>
          </cell>
          <cell r="F3104" t="str">
            <v>AMOUNT</v>
          </cell>
          <cell r="G3104" t="str">
            <v>TRANSTYPE (P/C/X)</v>
          </cell>
        </row>
        <row r="3105">
          <cell r="B3105" t="str">
            <v>September</v>
          </cell>
          <cell r="D3105" t="str">
            <v>99-335</v>
          </cell>
          <cell r="G3105" t="str">
            <v>P</v>
          </cell>
        </row>
        <row r="3106">
          <cell r="B3106" t="str">
            <v>MONTH</v>
          </cell>
          <cell r="C3106" t="str">
            <v>REF</v>
          </cell>
          <cell r="D3106" t="str">
            <v>CSR</v>
          </cell>
          <cell r="E3106" t="str">
            <v>ITEM</v>
          </cell>
          <cell r="F3106" t="str">
            <v>AMOUNT</v>
          </cell>
          <cell r="G3106" t="str">
            <v>TRANSTYPE (P/C/X)</v>
          </cell>
        </row>
        <row r="3107">
          <cell r="B3107" t="str">
            <v>September</v>
          </cell>
          <cell r="D3107" t="str">
            <v>99-336</v>
          </cell>
          <cell r="G3107" t="str">
            <v>P</v>
          </cell>
        </row>
        <row r="3108">
          <cell r="B3108" t="str">
            <v>MONTH</v>
          </cell>
          <cell r="C3108" t="str">
            <v>REF</v>
          </cell>
          <cell r="D3108" t="str">
            <v>CSR</v>
          </cell>
          <cell r="E3108" t="str">
            <v>ITEM</v>
          </cell>
          <cell r="F3108" t="str">
            <v>AMOUNT</v>
          </cell>
          <cell r="G3108" t="str">
            <v>TRANSTYPE (P/C/X)</v>
          </cell>
        </row>
        <row r="3109">
          <cell r="B3109" t="str">
            <v>September</v>
          </cell>
          <cell r="D3109" t="str">
            <v>99-337</v>
          </cell>
          <cell r="G3109" t="str">
            <v>P</v>
          </cell>
        </row>
        <row r="3110">
          <cell r="B3110" t="str">
            <v>MONTH</v>
          </cell>
          <cell r="C3110" t="str">
            <v>REF</v>
          </cell>
          <cell r="D3110" t="str">
            <v>CSR</v>
          </cell>
          <cell r="E3110" t="str">
            <v>ITEM</v>
          </cell>
          <cell r="F3110" t="str">
            <v>AMOUNT</v>
          </cell>
          <cell r="G3110" t="str">
            <v>TRANSTYPE (P/C/X)</v>
          </cell>
        </row>
        <row r="3111">
          <cell r="B3111" t="str">
            <v>September</v>
          </cell>
          <cell r="D3111" t="str">
            <v>99-338</v>
          </cell>
          <cell r="G3111" t="str">
            <v>P</v>
          </cell>
        </row>
        <row r="3112">
          <cell r="B3112" t="str">
            <v>MONTH</v>
          </cell>
          <cell r="C3112" t="str">
            <v>REF</v>
          </cell>
          <cell r="D3112" t="str">
            <v>CSR</v>
          </cell>
          <cell r="E3112" t="str">
            <v>ITEM</v>
          </cell>
          <cell r="F3112" t="str">
            <v>AMOUNT</v>
          </cell>
          <cell r="G3112" t="str">
            <v>TRANSTYPE (P/C/X)</v>
          </cell>
        </row>
        <row r="3113">
          <cell r="B3113" t="str">
            <v>September</v>
          </cell>
          <cell r="D3113" t="str">
            <v>99-339</v>
          </cell>
          <cell r="G3113" t="str">
            <v>P</v>
          </cell>
        </row>
        <row r="3114">
          <cell r="B3114" t="str">
            <v>MONTH</v>
          </cell>
          <cell r="C3114" t="str">
            <v>REF</v>
          </cell>
          <cell r="D3114" t="str">
            <v>CSR</v>
          </cell>
          <cell r="E3114" t="str">
            <v>ITEM</v>
          </cell>
          <cell r="F3114" t="str">
            <v>AMOUNT</v>
          </cell>
          <cell r="G3114" t="str">
            <v>TRANSTYPE (P/C/X)</v>
          </cell>
        </row>
        <row r="3115">
          <cell r="B3115" t="str">
            <v>September</v>
          </cell>
          <cell r="D3115" t="str">
            <v>99-340</v>
          </cell>
          <cell r="G3115" t="str">
            <v>P</v>
          </cell>
        </row>
        <row r="3116">
          <cell r="B3116" t="str">
            <v>MONTH</v>
          </cell>
          <cell r="C3116" t="str">
            <v>REF</v>
          </cell>
          <cell r="D3116" t="str">
            <v>CSR</v>
          </cell>
          <cell r="E3116" t="str">
            <v>ITEM</v>
          </cell>
          <cell r="F3116" t="str">
            <v>AMOUNT</v>
          </cell>
          <cell r="G3116" t="str">
            <v>TRANSTYPE (P/C/X)</v>
          </cell>
        </row>
        <row r="3117">
          <cell r="B3117" t="str">
            <v>September</v>
          </cell>
          <cell r="D3117" t="str">
            <v>99-341</v>
          </cell>
          <cell r="G3117" t="str">
            <v>P</v>
          </cell>
        </row>
        <row r="3118">
          <cell r="B3118" t="str">
            <v>MONTH</v>
          </cell>
          <cell r="C3118" t="str">
            <v>REF</v>
          </cell>
          <cell r="D3118" t="str">
            <v>CSR</v>
          </cell>
          <cell r="E3118" t="str">
            <v>ITEM</v>
          </cell>
          <cell r="F3118" t="str">
            <v>AMOUNT</v>
          </cell>
          <cell r="G3118" t="str">
            <v>TRANSTYPE (P/C/X)</v>
          </cell>
        </row>
        <row r="3119">
          <cell r="B3119" t="str">
            <v>September</v>
          </cell>
          <cell r="D3119" t="str">
            <v>99-342</v>
          </cell>
          <cell r="G3119" t="str">
            <v>P</v>
          </cell>
        </row>
        <row r="3120">
          <cell r="B3120" t="str">
            <v>MONTH</v>
          </cell>
          <cell r="C3120" t="str">
            <v>REF</v>
          </cell>
          <cell r="D3120" t="str">
            <v>CSR</v>
          </cell>
          <cell r="E3120" t="str">
            <v>ITEM</v>
          </cell>
          <cell r="F3120" t="str">
            <v>AMOUNT</v>
          </cell>
          <cell r="G3120" t="str">
            <v>TRANSTYPE (P/C/X)</v>
          </cell>
        </row>
        <row r="3121">
          <cell r="B3121" t="str">
            <v>September</v>
          </cell>
          <cell r="D3121" t="str">
            <v>99-343</v>
          </cell>
          <cell r="G3121" t="str">
            <v>P</v>
          </cell>
        </row>
        <row r="3122">
          <cell r="B3122" t="str">
            <v>MONTH</v>
          </cell>
          <cell r="C3122" t="str">
            <v>REF</v>
          </cell>
          <cell r="D3122" t="str">
            <v>CSR</v>
          </cell>
          <cell r="E3122" t="str">
            <v>ITEM</v>
          </cell>
          <cell r="F3122" t="str">
            <v>AMOUNT</v>
          </cell>
          <cell r="G3122" t="str">
            <v>TRANSTYPE (P/C/X)</v>
          </cell>
        </row>
        <row r="3123">
          <cell r="B3123" t="str">
            <v>September</v>
          </cell>
          <cell r="D3123" t="str">
            <v>99-344</v>
          </cell>
          <cell r="G3123" t="str">
            <v>P</v>
          </cell>
        </row>
        <row r="3124">
          <cell r="B3124" t="str">
            <v>MONTH</v>
          </cell>
          <cell r="C3124" t="str">
            <v>REF</v>
          </cell>
          <cell r="D3124" t="str">
            <v>CSR</v>
          </cell>
          <cell r="E3124" t="str">
            <v>ITEM</v>
          </cell>
          <cell r="F3124" t="str">
            <v>AMOUNT</v>
          </cell>
          <cell r="G3124" t="str">
            <v>TRANSTYPE (P/C/X)</v>
          </cell>
        </row>
        <row r="3125">
          <cell r="B3125" t="str">
            <v>September</v>
          </cell>
          <cell r="D3125" t="str">
            <v>99-I344</v>
          </cell>
          <cell r="G3125" t="str">
            <v>P</v>
          </cell>
        </row>
        <row r="3126">
          <cell r="B3126" t="str">
            <v>MONTH</v>
          </cell>
          <cell r="C3126" t="str">
            <v>REF</v>
          </cell>
          <cell r="D3126" t="str">
            <v>CSR</v>
          </cell>
          <cell r="E3126" t="str">
            <v>ITEM</v>
          </cell>
          <cell r="F3126" t="str">
            <v>AMOUNT</v>
          </cell>
          <cell r="G3126" t="str">
            <v>TRANSTYPE (P/C/X)</v>
          </cell>
        </row>
        <row r="3127">
          <cell r="B3127" t="str">
            <v>September</v>
          </cell>
          <cell r="D3127" t="str">
            <v>99-345</v>
          </cell>
          <cell r="G3127" t="str">
            <v>P</v>
          </cell>
        </row>
        <row r="3128">
          <cell r="B3128" t="str">
            <v>MONTH</v>
          </cell>
          <cell r="C3128" t="str">
            <v>REF</v>
          </cell>
          <cell r="D3128" t="str">
            <v>CSR</v>
          </cell>
          <cell r="E3128" t="str">
            <v>ITEM</v>
          </cell>
          <cell r="F3128" t="str">
            <v>AMOUNT</v>
          </cell>
          <cell r="G3128" t="str">
            <v>TRANSTYPE (P/C/X)</v>
          </cell>
        </row>
        <row r="3129">
          <cell r="B3129" t="str">
            <v>September</v>
          </cell>
          <cell r="D3129" t="str">
            <v>99-347</v>
          </cell>
          <cell r="G3129" t="str">
            <v>P</v>
          </cell>
        </row>
        <row r="3130">
          <cell r="B3130" t="str">
            <v>MONTH</v>
          </cell>
          <cell r="C3130" t="str">
            <v>REF</v>
          </cell>
          <cell r="D3130" t="str">
            <v>CSR</v>
          </cell>
          <cell r="E3130" t="str">
            <v>ITEM</v>
          </cell>
          <cell r="F3130" t="str">
            <v>AMOUNT</v>
          </cell>
          <cell r="G3130" t="str">
            <v>TRANSTYPE (P/C/X)</v>
          </cell>
        </row>
        <row r="3131">
          <cell r="B3131" t="str">
            <v>September</v>
          </cell>
          <cell r="D3131" t="str">
            <v>99-400</v>
          </cell>
          <cell r="G3131" t="str">
            <v>P</v>
          </cell>
        </row>
        <row r="3132">
          <cell r="B3132" t="str">
            <v>MONTH</v>
          </cell>
          <cell r="C3132" t="str">
            <v>REF</v>
          </cell>
          <cell r="D3132" t="str">
            <v>CSR</v>
          </cell>
          <cell r="E3132" t="str">
            <v>ITEM</v>
          </cell>
          <cell r="F3132" t="str">
            <v>AMOUNT</v>
          </cell>
          <cell r="G3132" t="str">
            <v>TRANSTYPE (P/C/X)</v>
          </cell>
        </row>
        <row r="3133">
          <cell r="B3133" t="str">
            <v>September</v>
          </cell>
          <cell r="D3133" t="str">
            <v>99-402</v>
          </cell>
          <cell r="G3133" t="str">
            <v>P</v>
          </cell>
        </row>
        <row r="3134">
          <cell r="B3134" t="str">
            <v>MONTH</v>
          </cell>
          <cell r="C3134" t="str">
            <v>REF</v>
          </cell>
          <cell r="D3134" t="str">
            <v>CSR</v>
          </cell>
          <cell r="E3134" t="str">
            <v>ITEM</v>
          </cell>
          <cell r="F3134" t="str">
            <v>AMOUNT</v>
          </cell>
          <cell r="G3134" t="str">
            <v>TRANSTYPE (P/C/X)</v>
          </cell>
        </row>
        <row r="3135">
          <cell r="B3135" t="str">
            <v>September</v>
          </cell>
          <cell r="D3135" t="str">
            <v>99-403</v>
          </cell>
          <cell r="G3135" t="str">
            <v>P</v>
          </cell>
        </row>
        <row r="3136">
          <cell r="B3136" t="str">
            <v>MONTH</v>
          </cell>
          <cell r="C3136" t="str">
            <v>REF</v>
          </cell>
          <cell r="D3136" t="str">
            <v>CSR</v>
          </cell>
          <cell r="E3136" t="str">
            <v>ITEM</v>
          </cell>
          <cell r="F3136" t="str">
            <v>AMOUNT</v>
          </cell>
          <cell r="G3136" t="str">
            <v>TRANSTYPE (P/C/X)</v>
          </cell>
        </row>
        <row r="3137">
          <cell r="B3137" t="str">
            <v>September</v>
          </cell>
          <cell r="D3137" t="str">
            <v>99-404</v>
          </cell>
          <cell r="G3137" t="str">
            <v>P</v>
          </cell>
        </row>
        <row r="3138">
          <cell r="B3138" t="str">
            <v>MONTH</v>
          </cell>
          <cell r="C3138" t="str">
            <v>REF</v>
          </cell>
          <cell r="D3138" t="str">
            <v>CSR</v>
          </cell>
          <cell r="E3138" t="str">
            <v>ITEM</v>
          </cell>
          <cell r="F3138" t="str">
            <v>AMOUNT</v>
          </cell>
          <cell r="G3138" t="str">
            <v>TRANSTYPE (P/C/X)</v>
          </cell>
        </row>
        <row r="3139">
          <cell r="B3139" t="str">
            <v>September</v>
          </cell>
          <cell r="D3139" t="str">
            <v>99-405</v>
          </cell>
          <cell r="G3139" t="str">
            <v>P</v>
          </cell>
        </row>
        <row r="3140">
          <cell r="B3140" t="str">
            <v>MONTH</v>
          </cell>
          <cell r="C3140" t="str">
            <v>REF</v>
          </cell>
          <cell r="D3140" t="str">
            <v>CSR</v>
          </cell>
          <cell r="E3140" t="str">
            <v>ITEM</v>
          </cell>
          <cell r="F3140" t="str">
            <v>AMOUNT</v>
          </cell>
          <cell r="G3140" t="str">
            <v>TRANSTYPE (P/C/X)</v>
          </cell>
        </row>
        <row r="3141">
          <cell r="B3141" t="str">
            <v>September</v>
          </cell>
          <cell r="D3141" t="str">
            <v>99-500</v>
          </cell>
          <cell r="G3141" t="str">
            <v>P</v>
          </cell>
        </row>
        <row r="3142">
          <cell r="B3142" t="str">
            <v>MONTH</v>
          </cell>
          <cell r="C3142" t="str">
            <v>REF</v>
          </cell>
          <cell r="D3142" t="str">
            <v>CSR</v>
          </cell>
          <cell r="E3142" t="str">
            <v>ITEM</v>
          </cell>
          <cell r="F3142" t="str">
            <v>AMOUNT</v>
          </cell>
          <cell r="G3142" t="str">
            <v>TRANSTYPE (P/C/X)</v>
          </cell>
        </row>
        <row r="3143">
          <cell r="B3143" t="str">
            <v>September</v>
          </cell>
          <cell r="D3143" t="str">
            <v>99-501</v>
          </cell>
          <cell r="G3143" t="str">
            <v>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"/>
      <sheetName val="Data1"/>
      <sheetName val="Data2"/>
      <sheetName val="Custom Indices"/>
      <sheetName val="MW-Cache"/>
      <sheetName val="Multiples"/>
      <sheetName val="Multiples (2)"/>
      <sheetName val="LST Perf"/>
      <sheetName val="3yr"/>
      <sheetName val="Charts01"/>
      <sheetName val="LST Charts"/>
      <sheetName val="Mth &amp; Yr Perf"/>
    </sheetNames>
    <sheetDataSet>
      <sheetData sheetId="0"/>
      <sheetData sheetId="1">
        <row r="2616">
          <cell r="A2616">
            <v>42734</v>
          </cell>
        </row>
      </sheetData>
      <sheetData sheetId="2"/>
      <sheetData sheetId="3"/>
      <sheetData sheetId="4"/>
      <sheetData sheetId="5">
        <row r="11">
          <cell r="BF11" t="str">
            <v>Abs NTM P/E</v>
          </cell>
          <cell r="BG11" t="str">
            <v>3 Yr Avg</v>
          </cell>
          <cell r="BH11" t="str">
            <v>10 Yr Avg</v>
          </cell>
          <cell r="BI11" t="str">
            <v>StdDev1</v>
          </cell>
          <cell r="BJ11" t="str">
            <v>StdDev2</v>
          </cell>
          <cell r="BU11" t="str">
            <v>Abs NTM EV/EBITDA</v>
          </cell>
          <cell r="BV11" t="str">
            <v>3 Yr Avg</v>
          </cell>
          <cell r="BW11" t="str">
            <v>10 Yr Avg</v>
          </cell>
          <cell r="BX11" t="str">
            <v>StdDev1</v>
          </cell>
          <cell r="BY11" t="str">
            <v>StdDev2</v>
          </cell>
        </row>
        <row r="12">
          <cell r="A12">
            <v>39542</v>
          </cell>
          <cell r="BF12">
            <v>58.400026617302935</v>
          </cell>
          <cell r="BG12">
            <v>45.468715051806292</v>
          </cell>
          <cell r="BH12">
            <v>42.408178994289898</v>
          </cell>
          <cell r="BI12">
            <v>30.406703917126244</v>
          </cell>
          <cell r="BJ12">
            <v>54.409654071453552</v>
          </cell>
          <cell r="BU12">
            <v>33.402150239921461</v>
          </cell>
          <cell r="BV12">
            <v>29.635401891862816</v>
          </cell>
          <cell r="BW12">
            <v>23.901518972811779</v>
          </cell>
          <cell r="BX12">
            <v>15.713059154269443</v>
          </cell>
          <cell r="BY12">
            <v>32.089978791354113</v>
          </cell>
        </row>
        <row r="13">
          <cell r="A13">
            <v>39545</v>
          </cell>
          <cell r="BF13">
            <v>58.612730505768816</v>
          </cell>
          <cell r="BG13">
            <v>45.468715051806292</v>
          </cell>
          <cell r="BH13">
            <v>42.408178994289898</v>
          </cell>
          <cell r="BI13">
            <v>30.406703917126244</v>
          </cell>
          <cell r="BJ13">
            <v>54.409654071453552</v>
          </cell>
          <cell r="BU13">
            <v>34.432710723093848</v>
          </cell>
          <cell r="BV13">
            <v>29.635401891862816</v>
          </cell>
          <cell r="BW13">
            <v>23.901518972811779</v>
          </cell>
          <cell r="BX13">
            <v>15.713059154269443</v>
          </cell>
          <cell r="BY13">
            <v>32.089978791354113</v>
          </cell>
        </row>
        <row r="14">
          <cell r="A14">
            <v>39546</v>
          </cell>
          <cell r="BF14">
            <v>58.122368779507823</v>
          </cell>
          <cell r="BG14">
            <v>45.468715051806292</v>
          </cell>
          <cell r="BH14">
            <v>42.408178994289898</v>
          </cell>
          <cell r="BI14">
            <v>30.406703917126244</v>
          </cell>
          <cell r="BJ14">
            <v>54.409654071453552</v>
          </cell>
          <cell r="BU14">
            <v>34.152612518085768</v>
          </cell>
          <cell r="BV14">
            <v>29.635401891862816</v>
          </cell>
          <cell r="BW14">
            <v>23.901518972811779</v>
          </cell>
          <cell r="BX14">
            <v>15.713059154269443</v>
          </cell>
          <cell r="BY14">
            <v>32.089978791354113</v>
          </cell>
        </row>
        <row r="15">
          <cell r="A15">
            <v>39547</v>
          </cell>
          <cell r="BF15">
            <v>58.040642320442863</v>
          </cell>
          <cell r="BG15">
            <v>45.468715051806292</v>
          </cell>
          <cell r="BH15">
            <v>42.408178994289898</v>
          </cell>
          <cell r="BI15">
            <v>30.406703917126244</v>
          </cell>
          <cell r="BJ15">
            <v>54.409654071453552</v>
          </cell>
          <cell r="BU15">
            <v>34.105937124348877</v>
          </cell>
          <cell r="BV15">
            <v>29.635401891862816</v>
          </cell>
          <cell r="BW15">
            <v>23.901518972811779</v>
          </cell>
          <cell r="BX15">
            <v>15.713059154269443</v>
          </cell>
          <cell r="BY15">
            <v>32.089978791354113</v>
          </cell>
        </row>
        <row r="16">
          <cell r="A16">
            <v>39548</v>
          </cell>
          <cell r="BF16">
            <v>58.605293397993904</v>
          </cell>
          <cell r="BG16">
            <v>45.468715051806292</v>
          </cell>
          <cell r="BH16">
            <v>42.408178994289898</v>
          </cell>
          <cell r="BI16">
            <v>30.406703917126244</v>
          </cell>
          <cell r="BJ16">
            <v>54.409654071453552</v>
          </cell>
          <cell r="BU16">
            <v>34.428477924251112</v>
          </cell>
          <cell r="BV16">
            <v>29.635401891862816</v>
          </cell>
          <cell r="BW16">
            <v>23.901518972811779</v>
          </cell>
          <cell r="BX16">
            <v>15.713059154269443</v>
          </cell>
          <cell r="BY16">
            <v>32.089978791354113</v>
          </cell>
        </row>
        <row r="17">
          <cell r="A17">
            <v>39549</v>
          </cell>
          <cell r="BF17">
            <v>56.658721451467578</v>
          </cell>
          <cell r="BG17">
            <v>45.468715051806292</v>
          </cell>
          <cell r="BH17">
            <v>42.408178994289898</v>
          </cell>
          <cell r="BI17">
            <v>30.406703917126244</v>
          </cell>
          <cell r="BJ17">
            <v>54.409654071453552</v>
          </cell>
          <cell r="BU17">
            <v>33.31658126362877</v>
          </cell>
          <cell r="BV17">
            <v>29.635401891862816</v>
          </cell>
          <cell r="BW17">
            <v>23.901518972811779</v>
          </cell>
          <cell r="BX17">
            <v>15.713059154269443</v>
          </cell>
          <cell r="BY17">
            <v>32.089978791354113</v>
          </cell>
        </row>
        <row r="18">
          <cell r="A18">
            <v>39552</v>
          </cell>
          <cell r="BF18">
            <v>56.584420212692571</v>
          </cell>
          <cell r="BG18">
            <v>45.468715051806292</v>
          </cell>
          <cell r="BH18">
            <v>42.408178994289898</v>
          </cell>
          <cell r="BI18">
            <v>30.406703917126244</v>
          </cell>
          <cell r="BJ18">
            <v>54.409654071453552</v>
          </cell>
          <cell r="BU18">
            <v>33.274146309165737</v>
          </cell>
          <cell r="BV18">
            <v>29.635401891862816</v>
          </cell>
          <cell r="BW18">
            <v>23.901518972811779</v>
          </cell>
          <cell r="BX18">
            <v>15.713059154269443</v>
          </cell>
          <cell r="BY18">
            <v>32.089978791354113</v>
          </cell>
        </row>
        <row r="19">
          <cell r="A19">
            <v>39553</v>
          </cell>
          <cell r="BF19">
            <v>53.010772790925643</v>
          </cell>
          <cell r="BG19">
            <v>45.468715051806292</v>
          </cell>
          <cell r="BH19">
            <v>42.408178994289898</v>
          </cell>
          <cell r="BI19">
            <v>30.406703917126244</v>
          </cell>
          <cell r="BJ19">
            <v>54.409654071453552</v>
          </cell>
          <cell r="BU19">
            <v>31.712029604126972</v>
          </cell>
          <cell r="BV19">
            <v>29.635401891862816</v>
          </cell>
          <cell r="BW19">
            <v>23.901518972811779</v>
          </cell>
          <cell r="BX19">
            <v>15.713059154269443</v>
          </cell>
          <cell r="BY19">
            <v>32.089978791354113</v>
          </cell>
        </row>
        <row r="20">
          <cell r="A20">
            <v>39554</v>
          </cell>
          <cell r="BF20">
            <v>54.348117739658498</v>
          </cell>
          <cell r="BG20">
            <v>45.468715051806292</v>
          </cell>
          <cell r="BH20">
            <v>42.408178994289898</v>
          </cell>
          <cell r="BI20">
            <v>30.406703917126244</v>
          </cell>
          <cell r="BJ20">
            <v>54.409654071453552</v>
          </cell>
          <cell r="BU20">
            <v>32.487984148655478</v>
          </cell>
          <cell r="BV20">
            <v>29.635401891862816</v>
          </cell>
          <cell r="BW20">
            <v>23.901518972811779</v>
          </cell>
          <cell r="BX20">
            <v>15.713059154269443</v>
          </cell>
          <cell r="BY20">
            <v>32.089978791354113</v>
          </cell>
        </row>
        <row r="21">
          <cell r="A21">
            <v>39555</v>
          </cell>
          <cell r="BF21">
            <v>53.493708793132797</v>
          </cell>
          <cell r="BG21">
            <v>45.468715051806292</v>
          </cell>
          <cell r="BH21">
            <v>42.408178994289898</v>
          </cell>
          <cell r="BI21">
            <v>30.406703917126244</v>
          </cell>
          <cell r="BJ21">
            <v>54.409654071453552</v>
          </cell>
          <cell r="BU21">
            <v>31.992257696464154</v>
          </cell>
          <cell r="BV21">
            <v>29.635401891862816</v>
          </cell>
          <cell r="BW21">
            <v>23.901518972811779</v>
          </cell>
          <cell r="BX21">
            <v>15.713059154269443</v>
          </cell>
          <cell r="BY21">
            <v>32.089978791354113</v>
          </cell>
        </row>
        <row r="22">
          <cell r="A22">
            <v>39556</v>
          </cell>
          <cell r="BF22">
            <v>54.452133284534021</v>
          </cell>
          <cell r="BG22">
            <v>45.468715051806292</v>
          </cell>
          <cell r="BH22">
            <v>42.408178994289898</v>
          </cell>
          <cell r="BI22">
            <v>30.406703917126244</v>
          </cell>
          <cell r="BJ22">
            <v>54.409654071453552</v>
          </cell>
          <cell r="BU22">
            <v>32.548366475828935</v>
          </cell>
          <cell r="BV22">
            <v>29.635401891862816</v>
          </cell>
          <cell r="BW22">
            <v>23.901518972811779</v>
          </cell>
          <cell r="BX22">
            <v>15.713059154269443</v>
          </cell>
          <cell r="BY22">
            <v>32.089978791354113</v>
          </cell>
        </row>
        <row r="23">
          <cell r="A23">
            <v>39559</v>
          </cell>
          <cell r="BF23">
            <v>54.492444371991901</v>
          </cell>
          <cell r="BG23">
            <v>45.468715051806292</v>
          </cell>
          <cell r="BH23">
            <v>42.408178994289898</v>
          </cell>
          <cell r="BI23">
            <v>30.406703917126244</v>
          </cell>
          <cell r="BJ23">
            <v>54.409654071453552</v>
          </cell>
          <cell r="BU23">
            <v>32.845831380782002</v>
          </cell>
          <cell r="BV23">
            <v>29.635401891862816</v>
          </cell>
          <cell r="BW23">
            <v>23.901518972811779</v>
          </cell>
          <cell r="BX23">
            <v>15.713059154269443</v>
          </cell>
          <cell r="BY23">
            <v>32.089978791354113</v>
          </cell>
        </row>
        <row r="24">
          <cell r="A24">
            <v>39560</v>
          </cell>
          <cell r="BF24">
            <v>53.380195921395185</v>
          </cell>
          <cell r="BG24">
            <v>45.468715051806292</v>
          </cell>
          <cell r="BH24">
            <v>42.408178994289898</v>
          </cell>
          <cell r="BI24">
            <v>30.406703917126244</v>
          </cell>
          <cell r="BJ24">
            <v>54.409654071453552</v>
          </cell>
          <cell r="BU24">
            <v>32.194851368149756</v>
          </cell>
          <cell r="BV24">
            <v>29.635401891862816</v>
          </cell>
          <cell r="BW24">
            <v>23.901518972811779</v>
          </cell>
          <cell r="BX24">
            <v>15.713059154269443</v>
          </cell>
          <cell r="BY24">
            <v>32.089978791354113</v>
          </cell>
        </row>
        <row r="25">
          <cell r="A25">
            <v>39561</v>
          </cell>
          <cell r="BF25">
            <v>58.816185833148111</v>
          </cell>
          <cell r="BG25">
            <v>45.468715051806292</v>
          </cell>
          <cell r="BH25">
            <v>42.408178994289898</v>
          </cell>
          <cell r="BI25">
            <v>30.406703917126244</v>
          </cell>
          <cell r="BJ25">
            <v>54.409654071453552</v>
          </cell>
          <cell r="BU25">
            <v>35.376395652088874</v>
          </cell>
          <cell r="BV25">
            <v>29.635401891862816</v>
          </cell>
          <cell r="BW25">
            <v>23.901518972811779</v>
          </cell>
          <cell r="BX25">
            <v>15.713059154269443</v>
          </cell>
          <cell r="BY25">
            <v>32.089978791354113</v>
          </cell>
        </row>
        <row r="26">
          <cell r="A26">
            <v>39562</v>
          </cell>
          <cell r="BF26">
            <v>58.794089801319842</v>
          </cell>
          <cell r="BG26">
            <v>45.468715051806292</v>
          </cell>
          <cell r="BH26">
            <v>42.408178994289898</v>
          </cell>
          <cell r="BI26">
            <v>30.406703917126244</v>
          </cell>
          <cell r="BJ26">
            <v>54.409654071453552</v>
          </cell>
          <cell r="BU26">
            <v>35.363475683058077</v>
          </cell>
          <cell r="BV26">
            <v>29.635401891862816</v>
          </cell>
          <cell r="BW26">
            <v>23.901518972811779</v>
          </cell>
          <cell r="BX26">
            <v>15.713059154269443</v>
          </cell>
          <cell r="BY26">
            <v>32.089978791354113</v>
          </cell>
        </row>
        <row r="27">
          <cell r="A27">
            <v>39563</v>
          </cell>
          <cell r="BF27">
            <v>58.075229760163403</v>
          </cell>
          <cell r="BG27">
            <v>45.468715051806292</v>
          </cell>
          <cell r="BH27">
            <v>42.408178994289898</v>
          </cell>
          <cell r="BI27">
            <v>30.406703917126244</v>
          </cell>
          <cell r="BJ27">
            <v>54.409654071453552</v>
          </cell>
          <cell r="BU27">
            <v>33.708158641896951</v>
          </cell>
          <cell r="BV27">
            <v>29.635401891862816</v>
          </cell>
          <cell r="BW27">
            <v>23.901518972811779</v>
          </cell>
          <cell r="BX27">
            <v>15.713059154269443</v>
          </cell>
          <cell r="BY27">
            <v>32.089978791354113</v>
          </cell>
        </row>
        <row r="28">
          <cell r="A28">
            <v>39566</v>
          </cell>
          <cell r="BF28">
            <v>55.905848713062738</v>
          </cell>
          <cell r="BG28">
            <v>45.468715051806292</v>
          </cell>
          <cell r="BH28">
            <v>42.408178994289898</v>
          </cell>
          <cell r="BI28">
            <v>30.406703917126244</v>
          </cell>
          <cell r="BJ28">
            <v>54.409654071453552</v>
          </cell>
          <cell r="BU28">
            <v>32.931418406528714</v>
          </cell>
          <cell r="BV28">
            <v>29.635401891862816</v>
          </cell>
          <cell r="BW28">
            <v>23.901518972811779</v>
          </cell>
          <cell r="BX28">
            <v>15.713059154269443</v>
          </cell>
          <cell r="BY28">
            <v>32.089978791354113</v>
          </cell>
        </row>
        <row r="29">
          <cell r="A29">
            <v>39567</v>
          </cell>
          <cell r="BF29">
            <v>56.492510396800341</v>
          </cell>
          <cell r="BG29">
            <v>45.468715051806292</v>
          </cell>
          <cell r="BH29">
            <v>42.408178994289898</v>
          </cell>
          <cell r="BI29">
            <v>30.406703917126244</v>
          </cell>
          <cell r="BJ29">
            <v>54.409654071453552</v>
          </cell>
          <cell r="BU29">
            <v>33.267365305410713</v>
          </cell>
          <cell r="BV29">
            <v>29.635401891862816</v>
          </cell>
          <cell r="BW29">
            <v>23.901518972811779</v>
          </cell>
          <cell r="BX29">
            <v>15.713059154269443</v>
          </cell>
          <cell r="BY29">
            <v>32.089978791354113</v>
          </cell>
        </row>
        <row r="30">
          <cell r="A30">
            <v>39568</v>
          </cell>
          <cell r="BF30">
            <v>56.276949932377917</v>
          </cell>
          <cell r="BG30">
            <v>45.468715051806292</v>
          </cell>
          <cell r="BH30">
            <v>42.408178994289898</v>
          </cell>
          <cell r="BI30">
            <v>30.406703917126244</v>
          </cell>
          <cell r="BJ30">
            <v>54.409654071453552</v>
          </cell>
          <cell r="BU30">
            <v>33.221769204197116</v>
          </cell>
          <cell r="BV30">
            <v>29.635401891862816</v>
          </cell>
          <cell r="BW30">
            <v>23.901518972811779</v>
          </cell>
          <cell r="BX30">
            <v>15.713059154269443</v>
          </cell>
          <cell r="BY30">
            <v>32.089978791354113</v>
          </cell>
        </row>
        <row r="31">
          <cell r="A31">
            <v>39569</v>
          </cell>
          <cell r="BF31">
            <v>54.669029970776457</v>
          </cell>
          <cell r="BG31">
            <v>45.468715051806292</v>
          </cell>
          <cell r="BH31">
            <v>42.408178994289898</v>
          </cell>
          <cell r="BI31">
            <v>30.406703917126244</v>
          </cell>
          <cell r="BJ31">
            <v>54.409654071453552</v>
          </cell>
          <cell r="BU31">
            <v>32.501296621502867</v>
          </cell>
          <cell r="BV31">
            <v>29.635401891862816</v>
          </cell>
          <cell r="BW31">
            <v>23.901518972811779</v>
          </cell>
          <cell r="BX31">
            <v>15.713059154269443</v>
          </cell>
          <cell r="BY31">
            <v>32.089978791354113</v>
          </cell>
        </row>
        <row r="32">
          <cell r="A32">
            <v>39570</v>
          </cell>
          <cell r="BF32">
            <v>55.067619540444909</v>
          </cell>
          <cell r="BG32">
            <v>45.468715051806292</v>
          </cell>
          <cell r="BH32">
            <v>42.408178994289898</v>
          </cell>
          <cell r="BI32">
            <v>30.406703917126244</v>
          </cell>
          <cell r="BJ32">
            <v>54.409654071453552</v>
          </cell>
          <cell r="BU32">
            <v>32.731761464639455</v>
          </cell>
          <cell r="BV32">
            <v>29.635401891862816</v>
          </cell>
          <cell r="BW32">
            <v>23.901518972811779</v>
          </cell>
          <cell r="BX32">
            <v>15.713059154269443</v>
          </cell>
          <cell r="BY32">
            <v>32.089978791354113</v>
          </cell>
        </row>
        <row r="33">
          <cell r="A33">
            <v>39573</v>
          </cell>
          <cell r="BF33">
            <v>56.501117435638278</v>
          </cell>
          <cell r="BG33">
            <v>45.468715051806292</v>
          </cell>
          <cell r="BH33">
            <v>42.408178994289898</v>
          </cell>
          <cell r="BI33">
            <v>30.406703917126244</v>
          </cell>
          <cell r="BJ33">
            <v>54.409654071453552</v>
          </cell>
          <cell r="BU33">
            <v>33.56055786670148</v>
          </cell>
          <cell r="BV33">
            <v>29.635401891862816</v>
          </cell>
          <cell r="BW33">
            <v>23.901518972811779</v>
          </cell>
          <cell r="BX33">
            <v>15.713059154269443</v>
          </cell>
          <cell r="BY33">
            <v>32.089978791354113</v>
          </cell>
        </row>
        <row r="34">
          <cell r="A34">
            <v>39574</v>
          </cell>
          <cell r="BF34">
            <v>55.822823517900488</v>
          </cell>
          <cell r="BG34">
            <v>45.468715051806292</v>
          </cell>
          <cell r="BH34">
            <v>42.408178994289898</v>
          </cell>
          <cell r="BI34">
            <v>30.406703917126244</v>
          </cell>
          <cell r="BJ34">
            <v>54.409654071453552</v>
          </cell>
          <cell r="BU34">
            <v>33.168393604491904</v>
          </cell>
          <cell r="BV34">
            <v>29.635401891862816</v>
          </cell>
          <cell r="BW34">
            <v>23.901518972811779</v>
          </cell>
          <cell r="BX34">
            <v>15.713059154269443</v>
          </cell>
          <cell r="BY34">
            <v>32.089978791354113</v>
          </cell>
        </row>
        <row r="35">
          <cell r="A35">
            <v>39575</v>
          </cell>
          <cell r="BF35">
            <v>54.522178090435766</v>
          </cell>
          <cell r="BG35">
            <v>45.468715051806292</v>
          </cell>
          <cell r="BH35">
            <v>42.408178994289898</v>
          </cell>
          <cell r="BI35">
            <v>30.406703917126244</v>
          </cell>
          <cell r="BJ35">
            <v>54.409654071453552</v>
          </cell>
          <cell r="BU35">
            <v>32.416402097765697</v>
          </cell>
          <cell r="BV35">
            <v>29.635401891862816</v>
          </cell>
          <cell r="BW35">
            <v>23.901518972811779</v>
          </cell>
          <cell r="BX35">
            <v>15.713059154269443</v>
          </cell>
          <cell r="BY35">
            <v>32.089978791354113</v>
          </cell>
        </row>
        <row r="36">
          <cell r="A36">
            <v>39576</v>
          </cell>
          <cell r="BF36">
            <v>54.88580269359931</v>
          </cell>
          <cell r="BG36">
            <v>45.468715051806292</v>
          </cell>
          <cell r="BH36">
            <v>42.408178994289898</v>
          </cell>
          <cell r="BI36">
            <v>30.406703917126244</v>
          </cell>
          <cell r="BJ36">
            <v>54.409654071453552</v>
          </cell>
          <cell r="BU36">
            <v>32.626632121942649</v>
          </cell>
          <cell r="BV36">
            <v>29.635401891862816</v>
          </cell>
          <cell r="BW36">
            <v>23.901518972811779</v>
          </cell>
          <cell r="BX36">
            <v>15.713059154269443</v>
          </cell>
          <cell r="BY36">
            <v>32.089978791354113</v>
          </cell>
        </row>
        <row r="37">
          <cell r="A37">
            <v>39577</v>
          </cell>
          <cell r="BF37">
            <v>54.94174580088152</v>
          </cell>
          <cell r="BG37">
            <v>45.468715051806292</v>
          </cell>
          <cell r="BH37">
            <v>42.408178994289898</v>
          </cell>
          <cell r="BI37">
            <v>30.406703917126244</v>
          </cell>
          <cell r="BJ37">
            <v>54.409654071453552</v>
          </cell>
          <cell r="BU37">
            <v>32.658983470243903</v>
          </cell>
          <cell r="BV37">
            <v>29.635401891862816</v>
          </cell>
          <cell r="BW37">
            <v>23.901518972811779</v>
          </cell>
          <cell r="BX37">
            <v>15.713059154269443</v>
          </cell>
          <cell r="BY37">
            <v>32.089978791354113</v>
          </cell>
        </row>
        <row r="38">
          <cell r="A38">
            <v>39580</v>
          </cell>
          <cell r="BF38">
            <v>55.62737898407628</v>
          </cell>
          <cell r="BG38">
            <v>45.468715051806292</v>
          </cell>
          <cell r="BH38">
            <v>42.408178994289898</v>
          </cell>
          <cell r="BI38">
            <v>30.406703917126244</v>
          </cell>
          <cell r="BJ38">
            <v>54.409654071453552</v>
          </cell>
          <cell r="BU38">
            <v>33.083506246058903</v>
          </cell>
          <cell r="BV38">
            <v>29.635401891862816</v>
          </cell>
          <cell r="BW38">
            <v>23.901518972811779</v>
          </cell>
          <cell r="BX38">
            <v>15.713059154269443</v>
          </cell>
          <cell r="BY38">
            <v>32.089978791354113</v>
          </cell>
        </row>
        <row r="39">
          <cell r="A39">
            <v>39581</v>
          </cell>
          <cell r="BF39">
            <v>54.75405284462137</v>
          </cell>
          <cell r="BG39">
            <v>45.468715051806292</v>
          </cell>
          <cell r="BH39">
            <v>42.408178994289898</v>
          </cell>
          <cell r="BI39">
            <v>30.406703917126244</v>
          </cell>
          <cell r="BJ39">
            <v>54.409654071453552</v>
          </cell>
          <cell r="BU39">
            <v>32.578123012751171</v>
          </cell>
          <cell r="BV39">
            <v>29.635401891862816</v>
          </cell>
          <cell r="BW39">
            <v>23.901518972811779</v>
          </cell>
          <cell r="BX39">
            <v>15.713059154269443</v>
          </cell>
          <cell r="BY39">
            <v>32.089978791354113</v>
          </cell>
        </row>
        <row r="40">
          <cell r="A40">
            <v>39582</v>
          </cell>
          <cell r="BF40">
            <v>55.152283974925517</v>
          </cell>
          <cell r="BG40">
            <v>45.468715051806292</v>
          </cell>
          <cell r="BH40">
            <v>42.408178994289898</v>
          </cell>
          <cell r="BI40">
            <v>30.406703917126244</v>
          </cell>
          <cell r="BJ40">
            <v>54.409654071453552</v>
          </cell>
          <cell r="BU40">
            <v>32.808559194671105</v>
          </cell>
          <cell r="BV40">
            <v>29.635401891862816</v>
          </cell>
          <cell r="BW40">
            <v>23.901518972811779</v>
          </cell>
          <cell r="BX40">
            <v>15.713059154269443</v>
          </cell>
          <cell r="BY40">
            <v>32.089978791354113</v>
          </cell>
        </row>
        <row r="41">
          <cell r="A41">
            <v>39583</v>
          </cell>
          <cell r="BF41">
            <v>54.551434892319634</v>
          </cell>
          <cell r="BG41">
            <v>45.468715051806292</v>
          </cell>
          <cell r="BH41">
            <v>42.408178994289898</v>
          </cell>
          <cell r="BI41">
            <v>30.406703917126244</v>
          </cell>
          <cell r="BJ41">
            <v>54.409654071453552</v>
          </cell>
          <cell r="BU41">
            <v>32.460877140712746</v>
          </cell>
          <cell r="BV41">
            <v>29.635401891862816</v>
          </cell>
          <cell r="BW41">
            <v>23.901518972811779</v>
          </cell>
          <cell r="BX41">
            <v>15.713059154269443</v>
          </cell>
          <cell r="BY41">
            <v>32.089978791354113</v>
          </cell>
        </row>
        <row r="42">
          <cell r="A42">
            <v>39584</v>
          </cell>
          <cell r="BF42">
            <v>54.691175458563357</v>
          </cell>
          <cell r="BG42">
            <v>45.468715051806292</v>
          </cell>
          <cell r="BH42">
            <v>42.408178994289898</v>
          </cell>
          <cell r="BI42">
            <v>30.406703917126244</v>
          </cell>
          <cell r="BJ42">
            <v>54.409654071453552</v>
          </cell>
          <cell r="BU42">
            <v>32.541737598205486</v>
          </cell>
          <cell r="BV42">
            <v>29.635401891862816</v>
          </cell>
          <cell r="BW42">
            <v>23.901518972811779</v>
          </cell>
          <cell r="BX42">
            <v>15.713059154269443</v>
          </cell>
          <cell r="BY42">
            <v>32.089978791354113</v>
          </cell>
        </row>
        <row r="43">
          <cell r="A43">
            <v>39587</v>
          </cell>
          <cell r="BF43">
            <v>55.222154258047375</v>
          </cell>
          <cell r="BG43">
            <v>45.468715051806292</v>
          </cell>
          <cell r="BH43">
            <v>42.408178994289898</v>
          </cell>
          <cell r="BI43">
            <v>30.406703917126244</v>
          </cell>
          <cell r="BJ43">
            <v>54.409654071453552</v>
          </cell>
          <cell r="BU43">
            <v>32.849007336677886</v>
          </cell>
          <cell r="BV43">
            <v>29.635401891862816</v>
          </cell>
          <cell r="BW43">
            <v>23.901518972811779</v>
          </cell>
          <cell r="BX43">
            <v>15.713059154269443</v>
          </cell>
          <cell r="BY43">
            <v>32.089978791354113</v>
          </cell>
        </row>
        <row r="44">
          <cell r="A44">
            <v>39588</v>
          </cell>
          <cell r="BF44">
            <v>55.019546785659308</v>
          </cell>
          <cell r="BG44">
            <v>45.468715051806292</v>
          </cell>
          <cell r="BH44">
            <v>42.408178994289898</v>
          </cell>
          <cell r="BI44">
            <v>30.406703917126244</v>
          </cell>
          <cell r="BJ44">
            <v>54.409654071453552</v>
          </cell>
          <cell r="BU44">
            <v>32.731761464639455</v>
          </cell>
          <cell r="BV44">
            <v>29.635401891862816</v>
          </cell>
          <cell r="BW44">
            <v>23.901518972811779</v>
          </cell>
          <cell r="BX44">
            <v>15.713059154269443</v>
          </cell>
          <cell r="BY44">
            <v>32.089978791354113</v>
          </cell>
        </row>
        <row r="45">
          <cell r="A45">
            <v>39589</v>
          </cell>
          <cell r="BF45">
            <v>54.041415221521611</v>
          </cell>
          <cell r="BG45">
            <v>45.468715051806292</v>
          </cell>
          <cell r="BH45">
            <v>42.408178994289898</v>
          </cell>
          <cell r="BI45">
            <v>30.406703917126244</v>
          </cell>
          <cell r="BJ45">
            <v>54.409654071453552</v>
          </cell>
          <cell r="BU45">
            <v>32.165759758102787</v>
          </cell>
          <cell r="BV45">
            <v>29.635401891862816</v>
          </cell>
          <cell r="BW45">
            <v>23.901518972811779</v>
          </cell>
          <cell r="BX45">
            <v>15.713059154269443</v>
          </cell>
          <cell r="BY45">
            <v>32.089978791354113</v>
          </cell>
        </row>
        <row r="46">
          <cell r="A46">
            <v>39590</v>
          </cell>
          <cell r="BF46">
            <v>54.041415221521611</v>
          </cell>
          <cell r="BG46">
            <v>45.468715051806292</v>
          </cell>
          <cell r="BH46">
            <v>42.408178994289898</v>
          </cell>
          <cell r="BI46">
            <v>30.406703917126244</v>
          </cell>
          <cell r="BJ46">
            <v>54.409654071453552</v>
          </cell>
          <cell r="BU46">
            <v>32.165759758102787</v>
          </cell>
          <cell r="BV46">
            <v>29.635401891862816</v>
          </cell>
          <cell r="BW46">
            <v>23.901518972811779</v>
          </cell>
          <cell r="BX46">
            <v>15.713059154269443</v>
          </cell>
          <cell r="BY46">
            <v>32.089978791354113</v>
          </cell>
        </row>
        <row r="47">
          <cell r="A47">
            <v>39591</v>
          </cell>
          <cell r="BF47">
            <v>53.251924898149817</v>
          </cell>
          <cell r="BG47">
            <v>45.468715051806292</v>
          </cell>
          <cell r="BH47">
            <v>42.408178994289898</v>
          </cell>
          <cell r="BI47">
            <v>30.406703917126244</v>
          </cell>
          <cell r="BJ47">
            <v>54.409654071453552</v>
          </cell>
          <cell r="BU47">
            <v>31.708885633986533</v>
          </cell>
          <cell r="BV47">
            <v>29.635401891862816</v>
          </cell>
          <cell r="BW47">
            <v>23.901518972811779</v>
          </cell>
          <cell r="BX47">
            <v>15.713059154269443</v>
          </cell>
          <cell r="BY47">
            <v>32.089978791354113</v>
          </cell>
        </row>
        <row r="48">
          <cell r="A48">
            <v>39594</v>
          </cell>
          <cell r="BF48">
            <v>53.251924898149817</v>
          </cell>
          <cell r="BG48">
            <v>45.468715051806292</v>
          </cell>
          <cell r="BH48">
            <v>42.408178994289898</v>
          </cell>
          <cell r="BI48">
            <v>30.406703917126244</v>
          </cell>
          <cell r="BJ48">
            <v>54.409654071453552</v>
          </cell>
          <cell r="BU48">
            <v>31.708885633986533</v>
          </cell>
          <cell r="BV48">
            <v>29.635401891862816</v>
          </cell>
          <cell r="BW48">
            <v>23.901518972811779</v>
          </cell>
          <cell r="BX48">
            <v>15.713059154269443</v>
          </cell>
          <cell r="BY48">
            <v>32.089978791354113</v>
          </cell>
        </row>
        <row r="49">
          <cell r="A49">
            <v>39595</v>
          </cell>
          <cell r="BF49">
            <v>53.447559734640471</v>
          </cell>
          <cell r="BG49">
            <v>45.468715051806292</v>
          </cell>
          <cell r="BH49">
            <v>42.408178994289898</v>
          </cell>
          <cell r="BI49">
            <v>30.406703917126244</v>
          </cell>
          <cell r="BJ49">
            <v>54.409654071453552</v>
          </cell>
          <cell r="BU49">
            <v>31.822104605084697</v>
          </cell>
          <cell r="BV49">
            <v>29.635401891862816</v>
          </cell>
          <cell r="BW49">
            <v>23.901518972811779</v>
          </cell>
          <cell r="BX49">
            <v>15.713059154269443</v>
          </cell>
          <cell r="BY49">
            <v>32.089978791354113</v>
          </cell>
        </row>
        <row r="50">
          <cell r="A50">
            <v>39596</v>
          </cell>
          <cell r="BF50">
            <v>53.713043894425653</v>
          </cell>
          <cell r="BG50">
            <v>45.468715051806292</v>
          </cell>
          <cell r="BH50">
            <v>42.408178994289898</v>
          </cell>
          <cell r="BI50">
            <v>30.406703917126244</v>
          </cell>
          <cell r="BJ50">
            <v>54.409654071453552</v>
          </cell>
          <cell r="BU50">
            <v>31.975735891668812</v>
          </cell>
          <cell r="BV50">
            <v>29.635401891862816</v>
          </cell>
          <cell r="BW50">
            <v>23.901518972811779</v>
          </cell>
          <cell r="BX50">
            <v>15.713059154269443</v>
          </cell>
          <cell r="BY50">
            <v>32.089978791354113</v>
          </cell>
        </row>
        <row r="51">
          <cell r="A51">
            <v>39597</v>
          </cell>
          <cell r="BF51">
            <v>54.705140991524608</v>
          </cell>
          <cell r="BG51">
            <v>45.468715051806292</v>
          </cell>
          <cell r="BH51">
            <v>42.408178994289898</v>
          </cell>
          <cell r="BI51">
            <v>30.406703917126244</v>
          </cell>
          <cell r="BJ51">
            <v>54.409654071453552</v>
          </cell>
          <cell r="BU51">
            <v>32.549827226606837</v>
          </cell>
          <cell r="BV51">
            <v>29.635401891862816</v>
          </cell>
          <cell r="BW51">
            <v>23.901518972811779</v>
          </cell>
          <cell r="BX51">
            <v>15.713059154269443</v>
          </cell>
          <cell r="BY51">
            <v>32.089978791354113</v>
          </cell>
        </row>
        <row r="52">
          <cell r="A52">
            <v>39598</v>
          </cell>
          <cell r="BF52">
            <v>54.73879521635957</v>
          </cell>
          <cell r="BG52">
            <v>45.468715051806292</v>
          </cell>
          <cell r="BH52">
            <v>42.408178994289898</v>
          </cell>
          <cell r="BI52">
            <v>30.406703917126244</v>
          </cell>
          <cell r="BJ52">
            <v>54.409654071453552</v>
          </cell>
          <cell r="BU52">
            <v>32.622598055698219</v>
          </cell>
          <cell r="BV52">
            <v>29.635401891862816</v>
          </cell>
          <cell r="BW52">
            <v>23.901518972811779</v>
          </cell>
          <cell r="BX52">
            <v>15.713059154269443</v>
          </cell>
          <cell r="BY52">
            <v>32.089978791354113</v>
          </cell>
        </row>
        <row r="53">
          <cell r="A53">
            <v>39601</v>
          </cell>
          <cell r="BF53">
            <v>53.189179729729737</v>
          </cell>
          <cell r="BG53">
            <v>45.468715051806292</v>
          </cell>
          <cell r="BH53">
            <v>42.408178994289898</v>
          </cell>
          <cell r="BI53">
            <v>30.406703917126244</v>
          </cell>
          <cell r="BJ53">
            <v>54.409654071453552</v>
          </cell>
          <cell r="BU53">
            <v>31.914866106841949</v>
          </cell>
          <cell r="BV53">
            <v>29.635401891862816</v>
          </cell>
          <cell r="BW53">
            <v>23.901518972811779</v>
          </cell>
          <cell r="BX53">
            <v>15.713059154269443</v>
          </cell>
          <cell r="BY53">
            <v>32.089978791354113</v>
          </cell>
        </row>
        <row r="54">
          <cell r="A54">
            <v>39602</v>
          </cell>
          <cell r="BF54">
            <v>53.141887837837842</v>
          </cell>
          <cell r="BG54">
            <v>45.468715051806292</v>
          </cell>
          <cell r="BH54">
            <v>42.408178994289898</v>
          </cell>
          <cell r="BI54">
            <v>30.406703917126244</v>
          </cell>
          <cell r="BJ54">
            <v>54.409654071453552</v>
          </cell>
          <cell r="BU54">
            <v>31.887294215494073</v>
          </cell>
          <cell r="BV54">
            <v>29.635401891862816</v>
          </cell>
          <cell r="BW54">
            <v>23.901518972811779</v>
          </cell>
          <cell r="BX54">
            <v>15.713059154269443</v>
          </cell>
          <cell r="BY54">
            <v>32.089978791354113</v>
          </cell>
        </row>
        <row r="55">
          <cell r="A55">
            <v>39603</v>
          </cell>
          <cell r="BF55">
            <v>53.486479054054051</v>
          </cell>
          <cell r="BG55">
            <v>45.468715051806292</v>
          </cell>
          <cell r="BH55">
            <v>42.408178994289898</v>
          </cell>
          <cell r="BI55">
            <v>30.406703917126244</v>
          </cell>
          <cell r="BJ55">
            <v>54.409654071453552</v>
          </cell>
          <cell r="BU55">
            <v>32.088397790055247</v>
          </cell>
          <cell r="BV55">
            <v>29.635401891862816</v>
          </cell>
          <cell r="BW55">
            <v>23.901518972811779</v>
          </cell>
          <cell r="BX55">
            <v>15.713059154269443</v>
          </cell>
          <cell r="BY55">
            <v>32.089978791354113</v>
          </cell>
        </row>
        <row r="56">
          <cell r="A56">
            <v>39604</v>
          </cell>
          <cell r="BF56">
            <v>53.871618918918919</v>
          </cell>
          <cell r="BG56">
            <v>45.468715051806292</v>
          </cell>
          <cell r="BH56">
            <v>42.408178994289898</v>
          </cell>
          <cell r="BI56">
            <v>30.406703917126244</v>
          </cell>
          <cell r="BJ56">
            <v>54.409654071453552</v>
          </cell>
          <cell r="BU56">
            <v>32.313166364389275</v>
          </cell>
          <cell r="BV56">
            <v>29.635401891862816</v>
          </cell>
          <cell r="BW56">
            <v>23.901518972811779</v>
          </cell>
          <cell r="BX56">
            <v>15.713059154269443</v>
          </cell>
          <cell r="BY56">
            <v>32.089978791354113</v>
          </cell>
        </row>
        <row r="57">
          <cell r="A57">
            <v>39605</v>
          </cell>
          <cell r="BF57">
            <v>53.175673648648647</v>
          </cell>
          <cell r="BG57">
            <v>45.468715051806292</v>
          </cell>
          <cell r="BH57">
            <v>42.408178994289898</v>
          </cell>
          <cell r="BI57">
            <v>30.406703917126244</v>
          </cell>
          <cell r="BJ57">
            <v>54.409654071453552</v>
          </cell>
          <cell r="BU57">
            <v>31.907003400183815</v>
          </cell>
          <cell r="BV57">
            <v>29.635401891862816</v>
          </cell>
          <cell r="BW57">
            <v>23.901518972811779</v>
          </cell>
          <cell r="BX57">
            <v>15.713059154269443</v>
          </cell>
          <cell r="BY57">
            <v>32.089978791354113</v>
          </cell>
        </row>
        <row r="58">
          <cell r="A58">
            <v>39608</v>
          </cell>
          <cell r="BF58">
            <v>53.324323648648651</v>
          </cell>
          <cell r="BG58">
            <v>45.468715051806292</v>
          </cell>
          <cell r="BH58">
            <v>42.408178994289898</v>
          </cell>
          <cell r="BI58">
            <v>30.406703917126244</v>
          </cell>
          <cell r="BJ58">
            <v>54.409654071453552</v>
          </cell>
          <cell r="BU58">
            <v>31.993765747254162</v>
          </cell>
          <cell r="BV58">
            <v>29.635401891862816</v>
          </cell>
          <cell r="BW58">
            <v>23.901518972811779</v>
          </cell>
          <cell r="BX58">
            <v>15.713059154269443</v>
          </cell>
          <cell r="BY58">
            <v>32.089978791354113</v>
          </cell>
        </row>
        <row r="59">
          <cell r="A59">
            <v>39609</v>
          </cell>
          <cell r="BF59">
            <v>52.729725675675674</v>
          </cell>
          <cell r="BG59">
            <v>45.468715051806292</v>
          </cell>
          <cell r="BH59">
            <v>42.408178994289898</v>
          </cell>
          <cell r="BI59">
            <v>30.406703917126244</v>
          </cell>
          <cell r="BJ59">
            <v>54.409654071453552</v>
          </cell>
          <cell r="BU59">
            <v>31.646716358972743</v>
          </cell>
          <cell r="BV59">
            <v>29.635401891862816</v>
          </cell>
          <cell r="BW59">
            <v>23.901518972811779</v>
          </cell>
          <cell r="BX59">
            <v>15.713059154269443</v>
          </cell>
          <cell r="BY59">
            <v>32.089978791354113</v>
          </cell>
        </row>
        <row r="60">
          <cell r="A60">
            <v>39610</v>
          </cell>
          <cell r="BF60">
            <v>50.729720945945949</v>
          </cell>
          <cell r="BG60">
            <v>45.468715051806292</v>
          </cell>
          <cell r="BH60">
            <v>42.408178994289898</v>
          </cell>
          <cell r="BI60">
            <v>30.406703917126244</v>
          </cell>
          <cell r="BJ60">
            <v>54.409654071453552</v>
          </cell>
          <cell r="BU60">
            <v>30.479436401186742</v>
          </cell>
          <cell r="BV60">
            <v>29.635401891862816</v>
          </cell>
          <cell r="BW60">
            <v>23.901518972811779</v>
          </cell>
          <cell r="BX60">
            <v>15.713059154269443</v>
          </cell>
          <cell r="BY60">
            <v>32.089978791354113</v>
          </cell>
        </row>
        <row r="61">
          <cell r="A61">
            <v>39611</v>
          </cell>
          <cell r="BF61">
            <v>51.331071621621625</v>
          </cell>
          <cell r="BG61">
            <v>45.468715051806292</v>
          </cell>
          <cell r="BH61">
            <v>42.408178994289898</v>
          </cell>
          <cell r="BI61">
            <v>30.406703917126244</v>
          </cell>
          <cell r="BJ61">
            <v>54.409654071453552</v>
          </cell>
          <cell r="BU61">
            <v>30.830413648260944</v>
          </cell>
          <cell r="BV61">
            <v>29.635401891862816</v>
          </cell>
          <cell r="BW61">
            <v>23.901518972811779</v>
          </cell>
          <cell r="BX61">
            <v>15.713059154269443</v>
          </cell>
          <cell r="BY61">
            <v>32.089978791354113</v>
          </cell>
        </row>
        <row r="62">
          <cell r="A62">
            <v>39612</v>
          </cell>
          <cell r="BF62">
            <v>53.074316216216218</v>
          </cell>
          <cell r="BG62">
            <v>45.468715051806292</v>
          </cell>
          <cell r="BH62">
            <v>42.408178994289898</v>
          </cell>
          <cell r="BI62">
            <v>30.406703917126244</v>
          </cell>
          <cell r="BJ62">
            <v>54.409654071453552</v>
          </cell>
          <cell r="BU62">
            <v>31.847847889824255</v>
          </cell>
          <cell r="BV62">
            <v>29.635401891862816</v>
          </cell>
          <cell r="BW62">
            <v>23.901518972811779</v>
          </cell>
          <cell r="BX62">
            <v>15.713059154269443</v>
          </cell>
          <cell r="BY62">
            <v>32.089978791354113</v>
          </cell>
        </row>
        <row r="63">
          <cell r="A63">
            <v>39615</v>
          </cell>
          <cell r="BF63">
            <v>54.560810810810814</v>
          </cell>
          <cell r="BG63">
            <v>45.468715051806292</v>
          </cell>
          <cell r="BH63">
            <v>42.408178994289898</v>
          </cell>
          <cell r="BI63">
            <v>30.406703917126244</v>
          </cell>
          <cell r="BJ63">
            <v>54.409654071453552</v>
          </cell>
          <cell r="BU63">
            <v>32.715415447947137</v>
          </cell>
          <cell r="BV63">
            <v>29.635401891862816</v>
          </cell>
          <cell r="BW63">
            <v>23.901518972811779</v>
          </cell>
          <cell r="BX63">
            <v>15.713059154269443</v>
          </cell>
          <cell r="BY63">
            <v>32.089978791354113</v>
          </cell>
        </row>
        <row r="64">
          <cell r="A64">
            <v>39616</v>
          </cell>
          <cell r="BF64">
            <v>54.952693918918918</v>
          </cell>
          <cell r="BG64">
            <v>45.468715051806292</v>
          </cell>
          <cell r="BH64">
            <v>42.408178994289898</v>
          </cell>
          <cell r="BI64">
            <v>30.406703917126244</v>
          </cell>
          <cell r="BJ64">
            <v>54.409654071453552</v>
          </cell>
          <cell r="BU64">
            <v>32.944146826436864</v>
          </cell>
          <cell r="BV64">
            <v>29.635401891862816</v>
          </cell>
          <cell r="BW64">
            <v>23.901518972811779</v>
          </cell>
          <cell r="BX64">
            <v>15.713059154269443</v>
          </cell>
          <cell r="BY64">
            <v>32.089978791354113</v>
          </cell>
        </row>
        <row r="65">
          <cell r="A65">
            <v>39617</v>
          </cell>
          <cell r="BF65">
            <v>54.945941216216212</v>
          </cell>
          <cell r="BG65">
            <v>45.468715051806292</v>
          </cell>
          <cell r="BH65">
            <v>42.408178994289898</v>
          </cell>
          <cell r="BI65">
            <v>30.406703917126244</v>
          </cell>
          <cell r="BJ65">
            <v>54.409654071453552</v>
          </cell>
          <cell r="BU65">
            <v>32.940191011353747</v>
          </cell>
          <cell r="BV65">
            <v>29.635401891862816</v>
          </cell>
          <cell r="BW65">
            <v>23.901518972811779</v>
          </cell>
          <cell r="BX65">
            <v>15.713059154269443</v>
          </cell>
          <cell r="BY65">
            <v>32.089978791354113</v>
          </cell>
        </row>
        <row r="66">
          <cell r="A66">
            <v>39618</v>
          </cell>
          <cell r="BF66">
            <v>56.716208108108106</v>
          </cell>
          <cell r="BG66">
            <v>45.468715051806292</v>
          </cell>
          <cell r="BH66">
            <v>42.408178994289898</v>
          </cell>
          <cell r="BI66">
            <v>30.406703917126244</v>
          </cell>
          <cell r="BJ66">
            <v>54.409654071453552</v>
          </cell>
          <cell r="BU66">
            <v>33.973399589741433</v>
          </cell>
          <cell r="BV66">
            <v>29.635401891862816</v>
          </cell>
          <cell r="BW66">
            <v>23.901518972811779</v>
          </cell>
          <cell r="BX66">
            <v>15.713059154269443</v>
          </cell>
          <cell r="BY66">
            <v>32.089978791354113</v>
          </cell>
        </row>
        <row r="67">
          <cell r="A67">
            <v>39619</v>
          </cell>
          <cell r="BF67">
            <v>57.168909459459464</v>
          </cell>
          <cell r="BG67">
            <v>45.468715051806292</v>
          </cell>
          <cell r="BH67">
            <v>42.408178994289898</v>
          </cell>
          <cell r="BI67">
            <v>30.406703917126244</v>
          </cell>
          <cell r="BJ67">
            <v>54.409654071453552</v>
          </cell>
          <cell r="BU67">
            <v>34.237614489745283</v>
          </cell>
          <cell r="BV67">
            <v>29.635401891862816</v>
          </cell>
          <cell r="BW67">
            <v>23.901518972811779</v>
          </cell>
          <cell r="BX67">
            <v>15.713059154269443</v>
          </cell>
          <cell r="BY67">
            <v>32.089978791354113</v>
          </cell>
        </row>
        <row r="68">
          <cell r="A68">
            <v>39622</v>
          </cell>
          <cell r="BF68">
            <v>55.905399324324328</v>
          </cell>
          <cell r="BG68">
            <v>45.468715051806292</v>
          </cell>
          <cell r="BH68">
            <v>42.408178994289898</v>
          </cell>
          <cell r="BI68">
            <v>30.406703917126244</v>
          </cell>
          <cell r="BJ68">
            <v>54.409654071453552</v>
          </cell>
          <cell r="BU68">
            <v>33.50019045222794</v>
          </cell>
          <cell r="BV68">
            <v>29.635401891862816</v>
          </cell>
          <cell r="BW68">
            <v>23.901518972811779</v>
          </cell>
          <cell r="BX68">
            <v>15.713059154269443</v>
          </cell>
          <cell r="BY68">
            <v>32.089978791354113</v>
          </cell>
        </row>
        <row r="69">
          <cell r="A69">
            <v>39623</v>
          </cell>
          <cell r="BF69">
            <v>55.871613513513516</v>
          </cell>
          <cell r="BG69">
            <v>45.468715051806292</v>
          </cell>
          <cell r="BH69">
            <v>42.408178994289898</v>
          </cell>
          <cell r="BI69">
            <v>30.406703917126244</v>
          </cell>
          <cell r="BJ69">
            <v>54.409654071453552</v>
          </cell>
          <cell r="BU69">
            <v>33.480446322175275</v>
          </cell>
          <cell r="BV69">
            <v>29.635401891862816</v>
          </cell>
          <cell r="BW69">
            <v>23.901518972811779</v>
          </cell>
          <cell r="BX69">
            <v>15.713059154269443</v>
          </cell>
          <cell r="BY69">
            <v>32.089978791354113</v>
          </cell>
        </row>
        <row r="70">
          <cell r="A70">
            <v>39624</v>
          </cell>
          <cell r="BF70">
            <v>57.3513445945946</v>
          </cell>
          <cell r="BG70">
            <v>45.468715051806292</v>
          </cell>
          <cell r="BH70">
            <v>42.408178994289898</v>
          </cell>
          <cell r="BI70">
            <v>30.406703917126244</v>
          </cell>
          <cell r="BJ70">
            <v>54.409654071453552</v>
          </cell>
          <cell r="BU70">
            <v>34.344093010577964</v>
          </cell>
          <cell r="BV70">
            <v>29.635401891862816</v>
          </cell>
          <cell r="BW70">
            <v>23.901518972811779</v>
          </cell>
          <cell r="BX70">
            <v>15.713059154269443</v>
          </cell>
          <cell r="BY70">
            <v>32.089978791354113</v>
          </cell>
        </row>
        <row r="71">
          <cell r="A71">
            <v>39625</v>
          </cell>
          <cell r="BF71">
            <v>56.418918918918919</v>
          </cell>
          <cell r="BG71">
            <v>45.468715051806292</v>
          </cell>
          <cell r="BH71">
            <v>42.408178994289898</v>
          </cell>
          <cell r="BI71">
            <v>30.406703917126244</v>
          </cell>
          <cell r="BJ71">
            <v>54.409654071453552</v>
          </cell>
          <cell r="BU71">
            <v>33.799895862818481</v>
          </cell>
          <cell r="BV71">
            <v>29.635401891862816</v>
          </cell>
          <cell r="BW71">
            <v>23.901518972811779</v>
          </cell>
          <cell r="BX71">
            <v>15.713059154269443</v>
          </cell>
          <cell r="BY71">
            <v>32.089978791354113</v>
          </cell>
        </row>
        <row r="72">
          <cell r="A72">
            <v>39626</v>
          </cell>
          <cell r="BF72">
            <v>58.641887837837835</v>
          </cell>
          <cell r="BG72">
            <v>45.468715051806292</v>
          </cell>
          <cell r="BH72">
            <v>42.408178994289898</v>
          </cell>
          <cell r="BI72">
            <v>30.406703917126244</v>
          </cell>
          <cell r="BJ72">
            <v>54.409654071453552</v>
          </cell>
          <cell r="BU72">
            <v>35.09729837399226</v>
          </cell>
          <cell r="BV72">
            <v>29.635401891862816</v>
          </cell>
          <cell r="BW72">
            <v>23.901518972811779</v>
          </cell>
          <cell r="BX72">
            <v>15.713059154269443</v>
          </cell>
          <cell r="BY72">
            <v>32.089978791354113</v>
          </cell>
        </row>
        <row r="73">
          <cell r="A73">
            <v>39629</v>
          </cell>
          <cell r="BF73">
            <v>58.812280702938864</v>
          </cell>
          <cell r="BG73">
            <v>45.468715051806292</v>
          </cell>
          <cell r="BH73">
            <v>42.408178994289898</v>
          </cell>
          <cell r="BI73">
            <v>30.406703917126244</v>
          </cell>
          <cell r="BJ73">
            <v>54.409654071453552</v>
          </cell>
          <cell r="BU73">
            <v>35.027938817658594</v>
          </cell>
          <cell r="BV73">
            <v>29.635401891862816</v>
          </cell>
          <cell r="BW73">
            <v>23.901518972811779</v>
          </cell>
          <cell r="BX73">
            <v>15.713059154269443</v>
          </cell>
          <cell r="BY73">
            <v>32.089978791354113</v>
          </cell>
        </row>
        <row r="74">
          <cell r="A74">
            <v>39630</v>
          </cell>
          <cell r="BF74">
            <v>57.970563868288885</v>
          </cell>
          <cell r="BG74">
            <v>45.468715051806292</v>
          </cell>
          <cell r="BH74">
            <v>42.408178994289898</v>
          </cell>
          <cell r="BI74">
            <v>30.406703917126244</v>
          </cell>
          <cell r="BJ74">
            <v>54.409654071453552</v>
          </cell>
          <cell r="BU74">
            <v>34.741360679177511</v>
          </cell>
          <cell r="BV74">
            <v>29.635401891862816</v>
          </cell>
          <cell r="BW74">
            <v>23.901518972811779</v>
          </cell>
          <cell r="BX74">
            <v>15.713059154269443</v>
          </cell>
          <cell r="BY74">
            <v>32.089978791354113</v>
          </cell>
        </row>
        <row r="75">
          <cell r="A75">
            <v>39631</v>
          </cell>
          <cell r="BF75">
            <v>58.670116330941291</v>
          </cell>
          <cell r="BG75">
            <v>45.468715051806292</v>
          </cell>
          <cell r="BH75">
            <v>42.408178994289898</v>
          </cell>
          <cell r="BI75">
            <v>30.406703917126244</v>
          </cell>
          <cell r="BJ75">
            <v>54.409654071453552</v>
          </cell>
          <cell r="BU75">
            <v>34.31554287682863</v>
          </cell>
          <cell r="BV75">
            <v>29.635401891862816</v>
          </cell>
          <cell r="BW75">
            <v>23.901518972811779</v>
          </cell>
          <cell r="BX75">
            <v>15.713059154269443</v>
          </cell>
          <cell r="BY75">
            <v>32.089978791354113</v>
          </cell>
        </row>
        <row r="76">
          <cell r="A76">
            <v>39632</v>
          </cell>
          <cell r="BF76">
            <v>58.096571595560519</v>
          </cell>
          <cell r="BG76">
            <v>45.468715051806292</v>
          </cell>
          <cell r="BH76">
            <v>42.408178994289898</v>
          </cell>
          <cell r="BI76">
            <v>30.406703917126244</v>
          </cell>
          <cell r="BJ76">
            <v>54.409654071453552</v>
          </cell>
          <cell r="BU76">
            <v>33.941779899407429</v>
          </cell>
          <cell r="BV76">
            <v>29.635401891862816</v>
          </cell>
          <cell r="BW76">
            <v>23.901518972811779</v>
          </cell>
          <cell r="BX76">
            <v>15.713059154269443</v>
          </cell>
          <cell r="BY76">
            <v>32.089978791354113</v>
          </cell>
        </row>
        <row r="77">
          <cell r="A77">
            <v>39633</v>
          </cell>
          <cell r="BF77">
            <v>58.096571595560519</v>
          </cell>
          <cell r="BG77">
            <v>45.468715051806292</v>
          </cell>
          <cell r="BH77">
            <v>42.408178994289898</v>
          </cell>
          <cell r="BI77">
            <v>30.406703917126244</v>
          </cell>
          <cell r="BJ77">
            <v>54.409654071453552</v>
          </cell>
          <cell r="BU77">
            <v>33.941779899407429</v>
          </cell>
          <cell r="BV77">
            <v>29.635401891862816</v>
          </cell>
          <cell r="BW77">
            <v>23.901518972811779</v>
          </cell>
          <cell r="BX77">
            <v>15.713059154269443</v>
          </cell>
          <cell r="BY77">
            <v>32.089978791354113</v>
          </cell>
        </row>
        <row r="78">
          <cell r="A78">
            <v>39636</v>
          </cell>
          <cell r="BF78">
            <v>56.14697499511211</v>
          </cell>
          <cell r="BG78">
            <v>45.468715051806292</v>
          </cell>
          <cell r="BH78">
            <v>42.408178994289898</v>
          </cell>
          <cell r="BI78">
            <v>30.406703917126244</v>
          </cell>
          <cell r="BJ78">
            <v>54.409654071453552</v>
          </cell>
          <cell r="BU78">
            <v>32.824246746539814</v>
          </cell>
          <cell r="BV78">
            <v>29.635401891862816</v>
          </cell>
          <cell r="BW78">
            <v>23.901518972811779</v>
          </cell>
          <cell r="BX78">
            <v>15.713059154269443</v>
          </cell>
          <cell r="BY78">
            <v>32.089978791354113</v>
          </cell>
        </row>
        <row r="79">
          <cell r="A79">
            <v>39637</v>
          </cell>
          <cell r="BF79">
            <v>58.084837557816854</v>
          </cell>
          <cell r="BG79">
            <v>45.468715051806292</v>
          </cell>
          <cell r="BH79">
            <v>42.408178994289898</v>
          </cell>
          <cell r="BI79">
            <v>30.406703917126244</v>
          </cell>
          <cell r="BJ79">
            <v>54.409654071453552</v>
          </cell>
          <cell r="BU79">
            <v>33.696860358518556</v>
          </cell>
          <cell r="BV79">
            <v>29.635401891862816</v>
          </cell>
          <cell r="BW79">
            <v>23.901518972811779</v>
          </cell>
          <cell r="BX79">
            <v>15.713059154269443</v>
          </cell>
          <cell r="BY79">
            <v>32.089978791354113</v>
          </cell>
        </row>
        <row r="80">
          <cell r="A80">
            <v>39638</v>
          </cell>
          <cell r="BF80">
            <v>57.085839262931863</v>
          </cell>
          <cell r="BG80">
            <v>45.468715051806292</v>
          </cell>
          <cell r="BH80">
            <v>42.408178994289898</v>
          </cell>
          <cell r="BI80">
            <v>30.406703917126244</v>
          </cell>
          <cell r="BJ80">
            <v>54.409654071453552</v>
          </cell>
          <cell r="BU80">
            <v>33.12818762042761</v>
          </cell>
          <cell r="BV80">
            <v>29.635401891862816</v>
          </cell>
          <cell r="BW80">
            <v>23.901518972811779</v>
          </cell>
          <cell r="BX80">
            <v>15.713059154269443</v>
          </cell>
          <cell r="BY80">
            <v>32.089978791354113</v>
          </cell>
        </row>
        <row r="81">
          <cell r="A81">
            <v>39639</v>
          </cell>
          <cell r="BF81">
            <v>57.34531645827434</v>
          </cell>
          <cell r="BG81">
            <v>45.468715051806292</v>
          </cell>
          <cell r="BH81">
            <v>42.408178994289898</v>
          </cell>
          <cell r="BI81">
            <v>30.406703917126244</v>
          </cell>
          <cell r="BJ81">
            <v>54.409654071453552</v>
          </cell>
          <cell r="BU81">
            <v>33.27589567505408</v>
          </cell>
          <cell r="BV81">
            <v>29.635401891862816</v>
          </cell>
          <cell r="BW81">
            <v>23.901518972811779</v>
          </cell>
          <cell r="BX81">
            <v>15.713059154269443</v>
          </cell>
          <cell r="BY81">
            <v>32.089978791354113</v>
          </cell>
        </row>
        <row r="82">
          <cell r="A82">
            <v>39640</v>
          </cell>
          <cell r="BF82">
            <v>55.152698673591757</v>
          </cell>
          <cell r="BG82">
            <v>45.468715051806292</v>
          </cell>
          <cell r="BH82">
            <v>42.408178994289898</v>
          </cell>
          <cell r="BI82">
            <v>30.406703917126244</v>
          </cell>
          <cell r="BJ82">
            <v>54.409654071453552</v>
          </cell>
          <cell r="BU82">
            <v>32.027772430123314</v>
          </cell>
          <cell r="BV82">
            <v>29.635401891862816</v>
          </cell>
          <cell r="BW82">
            <v>23.901518972811779</v>
          </cell>
          <cell r="BX82">
            <v>15.713059154269443</v>
          </cell>
          <cell r="BY82">
            <v>32.089978791354113</v>
          </cell>
        </row>
        <row r="83">
          <cell r="A83">
            <v>39643</v>
          </cell>
          <cell r="BF83">
            <v>54.374257357023566</v>
          </cell>
          <cell r="BG83">
            <v>45.468715051806292</v>
          </cell>
          <cell r="BH83">
            <v>42.408178994289898</v>
          </cell>
          <cell r="BI83">
            <v>30.406703917126244</v>
          </cell>
          <cell r="BJ83">
            <v>54.409654071453552</v>
          </cell>
          <cell r="BU83">
            <v>31.584667899569734</v>
          </cell>
          <cell r="BV83">
            <v>29.635401891862816</v>
          </cell>
          <cell r="BW83">
            <v>23.901518972811779</v>
          </cell>
          <cell r="BX83">
            <v>15.713059154269443</v>
          </cell>
          <cell r="BY83">
            <v>32.089978791354113</v>
          </cell>
        </row>
        <row r="84">
          <cell r="A84">
            <v>39644</v>
          </cell>
          <cell r="BF84">
            <v>54.426154223238051</v>
          </cell>
          <cell r="BG84">
            <v>45.468715051806292</v>
          </cell>
          <cell r="BH84">
            <v>42.408178994289898</v>
          </cell>
          <cell r="BI84">
            <v>30.406703917126244</v>
          </cell>
          <cell r="BJ84">
            <v>54.409654071453552</v>
          </cell>
          <cell r="BU84">
            <v>32.019977999770632</v>
          </cell>
          <cell r="BV84">
            <v>29.635401891862816</v>
          </cell>
          <cell r="BW84">
            <v>23.901518972811779</v>
          </cell>
          <cell r="BX84">
            <v>15.713059154269443</v>
          </cell>
          <cell r="BY84">
            <v>32.089978791354113</v>
          </cell>
        </row>
        <row r="85">
          <cell r="A85">
            <v>39645</v>
          </cell>
          <cell r="BF85">
            <v>54.653204067068295</v>
          </cell>
          <cell r="BG85">
            <v>45.468715051806292</v>
          </cell>
          <cell r="BH85">
            <v>42.408178994289898</v>
          </cell>
          <cell r="BI85">
            <v>30.406703917126244</v>
          </cell>
          <cell r="BJ85">
            <v>54.409654071453552</v>
          </cell>
          <cell r="BU85">
            <v>32.15091264970026</v>
          </cell>
          <cell r="BV85">
            <v>29.635401891862816</v>
          </cell>
          <cell r="BW85">
            <v>23.901518972811779</v>
          </cell>
          <cell r="BX85">
            <v>15.713059154269443</v>
          </cell>
          <cell r="BY85">
            <v>32.089978791354113</v>
          </cell>
        </row>
        <row r="86">
          <cell r="A86">
            <v>39646</v>
          </cell>
          <cell r="BF86">
            <v>54.938625478950321</v>
          </cell>
          <cell r="BG86">
            <v>45.468715051806292</v>
          </cell>
          <cell r="BH86">
            <v>42.408178994289898</v>
          </cell>
          <cell r="BI86">
            <v>30.406703917126244</v>
          </cell>
          <cell r="BJ86">
            <v>54.409654071453552</v>
          </cell>
          <cell r="BU86">
            <v>32.315498820094639</v>
          </cell>
          <cell r="BV86">
            <v>29.635401891862816</v>
          </cell>
          <cell r="BW86">
            <v>23.901518972811779</v>
          </cell>
          <cell r="BX86">
            <v>15.713059154269443</v>
          </cell>
          <cell r="BY86">
            <v>32.089978791354113</v>
          </cell>
        </row>
        <row r="87">
          <cell r="A87">
            <v>39647</v>
          </cell>
          <cell r="BF87">
            <v>55.890164540649494</v>
          </cell>
          <cell r="BG87">
            <v>45.468715051806292</v>
          </cell>
          <cell r="BH87">
            <v>42.408178994289898</v>
          </cell>
          <cell r="BI87">
            <v>30.406703917126244</v>
          </cell>
          <cell r="BJ87">
            <v>54.409654071453552</v>
          </cell>
          <cell r="BU87">
            <v>32.899105974696774</v>
          </cell>
          <cell r="BV87">
            <v>29.635401891862816</v>
          </cell>
          <cell r="BW87">
            <v>23.901518972811779</v>
          </cell>
          <cell r="BX87">
            <v>15.713059154269443</v>
          </cell>
          <cell r="BY87">
            <v>32.089978791354113</v>
          </cell>
        </row>
        <row r="88">
          <cell r="A88">
            <v>39650</v>
          </cell>
          <cell r="BF88">
            <v>54.458076436581976</v>
          </cell>
          <cell r="BG88">
            <v>45.468715051806292</v>
          </cell>
          <cell r="BH88">
            <v>42.408178994289898</v>
          </cell>
          <cell r="BI88">
            <v>30.406703917126244</v>
          </cell>
          <cell r="BJ88">
            <v>54.409654071453552</v>
          </cell>
          <cell r="BU88">
            <v>32.072333535305049</v>
          </cell>
          <cell r="BV88">
            <v>29.635401891862816</v>
          </cell>
          <cell r="BW88">
            <v>23.901518972811779</v>
          </cell>
          <cell r="BX88">
            <v>15.713059154269443</v>
          </cell>
          <cell r="BY88">
            <v>32.089978791354113</v>
          </cell>
        </row>
        <row r="89">
          <cell r="A89">
            <v>39651</v>
          </cell>
          <cell r="BF89">
            <v>54.496954607039321</v>
          </cell>
          <cell r="BG89">
            <v>45.468715051806292</v>
          </cell>
          <cell r="BH89">
            <v>42.408178994289898</v>
          </cell>
          <cell r="BI89">
            <v>30.406703917126244</v>
          </cell>
          <cell r="BJ89">
            <v>54.409654071453552</v>
          </cell>
          <cell r="BU89">
            <v>32.09477442672349</v>
          </cell>
          <cell r="BV89">
            <v>29.635401891862816</v>
          </cell>
          <cell r="BW89">
            <v>23.901518972811779</v>
          </cell>
          <cell r="BX89">
            <v>15.713059154269443</v>
          </cell>
          <cell r="BY89">
            <v>32.089978791354113</v>
          </cell>
        </row>
        <row r="90">
          <cell r="A90">
            <v>39652</v>
          </cell>
          <cell r="BF90">
            <v>59.583773470634512</v>
          </cell>
          <cell r="BG90">
            <v>45.468715051806292</v>
          </cell>
          <cell r="BH90">
            <v>42.408178994289898</v>
          </cell>
          <cell r="BI90">
            <v>30.406703917126244</v>
          </cell>
          <cell r="BJ90">
            <v>54.409654071453552</v>
          </cell>
          <cell r="BU90">
            <v>35.031468403710228</v>
          </cell>
          <cell r="BV90">
            <v>29.635401891862816</v>
          </cell>
          <cell r="BW90">
            <v>23.901518972811779</v>
          </cell>
          <cell r="BX90">
            <v>15.713059154269443</v>
          </cell>
          <cell r="BY90">
            <v>32.089978791354113</v>
          </cell>
        </row>
        <row r="91">
          <cell r="A91">
            <v>39653</v>
          </cell>
          <cell r="BF91">
            <v>58.098604651363679</v>
          </cell>
          <cell r="BG91">
            <v>45.468715051806292</v>
          </cell>
          <cell r="BH91">
            <v>42.408178994289898</v>
          </cell>
          <cell r="BI91">
            <v>30.406703917126244</v>
          </cell>
          <cell r="BJ91">
            <v>54.409654071453552</v>
          </cell>
          <cell r="BU91">
            <v>31.949528656337041</v>
          </cell>
          <cell r="BV91">
            <v>29.635401891862816</v>
          </cell>
          <cell r="BW91">
            <v>23.901518972811779</v>
          </cell>
          <cell r="BX91">
            <v>15.713059154269443</v>
          </cell>
          <cell r="BY91">
            <v>32.089978791354113</v>
          </cell>
        </row>
        <row r="92">
          <cell r="A92">
            <v>39654</v>
          </cell>
          <cell r="BF92">
            <v>58.779966485056455</v>
          </cell>
          <cell r="BG92">
            <v>45.468715051806292</v>
          </cell>
          <cell r="BH92">
            <v>42.408178994289898</v>
          </cell>
          <cell r="BI92">
            <v>30.406703917126244</v>
          </cell>
          <cell r="BJ92">
            <v>54.409654071453552</v>
          </cell>
          <cell r="BU92">
            <v>32.317473214541472</v>
          </cell>
          <cell r="BV92">
            <v>29.635401891862816</v>
          </cell>
          <cell r="BW92">
            <v>23.901518972811779</v>
          </cell>
          <cell r="BX92">
            <v>15.713059154269443</v>
          </cell>
          <cell r="BY92">
            <v>32.089978791354113</v>
          </cell>
        </row>
        <row r="93">
          <cell r="A93">
            <v>39657</v>
          </cell>
          <cell r="BF93">
            <v>58.893521533260099</v>
          </cell>
          <cell r="BG93">
            <v>45.468715051806292</v>
          </cell>
          <cell r="BH93">
            <v>42.408178994289898</v>
          </cell>
          <cell r="BI93">
            <v>30.406703917126244</v>
          </cell>
          <cell r="BJ93">
            <v>54.409654071453552</v>
          </cell>
          <cell r="BU93">
            <v>32.455108246890646</v>
          </cell>
          <cell r="BV93">
            <v>29.635401891862816</v>
          </cell>
          <cell r="BW93">
            <v>23.901518972811779</v>
          </cell>
          <cell r="BX93">
            <v>15.713059154269443</v>
          </cell>
          <cell r="BY93">
            <v>32.089978791354113</v>
          </cell>
        </row>
        <row r="94">
          <cell r="A94">
            <v>39658</v>
          </cell>
          <cell r="BF94">
            <v>59.328837124651145</v>
          </cell>
          <cell r="BG94">
            <v>45.468715051806292</v>
          </cell>
          <cell r="BH94">
            <v>42.408178994289898</v>
          </cell>
          <cell r="BI94">
            <v>30.406703917126244</v>
          </cell>
          <cell r="BJ94">
            <v>54.409654071453552</v>
          </cell>
          <cell r="BU94">
            <v>32.69072793182719</v>
          </cell>
          <cell r="BV94">
            <v>29.635401891862816</v>
          </cell>
          <cell r="BW94">
            <v>23.901518972811779</v>
          </cell>
          <cell r="BX94">
            <v>15.713059154269443</v>
          </cell>
          <cell r="BY94">
            <v>32.089978791354113</v>
          </cell>
        </row>
        <row r="95">
          <cell r="A95">
            <v>39659</v>
          </cell>
          <cell r="BF95">
            <v>58.691641966475018</v>
          </cell>
          <cell r="BG95">
            <v>45.468715051806292</v>
          </cell>
          <cell r="BH95">
            <v>42.408178994289898</v>
          </cell>
          <cell r="BI95">
            <v>30.406703917126244</v>
          </cell>
          <cell r="BJ95">
            <v>54.409654071453552</v>
          </cell>
          <cell r="BU95">
            <v>32.345805982523977</v>
          </cell>
          <cell r="BV95">
            <v>29.635401891862816</v>
          </cell>
          <cell r="BW95">
            <v>23.901518972811779</v>
          </cell>
          <cell r="BX95">
            <v>15.713059154269443</v>
          </cell>
          <cell r="BY95">
            <v>32.089978791354113</v>
          </cell>
        </row>
        <row r="96">
          <cell r="A96">
            <v>39660</v>
          </cell>
          <cell r="BF96">
            <v>58.824123697231826</v>
          </cell>
          <cell r="BG96">
            <v>45.468715051806292</v>
          </cell>
          <cell r="BH96">
            <v>42.408178994289898</v>
          </cell>
          <cell r="BI96">
            <v>30.406703917126244</v>
          </cell>
          <cell r="BJ96">
            <v>54.409654071453552</v>
          </cell>
          <cell r="BU96">
            <v>32.417531868655537</v>
          </cell>
          <cell r="BV96">
            <v>29.635401891862816</v>
          </cell>
          <cell r="BW96">
            <v>23.901518972811779</v>
          </cell>
          <cell r="BX96">
            <v>15.713059154269443</v>
          </cell>
          <cell r="BY96">
            <v>32.089978791354113</v>
          </cell>
        </row>
        <row r="97">
          <cell r="A97">
            <v>39661</v>
          </cell>
          <cell r="BF97">
            <v>56.743965012989356</v>
          </cell>
          <cell r="BG97">
            <v>45.468715051806292</v>
          </cell>
          <cell r="BH97">
            <v>42.408178994289898</v>
          </cell>
          <cell r="BI97">
            <v>30.406703917126244</v>
          </cell>
          <cell r="BJ97">
            <v>54.409654071453552</v>
          </cell>
          <cell r="BU97">
            <v>31.492072761421596</v>
          </cell>
          <cell r="BV97">
            <v>29.635401891862816</v>
          </cell>
          <cell r="BW97">
            <v>23.901518972811779</v>
          </cell>
          <cell r="BX97">
            <v>15.713059154269443</v>
          </cell>
          <cell r="BY97">
            <v>32.089978791354113</v>
          </cell>
        </row>
        <row r="98">
          <cell r="A98">
            <v>39664</v>
          </cell>
          <cell r="BF98">
            <v>54.464120112337184</v>
          </cell>
          <cell r="BG98">
            <v>45.468715051806292</v>
          </cell>
          <cell r="BH98">
            <v>42.408178994289898</v>
          </cell>
          <cell r="BI98">
            <v>30.406703917126244</v>
          </cell>
          <cell r="BJ98">
            <v>54.409654071453552</v>
          </cell>
          <cell r="BU98">
            <v>30.164725922422402</v>
          </cell>
          <cell r="BV98">
            <v>29.635401891862816</v>
          </cell>
          <cell r="BW98">
            <v>23.901518972811779</v>
          </cell>
          <cell r="BX98">
            <v>15.713059154269443</v>
          </cell>
          <cell r="BY98">
            <v>32.089978791354113</v>
          </cell>
        </row>
        <row r="99">
          <cell r="A99">
            <v>39665</v>
          </cell>
          <cell r="BF99">
            <v>53.960954697096263</v>
          </cell>
          <cell r="BG99">
            <v>45.468715051806292</v>
          </cell>
          <cell r="BH99">
            <v>42.408178994289898</v>
          </cell>
          <cell r="BI99">
            <v>30.406703917126244</v>
          </cell>
          <cell r="BJ99">
            <v>54.409654071453552</v>
          </cell>
          <cell r="BU99">
            <v>29.891265292821917</v>
          </cell>
          <cell r="BV99">
            <v>29.635401891862816</v>
          </cell>
          <cell r="BW99">
            <v>23.901518972811779</v>
          </cell>
          <cell r="BX99">
            <v>15.713059154269443</v>
          </cell>
          <cell r="BY99">
            <v>32.089978791354113</v>
          </cell>
        </row>
        <row r="100">
          <cell r="A100">
            <v>39666</v>
          </cell>
          <cell r="BF100">
            <v>54.764792630126827</v>
          </cell>
          <cell r="BG100">
            <v>45.468715051806292</v>
          </cell>
          <cell r="BH100">
            <v>42.408178994289898</v>
          </cell>
          <cell r="BI100">
            <v>30.406703917126244</v>
          </cell>
          <cell r="BJ100">
            <v>54.409654071453552</v>
          </cell>
          <cell r="BU100">
            <v>30.328148099289468</v>
          </cell>
          <cell r="BV100">
            <v>29.635401891862816</v>
          </cell>
          <cell r="BW100">
            <v>23.901518972811779</v>
          </cell>
          <cell r="BX100">
            <v>15.713059154269443</v>
          </cell>
          <cell r="BY100">
            <v>32.089978791354113</v>
          </cell>
        </row>
        <row r="101">
          <cell r="A101">
            <v>39667</v>
          </cell>
          <cell r="BF101">
            <v>54.010044814071001</v>
          </cell>
          <cell r="BG101">
            <v>45.468715051806292</v>
          </cell>
          <cell r="BH101">
            <v>42.408178994289898</v>
          </cell>
          <cell r="BI101">
            <v>30.406703917126244</v>
          </cell>
          <cell r="BJ101">
            <v>54.409654071453552</v>
          </cell>
          <cell r="BU101">
            <v>29.917933873718162</v>
          </cell>
          <cell r="BV101">
            <v>29.635401891862816</v>
          </cell>
          <cell r="BW101">
            <v>23.901518972811779</v>
          </cell>
          <cell r="BX101">
            <v>15.713059154269443</v>
          </cell>
          <cell r="BY101">
            <v>32.089978791354113</v>
          </cell>
        </row>
        <row r="102">
          <cell r="A102">
            <v>39668</v>
          </cell>
          <cell r="BF102">
            <v>54.8322812629808</v>
          </cell>
          <cell r="BG102">
            <v>45.468715051806292</v>
          </cell>
          <cell r="BH102">
            <v>42.408178994289898</v>
          </cell>
          <cell r="BI102">
            <v>30.406703917126244</v>
          </cell>
          <cell r="BJ102">
            <v>54.409654071453552</v>
          </cell>
          <cell r="BU102">
            <v>30.364845044411872</v>
          </cell>
          <cell r="BV102">
            <v>29.635401891862816</v>
          </cell>
          <cell r="BW102">
            <v>23.901518972811779</v>
          </cell>
          <cell r="BX102">
            <v>15.713059154269443</v>
          </cell>
          <cell r="BY102">
            <v>32.089978791354113</v>
          </cell>
        </row>
        <row r="103">
          <cell r="A103">
            <v>39671</v>
          </cell>
          <cell r="BF103">
            <v>54.513210229311923</v>
          </cell>
          <cell r="BG103">
            <v>45.468715051806292</v>
          </cell>
          <cell r="BH103">
            <v>42.408178994289898</v>
          </cell>
          <cell r="BI103">
            <v>30.406703917126244</v>
          </cell>
          <cell r="BJ103">
            <v>54.409654071453552</v>
          </cell>
          <cell r="BU103">
            <v>30.191417784489225</v>
          </cell>
          <cell r="BV103">
            <v>29.635401891862816</v>
          </cell>
          <cell r="BW103">
            <v>23.901518972811779</v>
          </cell>
          <cell r="BX103">
            <v>15.713059154269443</v>
          </cell>
          <cell r="BY103">
            <v>32.089978791354113</v>
          </cell>
        </row>
        <row r="104">
          <cell r="A104">
            <v>39672</v>
          </cell>
          <cell r="BF104">
            <v>55.452034632217263</v>
          </cell>
          <cell r="BG104">
            <v>45.468715051806292</v>
          </cell>
          <cell r="BH104">
            <v>42.408178994289898</v>
          </cell>
          <cell r="BI104">
            <v>30.406703917126244</v>
          </cell>
          <cell r="BJ104">
            <v>54.409654071453552</v>
          </cell>
          <cell r="BU104">
            <v>30.701671200031011</v>
          </cell>
          <cell r="BV104">
            <v>29.635401891862816</v>
          </cell>
          <cell r="BW104">
            <v>23.901518972811779</v>
          </cell>
          <cell r="BX104">
            <v>15.713059154269443</v>
          </cell>
          <cell r="BY104">
            <v>32.089978791354113</v>
          </cell>
        </row>
        <row r="105">
          <cell r="A105">
            <v>39673</v>
          </cell>
          <cell r="BF105">
            <v>55.752697945840076</v>
          </cell>
          <cell r="BG105">
            <v>45.468715051806292</v>
          </cell>
          <cell r="BH105">
            <v>42.408178994289898</v>
          </cell>
          <cell r="BI105">
            <v>30.406703917126244</v>
          </cell>
          <cell r="BJ105">
            <v>54.409654071453552</v>
          </cell>
          <cell r="BU105">
            <v>30.865093376898081</v>
          </cell>
          <cell r="BV105">
            <v>29.635401891862816</v>
          </cell>
          <cell r="BW105">
            <v>23.901518972811779</v>
          </cell>
          <cell r="BX105">
            <v>15.713059154269443</v>
          </cell>
          <cell r="BY105">
            <v>32.089978791354113</v>
          </cell>
        </row>
        <row r="106">
          <cell r="A106">
            <v>39674</v>
          </cell>
          <cell r="BF106">
            <v>57.433122319793362</v>
          </cell>
          <cell r="BG106">
            <v>45.468715051806292</v>
          </cell>
          <cell r="BH106">
            <v>42.408178994289898</v>
          </cell>
          <cell r="BI106">
            <v>30.406703917126244</v>
          </cell>
          <cell r="BJ106">
            <v>54.409654071453552</v>
          </cell>
          <cell r="BU106">
            <v>31.828922198211309</v>
          </cell>
          <cell r="BV106">
            <v>29.635401891862816</v>
          </cell>
          <cell r="BW106">
            <v>23.901518972811779</v>
          </cell>
          <cell r="BX106">
            <v>15.713059154269443</v>
          </cell>
          <cell r="BY106">
            <v>32.089978791354113</v>
          </cell>
        </row>
        <row r="107">
          <cell r="A107">
            <v>39675</v>
          </cell>
          <cell r="BF107">
            <v>57.641411272213233</v>
          </cell>
          <cell r="BG107">
            <v>45.468715051806292</v>
          </cell>
          <cell r="BH107">
            <v>42.408178994289898</v>
          </cell>
          <cell r="BI107">
            <v>30.406703917126244</v>
          </cell>
          <cell r="BJ107">
            <v>54.409654071453552</v>
          </cell>
          <cell r="BU107">
            <v>31.942301498922564</v>
          </cell>
          <cell r="BV107">
            <v>29.635401891862816</v>
          </cell>
          <cell r="BW107">
            <v>23.901518972811779</v>
          </cell>
          <cell r="BX107">
            <v>15.713059154269443</v>
          </cell>
          <cell r="BY107">
            <v>32.089978791354113</v>
          </cell>
        </row>
        <row r="108">
          <cell r="A108">
            <v>39678</v>
          </cell>
          <cell r="BF108">
            <v>56.777614662043653</v>
          </cell>
          <cell r="BG108">
            <v>45.468715051806292</v>
          </cell>
          <cell r="BH108">
            <v>42.408178994289898</v>
          </cell>
          <cell r="BI108">
            <v>30.406703917126244</v>
          </cell>
          <cell r="BJ108">
            <v>54.409654071453552</v>
          </cell>
          <cell r="BU108">
            <v>31.47206259531044</v>
          </cell>
          <cell r="BV108">
            <v>29.635401891862816</v>
          </cell>
          <cell r="BW108">
            <v>23.901518972811779</v>
          </cell>
          <cell r="BX108">
            <v>15.713059154269443</v>
          </cell>
          <cell r="BY108">
            <v>32.089978791354113</v>
          </cell>
        </row>
        <row r="109">
          <cell r="A109">
            <v>39679</v>
          </cell>
          <cell r="BF109">
            <v>56.710226465188427</v>
          </cell>
          <cell r="BG109">
            <v>45.468715051806292</v>
          </cell>
          <cell r="BH109">
            <v>42.408178994289898</v>
          </cell>
          <cell r="BI109">
            <v>30.406703917126244</v>
          </cell>
          <cell r="BJ109">
            <v>54.409654071453552</v>
          </cell>
          <cell r="BU109">
            <v>31.435388931358617</v>
          </cell>
          <cell r="BV109">
            <v>29.635401891862816</v>
          </cell>
          <cell r="BW109">
            <v>23.901518972811779</v>
          </cell>
          <cell r="BX109">
            <v>15.713059154269443</v>
          </cell>
          <cell r="BY109">
            <v>32.089978791354113</v>
          </cell>
        </row>
        <row r="110">
          <cell r="A110">
            <v>39680</v>
          </cell>
          <cell r="BF110">
            <v>57.598523585874659</v>
          </cell>
          <cell r="BG110">
            <v>45.468715051806292</v>
          </cell>
          <cell r="BH110">
            <v>42.408178994289898</v>
          </cell>
          <cell r="BI110">
            <v>30.406703917126244</v>
          </cell>
          <cell r="BJ110">
            <v>54.409654071453552</v>
          </cell>
          <cell r="BU110">
            <v>31.918950484833569</v>
          </cell>
          <cell r="BV110">
            <v>29.635401891862816</v>
          </cell>
          <cell r="BW110">
            <v>23.901518972811779</v>
          </cell>
          <cell r="BX110">
            <v>15.713059154269443</v>
          </cell>
          <cell r="BY110">
            <v>32.089978791354113</v>
          </cell>
        </row>
        <row r="111">
          <cell r="A111">
            <v>39681</v>
          </cell>
          <cell r="BF111">
            <v>56.36103736982389</v>
          </cell>
          <cell r="BG111">
            <v>45.468715051806292</v>
          </cell>
          <cell r="BH111">
            <v>42.408178994289898</v>
          </cell>
          <cell r="BI111">
            <v>30.406703917126244</v>
          </cell>
          <cell r="BJ111">
            <v>54.409654071453552</v>
          </cell>
          <cell r="BU111">
            <v>31.245298173595298</v>
          </cell>
          <cell r="BV111">
            <v>29.635401891862816</v>
          </cell>
          <cell r="BW111">
            <v>23.901518972811779</v>
          </cell>
          <cell r="BX111">
            <v>15.713059154269443</v>
          </cell>
          <cell r="BY111">
            <v>32.089978791354113</v>
          </cell>
        </row>
        <row r="112">
          <cell r="A112">
            <v>39682</v>
          </cell>
          <cell r="BF112">
            <v>55.950574024918808</v>
          </cell>
          <cell r="BG112">
            <v>45.468715051806292</v>
          </cell>
          <cell r="BH112">
            <v>42.408178994289898</v>
          </cell>
          <cell r="BI112">
            <v>30.406703917126244</v>
          </cell>
          <cell r="BJ112">
            <v>54.409654071453552</v>
          </cell>
          <cell r="BU112">
            <v>31.021833857809476</v>
          </cell>
          <cell r="BV112">
            <v>29.635401891862816</v>
          </cell>
          <cell r="BW112">
            <v>23.901518972811779</v>
          </cell>
          <cell r="BX112">
            <v>15.713059154269443</v>
          </cell>
          <cell r="BY112">
            <v>32.089978791354113</v>
          </cell>
        </row>
        <row r="113">
          <cell r="A113">
            <v>39685</v>
          </cell>
          <cell r="BF113">
            <v>55.117410251179699</v>
          </cell>
          <cell r="BG113">
            <v>45.468715051806292</v>
          </cell>
          <cell r="BH113">
            <v>42.408178994289898</v>
          </cell>
          <cell r="BI113">
            <v>30.406703917126244</v>
          </cell>
          <cell r="BJ113">
            <v>54.409654071453552</v>
          </cell>
          <cell r="BU113">
            <v>30.568258452038027</v>
          </cell>
          <cell r="BV113">
            <v>29.635401891862816</v>
          </cell>
          <cell r="BW113">
            <v>23.901518972811779</v>
          </cell>
          <cell r="BX113">
            <v>15.713059154269443</v>
          </cell>
          <cell r="BY113">
            <v>32.089978791354113</v>
          </cell>
        </row>
        <row r="114">
          <cell r="A114">
            <v>39686</v>
          </cell>
          <cell r="BF114">
            <v>52.519907698596221</v>
          </cell>
          <cell r="BG114">
            <v>45.468715051806292</v>
          </cell>
          <cell r="BH114">
            <v>42.408178994289898</v>
          </cell>
          <cell r="BI114">
            <v>30.406703917126244</v>
          </cell>
          <cell r="BJ114">
            <v>54.409654071453552</v>
          </cell>
          <cell r="BU114">
            <v>29.154224174394407</v>
          </cell>
          <cell r="BV114">
            <v>29.635401891862816</v>
          </cell>
          <cell r="BW114">
            <v>23.901518972811779</v>
          </cell>
          <cell r="BX114">
            <v>15.713059154269443</v>
          </cell>
          <cell r="BY114">
            <v>32.089978791354113</v>
          </cell>
        </row>
        <row r="115">
          <cell r="A115">
            <v>39687</v>
          </cell>
          <cell r="BF115">
            <v>52.176842352465904</v>
          </cell>
          <cell r="BG115">
            <v>45.468715051806292</v>
          </cell>
          <cell r="BH115">
            <v>42.408178994289898</v>
          </cell>
          <cell r="BI115">
            <v>30.406703917126244</v>
          </cell>
          <cell r="BJ115">
            <v>54.409654071453552</v>
          </cell>
          <cell r="BU115">
            <v>28.967450983438347</v>
          </cell>
          <cell r="BV115">
            <v>29.635401891862816</v>
          </cell>
          <cell r="BW115">
            <v>23.901518972811779</v>
          </cell>
          <cell r="BX115">
            <v>15.713059154269443</v>
          </cell>
          <cell r="BY115">
            <v>32.089978791354113</v>
          </cell>
        </row>
        <row r="116">
          <cell r="A116">
            <v>39688</v>
          </cell>
          <cell r="BF116">
            <v>52.434141515218634</v>
          </cell>
          <cell r="BG116">
            <v>45.468715051806292</v>
          </cell>
          <cell r="BH116">
            <v>42.408178994289898</v>
          </cell>
          <cell r="BI116">
            <v>30.406703917126244</v>
          </cell>
          <cell r="BJ116">
            <v>54.409654071453552</v>
          </cell>
          <cell r="BU116">
            <v>29.107522146216425</v>
          </cell>
          <cell r="BV116">
            <v>29.635401891862816</v>
          </cell>
          <cell r="BW116">
            <v>23.901518972811779</v>
          </cell>
          <cell r="BX116">
            <v>15.713059154269443</v>
          </cell>
          <cell r="BY116">
            <v>32.089978791354113</v>
          </cell>
        </row>
        <row r="117">
          <cell r="A117">
            <v>39689</v>
          </cell>
          <cell r="BF117">
            <v>52.764952011440847</v>
          </cell>
          <cell r="BG117">
            <v>45.468715051806292</v>
          </cell>
          <cell r="BH117">
            <v>42.408178994289898</v>
          </cell>
          <cell r="BI117">
            <v>30.406703917126244</v>
          </cell>
          <cell r="BJ117">
            <v>54.409654071453552</v>
          </cell>
          <cell r="BU117">
            <v>29.287613641216812</v>
          </cell>
          <cell r="BV117">
            <v>29.635401891862816</v>
          </cell>
          <cell r="BW117">
            <v>23.901518972811779</v>
          </cell>
          <cell r="BX117">
            <v>15.713059154269443</v>
          </cell>
          <cell r="BY117">
            <v>32.089978791354113</v>
          </cell>
        </row>
        <row r="118">
          <cell r="A118">
            <v>39692</v>
          </cell>
          <cell r="BF118">
            <v>51.290748846211116</v>
          </cell>
          <cell r="BG118">
            <v>45.468715051806292</v>
          </cell>
          <cell r="BH118">
            <v>42.408178994289898</v>
          </cell>
          <cell r="BI118">
            <v>30.406703917126244</v>
          </cell>
          <cell r="BJ118">
            <v>54.409654071453552</v>
          </cell>
          <cell r="BU118">
            <v>28.617844981409995</v>
          </cell>
          <cell r="BV118">
            <v>29.635401891862816</v>
          </cell>
          <cell r="BW118">
            <v>23.901518972811779</v>
          </cell>
          <cell r="BX118">
            <v>15.713059154269443</v>
          </cell>
          <cell r="BY118">
            <v>32.089978791354113</v>
          </cell>
        </row>
        <row r="119">
          <cell r="A119">
            <v>39693</v>
          </cell>
          <cell r="BF119">
            <v>51.856475807652231</v>
          </cell>
          <cell r="BG119">
            <v>45.468715051806292</v>
          </cell>
          <cell r="BH119">
            <v>42.408178994289898</v>
          </cell>
          <cell r="BI119">
            <v>30.406703917126244</v>
          </cell>
          <cell r="BJ119">
            <v>54.409654071453552</v>
          </cell>
          <cell r="BU119">
            <v>28.927438560572131</v>
          </cell>
          <cell r="BV119">
            <v>29.635401891862816</v>
          </cell>
          <cell r="BW119">
            <v>23.901518972811779</v>
          </cell>
          <cell r="BX119">
            <v>15.713059154269443</v>
          </cell>
          <cell r="BY119">
            <v>32.089978791354113</v>
          </cell>
        </row>
        <row r="120">
          <cell r="A120">
            <v>39694</v>
          </cell>
          <cell r="BF120">
            <v>50.451085901444102</v>
          </cell>
          <cell r="BG120">
            <v>45.468715051806292</v>
          </cell>
          <cell r="BH120">
            <v>42.408178994289898</v>
          </cell>
          <cell r="BI120">
            <v>30.406703917126244</v>
          </cell>
          <cell r="BJ120">
            <v>54.409654071453552</v>
          </cell>
          <cell r="BU120">
            <v>28.158359814313233</v>
          </cell>
          <cell r="BV120">
            <v>29.635401891862816</v>
          </cell>
          <cell r="BW120">
            <v>23.901518972811779</v>
          </cell>
          <cell r="BX120">
            <v>15.713059154269443</v>
          </cell>
          <cell r="BY120">
            <v>32.089978791354113</v>
          </cell>
        </row>
        <row r="121">
          <cell r="A121">
            <v>39695</v>
          </cell>
          <cell r="BF121">
            <v>49.158843531338398</v>
          </cell>
          <cell r="BG121">
            <v>45.468715051806292</v>
          </cell>
          <cell r="BH121">
            <v>42.408178994289898</v>
          </cell>
          <cell r="BI121">
            <v>30.406703917126244</v>
          </cell>
          <cell r="BJ121">
            <v>54.409654071453552</v>
          </cell>
          <cell r="BU121">
            <v>27.451214570581588</v>
          </cell>
          <cell r="BV121">
            <v>29.635401891862816</v>
          </cell>
          <cell r="BW121">
            <v>23.901518972811779</v>
          </cell>
          <cell r="BX121">
            <v>15.713059154269443</v>
          </cell>
          <cell r="BY121">
            <v>32.089978791354113</v>
          </cell>
        </row>
        <row r="122">
          <cell r="A122">
            <v>39696</v>
          </cell>
          <cell r="BF122">
            <v>49.909184457347031</v>
          </cell>
          <cell r="BG122">
            <v>45.468715051806292</v>
          </cell>
          <cell r="BH122">
            <v>42.408178994289898</v>
          </cell>
          <cell r="BI122">
            <v>30.406703917126244</v>
          </cell>
          <cell r="BJ122">
            <v>54.409654071453552</v>
          </cell>
          <cell r="BU122">
            <v>27.861824024113684</v>
          </cell>
          <cell r="BV122">
            <v>29.635401891862816</v>
          </cell>
          <cell r="BW122">
            <v>23.901518972811779</v>
          </cell>
          <cell r="BX122">
            <v>15.713059154269443</v>
          </cell>
          <cell r="BY122">
            <v>32.089978791354113</v>
          </cell>
        </row>
        <row r="123">
          <cell r="A123">
            <v>39699</v>
          </cell>
          <cell r="BF123">
            <v>49.772211999404497</v>
          </cell>
          <cell r="BG123">
            <v>45.468715051806292</v>
          </cell>
          <cell r="BH123">
            <v>42.408178994289898</v>
          </cell>
          <cell r="BI123">
            <v>30.406703917126244</v>
          </cell>
          <cell r="BJ123">
            <v>54.409654071453552</v>
          </cell>
          <cell r="BU123">
            <v>27.786872542956058</v>
          </cell>
          <cell r="BV123">
            <v>29.635401891862816</v>
          </cell>
          <cell r="BW123">
            <v>23.901518972811779</v>
          </cell>
          <cell r="BX123">
            <v>15.713059154269443</v>
          </cell>
          <cell r="BY123">
            <v>32.089978791354113</v>
          </cell>
        </row>
        <row r="124">
          <cell r="A124">
            <v>39700</v>
          </cell>
          <cell r="BF124">
            <v>48.677196321114394</v>
          </cell>
          <cell r="BG124">
            <v>45.468715051806292</v>
          </cell>
          <cell r="BH124">
            <v>42.408178994289898</v>
          </cell>
          <cell r="BI124">
            <v>30.406703917126244</v>
          </cell>
          <cell r="BJ124">
            <v>54.409654071453552</v>
          </cell>
          <cell r="BU124">
            <v>26.141800449439426</v>
          </cell>
          <cell r="BV124">
            <v>29.635401891862816</v>
          </cell>
          <cell r="BW124">
            <v>23.901518972811779</v>
          </cell>
          <cell r="BX124">
            <v>15.713059154269443</v>
          </cell>
          <cell r="BY124">
            <v>32.089978791354113</v>
          </cell>
        </row>
        <row r="125">
          <cell r="A125">
            <v>39701</v>
          </cell>
          <cell r="BF125">
            <v>48.896273331276745</v>
          </cell>
          <cell r="BG125">
            <v>45.468715051806292</v>
          </cell>
          <cell r="BH125">
            <v>42.408178994289898</v>
          </cell>
          <cell r="BI125">
            <v>30.406703917126244</v>
          </cell>
          <cell r="BJ125">
            <v>54.409654071453552</v>
          </cell>
          <cell r="BU125">
            <v>26.257099470759933</v>
          </cell>
          <cell r="BV125">
            <v>29.635401891862816</v>
          </cell>
          <cell r="BW125">
            <v>23.901518972811779</v>
          </cell>
          <cell r="BX125">
            <v>15.713059154269443</v>
          </cell>
          <cell r="BY125">
            <v>32.089978791354113</v>
          </cell>
        </row>
        <row r="126">
          <cell r="A126">
            <v>39702</v>
          </cell>
          <cell r="BF126">
            <v>49.287066998799794</v>
          </cell>
          <cell r="BG126">
            <v>45.468715051806292</v>
          </cell>
          <cell r="BH126">
            <v>42.408178994289898</v>
          </cell>
          <cell r="BI126">
            <v>30.406703917126244</v>
          </cell>
          <cell r="BJ126">
            <v>54.409654071453552</v>
          </cell>
          <cell r="BU126">
            <v>26.462737719604725</v>
          </cell>
          <cell r="BV126">
            <v>29.635401891862816</v>
          </cell>
          <cell r="BW126">
            <v>23.901518972811779</v>
          </cell>
          <cell r="BX126">
            <v>15.713059154269443</v>
          </cell>
          <cell r="BY126">
            <v>32.089978791354113</v>
          </cell>
        </row>
        <row r="127">
          <cell r="A127">
            <v>39703</v>
          </cell>
          <cell r="BF127">
            <v>48.250877948179891</v>
          </cell>
          <cell r="BG127">
            <v>45.468715051806292</v>
          </cell>
          <cell r="BH127">
            <v>42.408178994289898</v>
          </cell>
          <cell r="BI127">
            <v>30.406703917126244</v>
          </cell>
          <cell r="BJ127">
            <v>54.409654071453552</v>
          </cell>
          <cell r="BU127">
            <v>25.917466825633547</v>
          </cell>
          <cell r="BV127">
            <v>29.635401891862816</v>
          </cell>
          <cell r="BW127">
            <v>23.901518972811779</v>
          </cell>
          <cell r="BX127">
            <v>15.713059154269443</v>
          </cell>
          <cell r="BY127">
            <v>32.089978791354113</v>
          </cell>
        </row>
        <row r="128">
          <cell r="A128">
            <v>39706</v>
          </cell>
          <cell r="BF128">
            <v>47.842321631897093</v>
          </cell>
          <cell r="BG128">
            <v>45.468715051806292</v>
          </cell>
          <cell r="BH128">
            <v>42.408178994289898</v>
          </cell>
          <cell r="BI128">
            <v>30.406703917126244</v>
          </cell>
          <cell r="BJ128">
            <v>54.409654071453552</v>
          </cell>
          <cell r="BU128">
            <v>25.702480889308212</v>
          </cell>
          <cell r="BV128">
            <v>29.635401891862816</v>
          </cell>
          <cell r="BW128">
            <v>23.901518972811779</v>
          </cell>
          <cell r="BX128">
            <v>15.713059154269443</v>
          </cell>
          <cell r="BY128">
            <v>32.089978791354113</v>
          </cell>
        </row>
        <row r="129">
          <cell r="A129">
            <v>39707</v>
          </cell>
          <cell r="BF129">
            <v>49.387724179501099</v>
          </cell>
          <cell r="BG129">
            <v>45.468715051806292</v>
          </cell>
          <cell r="BH129">
            <v>42.408178994289898</v>
          </cell>
          <cell r="BI129">
            <v>30.406703917126244</v>
          </cell>
          <cell r="BJ129">
            <v>54.409654071453552</v>
          </cell>
          <cell r="BU129">
            <v>26.515713386524705</v>
          </cell>
          <cell r="BV129">
            <v>29.635401891862816</v>
          </cell>
          <cell r="BW129">
            <v>23.901518972811779</v>
          </cell>
          <cell r="BX129">
            <v>15.713059154269443</v>
          </cell>
          <cell r="BY129">
            <v>32.089978791354113</v>
          </cell>
        </row>
        <row r="130">
          <cell r="A130">
            <v>39708</v>
          </cell>
          <cell r="BF130">
            <v>47.29758342950155</v>
          </cell>
          <cell r="BG130">
            <v>45.468715051806292</v>
          </cell>
          <cell r="BH130">
            <v>42.408178994289898</v>
          </cell>
          <cell r="BI130">
            <v>30.406703917126244</v>
          </cell>
          <cell r="BJ130">
            <v>54.409654071453552</v>
          </cell>
          <cell r="BU130">
            <v>25.415802159647519</v>
          </cell>
          <cell r="BV130">
            <v>29.635401891862816</v>
          </cell>
          <cell r="BW130">
            <v>23.901518972811779</v>
          </cell>
          <cell r="BX130">
            <v>15.713059154269443</v>
          </cell>
          <cell r="BY130">
            <v>32.089978791354113</v>
          </cell>
        </row>
        <row r="131">
          <cell r="A131">
            <v>39709</v>
          </cell>
          <cell r="BF131">
            <v>47.487062143513953</v>
          </cell>
          <cell r="BG131">
            <v>45.468715051806292</v>
          </cell>
          <cell r="BH131">
            <v>42.408178994289898</v>
          </cell>
          <cell r="BI131">
            <v>30.406703917126244</v>
          </cell>
          <cell r="BJ131">
            <v>54.409654071453552</v>
          </cell>
          <cell r="BU131">
            <v>25.515510826106642</v>
          </cell>
          <cell r="BV131">
            <v>29.635401891862816</v>
          </cell>
          <cell r="BW131">
            <v>23.901518972811779</v>
          </cell>
          <cell r="BX131">
            <v>15.713059154269443</v>
          </cell>
          <cell r="BY131">
            <v>32.089978791354113</v>
          </cell>
        </row>
        <row r="132">
          <cell r="A132">
            <v>39710</v>
          </cell>
          <cell r="BF132">
            <v>49.790362376034778</v>
          </cell>
          <cell r="BG132">
            <v>45.468715051806292</v>
          </cell>
          <cell r="BH132">
            <v>42.408178994289898</v>
          </cell>
          <cell r="BI132">
            <v>30.406703917126244</v>
          </cell>
          <cell r="BJ132">
            <v>54.409654071453552</v>
          </cell>
          <cell r="BU132">
            <v>26.727599740613911</v>
          </cell>
          <cell r="BV132">
            <v>29.635401891862816</v>
          </cell>
          <cell r="BW132">
            <v>23.901518972811779</v>
          </cell>
          <cell r="BX132">
            <v>15.713059154269443</v>
          </cell>
          <cell r="BY132">
            <v>32.089978791354113</v>
          </cell>
        </row>
        <row r="133">
          <cell r="A133">
            <v>39713</v>
          </cell>
          <cell r="BF133">
            <v>49.156802640328124</v>
          </cell>
          <cell r="BG133">
            <v>45.468715051806292</v>
          </cell>
          <cell r="BH133">
            <v>42.408178994289898</v>
          </cell>
          <cell r="BI133">
            <v>30.406703917126244</v>
          </cell>
          <cell r="BJ133">
            <v>54.409654071453552</v>
          </cell>
          <cell r="BU133">
            <v>26.394193449277648</v>
          </cell>
          <cell r="BV133">
            <v>29.635401891862816</v>
          </cell>
          <cell r="BW133">
            <v>23.901518972811779</v>
          </cell>
          <cell r="BX133">
            <v>15.713059154269443</v>
          </cell>
          <cell r="BY133">
            <v>32.089978791354113</v>
          </cell>
        </row>
        <row r="134">
          <cell r="A134">
            <v>39714</v>
          </cell>
          <cell r="BF134">
            <v>48.20217673939247</v>
          </cell>
          <cell r="BG134">
            <v>45.468715051806292</v>
          </cell>
          <cell r="BH134">
            <v>42.408178994289898</v>
          </cell>
          <cell r="BI134">
            <v>30.406703917126244</v>
          </cell>
          <cell r="BJ134">
            <v>54.409654071453552</v>
          </cell>
          <cell r="BU134">
            <v>27.891237290693233</v>
          </cell>
          <cell r="BV134">
            <v>29.635401891862816</v>
          </cell>
          <cell r="BW134">
            <v>23.901518972811779</v>
          </cell>
          <cell r="BX134">
            <v>15.713059154269443</v>
          </cell>
          <cell r="BY134">
            <v>32.089978791354113</v>
          </cell>
        </row>
        <row r="135">
          <cell r="A135">
            <v>39715</v>
          </cell>
          <cell r="BF135">
            <v>48.50673153965711</v>
          </cell>
          <cell r="BG135">
            <v>45.468715051806292</v>
          </cell>
          <cell r="BH135">
            <v>42.408178994289898</v>
          </cell>
          <cell r="BI135">
            <v>30.406703917126244</v>
          </cell>
          <cell r="BJ135">
            <v>54.409654071453552</v>
          </cell>
          <cell r="BU135">
            <v>28.065199284199263</v>
          </cell>
          <cell r="BV135">
            <v>29.635401891862816</v>
          </cell>
          <cell r="BW135">
            <v>23.901518972811779</v>
          </cell>
          <cell r="BX135">
            <v>15.713059154269443</v>
          </cell>
          <cell r="BY135">
            <v>32.089978791354113</v>
          </cell>
        </row>
        <row r="136">
          <cell r="A136">
            <v>39716</v>
          </cell>
          <cell r="BF136">
            <v>48.281794962792645</v>
          </cell>
          <cell r="BG136">
            <v>45.468715051806292</v>
          </cell>
          <cell r="BH136">
            <v>42.408178994289898</v>
          </cell>
          <cell r="BI136">
            <v>30.406703917126244</v>
          </cell>
          <cell r="BJ136">
            <v>54.409654071453552</v>
          </cell>
          <cell r="BU136">
            <v>27.937496518148436</v>
          </cell>
          <cell r="BV136">
            <v>29.635401891862816</v>
          </cell>
          <cell r="BW136">
            <v>23.901518972811779</v>
          </cell>
          <cell r="BX136">
            <v>15.713059154269443</v>
          </cell>
          <cell r="BY136">
            <v>32.089978791354113</v>
          </cell>
        </row>
        <row r="137">
          <cell r="A137">
            <v>39717</v>
          </cell>
          <cell r="BF137">
            <v>50.199800562320725</v>
          </cell>
          <cell r="BG137">
            <v>45.468715051806292</v>
          </cell>
          <cell r="BH137">
            <v>42.408178994289898</v>
          </cell>
          <cell r="BI137">
            <v>30.406703917126244</v>
          </cell>
          <cell r="BJ137">
            <v>54.409654071453552</v>
          </cell>
          <cell r="BU137">
            <v>29.02644848422263</v>
          </cell>
          <cell r="BV137">
            <v>29.635401891862816</v>
          </cell>
          <cell r="BW137">
            <v>23.901518972811779</v>
          </cell>
          <cell r="BX137">
            <v>15.713059154269443</v>
          </cell>
          <cell r="BY137">
            <v>32.089978791354113</v>
          </cell>
        </row>
        <row r="138">
          <cell r="A138">
            <v>39720</v>
          </cell>
          <cell r="BF138">
            <v>47.893995072420708</v>
          </cell>
          <cell r="BG138">
            <v>45.468715051806292</v>
          </cell>
          <cell r="BH138">
            <v>42.408178994289898</v>
          </cell>
          <cell r="BI138">
            <v>30.406703917126244</v>
          </cell>
          <cell r="BJ138">
            <v>54.409654071453552</v>
          </cell>
          <cell r="BU138">
            <v>25.46125778063962</v>
          </cell>
          <cell r="BV138">
            <v>29.635401891862816</v>
          </cell>
          <cell r="BW138">
            <v>23.901518972811779</v>
          </cell>
          <cell r="BX138">
            <v>15.713059154269443</v>
          </cell>
          <cell r="BY138">
            <v>32.089978791354113</v>
          </cell>
        </row>
        <row r="139">
          <cell r="A139">
            <v>39721</v>
          </cell>
          <cell r="BF139">
            <v>48.071918105755252</v>
          </cell>
          <cell r="BG139">
            <v>45.468715051806292</v>
          </cell>
          <cell r="BH139">
            <v>42.408178994289898</v>
          </cell>
          <cell r="BI139">
            <v>30.406703917126244</v>
          </cell>
          <cell r="BJ139">
            <v>54.409654071453552</v>
          </cell>
          <cell r="BU139">
            <v>25.560796308220649</v>
          </cell>
          <cell r="BV139">
            <v>29.635401891862816</v>
          </cell>
          <cell r="BW139">
            <v>23.901518972811779</v>
          </cell>
          <cell r="BX139">
            <v>15.713059154269443</v>
          </cell>
          <cell r="BY139">
            <v>32.089978791354113</v>
          </cell>
        </row>
        <row r="140">
          <cell r="A140">
            <v>39722</v>
          </cell>
          <cell r="BF140">
            <v>44.906490768808197</v>
          </cell>
          <cell r="BG140">
            <v>45.468715051806292</v>
          </cell>
          <cell r="BH140">
            <v>42.408178994289898</v>
          </cell>
          <cell r="BI140">
            <v>30.406703917126244</v>
          </cell>
          <cell r="BJ140">
            <v>54.409654071453552</v>
          </cell>
          <cell r="BU140">
            <v>23.858476512068751</v>
          </cell>
          <cell r="BV140">
            <v>29.635401891862816</v>
          </cell>
          <cell r="BW140">
            <v>23.901518972811779</v>
          </cell>
          <cell r="BX140">
            <v>15.713059154269443</v>
          </cell>
          <cell r="BY140">
            <v>32.089978791354113</v>
          </cell>
        </row>
        <row r="141">
          <cell r="A141">
            <v>39723</v>
          </cell>
          <cell r="BF141">
            <v>42.168123029805763</v>
          </cell>
          <cell r="BG141">
            <v>45.468715051806292</v>
          </cell>
          <cell r="BH141">
            <v>42.408178994289898</v>
          </cell>
          <cell r="BI141">
            <v>30.406703917126244</v>
          </cell>
          <cell r="BJ141">
            <v>54.409654071453552</v>
          </cell>
          <cell r="BU141">
            <v>22.315172720835289</v>
          </cell>
          <cell r="BV141">
            <v>29.635401891862816</v>
          </cell>
          <cell r="BW141">
            <v>23.901518972811779</v>
          </cell>
          <cell r="BX141">
            <v>15.713059154269443</v>
          </cell>
          <cell r="BY141">
            <v>32.089978791354113</v>
          </cell>
        </row>
        <row r="142">
          <cell r="A142">
            <v>39724</v>
          </cell>
          <cell r="BF142">
            <v>41.567860416932689</v>
          </cell>
          <cell r="BG142">
            <v>45.468715051806292</v>
          </cell>
          <cell r="BH142">
            <v>42.408178994289898</v>
          </cell>
          <cell r="BI142">
            <v>30.406703917126244</v>
          </cell>
          <cell r="BJ142">
            <v>54.409654071453552</v>
          </cell>
          <cell r="BU142">
            <v>21.978981979950923</v>
          </cell>
          <cell r="BV142">
            <v>29.635401891862816</v>
          </cell>
          <cell r="BW142">
            <v>23.901518972811779</v>
          </cell>
          <cell r="BX142">
            <v>15.713059154269443</v>
          </cell>
          <cell r="BY142">
            <v>32.089978791354113</v>
          </cell>
        </row>
        <row r="143">
          <cell r="A143">
            <v>39727</v>
          </cell>
          <cell r="BF143">
            <v>37.042840913357203</v>
          </cell>
          <cell r="BG143">
            <v>45.468715051806292</v>
          </cell>
          <cell r="BH143">
            <v>42.408178994289898</v>
          </cell>
          <cell r="BI143">
            <v>30.406703917126244</v>
          </cell>
          <cell r="BJ143">
            <v>54.409654071453552</v>
          </cell>
          <cell r="BU143">
            <v>19.444665644983203</v>
          </cell>
          <cell r="BV143">
            <v>29.635401891862816</v>
          </cell>
          <cell r="BW143">
            <v>23.901518972811779</v>
          </cell>
          <cell r="BX143">
            <v>15.713059154269443</v>
          </cell>
          <cell r="BY143">
            <v>32.089978791354113</v>
          </cell>
        </row>
        <row r="144">
          <cell r="A144">
            <v>39728</v>
          </cell>
          <cell r="BF144">
            <v>36.454114797420786</v>
          </cell>
          <cell r="BG144">
            <v>45.468715051806292</v>
          </cell>
          <cell r="BH144">
            <v>42.408178994289898</v>
          </cell>
          <cell r="BI144">
            <v>30.406703917126244</v>
          </cell>
          <cell r="BJ144">
            <v>54.409654071453552</v>
          </cell>
          <cell r="BU144">
            <v>19.114936089503324</v>
          </cell>
          <cell r="BV144">
            <v>29.635401891862816</v>
          </cell>
          <cell r="BW144">
            <v>23.901518972811779</v>
          </cell>
          <cell r="BX144">
            <v>15.713059154269443</v>
          </cell>
          <cell r="BY144">
            <v>32.089978791354113</v>
          </cell>
        </row>
        <row r="145">
          <cell r="A145">
            <v>39729</v>
          </cell>
          <cell r="BF145">
            <v>35.091998964942675</v>
          </cell>
          <cell r="BG145">
            <v>45.468715051806292</v>
          </cell>
          <cell r="BH145">
            <v>42.408178994289898</v>
          </cell>
          <cell r="BI145">
            <v>30.406703917126244</v>
          </cell>
          <cell r="BJ145">
            <v>54.409654071453552</v>
          </cell>
          <cell r="BU145">
            <v>18.35204573710902</v>
          </cell>
          <cell r="BV145">
            <v>29.635401891862816</v>
          </cell>
          <cell r="BW145">
            <v>23.901518972811779</v>
          </cell>
          <cell r="BX145">
            <v>15.713059154269443</v>
          </cell>
          <cell r="BY145">
            <v>32.089978791354113</v>
          </cell>
        </row>
        <row r="146">
          <cell r="A146">
            <v>39730</v>
          </cell>
          <cell r="BF146">
            <v>33.475926672332164</v>
          </cell>
          <cell r="BG146">
            <v>45.468715051806292</v>
          </cell>
          <cell r="BH146">
            <v>42.408178994289898</v>
          </cell>
          <cell r="BI146">
            <v>30.406703917126244</v>
          </cell>
          <cell r="BJ146">
            <v>54.409654071453552</v>
          </cell>
          <cell r="BU146">
            <v>17.28650266870191</v>
          </cell>
          <cell r="BV146">
            <v>29.635401891862816</v>
          </cell>
          <cell r="BW146">
            <v>23.901518972811779</v>
          </cell>
          <cell r="BX146">
            <v>15.713059154269443</v>
          </cell>
          <cell r="BY146">
            <v>32.089978791354113</v>
          </cell>
        </row>
        <row r="147">
          <cell r="A147">
            <v>39731</v>
          </cell>
          <cell r="BF147">
            <v>32.298492909936108</v>
          </cell>
          <cell r="BG147">
            <v>45.468715051806292</v>
          </cell>
          <cell r="BH147">
            <v>42.408178994289898</v>
          </cell>
          <cell r="BI147">
            <v>30.406703917126244</v>
          </cell>
          <cell r="BJ147">
            <v>54.409654071453552</v>
          </cell>
          <cell r="BU147">
            <v>16.633117782791714</v>
          </cell>
          <cell r="BV147">
            <v>29.635401891862816</v>
          </cell>
          <cell r="BW147">
            <v>23.901518972811779</v>
          </cell>
          <cell r="BX147">
            <v>15.713059154269443</v>
          </cell>
          <cell r="BY147">
            <v>32.089978791354113</v>
          </cell>
        </row>
        <row r="148">
          <cell r="A148">
            <v>39734</v>
          </cell>
          <cell r="BF148">
            <v>35.369048042767496</v>
          </cell>
          <cell r="BG148">
            <v>45.468715051806292</v>
          </cell>
          <cell r="BH148">
            <v>42.408178994289898</v>
          </cell>
          <cell r="BI148">
            <v>30.406703917126244</v>
          </cell>
          <cell r="BJ148">
            <v>54.409654071453552</v>
          </cell>
          <cell r="BU148">
            <v>18.168436141943872</v>
          </cell>
          <cell r="BV148">
            <v>29.635401891862816</v>
          </cell>
          <cell r="BW148">
            <v>23.901518972811779</v>
          </cell>
          <cell r="BX148">
            <v>15.713059154269443</v>
          </cell>
          <cell r="BY148">
            <v>32.089978791354113</v>
          </cell>
        </row>
        <row r="149">
          <cell r="A149">
            <v>39735</v>
          </cell>
          <cell r="BF149">
            <v>35.680707765744607</v>
          </cell>
          <cell r="BG149">
            <v>45.468715051806292</v>
          </cell>
          <cell r="BH149">
            <v>42.408178994289898</v>
          </cell>
          <cell r="BI149">
            <v>30.406703917126244</v>
          </cell>
          <cell r="BJ149">
            <v>54.409654071453552</v>
          </cell>
          <cell r="BU149">
            <v>18.339792281594015</v>
          </cell>
          <cell r="BV149">
            <v>29.635401891862816</v>
          </cell>
          <cell r="BW149">
            <v>23.901518972811779</v>
          </cell>
          <cell r="BX149">
            <v>15.713059154269443</v>
          </cell>
          <cell r="BY149">
            <v>32.089978791354113</v>
          </cell>
        </row>
        <row r="150">
          <cell r="A150">
            <v>39736</v>
          </cell>
          <cell r="BF150">
            <v>33.014179363633097</v>
          </cell>
          <cell r="BG150">
            <v>45.468715051806292</v>
          </cell>
          <cell r="BH150">
            <v>42.408178994289898</v>
          </cell>
          <cell r="BI150">
            <v>30.406703917126244</v>
          </cell>
          <cell r="BJ150">
            <v>54.409654071453552</v>
          </cell>
          <cell r="BU150">
            <v>16.873691710167275</v>
          </cell>
          <cell r="BV150">
            <v>29.635401891862816</v>
          </cell>
          <cell r="BW150">
            <v>23.901518972811779</v>
          </cell>
          <cell r="BX150">
            <v>15.713059154269443</v>
          </cell>
          <cell r="BY150">
            <v>32.089978791354113</v>
          </cell>
        </row>
        <row r="151">
          <cell r="A151">
            <v>39737</v>
          </cell>
          <cell r="BF151">
            <v>34.595622541614532</v>
          </cell>
          <cell r="BG151">
            <v>45.468715051806292</v>
          </cell>
          <cell r="BH151">
            <v>42.408178994289898</v>
          </cell>
          <cell r="BI151">
            <v>30.406703917126244</v>
          </cell>
          <cell r="BJ151">
            <v>54.409654071453552</v>
          </cell>
          <cell r="BU151">
            <v>17.743194155900635</v>
          </cell>
          <cell r="BV151">
            <v>29.635401891862816</v>
          </cell>
          <cell r="BW151">
            <v>23.901518972811779</v>
          </cell>
          <cell r="BX151">
            <v>15.713059154269443</v>
          </cell>
          <cell r="BY151">
            <v>32.089978791354113</v>
          </cell>
        </row>
        <row r="152">
          <cell r="A152">
            <v>39738</v>
          </cell>
          <cell r="BF152">
            <v>34.803413390181191</v>
          </cell>
          <cell r="BG152">
            <v>45.468715051806292</v>
          </cell>
          <cell r="BH152">
            <v>42.408178994289898</v>
          </cell>
          <cell r="BI152">
            <v>30.406703917126244</v>
          </cell>
          <cell r="BJ152">
            <v>54.409654071453552</v>
          </cell>
          <cell r="BU152">
            <v>17.867091352138349</v>
          </cell>
          <cell r="BV152">
            <v>29.635401891862816</v>
          </cell>
          <cell r="BW152">
            <v>23.901518972811779</v>
          </cell>
          <cell r="BX152">
            <v>15.713059154269443</v>
          </cell>
          <cell r="BY152">
            <v>32.089978791354113</v>
          </cell>
        </row>
        <row r="153">
          <cell r="A153">
            <v>39741</v>
          </cell>
          <cell r="BF153">
            <v>37.158264754181111</v>
          </cell>
          <cell r="BG153">
            <v>45.468715051806292</v>
          </cell>
          <cell r="BH153">
            <v>42.408178994289898</v>
          </cell>
          <cell r="BI153">
            <v>30.406703917126244</v>
          </cell>
          <cell r="BJ153">
            <v>54.409654071453552</v>
          </cell>
          <cell r="BU153">
            <v>19.162492655104042</v>
          </cell>
          <cell r="BV153">
            <v>29.635401891862816</v>
          </cell>
          <cell r="BW153">
            <v>23.901518972811779</v>
          </cell>
          <cell r="BX153">
            <v>15.713059154269443</v>
          </cell>
          <cell r="BY153">
            <v>32.089978791354113</v>
          </cell>
        </row>
        <row r="154">
          <cell r="A154">
            <v>39742</v>
          </cell>
          <cell r="BF154">
            <v>37.308335024768574</v>
          </cell>
          <cell r="BG154">
            <v>45.468715051806292</v>
          </cell>
          <cell r="BH154">
            <v>42.408178994289898</v>
          </cell>
          <cell r="BI154">
            <v>30.406703917126244</v>
          </cell>
          <cell r="BJ154">
            <v>54.409654071453552</v>
          </cell>
          <cell r="BU154">
            <v>19.245037757265482</v>
          </cell>
          <cell r="BV154">
            <v>29.635401891862816</v>
          </cell>
          <cell r="BW154">
            <v>23.901518972811779</v>
          </cell>
          <cell r="BX154">
            <v>15.713059154269443</v>
          </cell>
          <cell r="BY154">
            <v>32.089978791354113</v>
          </cell>
        </row>
        <row r="155">
          <cell r="A155">
            <v>39743</v>
          </cell>
          <cell r="BF155">
            <v>29.020165398014846</v>
          </cell>
          <cell r="BG155">
            <v>45.468715051806292</v>
          </cell>
          <cell r="BH155">
            <v>42.408178994289898</v>
          </cell>
          <cell r="BI155">
            <v>30.406703917126244</v>
          </cell>
          <cell r="BJ155">
            <v>54.409654071453552</v>
          </cell>
          <cell r="BU155">
            <v>14.685746151788093</v>
          </cell>
          <cell r="BV155">
            <v>29.635401891862816</v>
          </cell>
          <cell r="BW155">
            <v>23.901518972811779</v>
          </cell>
          <cell r="BX155">
            <v>15.713059154269443</v>
          </cell>
          <cell r="BY155">
            <v>32.089978791354113</v>
          </cell>
        </row>
        <row r="156">
          <cell r="A156">
            <v>39744</v>
          </cell>
          <cell r="BF156">
            <v>26.917942343499078</v>
          </cell>
          <cell r="BG156">
            <v>45.468715051806292</v>
          </cell>
          <cell r="BH156">
            <v>42.408178994289898</v>
          </cell>
          <cell r="BI156">
            <v>30.406703917126244</v>
          </cell>
          <cell r="BJ156">
            <v>54.409654071453552</v>
          </cell>
          <cell r="BU156">
            <v>13.45222670068979</v>
          </cell>
          <cell r="BV156">
            <v>29.635401891862816</v>
          </cell>
          <cell r="BW156">
            <v>23.901518972811779</v>
          </cell>
          <cell r="BX156">
            <v>15.713059154269443</v>
          </cell>
          <cell r="BY156">
            <v>32.089978791354113</v>
          </cell>
        </row>
        <row r="157">
          <cell r="A157">
            <v>39745</v>
          </cell>
          <cell r="BF157">
            <v>29.171829651772502</v>
          </cell>
          <cell r="BG157">
            <v>45.468715051806292</v>
          </cell>
          <cell r="BH157">
            <v>42.408178994289898</v>
          </cell>
          <cell r="BI157">
            <v>30.406703917126244</v>
          </cell>
          <cell r="BJ157">
            <v>54.409654071453552</v>
          </cell>
          <cell r="BU157">
            <v>14.051873642430174</v>
          </cell>
          <cell r="BV157">
            <v>29.635401891862816</v>
          </cell>
          <cell r="BW157">
            <v>23.901518972811779</v>
          </cell>
          <cell r="BX157">
            <v>15.713059154269443</v>
          </cell>
          <cell r="BY157">
            <v>32.089978791354113</v>
          </cell>
        </row>
        <row r="158">
          <cell r="A158">
            <v>39748</v>
          </cell>
          <cell r="BF158">
            <v>27.929743031254176</v>
          </cell>
          <cell r="BG158">
            <v>45.468715051806292</v>
          </cell>
          <cell r="BH158">
            <v>42.408178994289898</v>
          </cell>
          <cell r="BI158">
            <v>30.406703917126244</v>
          </cell>
          <cell r="BJ158">
            <v>54.409654071453552</v>
          </cell>
          <cell r="BU158">
            <v>13.401477495741629</v>
          </cell>
          <cell r="BV158">
            <v>29.635401891862816</v>
          </cell>
          <cell r="BW158">
            <v>23.901518972811779</v>
          </cell>
          <cell r="BX158">
            <v>15.713059154269443</v>
          </cell>
          <cell r="BY158">
            <v>32.089978791354113</v>
          </cell>
        </row>
        <row r="159">
          <cell r="A159">
            <v>39749</v>
          </cell>
          <cell r="BF159">
            <v>30.471979032185377</v>
          </cell>
          <cell r="BG159">
            <v>45.468715051806292</v>
          </cell>
          <cell r="BH159">
            <v>42.408178994289898</v>
          </cell>
          <cell r="BI159">
            <v>30.406703917126244</v>
          </cell>
          <cell r="BJ159">
            <v>54.409654071453552</v>
          </cell>
          <cell r="BU159">
            <v>14.732677742018321</v>
          </cell>
          <cell r="BV159">
            <v>29.635401891862816</v>
          </cell>
          <cell r="BW159">
            <v>23.901518972811779</v>
          </cell>
          <cell r="BX159">
            <v>15.713059154269443</v>
          </cell>
          <cell r="BY159">
            <v>32.089978791354113</v>
          </cell>
        </row>
        <row r="160">
          <cell r="A160">
            <v>39750</v>
          </cell>
          <cell r="BF160">
            <v>32.607916175167624</v>
          </cell>
          <cell r="BG160">
            <v>45.468715051806292</v>
          </cell>
          <cell r="BH160">
            <v>42.408178994289898</v>
          </cell>
          <cell r="BI160">
            <v>30.406703917126244</v>
          </cell>
          <cell r="BJ160">
            <v>54.409654071453552</v>
          </cell>
          <cell r="BU160">
            <v>15.851135303929384</v>
          </cell>
          <cell r="BV160">
            <v>29.635401891862816</v>
          </cell>
          <cell r="BW160">
            <v>23.901518972811779</v>
          </cell>
          <cell r="BX160">
            <v>15.713059154269443</v>
          </cell>
          <cell r="BY160">
            <v>32.089978791354113</v>
          </cell>
        </row>
        <row r="161">
          <cell r="A161">
            <v>39751</v>
          </cell>
          <cell r="BF161">
            <v>36.20650134667099</v>
          </cell>
          <cell r="BG161">
            <v>45.468715051806292</v>
          </cell>
          <cell r="BH161">
            <v>42.408178994289898</v>
          </cell>
          <cell r="BI161">
            <v>30.406703917126244</v>
          </cell>
          <cell r="BJ161">
            <v>54.409654071453552</v>
          </cell>
          <cell r="BU161">
            <v>17.934195852656241</v>
          </cell>
          <cell r="BV161">
            <v>29.635401891862816</v>
          </cell>
          <cell r="BW161">
            <v>23.901518972811779</v>
          </cell>
          <cell r="BX161">
            <v>15.713059154269443</v>
          </cell>
          <cell r="BY161">
            <v>32.089978791354113</v>
          </cell>
        </row>
        <row r="162">
          <cell r="A162">
            <v>39752</v>
          </cell>
          <cell r="BF162">
            <v>35.788598759106584</v>
          </cell>
          <cell r="BG162">
            <v>45.468715051806292</v>
          </cell>
          <cell r="BH162">
            <v>42.408178994289898</v>
          </cell>
          <cell r="BI162">
            <v>30.406703917126244</v>
          </cell>
          <cell r="BJ162">
            <v>54.409654071453552</v>
          </cell>
          <cell r="BU162">
            <v>17.712924626012672</v>
          </cell>
          <cell r="BV162">
            <v>29.635401891862816</v>
          </cell>
          <cell r="BW162">
            <v>23.901518972811779</v>
          </cell>
          <cell r="BX162">
            <v>15.713059154269443</v>
          </cell>
          <cell r="BY162">
            <v>32.089978791354113</v>
          </cell>
        </row>
        <row r="163">
          <cell r="A163">
            <v>39755</v>
          </cell>
          <cell r="BF163">
            <v>34.768353909286375</v>
          </cell>
          <cell r="BG163">
            <v>45.468715051806292</v>
          </cell>
          <cell r="BH163">
            <v>42.408178994289898</v>
          </cell>
          <cell r="BI163">
            <v>30.406703917126244</v>
          </cell>
          <cell r="BJ163">
            <v>54.409654071453552</v>
          </cell>
          <cell r="BU163">
            <v>17.22990362829076</v>
          </cell>
          <cell r="BV163">
            <v>29.635401891862816</v>
          </cell>
          <cell r="BW163">
            <v>23.901518972811779</v>
          </cell>
          <cell r="BX163">
            <v>15.713059154269443</v>
          </cell>
          <cell r="BY163">
            <v>32.089978791354113</v>
          </cell>
        </row>
        <row r="164">
          <cell r="A164">
            <v>39756</v>
          </cell>
          <cell r="BF164">
            <v>35.264724731200374</v>
          </cell>
          <cell r="BG164">
            <v>45.468715051806292</v>
          </cell>
          <cell r="BH164">
            <v>42.408178994289898</v>
          </cell>
          <cell r="BI164">
            <v>30.406703917126244</v>
          </cell>
          <cell r="BJ164">
            <v>54.409654071453552</v>
          </cell>
          <cell r="BU164">
            <v>17.493064257879013</v>
          </cell>
          <cell r="BV164">
            <v>29.635401891862816</v>
          </cell>
          <cell r="BW164">
            <v>23.901518972811779</v>
          </cell>
          <cell r="BX164">
            <v>15.713059154269443</v>
          </cell>
          <cell r="BY164">
            <v>32.089978791354113</v>
          </cell>
        </row>
        <row r="165">
          <cell r="A165">
            <v>39757</v>
          </cell>
          <cell r="BF165">
            <v>33.042346161236132</v>
          </cell>
          <cell r="BG165">
            <v>45.468715051806292</v>
          </cell>
          <cell r="BH165">
            <v>42.408178994289898</v>
          </cell>
          <cell r="BI165">
            <v>30.406703917126244</v>
          </cell>
          <cell r="BJ165">
            <v>54.409654071453552</v>
          </cell>
          <cell r="BU165">
            <v>16.314789281292096</v>
          </cell>
          <cell r="BV165">
            <v>29.635401891862816</v>
          </cell>
          <cell r="BW165">
            <v>23.901518972811779</v>
          </cell>
          <cell r="BX165">
            <v>15.713059154269443</v>
          </cell>
          <cell r="BY165">
            <v>32.089978791354113</v>
          </cell>
        </row>
        <row r="166">
          <cell r="A166">
            <v>39758</v>
          </cell>
          <cell r="BF166">
            <v>31.25992951002598</v>
          </cell>
          <cell r="BG166">
            <v>45.468715051806292</v>
          </cell>
          <cell r="BH166">
            <v>42.408178994289898</v>
          </cell>
          <cell r="BI166">
            <v>30.406703917126244</v>
          </cell>
          <cell r="BJ166">
            <v>54.409654071453552</v>
          </cell>
          <cell r="BU166">
            <v>15.369768889158841</v>
          </cell>
          <cell r="BV166">
            <v>29.635401891862816</v>
          </cell>
          <cell r="BW166">
            <v>23.901518972811779</v>
          </cell>
          <cell r="BX166">
            <v>15.713059154269443</v>
          </cell>
          <cell r="BY166">
            <v>32.089978791354113</v>
          </cell>
        </row>
        <row r="167">
          <cell r="A167">
            <v>39759</v>
          </cell>
          <cell r="BF167">
            <v>31.047826410887492</v>
          </cell>
          <cell r="BG167">
            <v>45.468715051806292</v>
          </cell>
          <cell r="BH167">
            <v>42.408178994289898</v>
          </cell>
          <cell r="BI167">
            <v>30.406703917126244</v>
          </cell>
          <cell r="BJ167">
            <v>54.409654071453552</v>
          </cell>
          <cell r="BU167">
            <v>15.415564297808679</v>
          </cell>
          <cell r="BV167">
            <v>29.635401891862816</v>
          </cell>
          <cell r="BW167">
            <v>23.901518972811779</v>
          </cell>
          <cell r="BX167">
            <v>15.713059154269443</v>
          </cell>
          <cell r="BY167">
            <v>32.089978791354113</v>
          </cell>
        </row>
        <row r="168">
          <cell r="A168">
            <v>39762</v>
          </cell>
          <cell r="BF168">
            <v>30.560576227072112</v>
          </cell>
          <cell r="BG168">
            <v>45.468715051806292</v>
          </cell>
          <cell r="BH168">
            <v>42.408178994289898</v>
          </cell>
          <cell r="BI168">
            <v>30.406703917126244</v>
          </cell>
          <cell r="BJ168">
            <v>54.409654071453552</v>
          </cell>
          <cell r="BU168">
            <v>15.178757964129087</v>
          </cell>
          <cell r="BV168">
            <v>29.635401891862816</v>
          </cell>
          <cell r="BW168">
            <v>23.901518972811779</v>
          </cell>
          <cell r="BX168">
            <v>15.713059154269443</v>
          </cell>
          <cell r="BY168">
            <v>32.089978791354113</v>
          </cell>
        </row>
        <row r="169">
          <cell r="A169">
            <v>39763</v>
          </cell>
          <cell r="BF169">
            <v>29.859080189849461</v>
          </cell>
          <cell r="BG169">
            <v>45.468715051806292</v>
          </cell>
          <cell r="BH169">
            <v>42.408178994289898</v>
          </cell>
          <cell r="BI169">
            <v>30.406703917126244</v>
          </cell>
          <cell r="BJ169">
            <v>54.409654071453552</v>
          </cell>
          <cell r="BU169">
            <v>14.802280255507757</v>
          </cell>
          <cell r="BV169">
            <v>29.635401891862816</v>
          </cell>
          <cell r="BW169">
            <v>23.901518972811779</v>
          </cell>
          <cell r="BX169">
            <v>15.713059154269443</v>
          </cell>
          <cell r="BY169">
            <v>32.089978791354113</v>
          </cell>
        </row>
        <row r="170">
          <cell r="A170">
            <v>39764</v>
          </cell>
          <cell r="BF170">
            <v>27.437767889497895</v>
          </cell>
          <cell r="BG170">
            <v>45.468715051806292</v>
          </cell>
          <cell r="BH170">
            <v>42.408178994289898</v>
          </cell>
          <cell r="BI170">
            <v>30.406703917126244</v>
          </cell>
          <cell r="BJ170">
            <v>54.409654071453552</v>
          </cell>
          <cell r="BU170">
            <v>13.502833961740716</v>
          </cell>
          <cell r="BV170">
            <v>29.635401891862816</v>
          </cell>
          <cell r="BW170">
            <v>23.901518972811779</v>
          </cell>
          <cell r="BX170">
            <v>15.713059154269443</v>
          </cell>
          <cell r="BY170">
            <v>32.089978791354113</v>
          </cell>
        </row>
        <row r="171">
          <cell r="A171">
            <v>39765</v>
          </cell>
          <cell r="BF171">
            <v>28.535262764716965</v>
          </cell>
          <cell r="BG171">
            <v>45.468715051806292</v>
          </cell>
          <cell r="BH171">
            <v>42.408178994289898</v>
          </cell>
          <cell r="BI171">
            <v>30.406703917126244</v>
          </cell>
          <cell r="BJ171">
            <v>54.409654071453552</v>
          </cell>
          <cell r="BU171">
            <v>14.091821996124539</v>
          </cell>
          <cell r="BV171">
            <v>29.635401891862816</v>
          </cell>
          <cell r="BW171">
            <v>23.901518972811779</v>
          </cell>
          <cell r="BX171">
            <v>15.713059154269443</v>
          </cell>
          <cell r="BY171">
            <v>32.089978791354113</v>
          </cell>
        </row>
        <row r="172">
          <cell r="A172">
            <v>39766</v>
          </cell>
          <cell r="BF172">
            <v>26.996484854213168</v>
          </cell>
          <cell r="BG172">
            <v>45.468715051806292</v>
          </cell>
          <cell r="BH172">
            <v>42.408178994289898</v>
          </cell>
          <cell r="BI172">
            <v>30.406703917126244</v>
          </cell>
          <cell r="BJ172">
            <v>54.409654071453552</v>
          </cell>
          <cell r="BU172">
            <v>13.266012906181958</v>
          </cell>
          <cell r="BV172">
            <v>29.635401891862816</v>
          </cell>
          <cell r="BW172">
            <v>23.901518972811779</v>
          </cell>
          <cell r="BX172">
            <v>15.713059154269443</v>
          </cell>
          <cell r="BY172">
            <v>32.089978791354113</v>
          </cell>
        </row>
        <row r="173">
          <cell r="A173">
            <v>39769</v>
          </cell>
          <cell r="BF173">
            <v>27.60747925266562</v>
          </cell>
          <cell r="BG173">
            <v>45.468715051806292</v>
          </cell>
          <cell r="BH173">
            <v>42.408178994289898</v>
          </cell>
          <cell r="BI173">
            <v>30.406703917126244</v>
          </cell>
          <cell r="BJ173">
            <v>54.409654071453552</v>
          </cell>
          <cell r="BU173">
            <v>13.593913320848252</v>
          </cell>
          <cell r="BV173">
            <v>29.635401891862816</v>
          </cell>
          <cell r="BW173">
            <v>23.901518972811779</v>
          </cell>
          <cell r="BX173">
            <v>15.713059154269443</v>
          </cell>
          <cell r="BY173">
            <v>32.089978791354113</v>
          </cell>
        </row>
        <row r="174">
          <cell r="A174">
            <v>39770</v>
          </cell>
          <cell r="BF174">
            <v>26.442083539236876</v>
          </cell>
          <cell r="BG174">
            <v>45.468715051806292</v>
          </cell>
          <cell r="BH174">
            <v>42.408178994289898</v>
          </cell>
          <cell r="BI174">
            <v>30.406703917126244</v>
          </cell>
          <cell r="BJ174">
            <v>54.409654071453552</v>
          </cell>
          <cell r="BU174">
            <v>12.968478820942252</v>
          </cell>
          <cell r="BV174">
            <v>29.635401891862816</v>
          </cell>
          <cell r="BW174">
            <v>23.901518972811779</v>
          </cell>
          <cell r="BX174">
            <v>15.713059154269443</v>
          </cell>
          <cell r="BY174">
            <v>32.089978791354113</v>
          </cell>
        </row>
        <row r="175">
          <cell r="A175">
            <v>39771</v>
          </cell>
          <cell r="BF175">
            <v>25.797145510405663</v>
          </cell>
          <cell r="BG175">
            <v>45.468715051806292</v>
          </cell>
          <cell r="BH175">
            <v>42.408178994289898</v>
          </cell>
          <cell r="BI175">
            <v>30.406703917126244</v>
          </cell>
          <cell r="BJ175">
            <v>54.409654071453552</v>
          </cell>
          <cell r="BU175">
            <v>12.62235271986834</v>
          </cell>
          <cell r="BV175">
            <v>29.635401891862816</v>
          </cell>
          <cell r="BW175">
            <v>23.901518972811779</v>
          </cell>
          <cell r="BX175">
            <v>15.713059154269443</v>
          </cell>
          <cell r="BY175">
            <v>32.089978791354113</v>
          </cell>
        </row>
        <row r="176">
          <cell r="A176">
            <v>39772</v>
          </cell>
          <cell r="BF176">
            <v>23.794483764056611</v>
          </cell>
          <cell r="BG176">
            <v>45.468715051806292</v>
          </cell>
          <cell r="BH176">
            <v>42.408178994289898</v>
          </cell>
          <cell r="BI176">
            <v>30.406703917126244</v>
          </cell>
          <cell r="BJ176">
            <v>54.409654071453552</v>
          </cell>
          <cell r="BU176">
            <v>11.547596653227201</v>
          </cell>
          <cell r="BV176">
            <v>29.635401891862816</v>
          </cell>
          <cell r="BW176">
            <v>23.901518972811779</v>
          </cell>
          <cell r="BX176">
            <v>15.713059154269443</v>
          </cell>
          <cell r="BY176">
            <v>32.089978791354113</v>
          </cell>
        </row>
        <row r="177">
          <cell r="A177">
            <v>39773</v>
          </cell>
          <cell r="BF177">
            <v>22.436724971454048</v>
          </cell>
          <cell r="BG177">
            <v>45.468715051806292</v>
          </cell>
          <cell r="BH177">
            <v>42.408178994289898</v>
          </cell>
          <cell r="BI177">
            <v>30.406703917126244</v>
          </cell>
          <cell r="BJ177">
            <v>54.409654071453552</v>
          </cell>
          <cell r="BU177">
            <v>10.818927429315531</v>
          </cell>
          <cell r="BV177">
            <v>29.635401891862816</v>
          </cell>
          <cell r="BW177">
            <v>23.901518972811779</v>
          </cell>
          <cell r="BX177">
            <v>15.713059154269443</v>
          </cell>
          <cell r="BY177">
            <v>32.089978791354113</v>
          </cell>
        </row>
        <row r="178">
          <cell r="A178">
            <v>39776</v>
          </cell>
          <cell r="BF178">
            <v>23.296641588926104</v>
          </cell>
          <cell r="BG178">
            <v>45.468715051806292</v>
          </cell>
          <cell r="BH178">
            <v>42.408178994289898</v>
          </cell>
          <cell r="BI178">
            <v>30.406703917126244</v>
          </cell>
          <cell r="BJ178">
            <v>54.409654071453552</v>
          </cell>
          <cell r="BU178">
            <v>11.280419082827967</v>
          </cell>
          <cell r="BV178">
            <v>29.635401891862816</v>
          </cell>
          <cell r="BW178">
            <v>23.901518972811779</v>
          </cell>
          <cell r="BX178">
            <v>15.713059154269443</v>
          </cell>
          <cell r="BY178">
            <v>32.089978791354113</v>
          </cell>
        </row>
        <row r="179">
          <cell r="A179">
            <v>39777</v>
          </cell>
          <cell r="BF179">
            <v>24.85803614035127</v>
          </cell>
          <cell r="BG179">
            <v>45.468715051806292</v>
          </cell>
          <cell r="BH179">
            <v>42.408178994289898</v>
          </cell>
          <cell r="BI179">
            <v>30.406703917126244</v>
          </cell>
          <cell r="BJ179">
            <v>54.409654071453552</v>
          </cell>
          <cell r="BU179">
            <v>12.118363908496459</v>
          </cell>
          <cell r="BV179">
            <v>29.635401891862816</v>
          </cell>
          <cell r="BW179">
            <v>23.901518972811779</v>
          </cell>
          <cell r="BX179">
            <v>15.713059154269443</v>
          </cell>
          <cell r="BY179">
            <v>32.089978791354113</v>
          </cell>
        </row>
        <row r="180">
          <cell r="A180">
            <v>39778</v>
          </cell>
          <cell r="BF180">
            <v>24.563864799128091</v>
          </cell>
          <cell r="BG180">
            <v>45.468715051806292</v>
          </cell>
          <cell r="BH180">
            <v>42.408178994289898</v>
          </cell>
          <cell r="BI180">
            <v>30.406703917126244</v>
          </cell>
          <cell r="BJ180">
            <v>54.409654071453552</v>
          </cell>
          <cell r="BU180">
            <v>11.96049138361238</v>
          </cell>
          <cell r="BV180">
            <v>29.635401891862816</v>
          </cell>
          <cell r="BW180">
            <v>23.901518972811779</v>
          </cell>
          <cell r="BX180">
            <v>15.713059154269443</v>
          </cell>
          <cell r="BY180">
            <v>32.089978791354113</v>
          </cell>
        </row>
        <row r="181">
          <cell r="A181">
            <v>39779</v>
          </cell>
          <cell r="BF181">
            <v>24.563864799128091</v>
          </cell>
          <cell r="BG181">
            <v>45.468715051806292</v>
          </cell>
          <cell r="BH181">
            <v>42.408178994289898</v>
          </cell>
          <cell r="BI181">
            <v>30.406703917126244</v>
          </cell>
          <cell r="BJ181">
            <v>54.409654071453552</v>
          </cell>
          <cell r="BU181">
            <v>11.96049138361238</v>
          </cell>
          <cell r="BV181">
            <v>29.635401891862816</v>
          </cell>
          <cell r="BW181">
            <v>23.901518972811779</v>
          </cell>
          <cell r="BX181">
            <v>15.713059154269443</v>
          </cell>
          <cell r="BY181">
            <v>32.089978791354113</v>
          </cell>
        </row>
        <row r="182">
          <cell r="A182">
            <v>39780</v>
          </cell>
          <cell r="BF182">
            <v>24.903304497278732</v>
          </cell>
          <cell r="BG182">
            <v>45.468715051806292</v>
          </cell>
          <cell r="BH182">
            <v>42.408178994289898</v>
          </cell>
          <cell r="BI182">
            <v>30.406703917126244</v>
          </cell>
          <cell r="BJ182">
            <v>54.409654071453552</v>
          </cell>
          <cell r="BU182">
            <v>12.142659916413562</v>
          </cell>
          <cell r="BV182">
            <v>29.635401891862816</v>
          </cell>
          <cell r="BW182">
            <v>23.901518972811779</v>
          </cell>
          <cell r="BX182">
            <v>15.713059154269443</v>
          </cell>
          <cell r="BY182">
            <v>32.089978791354113</v>
          </cell>
        </row>
        <row r="183">
          <cell r="A183">
            <v>39783</v>
          </cell>
          <cell r="BF183">
            <v>21.913520242226529</v>
          </cell>
          <cell r="BG183">
            <v>45.468715051806292</v>
          </cell>
          <cell r="BH183">
            <v>42.408178994289898</v>
          </cell>
          <cell r="BI183">
            <v>30.406703917126244</v>
          </cell>
          <cell r="BJ183">
            <v>54.409654071453552</v>
          </cell>
          <cell r="BU183">
            <v>10.592544052652725</v>
          </cell>
          <cell r="BV183">
            <v>29.635401891862816</v>
          </cell>
          <cell r="BW183">
            <v>23.901518972811779</v>
          </cell>
          <cell r="BX183">
            <v>15.713059154269443</v>
          </cell>
          <cell r="BY183">
            <v>32.089978791354113</v>
          </cell>
        </row>
        <row r="184">
          <cell r="A184">
            <v>39784</v>
          </cell>
          <cell r="BF184">
            <v>22.70597454684334</v>
          </cell>
          <cell r="BG184">
            <v>45.468715051806292</v>
          </cell>
          <cell r="BH184">
            <v>42.408178994289898</v>
          </cell>
          <cell r="BI184">
            <v>30.406703917126244</v>
          </cell>
          <cell r="BJ184">
            <v>54.409654071453552</v>
          </cell>
          <cell r="BU184">
            <v>11.018678133430273</v>
          </cell>
          <cell r="BV184">
            <v>29.635401891862816</v>
          </cell>
          <cell r="BW184">
            <v>23.901518972811779</v>
          </cell>
          <cell r="BX184">
            <v>15.713059154269443</v>
          </cell>
          <cell r="BY184">
            <v>32.089978791354113</v>
          </cell>
        </row>
        <row r="185">
          <cell r="A185">
            <v>39785</v>
          </cell>
          <cell r="BF185">
            <v>23.267306572628886</v>
          </cell>
          <cell r="BG185">
            <v>45.468715051806292</v>
          </cell>
          <cell r="BH185">
            <v>42.408178994289898</v>
          </cell>
          <cell r="BI185">
            <v>30.406703917126244</v>
          </cell>
          <cell r="BJ185">
            <v>54.409654071453552</v>
          </cell>
          <cell r="BU185">
            <v>11.320532075688291</v>
          </cell>
          <cell r="BV185">
            <v>29.635401891862816</v>
          </cell>
          <cell r="BW185">
            <v>23.901518972811779</v>
          </cell>
          <cell r="BX185">
            <v>15.713059154269443</v>
          </cell>
          <cell r="BY185">
            <v>32.089978791354113</v>
          </cell>
        </row>
        <row r="186">
          <cell r="A186">
            <v>39786</v>
          </cell>
          <cell r="BF186">
            <v>22.28774636214451</v>
          </cell>
          <cell r="BG186">
            <v>45.468715051806292</v>
          </cell>
          <cell r="BH186">
            <v>42.408178994289898</v>
          </cell>
          <cell r="BI186">
            <v>30.406703917126244</v>
          </cell>
          <cell r="BJ186">
            <v>54.409654071453552</v>
          </cell>
          <cell r="BU186">
            <v>10.793780014158072</v>
          </cell>
          <cell r="BV186">
            <v>29.635401891862816</v>
          </cell>
          <cell r="BW186">
            <v>23.901518972811779</v>
          </cell>
          <cell r="BX186">
            <v>15.713059154269443</v>
          </cell>
          <cell r="BY186">
            <v>32.089978791354113</v>
          </cell>
        </row>
        <row r="187">
          <cell r="A187">
            <v>39787</v>
          </cell>
          <cell r="BF187">
            <v>22.789919557815821</v>
          </cell>
          <cell r="BG187">
            <v>45.468715051806292</v>
          </cell>
          <cell r="BH187">
            <v>42.408178994289898</v>
          </cell>
          <cell r="BI187">
            <v>30.406703917126244</v>
          </cell>
          <cell r="BJ187">
            <v>54.409654071453552</v>
          </cell>
          <cell r="BU187">
            <v>11.05418811104521</v>
          </cell>
          <cell r="BV187">
            <v>29.635401891862816</v>
          </cell>
          <cell r="BW187">
            <v>23.901518972811779</v>
          </cell>
          <cell r="BX187">
            <v>15.713059154269443</v>
          </cell>
          <cell r="BY187">
            <v>32.089978791354113</v>
          </cell>
        </row>
        <row r="188">
          <cell r="A188">
            <v>39790</v>
          </cell>
          <cell r="BF188">
            <v>23.252545279708148</v>
          </cell>
          <cell r="BG188">
            <v>45.468715051806292</v>
          </cell>
          <cell r="BH188">
            <v>42.408178994289898</v>
          </cell>
          <cell r="BI188">
            <v>30.406703917126244</v>
          </cell>
          <cell r="BJ188">
            <v>54.409654071453552</v>
          </cell>
          <cell r="BU188">
            <v>11.302767520615301</v>
          </cell>
          <cell r="BV188">
            <v>29.635401891862816</v>
          </cell>
          <cell r="BW188">
            <v>23.901518972811779</v>
          </cell>
          <cell r="BX188">
            <v>15.713059154269443</v>
          </cell>
          <cell r="BY188">
            <v>32.089978791354113</v>
          </cell>
        </row>
        <row r="189">
          <cell r="A189">
            <v>39791</v>
          </cell>
          <cell r="BF189">
            <v>23.067907719460436</v>
          </cell>
          <cell r="BG189">
            <v>45.468715051806292</v>
          </cell>
          <cell r="BH189">
            <v>42.408178994289898</v>
          </cell>
          <cell r="BI189">
            <v>30.406703917126244</v>
          </cell>
          <cell r="BJ189">
            <v>54.409654071453552</v>
          </cell>
          <cell r="BU189">
            <v>11.154806091797882</v>
          </cell>
          <cell r="BV189">
            <v>29.635401891862816</v>
          </cell>
          <cell r="BW189">
            <v>23.901518972811779</v>
          </cell>
          <cell r="BX189">
            <v>15.713059154269443</v>
          </cell>
          <cell r="BY189">
            <v>32.089978791354113</v>
          </cell>
        </row>
        <row r="190">
          <cell r="A190">
            <v>39792</v>
          </cell>
          <cell r="BF190">
            <v>24.372813468305381</v>
          </cell>
          <cell r="BG190">
            <v>45.468715051806292</v>
          </cell>
          <cell r="BH190">
            <v>42.408178994289898</v>
          </cell>
          <cell r="BI190">
            <v>30.406703917126244</v>
          </cell>
          <cell r="BJ190">
            <v>54.409654071453552</v>
          </cell>
          <cell r="BU190">
            <v>11.853191306177894</v>
          </cell>
          <cell r="BV190">
            <v>29.635401891862816</v>
          </cell>
          <cell r="BW190">
            <v>23.901518972811779</v>
          </cell>
          <cell r="BX190">
            <v>15.713059154269443</v>
          </cell>
          <cell r="BY190">
            <v>32.089978791354113</v>
          </cell>
        </row>
        <row r="191">
          <cell r="A191">
            <v>39793</v>
          </cell>
          <cell r="BF191">
            <v>23.620830135598691</v>
          </cell>
          <cell r="BG191">
            <v>45.468715051806292</v>
          </cell>
          <cell r="BH191">
            <v>42.408178994289898</v>
          </cell>
          <cell r="BI191">
            <v>30.406703917126244</v>
          </cell>
          <cell r="BJ191">
            <v>54.409654071453552</v>
          </cell>
          <cell r="BU191">
            <v>11.45073373256548</v>
          </cell>
          <cell r="BV191">
            <v>29.635401891862816</v>
          </cell>
          <cell r="BW191">
            <v>23.901518972811779</v>
          </cell>
          <cell r="BX191">
            <v>15.713059154269443</v>
          </cell>
          <cell r="BY191">
            <v>32.089978791354113</v>
          </cell>
        </row>
        <row r="192">
          <cell r="A192">
            <v>39794</v>
          </cell>
          <cell r="BF192">
            <v>24.21525803907052</v>
          </cell>
          <cell r="BG192">
            <v>45.468715051806292</v>
          </cell>
          <cell r="BH192">
            <v>42.408178994289898</v>
          </cell>
          <cell r="BI192">
            <v>30.406703917126244</v>
          </cell>
          <cell r="BJ192">
            <v>54.409654071453552</v>
          </cell>
          <cell r="BU192">
            <v>11.817681328562955</v>
          </cell>
          <cell r="BV192">
            <v>29.635401891862816</v>
          </cell>
          <cell r="BW192">
            <v>23.901518972811779</v>
          </cell>
          <cell r="BX192">
            <v>15.713059154269443</v>
          </cell>
          <cell r="BY192">
            <v>32.089978791354113</v>
          </cell>
        </row>
        <row r="193">
          <cell r="A193">
            <v>39797</v>
          </cell>
          <cell r="BF193">
            <v>23.603214102287978</v>
          </cell>
          <cell r="BG193">
            <v>45.468715051806292</v>
          </cell>
          <cell r="BH193">
            <v>42.408178994289898</v>
          </cell>
          <cell r="BI193">
            <v>30.406703917126244</v>
          </cell>
          <cell r="BJ193">
            <v>54.409654071453552</v>
          </cell>
          <cell r="BU193">
            <v>11.456655250923143</v>
          </cell>
          <cell r="BV193">
            <v>29.635401891862816</v>
          </cell>
          <cell r="BW193">
            <v>23.901518972811779</v>
          </cell>
          <cell r="BX193">
            <v>15.713059154269443</v>
          </cell>
          <cell r="BY193">
            <v>32.089978791354113</v>
          </cell>
        </row>
        <row r="194">
          <cell r="A194">
            <v>39798</v>
          </cell>
          <cell r="BF194">
            <v>24.619354197385643</v>
          </cell>
          <cell r="BG194">
            <v>45.468715051806292</v>
          </cell>
          <cell r="BH194">
            <v>42.408178994289898</v>
          </cell>
          <cell r="BI194">
            <v>30.406703917126244</v>
          </cell>
          <cell r="BJ194">
            <v>54.409654071453552</v>
          </cell>
          <cell r="BU194">
            <v>12.001157518128073</v>
          </cell>
          <cell r="BV194">
            <v>29.635401891862816</v>
          </cell>
          <cell r="BW194">
            <v>23.901518972811779</v>
          </cell>
          <cell r="BX194">
            <v>15.713059154269443</v>
          </cell>
          <cell r="BY194">
            <v>32.089978791354113</v>
          </cell>
        </row>
        <row r="195">
          <cell r="A195">
            <v>39799</v>
          </cell>
          <cell r="BF195">
            <v>26.110439205420899</v>
          </cell>
          <cell r="BG195">
            <v>45.468715051806292</v>
          </cell>
          <cell r="BH195">
            <v>42.408178994289898</v>
          </cell>
          <cell r="BI195">
            <v>30.406703917126244</v>
          </cell>
          <cell r="BJ195">
            <v>54.409654071453552</v>
          </cell>
          <cell r="BU195">
            <v>12.800170279526279</v>
          </cell>
          <cell r="BV195">
            <v>29.635401891862816</v>
          </cell>
          <cell r="BW195">
            <v>23.901518972811779</v>
          </cell>
          <cell r="BX195">
            <v>15.713059154269443</v>
          </cell>
          <cell r="BY195">
            <v>32.089978791354113</v>
          </cell>
        </row>
        <row r="196">
          <cell r="A196">
            <v>39800</v>
          </cell>
          <cell r="BF196">
            <v>27.468972867895978</v>
          </cell>
          <cell r="BG196">
            <v>45.468715051806292</v>
          </cell>
          <cell r="BH196">
            <v>42.408178994289898</v>
          </cell>
          <cell r="BI196">
            <v>30.406703917126244</v>
          </cell>
          <cell r="BJ196">
            <v>54.409654071453552</v>
          </cell>
          <cell r="BU196">
            <v>13.528148736296323</v>
          </cell>
          <cell r="BV196">
            <v>29.635401891862816</v>
          </cell>
          <cell r="BW196">
            <v>23.901518972811779</v>
          </cell>
          <cell r="BX196">
            <v>15.713059154269443</v>
          </cell>
          <cell r="BY196">
            <v>32.089978791354113</v>
          </cell>
        </row>
        <row r="197">
          <cell r="A197">
            <v>39801</v>
          </cell>
          <cell r="BF197">
            <v>27.700908453309918</v>
          </cell>
          <cell r="BG197">
            <v>45.468715051806292</v>
          </cell>
          <cell r="BH197">
            <v>42.408178994289898</v>
          </cell>
          <cell r="BI197">
            <v>30.406703917126244</v>
          </cell>
          <cell r="BJ197">
            <v>54.409654071453552</v>
          </cell>
          <cell r="BU197">
            <v>13.65243365794861</v>
          </cell>
          <cell r="BV197">
            <v>29.635401891862816</v>
          </cell>
          <cell r="BW197">
            <v>23.901518972811779</v>
          </cell>
          <cell r="BX197">
            <v>15.713059154269443</v>
          </cell>
          <cell r="BY197">
            <v>32.089978791354113</v>
          </cell>
        </row>
        <row r="198">
          <cell r="A198">
            <v>39804</v>
          </cell>
          <cell r="BF198">
            <v>27.402704926633422</v>
          </cell>
          <cell r="BG198">
            <v>45.468715051806292</v>
          </cell>
          <cell r="BH198">
            <v>42.408178994289898</v>
          </cell>
          <cell r="BI198">
            <v>30.406703917126244</v>
          </cell>
          <cell r="BJ198">
            <v>54.409654071453552</v>
          </cell>
          <cell r="BU198">
            <v>13.492638758681384</v>
          </cell>
          <cell r="BV198">
            <v>29.635401891862816</v>
          </cell>
          <cell r="BW198">
            <v>23.901518972811779</v>
          </cell>
          <cell r="BX198">
            <v>15.713059154269443</v>
          </cell>
          <cell r="BY198">
            <v>32.089978791354113</v>
          </cell>
        </row>
        <row r="199">
          <cell r="A199">
            <v>39805</v>
          </cell>
          <cell r="BF199">
            <v>27.77823136013961</v>
          </cell>
          <cell r="BG199">
            <v>45.468715051806292</v>
          </cell>
          <cell r="BH199">
            <v>42.408178994289898</v>
          </cell>
          <cell r="BI199">
            <v>30.406703917126244</v>
          </cell>
          <cell r="BJ199">
            <v>54.409654071453552</v>
          </cell>
          <cell r="BU199">
            <v>13.69386037078845</v>
          </cell>
          <cell r="BV199">
            <v>29.635401891862816</v>
          </cell>
          <cell r="BW199">
            <v>23.901518972811779</v>
          </cell>
          <cell r="BX199">
            <v>15.713059154269443</v>
          </cell>
          <cell r="BY199">
            <v>32.089978791354113</v>
          </cell>
        </row>
        <row r="200">
          <cell r="A200">
            <v>39806</v>
          </cell>
          <cell r="BF200">
            <v>27.667774482678638</v>
          </cell>
          <cell r="BG200">
            <v>45.468715051806292</v>
          </cell>
          <cell r="BH200">
            <v>42.408178994289898</v>
          </cell>
          <cell r="BI200">
            <v>30.406703917126244</v>
          </cell>
          <cell r="BJ200">
            <v>54.409654071453552</v>
          </cell>
          <cell r="BU200">
            <v>13.634678669141142</v>
          </cell>
          <cell r="BV200">
            <v>29.635401891862816</v>
          </cell>
          <cell r="BW200">
            <v>23.901518972811779</v>
          </cell>
          <cell r="BX200">
            <v>15.713059154269443</v>
          </cell>
          <cell r="BY200">
            <v>32.089978791354113</v>
          </cell>
        </row>
        <row r="201">
          <cell r="A201">
            <v>39807</v>
          </cell>
          <cell r="BF201">
            <v>27.667774482678638</v>
          </cell>
          <cell r="BG201">
            <v>45.468715051806292</v>
          </cell>
          <cell r="BH201">
            <v>42.408178994289898</v>
          </cell>
          <cell r="BI201">
            <v>30.406703917126244</v>
          </cell>
          <cell r="BJ201">
            <v>54.409654071453552</v>
          </cell>
          <cell r="BU201">
            <v>13.634678669141142</v>
          </cell>
          <cell r="BV201">
            <v>29.635401891862816</v>
          </cell>
          <cell r="BW201">
            <v>23.901518972811779</v>
          </cell>
          <cell r="BX201">
            <v>15.713059154269443</v>
          </cell>
          <cell r="BY201">
            <v>32.089978791354113</v>
          </cell>
        </row>
        <row r="202">
          <cell r="A202">
            <v>39808</v>
          </cell>
          <cell r="BF202">
            <v>28.010168050056052</v>
          </cell>
          <cell r="BG202">
            <v>45.468715051806292</v>
          </cell>
          <cell r="BH202">
            <v>42.408178994289898</v>
          </cell>
          <cell r="BI202">
            <v>30.406703917126244</v>
          </cell>
          <cell r="BJ202">
            <v>54.409654071453552</v>
          </cell>
          <cell r="BU202">
            <v>13.818140509307975</v>
          </cell>
          <cell r="BV202">
            <v>29.635401891862816</v>
          </cell>
          <cell r="BW202">
            <v>23.901518972811779</v>
          </cell>
          <cell r="BX202">
            <v>15.713059154269443</v>
          </cell>
          <cell r="BY202">
            <v>32.089978791354113</v>
          </cell>
        </row>
        <row r="203">
          <cell r="A203">
            <v>39811</v>
          </cell>
          <cell r="BF203">
            <v>27.435838897264698</v>
          </cell>
          <cell r="BG203">
            <v>45.468715051806292</v>
          </cell>
          <cell r="BH203">
            <v>42.408178994289898</v>
          </cell>
          <cell r="BI203">
            <v>30.406703917126244</v>
          </cell>
          <cell r="BJ203">
            <v>54.409654071453552</v>
          </cell>
          <cell r="BU203">
            <v>13.553365412210379</v>
          </cell>
          <cell r="BV203">
            <v>29.635401891862816</v>
          </cell>
          <cell r="BW203">
            <v>23.901518972811779</v>
          </cell>
          <cell r="BX203">
            <v>15.713059154269443</v>
          </cell>
          <cell r="BY203">
            <v>32.089978791354113</v>
          </cell>
        </row>
        <row r="204">
          <cell r="A204">
            <v>39812</v>
          </cell>
          <cell r="BF204">
            <v>27.612562611485721</v>
          </cell>
          <cell r="BG204">
            <v>45.468715051806292</v>
          </cell>
          <cell r="BH204">
            <v>42.408178994289898</v>
          </cell>
          <cell r="BI204">
            <v>30.406703917126244</v>
          </cell>
          <cell r="BJ204">
            <v>54.409654071453552</v>
          </cell>
          <cell r="BU204">
            <v>13.64805709147263</v>
          </cell>
          <cell r="BV204">
            <v>29.635401891862816</v>
          </cell>
          <cell r="BW204">
            <v>23.901518972811779</v>
          </cell>
          <cell r="BX204">
            <v>15.713059154269443</v>
          </cell>
          <cell r="BY204">
            <v>32.089978791354113</v>
          </cell>
        </row>
        <row r="205">
          <cell r="A205">
            <v>39813</v>
          </cell>
          <cell r="BF205">
            <v>28.772276987138067</v>
          </cell>
          <cell r="BG205">
            <v>45.468715051806292</v>
          </cell>
          <cell r="BH205">
            <v>42.408178994289898</v>
          </cell>
          <cell r="BI205">
            <v>30.406703917126244</v>
          </cell>
          <cell r="BJ205">
            <v>54.409654071453552</v>
          </cell>
          <cell r="BU205">
            <v>14.269505615397859</v>
          </cell>
          <cell r="BV205">
            <v>29.635401891862816</v>
          </cell>
          <cell r="BW205">
            <v>23.901518972811779</v>
          </cell>
          <cell r="BX205">
            <v>15.713059154269443</v>
          </cell>
          <cell r="BY205">
            <v>32.089978791354113</v>
          </cell>
        </row>
        <row r="206">
          <cell r="A206">
            <v>39814</v>
          </cell>
          <cell r="BF206">
            <v>28.066558536447133</v>
          </cell>
          <cell r="BG206">
            <v>45.468715051806292</v>
          </cell>
          <cell r="BH206">
            <v>42.408178994289898</v>
          </cell>
          <cell r="BI206">
            <v>30.406703917126244</v>
          </cell>
          <cell r="BJ206">
            <v>54.409654071453552</v>
          </cell>
          <cell r="BU206">
            <v>13.973740757410877</v>
          </cell>
          <cell r="BV206">
            <v>29.635401891862816</v>
          </cell>
          <cell r="BW206">
            <v>23.901518972811779</v>
          </cell>
          <cell r="BX206">
            <v>15.713059154269443</v>
          </cell>
          <cell r="BY206">
            <v>32.089978791354113</v>
          </cell>
        </row>
        <row r="207">
          <cell r="A207">
            <v>39815</v>
          </cell>
          <cell r="BF207">
            <v>28.92849102673593</v>
          </cell>
          <cell r="BG207">
            <v>45.468715051806292</v>
          </cell>
          <cell r="BH207">
            <v>42.408178994289898</v>
          </cell>
          <cell r="BI207">
            <v>30.406703917126244</v>
          </cell>
          <cell r="BJ207">
            <v>54.409654071453552</v>
          </cell>
          <cell r="BU207">
            <v>14.437409174459566</v>
          </cell>
          <cell r="BV207">
            <v>29.635401891862816</v>
          </cell>
          <cell r="BW207">
            <v>23.901518972811779</v>
          </cell>
          <cell r="BX207">
            <v>15.713059154269443</v>
          </cell>
          <cell r="BY207">
            <v>32.089978791354113</v>
          </cell>
        </row>
        <row r="208">
          <cell r="A208">
            <v>39818</v>
          </cell>
          <cell r="BF208">
            <v>29.607265704511381</v>
          </cell>
          <cell r="BG208">
            <v>45.468715051806292</v>
          </cell>
          <cell r="BH208">
            <v>42.408178994289898</v>
          </cell>
          <cell r="BI208">
            <v>30.406703917126244</v>
          </cell>
          <cell r="BJ208">
            <v>54.409654071453552</v>
          </cell>
          <cell r="BU208">
            <v>14.802545125390099</v>
          </cell>
          <cell r="BV208">
            <v>29.635401891862816</v>
          </cell>
          <cell r="BW208">
            <v>23.901518972811779</v>
          </cell>
          <cell r="BX208">
            <v>15.713059154269443</v>
          </cell>
          <cell r="BY208">
            <v>32.089978791354113</v>
          </cell>
        </row>
        <row r="209">
          <cell r="A209">
            <v>39819</v>
          </cell>
          <cell r="BF209">
            <v>29.090112459325223</v>
          </cell>
          <cell r="BG209">
            <v>45.468715051806292</v>
          </cell>
          <cell r="BH209">
            <v>42.408178994289898</v>
          </cell>
          <cell r="BI209">
            <v>30.406703917126244</v>
          </cell>
          <cell r="BJ209">
            <v>54.409654071453552</v>
          </cell>
          <cell r="BU209">
            <v>14.524353443145875</v>
          </cell>
          <cell r="BV209">
            <v>29.635401891862816</v>
          </cell>
          <cell r="BW209">
            <v>23.901518972811779</v>
          </cell>
          <cell r="BX209">
            <v>15.713059154269443</v>
          </cell>
          <cell r="BY209">
            <v>32.089978791354113</v>
          </cell>
        </row>
        <row r="210">
          <cell r="A210">
            <v>39820</v>
          </cell>
          <cell r="BF210">
            <v>27.592495289694241</v>
          </cell>
          <cell r="BG210">
            <v>45.468715051806292</v>
          </cell>
          <cell r="BH210">
            <v>42.408178994289898</v>
          </cell>
          <cell r="BI210">
            <v>30.406703917126244</v>
          </cell>
          <cell r="BJ210">
            <v>54.409654071453552</v>
          </cell>
          <cell r="BU210">
            <v>13.718716102045356</v>
          </cell>
          <cell r="BV210">
            <v>29.635401891862816</v>
          </cell>
          <cell r="BW210">
            <v>23.901518972811779</v>
          </cell>
          <cell r="BX210">
            <v>15.713059154269443</v>
          </cell>
          <cell r="BY210">
            <v>32.089978791354113</v>
          </cell>
        </row>
        <row r="211">
          <cell r="A211">
            <v>39821</v>
          </cell>
          <cell r="BF211">
            <v>26.558188799321925</v>
          </cell>
          <cell r="BG211">
            <v>45.468715051806292</v>
          </cell>
          <cell r="BH211">
            <v>42.408178994289898</v>
          </cell>
          <cell r="BI211">
            <v>30.406703917126244</v>
          </cell>
          <cell r="BJ211">
            <v>54.409654071453552</v>
          </cell>
          <cell r="BU211">
            <v>13.162318685579423</v>
          </cell>
          <cell r="BV211">
            <v>29.635401891862816</v>
          </cell>
          <cell r="BW211">
            <v>23.901518972811779</v>
          </cell>
          <cell r="BX211">
            <v>15.713059154269443</v>
          </cell>
          <cell r="BY211">
            <v>32.089978791354113</v>
          </cell>
        </row>
        <row r="212">
          <cell r="A212">
            <v>39822</v>
          </cell>
          <cell r="BF212">
            <v>25.243745603377882</v>
          </cell>
          <cell r="BG212">
            <v>45.468715051806292</v>
          </cell>
          <cell r="BH212">
            <v>42.408178994289898</v>
          </cell>
          <cell r="BI212">
            <v>30.406703917126244</v>
          </cell>
          <cell r="BJ212">
            <v>54.409654071453552</v>
          </cell>
          <cell r="BU212">
            <v>12.455218494589555</v>
          </cell>
          <cell r="BV212">
            <v>29.635401891862816</v>
          </cell>
          <cell r="BW212">
            <v>23.901518972811779</v>
          </cell>
          <cell r="BX212">
            <v>15.713059154269443</v>
          </cell>
          <cell r="BY212">
            <v>32.089978791354113</v>
          </cell>
        </row>
        <row r="213">
          <cell r="A213">
            <v>39825</v>
          </cell>
          <cell r="BF213">
            <v>26.44168137159469</v>
          </cell>
          <cell r="BG213">
            <v>45.468715051806292</v>
          </cell>
          <cell r="BH213">
            <v>42.408178994289898</v>
          </cell>
          <cell r="BI213">
            <v>30.406703917126244</v>
          </cell>
          <cell r="BJ213">
            <v>54.409654071453552</v>
          </cell>
          <cell r="BU213">
            <v>12.976841950774958</v>
          </cell>
          <cell r="BV213">
            <v>29.635401891862816</v>
          </cell>
          <cell r="BW213">
            <v>23.901518972811779</v>
          </cell>
          <cell r="BX213">
            <v>15.713059154269443</v>
          </cell>
          <cell r="BY213">
            <v>32.089978791354113</v>
          </cell>
        </row>
        <row r="214">
          <cell r="A214">
            <v>39826</v>
          </cell>
          <cell r="BF214">
            <v>28.288391010933871</v>
          </cell>
          <cell r="BG214">
            <v>45.468715051806292</v>
          </cell>
          <cell r="BH214">
            <v>42.408178994289898</v>
          </cell>
          <cell r="BI214">
            <v>30.406703917126244</v>
          </cell>
          <cell r="BJ214">
            <v>54.409654071453552</v>
          </cell>
          <cell r="BU214">
            <v>13.788273390591401</v>
          </cell>
          <cell r="BV214">
            <v>29.635401891862816</v>
          </cell>
          <cell r="BW214">
            <v>23.901518972811779</v>
          </cell>
          <cell r="BX214">
            <v>15.713059154269443</v>
          </cell>
          <cell r="BY214">
            <v>32.089978791354113</v>
          </cell>
        </row>
        <row r="215">
          <cell r="A215">
            <v>39827</v>
          </cell>
          <cell r="BF215">
            <v>27.485809763567268</v>
          </cell>
          <cell r="BG215">
            <v>45.468715051806292</v>
          </cell>
          <cell r="BH215">
            <v>42.408178994289898</v>
          </cell>
          <cell r="BI215">
            <v>30.406703917126244</v>
          </cell>
          <cell r="BJ215">
            <v>54.409654071453552</v>
          </cell>
          <cell r="BU215">
            <v>13.365173032539163</v>
          </cell>
          <cell r="BV215">
            <v>29.635401891862816</v>
          </cell>
          <cell r="BW215">
            <v>23.901518972811779</v>
          </cell>
          <cell r="BX215">
            <v>15.713059154269443</v>
          </cell>
          <cell r="BY215">
            <v>32.089978791354113</v>
          </cell>
        </row>
        <row r="216">
          <cell r="A216">
            <v>39828</v>
          </cell>
          <cell r="BF216">
            <v>30.97100934215521</v>
          </cell>
          <cell r="BG216">
            <v>45.468715051806292</v>
          </cell>
          <cell r="BH216">
            <v>42.408178994289898</v>
          </cell>
          <cell r="BI216">
            <v>30.406703917126244</v>
          </cell>
          <cell r="BJ216">
            <v>54.409654071453552</v>
          </cell>
          <cell r="BU216">
            <v>15.202469088578644</v>
          </cell>
          <cell r="BV216">
            <v>29.635401891862816</v>
          </cell>
          <cell r="BW216">
            <v>23.901518972811779</v>
          </cell>
          <cell r="BX216">
            <v>15.713059154269443</v>
          </cell>
          <cell r="BY216">
            <v>32.089978791354113</v>
          </cell>
        </row>
        <row r="217">
          <cell r="A217">
            <v>39829</v>
          </cell>
          <cell r="BF217">
            <v>33.34577011253873</v>
          </cell>
          <cell r="BG217">
            <v>45.468715051806292</v>
          </cell>
          <cell r="BH217">
            <v>42.408178994289898</v>
          </cell>
          <cell r="BI217">
            <v>30.406703917126244</v>
          </cell>
          <cell r="BJ217">
            <v>54.409654071453552</v>
          </cell>
          <cell r="BU217">
            <v>16.454369130617611</v>
          </cell>
          <cell r="BV217">
            <v>29.635401891862816</v>
          </cell>
          <cell r="BW217">
            <v>23.901518972811779</v>
          </cell>
          <cell r="BX217">
            <v>15.713059154269443</v>
          </cell>
          <cell r="BY217">
            <v>32.089978791354113</v>
          </cell>
        </row>
        <row r="218">
          <cell r="A218">
            <v>39832</v>
          </cell>
          <cell r="BF218">
            <v>33.34577011253873</v>
          </cell>
          <cell r="BG218">
            <v>45.468715051806292</v>
          </cell>
          <cell r="BH218">
            <v>42.408178994289898</v>
          </cell>
          <cell r="BI218">
            <v>30.406703917126244</v>
          </cell>
          <cell r="BJ218">
            <v>54.409654071453552</v>
          </cell>
          <cell r="BU218">
            <v>16.454369130617611</v>
          </cell>
          <cell r="BV218">
            <v>29.635401891862816</v>
          </cell>
          <cell r="BW218">
            <v>23.901518972811779</v>
          </cell>
          <cell r="BX218">
            <v>15.713059154269443</v>
          </cell>
          <cell r="BY218">
            <v>32.089978791354113</v>
          </cell>
        </row>
        <row r="219">
          <cell r="A219">
            <v>39833</v>
          </cell>
          <cell r="BF219">
            <v>30.058478259139996</v>
          </cell>
          <cell r="BG219">
            <v>45.468715051806292</v>
          </cell>
          <cell r="BH219">
            <v>42.408178994289898</v>
          </cell>
          <cell r="BI219">
            <v>30.406703917126244</v>
          </cell>
          <cell r="BJ219">
            <v>54.409654071453552</v>
          </cell>
          <cell r="BU219">
            <v>14.872924978420771</v>
          </cell>
          <cell r="BV219">
            <v>29.635401891862816</v>
          </cell>
          <cell r="BW219">
            <v>23.901518972811779</v>
          </cell>
          <cell r="BX219">
            <v>15.713059154269443</v>
          </cell>
          <cell r="BY219">
            <v>32.089978791354113</v>
          </cell>
        </row>
        <row r="220">
          <cell r="A220">
            <v>39834</v>
          </cell>
          <cell r="BF220">
            <v>31.553706310278052</v>
          </cell>
          <cell r="BG220">
            <v>45.468715051806292</v>
          </cell>
          <cell r="BH220">
            <v>42.408178994289898</v>
          </cell>
          <cell r="BI220">
            <v>30.406703917126244</v>
          </cell>
          <cell r="BJ220">
            <v>54.409654071453552</v>
          </cell>
          <cell r="BU220">
            <v>15.669278973997033</v>
          </cell>
          <cell r="BV220">
            <v>29.635401891862816</v>
          </cell>
          <cell r="BW220">
            <v>23.901518972811779</v>
          </cell>
          <cell r="BX220">
            <v>15.713059154269443</v>
          </cell>
          <cell r="BY220">
            <v>32.089978791354113</v>
          </cell>
        </row>
        <row r="221">
          <cell r="A221">
            <v>39835</v>
          </cell>
          <cell r="BF221">
            <v>30.168411603302747</v>
          </cell>
          <cell r="BG221">
            <v>45.468715051806292</v>
          </cell>
          <cell r="BH221">
            <v>42.408178994289898</v>
          </cell>
          <cell r="BI221">
            <v>30.406703917126244</v>
          </cell>
          <cell r="BJ221">
            <v>54.409654071453552</v>
          </cell>
          <cell r="BU221">
            <v>14.931485986569236</v>
          </cell>
          <cell r="BV221">
            <v>29.635401891862816</v>
          </cell>
          <cell r="BW221">
            <v>23.901518972811779</v>
          </cell>
          <cell r="BX221">
            <v>15.713059154269443</v>
          </cell>
          <cell r="BY221">
            <v>32.089978791354113</v>
          </cell>
        </row>
        <row r="222">
          <cell r="A222">
            <v>39836</v>
          </cell>
          <cell r="BF222">
            <v>30.727979042967938</v>
          </cell>
          <cell r="BG222">
            <v>45.468715051806292</v>
          </cell>
          <cell r="BH222">
            <v>42.408178994289898</v>
          </cell>
          <cell r="BI222">
            <v>30.406703917126244</v>
          </cell>
          <cell r="BJ222">
            <v>54.409654071453552</v>
          </cell>
          <cell r="BU222">
            <v>15.527845025529688</v>
          </cell>
          <cell r="BV222">
            <v>29.635401891862816</v>
          </cell>
          <cell r="BW222">
            <v>23.901518972811779</v>
          </cell>
          <cell r="BX222">
            <v>15.713059154269443</v>
          </cell>
          <cell r="BY222">
            <v>32.089978791354113</v>
          </cell>
        </row>
        <row r="223">
          <cell r="A223">
            <v>39839</v>
          </cell>
          <cell r="BF223">
            <v>30.648300655795946</v>
          </cell>
          <cell r="BG223">
            <v>45.468715051806292</v>
          </cell>
          <cell r="BH223">
            <v>42.408178994289898</v>
          </cell>
          <cell r="BI223">
            <v>30.406703917126244</v>
          </cell>
          <cell r="BJ223">
            <v>54.409654071453552</v>
          </cell>
          <cell r="BU223">
            <v>15.419541820313944</v>
          </cell>
          <cell r="BV223">
            <v>29.635401891862816</v>
          </cell>
          <cell r="BW223">
            <v>23.901518972811779</v>
          </cell>
          <cell r="BX223">
            <v>15.713059154269443</v>
          </cell>
          <cell r="BY223">
            <v>32.089978791354113</v>
          </cell>
        </row>
        <row r="224">
          <cell r="A224">
            <v>39840</v>
          </cell>
          <cell r="BF224">
            <v>30.592714606945961</v>
          </cell>
          <cell r="BG224">
            <v>45.468715051806292</v>
          </cell>
          <cell r="BH224">
            <v>42.408178994289898</v>
          </cell>
          <cell r="BI224">
            <v>30.406703917126244</v>
          </cell>
          <cell r="BJ224">
            <v>54.409654071453552</v>
          </cell>
          <cell r="BU224">
            <v>15.38946002769128</v>
          </cell>
          <cell r="BV224">
            <v>29.635401891862816</v>
          </cell>
          <cell r="BW224">
            <v>23.901518972811779</v>
          </cell>
          <cell r="BX224">
            <v>15.713059154269443</v>
          </cell>
          <cell r="BY224">
            <v>32.089978791354113</v>
          </cell>
        </row>
        <row r="225">
          <cell r="A225">
            <v>39841</v>
          </cell>
          <cell r="BF225">
            <v>31.626560866826942</v>
          </cell>
          <cell r="BG225">
            <v>45.468715051806292</v>
          </cell>
          <cell r="BH225">
            <v>42.408178994289898</v>
          </cell>
          <cell r="BI225">
            <v>30.406703917126244</v>
          </cell>
          <cell r="BJ225">
            <v>54.409654071453552</v>
          </cell>
          <cell r="BU225">
            <v>15.948985260150211</v>
          </cell>
          <cell r="BV225">
            <v>29.635401891862816</v>
          </cell>
          <cell r="BW225">
            <v>23.901518972811779</v>
          </cell>
          <cell r="BX225">
            <v>15.713059154269443</v>
          </cell>
          <cell r="BY225">
            <v>32.089978791354113</v>
          </cell>
        </row>
        <row r="226">
          <cell r="A226">
            <v>39842</v>
          </cell>
          <cell r="BF226">
            <v>31.092954585313219</v>
          </cell>
          <cell r="BG226">
            <v>45.468715051806292</v>
          </cell>
          <cell r="BH226">
            <v>42.408178994289898</v>
          </cell>
          <cell r="BI226">
            <v>30.406703917126244</v>
          </cell>
          <cell r="BJ226">
            <v>54.409654071453552</v>
          </cell>
          <cell r="BU226">
            <v>15.660191299198489</v>
          </cell>
          <cell r="BV226">
            <v>29.635401891862816</v>
          </cell>
          <cell r="BW226">
            <v>23.901518972811779</v>
          </cell>
          <cell r="BX226">
            <v>15.713059154269443</v>
          </cell>
          <cell r="BY226">
            <v>32.089978791354113</v>
          </cell>
        </row>
        <row r="227">
          <cell r="A227">
            <v>39843</v>
          </cell>
          <cell r="BF227">
            <v>30.414845475889962</v>
          </cell>
          <cell r="BG227">
            <v>45.468715051806292</v>
          </cell>
          <cell r="BH227">
            <v>42.408178994289898</v>
          </cell>
          <cell r="BI227">
            <v>30.406703917126244</v>
          </cell>
          <cell r="BJ227">
            <v>54.409654071453552</v>
          </cell>
          <cell r="BU227">
            <v>15.497517791795076</v>
          </cell>
          <cell r="BV227">
            <v>29.635401891862816</v>
          </cell>
          <cell r="BW227">
            <v>23.901518972811779</v>
          </cell>
          <cell r="BX227">
            <v>15.713059154269443</v>
          </cell>
          <cell r="BY227">
            <v>32.089978791354113</v>
          </cell>
        </row>
        <row r="228">
          <cell r="A228">
            <v>39846</v>
          </cell>
          <cell r="BF228">
            <v>29.722471596380544</v>
          </cell>
          <cell r="BG228">
            <v>45.468715051806292</v>
          </cell>
          <cell r="BH228">
            <v>42.408178994289898</v>
          </cell>
          <cell r="BI228">
            <v>30.406703917126244</v>
          </cell>
          <cell r="BJ228">
            <v>54.409654071453552</v>
          </cell>
          <cell r="BU228">
            <v>14.821875248243032</v>
          </cell>
          <cell r="BV228">
            <v>29.635401891862816</v>
          </cell>
          <cell r="BW228">
            <v>23.901518972811779</v>
          </cell>
          <cell r="BX228">
            <v>15.713059154269443</v>
          </cell>
          <cell r="BY228">
            <v>32.089978791354113</v>
          </cell>
        </row>
        <row r="229">
          <cell r="A229">
            <v>39847</v>
          </cell>
          <cell r="BF229">
            <v>30.351406287702162</v>
          </cell>
          <cell r="BG229">
            <v>45.468715051806292</v>
          </cell>
          <cell r="BH229">
            <v>42.408178994289898</v>
          </cell>
          <cell r="BI229">
            <v>30.406703917126244</v>
          </cell>
          <cell r="BJ229">
            <v>54.409654071453552</v>
          </cell>
          <cell r="BU229">
            <v>15.159969733614183</v>
          </cell>
          <cell r="BV229">
            <v>29.635401891862816</v>
          </cell>
          <cell r="BW229">
            <v>23.901518972811779</v>
          </cell>
          <cell r="BX229">
            <v>15.713059154269443</v>
          </cell>
          <cell r="BY229">
            <v>32.089978791354113</v>
          </cell>
        </row>
        <row r="230">
          <cell r="A230">
            <v>39848</v>
          </cell>
          <cell r="BF230">
            <v>36.770853315047916</v>
          </cell>
          <cell r="BG230">
            <v>45.468715051806292</v>
          </cell>
          <cell r="BH230">
            <v>42.408178994289898</v>
          </cell>
          <cell r="BI230">
            <v>30.406703917126244</v>
          </cell>
          <cell r="BJ230">
            <v>54.409654071453552</v>
          </cell>
          <cell r="BU230">
            <v>18.610814536534015</v>
          </cell>
          <cell r="BV230">
            <v>29.635401891862816</v>
          </cell>
          <cell r="BW230">
            <v>23.901518972811779</v>
          </cell>
          <cell r="BX230">
            <v>15.713059154269443</v>
          </cell>
          <cell r="BY230">
            <v>32.089978791354113</v>
          </cell>
        </row>
        <row r="231">
          <cell r="A231">
            <v>39849</v>
          </cell>
          <cell r="BF231">
            <v>36.912224376883351</v>
          </cell>
          <cell r="BG231">
            <v>45.468715051806292</v>
          </cell>
          <cell r="BH231">
            <v>42.408178994289898</v>
          </cell>
          <cell r="BI231">
            <v>30.406703917126244</v>
          </cell>
          <cell r="BJ231">
            <v>54.409654071453552</v>
          </cell>
          <cell r="BU231">
            <v>18.643427696873619</v>
          </cell>
          <cell r="BV231">
            <v>29.635401891862816</v>
          </cell>
          <cell r="BW231">
            <v>23.901518972811779</v>
          </cell>
          <cell r="BX231">
            <v>15.713059154269443</v>
          </cell>
          <cell r="BY231">
            <v>32.089978791354113</v>
          </cell>
        </row>
        <row r="232">
          <cell r="A232">
            <v>39850</v>
          </cell>
          <cell r="BF232">
            <v>36.635363727881682</v>
          </cell>
          <cell r="BG232">
            <v>45.468715051806292</v>
          </cell>
          <cell r="BH232">
            <v>42.408178994289898</v>
          </cell>
          <cell r="BI232">
            <v>30.406703917126244</v>
          </cell>
          <cell r="BJ232">
            <v>54.409654071453552</v>
          </cell>
          <cell r="BU232">
            <v>18.448981809080077</v>
          </cell>
          <cell r="BV232">
            <v>29.635401891862816</v>
          </cell>
          <cell r="BW232">
            <v>23.901518972811779</v>
          </cell>
          <cell r="BX232">
            <v>15.713059154269443</v>
          </cell>
          <cell r="BY232">
            <v>32.089978791354113</v>
          </cell>
        </row>
        <row r="233">
          <cell r="A233">
            <v>39853</v>
          </cell>
          <cell r="BF233">
            <v>37.230175208671156</v>
          </cell>
          <cell r="BG233">
            <v>45.468715051806292</v>
          </cell>
          <cell r="BH233">
            <v>42.408178994289898</v>
          </cell>
          <cell r="BI233">
            <v>30.406703917126244</v>
          </cell>
          <cell r="BJ233">
            <v>54.409654071453552</v>
          </cell>
          <cell r="BU233">
            <v>18.957996967394536</v>
          </cell>
          <cell r="BV233">
            <v>29.635401891862816</v>
          </cell>
          <cell r="BW233">
            <v>23.901518972811779</v>
          </cell>
          <cell r="BX233">
            <v>15.713059154269443</v>
          </cell>
          <cell r="BY233">
            <v>32.089978791354113</v>
          </cell>
        </row>
        <row r="234">
          <cell r="A234">
            <v>39854</v>
          </cell>
          <cell r="BF234">
            <v>36.61549880024122</v>
          </cell>
          <cell r="BG234">
            <v>45.468715051806292</v>
          </cell>
          <cell r="BH234">
            <v>42.408178994289898</v>
          </cell>
          <cell r="BI234">
            <v>30.406703917126244</v>
          </cell>
          <cell r="BJ234">
            <v>54.409654071453552</v>
          </cell>
          <cell r="BU234">
            <v>18.626285433565808</v>
          </cell>
          <cell r="BV234">
            <v>29.635401891862816</v>
          </cell>
          <cell r="BW234">
            <v>23.901518972811779</v>
          </cell>
          <cell r="BX234">
            <v>15.713059154269443</v>
          </cell>
          <cell r="BY234">
            <v>32.089978791354113</v>
          </cell>
        </row>
        <row r="235">
          <cell r="A235">
            <v>39855</v>
          </cell>
          <cell r="BF235">
            <v>36.933436956589318</v>
          </cell>
          <cell r="BG235">
            <v>45.468715051806292</v>
          </cell>
          <cell r="BH235">
            <v>42.408178994289898</v>
          </cell>
          <cell r="BI235">
            <v>30.406703917126244</v>
          </cell>
          <cell r="BJ235">
            <v>54.409654071453552</v>
          </cell>
          <cell r="BU235">
            <v>18.797854500968128</v>
          </cell>
          <cell r="BV235">
            <v>29.635401891862816</v>
          </cell>
          <cell r="BW235">
            <v>23.901518972811779</v>
          </cell>
          <cell r="BX235">
            <v>15.713059154269443</v>
          </cell>
          <cell r="BY235">
            <v>32.089978791354113</v>
          </cell>
        </row>
        <row r="236">
          <cell r="A236">
            <v>39856</v>
          </cell>
          <cell r="BF236">
            <v>37.622305611468327</v>
          </cell>
          <cell r="BG236">
            <v>45.468715051806292</v>
          </cell>
          <cell r="BH236">
            <v>42.408178994289898</v>
          </cell>
          <cell r="BI236">
            <v>30.406703917126244</v>
          </cell>
          <cell r="BJ236">
            <v>54.409654071453552</v>
          </cell>
          <cell r="BU236">
            <v>19.169622907998907</v>
          </cell>
          <cell r="BV236">
            <v>29.635401891862816</v>
          </cell>
          <cell r="BW236">
            <v>23.901518972811779</v>
          </cell>
          <cell r="BX236">
            <v>15.713059154269443</v>
          </cell>
          <cell r="BY236">
            <v>32.089978791354113</v>
          </cell>
        </row>
        <row r="237">
          <cell r="A237">
            <v>39857</v>
          </cell>
          <cell r="BF237">
            <v>38.056805089083547</v>
          </cell>
          <cell r="BG237">
            <v>45.468715051806292</v>
          </cell>
          <cell r="BH237">
            <v>42.408178994289898</v>
          </cell>
          <cell r="BI237">
            <v>30.406703917126244</v>
          </cell>
          <cell r="BJ237">
            <v>54.409654071453552</v>
          </cell>
          <cell r="BU237">
            <v>19.404106774242987</v>
          </cell>
          <cell r="BV237">
            <v>29.635401891862816</v>
          </cell>
          <cell r="BW237">
            <v>23.901518972811779</v>
          </cell>
          <cell r="BX237">
            <v>15.713059154269443</v>
          </cell>
          <cell r="BY237">
            <v>32.089978791354113</v>
          </cell>
        </row>
        <row r="238">
          <cell r="A238">
            <v>39860</v>
          </cell>
          <cell r="BF238">
            <v>38.056805089083547</v>
          </cell>
          <cell r="BG238">
            <v>45.468715051806292</v>
          </cell>
          <cell r="BH238">
            <v>42.408178994289898</v>
          </cell>
          <cell r="BI238">
            <v>30.406703917126244</v>
          </cell>
          <cell r="BJ238">
            <v>54.409654071453552</v>
          </cell>
          <cell r="BU238">
            <v>20.747471907513727</v>
          </cell>
          <cell r="BV238">
            <v>29.635401891862816</v>
          </cell>
          <cell r="BW238">
            <v>23.901518972811779</v>
          </cell>
          <cell r="BX238">
            <v>15.713059154269443</v>
          </cell>
          <cell r="BY238">
            <v>32.089978791354113</v>
          </cell>
        </row>
        <row r="239">
          <cell r="A239">
            <v>39861</v>
          </cell>
          <cell r="BF239">
            <v>37.664690583035231</v>
          </cell>
          <cell r="BG239">
            <v>45.468715051806292</v>
          </cell>
          <cell r="BH239">
            <v>42.408178994289898</v>
          </cell>
          <cell r="BI239">
            <v>30.406703917126244</v>
          </cell>
          <cell r="BJ239">
            <v>54.409654071453552</v>
          </cell>
          <cell r="BU239">
            <v>20.521194897771714</v>
          </cell>
          <cell r="BV239">
            <v>29.635401891862816</v>
          </cell>
          <cell r="BW239">
            <v>23.901518972811779</v>
          </cell>
          <cell r="BX239">
            <v>15.713059154269443</v>
          </cell>
          <cell r="BY239">
            <v>32.089978791354113</v>
          </cell>
        </row>
        <row r="240">
          <cell r="A240">
            <v>39862</v>
          </cell>
          <cell r="BF240">
            <v>35.894854663977739</v>
          </cell>
          <cell r="BG240">
            <v>45.468715051806292</v>
          </cell>
          <cell r="BH240">
            <v>42.408178994289898</v>
          </cell>
          <cell r="BI240">
            <v>30.406703917126244</v>
          </cell>
          <cell r="BJ240">
            <v>54.409654071453552</v>
          </cell>
          <cell r="BU240">
            <v>19.499945704833507</v>
          </cell>
          <cell r="BV240">
            <v>29.635401891862816</v>
          </cell>
          <cell r="BW240">
            <v>23.901518972811779</v>
          </cell>
          <cell r="BX240">
            <v>15.713059154269443</v>
          </cell>
          <cell r="BY240">
            <v>32.089978791354113</v>
          </cell>
        </row>
        <row r="241">
          <cell r="A241">
            <v>39863</v>
          </cell>
          <cell r="BF241">
            <v>34.654909313467535</v>
          </cell>
          <cell r="BG241">
            <v>45.468715051806292</v>
          </cell>
          <cell r="BH241">
            <v>42.408178994289898</v>
          </cell>
          <cell r="BI241">
            <v>30.406703917126244</v>
          </cell>
          <cell r="BJ241">
            <v>54.409654071453552</v>
          </cell>
          <cell r="BU241">
            <v>18.784481851526344</v>
          </cell>
          <cell r="BV241">
            <v>29.635401891862816</v>
          </cell>
          <cell r="BW241">
            <v>23.901518972811779</v>
          </cell>
          <cell r="BX241">
            <v>15.713059154269443</v>
          </cell>
          <cell r="BY241">
            <v>32.089978791354113</v>
          </cell>
        </row>
        <row r="242">
          <cell r="A242">
            <v>39864</v>
          </cell>
          <cell r="BF242">
            <v>35.057616353166182</v>
          </cell>
          <cell r="BG242">
            <v>45.468715051806292</v>
          </cell>
          <cell r="BH242">
            <v>42.408178994289898</v>
          </cell>
          <cell r="BI242">
            <v>30.406703917126244</v>
          </cell>
          <cell r="BJ242">
            <v>54.409654071453552</v>
          </cell>
          <cell r="BU242">
            <v>19.016855072307361</v>
          </cell>
          <cell r="BV242">
            <v>29.635401891862816</v>
          </cell>
          <cell r="BW242">
            <v>23.901518972811779</v>
          </cell>
          <cell r="BX242">
            <v>15.713059154269443</v>
          </cell>
          <cell r="BY242">
            <v>32.089978791354113</v>
          </cell>
        </row>
        <row r="243">
          <cell r="A243">
            <v>39867</v>
          </cell>
          <cell r="BF243">
            <v>34.125017685136996</v>
          </cell>
          <cell r="BG243">
            <v>45.468715051806292</v>
          </cell>
          <cell r="BH243">
            <v>42.408178994289898</v>
          </cell>
          <cell r="BI243">
            <v>30.406703917126244</v>
          </cell>
          <cell r="BJ243">
            <v>54.409654071453552</v>
          </cell>
          <cell r="BU243">
            <v>18.478716714748781</v>
          </cell>
          <cell r="BV243">
            <v>29.635401891862816</v>
          </cell>
          <cell r="BW243">
            <v>23.901518972811779</v>
          </cell>
          <cell r="BX243">
            <v>15.713059154269443</v>
          </cell>
          <cell r="BY243">
            <v>32.089978791354113</v>
          </cell>
        </row>
        <row r="244">
          <cell r="A244">
            <v>39868</v>
          </cell>
          <cell r="BF244">
            <v>35.386162939913447</v>
          </cell>
          <cell r="BG244">
            <v>45.468715051806292</v>
          </cell>
          <cell r="BH244">
            <v>42.408178994289898</v>
          </cell>
          <cell r="BI244">
            <v>30.406703917126244</v>
          </cell>
          <cell r="BJ244">
            <v>54.409654071453552</v>
          </cell>
          <cell r="BU244">
            <v>19.206433598694414</v>
          </cell>
          <cell r="BV244">
            <v>29.635401891862816</v>
          </cell>
          <cell r="BW244">
            <v>23.901518972811779</v>
          </cell>
          <cell r="BX244">
            <v>15.713059154269443</v>
          </cell>
          <cell r="BY244">
            <v>32.089978791354113</v>
          </cell>
        </row>
        <row r="245">
          <cell r="A245">
            <v>39869</v>
          </cell>
          <cell r="BF245">
            <v>36.000822391811276</v>
          </cell>
          <cell r="BG245">
            <v>45.468715051806292</v>
          </cell>
          <cell r="BH245">
            <v>42.408178994289898</v>
          </cell>
          <cell r="BI245">
            <v>30.406703917126244</v>
          </cell>
          <cell r="BJ245">
            <v>54.409654071453552</v>
          </cell>
          <cell r="BU245">
            <v>19.561109843758437</v>
          </cell>
          <cell r="BV245">
            <v>29.635401891862816</v>
          </cell>
          <cell r="BW245">
            <v>23.901518972811779</v>
          </cell>
          <cell r="BX245">
            <v>15.713059154269443</v>
          </cell>
          <cell r="BY245">
            <v>32.089978791354113</v>
          </cell>
        </row>
        <row r="246">
          <cell r="A246">
            <v>39870</v>
          </cell>
          <cell r="BF246">
            <v>34.082617876604502</v>
          </cell>
          <cell r="BG246">
            <v>45.468715051806292</v>
          </cell>
          <cell r="BH246">
            <v>42.408178994289898</v>
          </cell>
          <cell r="BI246">
            <v>30.406703917126244</v>
          </cell>
          <cell r="BJ246">
            <v>54.409654071453552</v>
          </cell>
          <cell r="BU246">
            <v>18.454240957752067</v>
          </cell>
          <cell r="BV246">
            <v>29.635401891862816</v>
          </cell>
          <cell r="BW246">
            <v>23.901518972811779</v>
          </cell>
          <cell r="BX246">
            <v>15.713059154269443</v>
          </cell>
          <cell r="BY246">
            <v>32.089978791354113</v>
          </cell>
        </row>
        <row r="247">
          <cell r="A247">
            <v>39871</v>
          </cell>
          <cell r="BF247">
            <v>33.202995654009285</v>
          </cell>
          <cell r="BG247">
            <v>45.468715051806292</v>
          </cell>
          <cell r="BH247">
            <v>42.408178994289898</v>
          </cell>
          <cell r="BI247">
            <v>30.406703917126244</v>
          </cell>
          <cell r="BJ247">
            <v>54.409654071453552</v>
          </cell>
          <cell r="BU247">
            <v>17.946664466802467</v>
          </cell>
          <cell r="BV247">
            <v>29.635401891862816</v>
          </cell>
          <cell r="BW247">
            <v>23.901518972811779</v>
          </cell>
          <cell r="BX247">
            <v>15.713059154269443</v>
          </cell>
          <cell r="BY247">
            <v>32.089978791354113</v>
          </cell>
        </row>
        <row r="248">
          <cell r="A248">
            <v>39874</v>
          </cell>
          <cell r="BF248">
            <v>31.241417920101</v>
          </cell>
          <cell r="BG248">
            <v>45.468715051806292</v>
          </cell>
          <cell r="BH248">
            <v>42.408178994289898</v>
          </cell>
          <cell r="BI248">
            <v>30.406703917126244</v>
          </cell>
          <cell r="BJ248">
            <v>54.409654071453552</v>
          </cell>
          <cell r="BU248">
            <v>16.860702688492541</v>
          </cell>
          <cell r="BV248">
            <v>29.635401891862816</v>
          </cell>
          <cell r="BW248">
            <v>23.901518972811779</v>
          </cell>
          <cell r="BX248">
            <v>15.713059154269443</v>
          </cell>
          <cell r="BY248">
            <v>32.089978791354113</v>
          </cell>
        </row>
        <row r="249">
          <cell r="A249">
            <v>39875</v>
          </cell>
          <cell r="BF249">
            <v>31.89169658455846</v>
          </cell>
          <cell r="BG249">
            <v>45.468715051806292</v>
          </cell>
          <cell r="BH249">
            <v>42.408178994289898</v>
          </cell>
          <cell r="BI249">
            <v>30.406703917126244</v>
          </cell>
          <cell r="BJ249">
            <v>54.409654071453552</v>
          </cell>
          <cell r="BU249">
            <v>17.225329566506343</v>
          </cell>
          <cell r="BV249">
            <v>29.635401891862816</v>
          </cell>
          <cell r="BW249">
            <v>23.901518972811779</v>
          </cell>
          <cell r="BX249">
            <v>15.713059154269443</v>
          </cell>
          <cell r="BY249">
            <v>32.089978791354113</v>
          </cell>
        </row>
        <row r="250">
          <cell r="A250">
            <v>39876</v>
          </cell>
          <cell r="BF250">
            <v>33.455229036572696</v>
          </cell>
          <cell r="BG250">
            <v>45.468715051806292</v>
          </cell>
          <cell r="BH250">
            <v>42.408178994289898</v>
          </cell>
          <cell r="BI250">
            <v>30.406703917126244</v>
          </cell>
          <cell r="BJ250">
            <v>54.409654071453552</v>
          </cell>
          <cell r="BU250">
            <v>18.127926480226009</v>
          </cell>
          <cell r="BV250">
            <v>29.635401891862816</v>
          </cell>
          <cell r="BW250">
            <v>23.901518972811779</v>
          </cell>
          <cell r="BX250">
            <v>15.713059154269443</v>
          </cell>
          <cell r="BY250">
            <v>32.089978791354113</v>
          </cell>
        </row>
        <row r="251">
          <cell r="A251">
            <v>39877</v>
          </cell>
          <cell r="BF251">
            <v>33.134243127168446</v>
          </cell>
          <cell r="BG251">
            <v>45.468715051806292</v>
          </cell>
          <cell r="BH251">
            <v>42.408178994289898</v>
          </cell>
          <cell r="BI251">
            <v>30.406703917126244</v>
          </cell>
          <cell r="BJ251">
            <v>54.409654071453552</v>
          </cell>
          <cell r="BU251">
            <v>17.942636112417322</v>
          </cell>
          <cell r="BV251">
            <v>29.635401891862816</v>
          </cell>
          <cell r="BW251">
            <v>23.901518972811779</v>
          </cell>
          <cell r="BX251">
            <v>15.713059154269443</v>
          </cell>
          <cell r="BY251">
            <v>32.089978791354113</v>
          </cell>
        </row>
        <row r="252">
          <cell r="A252">
            <v>39878</v>
          </cell>
          <cell r="BF252">
            <v>32.954892341412929</v>
          </cell>
          <cell r="BG252">
            <v>45.468715051806292</v>
          </cell>
          <cell r="BH252">
            <v>42.408178994289898</v>
          </cell>
          <cell r="BI252">
            <v>30.406703917126244</v>
          </cell>
          <cell r="BJ252">
            <v>54.409654071453552</v>
          </cell>
          <cell r="BU252">
            <v>17.815320358514096</v>
          </cell>
          <cell r="BV252">
            <v>29.635401891862816</v>
          </cell>
          <cell r="BW252">
            <v>23.901518972811779</v>
          </cell>
          <cell r="BX252">
            <v>15.713059154269443</v>
          </cell>
          <cell r="BY252">
            <v>32.089978791354113</v>
          </cell>
        </row>
        <row r="253">
          <cell r="A253">
            <v>39881</v>
          </cell>
          <cell r="BF253">
            <v>33.562949071043917</v>
          </cell>
          <cell r="BG253">
            <v>45.468715051806292</v>
          </cell>
          <cell r="BH253">
            <v>42.408178994289898</v>
          </cell>
          <cell r="BI253">
            <v>30.406703917126244</v>
          </cell>
          <cell r="BJ253">
            <v>54.409654071453552</v>
          </cell>
          <cell r="BU253">
            <v>18.046944303763318</v>
          </cell>
          <cell r="BV253">
            <v>29.635401891862816</v>
          </cell>
          <cell r="BW253">
            <v>23.901518972811779</v>
          </cell>
          <cell r="BX253">
            <v>15.713059154269443</v>
          </cell>
          <cell r="BY253">
            <v>32.089978791354113</v>
          </cell>
        </row>
        <row r="254">
          <cell r="A254">
            <v>39882</v>
          </cell>
          <cell r="BF254">
            <v>35.253024696558292</v>
          </cell>
          <cell r="BG254">
            <v>45.468715051806292</v>
          </cell>
          <cell r="BH254">
            <v>42.408178994289898</v>
          </cell>
          <cell r="BI254">
            <v>30.406703917126244</v>
          </cell>
          <cell r="BJ254">
            <v>54.409654071453552</v>
          </cell>
          <cell r="BU254">
            <v>18.092059406564406</v>
          </cell>
          <cell r="BV254">
            <v>29.635401891862816</v>
          </cell>
          <cell r="BW254">
            <v>23.901518972811779</v>
          </cell>
          <cell r="BX254">
            <v>15.713059154269443</v>
          </cell>
          <cell r="BY254">
            <v>32.089978791354113</v>
          </cell>
        </row>
        <row r="255">
          <cell r="A255">
            <v>39883</v>
          </cell>
          <cell r="BF255">
            <v>35.097487314743411</v>
          </cell>
          <cell r="BG255">
            <v>45.468715051806292</v>
          </cell>
          <cell r="BH255">
            <v>42.408178994289898</v>
          </cell>
          <cell r="BI255">
            <v>30.406703917126244</v>
          </cell>
          <cell r="BJ255">
            <v>54.409654071453552</v>
          </cell>
          <cell r="BU255">
            <v>18.925914526099451</v>
          </cell>
          <cell r="BV255">
            <v>29.635401891862816</v>
          </cell>
          <cell r="BW255">
            <v>23.901518972811779</v>
          </cell>
          <cell r="BX255">
            <v>15.713059154269443</v>
          </cell>
          <cell r="BY255">
            <v>32.089978791354113</v>
          </cell>
        </row>
        <row r="256">
          <cell r="A256">
            <v>39884</v>
          </cell>
          <cell r="BF256">
            <v>37.689621483607993</v>
          </cell>
          <cell r="BG256">
            <v>45.468715051806292</v>
          </cell>
          <cell r="BH256">
            <v>42.408178994289898</v>
          </cell>
          <cell r="BI256">
            <v>30.406703917126244</v>
          </cell>
          <cell r="BJ256">
            <v>54.409654071453552</v>
          </cell>
          <cell r="BU256">
            <v>20.410650453660864</v>
          </cell>
          <cell r="BV256">
            <v>29.635401891862816</v>
          </cell>
          <cell r="BW256">
            <v>23.901518972811779</v>
          </cell>
          <cell r="BX256">
            <v>15.713059154269443</v>
          </cell>
          <cell r="BY256">
            <v>32.089978791354113</v>
          </cell>
        </row>
        <row r="257">
          <cell r="A257">
            <v>39885</v>
          </cell>
          <cell r="BF257">
            <v>37.036398488785778</v>
          </cell>
          <cell r="BG257">
            <v>45.468715051806292</v>
          </cell>
          <cell r="BH257">
            <v>42.408178994289898</v>
          </cell>
          <cell r="BI257">
            <v>30.406703917126244</v>
          </cell>
          <cell r="BJ257">
            <v>54.409654071453552</v>
          </cell>
          <cell r="BU257">
            <v>20.036498883475563</v>
          </cell>
          <cell r="BV257">
            <v>29.635401891862816</v>
          </cell>
          <cell r="BW257">
            <v>23.901518972811779</v>
          </cell>
          <cell r="BX257">
            <v>15.713059154269443</v>
          </cell>
          <cell r="BY257">
            <v>32.089978791354113</v>
          </cell>
        </row>
        <row r="258">
          <cell r="A258">
            <v>39888</v>
          </cell>
          <cell r="BF258">
            <v>35.823281771464487</v>
          </cell>
          <cell r="BG258">
            <v>45.468715051806292</v>
          </cell>
          <cell r="BH258">
            <v>42.408178994289898</v>
          </cell>
          <cell r="BI258">
            <v>30.406703917126244</v>
          </cell>
          <cell r="BJ258">
            <v>54.409654071453552</v>
          </cell>
          <cell r="BU258">
            <v>19.341641763041753</v>
          </cell>
          <cell r="BV258">
            <v>29.635401891862816</v>
          </cell>
          <cell r="BW258">
            <v>23.901518972811779</v>
          </cell>
          <cell r="BX258">
            <v>15.713059154269443</v>
          </cell>
          <cell r="BY258">
            <v>32.089978791354113</v>
          </cell>
        </row>
        <row r="259">
          <cell r="A259">
            <v>39889</v>
          </cell>
          <cell r="BF259">
            <v>37.445915064612898</v>
          </cell>
          <cell r="BG259">
            <v>45.468715051806292</v>
          </cell>
          <cell r="BH259">
            <v>42.408178994289898</v>
          </cell>
          <cell r="BI259">
            <v>30.406703917126244</v>
          </cell>
          <cell r="BJ259">
            <v>54.409654071453552</v>
          </cell>
          <cell r="BU259">
            <v>20.455916227512041</v>
          </cell>
          <cell r="BV259">
            <v>29.635401891862816</v>
          </cell>
          <cell r="BW259">
            <v>23.901518972811779</v>
          </cell>
          <cell r="BX259">
            <v>15.713059154269443</v>
          </cell>
          <cell r="BY259">
            <v>32.089978791354113</v>
          </cell>
        </row>
        <row r="260">
          <cell r="A260">
            <v>39890</v>
          </cell>
          <cell r="BF260">
            <v>37.736593838136969</v>
          </cell>
          <cell r="BG260">
            <v>45.468715051806292</v>
          </cell>
          <cell r="BH260">
            <v>42.408178994289898</v>
          </cell>
          <cell r="BI260">
            <v>30.406703917126244</v>
          </cell>
          <cell r="BJ260">
            <v>54.409654071453552</v>
          </cell>
          <cell r="BU260">
            <v>20.623951883604715</v>
          </cell>
          <cell r="BV260">
            <v>29.635401891862816</v>
          </cell>
          <cell r="BW260">
            <v>23.901518972811779</v>
          </cell>
          <cell r="BX260">
            <v>15.713059154269443</v>
          </cell>
          <cell r="BY260">
            <v>32.089978791354113</v>
          </cell>
        </row>
        <row r="261">
          <cell r="A261">
            <v>39891</v>
          </cell>
          <cell r="BF261">
            <v>37.788504247184612</v>
          </cell>
          <cell r="BG261">
            <v>45.468715051806292</v>
          </cell>
          <cell r="BH261">
            <v>42.408178994289898</v>
          </cell>
          <cell r="BI261">
            <v>30.406703917126244</v>
          </cell>
          <cell r="BJ261">
            <v>54.409654071453552</v>
          </cell>
          <cell r="BU261">
            <v>20.653957719724971</v>
          </cell>
          <cell r="BV261">
            <v>29.635401891862816</v>
          </cell>
          <cell r="BW261">
            <v>23.901518972811779</v>
          </cell>
          <cell r="BX261">
            <v>15.713059154269443</v>
          </cell>
          <cell r="BY261">
            <v>32.089978791354113</v>
          </cell>
        </row>
        <row r="262">
          <cell r="A262">
            <v>39892</v>
          </cell>
          <cell r="BF262">
            <v>36.760734623177704</v>
          </cell>
          <cell r="BG262">
            <v>45.468715051806292</v>
          </cell>
          <cell r="BH262">
            <v>42.408178994289898</v>
          </cell>
          <cell r="BI262">
            <v>30.406703917126244</v>
          </cell>
          <cell r="BJ262">
            <v>54.409654071453552</v>
          </cell>
          <cell r="BU262">
            <v>20.059853068547774</v>
          </cell>
          <cell r="BV262">
            <v>29.635401891862816</v>
          </cell>
          <cell r="BW262">
            <v>23.901518972811779</v>
          </cell>
          <cell r="BX262">
            <v>15.713059154269443</v>
          </cell>
          <cell r="BY262">
            <v>32.089978791354113</v>
          </cell>
        </row>
        <row r="263">
          <cell r="A263">
            <v>39895</v>
          </cell>
          <cell r="BF263">
            <v>40.352726677209041</v>
          </cell>
          <cell r="BG263">
            <v>45.468715051806292</v>
          </cell>
          <cell r="BH263">
            <v>42.408178994289898</v>
          </cell>
          <cell r="BI263">
            <v>30.406703917126244</v>
          </cell>
          <cell r="BJ263">
            <v>54.409654071453552</v>
          </cell>
          <cell r="BU263">
            <v>22.1362232247848</v>
          </cell>
          <cell r="BV263">
            <v>29.635401891862816</v>
          </cell>
          <cell r="BW263">
            <v>23.901518972811779</v>
          </cell>
          <cell r="BX263">
            <v>15.713059154269443</v>
          </cell>
          <cell r="BY263">
            <v>32.089978791354113</v>
          </cell>
        </row>
        <row r="264">
          <cell r="A264">
            <v>39896</v>
          </cell>
          <cell r="BF264">
            <v>39.138097021481578</v>
          </cell>
          <cell r="BG264">
            <v>45.468715051806292</v>
          </cell>
          <cell r="BH264">
            <v>42.408178994289898</v>
          </cell>
          <cell r="BI264">
            <v>30.406703917126244</v>
          </cell>
          <cell r="BJ264">
            <v>54.409654071453552</v>
          </cell>
          <cell r="BU264">
            <v>21.434104502486235</v>
          </cell>
          <cell r="BV264">
            <v>29.635401891862816</v>
          </cell>
          <cell r="BW264">
            <v>23.901518972811779</v>
          </cell>
          <cell r="BX264">
            <v>15.713059154269443</v>
          </cell>
          <cell r="BY264">
            <v>32.089978791354113</v>
          </cell>
        </row>
        <row r="265">
          <cell r="A265">
            <v>39897</v>
          </cell>
          <cell r="BF265">
            <v>39.511830580819272</v>
          </cell>
          <cell r="BG265">
            <v>45.468715051806292</v>
          </cell>
          <cell r="BH265">
            <v>42.408178994289898</v>
          </cell>
          <cell r="BI265">
            <v>30.406703917126244</v>
          </cell>
          <cell r="BJ265">
            <v>54.409654071453552</v>
          </cell>
          <cell r="BU265">
            <v>21.650152470190559</v>
          </cell>
          <cell r="BV265">
            <v>29.635401891862816</v>
          </cell>
          <cell r="BW265">
            <v>23.901518972811779</v>
          </cell>
          <cell r="BX265">
            <v>15.713059154269443</v>
          </cell>
          <cell r="BY265">
            <v>32.089978791354113</v>
          </cell>
        </row>
        <row r="266">
          <cell r="A266">
            <v>39898</v>
          </cell>
          <cell r="BF266">
            <v>39.522206849011802</v>
          </cell>
          <cell r="BG266">
            <v>45.468715051806292</v>
          </cell>
          <cell r="BH266">
            <v>42.408178994289898</v>
          </cell>
          <cell r="BI266">
            <v>30.406703917126244</v>
          </cell>
          <cell r="BJ266">
            <v>54.409654071453552</v>
          </cell>
          <cell r="BU266">
            <v>21.656134803226099</v>
          </cell>
          <cell r="BV266">
            <v>29.635401891862816</v>
          </cell>
          <cell r="BW266">
            <v>23.901518972811779</v>
          </cell>
          <cell r="BX266">
            <v>15.713059154269443</v>
          </cell>
          <cell r="BY266">
            <v>32.089978791354113</v>
          </cell>
        </row>
        <row r="267">
          <cell r="A267">
            <v>39899</v>
          </cell>
          <cell r="BF267">
            <v>38.639775573621023</v>
          </cell>
          <cell r="BG267">
            <v>45.468715051806292</v>
          </cell>
          <cell r="BH267">
            <v>42.408178994289898</v>
          </cell>
          <cell r="BI267">
            <v>30.406703917126244</v>
          </cell>
          <cell r="BJ267">
            <v>54.409654071453552</v>
          </cell>
          <cell r="BU267">
            <v>21.146035589181739</v>
          </cell>
          <cell r="BV267">
            <v>29.635401891862816</v>
          </cell>
          <cell r="BW267">
            <v>23.901518972811779</v>
          </cell>
          <cell r="BX267">
            <v>15.713059154269443</v>
          </cell>
          <cell r="BY267">
            <v>32.089978791354113</v>
          </cell>
        </row>
        <row r="268">
          <cell r="A268">
            <v>39902</v>
          </cell>
          <cell r="BF268">
            <v>38.266043052429225</v>
          </cell>
          <cell r="BG268">
            <v>45.468715051806292</v>
          </cell>
          <cell r="BH268">
            <v>42.408178994289898</v>
          </cell>
          <cell r="BI268">
            <v>30.406703917126244</v>
          </cell>
          <cell r="BJ268">
            <v>54.409654071453552</v>
          </cell>
          <cell r="BU268">
            <v>20.148274627250345</v>
          </cell>
          <cell r="BV268">
            <v>29.635401891862816</v>
          </cell>
          <cell r="BW268">
            <v>23.901518972811779</v>
          </cell>
          <cell r="BX268">
            <v>15.713059154269443</v>
          </cell>
          <cell r="BY268">
            <v>32.089978791354113</v>
          </cell>
        </row>
        <row r="269">
          <cell r="A269">
            <v>39903</v>
          </cell>
          <cell r="BF269">
            <v>38.660543682194479</v>
          </cell>
          <cell r="BG269">
            <v>45.468715051806292</v>
          </cell>
          <cell r="BH269">
            <v>42.408178994289898</v>
          </cell>
          <cell r="BI269">
            <v>30.406703917126244</v>
          </cell>
          <cell r="BJ269">
            <v>54.409654071453552</v>
          </cell>
          <cell r="BU269">
            <v>20.376321955583531</v>
          </cell>
          <cell r="BV269">
            <v>29.635401891862816</v>
          </cell>
          <cell r="BW269">
            <v>23.901518972811779</v>
          </cell>
          <cell r="BX269">
            <v>15.713059154269443</v>
          </cell>
          <cell r="BY269">
            <v>32.089978791354113</v>
          </cell>
        </row>
        <row r="270">
          <cell r="A270">
            <v>39904</v>
          </cell>
          <cell r="BF270">
            <v>36.168851192724432</v>
          </cell>
          <cell r="BG270">
            <v>45.468715051806292</v>
          </cell>
          <cell r="BH270">
            <v>42.408178994289898</v>
          </cell>
          <cell r="BI270">
            <v>30.406703917126244</v>
          </cell>
          <cell r="BJ270">
            <v>54.409654071453552</v>
          </cell>
          <cell r="BU270">
            <v>18.943448715535748</v>
          </cell>
          <cell r="BV270">
            <v>29.635401891862816</v>
          </cell>
          <cell r="BW270">
            <v>23.901518972811779</v>
          </cell>
          <cell r="BX270">
            <v>15.713059154269443</v>
          </cell>
          <cell r="BY270">
            <v>32.089978791354113</v>
          </cell>
        </row>
        <row r="271">
          <cell r="A271">
            <v>39905</v>
          </cell>
          <cell r="BF271">
            <v>36.989947125349879</v>
          </cell>
          <cell r="BG271">
            <v>45.468715051806292</v>
          </cell>
          <cell r="BH271">
            <v>42.408178994289898</v>
          </cell>
          <cell r="BI271">
            <v>30.406703917126244</v>
          </cell>
          <cell r="BJ271">
            <v>54.409654071453552</v>
          </cell>
          <cell r="BU271">
            <v>19.417100134751347</v>
          </cell>
          <cell r="BV271">
            <v>29.635401891862816</v>
          </cell>
          <cell r="BW271">
            <v>23.901518972811779</v>
          </cell>
          <cell r="BX271">
            <v>15.713059154269443</v>
          </cell>
          <cell r="BY271">
            <v>32.089978791354113</v>
          </cell>
        </row>
        <row r="272">
          <cell r="A272">
            <v>39906</v>
          </cell>
          <cell r="BF272">
            <v>35.499805369375991</v>
          </cell>
          <cell r="BG272">
            <v>45.468715051806292</v>
          </cell>
          <cell r="BH272">
            <v>42.408178994289898</v>
          </cell>
          <cell r="BI272">
            <v>30.406703917126244</v>
          </cell>
          <cell r="BJ272">
            <v>54.409654071453552</v>
          </cell>
          <cell r="BU272">
            <v>18.557500326008491</v>
          </cell>
          <cell r="BV272">
            <v>29.635401891862816</v>
          </cell>
          <cell r="BW272">
            <v>23.901518972811779</v>
          </cell>
          <cell r="BX272">
            <v>15.713059154269443</v>
          </cell>
          <cell r="BY272">
            <v>32.089978791354113</v>
          </cell>
        </row>
        <row r="273">
          <cell r="A273">
            <v>39909</v>
          </cell>
          <cell r="BF273">
            <v>35.307199103080727</v>
          </cell>
          <cell r="BG273">
            <v>45.468715051806292</v>
          </cell>
          <cell r="BH273">
            <v>42.408178994289898</v>
          </cell>
          <cell r="BI273">
            <v>30.406703917126244</v>
          </cell>
          <cell r="BJ273">
            <v>54.409654071453552</v>
          </cell>
          <cell r="BU273">
            <v>18.446382775260108</v>
          </cell>
          <cell r="BV273">
            <v>29.635401891862816</v>
          </cell>
          <cell r="BW273">
            <v>23.901518972811779</v>
          </cell>
          <cell r="BX273">
            <v>15.713059154269443</v>
          </cell>
          <cell r="BY273">
            <v>32.089978791354113</v>
          </cell>
        </row>
        <row r="274">
          <cell r="A274">
            <v>39910</v>
          </cell>
          <cell r="BF274">
            <v>34.780085637479608</v>
          </cell>
          <cell r="BG274">
            <v>45.468715051806292</v>
          </cell>
          <cell r="BH274">
            <v>42.408178994289898</v>
          </cell>
          <cell r="BI274">
            <v>30.406703917126244</v>
          </cell>
          <cell r="BJ274">
            <v>54.409654071453552</v>
          </cell>
          <cell r="BU274">
            <v>18.142317593251786</v>
          </cell>
          <cell r="BV274">
            <v>29.635401891862816</v>
          </cell>
          <cell r="BW274">
            <v>23.901518972811779</v>
          </cell>
          <cell r="BX274">
            <v>15.713059154269443</v>
          </cell>
          <cell r="BY274">
            <v>32.089978791354113</v>
          </cell>
        </row>
        <row r="275">
          <cell r="A275">
            <v>39911</v>
          </cell>
          <cell r="BF275">
            <v>35.08418382863124</v>
          </cell>
          <cell r="BG275">
            <v>45.468715051806292</v>
          </cell>
          <cell r="BH275">
            <v>42.408178994289898</v>
          </cell>
          <cell r="BI275">
            <v>30.406703917126244</v>
          </cell>
          <cell r="BJ275">
            <v>54.409654071453552</v>
          </cell>
          <cell r="BU275">
            <v>18.317733312084361</v>
          </cell>
          <cell r="BV275">
            <v>29.635401891862816</v>
          </cell>
          <cell r="BW275">
            <v>23.901518972811779</v>
          </cell>
          <cell r="BX275">
            <v>15.713059154269443</v>
          </cell>
          <cell r="BY275">
            <v>32.089978791354113</v>
          </cell>
        </row>
        <row r="276">
          <cell r="A276">
            <v>39912</v>
          </cell>
          <cell r="BF276">
            <v>35.479541482683452</v>
          </cell>
          <cell r="BG276">
            <v>45.468715051806292</v>
          </cell>
          <cell r="BH276">
            <v>42.408178994289898</v>
          </cell>
          <cell r="BI276">
            <v>30.406703917126244</v>
          </cell>
          <cell r="BJ276">
            <v>54.409654071453552</v>
          </cell>
          <cell r="BU276">
            <v>18.545807554662296</v>
          </cell>
          <cell r="BV276">
            <v>29.635401891862816</v>
          </cell>
          <cell r="BW276">
            <v>23.901518972811779</v>
          </cell>
          <cell r="BX276">
            <v>15.713059154269443</v>
          </cell>
          <cell r="BY276">
            <v>32.089978791354113</v>
          </cell>
        </row>
        <row r="277">
          <cell r="A277">
            <v>39913</v>
          </cell>
          <cell r="BF277">
            <v>35.479541482683452</v>
          </cell>
          <cell r="BG277">
            <v>45.468715051806292</v>
          </cell>
          <cell r="BH277">
            <v>42.408178994289898</v>
          </cell>
          <cell r="BI277">
            <v>30.406703917126244</v>
          </cell>
          <cell r="BJ277">
            <v>54.409654071453552</v>
          </cell>
          <cell r="BU277">
            <v>18.545807554662296</v>
          </cell>
          <cell r="BV277">
            <v>29.635401891862816</v>
          </cell>
          <cell r="BW277">
            <v>23.901518972811779</v>
          </cell>
          <cell r="BX277">
            <v>15.713059154269443</v>
          </cell>
          <cell r="BY277">
            <v>32.089978791354113</v>
          </cell>
        </row>
        <row r="278">
          <cell r="A278">
            <v>39916</v>
          </cell>
          <cell r="BF278">
            <v>35.297068173435633</v>
          </cell>
          <cell r="BG278">
            <v>45.468715051806292</v>
          </cell>
          <cell r="BH278">
            <v>42.408178994289898</v>
          </cell>
          <cell r="BI278">
            <v>30.406703917126244</v>
          </cell>
          <cell r="BJ278">
            <v>54.409654071453552</v>
          </cell>
          <cell r="BU278">
            <v>18.440533974723046</v>
          </cell>
          <cell r="BV278">
            <v>29.635401891862816</v>
          </cell>
          <cell r="BW278">
            <v>23.901518972811779</v>
          </cell>
          <cell r="BX278">
            <v>15.713059154269443</v>
          </cell>
          <cell r="BY278">
            <v>32.089978791354113</v>
          </cell>
        </row>
        <row r="279">
          <cell r="A279">
            <v>39917</v>
          </cell>
          <cell r="BF279">
            <v>35.104461907140376</v>
          </cell>
          <cell r="BG279">
            <v>45.468715051806292</v>
          </cell>
          <cell r="BH279">
            <v>42.408178994289898</v>
          </cell>
          <cell r="BI279">
            <v>30.406703917126244</v>
          </cell>
          <cell r="BJ279">
            <v>54.409654071453552</v>
          </cell>
          <cell r="BU279">
            <v>18.329430913158493</v>
          </cell>
          <cell r="BV279">
            <v>29.635401891862816</v>
          </cell>
          <cell r="BW279">
            <v>23.901518972811779</v>
          </cell>
          <cell r="BX279">
            <v>15.713059154269443</v>
          </cell>
          <cell r="BY279">
            <v>32.089978791354113</v>
          </cell>
        </row>
        <row r="280">
          <cell r="A280">
            <v>39918</v>
          </cell>
          <cell r="BF280">
            <v>34.897635608976067</v>
          </cell>
          <cell r="BG280">
            <v>45.468715051806292</v>
          </cell>
          <cell r="BH280">
            <v>42.408178994289898</v>
          </cell>
          <cell r="BI280">
            <v>30.406703917126244</v>
          </cell>
          <cell r="BJ280">
            <v>54.409654071453552</v>
          </cell>
          <cell r="BU280">
            <v>18.44200221201724</v>
          </cell>
          <cell r="BV280">
            <v>29.635401891862816</v>
          </cell>
          <cell r="BW280">
            <v>23.901518972811779</v>
          </cell>
          <cell r="BX280">
            <v>15.713059154269443</v>
          </cell>
          <cell r="BY280">
            <v>32.089978791354113</v>
          </cell>
        </row>
        <row r="281">
          <cell r="A281">
            <v>39919</v>
          </cell>
          <cell r="BF281">
            <v>36.76586938392628</v>
          </cell>
          <cell r="BG281">
            <v>45.468715051806292</v>
          </cell>
          <cell r="BH281">
            <v>42.408178994289898</v>
          </cell>
          <cell r="BI281">
            <v>30.406703917126244</v>
          </cell>
          <cell r="BJ281">
            <v>54.409654071453552</v>
          </cell>
          <cell r="BU281">
            <v>19.574162040176383</v>
          </cell>
          <cell r="BV281">
            <v>29.635401891862816</v>
          </cell>
          <cell r="BW281">
            <v>23.901518972811779</v>
          </cell>
          <cell r="BX281">
            <v>15.713059154269443</v>
          </cell>
          <cell r="BY281">
            <v>32.089978791354113</v>
          </cell>
        </row>
        <row r="282">
          <cell r="A282">
            <v>39920</v>
          </cell>
          <cell r="BF282">
            <v>37.990346359726928</v>
          </cell>
          <cell r="BG282">
            <v>45.468715051806292</v>
          </cell>
          <cell r="BH282">
            <v>42.408178994289898</v>
          </cell>
          <cell r="BI282">
            <v>30.406703917126244</v>
          </cell>
          <cell r="BJ282">
            <v>54.409654071453552</v>
          </cell>
          <cell r="BU282">
            <v>20.453461084363393</v>
          </cell>
          <cell r="BV282">
            <v>29.635401891862816</v>
          </cell>
          <cell r="BW282">
            <v>23.901518972811779</v>
          </cell>
          <cell r="BX282">
            <v>15.713059154269443</v>
          </cell>
          <cell r="BY282">
            <v>32.089978791354113</v>
          </cell>
        </row>
        <row r="283">
          <cell r="A283">
            <v>39923</v>
          </cell>
          <cell r="BF283">
            <v>36.98560371307471</v>
          </cell>
          <cell r="BG283">
            <v>45.468715051806292</v>
          </cell>
          <cell r="BH283">
            <v>42.408178994289898</v>
          </cell>
          <cell r="BI283">
            <v>30.406703917126244</v>
          </cell>
          <cell r="BJ283">
            <v>54.409654071453552</v>
          </cell>
          <cell r="BU283">
            <v>19.804292162456974</v>
          </cell>
          <cell r="BV283">
            <v>29.635401891862816</v>
          </cell>
          <cell r="BW283">
            <v>23.901518972811779</v>
          </cell>
          <cell r="BX283">
            <v>15.713059154269443</v>
          </cell>
          <cell r="BY283">
            <v>32.089978791354113</v>
          </cell>
        </row>
        <row r="284">
          <cell r="A284">
            <v>39924</v>
          </cell>
          <cell r="BF284">
            <v>37.795200333610602</v>
          </cell>
          <cell r="BG284">
            <v>45.468715051806292</v>
          </cell>
          <cell r="BH284">
            <v>42.408178994289898</v>
          </cell>
          <cell r="BI284">
            <v>30.406703917126244</v>
          </cell>
          <cell r="BJ284">
            <v>54.409654071453552</v>
          </cell>
          <cell r="BU284">
            <v>20.280103198474457</v>
          </cell>
          <cell r="BV284">
            <v>29.635401891862816</v>
          </cell>
          <cell r="BW284">
            <v>23.901518972811779</v>
          </cell>
          <cell r="BX284">
            <v>15.713059154269443</v>
          </cell>
          <cell r="BY284">
            <v>32.089978791354113</v>
          </cell>
        </row>
        <row r="285">
          <cell r="A285">
            <v>39925</v>
          </cell>
          <cell r="BF285">
            <v>35.510535060155277</v>
          </cell>
          <cell r="BG285">
            <v>45.468715051806292</v>
          </cell>
          <cell r="BH285">
            <v>42.408178994289898</v>
          </cell>
          <cell r="BI285">
            <v>30.406703917126244</v>
          </cell>
          <cell r="BJ285">
            <v>54.409654071453552</v>
          </cell>
          <cell r="BU285">
            <v>19.18573487310622</v>
          </cell>
          <cell r="BV285">
            <v>29.635401891862816</v>
          </cell>
          <cell r="BW285">
            <v>23.901518972811779</v>
          </cell>
          <cell r="BX285">
            <v>15.713059154269443</v>
          </cell>
          <cell r="BY285">
            <v>32.089978791354113</v>
          </cell>
        </row>
        <row r="286">
          <cell r="A286">
            <v>39926</v>
          </cell>
          <cell r="BF286">
            <v>34.309505174453456</v>
          </cell>
          <cell r="BG286">
            <v>45.468715051806292</v>
          </cell>
          <cell r="BH286">
            <v>42.408178994289898</v>
          </cell>
          <cell r="BI286">
            <v>30.406703917126244</v>
          </cell>
          <cell r="BJ286">
            <v>54.409654071453552</v>
          </cell>
          <cell r="BU286">
            <v>18.471767641598877</v>
          </cell>
          <cell r="BV286">
            <v>29.635401891862816</v>
          </cell>
          <cell r="BW286">
            <v>23.901518972811779</v>
          </cell>
          <cell r="BX286">
            <v>15.713059154269443</v>
          </cell>
          <cell r="BY286">
            <v>32.089978791354113</v>
          </cell>
        </row>
        <row r="287">
          <cell r="A287">
            <v>39927</v>
          </cell>
          <cell r="BF287">
            <v>35.492954004962307</v>
          </cell>
          <cell r="BG287">
            <v>45.468715051806292</v>
          </cell>
          <cell r="BH287">
            <v>42.408178994289898</v>
          </cell>
          <cell r="BI287">
            <v>30.406703917126244</v>
          </cell>
          <cell r="BJ287">
            <v>54.409654071453552</v>
          </cell>
          <cell r="BU287">
            <v>19.102603126188413</v>
          </cell>
          <cell r="BV287">
            <v>29.635401891862816</v>
          </cell>
          <cell r="BW287">
            <v>23.901518972811779</v>
          </cell>
          <cell r="BX287">
            <v>15.713059154269443</v>
          </cell>
          <cell r="BY287">
            <v>32.089978791354113</v>
          </cell>
        </row>
        <row r="288">
          <cell r="A288">
            <v>39930</v>
          </cell>
          <cell r="BF288">
            <v>35.437595439685659</v>
          </cell>
          <cell r="BG288">
            <v>45.468715051806292</v>
          </cell>
          <cell r="BH288">
            <v>42.408178994289898</v>
          </cell>
          <cell r="BI288">
            <v>30.406703917126244</v>
          </cell>
          <cell r="BJ288">
            <v>54.409654071453552</v>
          </cell>
          <cell r="BU288">
            <v>19.055297006943469</v>
          </cell>
          <cell r="BV288">
            <v>29.635401891862816</v>
          </cell>
          <cell r="BW288">
            <v>23.901518972811779</v>
          </cell>
          <cell r="BX288">
            <v>15.713059154269443</v>
          </cell>
          <cell r="BY288">
            <v>32.089978791354113</v>
          </cell>
        </row>
        <row r="289">
          <cell r="A289">
            <v>39931</v>
          </cell>
          <cell r="BF289">
            <v>35.803932127660595</v>
          </cell>
          <cell r="BG289">
            <v>45.468715051806292</v>
          </cell>
          <cell r="BH289">
            <v>42.408178994289898</v>
          </cell>
          <cell r="BI289">
            <v>30.406703917126244</v>
          </cell>
          <cell r="BJ289">
            <v>54.409654071453552</v>
          </cell>
          <cell r="BU289">
            <v>19.238581184889728</v>
          </cell>
          <cell r="BV289">
            <v>29.635401891862816</v>
          </cell>
          <cell r="BW289">
            <v>23.901518972811779</v>
          </cell>
          <cell r="BX289">
            <v>15.713059154269443</v>
          </cell>
          <cell r="BY289">
            <v>32.089978791354113</v>
          </cell>
        </row>
        <row r="290">
          <cell r="A290">
            <v>39932</v>
          </cell>
          <cell r="BF290">
            <v>37.905930822423443</v>
          </cell>
          <cell r="BG290">
            <v>45.468715051806292</v>
          </cell>
          <cell r="BH290">
            <v>42.408178994289898</v>
          </cell>
          <cell r="BI290">
            <v>30.406703917126244</v>
          </cell>
          <cell r="BJ290">
            <v>54.409654071453552</v>
          </cell>
          <cell r="BU290">
            <v>20.480295925578496</v>
          </cell>
          <cell r="BV290">
            <v>29.635401891862816</v>
          </cell>
          <cell r="BW290">
            <v>23.901518972811779</v>
          </cell>
          <cell r="BX290">
            <v>15.713059154269443</v>
          </cell>
          <cell r="BY290">
            <v>32.089978791354113</v>
          </cell>
        </row>
        <row r="291">
          <cell r="A291">
            <v>39933</v>
          </cell>
          <cell r="BF291">
            <v>37.385432389909369</v>
          </cell>
          <cell r="BG291">
            <v>45.468715051806292</v>
          </cell>
          <cell r="BH291">
            <v>42.408178994289898</v>
          </cell>
          <cell r="BI291">
            <v>30.406703917126244</v>
          </cell>
          <cell r="BJ291">
            <v>54.409654071453552</v>
          </cell>
          <cell r="BU291">
            <v>20.172837389923053</v>
          </cell>
          <cell r="BV291">
            <v>29.635401891862816</v>
          </cell>
          <cell r="BW291">
            <v>23.901518972811779</v>
          </cell>
          <cell r="BX291">
            <v>15.713059154269443</v>
          </cell>
          <cell r="BY291">
            <v>32.089978791354113</v>
          </cell>
        </row>
        <row r="292">
          <cell r="A292">
            <v>39934</v>
          </cell>
          <cell r="BF292">
            <v>37.215864945640206</v>
          </cell>
          <cell r="BG292">
            <v>45.468715051806292</v>
          </cell>
          <cell r="BH292">
            <v>42.408178994289898</v>
          </cell>
          <cell r="BI292">
            <v>30.406703917126244</v>
          </cell>
          <cell r="BJ292">
            <v>54.409654071453552</v>
          </cell>
          <cell r="BU292">
            <v>20.175688193000781</v>
          </cell>
          <cell r="BV292">
            <v>29.635401891862816</v>
          </cell>
          <cell r="BW292">
            <v>23.901518972811779</v>
          </cell>
          <cell r="BX292">
            <v>15.713059154269443</v>
          </cell>
          <cell r="BY292">
            <v>32.089978791354113</v>
          </cell>
        </row>
        <row r="293">
          <cell r="A293">
            <v>39937</v>
          </cell>
          <cell r="BF293">
            <v>37.118370893567743</v>
          </cell>
          <cell r="BG293">
            <v>45.468715051806292</v>
          </cell>
          <cell r="BH293">
            <v>42.408178994289898</v>
          </cell>
          <cell r="BI293">
            <v>30.406703917126244</v>
          </cell>
          <cell r="BJ293">
            <v>54.409654071453552</v>
          </cell>
          <cell r="BU293">
            <v>20.117936121785903</v>
          </cell>
          <cell r="BV293">
            <v>29.635401891862816</v>
          </cell>
          <cell r="BW293">
            <v>23.901518972811779</v>
          </cell>
          <cell r="BX293">
            <v>15.713059154269443</v>
          </cell>
          <cell r="BY293">
            <v>32.089978791354113</v>
          </cell>
        </row>
        <row r="294">
          <cell r="A294">
            <v>39938</v>
          </cell>
          <cell r="BF294">
            <v>35.976633237606052</v>
          </cell>
          <cell r="BG294">
            <v>45.468715051806292</v>
          </cell>
          <cell r="BH294">
            <v>42.408178994289898</v>
          </cell>
          <cell r="BI294">
            <v>30.406703917126244</v>
          </cell>
          <cell r="BJ294">
            <v>54.409654071453552</v>
          </cell>
          <cell r="BU294">
            <v>19.441650112870661</v>
          </cell>
          <cell r="BV294">
            <v>29.635401891862816</v>
          </cell>
          <cell r="BW294">
            <v>23.901518972811779</v>
          </cell>
          <cell r="BX294">
            <v>15.713059154269443</v>
          </cell>
          <cell r="BY294">
            <v>32.089978791354113</v>
          </cell>
        </row>
        <row r="295">
          <cell r="A295">
            <v>39939</v>
          </cell>
          <cell r="BF295">
            <v>35.166742248182572</v>
          </cell>
          <cell r="BG295">
            <v>45.468715051806292</v>
          </cell>
          <cell r="BH295">
            <v>42.408178994289898</v>
          </cell>
          <cell r="BI295">
            <v>30.406703917126244</v>
          </cell>
          <cell r="BJ295">
            <v>54.409654071453552</v>
          </cell>
          <cell r="BU295">
            <v>18.961908125052432</v>
          </cell>
          <cell r="BV295">
            <v>29.635401891862816</v>
          </cell>
          <cell r="BW295">
            <v>23.901518972811779</v>
          </cell>
          <cell r="BX295">
            <v>15.713059154269443</v>
          </cell>
          <cell r="BY295">
            <v>32.089978791354113</v>
          </cell>
        </row>
        <row r="296">
          <cell r="A296">
            <v>39940</v>
          </cell>
          <cell r="BF296">
            <v>35.547291543225441</v>
          </cell>
          <cell r="BG296">
            <v>45.468715051806292</v>
          </cell>
          <cell r="BH296">
            <v>42.408178994289898</v>
          </cell>
          <cell r="BI296">
            <v>30.406703917126244</v>
          </cell>
          <cell r="BJ296">
            <v>54.409654071453552</v>
          </cell>
          <cell r="BU296">
            <v>19.18733522870285</v>
          </cell>
          <cell r="BV296">
            <v>29.635401891862816</v>
          </cell>
          <cell r="BW296">
            <v>23.901518972811779</v>
          </cell>
          <cell r="BX296">
            <v>15.713059154269443</v>
          </cell>
          <cell r="BY296">
            <v>32.089978791354113</v>
          </cell>
        </row>
        <row r="297">
          <cell r="A297">
            <v>39941</v>
          </cell>
          <cell r="BF297">
            <v>35.410684729472827</v>
          </cell>
          <cell r="BG297">
            <v>45.468715051806292</v>
          </cell>
          <cell r="BH297">
            <v>42.408178994289898</v>
          </cell>
          <cell r="BI297">
            <v>30.406703917126244</v>
          </cell>
          <cell r="BJ297">
            <v>54.409654071453552</v>
          </cell>
          <cell r="BU297">
            <v>19.106408101171127</v>
          </cell>
          <cell r="BV297">
            <v>29.635401891862816</v>
          </cell>
          <cell r="BW297">
            <v>23.901518972811779</v>
          </cell>
          <cell r="BX297">
            <v>15.713059154269443</v>
          </cell>
          <cell r="BY297">
            <v>32.089978791354113</v>
          </cell>
        </row>
        <row r="298">
          <cell r="A298">
            <v>39944</v>
          </cell>
          <cell r="BF298">
            <v>36.191303596911389</v>
          </cell>
          <cell r="BG298">
            <v>45.468715051806292</v>
          </cell>
          <cell r="BH298">
            <v>42.408178994289898</v>
          </cell>
          <cell r="BI298">
            <v>30.406703917126244</v>
          </cell>
          <cell r="BJ298">
            <v>54.409654071453552</v>
          </cell>
          <cell r="BU298">
            <v>19.568809903936558</v>
          </cell>
          <cell r="BV298">
            <v>29.635401891862816</v>
          </cell>
          <cell r="BW298">
            <v>23.901518972811779</v>
          </cell>
          <cell r="BX298">
            <v>15.713059154269443</v>
          </cell>
          <cell r="BY298">
            <v>32.089978791354113</v>
          </cell>
        </row>
        <row r="299">
          <cell r="A299">
            <v>39945</v>
          </cell>
          <cell r="BF299">
            <v>35.635107909180149</v>
          </cell>
          <cell r="BG299">
            <v>45.468715051806292</v>
          </cell>
          <cell r="BH299">
            <v>42.408178994289898</v>
          </cell>
          <cell r="BI299">
            <v>30.406703917126244</v>
          </cell>
          <cell r="BJ299">
            <v>54.409654071453552</v>
          </cell>
          <cell r="BU299">
            <v>19.239346387933299</v>
          </cell>
          <cell r="BV299">
            <v>29.635401891862816</v>
          </cell>
          <cell r="BW299">
            <v>23.901518972811779</v>
          </cell>
          <cell r="BX299">
            <v>15.713059154269443</v>
          </cell>
          <cell r="BY299">
            <v>32.089978791354113</v>
          </cell>
        </row>
        <row r="300">
          <cell r="A300">
            <v>39946</v>
          </cell>
          <cell r="BF300">
            <v>34.415395502728913</v>
          </cell>
          <cell r="BG300">
            <v>45.468715051806292</v>
          </cell>
          <cell r="BH300">
            <v>42.408178994289898</v>
          </cell>
          <cell r="BI300">
            <v>30.406703917126244</v>
          </cell>
          <cell r="BJ300">
            <v>54.409654071453552</v>
          </cell>
          <cell r="BU300">
            <v>18.516869997159706</v>
          </cell>
          <cell r="BV300">
            <v>29.635401891862816</v>
          </cell>
          <cell r="BW300">
            <v>23.901518972811779</v>
          </cell>
          <cell r="BX300">
            <v>15.713059154269443</v>
          </cell>
          <cell r="BY300">
            <v>32.089978791354113</v>
          </cell>
        </row>
        <row r="301">
          <cell r="A301">
            <v>39947</v>
          </cell>
          <cell r="BF301">
            <v>34.591040919647369</v>
          </cell>
          <cell r="BG301">
            <v>45.468715051806292</v>
          </cell>
          <cell r="BH301">
            <v>42.408178994289898</v>
          </cell>
          <cell r="BI301">
            <v>30.406703917126244</v>
          </cell>
          <cell r="BJ301">
            <v>54.409654071453552</v>
          </cell>
          <cell r="BU301">
            <v>18.620901711548566</v>
          </cell>
          <cell r="BV301">
            <v>29.635401891862816</v>
          </cell>
          <cell r="BW301">
            <v>23.901518972811779</v>
          </cell>
          <cell r="BX301">
            <v>15.713059154269443</v>
          </cell>
          <cell r="BY301">
            <v>32.089978791354113</v>
          </cell>
        </row>
        <row r="302">
          <cell r="A302">
            <v>39948</v>
          </cell>
          <cell r="BF302">
            <v>34.68242967742016</v>
          </cell>
          <cell r="BG302">
            <v>45.468715051806292</v>
          </cell>
          <cell r="BH302">
            <v>42.408178994289898</v>
          </cell>
          <cell r="BI302">
            <v>30.406703917126244</v>
          </cell>
          <cell r="BJ302">
            <v>54.409654071453552</v>
          </cell>
          <cell r="BU302">
            <v>18.730716619597676</v>
          </cell>
          <cell r="BV302">
            <v>29.635401891862816</v>
          </cell>
          <cell r="BW302">
            <v>23.901518972811779</v>
          </cell>
          <cell r="BX302">
            <v>15.713059154269443</v>
          </cell>
          <cell r="BY302">
            <v>32.089978791354113</v>
          </cell>
        </row>
        <row r="303">
          <cell r="A303">
            <v>39951</v>
          </cell>
          <cell r="BF303">
            <v>35.762606359292676</v>
          </cell>
          <cell r="BG303">
            <v>45.468715051806292</v>
          </cell>
          <cell r="BH303">
            <v>42.408178994289898</v>
          </cell>
          <cell r="BI303">
            <v>30.406703917126244</v>
          </cell>
          <cell r="BJ303">
            <v>54.409654071453552</v>
          </cell>
          <cell r="BU303">
            <v>19.37230346655139</v>
          </cell>
          <cell r="BV303">
            <v>29.635401891862816</v>
          </cell>
          <cell r="BW303">
            <v>23.901518972811779</v>
          </cell>
          <cell r="BX303">
            <v>15.713059154269443</v>
          </cell>
          <cell r="BY303">
            <v>32.089978791354113</v>
          </cell>
        </row>
        <row r="304">
          <cell r="A304">
            <v>39952</v>
          </cell>
          <cell r="BF304">
            <v>36.229705896763015</v>
          </cell>
          <cell r="BG304">
            <v>45.468715051806292</v>
          </cell>
          <cell r="BH304">
            <v>42.408178994289898</v>
          </cell>
          <cell r="BI304">
            <v>30.406703917126244</v>
          </cell>
          <cell r="BJ304">
            <v>54.409654071453552</v>
          </cell>
          <cell r="BU304">
            <v>19.649718239612355</v>
          </cell>
          <cell r="BV304">
            <v>29.635401891862816</v>
          </cell>
          <cell r="BW304">
            <v>23.901518972811779</v>
          </cell>
          <cell r="BX304">
            <v>15.713059154269443</v>
          </cell>
          <cell r="BY304">
            <v>32.089978791354113</v>
          </cell>
        </row>
        <row r="305">
          <cell r="A305">
            <v>39953</v>
          </cell>
          <cell r="BF305">
            <v>35.567968252540709</v>
          </cell>
          <cell r="BG305">
            <v>45.468715051806292</v>
          </cell>
          <cell r="BH305">
            <v>42.408178994289898</v>
          </cell>
          <cell r="BI305">
            <v>30.406703917126244</v>
          </cell>
          <cell r="BJ305">
            <v>54.409654071453552</v>
          </cell>
          <cell r="BU305">
            <v>19.256686572986101</v>
          </cell>
          <cell r="BV305">
            <v>29.635401891862816</v>
          </cell>
          <cell r="BW305">
            <v>23.901518972811779</v>
          </cell>
          <cell r="BX305">
            <v>15.713059154269443</v>
          </cell>
          <cell r="BY305">
            <v>32.089978791354113</v>
          </cell>
        </row>
        <row r="306">
          <cell r="A306">
            <v>39954</v>
          </cell>
          <cell r="BF306">
            <v>34.68242967742016</v>
          </cell>
          <cell r="BG306">
            <v>45.468715051806292</v>
          </cell>
          <cell r="BH306">
            <v>42.408178994289898</v>
          </cell>
          <cell r="BI306">
            <v>30.406703917126244</v>
          </cell>
          <cell r="BJ306">
            <v>54.409654071453552</v>
          </cell>
          <cell r="BU306">
            <v>18.730716619597676</v>
          </cell>
          <cell r="BV306">
            <v>29.635401891862816</v>
          </cell>
          <cell r="BW306">
            <v>23.901518972811779</v>
          </cell>
          <cell r="BX306">
            <v>15.713059154269443</v>
          </cell>
          <cell r="BY306">
            <v>32.089978791354113</v>
          </cell>
        </row>
        <row r="307">
          <cell r="A307">
            <v>39955</v>
          </cell>
          <cell r="BF307">
            <v>34.672688624640394</v>
          </cell>
          <cell r="BG307">
            <v>45.468715051806292</v>
          </cell>
          <cell r="BH307">
            <v>42.408178994289898</v>
          </cell>
          <cell r="BI307">
            <v>30.406703917126244</v>
          </cell>
          <cell r="BJ307">
            <v>54.409654071453552</v>
          </cell>
          <cell r="BU307">
            <v>18.724938123901406</v>
          </cell>
          <cell r="BV307">
            <v>29.635401891862816</v>
          </cell>
          <cell r="BW307">
            <v>23.901518972811779</v>
          </cell>
          <cell r="BX307">
            <v>15.713059154269443</v>
          </cell>
          <cell r="BY307">
            <v>32.089978791354113</v>
          </cell>
        </row>
        <row r="308">
          <cell r="A308">
            <v>39958</v>
          </cell>
          <cell r="BF308">
            <v>34.672688624640394</v>
          </cell>
          <cell r="BG308">
            <v>45.468715051806292</v>
          </cell>
          <cell r="BH308">
            <v>42.408178994289898</v>
          </cell>
          <cell r="BI308">
            <v>30.406703917126244</v>
          </cell>
          <cell r="BJ308">
            <v>54.409654071453552</v>
          </cell>
          <cell r="BU308">
            <v>18.724938123901406</v>
          </cell>
          <cell r="BV308">
            <v>29.635401891862816</v>
          </cell>
          <cell r="BW308">
            <v>23.901518972811779</v>
          </cell>
          <cell r="BX308">
            <v>15.713059154269443</v>
          </cell>
          <cell r="BY308">
            <v>32.089978791354113</v>
          </cell>
        </row>
        <row r="309">
          <cell r="A309">
            <v>39959</v>
          </cell>
          <cell r="BF309">
            <v>34.945164652340956</v>
          </cell>
          <cell r="BG309">
            <v>45.468715051806292</v>
          </cell>
          <cell r="BH309">
            <v>42.408178994289898</v>
          </cell>
          <cell r="BI309">
            <v>30.406703917126244</v>
          </cell>
          <cell r="BJ309">
            <v>54.409654071453552</v>
          </cell>
          <cell r="BU309">
            <v>18.886778285072904</v>
          </cell>
          <cell r="BV309">
            <v>29.635401891862816</v>
          </cell>
          <cell r="BW309">
            <v>23.901518972811779</v>
          </cell>
          <cell r="BX309">
            <v>15.713059154269443</v>
          </cell>
          <cell r="BY309">
            <v>32.089978791354113</v>
          </cell>
        </row>
        <row r="310">
          <cell r="A310">
            <v>39960</v>
          </cell>
          <cell r="BF310">
            <v>34.692155160085598</v>
          </cell>
          <cell r="BG310">
            <v>45.468715051806292</v>
          </cell>
          <cell r="BH310">
            <v>42.408178994289898</v>
          </cell>
          <cell r="BI310">
            <v>30.406703917126244</v>
          </cell>
          <cell r="BJ310">
            <v>54.409654071453552</v>
          </cell>
          <cell r="BU310">
            <v>18.736499813257932</v>
          </cell>
          <cell r="BV310">
            <v>29.635401891862816</v>
          </cell>
          <cell r="BW310">
            <v>23.901518972811779</v>
          </cell>
          <cell r="BX310">
            <v>15.713059154269443</v>
          </cell>
          <cell r="BY310">
            <v>32.089978791354113</v>
          </cell>
        </row>
        <row r="311">
          <cell r="A311">
            <v>39961</v>
          </cell>
          <cell r="BF311">
            <v>34.867312134410177</v>
          </cell>
          <cell r="BG311">
            <v>45.468715051806292</v>
          </cell>
          <cell r="BH311">
            <v>42.408178994289898</v>
          </cell>
          <cell r="BI311">
            <v>30.406703917126244</v>
          </cell>
          <cell r="BJ311">
            <v>54.409654071453552</v>
          </cell>
          <cell r="BU311">
            <v>18.840531527646789</v>
          </cell>
          <cell r="BV311">
            <v>29.635401891862816</v>
          </cell>
          <cell r="BW311">
            <v>23.901518972811779</v>
          </cell>
          <cell r="BX311">
            <v>15.713059154269443</v>
          </cell>
          <cell r="BY311">
            <v>32.089978791354113</v>
          </cell>
        </row>
        <row r="312">
          <cell r="A312">
            <v>39962</v>
          </cell>
          <cell r="BF312">
            <v>35.723673288402267</v>
          </cell>
          <cell r="BG312">
            <v>45.468715051806292</v>
          </cell>
          <cell r="BH312">
            <v>42.408178994289898</v>
          </cell>
          <cell r="BI312">
            <v>30.406703917126244</v>
          </cell>
          <cell r="BJ312">
            <v>54.409654071453552</v>
          </cell>
          <cell r="BU312">
            <v>19.349161295982412</v>
          </cell>
          <cell r="BV312">
            <v>29.635401891862816</v>
          </cell>
          <cell r="BW312">
            <v>23.901518972811779</v>
          </cell>
          <cell r="BX312">
            <v>15.713059154269443</v>
          </cell>
          <cell r="BY312">
            <v>32.089978791354113</v>
          </cell>
        </row>
        <row r="313">
          <cell r="A313">
            <v>39965</v>
          </cell>
          <cell r="BF313">
            <v>35.952382307898134</v>
          </cell>
          <cell r="BG313">
            <v>45.468715051806292</v>
          </cell>
          <cell r="BH313">
            <v>42.408178994289898</v>
          </cell>
          <cell r="BI313">
            <v>30.406703917126244</v>
          </cell>
          <cell r="BJ313">
            <v>54.409654071453552</v>
          </cell>
          <cell r="BU313">
            <v>19.590555305404187</v>
          </cell>
          <cell r="BV313">
            <v>29.635401891862816</v>
          </cell>
          <cell r="BW313">
            <v>23.901518972811779</v>
          </cell>
          <cell r="BX313">
            <v>15.713059154269443</v>
          </cell>
          <cell r="BY313">
            <v>32.089978791354113</v>
          </cell>
        </row>
        <row r="314">
          <cell r="A314">
            <v>39966</v>
          </cell>
          <cell r="BF314">
            <v>36.10418884631661</v>
          </cell>
          <cell r="BG314">
            <v>45.468715051806292</v>
          </cell>
          <cell r="BH314">
            <v>42.408178994289898</v>
          </cell>
          <cell r="BI314">
            <v>30.406703917126244</v>
          </cell>
          <cell r="BJ314">
            <v>54.409654071453552</v>
          </cell>
          <cell r="BU314">
            <v>18.814078871371191</v>
          </cell>
          <cell r="BV314">
            <v>29.635401891862816</v>
          </cell>
          <cell r="BW314">
            <v>23.901518972811779</v>
          </cell>
          <cell r="BX314">
            <v>15.713059154269443</v>
          </cell>
          <cell r="BY314">
            <v>32.089978791354113</v>
          </cell>
        </row>
        <row r="315">
          <cell r="A315">
            <v>39967</v>
          </cell>
          <cell r="BF315">
            <v>36.768403653498353</v>
          </cell>
          <cell r="BG315">
            <v>45.468715051806292</v>
          </cell>
          <cell r="BH315">
            <v>42.408178994289898</v>
          </cell>
          <cell r="BI315">
            <v>30.406703917126244</v>
          </cell>
          <cell r="BJ315">
            <v>54.409654071453552</v>
          </cell>
          <cell r="BU315">
            <v>19.192360145734369</v>
          </cell>
          <cell r="BV315">
            <v>29.635401891862816</v>
          </cell>
          <cell r="BW315">
            <v>23.901518972811779</v>
          </cell>
          <cell r="BX315">
            <v>15.713059154269443</v>
          </cell>
          <cell r="BY315">
            <v>32.089978791354113</v>
          </cell>
        </row>
        <row r="316">
          <cell r="A316">
            <v>39968</v>
          </cell>
          <cell r="BF316">
            <v>36.853798389591354</v>
          </cell>
          <cell r="BG316">
            <v>45.468715051806292</v>
          </cell>
          <cell r="BH316">
            <v>42.408178994289898</v>
          </cell>
          <cell r="BI316">
            <v>30.406703917126244</v>
          </cell>
          <cell r="BJ316">
            <v>54.409654071453552</v>
          </cell>
          <cell r="BU316">
            <v>19.240982191681542</v>
          </cell>
          <cell r="BV316">
            <v>29.635401891862816</v>
          </cell>
          <cell r="BW316">
            <v>23.901518972811779</v>
          </cell>
          <cell r="BX316">
            <v>15.713059154269443</v>
          </cell>
          <cell r="BY316">
            <v>32.089978791354113</v>
          </cell>
        </row>
        <row r="317">
          <cell r="A317">
            <v>39969</v>
          </cell>
          <cell r="BF317">
            <v>36.739924508536909</v>
          </cell>
          <cell r="BG317">
            <v>45.468715051806292</v>
          </cell>
          <cell r="BH317">
            <v>42.408178994289898</v>
          </cell>
          <cell r="BI317">
            <v>30.406703917126244</v>
          </cell>
          <cell r="BJ317">
            <v>54.409654071453552</v>
          </cell>
          <cell r="BU317">
            <v>19.176148404849908</v>
          </cell>
          <cell r="BV317">
            <v>29.635401891862816</v>
          </cell>
          <cell r="BW317">
            <v>23.901518972811779</v>
          </cell>
          <cell r="BX317">
            <v>15.713059154269443</v>
          </cell>
          <cell r="BY317">
            <v>32.089978791354113</v>
          </cell>
        </row>
        <row r="318">
          <cell r="A318">
            <v>39972</v>
          </cell>
          <cell r="BF318">
            <v>35.990330147054635</v>
          </cell>
          <cell r="BG318">
            <v>45.468715051806292</v>
          </cell>
          <cell r="BH318">
            <v>42.408178994289898</v>
          </cell>
          <cell r="BI318">
            <v>30.406703917126244</v>
          </cell>
          <cell r="BJ318">
            <v>54.409654071453552</v>
          </cell>
          <cell r="BU318">
            <v>18.749240692304145</v>
          </cell>
          <cell r="BV318">
            <v>29.635401891862816</v>
          </cell>
          <cell r="BW318">
            <v>23.901518972811779</v>
          </cell>
          <cell r="BX318">
            <v>15.713059154269443</v>
          </cell>
          <cell r="BY318">
            <v>32.089978791354113</v>
          </cell>
        </row>
        <row r="319">
          <cell r="A319">
            <v>39973</v>
          </cell>
          <cell r="BF319">
            <v>36.360386338664036</v>
          </cell>
          <cell r="BG319">
            <v>45.468715051806292</v>
          </cell>
          <cell r="BH319">
            <v>42.408178994289898</v>
          </cell>
          <cell r="BI319">
            <v>30.406703917126244</v>
          </cell>
          <cell r="BJ319">
            <v>54.409654071453552</v>
          </cell>
          <cell r="BU319">
            <v>18.959984539331369</v>
          </cell>
          <cell r="BV319">
            <v>29.635401891862816</v>
          </cell>
          <cell r="BW319">
            <v>23.901518972811779</v>
          </cell>
          <cell r="BX319">
            <v>15.713059154269443</v>
          </cell>
          <cell r="BY319">
            <v>32.089978791354113</v>
          </cell>
        </row>
        <row r="320">
          <cell r="A320">
            <v>39974</v>
          </cell>
          <cell r="BF320">
            <v>35.914419286949162</v>
          </cell>
          <cell r="BG320">
            <v>45.468715051806292</v>
          </cell>
          <cell r="BH320">
            <v>42.408178994289898</v>
          </cell>
          <cell r="BI320">
            <v>30.406703917126244</v>
          </cell>
          <cell r="BJ320">
            <v>54.409654071453552</v>
          </cell>
          <cell r="BU320">
            <v>18.706007919200438</v>
          </cell>
          <cell r="BV320">
            <v>29.635401891862816</v>
          </cell>
          <cell r="BW320">
            <v>23.901518972811779</v>
          </cell>
          <cell r="BX320">
            <v>15.713059154269443</v>
          </cell>
          <cell r="BY320">
            <v>32.089978791354113</v>
          </cell>
        </row>
        <row r="321">
          <cell r="A321">
            <v>39975</v>
          </cell>
          <cell r="BF321">
            <v>37.50851508785513</v>
          </cell>
          <cell r="BG321">
            <v>45.468715051806292</v>
          </cell>
          <cell r="BH321">
            <v>42.408178994289898</v>
          </cell>
          <cell r="BI321">
            <v>30.406703917126244</v>
          </cell>
          <cell r="BJ321">
            <v>54.409654071453552</v>
          </cell>
          <cell r="BU321">
            <v>19.61386101649504</v>
          </cell>
          <cell r="BV321">
            <v>29.635401891862816</v>
          </cell>
          <cell r="BW321">
            <v>23.901518972811779</v>
          </cell>
          <cell r="BX321">
            <v>15.713059154269443</v>
          </cell>
          <cell r="BY321">
            <v>32.089978791354113</v>
          </cell>
        </row>
        <row r="322">
          <cell r="A322">
            <v>39976</v>
          </cell>
          <cell r="BF322">
            <v>36.132653758347615</v>
          </cell>
          <cell r="BG322">
            <v>45.468715051806292</v>
          </cell>
          <cell r="BH322">
            <v>42.408178994289898</v>
          </cell>
          <cell r="BI322">
            <v>30.406703917126244</v>
          </cell>
          <cell r="BJ322">
            <v>54.409654071453552</v>
          </cell>
          <cell r="BU322">
            <v>18.83029500449106</v>
          </cell>
          <cell r="BV322">
            <v>29.635401891862816</v>
          </cell>
          <cell r="BW322">
            <v>23.901518972811779</v>
          </cell>
          <cell r="BX322">
            <v>15.713059154269443</v>
          </cell>
          <cell r="BY322">
            <v>32.089978791354113</v>
          </cell>
        </row>
        <row r="323">
          <cell r="A323">
            <v>39979</v>
          </cell>
          <cell r="BF323">
            <v>35.278683624728863</v>
          </cell>
          <cell r="BG323">
            <v>45.468715051806292</v>
          </cell>
          <cell r="BH323">
            <v>42.408178994289898</v>
          </cell>
          <cell r="BI323">
            <v>30.406703917126244</v>
          </cell>
          <cell r="BJ323">
            <v>54.409654071453552</v>
          </cell>
          <cell r="BU323">
            <v>18.343973523604973</v>
          </cell>
          <cell r="BV323">
            <v>29.635401891862816</v>
          </cell>
          <cell r="BW323">
            <v>23.901518972811779</v>
          </cell>
          <cell r="BX323">
            <v>15.713059154269443</v>
          </cell>
          <cell r="BY323">
            <v>32.089978791354113</v>
          </cell>
        </row>
        <row r="324">
          <cell r="A324">
            <v>39980</v>
          </cell>
          <cell r="BF324">
            <v>34.510108227203112</v>
          </cell>
          <cell r="BG324">
            <v>45.468715051806292</v>
          </cell>
          <cell r="BH324">
            <v>42.408178994289898</v>
          </cell>
          <cell r="BI324">
            <v>30.406703917126244</v>
          </cell>
          <cell r="BJ324">
            <v>54.409654071453552</v>
          </cell>
          <cell r="BU324">
            <v>17.906260911959837</v>
          </cell>
          <cell r="BV324">
            <v>29.635401891862816</v>
          </cell>
          <cell r="BW324">
            <v>23.901518972811779</v>
          </cell>
          <cell r="BX324">
            <v>15.713059154269443</v>
          </cell>
          <cell r="BY324">
            <v>32.089978791354113</v>
          </cell>
        </row>
        <row r="325">
          <cell r="A325">
            <v>39981</v>
          </cell>
          <cell r="BF325">
            <v>34.367769434117655</v>
          </cell>
          <cell r="BG325">
            <v>45.468715051806292</v>
          </cell>
          <cell r="BH325">
            <v>42.408178994289898</v>
          </cell>
          <cell r="BI325">
            <v>30.406703917126244</v>
          </cell>
          <cell r="BJ325">
            <v>54.409654071453552</v>
          </cell>
          <cell r="BU325">
            <v>17.8251934230667</v>
          </cell>
          <cell r="BV325">
            <v>29.635401891862816</v>
          </cell>
          <cell r="BW325">
            <v>23.901518972811779</v>
          </cell>
          <cell r="BX325">
            <v>15.713059154269443</v>
          </cell>
          <cell r="BY325">
            <v>32.089978791354113</v>
          </cell>
        </row>
        <row r="326">
          <cell r="A326">
            <v>39982</v>
          </cell>
          <cell r="BF326">
            <v>34.491126242297611</v>
          </cell>
          <cell r="BG326">
            <v>45.468715051806292</v>
          </cell>
          <cell r="BH326">
            <v>42.408178994289898</v>
          </cell>
          <cell r="BI326">
            <v>30.406703917126244</v>
          </cell>
          <cell r="BJ326">
            <v>54.409654071453552</v>
          </cell>
          <cell r="BU326">
            <v>17.895451620625057</v>
          </cell>
          <cell r="BV326">
            <v>29.635401891862816</v>
          </cell>
          <cell r="BW326">
            <v>23.901518972811779</v>
          </cell>
          <cell r="BX326">
            <v>15.713059154269443</v>
          </cell>
          <cell r="BY326">
            <v>32.089978791354113</v>
          </cell>
        </row>
        <row r="327">
          <cell r="A327">
            <v>39983</v>
          </cell>
          <cell r="BF327">
            <v>34.98453924208696</v>
          </cell>
          <cell r="BG327">
            <v>45.468715051806292</v>
          </cell>
          <cell r="BH327">
            <v>42.408178994289898</v>
          </cell>
          <cell r="BI327">
            <v>30.406703917126244</v>
          </cell>
          <cell r="BJ327">
            <v>54.409654071453552</v>
          </cell>
          <cell r="BU327">
            <v>18.176449272975237</v>
          </cell>
          <cell r="BV327">
            <v>29.635401891862816</v>
          </cell>
          <cell r="BW327">
            <v>23.901518972811779</v>
          </cell>
          <cell r="BX327">
            <v>15.713059154269443</v>
          </cell>
          <cell r="BY327">
            <v>32.089978791354113</v>
          </cell>
        </row>
        <row r="328">
          <cell r="A328">
            <v>39986</v>
          </cell>
          <cell r="BF328">
            <v>34.093900103809453</v>
          </cell>
          <cell r="BG328">
            <v>45.468715051806292</v>
          </cell>
          <cell r="BH328">
            <v>42.408178994289898</v>
          </cell>
          <cell r="BI328">
            <v>30.406703917126244</v>
          </cell>
          <cell r="BJ328">
            <v>54.409654071453552</v>
          </cell>
          <cell r="BU328">
            <v>17.557699106546611</v>
          </cell>
          <cell r="BV328">
            <v>29.635401891862816</v>
          </cell>
          <cell r="BW328">
            <v>23.901518972811779</v>
          </cell>
          <cell r="BX328">
            <v>15.713059154269443</v>
          </cell>
          <cell r="BY328">
            <v>32.089978791354113</v>
          </cell>
        </row>
        <row r="329">
          <cell r="A329">
            <v>39987</v>
          </cell>
          <cell r="BF329">
            <v>34.09677964251992</v>
          </cell>
          <cell r="BG329">
            <v>45.468715051806292</v>
          </cell>
          <cell r="BH329">
            <v>42.408178994289898</v>
          </cell>
          <cell r="BI329">
            <v>30.406703917126244</v>
          </cell>
          <cell r="BJ329">
            <v>54.409654071453552</v>
          </cell>
          <cell r="BU329">
            <v>17.557699106546611</v>
          </cell>
          <cell r="BV329">
            <v>29.635401891862816</v>
          </cell>
          <cell r="BW329">
            <v>23.901518972811779</v>
          </cell>
          <cell r="BX329">
            <v>15.713059154269443</v>
          </cell>
          <cell r="BY329">
            <v>32.089978791354113</v>
          </cell>
        </row>
        <row r="330">
          <cell r="A330">
            <v>39988</v>
          </cell>
          <cell r="BF330">
            <v>34.761061527000798</v>
          </cell>
          <cell r="BG330">
            <v>45.468715051806292</v>
          </cell>
          <cell r="BH330">
            <v>42.408178994289898</v>
          </cell>
          <cell r="BI330">
            <v>30.406703917126244</v>
          </cell>
          <cell r="BJ330">
            <v>54.409654071453552</v>
          </cell>
          <cell r="BU330">
            <v>17.933591141411807</v>
          </cell>
          <cell r="BV330">
            <v>29.635401891862816</v>
          </cell>
          <cell r="BW330">
            <v>23.901518972811779</v>
          </cell>
          <cell r="BX330">
            <v>15.713059154269443</v>
          </cell>
          <cell r="BY330">
            <v>32.089978791354113</v>
          </cell>
        </row>
        <row r="331">
          <cell r="A331">
            <v>39989</v>
          </cell>
          <cell r="BF331">
            <v>35.861880020687721</v>
          </cell>
          <cell r="BG331">
            <v>45.468715051806292</v>
          </cell>
          <cell r="BH331">
            <v>42.408178994289898</v>
          </cell>
          <cell r="BI331">
            <v>30.406703917126244</v>
          </cell>
          <cell r="BJ331">
            <v>54.409654071453552</v>
          </cell>
          <cell r="BU331">
            <v>18.556498814984874</v>
          </cell>
          <cell r="BV331">
            <v>29.635401891862816</v>
          </cell>
          <cell r="BW331">
            <v>23.901518972811779</v>
          </cell>
          <cell r="BX331">
            <v>15.713059154269443</v>
          </cell>
          <cell r="BY331">
            <v>32.089978791354113</v>
          </cell>
        </row>
        <row r="332">
          <cell r="A332">
            <v>39990</v>
          </cell>
          <cell r="BF332">
            <v>36.212997205259235</v>
          </cell>
          <cell r="BG332">
            <v>45.468715051806292</v>
          </cell>
          <cell r="BH332">
            <v>42.408178994289898</v>
          </cell>
          <cell r="BI332">
            <v>30.406703917126244</v>
          </cell>
          <cell r="BJ332">
            <v>54.409654071453552</v>
          </cell>
          <cell r="BU332">
            <v>18.75519289776571</v>
          </cell>
          <cell r="BV332">
            <v>29.635401891862816</v>
          </cell>
          <cell r="BW332">
            <v>23.901518972811779</v>
          </cell>
          <cell r="BX332">
            <v>15.713059154269443</v>
          </cell>
          <cell r="BY332">
            <v>32.089978791354113</v>
          </cell>
        </row>
        <row r="333">
          <cell r="A333">
            <v>39993</v>
          </cell>
          <cell r="BF333">
            <v>36.719075813095813</v>
          </cell>
          <cell r="BG333">
            <v>45.468715051806292</v>
          </cell>
          <cell r="BH333">
            <v>42.408178994289898</v>
          </cell>
          <cell r="BI333">
            <v>30.406703917126244</v>
          </cell>
          <cell r="BJ333">
            <v>54.409654071453552</v>
          </cell>
          <cell r="BU333">
            <v>18.812204564599693</v>
          </cell>
          <cell r="BV333">
            <v>29.635401891862816</v>
          </cell>
          <cell r="BW333">
            <v>23.901518972811779</v>
          </cell>
          <cell r="BX333">
            <v>15.713059154269443</v>
          </cell>
          <cell r="BY333">
            <v>32.089978791354113</v>
          </cell>
        </row>
        <row r="334">
          <cell r="A334">
            <v>39994</v>
          </cell>
          <cell r="BF334">
            <v>36.91816470967467</v>
          </cell>
          <cell r="BG334">
            <v>45.468715051806292</v>
          </cell>
          <cell r="BH334">
            <v>42.408178994289898</v>
          </cell>
          <cell r="BI334">
            <v>30.406703917126244</v>
          </cell>
          <cell r="BJ334">
            <v>54.409654071453552</v>
          </cell>
          <cell r="BU334">
            <v>18.924970865650273</v>
          </cell>
          <cell r="BV334">
            <v>29.635401891862816</v>
          </cell>
          <cell r="BW334">
            <v>23.901518972811779</v>
          </cell>
          <cell r="BX334">
            <v>15.713059154269443</v>
          </cell>
          <cell r="BY334">
            <v>32.089978791354113</v>
          </cell>
        </row>
        <row r="335">
          <cell r="A335">
            <v>39995</v>
          </cell>
          <cell r="BF335">
            <v>35.299806949363543</v>
          </cell>
          <cell r="BG335">
            <v>45.468715051806292</v>
          </cell>
          <cell r="BH335">
            <v>42.408178994289898</v>
          </cell>
          <cell r="BI335">
            <v>30.406703917126244</v>
          </cell>
          <cell r="BJ335">
            <v>54.409654071453552</v>
          </cell>
          <cell r="BU335">
            <v>18.155471071879649</v>
          </cell>
          <cell r="BV335">
            <v>29.635401891862816</v>
          </cell>
          <cell r="BW335">
            <v>23.901518972811779</v>
          </cell>
          <cell r="BX335">
            <v>15.713059154269443</v>
          </cell>
          <cell r="BY335">
            <v>32.089978791354113</v>
          </cell>
        </row>
        <row r="336">
          <cell r="A336">
            <v>39996</v>
          </cell>
          <cell r="BF336">
            <v>32.787908190245105</v>
          </cell>
          <cell r="BG336">
            <v>45.468715051806292</v>
          </cell>
          <cell r="BH336">
            <v>42.408178994289898</v>
          </cell>
          <cell r="BI336">
            <v>30.406703917126244</v>
          </cell>
          <cell r="BJ336">
            <v>54.409654071453552</v>
          </cell>
          <cell r="BU336">
            <v>16.301528961907881</v>
          </cell>
          <cell r="BV336">
            <v>29.635401891862816</v>
          </cell>
          <cell r="BW336">
            <v>23.901518972811779</v>
          </cell>
          <cell r="BX336">
            <v>15.713059154269443</v>
          </cell>
          <cell r="BY336">
            <v>32.089978791354113</v>
          </cell>
        </row>
        <row r="337">
          <cell r="A337">
            <v>39997</v>
          </cell>
          <cell r="BF337">
            <v>32.787908190245105</v>
          </cell>
          <cell r="BG337">
            <v>45.468715051806292</v>
          </cell>
          <cell r="BH337">
            <v>42.408178994289898</v>
          </cell>
          <cell r="BI337">
            <v>30.406703917126244</v>
          </cell>
          <cell r="BJ337">
            <v>54.409654071453552</v>
          </cell>
          <cell r="BU337">
            <v>16.301528961907881</v>
          </cell>
          <cell r="BV337">
            <v>29.635401891862816</v>
          </cell>
          <cell r="BW337">
            <v>23.901518972811779</v>
          </cell>
          <cell r="BX337">
            <v>15.713059154269443</v>
          </cell>
          <cell r="BY337">
            <v>32.089978791354113</v>
          </cell>
        </row>
        <row r="338">
          <cell r="A338">
            <v>40000</v>
          </cell>
          <cell r="BF338">
            <v>32.299317577798391</v>
          </cell>
          <cell r="BG338">
            <v>45.468715051806292</v>
          </cell>
          <cell r="BH338">
            <v>42.408178994289898</v>
          </cell>
          <cell r="BI338">
            <v>30.406703917126244</v>
          </cell>
          <cell r="BJ338">
            <v>54.409654071453552</v>
          </cell>
          <cell r="BU338">
            <v>16.395826766451911</v>
          </cell>
          <cell r="BV338">
            <v>29.635401891862816</v>
          </cell>
          <cell r="BW338">
            <v>23.901518972811779</v>
          </cell>
          <cell r="BX338">
            <v>15.713059154269443</v>
          </cell>
          <cell r="BY338">
            <v>32.089978791354113</v>
          </cell>
        </row>
        <row r="339">
          <cell r="A339">
            <v>40001</v>
          </cell>
          <cell r="BF339">
            <v>31.004998927525868</v>
          </cell>
          <cell r="BG339">
            <v>45.468715051806292</v>
          </cell>
          <cell r="BH339">
            <v>42.408178994289898</v>
          </cell>
          <cell r="BI339">
            <v>30.406703917126244</v>
          </cell>
          <cell r="BJ339">
            <v>54.409654071453552</v>
          </cell>
          <cell r="BU339">
            <v>15.655737094794725</v>
          </cell>
          <cell r="BV339">
            <v>29.635401891862816</v>
          </cell>
          <cell r="BW339">
            <v>23.901518972811779</v>
          </cell>
          <cell r="BX339">
            <v>15.713059154269443</v>
          </cell>
          <cell r="BY339">
            <v>32.089978791354113</v>
          </cell>
        </row>
        <row r="340">
          <cell r="A340">
            <v>40002</v>
          </cell>
          <cell r="BF340">
            <v>30.495107829901816</v>
          </cell>
          <cell r="BG340">
            <v>45.468715051806292</v>
          </cell>
          <cell r="BH340">
            <v>42.408178994289898</v>
          </cell>
          <cell r="BI340">
            <v>30.406703917126244</v>
          </cell>
          <cell r="BJ340">
            <v>54.409654071453552</v>
          </cell>
          <cell r="BU340">
            <v>15.364177365465473</v>
          </cell>
          <cell r="BV340">
            <v>29.635401891862816</v>
          </cell>
          <cell r="BW340">
            <v>23.901518972811779</v>
          </cell>
          <cell r="BX340">
            <v>15.713059154269443</v>
          </cell>
          <cell r="BY340">
            <v>32.089978791354113</v>
          </cell>
        </row>
        <row r="341">
          <cell r="A341">
            <v>40003</v>
          </cell>
          <cell r="BF341">
            <v>31.867887179511051</v>
          </cell>
          <cell r="BG341">
            <v>45.468715051806292</v>
          </cell>
          <cell r="BH341">
            <v>42.408178994289898</v>
          </cell>
          <cell r="BI341">
            <v>30.406703917126244</v>
          </cell>
          <cell r="BJ341">
            <v>54.409654071453552</v>
          </cell>
          <cell r="BU341">
            <v>16.149137804663745</v>
          </cell>
          <cell r="BV341">
            <v>29.635401891862816</v>
          </cell>
          <cell r="BW341">
            <v>23.901518972811779</v>
          </cell>
          <cell r="BX341">
            <v>15.713059154269443</v>
          </cell>
          <cell r="BY341">
            <v>32.089978791354113</v>
          </cell>
        </row>
        <row r="342">
          <cell r="A342">
            <v>40004</v>
          </cell>
          <cell r="BF342">
            <v>31.524688665044835</v>
          </cell>
          <cell r="BG342">
            <v>45.468715051806292</v>
          </cell>
          <cell r="BH342">
            <v>42.408178994289898</v>
          </cell>
          <cell r="BI342">
            <v>30.406703917126244</v>
          </cell>
          <cell r="BJ342">
            <v>54.409654071453552</v>
          </cell>
          <cell r="BU342">
            <v>15.952893137605638</v>
          </cell>
          <cell r="BV342">
            <v>29.635401891862816</v>
          </cell>
          <cell r="BW342">
            <v>23.901518972811779</v>
          </cell>
          <cell r="BX342">
            <v>15.713059154269443</v>
          </cell>
          <cell r="BY342">
            <v>32.089978791354113</v>
          </cell>
        </row>
        <row r="343">
          <cell r="A343">
            <v>40007</v>
          </cell>
          <cell r="BF343">
            <v>31.328581531745122</v>
          </cell>
          <cell r="BG343">
            <v>45.468715051806292</v>
          </cell>
          <cell r="BH343">
            <v>42.408178994289898</v>
          </cell>
          <cell r="BI343">
            <v>30.406703917126244</v>
          </cell>
          <cell r="BJ343">
            <v>54.409654071453552</v>
          </cell>
          <cell r="BU343">
            <v>15.840757234079755</v>
          </cell>
          <cell r="BV343">
            <v>29.635401891862816</v>
          </cell>
          <cell r="BW343">
            <v>23.901518972811779</v>
          </cell>
          <cell r="BX343">
            <v>15.713059154269443</v>
          </cell>
          <cell r="BY343">
            <v>32.089978791354113</v>
          </cell>
        </row>
        <row r="344">
          <cell r="A344">
            <v>40008</v>
          </cell>
          <cell r="BF344">
            <v>31.328581531745122</v>
          </cell>
          <cell r="BG344">
            <v>45.468715051806292</v>
          </cell>
          <cell r="BH344">
            <v>42.408178994289898</v>
          </cell>
          <cell r="BI344">
            <v>30.406703917126244</v>
          </cell>
          <cell r="BJ344">
            <v>54.409654071453552</v>
          </cell>
          <cell r="BU344">
            <v>15.840757234079755</v>
          </cell>
          <cell r="BV344">
            <v>29.635401891862816</v>
          </cell>
          <cell r="BW344">
            <v>23.901518972811779</v>
          </cell>
          <cell r="BX344">
            <v>15.713059154269443</v>
          </cell>
          <cell r="BY344">
            <v>32.089978791354113</v>
          </cell>
        </row>
        <row r="345">
          <cell r="A345">
            <v>40009</v>
          </cell>
          <cell r="BF345">
            <v>31.465858584210707</v>
          </cell>
          <cell r="BG345">
            <v>45.468715051806292</v>
          </cell>
          <cell r="BH345">
            <v>42.408178994289898</v>
          </cell>
          <cell r="BI345">
            <v>30.406703917126244</v>
          </cell>
          <cell r="BJ345">
            <v>54.409654071453552</v>
          </cell>
          <cell r="BU345">
            <v>16.081435171859525</v>
          </cell>
          <cell r="BV345">
            <v>29.635401891862816</v>
          </cell>
          <cell r="BW345">
            <v>23.901518972811779</v>
          </cell>
          <cell r="BX345">
            <v>15.713059154269443</v>
          </cell>
          <cell r="BY345">
            <v>32.089978791354113</v>
          </cell>
        </row>
        <row r="346">
          <cell r="A346">
            <v>40010</v>
          </cell>
          <cell r="BF346">
            <v>31.622749585822504</v>
          </cell>
          <cell r="BG346">
            <v>45.468715051806292</v>
          </cell>
          <cell r="BH346">
            <v>42.408178994289898</v>
          </cell>
          <cell r="BI346">
            <v>30.406703917126244</v>
          </cell>
          <cell r="BJ346">
            <v>54.409654071453552</v>
          </cell>
          <cell r="BU346">
            <v>16.171955998151272</v>
          </cell>
          <cell r="BV346">
            <v>29.635401891862816</v>
          </cell>
          <cell r="BW346">
            <v>23.901518972811779</v>
          </cell>
          <cell r="BX346">
            <v>15.713059154269443</v>
          </cell>
          <cell r="BY346">
            <v>32.089978791354113</v>
          </cell>
        </row>
        <row r="347">
          <cell r="A347">
            <v>40011</v>
          </cell>
          <cell r="BF347">
            <v>31.250136521214415</v>
          </cell>
          <cell r="BG347">
            <v>45.468715051806292</v>
          </cell>
          <cell r="BH347">
            <v>42.408178994289898</v>
          </cell>
          <cell r="BI347">
            <v>30.406703917126244</v>
          </cell>
          <cell r="BJ347">
            <v>54.409654071453552</v>
          </cell>
          <cell r="BU347">
            <v>15.956976441253499</v>
          </cell>
          <cell r="BV347">
            <v>29.635401891862816</v>
          </cell>
          <cell r="BW347">
            <v>23.901518972811779</v>
          </cell>
          <cell r="BX347">
            <v>15.713059154269443</v>
          </cell>
          <cell r="BY347">
            <v>32.089978791354113</v>
          </cell>
        </row>
        <row r="348">
          <cell r="A348">
            <v>40014</v>
          </cell>
          <cell r="BF348">
            <v>31.416828123821876</v>
          </cell>
          <cell r="BG348">
            <v>45.468715051806292</v>
          </cell>
          <cell r="BH348">
            <v>42.408178994289898</v>
          </cell>
          <cell r="BI348">
            <v>30.406703917126244</v>
          </cell>
          <cell r="BJ348">
            <v>54.409654071453552</v>
          </cell>
          <cell r="BU348">
            <v>16.053143710870796</v>
          </cell>
          <cell r="BV348">
            <v>29.635401891862816</v>
          </cell>
          <cell r="BW348">
            <v>23.901518972811779</v>
          </cell>
          <cell r="BX348">
            <v>15.713059154269443</v>
          </cell>
          <cell r="BY348">
            <v>32.089978791354113</v>
          </cell>
        </row>
        <row r="349">
          <cell r="A349">
            <v>40015</v>
          </cell>
          <cell r="BF349">
            <v>32.299317577798391</v>
          </cell>
          <cell r="BG349">
            <v>45.468715051806292</v>
          </cell>
          <cell r="BH349">
            <v>42.408178994289898</v>
          </cell>
          <cell r="BI349">
            <v>30.406703917126244</v>
          </cell>
          <cell r="BJ349">
            <v>54.409654071453552</v>
          </cell>
          <cell r="BU349">
            <v>16.562307978014299</v>
          </cell>
          <cell r="BV349">
            <v>29.635401891862816</v>
          </cell>
          <cell r="BW349">
            <v>23.901518972811779</v>
          </cell>
          <cell r="BX349">
            <v>15.713059154269443</v>
          </cell>
          <cell r="BY349">
            <v>32.089978791354113</v>
          </cell>
        </row>
        <row r="350">
          <cell r="A350">
            <v>40016</v>
          </cell>
          <cell r="BF350">
            <v>33.375538591070097</v>
          </cell>
          <cell r="BG350">
            <v>45.468715051806292</v>
          </cell>
          <cell r="BH350">
            <v>42.408178994289898</v>
          </cell>
          <cell r="BI350">
            <v>30.406703917126244</v>
          </cell>
          <cell r="BJ350">
            <v>54.409654071453552</v>
          </cell>
          <cell r="BU350">
            <v>16.756489473913511</v>
          </cell>
          <cell r="BV350">
            <v>29.635401891862816</v>
          </cell>
          <cell r="BW350">
            <v>23.901518972811779</v>
          </cell>
          <cell r="BX350">
            <v>15.713059154269443</v>
          </cell>
          <cell r="BY350">
            <v>32.089978791354113</v>
          </cell>
        </row>
        <row r="351">
          <cell r="A351">
            <v>40017</v>
          </cell>
          <cell r="BF351">
            <v>33.158573001939295</v>
          </cell>
          <cell r="BG351">
            <v>45.468715051806292</v>
          </cell>
          <cell r="BH351">
            <v>42.408178994289898</v>
          </cell>
          <cell r="BI351">
            <v>30.406703917126244</v>
          </cell>
          <cell r="BJ351">
            <v>54.409654071453552</v>
          </cell>
          <cell r="BU351">
            <v>16.634960132163741</v>
          </cell>
          <cell r="BV351">
            <v>29.635401891862816</v>
          </cell>
          <cell r="BW351">
            <v>23.901518972811779</v>
          </cell>
          <cell r="BX351">
            <v>15.713059154269443</v>
          </cell>
          <cell r="BY351">
            <v>32.089978791354113</v>
          </cell>
        </row>
        <row r="352">
          <cell r="A352">
            <v>40018</v>
          </cell>
          <cell r="BF352">
            <v>33.394198790497221</v>
          </cell>
          <cell r="BG352">
            <v>45.468715051806292</v>
          </cell>
          <cell r="BH352">
            <v>42.408178994289898</v>
          </cell>
          <cell r="BI352">
            <v>30.406703917126244</v>
          </cell>
          <cell r="BJ352">
            <v>54.409654071453552</v>
          </cell>
          <cell r="BU352">
            <v>16.70412888360103</v>
          </cell>
          <cell r="BV352">
            <v>29.635401891862816</v>
          </cell>
          <cell r="BW352">
            <v>23.901518972811779</v>
          </cell>
          <cell r="BX352">
            <v>15.713059154269443</v>
          </cell>
          <cell r="BY352">
            <v>32.089978791354113</v>
          </cell>
        </row>
        <row r="353">
          <cell r="A353">
            <v>40021</v>
          </cell>
          <cell r="BF353">
            <v>33.93623836437073</v>
          </cell>
          <cell r="BG353">
            <v>45.468715051806292</v>
          </cell>
          <cell r="BH353">
            <v>42.408178994289898</v>
          </cell>
          <cell r="BI353">
            <v>30.406703917126244</v>
          </cell>
          <cell r="BJ353">
            <v>54.409654071453552</v>
          </cell>
          <cell r="BU353">
            <v>16.955821927574259</v>
          </cell>
          <cell r="BV353">
            <v>29.635401891862816</v>
          </cell>
          <cell r="BW353">
            <v>23.901518972811779</v>
          </cell>
          <cell r="BX353">
            <v>15.713059154269443</v>
          </cell>
          <cell r="BY353">
            <v>32.089978791354113</v>
          </cell>
        </row>
        <row r="354">
          <cell r="A354">
            <v>40022</v>
          </cell>
          <cell r="BF354">
            <v>34.558392364978033</v>
          </cell>
          <cell r="BG354">
            <v>45.468715051806292</v>
          </cell>
          <cell r="BH354">
            <v>42.408178994289898</v>
          </cell>
          <cell r="BI354">
            <v>30.406703917126244</v>
          </cell>
          <cell r="BJ354">
            <v>54.409654071453552</v>
          </cell>
          <cell r="BU354">
            <v>17.301896695015049</v>
          </cell>
          <cell r="BV354">
            <v>29.635401891862816</v>
          </cell>
          <cell r="BW354">
            <v>23.901518972811779</v>
          </cell>
          <cell r="BX354">
            <v>15.713059154269443</v>
          </cell>
          <cell r="BY354">
            <v>32.089978791354113</v>
          </cell>
        </row>
        <row r="355">
          <cell r="A355">
            <v>40023</v>
          </cell>
          <cell r="BF355">
            <v>34.869476435331336</v>
          </cell>
          <cell r="BG355">
            <v>45.468715051806292</v>
          </cell>
          <cell r="BH355">
            <v>42.408178994289898</v>
          </cell>
          <cell r="BI355">
            <v>30.406703917126244</v>
          </cell>
          <cell r="BJ355">
            <v>54.409654071453552</v>
          </cell>
          <cell r="BU355">
            <v>17.474946750825058</v>
          </cell>
          <cell r="BV355">
            <v>29.635401891862816</v>
          </cell>
          <cell r="BW355">
            <v>23.901518972811779</v>
          </cell>
          <cell r="BX355">
            <v>15.713059154269443</v>
          </cell>
          <cell r="BY355">
            <v>32.089978791354113</v>
          </cell>
        </row>
        <row r="356">
          <cell r="A356">
            <v>40024</v>
          </cell>
          <cell r="BF356">
            <v>34.464133520247699</v>
          </cell>
          <cell r="BG356">
            <v>45.468715051806292</v>
          </cell>
          <cell r="BH356">
            <v>42.408178994289898</v>
          </cell>
          <cell r="BI356">
            <v>30.406703917126244</v>
          </cell>
          <cell r="BJ356">
            <v>54.409654071453552</v>
          </cell>
          <cell r="BU356">
            <v>17.249459588179825</v>
          </cell>
          <cell r="BV356">
            <v>29.635401891862816</v>
          </cell>
          <cell r="BW356">
            <v>23.901518972811779</v>
          </cell>
          <cell r="BX356">
            <v>15.713059154269443</v>
          </cell>
          <cell r="BY356">
            <v>32.089978791354113</v>
          </cell>
        </row>
        <row r="357">
          <cell r="A357">
            <v>40025</v>
          </cell>
          <cell r="BF357">
            <v>34.068212624676619</v>
          </cell>
          <cell r="BG357">
            <v>45.468715051806292</v>
          </cell>
          <cell r="BH357">
            <v>42.408178994289898</v>
          </cell>
          <cell r="BI357">
            <v>30.406703917126244</v>
          </cell>
          <cell r="BJ357">
            <v>54.409654071453552</v>
          </cell>
          <cell r="BU357">
            <v>17.029231342725652</v>
          </cell>
          <cell r="BV357">
            <v>29.635401891862816</v>
          </cell>
          <cell r="BW357">
            <v>23.901518972811779</v>
          </cell>
          <cell r="BX357">
            <v>15.713059154269443</v>
          </cell>
          <cell r="BY357">
            <v>32.089978791354113</v>
          </cell>
        </row>
        <row r="358">
          <cell r="A358">
            <v>40028</v>
          </cell>
          <cell r="BF358">
            <v>34.116987087530156</v>
          </cell>
          <cell r="BG358">
            <v>45.468715051806292</v>
          </cell>
          <cell r="BH358">
            <v>42.408178994289898</v>
          </cell>
          <cell r="BI358">
            <v>30.406703917126244</v>
          </cell>
          <cell r="BJ358">
            <v>54.409654071453552</v>
          </cell>
          <cell r="BU358">
            <v>17.147229621297814</v>
          </cell>
          <cell r="BV358">
            <v>29.635401891862816</v>
          </cell>
          <cell r="BW358">
            <v>23.901518972811779</v>
          </cell>
          <cell r="BX358">
            <v>15.713059154269443</v>
          </cell>
          <cell r="BY358">
            <v>32.089978791354113</v>
          </cell>
        </row>
        <row r="359">
          <cell r="A359">
            <v>40029</v>
          </cell>
          <cell r="BF359">
            <v>34.503632179707125</v>
          </cell>
          <cell r="BG359">
            <v>45.468715051806292</v>
          </cell>
          <cell r="BH359">
            <v>42.408178994289898</v>
          </cell>
          <cell r="BI359">
            <v>30.406703917126244</v>
          </cell>
          <cell r="BJ359">
            <v>54.409654071453552</v>
          </cell>
          <cell r="BU359">
            <v>17.362891484540889</v>
          </cell>
          <cell r="BV359">
            <v>29.635401891862816</v>
          </cell>
          <cell r="BW359">
            <v>23.901518972811779</v>
          </cell>
          <cell r="BX359">
            <v>15.713059154269443</v>
          </cell>
          <cell r="BY359">
            <v>32.089978791354113</v>
          </cell>
        </row>
        <row r="360">
          <cell r="A360">
            <v>40030</v>
          </cell>
          <cell r="BF360">
            <v>33.896041379817412</v>
          </cell>
          <cell r="BG360">
            <v>45.468715051806292</v>
          </cell>
          <cell r="BH360">
            <v>42.408178994289898</v>
          </cell>
          <cell r="BI360">
            <v>30.406703917126244</v>
          </cell>
          <cell r="BJ360">
            <v>54.409654071453552</v>
          </cell>
          <cell r="BU360">
            <v>17.024001952254238</v>
          </cell>
          <cell r="BV360">
            <v>29.635401891862816</v>
          </cell>
          <cell r="BW360">
            <v>23.901518972811779</v>
          </cell>
          <cell r="BX360">
            <v>15.713059154269443</v>
          </cell>
          <cell r="BY360">
            <v>32.089978791354113</v>
          </cell>
        </row>
        <row r="361">
          <cell r="A361">
            <v>40031</v>
          </cell>
          <cell r="BF361">
            <v>33.233216224322376</v>
          </cell>
          <cell r="BG361">
            <v>45.468715051806292</v>
          </cell>
          <cell r="BH361">
            <v>42.408178994289898</v>
          </cell>
          <cell r="BI361">
            <v>30.406703917126244</v>
          </cell>
          <cell r="BJ361">
            <v>54.409654071453552</v>
          </cell>
          <cell r="BU361">
            <v>16.654318945123517</v>
          </cell>
          <cell r="BV361">
            <v>29.635401891862816</v>
          </cell>
          <cell r="BW361">
            <v>23.901518972811779</v>
          </cell>
          <cell r="BX361">
            <v>15.713059154269443</v>
          </cell>
          <cell r="BY361">
            <v>32.089978791354113</v>
          </cell>
        </row>
        <row r="362">
          <cell r="A362">
            <v>40032</v>
          </cell>
          <cell r="BF362">
            <v>33.702711469025431</v>
          </cell>
          <cell r="BG362">
            <v>45.468715051806292</v>
          </cell>
          <cell r="BH362">
            <v>42.408178994289898</v>
          </cell>
          <cell r="BI362">
            <v>30.406703917126244</v>
          </cell>
          <cell r="BJ362">
            <v>54.409654071453552</v>
          </cell>
          <cell r="BU362">
            <v>16.916173088696826</v>
          </cell>
          <cell r="BV362">
            <v>29.635401891862816</v>
          </cell>
          <cell r="BW362">
            <v>23.901518972811779</v>
          </cell>
          <cell r="BX362">
            <v>15.713059154269443</v>
          </cell>
          <cell r="BY362">
            <v>32.089978791354113</v>
          </cell>
        </row>
        <row r="363">
          <cell r="A363">
            <v>40035</v>
          </cell>
          <cell r="BF363">
            <v>33.242417500748232</v>
          </cell>
          <cell r="BG363">
            <v>45.468715051806292</v>
          </cell>
          <cell r="BH363">
            <v>42.408178994289898</v>
          </cell>
          <cell r="BI363">
            <v>30.406703917126244</v>
          </cell>
          <cell r="BJ363">
            <v>54.409654071453552</v>
          </cell>
          <cell r="BU363">
            <v>16.659456016413824</v>
          </cell>
          <cell r="BV363">
            <v>29.635401891862816</v>
          </cell>
          <cell r="BW363">
            <v>23.901518972811779</v>
          </cell>
          <cell r="BX363">
            <v>15.713059154269443</v>
          </cell>
          <cell r="BY363">
            <v>32.089978791354113</v>
          </cell>
        </row>
        <row r="364">
          <cell r="A364">
            <v>40036</v>
          </cell>
          <cell r="BF364">
            <v>32.883388205492018</v>
          </cell>
          <cell r="BG364">
            <v>45.468715051806292</v>
          </cell>
          <cell r="BH364">
            <v>42.408178994289898</v>
          </cell>
          <cell r="BI364">
            <v>30.406703917126244</v>
          </cell>
          <cell r="BJ364">
            <v>54.409654071453552</v>
          </cell>
          <cell r="BU364">
            <v>16.459209503169923</v>
          </cell>
          <cell r="BV364">
            <v>29.635401891862816</v>
          </cell>
          <cell r="BW364">
            <v>23.901518972811779</v>
          </cell>
          <cell r="BX364">
            <v>15.713059154269443</v>
          </cell>
          <cell r="BY364">
            <v>32.089978791354113</v>
          </cell>
        </row>
        <row r="365">
          <cell r="A365">
            <v>40037</v>
          </cell>
          <cell r="BF365">
            <v>33.481779570131742</v>
          </cell>
          <cell r="BG365">
            <v>45.468715051806292</v>
          </cell>
          <cell r="BH365">
            <v>42.408178994289898</v>
          </cell>
          <cell r="BI365">
            <v>30.406703917126244</v>
          </cell>
          <cell r="BJ365">
            <v>54.409654071453552</v>
          </cell>
          <cell r="BU365">
            <v>16.792961964166267</v>
          </cell>
          <cell r="BV365">
            <v>29.635401891862816</v>
          </cell>
          <cell r="BW365">
            <v>23.901518972811779</v>
          </cell>
          <cell r="BX365">
            <v>15.713059154269443</v>
          </cell>
          <cell r="BY365">
            <v>32.089978791354113</v>
          </cell>
        </row>
        <row r="366">
          <cell r="A366">
            <v>40038</v>
          </cell>
          <cell r="BF366">
            <v>34.190635963630378</v>
          </cell>
          <cell r="BG366">
            <v>45.468715051806292</v>
          </cell>
          <cell r="BH366">
            <v>42.408178994289898</v>
          </cell>
          <cell r="BI366">
            <v>30.406703917126244</v>
          </cell>
          <cell r="BJ366">
            <v>54.409654071453552</v>
          </cell>
          <cell r="BU366">
            <v>17.188317919363765</v>
          </cell>
          <cell r="BV366">
            <v>29.635401891862816</v>
          </cell>
          <cell r="BW366">
            <v>23.901518972811779</v>
          </cell>
          <cell r="BX366">
            <v>15.713059154269443</v>
          </cell>
          <cell r="BY366">
            <v>32.089978791354113</v>
          </cell>
        </row>
        <row r="367">
          <cell r="A367">
            <v>40039</v>
          </cell>
          <cell r="BF367">
            <v>33.463363208460976</v>
          </cell>
          <cell r="BG367">
            <v>45.468715051806292</v>
          </cell>
          <cell r="BH367">
            <v>42.408178994289898</v>
          </cell>
          <cell r="BI367">
            <v>30.406703917126244</v>
          </cell>
          <cell r="BJ367">
            <v>54.409654071453552</v>
          </cell>
          <cell r="BU367">
            <v>16.782683685457396</v>
          </cell>
          <cell r="BV367">
            <v>29.635401891862816</v>
          </cell>
          <cell r="BW367">
            <v>23.901518972811779</v>
          </cell>
          <cell r="BX367">
            <v>15.713059154269443</v>
          </cell>
          <cell r="BY367">
            <v>32.089978791354113</v>
          </cell>
        </row>
        <row r="368">
          <cell r="A368">
            <v>40042</v>
          </cell>
          <cell r="BF368">
            <v>32.699274300532885</v>
          </cell>
          <cell r="BG368">
            <v>45.468715051806292</v>
          </cell>
          <cell r="BH368">
            <v>42.408178994289898</v>
          </cell>
          <cell r="BI368">
            <v>30.406703917126244</v>
          </cell>
          <cell r="BJ368">
            <v>54.409654071453552</v>
          </cell>
          <cell r="BU368">
            <v>16.356517710902814</v>
          </cell>
          <cell r="BV368">
            <v>29.635401891862816</v>
          </cell>
          <cell r="BW368">
            <v>23.901518972811779</v>
          </cell>
          <cell r="BX368">
            <v>15.713059154269443</v>
          </cell>
          <cell r="BY368">
            <v>32.089978791354113</v>
          </cell>
        </row>
        <row r="369">
          <cell r="A369">
            <v>40043</v>
          </cell>
          <cell r="BF369">
            <v>32.47834148105126</v>
          </cell>
          <cell r="BG369">
            <v>45.468715051806292</v>
          </cell>
          <cell r="BH369">
            <v>42.408178994289898</v>
          </cell>
          <cell r="BI369">
            <v>30.406703917126244</v>
          </cell>
          <cell r="BJ369">
            <v>54.409654071453552</v>
          </cell>
          <cell r="BU369">
            <v>16.233290041859242</v>
          </cell>
          <cell r="BV369">
            <v>29.635401891862816</v>
          </cell>
          <cell r="BW369">
            <v>23.901518972811779</v>
          </cell>
          <cell r="BX369">
            <v>15.713059154269443</v>
          </cell>
          <cell r="BY369">
            <v>32.089978791354113</v>
          </cell>
        </row>
        <row r="370">
          <cell r="A370">
            <v>40044</v>
          </cell>
          <cell r="BF370">
            <v>32.883388205492018</v>
          </cell>
          <cell r="BG370">
            <v>45.468715051806292</v>
          </cell>
          <cell r="BH370">
            <v>42.408178994289898</v>
          </cell>
          <cell r="BI370">
            <v>30.406703917126244</v>
          </cell>
          <cell r="BJ370">
            <v>54.409654071453552</v>
          </cell>
          <cell r="BU370">
            <v>16.459209503169923</v>
          </cell>
          <cell r="BV370">
            <v>29.635401891862816</v>
          </cell>
          <cell r="BW370">
            <v>23.901518972811779</v>
          </cell>
          <cell r="BX370">
            <v>15.713059154269443</v>
          </cell>
          <cell r="BY370">
            <v>32.089978791354113</v>
          </cell>
        </row>
        <row r="371">
          <cell r="A371">
            <v>40045</v>
          </cell>
          <cell r="BF371">
            <v>32.938635449328459</v>
          </cell>
          <cell r="BG371">
            <v>45.468715051806292</v>
          </cell>
          <cell r="BH371">
            <v>42.408178994289898</v>
          </cell>
          <cell r="BI371">
            <v>30.406703917126244</v>
          </cell>
          <cell r="BJ371">
            <v>54.409654071453552</v>
          </cell>
          <cell r="BU371">
            <v>16.490019522527003</v>
          </cell>
          <cell r="BV371">
            <v>29.635401891862816</v>
          </cell>
          <cell r="BW371">
            <v>23.901518972811779</v>
          </cell>
          <cell r="BX371">
            <v>15.713059154269443</v>
          </cell>
          <cell r="BY371">
            <v>32.089978791354113</v>
          </cell>
        </row>
        <row r="372">
          <cell r="A372">
            <v>40046</v>
          </cell>
          <cell r="BF372">
            <v>32.557471967707023</v>
          </cell>
          <cell r="BG372">
            <v>45.468715051806292</v>
          </cell>
          <cell r="BH372">
            <v>42.408178994289898</v>
          </cell>
          <cell r="BI372">
            <v>30.406703917126244</v>
          </cell>
          <cell r="BJ372">
            <v>54.409654071453552</v>
          </cell>
          <cell r="BU372">
            <v>16.377053587679285</v>
          </cell>
          <cell r="BV372">
            <v>29.635401891862816</v>
          </cell>
          <cell r="BW372">
            <v>23.901518972811779</v>
          </cell>
          <cell r="BX372">
            <v>15.713059154269443</v>
          </cell>
          <cell r="BY372">
            <v>32.089978791354113</v>
          </cell>
        </row>
        <row r="373">
          <cell r="A373">
            <v>40049</v>
          </cell>
          <cell r="BF373">
            <v>32.301114821863365</v>
          </cell>
          <cell r="BG373">
            <v>45.468715051806292</v>
          </cell>
          <cell r="BH373">
            <v>42.408178994289898</v>
          </cell>
          <cell r="BI373">
            <v>30.406703917126244</v>
          </cell>
          <cell r="BJ373">
            <v>54.409654071453552</v>
          </cell>
          <cell r="BU373">
            <v>16.233290041859242</v>
          </cell>
          <cell r="BV373">
            <v>29.635401891862816</v>
          </cell>
          <cell r="BW373">
            <v>23.901518972811779</v>
          </cell>
          <cell r="BX373">
            <v>15.713059154269443</v>
          </cell>
          <cell r="BY373">
            <v>32.089978791354113</v>
          </cell>
        </row>
        <row r="374">
          <cell r="A374">
            <v>40050</v>
          </cell>
          <cell r="BF374">
            <v>32.172936706723796</v>
          </cell>
          <cell r="BG374">
            <v>45.468715051806292</v>
          </cell>
          <cell r="BH374">
            <v>42.408178994289898</v>
          </cell>
          <cell r="BI374">
            <v>30.406703917126244</v>
          </cell>
          <cell r="BJ374">
            <v>54.409654071453552</v>
          </cell>
          <cell r="BU374">
            <v>16.16140826894922</v>
          </cell>
          <cell r="BV374">
            <v>29.635401891862816</v>
          </cell>
          <cell r="BW374">
            <v>23.901518972811779</v>
          </cell>
          <cell r="BX374">
            <v>15.713059154269443</v>
          </cell>
          <cell r="BY374">
            <v>32.089978791354113</v>
          </cell>
        </row>
        <row r="375">
          <cell r="A375">
            <v>40051</v>
          </cell>
          <cell r="BF375">
            <v>32.264484917146163</v>
          </cell>
          <cell r="BG375">
            <v>45.468715051806292</v>
          </cell>
          <cell r="BH375">
            <v>42.408178994289898</v>
          </cell>
          <cell r="BI375">
            <v>30.406703917126244</v>
          </cell>
          <cell r="BJ375">
            <v>54.409654071453552</v>
          </cell>
          <cell r="BU375">
            <v>16.212737620569762</v>
          </cell>
          <cell r="BV375">
            <v>29.635401891862816</v>
          </cell>
          <cell r="BW375">
            <v>23.901518972811779</v>
          </cell>
          <cell r="BX375">
            <v>15.713059154269443</v>
          </cell>
          <cell r="BY375">
            <v>32.089978791354113</v>
          </cell>
        </row>
        <row r="376">
          <cell r="A376">
            <v>40052</v>
          </cell>
          <cell r="BF376">
            <v>32.099689715192454</v>
          </cell>
          <cell r="BG376">
            <v>45.468715051806292</v>
          </cell>
          <cell r="BH376">
            <v>42.408178994289898</v>
          </cell>
          <cell r="BI376">
            <v>30.406703917126244</v>
          </cell>
          <cell r="BJ376">
            <v>54.409654071453552</v>
          </cell>
          <cell r="BU376">
            <v>16.120324107011523</v>
          </cell>
          <cell r="BV376">
            <v>29.635401891862816</v>
          </cell>
          <cell r="BW376">
            <v>23.901518972811779</v>
          </cell>
          <cell r="BX376">
            <v>15.713059154269443</v>
          </cell>
          <cell r="BY376">
            <v>32.089978791354113</v>
          </cell>
        </row>
        <row r="377">
          <cell r="A377">
            <v>40053</v>
          </cell>
          <cell r="BF377">
            <v>32.273648802277002</v>
          </cell>
          <cell r="BG377">
            <v>45.468715051806292</v>
          </cell>
          <cell r="BH377">
            <v>42.408178994289898</v>
          </cell>
          <cell r="BI377">
            <v>30.406703917126244</v>
          </cell>
          <cell r="BJ377">
            <v>54.409654071453552</v>
          </cell>
          <cell r="BU377">
            <v>16.217878827988322</v>
          </cell>
          <cell r="BV377">
            <v>29.635401891862816</v>
          </cell>
          <cell r="BW377">
            <v>23.901518972811779</v>
          </cell>
          <cell r="BX377">
            <v>15.713059154269443</v>
          </cell>
          <cell r="BY377">
            <v>32.089978791354113</v>
          </cell>
        </row>
        <row r="378">
          <cell r="A378">
            <v>40056</v>
          </cell>
          <cell r="BF378">
            <v>32.291950936732533</v>
          </cell>
          <cell r="BG378">
            <v>45.468715051806292</v>
          </cell>
          <cell r="BH378">
            <v>42.408178994289898</v>
          </cell>
          <cell r="BI378">
            <v>30.406703917126244</v>
          </cell>
          <cell r="BJ378">
            <v>54.409654071453552</v>
          </cell>
          <cell r="BU378">
            <v>16.228152970568935</v>
          </cell>
          <cell r="BV378">
            <v>29.635401891862816</v>
          </cell>
          <cell r="BW378">
            <v>23.901518972811779</v>
          </cell>
          <cell r="BX378">
            <v>15.713059154269443</v>
          </cell>
          <cell r="BY378">
            <v>32.089978791354113</v>
          </cell>
        </row>
        <row r="379">
          <cell r="A379">
            <v>40057</v>
          </cell>
          <cell r="BF379">
            <v>31.911170858269067</v>
          </cell>
          <cell r="BG379">
            <v>45.468715051806292</v>
          </cell>
          <cell r="BH379">
            <v>42.408178994289898</v>
          </cell>
          <cell r="BI379">
            <v>30.406703917126244</v>
          </cell>
          <cell r="BJ379">
            <v>54.409654071453552</v>
          </cell>
          <cell r="BU379">
            <v>16.10858041780244</v>
          </cell>
          <cell r="BV379">
            <v>29.635401891862816</v>
          </cell>
          <cell r="BW379">
            <v>23.901518972811779</v>
          </cell>
          <cell r="BX379">
            <v>15.713059154269443</v>
          </cell>
          <cell r="BY379">
            <v>32.089978791354113</v>
          </cell>
        </row>
        <row r="380">
          <cell r="A380">
            <v>40058</v>
          </cell>
          <cell r="BF380">
            <v>31.589286372901697</v>
          </cell>
          <cell r="BG380">
            <v>45.468715051806292</v>
          </cell>
          <cell r="BH380">
            <v>42.408178994289898</v>
          </cell>
          <cell r="BI380">
            <v>30.406703917126244</v>
          </cell>
          <cell r="BJ380">
            <v>54.409654071453552</v>
          </cell>
          <cell r="BU380">
            <v>15.927496902897348</v>
          </cell>
          <cell r="BV380">
            <v>29.635401891862816</v>
          </cell>
          <cell r="BW380">
            <v>23.901518972811779</v>
          </cell>
          <cell r="BX380">
            <v>15.713059154269443</v>
          </cell>
          <cell r="BY380">
            <v>32.089978791354113</v>
          </cell>
        </row>
        <row r="381">
          <cell r="A381">
            <v>40059</v>
          </cell>
          <cell r="BF381">
            <v>31.642945261683536</v>
          </cell>
          <cell r="BG381">
            <v>45.468715051806292</v>
          </cell>
          <cell r="BH381">
            <v>42.408178994289898</v>
          </cell>
          <cell r="BI381">
            <v>30.406703917126244</v>
          </cell>
          <cell r="BJ381">
            <v>54.409654071453552</v>
          </cell>
          <cell r="BU381">
            <v>15.957695046560369</v>
          </cell>
          <cell r="BV381">
            <v>29.635401891862816</v>
          </cell>
          <cell r="BW381">
            <v>23.901518972811779</v>
          </cell>
          <cell r="BX381">
            <v>15.713059154269443</v>
          </cell>
          <cell r="BY381">
            <v>32.089978791354113</v>
          </cell>
        </row>
        <row r="382">
          <cell r="A382">
            <v>40060</v>
          </cell>
          <cell r="BF382">
            <v>32.152587128188131</v>
          </cell>
          <cell r="BG382">
            <v>45.468715051806292</v>
          </cell>
          <cell r="BH382">
            <v>42.408178994289898</v>
          </cell>
          <cell r="BI382">
            <v>30.406703917126244</v>
          </cell>
          <cell r="BJ382">
            <v>54.409654071453552</v>
          </cell>
          <cell r="BU382">
            <v>16.244393053981259</v>
          </cell>
          <cell r="BV382">
            <v>29.635401891862816</v>
          </cell>
          <cell r="BW382">
            <v>23.901518972811779</v>
          </cell>
          <cell r="BX382">
            <v>15.713059154269443</v>
          </cell>
          <cell r="BY382">
            <v>32.089978791354113</v>
          </cell>
        </row>
        <row r="383">
          <cell r="A383">
            <v>40063</v>
          </cell>
          <cell r="BF383">
            <v>32.152587128188131</v>
          </cell>
          <cell r="BG383">
            <v>45.468715051806292</v>
          </cell>
          <cell r="BH383">
            <v>42.408178994289898</v>
          </cell>
          <cell r="BI383">
            <v>30.406703917126244</v>
          </cell>
          <cell r="BJ383">
            <v>54.409654071453552</v>
          </cell>
          <cell r="BU383">
            <v>16.244393053981259</v>
          </cell>
          <cell r="BV383">
            <v>29.635401891862816</v>
          </cell>
          <cell r="BW383">
            <v>23.901518972811779</v>
          </cell>
          <cell r="BX383">
            <v>15.713059154269443</v>
          </cell>
          <cell r="BY383">
            <v>32.089978791354113</v>
          </cell>
        </row>
        <row r="384">
          <cell r="A384">
            <v>40064</v>
          </cell>
          <cell r="BF384">
            <v>33.332833221605448</v>
          </cell>
          <cell r="BG384">
            <v>45.468715051806292</v>
          </cell>
          <cell r="BH384">
            <v>42.408178994289898</v>
          </cell>
          <cell r="BI384">
            <v>30.406703917126244</v>
          </cell>
          <cell r="BJ384">
            <v>54.409654071453552</v>
          </cell>
          <cell r="BU384">
            <v>16.908334878086087</v>
          </cell>
          <cell r="BV384">
            <v>29.635401891862816</v>
          </cell>
          <cell r="BW384">
            <v>23.901518972811779</v>
          </cell>
          <cell r="BX384">
            <v>15.713059154269443</v>
          </cell>
          <cell r="BY384">
            <v>32.089978791354113</v>
          </cell>
        </row>
        <row r="385">
          <cell r="A385">
            <v>40065</v>
          </cell>
          <cell r="BF385">
            <v>34.611420116875038</v>
          </cell>
          <cell r="BG385">
            <v>45.468715051806292</v>
          </cell>
          <cell r="BH385">
            <v>42.408178994289898</v>
          </cell>
          <cell r="BI385">
            <v>30.406703917126244</v>
          </cell>
          <cell r="BJ385">
            <v>54.409654071453552</v>
          </cell>
          <cell r="BU385">
            <v>17.627612278201362</v>
          </cell>
          <cell r="BV385">
            <v>29.635401891862816</v>
          </cell>
          <cell r="BW385">
            <v>23.901518972811779</v>
          </cell>
          <cell r="BX385">
            <v>15.713059154269443</v>
          </cell>
          <cell r="BY385">
            <v>32.089978791354113</v>
          </cell>
        </row>
        <row r="386">
          <cell r="A386">
            <v>40066</v>
          </cell>
          <cell r="BF386">
            <v>34.110714096511877</v>
          </cell>
          <cell r="BG386">
            <v>45.468715051806292</v>
          </cell>
          <cell r="BH386">
            <v>42.408178994289898</v>
          </cell>
          <cell r="BI386">
            <v>30.406703917126244</v>
          </cell>
          <cell r="BJ386">
            <v>54.409654071453552</v>
          </cell>
          <cell r="BU386">
            <v>17.345930412180554</v>
          </cell>
          <cell r="BV386">
            <v>29.635401891862816</v>
          </cell>
          <cell r="BW386">
            <v>23.901518972811779</v>
          </cell>
          <cell r="BX386">
            <v>15.713059154269443</v>
          </cell>
          <cell r="BY386">
            <v>32.089978791354113</v>
          </cell>
        </row>
        <row r="387">
          <cell r="A387">
            <v>40067</v>
          </cell>
          <cell r="BF387">
            <v>33.538477495084017</v>
          </cell>
          <cell r="BG387">
            <v>45.468715051806292</v>
          </cell>
          <cell r="BH387">
            <v>42.408178994289898</v>
          </cell>
          <cell r="BI387">
            <v>30.406703917126244</v>
          </cell>
          <cell r="BJ387">
            <v>54.409654071453552</v>
          </cell>
          <cell r="BU387">
            <v>17.02401811969656</v>
          </cell>
          <cell r="BV387">
            <v>29.635401891862816</v>
          </cell>
          <cell r="BW387">
            <v>23.901518972811779</v>
          </cell>
          <cell r="BX387">
            <v>15.713059154269443</v>
          </cell>
          <cell r="BY387">
            <v>32.089978791354113</v>
          </cell>
        </row>
        <row r="388">
          <cell r="A388">
            <v>40070</v>
          </cell>
          <cell r="BF388">
            <v>33.24002888112387</v>
          </cell>
          <cell r="BG388">
            <v>45.468715051806292</v>
          </cell>
          <cell r="BH388">
            <v>42.408178994289898</v>
          </cell>
          <cell r="BI388">
            <v>30.406703917126244</v>
          </cell>
          <cell r="BJ388">
            <v>54.409654071453552</v>
          </cell>
          <cell r="BU388">
            <v>16.913355071296671</v>
          </cell>
          <cell r="BV388">
            <v>29.635401891862816</v>
          </cell>
          <cell r="BW388">
            <v>23.901518972811779</v>
          </cell>
          <cell r="BX388">
            <v>15.713059154269443</v>
          </cell>
          <cell r="BY388">
            <v>32.089978791354113</v>
          </cell>
        </row>
        <row r="389">
          <cell r="A389">
            <v>40071</v>
          </cell>
          <cell r="BF389">
            <v>33.24002888112387</v>
          </cell>
          <cell r="BG389">
            <v>45.468715051806292</v>
          </cell>
          <cell r="BH389">
            <v>42.408178994289898</v>
          </cell>
          <cell r="BI389">
            <v>30.406703917126244</v>
          </cell>
          <cell r="BJ389">
            <v>54.409654071453552</v>
          </cell>
          <cell r="BU389">
            <v>16.913355071296671</v>
          </cell>
          <cell r="BV389">
            <v>29.635401891862816</v>
          </cell>
          <cell r="BW389">
            <v>23.901518972811779</v>
          </cell>
          <cell r="BX389">
            <v>15.713059154269443</v>
          </cell>
          <cell r="BY389">
            <v>32.089978791354113</v>
          </cell>
        </row>
        <row r="390">
          <cell r="A390">
            <v>40072</v>
          </cell>
          <cell r="BF390">
            <v>33.970963773800186</v>
          </cell>
          <cell r="BG390">
            <v>45.468715051806292</v>
          </cell>
          <cell r="BH390">
            <v>42.408178994289898</v>
          </cell>
          <cell r="BI390">
            <v>30.406703917126244</v>
          </cell>
          <cell r="BJ390">
            <v>54.409654071453552</v>
          </cell>
          <cell r="BU390">
            <v>17.325817224854212</v>
          </cell>
          <cell r="BV390">
            <v>29.635401891862816</v>
          </cell>
          <cell r="BW390">
            <v>23.901518972811779</v>
          </cell>
          <cell r="BX390">
            <v>15.713059154269443</v>
          </cell>
          <cell r="BY390">
            <v>32.089978791354113</v>
          </cell>
        </row>
        <row r="391">
          <cell r="A391">
            <v>40073</v>
          </cell>
          <cell r="BF391">
            <v>35.967687905583688</v>
          </cell>
          <cell r="BG391">
            <v>45.468715051806292</v>
          </cell>
          <cell r="BH391">
            <v>42.408178994289898</v>
          </cell>
          <cell r="BI391">
            <v>30.406703917126244</v>
          </cell>
          <cell r="BJ391">
            <v>54.409654071453552</v>
          </cell>
          <cell r="BU391">
            <v>18.452504170832434</v>
          </cell>
          <cell r="BV391">
            <v>29.635401891862816</v>
          </cell>
          <cell r="BW391">
            <v>23.901518972811779</v>
          </cell>
          <cell r="BX391">
            <v>15.713059154269443</v>
          </cell>
          <cell r="BY391">
            <v>32.089978791354113</v>
          </cell>
        </row>
        <row r="392">
          <cell r="A392">
            <v>40074</v>
          </cell>
          <cell r="BF392">
            <v>36.730565129164077</v>
          </cell>
          <cell r="BG392">
            <v>45.468715051806292</v>
          </cell>
          <cell r="BH392">
            <v>42.408178994289898</v>
          </cell>
          <cell r="BI392">
            <v>30.406703917126244</v>
          </cell>
          <cell r="BJ392">
            <v>54.409654071453552</v>
          </cell>
          <cell r="BU392">
            <v>18.677296359096648</v>
          </cell>
          <cell r="BV392">
            <v>29.635401891862816</v>
          </cell>
          <cell r="BW392">
            <v>23.901518972811779</v>
          </cell>
          <cell r="BX392">
            <v>15.713059154269443</v>
          </cell>
          <cell r="BY392">
            <v>32.089978791354113</v>
          </cell>
        </row>
        <row r="393">
          <cell r="A393">
            <v>40077</v>
          </cell>
          <cell r="BF393">
            <v>36.724268014143696</v>
          </cell>
          <cell r="BG393">
            <v>45.468715051806292</v>
          </cell>
          <cell r="BH393">
            <v>42.408178994289898</v>
          </cell>
          <cell r="BI393">
            <v>30.406703917126244</v>
          </cell>
          <cell r="BJ393">
            <v>54.409654071453552</v>
          </cell>
          <cell r="BU393">
            <v>18.6822720166336</v>
          </cell>
          <cell r="BV393">
            <v>29.635401891862816</v>
          </cell>
          <cell r="BW393">
            <v>23.901518972811779</v>
          </cell>
          <cell r="BX393">
            <v>15.713059154269443</v>
          </cell>
          <cell r="BY393">
            <v>32.089978791354113</v>
          </cell>
        </row>
        <row r="394">
          <cell r="A394">
            <v>40078</v>
          </cell>
          <cell r="BF394">
            <v>35.878089313553168</v>
          </cell>
          <cell r="BG394">
            <v>45.468715051806292</v>
          </cell>
          <cell r="BH394">
            <v>42.408178994289898</v>
          </cell>
          <cell r="BI394">
            <v>30.406703917126244</v>
          </cell>
          <cell r="BJ394">
            <v>54.409654071453552</v>
          </cell>
          <cell r="BU394">
            <v>18.20982492055273</v>
          </cell>
          <cell r="BV394">
            <v>29.635401891862816</v>
          </cell>
          <cell r="BW394">
            <v>23.901518972811779</v>
          </cell>
          <cell r="BX394">
            <v>15.713059154269443</v>
          </cell>
          <cell r="BY394">
            <v>32.089978791354113</v>
          </cell>
        </row>
        <row r="395">
          <cell r="A395">
            <v>40079</v>
          </cell>
          <cell r="BF395">
            <v>35.646494816137036</v>
          </cell>
          <cell r="BG395">
            <v>45.468715051806292</v>
          </cell>
          <cell r="BH395">
            <v>42.408178994289898</v>
          </cell>
          <cell r="BI395">
            <v>30.406703917126244</v>
          </cell>
          <cell r="BJ395">
            <v>54.409654071453552</v>
          </cell>
          <cell r="BU395">
            <v>18.080517917074378</v>
          </cell>
          <cell r="BV395">
            <v>29.635401891862816</v>
          </cell>
          <cell r="BW395">
            <v>23.901518972811779</v>
          </cell>
          <cell r="BX395">
            <v>15.713059154269443</v>
          </cell>
          <cell r="BY395">
            <v>32.089978791354113</v>
          </cell>
        </row>
        <row r="396">
          <cell r="A396">
            <v>40080</v>
          </cell>
          <cell r="BF396">
            <v>35.949335112986368</v>
          </cell>
          <cell r="BG396">
            <v>45.468715051806292</v>
          </cell>
          <cell r="BH396">
            <v>42.408178994289898</v>
          </cell>
          <cell r="BI396">
            <v>30.406703917126244</v>
          </cell>
          <cell r="BJ396">
            <v>54.409654071453552</v>
          </cell>
          <cell r="BU396">
            <v>18.249606143855395</v>
          </cell>
          <cell r="BV396">
            <v>29.635401891862816</v>
          </cell>
          <cell r="BW396">
            <v>23.901518972811779</v>
          </cell>
          <cell r="BX396">
            <v>15.713059154269443</v>
          </cell>
          <cell r="BY396">
            <v>32.089978791354113</v>
          </cell>
        </row>
        <row r="397">
          <cell r="A397">
            <v>40081</v>
          </cell>
          <cell r="BF397">
            <v>36.216552955477724</v>
          </cell>
          <cell r="BG397">
            <v>45.468715051806292</v>
          </cell>
          <cell r="BH397">
            <v>42.408178994289898</v>
          </cell>
          <cell r="BI397">
            <v>30.406703917126244</v>
          </cell>
          <cell r="BJ397">
            <v>54.409654071453552</v>
          </cell>
          <cell r="BU397">
            <v>18.398787734323125</v>
          </cell>
          <cell r="BV397">
            <v>29.635401891862816</v>
          </cell>
          <cell r="BW397">
            <v>23.901518972811779</v>
          </cell>
          <cell r="BX397">
            <v>15.713059154269443</v>
          </cell>
          <cell r="BY397">
            <v>32.089978791354113</v>
          </cell>
        </row>
        <row r="398">
          <cell r="A398">
            <v>40084</v>
          </cell>
          <cell r="BF398">
            <v>36.768806548018674</v>
          </cell>
          <cell r="BG398">
            <v>45.468715051806292</v>
          </cell>
          <cell r="BH398">
            <v>42.408178994289898</v>
          </cell>
          <cell r="BI398">
            <v>30.406703917126244</v>
          </cell>
          <cell r="BJ398">
            <v>54.409654071453552</v>
          </cell>
          <cell r="BU398">
            <v>18.625588781134169</v>
          </cell>
          <cell r="BV398">
            <v>29.635401891862816</v>
          </cell>
          <cell r="BW398">
            <v>23.901518972811779</v>
          </cell>
          <cell r="BX398">
            <v>15.713059154269443</v>
          </cell>
          <cell r="BY398">
            <v>32.089978791354113</v>
          </cell>
        </row>
        <row r="399">
          <cell r="A399">
            <v>40085</v>
          </cell>
          <cell r="BF399">
            <v>37.499187554542516</v>
          </cell>
          <cell r="BG399">
            <v>45.468715051806292</v>
          </cell>
          <cell r="BH399">
            <v>42.408178994289898</v>
          </cell>
          <cell r="BI399">
            <v>30.406703917126244</v>
          </cell>
          <cell r="BJ399">
            <v>54.409654071453552</v>
          </cell>
          <cell r="BU399">
            <v>19.033404409386044</v>
          </cell>
          <cell r="BV399">
            <v>29.635401891862816</v>
          </cell>
          <cell r="BW399">
            <v>23.901518972811779</v>
          </cell>
          <cell r="BX399">
            <v>15.713059154269443</v>
          </cell>
          <cell r="BY399">
            <v>32.089978791354113</v>
          </cell>
        </row>
        <row r="400">
          <cell r="A400">
            <v>40086</v>
          </cell>
          <cell r="BF400">
            <v>37.624262426131956</v>
          </cell>
          <cell r="BG400">
            <v>45.468715051806292</v>
          </cell>
          <cell r="BH400">
            <v>42.408178994289898</v>
          </cell>
          <cell r="BI400">
            <v>30.406703917126244</v>
          </cell>
          <cell r="BJ400">
            <v>54.409654071453552</v>
          </cell>
          <cell r="BU400">
            <v>19.232334562892291</v>
          </cell>
          <cell r="BV400">
            <v>29.635401891862816</v>
          </cell>
          <cell r="BW400">
            <v>23.901518972811779</v>
          </cell>
          <cell r="BX400">
            <v>15.713059154269443</v>
          </cell>
          <cell r="BY400">
            <v>32.089978791354113</v>
          </cell>
        </row>
        <row r="401">
          <cell r="A401">
            <v>40087</v>
          </cell>
          <cell r="BF401">
            <v>35.723853131807324</v>
          </cell>
          <cell r="BG401">
            <v>45.468715051806292</v>
          </cell>
          <cell r="BH401">
            <v>42.408178994289898</v>
          </cell>
          <cell r="BI401">
            <v>30.406703917126244</v>
          </cell>
          <cell r="BJ401">
            <v>54.409654071453552</v>
          </cell>
          <cell r="BU401">
            <v>18.262232005313258</v>
          </cell>
          <cell r="BV401">
            <v>29.635401891862816</v>
          </cell>
          <cell r="BW401">
            <v>23.901518972811779</v>
          </cell>
          <cell r="BX401">
            <v>15.713059154269443</v>
          </cell>
          <cell r="BY401">
            <v>32.089978791354113</v>
          </cell>
        </row>
        <row r="402">
          <cell r="A402">
            <v>40088</v>
          </cell>
          <cell r="BF402">
            <v>36.337836456927747</v>
          </cell>
          <cell r="BG402">
            <v>45.468715051806292</v>
          </cell>
          <cell r="BH402">
            <v>42.408178994289898</v>
          </cell>
          <cell r="BI402">
            <v>30.406703917126244</v>
          </cell>
          <cell r="BJ402">
            <v>54.409654071453552</v>
          </cell>
          <cell r="BU402">
            <v>18.60815390704121</v>
          </cell>
          <cell r="BV402">
            <v>29.635401891862816</v>
          </cell>
          <cell r="BW402">
            <v>23.901518972811779</v>
          </cell>
          <cell r="BX402">
            <v>15.713059154269443</v>
          </cell>
          <cell r="BY402">
            <v>32.089978791354113</v>
          </cell>
        </row>
        <row r="403">
          <cell r="A403">
            <v>40091</v>
          </cell>
          <cell r="BF403">
            <v>37.107485333779678</v>
          </cell>
          <cell r="BG403">
            <v>45.468715051806292</v>
          </cell>
          <cell r="BH403">
            <v>42.408178994289898</v>
          </cell>
          <cell r="BI403">
            <v>30.406703917126244</v>
          </cell>
          <cell r="BJ403">
            <v>54.409654071453552</v>
          </cell>
          <cell r="BU403">
            <v>19.041792616676467</v>
          </cell>
          <cell r="BV403">
            <v>29.635401891862816</v>
          </cell>
          <cell r="BW403">
            <v>23.901518972811779</v>
          </cell>
          <cell r="BX403">
            <v>15.713059154269443</v>
          </cell>
          <cell r="BY403">
            <v>32.089978791354113</v>
          </cell>
        </row>
        <row r="404">
          <cell r="A404">
            <v>40092</v>
          </cell>
          <cell r="BF404">
            <v>37.306393094140745</v>
          </cell>
          <cell r="BG404">
            <v>45.468715051806292</v>
          </cell>
          <cell r="BH404">
            <v>42.408178994289898</v>
          </cell>
          <cell r="BI404">
            <v>30.406703917126244</v>
          </cell>
          <cell r="BJ404">
            <v>54.409654071453552</v>
          </cell>
          <cell r="BU404">
            <v>19.153863211914956</v>
          </cell>
          <cell r="BV404">
            <v>29.635401891862816</v>
          </cell>
          <cell r="BW404">
            <v>23.901518972811779</v>
          </cell>
          <cell r="BX404">
            <v>15.713059154269443</v>
          </cell>
          <cell r="BY404">
            <v>32.089978791354113</v>
          </cell>
        </row>
        <row r="405">
          <cell r="A405">
            <v>40093</v>
          </cell>
          <cell r="BF405">
            <v>36.709695756307262</v>
          </cell>
          <cell r="BG405">
            <v>45.468715051806292</v>
          </cell>
          <cell r="BH405">
            <v>42.408178994289898</v>
          </cell>
          <cell r="BI405">
            <v>30.406703917126244</v>
          </cell>
          <cell r="BJ405">
            <v>54.409654071453552</v>
          </cell>
          <cell r="BU405">
            <v>18.817659275929476</v>
          </cell>
          <cell r="BV405">
            <v>29.635401891862816</v>
          </cell>
          <cell r="BW405">
            <v>23.901518972811779</v>
          </cell>
          <cell r="BX405">
            <v>15.713059154269443</v>
          </cell>
          <cell r="BY405">
            <v>32.089978791354113</v>
          </cell>
        </row>
        <row r="406">
          <cell r="A406">
            <v>40094</v>
          </cell>
          <cell r="BF406">
            <v>36.510787995946195</v>
          </cell>
          <cell r="BG406">
            <v>45.468715051806292</v>
          </cell>
          <cell r="BH406">
            <v>42.408178994289898</v>
          </cell>
          <cell r="BI406">
            <v>30.406703917126244</v>
          </cell>
          <cell r="BJ406">
            <v>54.409654071453552</v>
          </cell>
          <cell r="BU406">
            <v>18.70558868069098</v>
          </cell>
          <cell r="BV406">
            <v>29.635401891862816</v>
          </cell>
          <cell r="BW406">
            <v>23.901518972811779</v>
          </cell>
          <cell r="BX406">
            <v>15.713059154269443</v>
          </cell>
          <cell r="BY406">
            <v>32.089978791354113</v>
          </cell>
        </row>
        <row r="407">
          <cell r="A407">
            <v>40095</v>
          </cell>
          <cell r="BF407">
            <v>37.26315175028617</v>
          </cell>
          <cell r="BG407">
            <v>45.468715051806292</v>
          </cell>
          <cell r="BH407">
            <v>42.408178994289898</v>
          </cell>
          <cell r="BI407">
            <v>30.406703917126244</v>
          </cell>
          <cell r="BJ407">
            <v>54.409654071453552</v>
          </cell>
          <cell r="BU407">
            <v>19.129489800258764</v>
          </cell>
          <cell r="BV407">
            <v>29.635401891862816</v>
          </cell>
          <cell r="BW407">
            <v>23.901518972811779</v>
          </cell>
          <cell r="BX407">
            <v>15.713059154269443</v>
          </cell>
          <cell r="BY407">
            <v>32.089978791354113</v>
          </cell>
        </row>
        <row r="408">
          <cell r="A408">
            <v>40098</v>
          </cell>
          <cell r="BF408">
            <v>36.285951687042207</v>
          </cell>
          <cell r="BG408">
            <v>45.468715051806292</v>
          </cell>
          <cell r="BH408">
            <v>42.408178994289898</v>
          </cell>
          <cell r="BI408">
            <v>30.406703917126244</v>
          </cell>
          <cell r="BJ408">
            <v>54.409654071453552</v>
          </cell>
          <cell r="BU408">
            <v>18.578917587648778</v>
          </cell>
          <cell r="BV408">
            <v>29.635401891862816</v>
          </cell>
          <cell r="BW408">
            <v>23.901518972811779</v>
          </cell>
          <cell r="BX408">
            <v>15.713059154269443</v>
          </cell>
          <cell r="BY408">
            <v>32.089978791354113</v>
          </cell>
        </row>
        <row r="409">
          <cell r="A409">
            <v>40099</v>
          </cell>
          <cell r="BF409">
            <v>36.152893565755882</v>
          </cell>
          <cell r="BG409">
            <v>45.468715051806292</v>
          </cell>
          <cell r="BH409">
            <v>42.408178994289898</v>
          </cell>
          <cell r="BI409">
            <v>30.406703917126244</v>
          </cell>
          <cell r="BJ409">
            <v>54.409654071453552</v>
          </cell>
          <cell r="BU409">
            <v>18.60815390704121</v>
          </cell>
          <cell r="BV409">
            <v>29.635401891862816</v>
          </cell>
          <cell r="BW409">
            <v>23.901518972811779</v>
          </cell>
          <cell r="BX409">
            <v>15.713059154269443</v>
          </cell>
          <cell r="BY409">
            <v>32.089978791354113</v>
          </cell>
        </row>
        <row r="410">
          <cell r="A410">
            <v>40100</v>
          </cell>
          <cell r="BF410">
            <v>37.242695802396327</v>
          </cell>
          <cell r="BG410">
            <v>45.468715051806292</v>
          </cell>
          <cell r="BH410">
            <v>42.408178994289898</v>
          </cell>
          <cell r="BI410">
            <v>30.406703917126244</v>
          </cell>
          <cell r="BJ410">
            <v>54.409654071453552</v>
          </cell>
          <cell r="BU410">
            <v>18.604428012131407</v>
          </cell>
          <cell r="BV410">
            <v>29.635401891862816</v>
          </cell>
          <cell r="BW410">
            <v>23.901518972811779</v>
          </cell>
          <cell r="BX410">
            <v>15.713059154269443</v>
          </cell>
          <cell r="BY410">
            <v>32.089978791354113</v>
          </cell>
        </row>
        <row r="411">
          <cell r="A411">
            <v>40101</v>
          </cell>
          <cell r="BF411">
            <v>37.223772649539711</v>
          </cell>
          <cell r="BG411">
            <v>45.468715051806292</v>
          </cell>
          <cell r="BH411">
            <v>42.408178994289898</v>
          </cell>
          <cell r="BI411">
            <v>30.406703917126244</v>
          </cell>
          <cell r="BJ411">
            <v>54.409654071453552</v>
          </cell>
          <cell r="BU411">
            <v>18.685087981588694</v>
          </cell>
          <cell r="BV411">
            <v>29.635401891862816</v>
          </cell>
          <cell r="BW411">
            <v>23.901518972811779</v>
          </cell>
          <cell r="BX411">
            <v>15.713059154269443</v>
          </cell>
          <cell r="BY411">
            <v>32.089978791354113</v>
          </cell>
        </row>
        <row r="412">
          <cell r="A412">
            <v>40102</v>
          </cell>
          <cell r="BF412">
            <v>37.395189735851233</v>
          </cell>
          <cell r="BG412">
            <v>45.468715051806292</v>
          </cell>
          <cell r="BH412">
            <v>42.408178994289898</v>
          </cell>
          <cell r="BI412">
            <v>30.406703917126244</v>
          </cell>
          <cell r="BJ412">
            <v>54.409654071453552</v>
          </cell>
          <cell r="BU412">
            <v>18.779385196782393</v>
          </cell>
          <cell r="BV412">
            <v>29.635401891862816</v>
          </cell>
          <cell r="BW412">
            <v>23.901518972811779</v>
          </cell>
          <cell r="BX412">
            <v>15.713059154269443</v>
          </cell>
          <cell r="BY412">
            <v>32.089978791354113</v>
          </cell>
        </row>
        <row r="413">
          <cell r="A413">
            <v>40105</v>
          </cell>
          <cell r="BF413">
            <v>37.489471404633044</v>
          </cell>
          <cell r="BG413">
            <v>45.468715051806292</v>
          </cell>
          <cell r="BH413">
            <v>42.408178994289898</v>
          </cell>
          <cell r="BI413">
            <v>30.406703917126244</v>
          </cell>
          <cell r="BJ413">
            <v>54.409654071453552</v>
          </cell>
          <cell r="BU413">
            <v>18.831254507126356</v>
          </cell>
          <cell r="BV413">
            <v>29.635401891862816</v>
          </cell>
          <cell r="BW413">
            <v>23.901518972811779</v>
          </cell>
          <cell r="BX413">
            <v>15.713059154269443</v>
          </cell>
          <cell r="BY413">
            <v>32.089978791354113</v>
          </cell>
        </row>
        <row r="414">
          <cell r="A414">
            <v>40106</v>
          </cell>
          <cell r="BF414">
            <v>36.195257275196226</v>
          </cell>
          <cell r="BG414">
            <v>45.468715051806292</v>
          </cell>
          <cell r="BH414">
            <v>42.408178994289898</v>
          </cell>
          <cell r="BI414">
            <v>30.406703917126244</v>
          </cell>
          <cell r="BJ414">
            <v>54.409654071453552</v>
          </cell>
          <cell r="BU414">
            <v>18.119319766523102</v>
          </cell>
          <cell r="BV414">
            <v>29.635401891862816</v>
          </cell>
          <cell r="BW414">
            <v>23.901518972811779</v>
          </cell>
          <cell r="BX414">
            <v>15.713059154269443</v>
          </cell>
          <cell r="BY414">
            <v>32.089978791354113</v>
          </cell>
        </row>
        <row r="415">
          <cell r="A415">
            <v>40107</v>
          </cell>
          <cell r="BF415">
            <v>35.800986920111804</v>
          </cell>
          <cell r="BG415">
            <v>45.468715051806292</v>
          </cell>
          <cell r="BH415">
            <v>42.408178994289898</v>
          </cell>
          <cell r="BI415">
            <v>30.406703917126244</v>
          </cell>
          <cell r="BJ415">
            <v>54.409654071453552</v>
          </cell>
          <cell r="BU415">
            <v>17.902438809894502</v>
          </cell>
          <cell r="BV415">
            <v>29.635401891862816</v>
          </cell>
          <cell r="BW415">
            <v>23.901518972811779</v>
          </cell>
          <cell r="BX415">
            <v>15.713059154269443</v>
          </cell>
          <cell r="BY415">
            <v>32.089978791354113</v>
          </cell>
        </row>
        <row r="416">
          <cell r="A416">
            <v>40108</v>
          </cell>
          <cell r="BF416">
            <v>35.766708131180252</v>
          </cell>
          <cell r="BG416">
            <v>45.468715051806292</v>
          </cell>
          <cell r="BH416">
            <v>42.408178994289898</v>
          </cell>
          <cell r="BI416">
            <v>30.406703917126244</v>
          </cell>
          <cell r="BJ416">
            <v>54.409654071453552</v>
          </cell>
          <cell r="BU416">
            <v>17.883578613050929</v>
          </cell>
          <cell r="BV416">
            <v>29.635401891862816</v>
          </cell>
          <cell r="BW416">
            <v>23.901518972811779</v>
          </cell>
          <cell r="BX416">
            <v>15.713059154269443</v>
          </cell>
          <cell r="BY416">
            <v>32.089978791354113</v>
          </cell>
        </row>
        <row r="417">
          <cell r="A417">
            <v>40109</v>
          </cell>
          <cell r="BF417">
            <v>35.029603603472772</v>
          </cell>
          <cell r="BG417">
            <v>45.468715051806292</v>
          </cell>
          <cell r="BH417">
            <v>42.408178994289898</v>
          </cell>
          <cell r="BI417">
            <v>30.406703917126244</v>
          </cell>
          <cell r="BJ417">
            <v>54.409654071453552</v>
          </cell>
          <cell r="BU417">
            <v>17.47811453310738</v>
          </cell>
          <cell r="BV417">
            <v>29.635401891862816</v>
          </cell>
          <cell r="BW417">
            <v>23.901518972811779</v>
          </cell>
          <cell r="BX417">
            <v>15.713059154269443</v>
          </cell>
          <cell r="BY417">
            <v>32.089978791354113</v>
          </cell>
        </row>
        <row r="418">
          <cell r="A418">
            <v>40112</v>
          </cell>
          <cell r="BF418">
            <v>35.158163204087835</v>
          </cell>
          <cell r="BG418">
            <v>45.468715051806292</v>
          </cell>
          <cell r="BH418">
            <v>42.408178994289898</v>
          </cell>
          <cell r="BI418">
            <v>30.406703917126244</v>
          </cell>
          <cell r="BJ418">
            <v>54.409654071453552</v>
          </cell>
          <cell r="BU418">
            <v>17.548828964198318</v>
          </cell>
          <cell r="BV418">
            <v>29.635401891862816</v>
          </cell>
          <cell r="BW418">
            <v>23.901518972811779</v>
          </cell>
          <cell r="BX418">
            <v>15.713059154269443</v>
          </cell>
          <cell r="BY418">
            <v>32.089978791354113</v>
          </cell>
        </row>
        <row r="419">
          <cell r="A419">
            <v>40113</v>
          </cell>
          <cell r="BF419">
            <v>35.70670525133</v>
          </cell>
          <cell r="BG419">
            <v>45.468715051806292</v>
          </cell>
          <cell r="BH419">
            <v>42.408178994289898</v>
          </cell>
          <cell r="BI419">
            <v>30.406703917126244</v>
          </cell>
          <cell r="BJ419">
            <v>54.409654071453552</v>
          </cell>
          <cell r="BU419">
            <v>17.850573268574681</v>
          </cell>
          <cell r="BV419">
            <v>29.635401891862816</v>
          </cell>
          <cell r="BW419">
            <v>23.901518972811779</v>
          </cell>
          <cell r="BX419">
            <v>15.713059154269443</v>
          </cell>
          <cell r="BY419">
            <v>32.089978791354113</v>
          </cell>
        </row>
        <row r="420">
          <cell r="A420">
            <v>40114</v>
          </cell>
          <cell r="BF420">
            <v>30.253849501362396</v>
          </cell>
          <cell r="BG420">
            <v>45.468715051806292</v>
          </cell>
          <cell r="BH420">
            <v>42.408178994289898</v>
          </cell>
          <cell r="BI420">
            <v>30.406703917126244</v>
          </cell>
          <cell r="BJ420">
            <v>54.409654071453552</v>
          </cell>
          <cell r="BU420">
            <v>14.718106612467581</v>
          </cell>
          <cell r="BV420">
            <v>29.635401891862816</v>
          </cell>
          <cell r="BW420">
            <v>23.901518972811779</v>
          </cell>
          <cell r="BX420">
            <v>15.713059154269443</v>
          </cell>
          <cell r="BY420">
            <v>32.089978791354113</v>
          </cell>
        </row>
        <row r="421">
          <cell r="A421">
            <v>40115</v>
          </cell>
          <cell r="BF421">
            <v>29.755206708977944</v>
          </cell>
          <cell r="BG421">
            <v>45.468715051806292</v>
          </cell>
          <cell r="BH421">
            <v>42.408178994289898</v>
          </cell>
          <cell r="BI421">
            <v>30.406703917126244</v>
          </cell>
          <cell r="BJ421">
            <v>54.409654071453552</v>
          </cell>
          <cell r="BU421">
            <v>14.444343942414472</v>
          </cell>
          <cell r="BV421">
            <v>29.635401891862816</v>
          </cell>
          <cell r="BW421">
            <v>23.901518972811779</v>
          </cell>
          <cell r="BX421">
            <v>15.713059154269443</v>
          </cell>
          <cell r="BY421">
            <v>32.089978791354113</v>
          </cell>
        </row>
        <row r="422">
          <cell r="A422">
            <v>40116</v>
          </cell>
          <cell r="BF422">
            <v>29.198599194539256</v>
          </cell>
          <cell r="BG422">
            <v>45.468715051806292</v>
          </cell>
          <cell r="BH422">
            <v>42.408178994289898</v>
          </cell>
          <cell r="BI422">
            <v>30.406703917126244</v>
          </cell>
          <cell r="BJ422">
            <v>54.409654071453552</v>
          </cell>
          <cell r="BU422">
            <v>14.331041694779264</v>
          </cell>
          <cell r="BV422">
            <v>29.635401891862816</v>
          </cell>
          <cell r="BW422">
            <v>23.901518972811779</v>
          </cell>
          <cell r="BX422">
            <v>15.713059154269443</v>
          </cell>
          <cell r="BY422">
            <v>32.089978791354113</v>
          </cell>
        </row>
        <row r="423">
          <cell r="A423">
            <v>40119</v>
          </cell>
          <cell r="BF423">
            <v>28.952922200233456</v>
          </cell>
          <cell r="BG423">
            <v>45.468715051806292</v>
          </cell>
          <cell r="BH423">
            <v>42.408178994289898</v>
          </cell>
          <cell r="BI423">
            <v>30.406703917126244</v>
          </cell>
          <cell r="BJ423">
            <v>54.409654071453552</v>
          </cell>
          <cell r="BU423">
            <v>14.146153555999071</v>
          </cell>
          <cell r="BV423">
            <v>29.635401891862816</v>
          </cell>
          <cell r="BW423">
            <v>23.901518972811779</v>
          </cell>
          <cell r="BX423">
            <v>15.713059154269443</v>
          </cell>
          <cell r="BY423">
            <v>32.089978791354113</v>
          </cell>
        </row>
        <row r="424">
          <cell r="A424">
            <v>40120</v>
          </cell>
          <cell r="BF424">
            <v>29.455201600127069</v>
          </cell>
          <cell r="BG424">
            <v>45.468715051806292</v>
          </cell>
          <cell r="BH424">
            <v>42.408178994289898</v>
          </cell>
          <cell r="BI424">
            <v>30.406703917126244</v>
          </cell>
          <cell r="BJ424">
            <v>54.409654071453552</v>
          </cell>
          <cell r="BU424">
            <v>14.424291073593627</v>
          </cell>
          <cell r="BV424">
            <v>29.635401891862816</v>
          </cell>
          <cell r="BW424">
            <v>23.901518972811779</v>
          </cell>
          <cell r="BX424">
            <v>15.713059154269443</v>
          </cell>
          <cell r="BY424">
            <v>32.089978791354113</v>
          </cell>
        </row>
        <row r="425">
          <cell r="A425">
            <v>40121</v>
          </cell>
          <cell r="BF425">
            <v>29.025517934059501</v>
          </cell>
          <cell r="BG425">
            <v>45.468715051806292</v>
          </cell>
          <cell r="BH425">
            <v>42.408178994289898</v>
          </cell>
          <cell r="BI425">
            <v>30.406703917126244</v>
          </cell>
          <cell r="BJ425">
            <v>54.409654071453552</v>
          </cell>
          <cell r="BU425">
            <v>14.081576417010378</v>
          </cell>
          <cell r="BV425">
            <v>29.635401891862816</v>
          </cell>
          <cell r="BW425">
            <v>23.901518972811779</v>
          </cell>
          <cell r="BX425">
            <v>15.713059154269443</v>
          </cell>
          <cell r="BY425">
            <v>32.089978791354113</v>
          </cell>
        </row>
        <row r="426">
          <cell r="A426">
            <v>40122</v>
          </cell>
          <cell r="BF426">
            <v>29.829023868191651</v>
          </cell>
          <cell r="BG426">
            <v>45.468715051806292</v>
          </cell>
          <cell r="BH426">
            <v>42.408178994289898</v>
          </cell>
          <cell r="BI426">
            <v>30.406703917126244</v>
          </cell>
          <cell r="BJ426">
            <v>54.409654071453552</v>
          </cell>
          <cell r="BU426">
            <v>14.523618527414408</v>
          </cell>
          <cell r="BV426">
            <v>29.635401891862816</v>
          </cell>
          <cell r="BW426">
            <v>23.901518972811779</v>
          </cell>
          <cell r="BX426">
            <v>15.713059154269443</v>
          </cell>
          <cell r="BY426">
            <v>32.089978791354113</v>
          </cell>
        </row>
        <row r="427">
          <cell r="A427">
            <v>40123</v>
          </cell>
          <cell r="BF427">
            <v>29.467903022554285</v>
          </cell>
          <cell r="BG427">
            <v>45.468715051806292</v>
          </cell>
          <cell r="BH427">
            <v>42.408178994289898</v>
          </cell>
          <cell r="BI427">
            <v>30.406703917126244</v>
          </cell>
          <cell r="BJ427">
            <v>54.409654071453552</v>
          </cell>
          <cell r="BU427">
            <v>14.324959649215856</v>
          </cell>
          <cell r="BV427">
            <v>29.635401891862816</v>
          </cell>
          <cell r="BW427">
            <v>23.901518972811779</v>
          </cell>
          <cell r="BX427">
            <v>15.713059154269443</v>
          </cell>
          <cell r="BY427">
            <v>32.089978791354113</v>
          </cell>
        </row>
        <row r="428">
          <cell r="A428">
            <v>40126</v>
          </cell>
          <cell r="BF428">
            <v>29.684569751916502</v>
          </cell>
          <cell r="BG428">
            <v>45.468715051806292</v>
          </cell>
          <cell r="BH428">
            <v>42.408178994289898</v>
          </cell>
          <cell r="BI428">
            <v>30.406703917126244</v>
          </cell>
          <cell r="BJ428">
            <v>54.409654071453552</v>
          </cell>
          <cell r="BU428">
            <v>14.44415974080338</v>
          </cell>
          <cell r="BV428">
            <v>29.635401891862816</v>
          </cell>
          <cell r="BW428">
            <v>23.901518972811779</v>
          </cell>
          <cell r="BX428">
            <v>15.713059154269443</v>
          </cell>
          <cell r="BY428">
            <v>32.089978791354113</v>
          </cell>
        </row>
        <row r="429">
          <cell r="A429">
            <v>40127</v>
          </cell>
          <cell r="BF429">
            <v>29.78388037692827</v>
          </cell>
          <cell r="BG429">
            <v>45.468715051806292</v>
          </cell>
          <cell r="BH429">
            <v>42.408178994289898</v>
          </cell>
          <cell r="BI429">
            <v>30.406703917126244</v>
          </cell>
          <cell r="BJ429">
            <v>54.409654071453552</v>
          </cell>
          <cell r="BU429">
            <v>14.49878666395921</v>
          </cell>
          <cell r="BV429">
            <v>29.635401891862816</v>
          </cell>
          <cell r="BW429">
            <v>23.901518972811779</v>
          </cell>
          <cell r="BX429">
            <v>15.713059154269443</v>
          </cell>
          <cell r="BY429">
            <v>32.089978791354113</v>
          </cell>
        </row>
        <row r="430">
          <cell r="A430">
            <v>40128</v>
          </cell>
          <cell r="BF430">
            <v>30.036667857884524</v>
          </cell>
          <cell r="BG430">
            <v>45.468715051806292</v>
          </cell>
          <cell r="BH430">
            <v>42.408178994289898</v>
          </cell>
          <cell r="BI430">
            <v>30.406703917126244</v>
          </cell>
          <cell r="BJ430">
            <v>54.409654071453552</v>
          </cell>
          <cell r="BU430">
            <v>14.637863363870482</v>
          </cell>
          <cell r="BV430">
            <v>29.635401891862816</v>
          </cell>
          <cell r="BW430">
            <v>23.901518972811779</v>
          </cell>
          <cell r="BX430">
            <v>15.713059154269443</v>
          </cell>
          <cell r="BY430">
            <v>32.089978791354113</v>
          </cell>
        </row>
        <row r="431">
          <cell r="A431">
            <v>40129</v>
          </cell>
          <cell r="BF431">
            <v>29.729713243179887</v>
          </cell>
          <cell r="BG431">
            <v>45.468715051806292</v>
          </cell>
          <cell r="BH431">
            <v>42.408178994289898</v>
          </cell>
          <cell r="BI431">
            <v>30.406703917126244</v>
          </cell>
          <cell r="BJ431">
            <v>54.409654071453552</v>
          </cell>
          <cell r="BU431">
            <v>14.468991604258575</v>
          </cell>
          <cell r="BV431">
            <v>29.635401891862816</v>
          </cell>
          <cell r="BW431">
            <v>23.901518972811779</v>
          </cell>
          <cell r="BX431">
            <v>15.713059154269443</v>
          </cell>
          <cell r="BY431">
            <v>32.089978791354113</v>
          </cell>
        </row>
        <row r="432">
          <cell r="A432">
            <v>40130</v>
          </cell>
          <cell r="BF432">
            <v>29.449843098165097</v>
          </cell>
          <cell r="BG432">
            <v>45.468715051806292</v>
          </cell>
          <cell r="BH432">
            <v>42.408178994289898</v>
          </cell>
          <cell r="BI432">
            <v>30.406703917126244</v>
          </cell>
          <cell r="BJ432">
            <v>54.409654071453552</v>
          </cell>
          <cell r="BU432">
            <v>14.315017374496987</v>
          </cell>
          <cell r="BV432">
            <v>29.635401891862816</v>
          </cell>
          <cell r="BW432">
            <v>23.901518972811779</v>
          </cell>
          <cell r="BX432">
            <v>15.713059154269443</v>
          </cell>
          <cell r="BY432">
            <v>32.089978791354113</v>
          </cell>
        </row>
        <row r="433">
          <cell r="A433">
            <v>40133</v>
          </cell>
          <cell r="BF433">
            <v>29.115804916586267</v>
          </cell>
          <cell r="BG433">
            <v>45.468715051806292</v>
          </cell>
          <cell r="BH433">
            <v>42.408178994289898</v>
          </cell>
          <cell r="BI433">
            <v>30.406703917126244</v>
          </cell>
          <cell r="BJ433">
            <v>54.409654071453552</v>
          </cell>
          <cell r="BU433">
            <v>14.131252055591759</v>
          </cell>
          <cell r="BV433">
            <v>29.635401891862816</v>
          </cell>
          <cell r="BW433">
            <v>23.901518972811779</v>
          </cell>
          <cell r="BX433">
            <v>15.713059154269443</v>
          </cell>
          <cell r="BY433">
            <v>32.089978791354113</v>
          </cell>
        </row>
        <row r="434">
          <cell r="A434">
            <v>40134</v>
          </cell>
          <cell r="BF434">
            <v>28.22201290274301</v>
          </cell>
          <cell r="BG434">
            <v>45.468715051806292</v>
          </cell>
          <cell r="BH434">
            <v>42.408178994289898</v>
          </cell>
          <cell r="BI434">
            <v>30.406703917126244</v>
          </cell>
          <cell r="BJ434">
            <v>54.409654071453552</v>
          </cell>
          <cell r="BU434">
            <v>13.639530336049356</v>
          </cell>
          <cell r="BV434">
            <v>29.635401891862816</v>
          </cell>
          <cell r="BW434">
            <v>23.901518972811779</v>
          </cell>
          <cell r="BX434">
            <v>15.713059154269443</v>
          </cell>
          <cell r="BY434">
            <v>32.089978791354113</v>
          </cell>
        </row>
        <row r="435">
          <cell r="A435">
            <v>40135</v>
          </cell>
          <cell r="BF435">
            <v>26.728099684785448</v>
          </cell>
          <cell r="BG435">
            <v>45.468715051806292</v>
          </cell>
          <cell r="BH435">
            <v>42.408178994289898</v>
          </cell>
          <cell r="BI435">
            <v>30.406703917126244</v>
          </cell>
          <cell r="BJ435">
            <v>54.409654071453552</v>
          </cell>
          <cell r="BU435">
            <v>12.606415228940179</v>
          </cell>
          <cell r="BV435">
            <v>29.635401891862816</v>
          </cell>
          <cell r="BW435">
            <v>23.901518972811779</v>
          </cell>
          <cell r="BX435">
            <v>15.713059154269443</v>
          </cell>
          <cell r="BY435">
            <v>32.089978791354113</v>
          </cell>
        </row>
        <row r="436">
          <cell r="A436">
            <v>40136</v>
          </cell>
          <cell r="BF436">
            <v>25.839604494867427</v>
          </cell>
          <cell r="BG436">
            <v>45.468715051806292</v>
          </cell>
          <cell r="BH436">
            <v>42.408178994289898</v>
          </cell>
          <cell r="BI436">
            <v>30.406703917126244</v>
          </cell>
          <cell r="BJ436">
            <v>54.409654071453552</v>
          </cell>
          <cell r="BU436">
            <v>12.124631813559652</v>
          </cell>
          <cell r="BV436">
            <v>29.635401891862816</v>
          </cell>
          <cell r="BW436">
            <v>23.901518972811779</v>
          </cell>
          <cell r="BX436">
            <v>15.713059154269443</v>
          </cell>
          <cell r="BY436">
            <v>32.089978791354113</v>
          </cell>
        </row>
        <row r="437">
          <cell r="A437">
            <v>40137</v>
          </cell>
          <cell r="BF437">
            <v>24.557247121097614</v>
          </cell>
          <cell r="BG437">
            <v>45.468715051806292</v>
          </cell>
          <cell r="BH437">
            <v>42.408178994289898</v>
          </cell>
          <cell r="BI437">
            <v>30.406703917126244</v>
          </cell>
          <cell r="BJ437">
            <v>54.409654071453552</v>
          </cell>
          <cell r="BU437">
            <v>11.429272137345276</v>
          </cell>
          <cell r="BV437">
            <v>29.635401891862816</v>
          </cell>
          <cell r="BW437">
            <v>23.901518972811779</v>
          </cell>
          <cell r="BX437">
            <v>15.713059154269443</v>
          </cell>
          <cell r="BY437">
            <v>32.089978791354113</v>
          </cell>
        </row>
        <row r="438">
          <cell r="A438">
            <v>40140</v>
          </cell>
          <cell r="BF438">
            <v>24.478831814724288</v>
          </cell>
          <cell r="BG438">
            <v>45.468715051806292</v>
          </cell>
          <cell r="BH438">
            <v>42.408178994289898</v>
          </cell>
          <cell r="BI438">
            <v>30.406703917126244</v>
          </cell>
          <cell r="BJ438">
            <v>54.409654071453552</v>
          </cell>
          <cell r="BU438">
            <v>11.275297907583685</v>
          </cell>
          <cell r="BV438">
            <v>29.635401891862816</v>
          </cell>
          <cell r="BW438">
            <v>23.901518972811779</v>
          </cell>
          <cell r="BX438">
            <v>15.713059154269443</v>
          </cell>
          <cell r="BY438">
            <v>32.089978791354113</v>
          </cell>
        </row>
        <row r="439">
          <cell r="A439">
            <v>40141</v>
          </cell>
          <cell r="BF439">
            <v>26.016879528829339</v>
          </cell>
          <cell r="BG439">
            <v>45.468715051806292</v>
          </cell>
          <cell r="BH439">
            <v>42.408178994289898</v>
          </cell>
          <cell r="BI439">
            <v>30.406703917126244</v>
          </cell>
          <cell r="BJ439">
            <v>54.409654071453552</v>
          </cell>
          <cell r="BU439">
            <v>12.185542600464618</v>
          </cell>
          <cell r="BV439">
            <v>29.635401891862816</v>
          </cell>
          <cell r="BW439">
            <v>23.901518972811779</v>
          </cell>
          <cell r="BX439">
            <v>15.713059154269443</v>
          </cell>
          <cell r="BY439">
            <v>32.089978791354113</v>
          </cell>
        </row>
        <row r="440">
          <cell r="A440">
            <v>40142</v>
          </cell>
          <cell r="BF440">
            <v>26.740275727679286</v>
          </cell>
          <cell r="BG440">
            <v>45.468715051806292</v>
          </cell>
          <cell r="BH440">
            <v>42.408178994289898</v>
          </cell>
          <cell r="BI440">
            <v>30.406703917126244</v>
          </cell>
          <cell r="BJ440">
            <v>54.409654071453552</v>
          </cell>
          <cell r="BU440">
            <v>12.543190388848558</v>
          </cell>
          <cell r="BV440">
            <v>29.635401891862816</v>
          </cell>
          <cell r="BW440">
            <v>23.901518972811779</v>
          </cell>
          <cell r="BX440">
            <v>15.713059154269443</v>
          </cell>
          <cell r="BY440">
            <v>32.089978791354113</v>
          </cell>
        </row>
        <row r="441">
          <cell r="A441">
            <v>40143</v>
          </cell>
          <cell r="BF441">
            <v>26.740275727679286</v>
          </cell>
          <cell r="BG441">
            <v>45.468715051806292</v>
          </cell>
          <cell r="BH441">
            <v>42.408178994289898</v>
          </cell>
          <cell r="BI441">
            <v>30.406703917126244</v>
          </cell>
          <cell r="BJ441">
            <v>54.409654071453552</v>
          </cell>
          <cell r="BU441">
            <v>12.543190388848558</v>
          </cell>
          <cell r="BV441">
            <v>29.635401891862816</v>
          </cell>
          <cell r="BW441">
            <v>23.901518972811779</v>
          </cell>
          <cell r="BX441">
            <v>15.713059154269443</v>
          </cell>
          <cell r="BY441">
            <v>32.089978791354113</v>
          </cell>
        </row>
        <row r="442">
          <cell r="A442">
            <v>40144</v>
          </cell>
          <cell r="BF442">
            <v>26.665737434226152</v>
          </cell>
          <cell r="BG442">
            <v>45.468715051806292</v>
          </cell>
          <cell r="BH442">
            <v>42.408178994289898</v>
          </cell>
          <cell r="BI442">
            <v>30.406703917126244</v>
          </cell>
          <cell r="BJ442">
            <v>54.409654071453552</v>
          </cell>
          <cell r="BU442">
            <v>12.502886204807949</v>
          </cell>
          <cell r="BV442">
            <v>29.635401891862816</v>
          </cell>
          <cell r="BW442">
            <v>23.901518972811779</v>
          </cell>
          <cell r="BX442">
            <v>15.713059154269443</v>
          </cell>
          <cell r="BY442">
            <v>32.089978791354113</v>
          </cell>
        </row>
        <row r="443">
          <cell r="A443">
            <v>40147</v>
          </cell>
          <cell r="BF443">
            <v>27.088350221535482</v>
          </cell>
          <cell r="BG443">
            <v>45.468715051806292</v>
          </cell>
          <cell r="BH443">
            <v>42.408178994289898</v>
          </cell>
          <cell r="BI443">
            <v>30.406703917126244</v>
          </cell>
          <cell r="BJ443">
            <v>54.409654071453552</v>
          </cell>
          <cell r="BU443">
            <v>12.654007767687364</v>
          </cell>
          <cell r="BV443">
            <v>29.635401891862816</v>
          </cell>
          <cell r="BW443">
            <v>23.901518972811779</v>
          </cell>
          <cell r="BX443">
            <v>15.713059154269443</v>
          </cell>
          <cell r="BY443">
            <v>32.089978791354113</v>
          </cell>
        </row>
        <row r="444">
          <cell r="A444">
            <v>40148</v>
          </cell>
          <cell r="BF444">
            <v>27.152169068624765</v>
          </cell>
          <cell r="BG444">
            <v>45.468715051806292</v>
          </cell>
          <cell r="BH444">
            <v>42.408178994289898</v>
          </cell>
          <cell r="BI444">
            <v>30.406703917126244</v>
          </cell>
          <cell r="BJ444">
            <v>54.409654071453552</v>
          </cell>
          <cell r="BU444">
            <v>12.77178124261753</v>
          </cell>
          <cell r="BV444">
            <v>29.635401891862816</v>
          </cell>
          <cell r="BW444">
            <v>23.901518972811779</v>
          </cell>
          <cell r="BX444">
            <v>15.713059154269443</v>
          </cell>
          <cell r="BY444">
            <v>32.089978791354113</v>
          </cell>
        </row>
        <row r="445">
          <cell r="A445">
            <v>40149</v>
          </cell>
          <cell r="BF445">
            <v>26.649855699855699</v>
          </cell>
          <cell r="BG445">
            <v>45.468715051806292</v>
          </cell>
          <cell r="BH445">
            <v>42.408178994289898</v>
          </cell>
          <cell r="BI445">
            <v>30.406703917126244</v>
          </cell>
          <cell r="BJ445">
            <v>54.409654071453552</v>
          </cell>
          <cell r="BU445">
            <v>12.500881959209387</v>
          </cell>
          <cell r="BV445">
            <v>29.635401891862816</v>
          </cell>
          <cell r="BW445">
            <v>23.901518972811779</v>
          </cell>
          <cell r="BX445">
            <v>15.713059154269443</v>
          </cell>
          <cell r="BY445">
            <v>32.089978791354113</v>
          </cell>
        </row>
        <row r="446">
          <cell r="A446">
            <v>40150</v>
          </cell>
          <cell r="BF446">
            <v>26.467200029225346</v>
          </cell>
          <cell r="BG446">
            <v>45.468715051806292</v>
          </cell>
          <cell r="BH446">
            <v>42.408178994289898</v>
          </cell>
          <cell r="BI446">
            <v>30.406703917126244</v>
          </cell>
          <cell r="BJ446">
            <v>54.409654071453552</v>
          </cell>
          <cell r="BU446">
            <v>12.402374202693126</v>
          </cell>
          <cell r="BV446">
            <v>29.635401891862816</v>
          </cell>
          <cell r="BW446">
            <v>23.901518972811779</v>
          </cell>
          <cell r="BX446">
            <v>15.713059154269443</v>
          </cell>
          <cell r="BY446">
            <v>32.089978791354113</v>
          </cell>
        </row>
        <row r="447">
          <cell r="A447">
            <v>40151</v>
          </cell>
          <cell r="BF447">
            <v>25.864424534677699</v>
          </cell>
          <cell r="BG447">
            <v>45.468715051806292</v>
          </cell>
          <cell r="BH447">
            <v>42.408178994289898</v>
          </cell>
          <cell r="BI447">
            <v>30.406703917126244</v>
          </cell>
          <cell r="BJ447">
            <v>54.409654071453552</v>
          </cell>
          <cell r="BU447">
            <v>12.077309236947793</v>
          </cell>
          <cell r="BV447">
            <v>29.635401891862816</v>
          </cell>
          <cell r="BW447">
            <v>23.901518972811779</v>
          </cell>
          <cell r="BX447">
            <v>15.713059154269443</v>
          </cell>
          <cell r="BY447">
            <v>32.089978791354113</v>
          </cell>
        </row>
        <row r="448">
          <cell r="A448">
            <v>40154</v>
          </cell>
          <cell r="BF448">
            <v>26.570407837989876</v>
          </cell>
          <cell r="BG448">
            <v>45.468715051806292</v>
          </cell>
          <cell r="BH448">
            <v>42.408178994289898</v>
          </cell>
          <cell r="BI448">
            <v>30.406703917126244</v>
          </cell>
          <cell r="BJ448">
            <v>54.409654071453552</v>
          </cell>
          <cell r="BU448">
            <v>12.387807889724634</v>
          </cell>
          <cell r="BV448">
            <v>29.635401891862816</v>
          </cell>
          <cell r="BW448">
            <v>23.901518972811779</v>
          </cell>
          <cell r="BX448">
            <v>15.713059154269443</v>
          </cell>
          <cell r="BY448">
            <v>32.089978791354113</v>
          </cell>
        </row>
        <row r="449">
          <cell r="A449">
            <v>40155</v>
          </cell>
          <cell r="BF449">
            <v>25.994363977485929</v>
          </cell>
          <cell r="BG449">
            <v>45.468715051806292</v>
          </cell>
          <cell r="BH449">
            <v>42.408178994289898</v>
          </cell>
          <cell r="BI449">
            <v>30.406703917126244</v>
          </cell>
          <cell r="BJ449">
            <v>54.409654071453552</v>
          </cell>
          <cell r="BU449">
            <v>11.955560707319414</v>
          </cell>
          <cell r="BV449">
            <v>29.635401891862816</v>
          </cell>
          <cell r="BW449">
            <v>23.901518972811779</v>
          </cell>
          <cell r="BX449">
            <v>15.713059154269443</v>
          </cell>
          <cell r="BY449">
            <v>32.089978791354113</v>
          </cell>
        </row>
        <row r="450">
          <cell r="A450">
            <v>40156</v>
          </cell>
          <cell r="BF450">
            <v>25.544086303939959</v>
          </cell>
          <cell r="BG450">
            <v>45.468715051806292</v>
          </cell>
          <cell r="BH450">
            <v>42.408178994289898</v>
          </cell>
          <cell r="BI450">
            <v>30.406703917126244</v>
          </cell>
          <cell r="BJ450">
            <v>54.409654071453552</v>
          </cell>
          <cell r="BU450">
            <v>11.715557349790554</v>
          </cell>
          <cell r="BV450">
            <v>29.635401891862816</v>
          </cell>
          <cell r="BW450">
            <v>23.901518972811779</v>
          </cell>
          <cell r="BX450">
            <v>15.713059154269443</v>
          </cell>
          <cell r="BY450">
            <v>32.089978791354113</v>
          </cell>
        </row>
        <row r="451">
          <cell r="A451">
            <v>40157</v>
          </cell>
          <cell r="BF451">
            <v>25.87240806754221</v>
          </cell>
          <cell r="BG451">
            <v>45.468715051806292</v>
          </cell>
          <cell r="BH451">
            <v>42.408178994289898</v>
          </cell>
          <cell r="BI451">
            <v>30.406703917126244</v>
          </cell>
          <cell r="BJ451">
            <v>54.409654071453552</v>
          </cell>
          <cell r="BU451">
            <v>11.890552553320756</v>
          </cell>
          <cell r="BV451">
            <v>29.635401891862816</v>
          </cell>
          <cell r="BW451">
            <v>23.901518972811779</v>
          </cell>
          <cell r="BX451">
            <v>15.713059154269443</v>
          </cell>
          <cell r="BY451">
            <v>32.089978791354113</v>
          </cell>
        </row>
        <row r="452">
          <cell r="A452">
            <v>40158</v>
          </cell>
          <cell r="BF452">
            <v>25.526498939929329</v>
          </cell>
          <cell r="BG452">
            <v>45.468715051806292</v>
          </cell>
          <cell r="BH452">
            <v>42.408178994289898</v>
          </cell>
          <cell r="BI452">
            <v>30.406703917126244</v>
          </cell>
          <cell r="BJ452">
            <v>54.409654071453552</v>
          </cell>
          <cell r="BU452">
            <v>11.645556870143576</v>
          </cell>
          <cell r="BV452">
            <v>29.635401891862816</v>
          </cell>
          <cell r="BW452">
            <v>23.901518972811779</v>
          </cell>
          <cell r="BX452">
            <v>15.713059154269443</v>
          </cell>
          <cell r="BY452">
            <v>32.089978791354113</v>
          </cell>
        </row>
        <row r="453">
          <cell r="A453">
            <v>40161</v>
          </cell>
          <cell r="BF453">
            <v>26.760889517078915</v>
          </cell>
          <cell r="BG453">
            <v>45.468715051806292</v>
          </cell>
          <cell r="BH453">
            <v>42.408178994289898</v>
          </cell>
          <cell r="BI453">
            <v>30.406703917126244</v>
          </cell>
          <cell r="BJ453">
            <v>54.409654071453552</v>
          </cell>
          <cell r="BU453">
            <v>12.300558788731495</v>
          </cell>
          <cell r="BV453">
            <v>29.635401891862816</v>
          </cell>
          <cell r="BW453">
            <v>23.901518972811779</v>
          </cell>
          <cell r="BX453">
            <v>15.713059154269443</v>
          </cell>
          <cell r="BY453">
            <v>32.089978791354113</v>
          </cell>
        </row>
        <row r="454">
          <cell r="A454">
            <v>40162</v>
          </cell>
          <cell r="BF454">
            <v>26.600702944640751</v>
          </cell>
          <cell r="BG454">
            <v>45.468715051806292</v>
          </cell>
          <cell r="BH454">
            <v>42.408178994289898</v>
          </cell>
          <cell r="BI454">
            <v>30.406703917126244</v>
          </cell>
          <cell r="BJ454">
            <v>54.409654071453552</v>
          </cell>
          <cell r="BU454">
            <v>12.215557349790553</v>
          </cell>
          <cell r="BV454">
            <v>29.635401891862816</v>
          </cell>
          <cell r="BW454">
            <v>23.901518972811779</v>
          </cell>
          <cell r="BX454">
            <v>15.713059154269443</v>
          </cell>
          <cell r="BY454">
            <v>32.089978791354113</v>
          </cell>
        </row>
        <row r="455">
          <cell r="A455">
            <v>40163</v>
          </cell>
          <cell r="BF455">
            <v>26.098492626775514</v>
          </cell>
          <cell r="BG455">
            <v>45.468715051806292</v>
          </cell>
          <cell r="BH455">
            <v>42.408178994289898</v>
          </cell>
          <cell r="BI455">
            <v>30.406703917126244</v>
          </cell>
          <cell r="BJ455">
            <v>54.409654071453552</v>
          </cell>
          <cell r="BU455">
            <v>12.055551114379815</v>
          </cell>
          <cell r="BV455">
            <v>29.635401891862816</v>
          </cell>
          <cell r="BW455">
            <v>23.901518972811779</v>
          </cell>
          <cell r="BX455">
            <v>15.713059154269443</v>
          </cell>
          <cell r="BY455">
            <v>32.089978791354113</v>
          </cell>
        </row>
        <row r="456">
          <cell r="A456">
            <v>40164</v>
          </cell>
          <cell r="BF456">
            <v>25.490686453277977</v>
          </cell>
          <cell r="BG456">
            <v>45.468715051806292</v>
          </cell>
          <cell r="BH456">
            <v>42.408178994289898</v>
          </cell>
          <cell r="BI456">
            <v>30.406703917126244</v>
          </cell>
          <cell r="BJ456">
            <v>54.409654071453552</v>
          </cell>
          <cell r="BU456">
            <v>11.730558309084513</v>
          </cell>
          <cell r="BV456">
            <v>29.635401891862816</v>
          </cell>
          <cell r="BW456">
            <v>23.901518972811779</v>
          </cell>
          <cell r="BX456">
            <v>15.713059154269443</v>
          </cell>
          <cell r="BY456">
            <v>32.089978791354113</v>
          </cell>
        </row>
        <row r="457">
          <cell r="A457">
            <v>40165</v>
          </cell>
          <cell r="BF457">
            <v>26.0704407102982</v>
          </cell>
          <cell r="BG457">
            <v>45.468715051806292</v>
          </cell>
          <cell r="BH457">
            <v>42.408178994289898</v>
          </cell>
          <cell r="BI457">
            <v>30.406703917126244</v>
          </cell>
          <cell r="BJ457">
            <v>54.409654071453552</v>
          </cell>
          <cell r="BU457">
            <v>12.040558149202189</v>
          </cell>
          <cell r="BV457">
            <v>29.635401891862816</v>
          </cell>
          <cell r="BW457">
            <v>23.901518972811779</v>
          </cell>
          <cell r="BX457">
            <v>15.713059154269443</v>
          </cell>
          <cell r="BY457">
            <v>32.089978791354113</v>
          </cell>
        </row>
        <row r="458">
          <cell r="A458">
            <v>40168</v>
          </cell>
          <cell r="BF458">
            <v>26.51928259507579</v>
          </cell>
          <cell r="BG458">
            <v>45.468715051806292</v>
          </cell>
          <cell r="BH458">
            <v>42.408178994289898</v>
          </cell>
          <cell r="BI458">
            <v>30.406703917126244</v>
          </cell>
          <cell r="BJ458">
            <v>54.409654071453552</v>
          </cell>
          <cell r="BU458">
            <v>12.280553512614716</v>
          </cell>
          <cell r="BV458">
            <v>29.635401891862816</v>
          </cell>
          <cell r="BW458">
            <v>23.901518972811779</v>
          </cell>
          <cell r="BX458">
            <v>15.713059154269443</v>
          </cell>
          <cell r="BY458">
            <v>32.089978791354113</v>
          </cell>
        </row>
        <row r="459">
          <cell r="A459">
            <v>40169</v>
          </cell>
          <cell r="BF459">
            <v>27.258015167241751</v>
          </cell>
          <cell r="BG459">
            <v>45.468715051806292</v>
          </cell>
          <cell r="BH459">
            <v>42.408178994289898</v>
          </cell>
          <cell r="BI459">
            <v>30.406703917126244</v>
          </cell>
          <cell r="BJ459">
            <v>54.409654071453552</v>
          </cell>
          <cell r="BU459">
            <v>12.67555479167333</v>
          </cell>
          <cell r="BV459">
            <v>29.635401891862816</v>
          </cell>
          <cell r="BW459">
            <v>23.901518972811779</v>
          </cell>
          <cell r="BX459">
            <v>15.713059154269443</v>
          </cell>
          <cell r="BY459">
            <v>32.089978791354113</v>
          </cell>
        </row>
        <row r="460">
          <cell r="A460">
            <v>40170</v>
          </cell>
          <cell r="BF460">
            <v>27.781666526402411</v>
          </cell>
          <cell r="BG460">
            <v>45.468715051806292</v>
          </cell>
          <cell r="BH460">
            <v>42.408178994289898</v>
          </cell>
          <cell r="BI460">
            <v>30.406703917126244</v>
          </cell>
          <cell r="BJ460">
            <v>54.409654071453552</v>
          </cell>
          <cell r="BU460">
            <v>12.955556710261249</v>
          </cell>
          <cell r="BV460">
            <v>29.635401891862816</v>
          </cell>
          <cell r="BW460">
            <v>23.901518972811779</v>
          </cell>
          <cell r="BX460">
            <v>15.713059154269443</v>
          </cell>
          <cell r="BY460">
            <v>32.089978791354113</v>
          </cell>
        </row>
        <row r="461">
          <cell r="A461">
            <v>40171</v>
          </cell>
          <cell r="BF461">
            <v>28.183764879700021</v>
          </cell>
          <cell r="BG461">
            <v>45.468715051806292</v>
          </cell>
          <cell r="BH461">
            <v>42.408178994289898</v>
          </cell>
          <cell r="BI461">
            <v>30.406703917126244</v>
          </cell>
          <cell r="BJ461">
            <v>54.409654071453552</v>
          </cell>
          <cell r="BU461">
            <v>13.170562466025007</v>
          </cell>
          <cell r="BV461">
            <v>29.635401891862816</v>
          </cell>
          <cell r="BW461">
            <v>23.901518972811779</v>
          </cell>
          <cell r="BX461">
            <v>15.713059154269443</v>
          </cell>
          <cell r="BY461">
            <v>32.089978791354113</v>
          </cell>
        </row>
        <row r="462">
          <cell r="A462">
            <v>40172</v>
          </cell>
          <cell r="BF462">
            <v>28.183764879700021</v>
          </cell>
          <cell r="BG462">
            <v>45.468715051806292</v>
          </cell>
          <cell r="BH462">
            <v>42.408178994289898</v>
          </cell>
          <cell r="BI462">
            <v>30.406703917126244</v>
          </cell>
          <cell r="BJ462">
            <v>54.409654071453552</v>
          </cell>
          <cell r="BU462">
            <v>13.170562466025007</v>
          </cell>
          <cell r="BV462">
            <v>29.635401891862816</v>
          </cell>
          <cell r="BW462">
            <v>23.901518972811779</v>
          </cell>
          <cell r="BX462">
            <v>15.713059154269443</v>
          </cell>
          <cell r="BY462">
            <v>32.089978791354113</v>
          </cell>
        </row>
        <row r="463">
          <cell r="A463">
            <v>40175</v>
          </cell>
          <cell r="BF463">
            <v>28.492333155665271</v>
          </cell>
          <cell r="BG463">
            <v>45.468715051806292</v>
          </cell>
          <cell r="BH463">
            <v>42.408178994289898</v>
          </cell>
          <cell r="BI463">
            <v>30.406703917126244</v>
          </cell>
          <cell r="BJ463">
            <v>54.409654071453552</v>
          </cell>
          <cell r="BU463">
            <v>13.335561027084067</v>
          </cell>
          <cell r="BV463">
            <v>29.635401891862816</v>
          </cell>
          <cell r="BW463">
            <v>23.901518972811779</v>
          </cell>
          <cell r="BX463">
            <v>15.713059154269443</v>
          </cell>
          <cell r="BY463">
            <v>32.089978791354113</v>
          </cell>
        </row>
        <row r="464">
          <cell r="A464">
            <v>40176</v>
          </cell>
          <cell r="BF464">
            <v>28.688709662337178</v>
          </cell>
          <cell r="BG464">
            <v>45.468715051806292</v>
          </cell>
          <cell r="BH464">
            <v>42.408178994289898</v>
          </cell>
          <cell r="BI464">
            <v>30.406703917126244</v>
          </cell>
          <cell r="BJ464">
            <v>54.409654071453552</v>
          </cell>
          <cell r="BU464">
            <v>13.440567742141782</v>
          </cell>
          <cell r="BV464">
            <v>29.635401891862816</v>
          </cell>
          <cell r="BW464">
            <v>23.901518972811779</v>
          </cell>
          <cell r="BX464">
            <v>15.713059154269443</v>
          </cell>
          <cell r="BY464">
            <v>32.089978791354113</v>
          </cell>
        </row>
        <row r="465">
          <cell r="A465">
            <v>40177</v>
          </cell>
          <cell r="BF465">
            <v>29.122709447076812</v>
          </cell>
          <cell r="BG465">
            <v>45.468715051806292</v>
          </cell>
          <cell r="BH465">
            <v>42.408178994289898</v>
          </cell>
          <cell r="BI465">
            <v>30.406703917126244</v>
          </cell>
          <cell r="BJ465">
            <v>54.409654071453552</v>
          </cell>
          <cell r="BU465">
            <v>13.435563425318966</v>
          </cell>
          <cell r="BV465">
            <v>29.635401891862816</v>
          </cell>
          <cell r="BW465">
            <v>23.901518972811779</v>
          </cell>
          <cell r="BX465">
            <v>15.713059154269443</v>
          </cell>
          <cell r="BY465">
            <v>32.089978791354113</v>
          </cell>
        </row>
        <row r="466">
          <cell r="A466">
            <v>40178</v>
          </cell>
          <cell r="BF466">
            <v>29.132199253653397</v>
          </cell>
          <cell r="BG466">
            <v>45.468715051806292</v>
          </cell>
          <cell r="BH466">
            <v>42.408178994289898</v>
          </cell>
          <cell r="BI466">
            <v>30.406703917126244</v>
          </cell>
          <cell r="BJ466">
            <v>54.409654071453552</v>
          </cell>
          <cell r="BU466">
            <v>13.440567742141782</v>
          </cell>
          <cell r="BV466">
            <v>29.635401891862816</v>
          </cell>
          <cell r="BW466">
            <v>23.901518972811779</v>
          </cell>
          <cell r="BX466">
            <v>15.713059154269443</v>
          </cell>
          <cell r="BY466">
            <v>32.089978791354113</v>
          </cell>
        </row>
        <row r="467">
          <cell r="A467">
            <v>40179</v>
          </cell>
          <cell r="BF467">
            <v>28.486904888105098</v>
          </cell>
          <cell r="BG467">
            <v>45.468715051806292</v>
          </cell>
          <cell r="BH467">
            <v>42.408178994289898</v>
          </cell>
          <cell r="BI467">
            <v>30.406703917126244</v>
          </cell>
          <cell r="BJ467">
            <v>54.409654071453552</v>
          </cell>
          <cell r="BU467">
            <v>13.195500929541135</v>
          </cell>
          <cell r="BV467">
            <v>29.635401891862816</v>
          </cell>
          <cell r="BW467">
            <v>23.901518972811779</v>
          </cell>
          <cell r="BX467">
            <v>15.713059154269443</v>
          </cell>
          <cell r="BY467">
            <v>32.089978791354113</v>
          </cell>
        </row>
        <row r="468">
          <cell r="A468">
            <v>40182</v>
          </cell>
          <cell r="BF468">
            <v>28.36619299387559</v>
          </cell>
          <cell r="BG468">
            <v>45.468715051806292</v>
          </cell>
          <cell r="BH468">
            <v>42.408178994289898</v>
          </cell>
          <cell r="BI468">
            <v>30.406703917126244</v>
          </cell>
          <cell r="BJ468">
            <v>54.409654071453552</v>
          </cell>
          <cell r="BU468">
            <v>13.417399484749945</v>
          </cell>
          <cell r="BV468">
            <v>29.635401891862816</v>
          </cell>
          <cell r="BW468">
            <v>23.901518972811779</v>
          </cell>
          <cell r="BX468">
            <v>15.713059154269443</v>
          </cell>
          <cell r="BY468">
            <v>32.089978791354113</v>
          </cell>
        </row>
        <row r="469">
          <cell r="A469">
            <v>40183</v>
          </cell>
          <cell r="BF469">
            <v>28.180492315361537</v>
          </cell>
          <cell r="BG469">
            <v>45.468715051806292</v>
          </cell>
          <cell r="BH469">
            <v>42.408178994289898</v>
          </cell>
          <cell r="BI469">
            <v>30.406703917126244</v>
          </cell>
          <cell r="BJ469">
            <v>54.409654071453552</v>
          </cell>
          <cell r="BU469">
            <v>13.31919422939429</v>
          </cell>
          <cell r="BV469">
            <v>29.635401891862816</v>
          </cell>
          <cell r="BW469">
            <v>23.901518972811779</v>
          </cell>
          <cell r="BX469">
            <v>15.713059154269443</v>
          </cell>
          <cell r="BY469">
            <v>32.089978791354113</v>
          </cell>
        </row>
        <row r="470">
          <cell r="A470">
            <v>40184</v>
          </cell>
          <cell r="BF470">
            <v>30.097884490836208</v>
          </cell>
          <cell r="BG470">
            <v>45.468715051806292</v>
          </cell>
          <cell r="BH470">
            <v>42.408178994289898</v>
          </cell>
          <cell r="BI470">
            <v>30.406703917126244</v>
          </cell>
          <cell r="BJ470">
            <v>54.409654071453552</v>
          </cell>
          <cell r="BU470">
            <v>14.424852498113319</v>
          </cell>
          <cell r="BV470">
            <v>29.635401891862816</v>
          </cell>
          <cell r="BW470">
            <v>23.901518972811779</v>
          </cell>
          <cell r="BX470">
            <v>15.713059154269443</v>
          </cell>
          <cell r="BY470">
            <v>32.089978791354113</v>
          </cell>
        </row>
        <row r="471">
          <cell r="A471">
            <v>40185</v>
          </cell>
          <cell r="BF471">
            <v>30.705912943669258</v>
          </cell>
          <cell r="BG471">
            <v>45.468715051806292</v>
          </cell>
          <cell r="BH471">
            <v>42.408178994289898</v>
          </cell>
          <cell r="BI471">
            <v>30.406703917126244</v>
          </cell>
          <cell r="BJ471">
            <v>54.409654071453552</v>
          </cell>
          <cell r="BU471">
            <v>14.701440728082357</v>
          </cell>
          <cell r="BV471">
            <v>29.635401891862816</v>
          </cell>
          <cell r="BW471">
            <v>23.901518972811779</v>
          </cell>
          <cell r="BX471">
            <v>15.713059154269443</v>
          </cell>
          <cell r="BY471">
            <v>32.089978791354113</v>
          </cell>
        </row>
        <row r="472">
          <cell r="A472">
            <v>40186</v>
          </cell>
          <cell r="BF472">
            <v>31.061981704820727</v>
          </cell>
          <cell r="BG472">
            <v>45.468715051806292</v>
          </cell>
          <cell r="BH472">
            <v>42.408178994289898</v>
          </cell>
          <cell r="BI472">
            <v>30.406703917126244</v>
          </cell>
          <cell r="BJ472">
            <v>54.409654071453552</v>
          </cell>
          <cell r="BU472">
            <v>14.890525349974126</v>
          </cell>
          <cell r="BV472">
            <v>29.635401891862816</v>
          </cell>
          <cell r="BW472">
            <v>23.901518972811779</v>
          </cell>
          <cell r="BX472">
            <v>15.713059154269443</v>
          </cell>
          <cell r="BY472">
            <v>32.089978791354113</v>
          </cell>
        </row>
        <row r="473">
          <cell r="A473">
            <v>40189</v>
          </cell>
          <cell r="BF473">
            <v>31.689779606692088</v>
          </cell>
          <cell r="BG473">
            <v>45.468715051806292</v>
          </cell>
          <cell r="BH473">
            <v>42.408178994289898</v>
          </cell>
          <cell r="BI473">
            <v>30.406703917126244</v>
          </cell>
          <cell r="BJ473">
            <v>54.409654071453552</v>
          </cell>
          <cell r="BU473">
            <v>15.223905531941325</v>
          </cell>
          <cell r="BV473">
            <v>29.635401891862816</v>
          </cell>
          <cell r="BW473">
            <v>23.901518972811779</v>
          </cell>
          <cell r="BX473">
            <v>15.713059154269443</v>
          </cell>
          <cell r="BY473">
            <v>32.089978791354113</v>
          </cell>
        </row>
        <row r="474">
          <cell r="A474">
            <v>40190</v>
          </cell>
          <cell r="BF474">
            <v>36.702805807924015</v>
          </cell>
          <cell r="BG474">
            <v>45.468715051806292</v>
          </cell>
          <cell r="BH474">
            <v>42.408178994289898</v>
          </cell>
          <cell r="BI474">
            <v>30.406703917126244</v>
          </cell>
          <cell r="BJ474">
            <v>54.409654071453552</v>
          </cell>
          <cell r="BU474">
            <v>17.885958934080556</v>
          </cell>
          <cell r="BV474">
            <v>29.635401891862816</v>
          </cell>
          <cell r="BW474">
            <v>23.901518972811779</v>
          </cell>
          <cell r="BX474">
            <v>15.713059154269443</v>
          </cell>
          <cell r="BY474">
            <v>32.089978791354113</v>
          </cell>
        </row>
        <row r="475">
          <cell r="A475">
            <v>40191</v>
          </cell>
          <cell r="BF475">
            <v>38.566959444078769</v>
          </cell>
          <cell r="BG475">
            <v>45.468715051806292</v>
          </cell>
          <cell r="BH475">
            <v>42.408178994289898</v>
          </cell>
          <cell r="BI475">
            <v>30.406703917126244</v>
          </cell>
          <cell r="BJ475">
            <v>54.409654071453552</v>
          </cell>
          <cell r="BU475">
            <v>18.857671925051097</v>
          </cell>
          <cell r="BV475">
            <v>29.635401891862816</v>
          </cell>
          <cell r="BW475">
            <v>23.901518972811779</v>
          </cell>
          <cell r="BX475">
            <v>15.713059154269443</v>
          </cell>
          <cell r="BY475">
            <v>32.089978791354113</v>
          </cell>
        </row>
        <row r="476">
          <cell r="A476">
            <v>40192</v>
          </cell>
          <cell r="BF476">
            <v>37.157950489389954</v>
          </cell>
          <cell r="BG476">
            <v>45.468715051806292</v>
          </cell>
          <cell r="BH476">
            <v>42.408178994289898</v>
          </cell>
          <cell r="BI476">
            <v>30.406703917126244</v>
          </cell>
          <cell r="BJ476">
            <v>54.409654071453552</v>
          </cell>
          <cell r="BU476">
            <v>18.10914538061386</v>
          </cell>
          <cell r="BV476">
            <v>29.635401891862816</v>
          </cell>
          <cell r="BW476">
            <v>23.901518972811779</v>
          </cell>
          <cell r="BX476">
            <v>15.713059154269443</v>
          </cell>
          <cell r="BY476">
            <v>32.089978791354113</v>
          </cell>
        </row>
        <row r="477">
          <cell r="A477">
            <v>40193</v>
          </cell>
          <cell r="BF477">
            <v>37.015244365185723</v>
          </cell>
          <cell r="BG477">
            <v>45.468715051806292</v>
          </cell>
          <cell r="BH477">
            <v>42.408178994289898</v>
          </cell>
          <cell r="BI477">
            <v>30.406703917126244</v>
          </cell>
          <cell r="BJ477">
            <v>54.409654071453552</v>
          </cell>
          <cell r="BU477">
            <v>18.104091511422144</v>
          </cell>
          <cell r="BV477">
            <v>29.635401891862816</v>
          </cell>
          <cell r="BW477">
            <v>23.901518972811779</v>
          </cell>
          <cell r="BX477">
            <v>15.713059154269443</v>
          </cell>
          <cell r="BY477">
            <v>32.089978791354113</v>
          </cell>
        </row>
        <row r="478">
          <cell r="A478">
            <v>40196</v>
          </cell>
          <cell r="BF478">
            <v>37.015244365185723</v>
          </cell>
          <cell r="BG478">
            <v>45.468715051806292</v>
          </cell>
          <cell r="BH478">
            <v>42.408178994289898</v>
          </cell>
          <cell r="BI478">
            <v>30.406703917126244</v>
          </cell>
          <cell r="BJ478">
            <v>54.409654071453552</v>
          </cell>
          <cell r="BU478">
            <v>18.104091511422144</v>
          </cell>
          <cell r="BV478">
            <v>29.635401891862816</v>
          </cell>
          <cell r="BW478">
            <v>23.901518972811779</v>
          </cell>
          <cell r="BX478">
            <v>15.713059154269443</v>
          </cell>
          <cell r="BY478">
            <v>32.089978791354113</v>
          </cell>
        </row>
        <row r="479">
          <cell r="A479">
            <v>40197</v>
          </cell>
          <cell r="BF479">
            <v>36.690233997793271</v>
          </cell>
          <cell r="BG479">
            <v>45.468715051806292</v>
          </cell>
          <cell r="BH479">
            <v>42.408178994289898</v>
          </cell>
          <cell r="BI479">
            <v>30.406703917126244</v>
          </cell>
          <cell r="BJ479">
            <v>54.409654071453552</v>
          </cell>
          <cell r="BU479">
            <v>18.28276498082397</v>
          </cell>
          <cell r="BV479">
            <v>29.635401891862816</v>
          </cell>
          <cell r="BW479">
            <v>23.901518972811779</v>
          </cell>
          <cell r="BX479">
            <v>15.713059154269443</v>
          </cell>
          <cell r="BY479">
            <v>32.089978791354113</v>
          </cell>
        </row>
        <row r="480">
          <cell r="A480">
            <v>40198</v>
          </cell>
          <cell r="BF480">
            <v>36.304924862399453</v>
          </cell>
          <cell r="BG480">
            <v>45.468715051806292</v>
          </cell>
          <cell r="BH480">
            <v>42.408178994289898</v>
          </cell>
          <cell r="BI480">
            <v>30.406703917126244</v>
          </cell>
          <cell r="BJ480">
            <v>54.409654071453552</v>
          </cell>
          <cell r="BU480">
            <v>18.073002033076047</v>
          </cell>
          <cell r="BV480">
            <v>29.635401891862816</v>
          </cell>
          <cell r="BW480">
            <v>23.901518972811779</v>
          </cell>
          <cell r="BX480">
            <v>15.713059154269443</v>
          </cell>
          <cell r="BY480">
            <v>32.089978791354113</v>
          </cell>
        </row>
        <row r="481">
          <cell r="A481">
            <v>40199</v>
          </cell>
          <cell r="BF481">
            <v>36.160442967106448</v>
          </cell>
          <cell r="BG481">
            <v>45.468715051806292</v>
          </cell>
          <cell r="BH481">
            <v>42.408178994289898</v>
          </cell>
          <cell r="BI481">
            <v>30.406703917126244</v>
          </cell>
          <cell r="BJ481">
            <v>54.409654071453552</v>
          </cell>
          <cell r="BU481">
            <v>17.994357695292301</v>
          </cell>
          <cell r="BV481">
            <v>29.635401891862816</v>
          </cell>
          <cell r="BW481">
            <v>23.901518972811779</v>
          </cell>
          <cell r="BX481">
            <v>15.713059154269443</v>
          </cell>
          <cell r="BY481">
            <v>32.089978791354113</v>
          </cell>
        </row>
        <row r="482">
          <cell r="A482">
            <v>40200</v>
          </cell>
          <cell r="BF482">
            <v>35.158667534666769</v>
          </cell>
          <cell r="BG482">
            <v>45.468715051806292</v>
          </cell>
          <cell r="BH482">
            <v>42.408178994289898</v>
          </cell>
          <cell r="BI482">
            <v>30.406703917126244</v>
          </cell>
          <cell r="BJ482">
            <v>54.409654071453552</v>
          </cell>
          <cell r="BU482">
            <v>17.449015950202011</v>
          </cell>
          <cell r="BV482">
            <v>29.635401891862816</v>
          </cell>
          <cell r="BW482">
            <v>23.901518972811779</v>
          </cell>
          <cell r="BX482">
            <v>15.713059154269443</v>
          </cell>
          <cell r="BY482">
            <v>32.089978791354113</v>
          </cell>
        </row>
        <row r="483">
          <cell r="A483">
            <v>40203</v>
          </cell>
          <cell r="BF483">
            <v>35.094472981108609</v>
          </cell>
          <cell r="BG483">
            <v>45.468715051806292</v>
          </cell>
          <cell r="BH483">
            <v>42.408178994289898</v>
          </cell>
          <cell r="BI483">
            <v>30.406703917126244</v>
          </cell>
          <cell r="BJ483">
            <v>54.409654071453552</v>
          </cell>
          <cell r="BU483">
            <v>17.422209429583191</v>
          </cell>
          <cell r="BV483">
            <v>29.635401891862816</v>
          </cell>
          <cell r="BW483">
            <v>23.901518972811779</v>
          </cell>
          <cell r="BX483">
            <v>15.713059154269443</v>
          </cell>
          <cell r="BY483">
            <v>32.089978791354113</v>
          </cell>
        </row>
        <row r="484">
          <cell r="A484">
            <v>40204</v>
          </cell>
          <cell r="BF484">
            <v>34.930796967147813</v>
          </cell>
          <cell r="BG484">
            <v>45.468715051806292</v>
          </cell>
          <cell r="BH484">
            <v>42.408178994289898</v>
          </cell>
          <cell r="BI484">
            <v>30.406703917126244</v>
          </cell>
          <cell r="BJ484">
            <v>54.409654071453552</v>
          </cell>
          <cell r="BU484">
            <v>17.333054813945179</v>
          </cell>
          <cell r="BV484">
            <v>29.635401891862816</v>
          </cell>
          <cell r="BW484">
            <v>23.901518972811779</v>
          </cell>
          <cell r="BX484">
            <v>15.713059154269443</v>
          </cell>
          <cell r="BY484">
            <v>32.089978791354113</v>
          </cell>
        </row>
        <row r="485">
          <cell r="A485">
            <v>40205</v>
          </cell>
          <cell r="BF485">
            <v>35.662528824170401</v>
          </cell>
          <cell r="BG485">
            <v>45.468715051806292</v>
          </cell>
          <cell r="BH485">
            <v>42.408178994289898</v>
          </cell>
          <cell r="BI485">
            <v>30.406703917126244</v>
          </cell>
          <cell r="BJ485">
            <v>54.409654071453552</v>
          </cell>
          <cell r="BU485">
            <v>17.73156575986204</v>
          </cell>
          <cell r="BV485">
            <v>29.635401891862816</v>
          </cell>
          <cell r="BW485">
            <v>23.901518972811779</v>
          </cell>
          <cell r="BX485">
            <v>15.713059154269443</v>
          </cell>
          <cell r="BY485">
            <v>32.089978791354113</v>
          </cell>
        </row>
        <row r="486">
          <cell r="A486">
            <v>40206</v>
          </cell>
          <cell r="BF486">
            <v>34.950042604408623</v>
          </cell>
          <cell r="BG486">
            <v>45.468715051806292</v>
          </cell>
          <cell r="BH486">
            <v>42.408178994289898</v>
          </cell>
          <cell r="BI486">
            <v>30.406703917126244</v>
          </cell>
          <cell r="BJ486">
            <v>54.409654071453552</v>
          </cell>
          <cell r="BU486">
            <v>17.343534222431476</v>
          </cell>
          <cell r="BV486">
            <v>29.635401891862816</v>
          </cell>
          <cell r="BW486">
            <v>23.901518972811779</v>
          </cell>
          <cell r="BX486">
            <v>15.713059154269443</v>
          </cell>
          <cell r="BY486">
            <v>32.089978791354113</v>
          </cell>
        </row>
        <row r="487">
          <cell r="A487">
            <v>40207</v>
          </cell>
          <cell r="BF487">
            <v>35.325539054041592</v>
          </cell>
          <cell r="BG487">
            <v>45.468715051806292</v>
          </cell>
          <cell r="BH487">
            <v>42.408178994289898</v>
          </cell>
          <cell r="BI487">
            <v>30.406703917126244</v>
          </cell>
          <cell r="BJ487">
            <v>54.409654071453552</v>
          </cell>
          <cell r="BU487">
            <v>17.548029399633055</v>
          </cell>
          <cell r="BV487">
            <v>29.635401891862816</v>
          </cell>
          <cell r="BW487">
            <v>23.901518972811779</v>
          </cell>
          <cell r="BX487">
            <v>15.713059154269443</v>
          </cell>
          <cell r="BY487">
            <v>32.089978791354113</v>
          </cell>
        </row>
        <row r="488">
          <cell r="A488">
            <v>40210</v>
          </cell>
          <cell r="BF488">
            <v>34.975337872744099</v>
          </cell>
          <cell r="BG488">
            <v>45.468715051806292</v>
          </cell>
          <cell r="BH488">
            <v>42.408178994289898</v>
          </cell>
          <cell r="BI488">
            <v>30.406703917126244</v>
          </cell>
          <cell r="BJ488">
            <v>54.409654071453552</v>
          </cell>
          <cell r="BU488">
            <v>17.488586833297727</v>
          </cell>
          <cell r="BV488">
            <v>29.635401891862816</v>
          </cell>
          <cell r="BW488">
            <v>23.901518972811779</v>
          </cell>
          <cell r="BX488">
            <v>15.713059154269443</v>
          </cell>
          <cell r="BY488">
            <v>32.089978791354113</v>
          </cell>
        </row>
        <row r="489">
          <cell r="A489">
            <v>40211</v>
          </cell>
          <cell r="BF489">
            <v>35.5294548016007</v>
          </cell>
          <cell r="BG489">
            <v>45.468715051806292</v>
          </cell>
          <cell r="BH489">
            <v>42.408178994289898</v>
          </cell>
          <cell r="BI489">
            <v>30.406703917126244</v>
          </cell>
          <cell r="BJ489">
            <v>54.409654071453552</v>
          </cell>
          <cell r="BU489">
            <v>17.79192642526926</v>
          </cell>
          <cell r="BV489">
            <v>29.635401891862816</v>
          </cell>
          <cell r="BW489">
            <v>23.901518972811779</v>
          </cell>
          <cell r="BX489">
            <v>15.713059154269443</v>
          </cell>
          <cell r="BY489">
            <v>32.089978791354113</v>
          </cell>
        </row>
        <row r="490">
          <cell r="A490">
            <v>40212</v>
          </cell>
          <cell r="BF490">
            <v>35.548242310405584</v>
          </cell>
          <cell r="BG490">
            <v>45.468715051806292</v>
          </cell>
          <cell r="BH490">
            <v>42.408178994289898</v>
          </cell>
          <cell r="BI490">
            <v>30.406703917126244</v>
          </cell>
          <cell r="BJ490">
            <v>54.409654071453552</v>
          </cell>
          <cell r="BU490">
            <v>17.802201460564007</v>
          </cell>
          <cell r="BV490">
            <v>29.635401891862816</v>
          </cell>
          <cell r="BW490">
            <v>23.901518972811779</v>
          </cell>
          <cell r="BX490">
            <v>15.713059154269443</v>
          </cell>
          <cell r="BY490">
            <v>32.089978791354113</v>
          </cell>
        </row>
        <row r="491">
          <cell r="A491">
            <v>40213</v>
          </cell>
          <cell r="BF491">
            <v>34.393046254993386</v>
          </cell>
          <cell r="BG491">
            <v>45.468715051806292</v>
          </cell>
          <cell r="BH491">
            <v>42.408178994289898</v>
          </cell>
          <cell r="BI491">
            <v>30.406703917126244</v>
          </cell>
          <cell r="BJ491">
            <v>54.409654071453552</v>
          </cell>
          <cell r="BU491">
            <v>17.169822358341719</v>
          </cell>
          <cell r="BV491">
            <v>29.635401891862816</v>
          </cell>
          <cell r="BW491">
            <v>23.901518972811779</v>
          </cell>
          <cell r="BX491">
            <v>15.713059154269443</v>
          </cell>
          <cell r="BY491">
            <v>32.089978791354113</v>
          </cell>
        </row>
        <row r="492">
          <cell r="A492">
            <v>40214</v>
          </cell>
          <cell r="BF492">
            <v>33.902620095685478</v>
          </cell>
          <cell r="BG492">
            <v>45.468715051806292</v>
          </cell>
          <cell r="BH492">
            <v>42.408178994289898</v>
          </cell>
          <cell r="BI492">
            <v>30.406703917126244</v>
          </cell>
          <cell r="BJ492">
            <v>54.409654071453552</v>
          </cell>
          <cell r="BU492">
            <v>16.372237315516944</v>
          </cell>
          <cell r="BV492">
            <v>29.635401891862816</v>
          </cell>
          <cell r="BW492">
            <v>23.901518972811779</v>
          </cell>
          <cell r="BX492">
            <v>15.713059154269443</v>
          </cell>
          <cell r="BY492">
            <v>32.089978791354113</v>
          </cell>
        </row>
        <row r="493">
          <cell r="A493">
            <v>40217</v>
          </cell>
          <cell r="BF493">
            <v>34.084175908883445</v>
          </cell>
          <cell r="BG493">
            <v>45.468715051806292</v>
          </cell>
          <cell r="BH493">
            <v>42.408178994289898</v>
          </cell>
          <cell r="BI493">
            <v>30.406703917126244</v>
          </cell>
          <cell r="BJ493">
            <v>54.409654071453552</v>
          </cell>
          <cell r="BU493">
            <v>16.453103542161248</v>
          </cell>
          <cell r="BV493">
            <v>29.635401891862816</v>
          </cell>
          <cell r="BW493">
            <v>23.901518972811779</v>
          </cell>
          <cell r="BX493">
            <v>15.713059154269443</v>
          </cell>
          <cell r="BY493">
            <v>32.089978791354113</v>
          </cell>
        </row>
        <row r="494">
          <cell r="A494">
            <v>40218</v>
          </cell>
          <cell r="BF494">
            <v>34.237051134232082</v>
          </cell>
          <cell r="BG494">
            <v>45.468715051806292</v>
          </cell>
          <cell r="BH494">
            <v>42.408178994289898</v>
          </cell>
          <cell r="BI494">
            <v>30.406703917126244</v>
          </cell>
          <cell r="BJ494">
            <v>54.409654071453552</v>
          </cell>
          <cell r="BU494">
            <v>16.534553669863509</v>
          </cell>
          <cell r="BV494">
            <v>29.635401891862816</v>
          </cell>
          <cell r="BW494">
            <v>23.901518972811779</v>
          </cell>
          <cell r="BX494">
            <v>15.713059154269443</v>
          </cell>
          <cell r="BY494">
            <v>32.089978791354113</v>
          </cell>
        </row>
        <row r="495">
          <cell r="A495">
            <v>40219</v>
          </cell>
          <cell r="BF495">
            <v>34.007730651874532</v>
          </cell>
          <cell r="BG495">
            <v>45.468715051806292</v>
          </cell>
          <cell r="BH495">
            <v>42.408178994289898</v>
          </cell>
          <cell r="BI495">
            <v>30.406703917126244</v>
          </cell>
          <cell r="BJ495">
            <v>54.409654071453552</v>
          </cell>
          <cell r="BU495">
            <v>16.412370014200409</v>
          </cell>
          <cell r="BV495">
            <v>29.635401891862816</v>
          </cell>
          <cell r="BW495">
            <v>23.901518972811779</v>
          </cell>
          <cell r="BX495">
            <v>15.713059154269443</v>
          </cell>
          <cell r="BY495">
            <v>32.089978791354113</v>
          </cell>
        </row>
        <row r="496">
          <cell r="A496">
            <v>40220</v>
          </cell>
          <cell r="BF496">
            <v>35.066436060142536</v>
          </cell>
          <cell r="BG496">
            <v>45.468715051806292</v>
          </cell>
          <cell r="BH496">
            <v>42.408178994289898</v>
          </cell>
          <cell r="BI496">
            <v>30.406703917126244</v>
          </cell>
          <cell r="BJ496">
            <v>54.409654071453552</v>
          </cell>
          <cell r="BU496">
            <v>16.941838164813657</v>
          </cell>
          <cell r="BV496">
            <v>29.635401891862816</v>
          </cell>
          <cell r="BW496">
            <v>23.901518972811779</v>
          </cell>
          <cell r="BX496">
            <v>15.713059154269443</v>
          </cell>
          <cell r="BY496">
            <v>32.089978791354113</v>
          </cell>
        </row>
        <row r="497">
          <cell r="A497">
            <v>40221</v>
          </cell>
          <cell r="BF497">
            <v>35.430220517496593</v>
          </cell>
          <cell r="BG497">
            <v>45.468715051806292</v>
          </cell>
          <cell r="BH497">
            <v>42.408178994289898</v>
          </cell>
          <cell r="BI497">
            <v>30.406703917126244</v>
          </cell>
          <cell r="BJ497">
            <v>54.409654071453552</v>
          </cell>
          <cell r="BU497">
            <v>17.135306552421941</v>
          </cell>
          <cell r="BV497">
            <v>29.635401891862816</v>
          </cell>
          <cell r="BW497">
            <v>23.901518972811779</v>
          </cell>
          <cell r="BX497">
            <v>15.713059154269443</v>
          </cell>
          <cell r="BY497">
            <v>32.089978791354113</v>
          </cell>
        </row>
        <row r="498">
          <cell r="A498">
            <v>40224</v>
          </cell>
          <cell r="BF498">
            <v>35.430220517496593</v>
          </cell>
          <cell r="BG498">
            <v>45.468715051806292</v>
          </cell>
          <cell r="BH498">
            <v>42.408178994289898</v>
          </cell>
          <cell r="BI498">
            <v>30.406703917126244</v>
          </cell>
          <cell r="BJ498">
            <v>54.409654071453552</v>
          </cell>
          <cell r="BU498">
            <v>17.135306552421941</v>
          </cell>
          <cell r="BV498">
            <v>29.635401891862816</v>
          </cell>
          <cell r="BW498">
            <v>23.901518972811779</v>
          </cell>
          <cell r="BX498">
            <v>15.713059154269443</v>
          </cell>
          <cell r="BY498">
            <v>32.089978791354113</v>
          </cell>
        </row>
        <row r="499">
          <cell r="A499">
            <v>40225</v>
          </cell>
          <cell r="BF499">
            <v>35.318809470285139</v>
          </cell>
          <cell r="BG499">
            <v>45.468715051806292</v>
          </cell>
          <cell r="BH499">
            <v>42.408178994289898</v>
          </cell>
          <cell r="BI499">
            <v>30.406703917126244</v>
          </cell>
          <cell r="BJ499">
            <v>54.409654071453552</v>
          </cell>
          <cell r="BU499">
            <v>17.221847842112457</v>
          </cell>
          <cell r="BV499">
            <v>29.635401891862816</v>
          </cell>
          <cell r="BW499">
            <v>23.901518972811779</v>
          </cell>
          <cell r="BX499">
            <v>15.713059154269443</v>
          </cell>
          <cell r="BY499">
            <v>32.089978791354113</v>
          </cell>
        </row>
        <row r="500">
          <cell r="A500">
            <v>40226</v>
          </cell>
          <cell r="BF500">
            <v>34.891338752224485</v>
          </cell>
          <cell r="BG500">
            <v>45.468715051806292</v>
          </cell>
          <cell r="BH500">
            <v>42.408178994289898</v>
          </cell>
          <cell r="BI500">
            <v>30.406703917126244</v>
          </cell>
          <cell r="BJ500">
            <v>54.409654071453552</v>
          </cell>
          <cell r="BU500">
            <v>16.99275401675099</v>
          </cell>
          <cell r="BV500">
            <v>29.635401891862816</v>
          </cell>
          <cell r="BW500">
            <v>23.901518972811779</v>
          </cell>
          <cell r="BX500">
            <v>15.713059154269443</v>
          </cell>
          <cell r="BY500">
            <v>32.089978791354113</v>
          </cell>
        </row>
        <row r="501">
          <cell r="A501">
            <v>40227</v>
          </cell>
          <cell r="BF501">
            <v>34.805847838412646</v>
          </cell>
          <cell r="BG501">
            <v>45.468715051806292</v>
          </cell>
          <cell r="BH501">
            <v>42.408178994289898</v>
          </cell>
          <cell r="BI501">
            <v>30.406703917126244</v>
          </cell>
          <cell r="BJ501">
            <v>54.409654071453552</v>
          </cell>
          <cell r="BU501">
            <v>16.946929326801907</v>
          </cell>
          <cell r="BV501">
            <v>29.635401891862816</v>
          </cell>
          <cell r="BW501">
            <v>23.901518972811779</v>
          </cell>
          <cell r="BX501">
            <v>15.713059154269443</v>
          </cell>
          <cell r="BY501">
            <v>32.089978791354113</v>
          </cell>
        </row>
        <row r="502">
          <cell r="A502">
            <v>40228</v>
          </cell>
          <cell r="BF502">
            <v>34.767841638462677</v>
          </cell>
          <cell r="BG502">
            <v>45.468715051806292</v>
          </cell>
          <cell r="BH502">
            <v>42.408178994289898</v>
          </cell>
          <cell r="BI502">
            <v>30.406703917126244</v>
          </cell>
          <cell r="BJ502">
            <v>54.409654071453552</v>
          </cell>
          <cell r="BU502">
            <v>16.926564678848916</v>
          </cell>
          <cell r="BV502">
            <v>29.635401891862816</v>
          </cell>
          <cell r="BW502">
            <v>23.901518972811779</v>
          </cell>
          <cell r="BX502">
            <v>15.713059154269443</v>
          </cell>
          <cell r="BY502">
            <v>32.089978791354113</v>
          </cell>
        </row>
        <row r="503">
          <cell r="A503">
            <v>40231</v>
          </cell>
          <cell r="BF503">
            <v>34.549359897916936</v>
          </cell>
          <cell r="BG503">
            <v>45.468715051806292</v>
          </cell>
          <cell r="BH503">
            <v>42.408178994289898</v>
          </cell>
          <cell r="BI503">
            <v>30.406703917126244</v>
          </cell>
          <cell r="BJ503">
            <v>54.409654071453552</v>
          </cell>
          <cell r="BU503">
            <v>16.809472185174059</v>
          </cell>
          <cell r="BV503">
            <v>29.635401891862816</v>
          </cell>
          <cell r="BW503">
            <v>23.901518972811779</v>
          </cell>
          <cell r="BX503">
            <v>15.713059154269443</v>
          </cell>
          <cell r="BY503">
            <v>32.089978791354113</v>
          </cell>
        </row>
        <row r="504">
          <cell r="A504">
            <v>40232</v>
          </cell>
          <cell r="BF504">
            <v>34.207380093668128</v>
          </cell>
          <cell r="BG504">
            <v>45.468715051806292</v>
          </cell>
          <cell r="BH504">
            <v>42.408178994289898</v>
          </cell>
          <cell r="BI504">
            <v>30.406703917126244</v>
          </cell>
          <cell r="BJ504">
            <v>54.409654071453552</v>
          </cell>
          <cell r="BU504">
            <v>16.626186121542272</v>
          </cell>
          <cell r="BV504">
            <v>29.635401891862816</v>
          </cell>
          <cell r="BW504">
            <v>23.901518972811779</v>
          </cell>
          <cell r="BX504">
            <v>15.713059154269443</v>
          </cell>
          <cell r="BY504">
            <v>32.089978791354113</v>
          </cell>
        </row>
        <row r="505">
          <cell r="A505">
            <v>40233</v>
          </cell>
          <cell r="BF505">
            <v>34.330877207429943</v>
          </cell>
          <cell r="BG505">
            <v>45.468715051806292</v>
          </cell>
          <cell r="BH505">
            <v>42.408178994289898</v>
          </cell>
          <cell r="BI505">
            <v>30.406703917126244</v>
          </cell>
          <cell r="BJ505">
            <v>54.409654071453552</v>
          </cell>
          <cell r="BU505">
            <v>16.692379691499205</v>
          </cell>
          <cell r="BV505">
            <v>29.635401891862816</v>
          </cell>
          <cell r="BW505">
            <v>23.901518972811779</v>
          </cell>
          <cell r="BX505">
            <v>15.713059154269443</v>
          </cell>
          <cell r="BY505">
            <v>32.089978791354113</v>
          </cell>
        </row>
        <row r="506">
          <cell r="A506">
            <v>40234</v>
          </cell>
          <cell r="BF506">
            <v>34.644344524700855</v>
          </cell>
          <cell r="BG506">
            <v>45.468715051806292</v>
          </cell>
          <cell r="BH506">
            <v>42.408178994289898</v>
          </cell>
          <cell r="BI506">
            <v>30.406703917126244</v>
          </cell>
          <cell r="BJ506">
            <v>54.409654071453552</v>
          </cell>
          <cell r="BU506">
            <v>16.860388037111392</v>
          </cell>
          <cell r="BV506">
            <v>29.635401891862816</v>
          </cell>
          <cell r="BW506">
            <v>23.901518972811779</v>
          </cell>
          <cell r="BX506">
            <v>15.713059154269443</v>
          </cell>
          <cell r="BY506">
            <v>32.089978791354113</v>
          </cell>
        </row>
        <row r="507">
          <cell r="A507">
            <v>40235</v>
          </cell>
          <cell r="BF507">
            <v>34.50185998499488</v>
          </cell>
          <cell r="BG507">
            <v>45.468715051806292</v>
          </cell>
          <cell r="BH507">
            <v>42.408178994289898</v>
          </cell>
          <cell r="BI507">
            <v>30.406703917126244</v>
          </cell>
          <cell r="BJ507">
            <v>54.409654071453552</v>
          </cell>
          <cell r="BU507">
            <v>16.784012143177964</v>
          </cell>
          <cell r="BV507">
            <v>29.635401891862816</v>
          </cell>
          <cell r="BW507">
            <v>23.901518972811779</v>
          </cell>
          <cell r="BX507">
            <v>15.713059154269443</v>
          </cell>
          <cell r="BY507">
            <v>32.089978791354113</v>
          </cell>
        </row>
        <row r="508">
          <cell r="A508">
            <v>40238</v>
          </cell>
          <cell r="BF508">
            <v>35.23594920976479</v>
          </cell>
          <cell r="BG508">
            <v>45.468715051806292</v>
          </cell>
          <cell r="BH508">
            <v>42.408178994289898</v>
          </cell>
          <cell r="BI508">
            <v>30.406703917126244</v>
          </cell>
          <cell r="BJ508">
            <v>54.409654071453552</v>
          </cell>
          <cell r="BU508">
            <v>17.366319320496945</v>
          </cell>
          <cell r="BV508">
            <v>29.635401891862816</v>
          </cell>
          <cell r="BW508">
            <v>23.901518972811779</v>
          </cell>
          <cell r="BX508">
            <v>15.713059154269443</v>
          </cell>
          <cell r="BY508">
            <v>32.089978791354113</v>
          </cell>
        </row>
        <row r="509">
          <cell r="A509">
            <v>40239</v>
          </cell>
          <cell r="BF509">
            <v>35.263773465904876</v>
          </cell>
          <cell r="BG509">
            <v>45.468715051806292</v>
          </cell>
          <cell r="BH509">
            <v>42.408178994289898</v>
          </cell>
          <cell r="BI509">
            <v>30.406703917126244</v>
          </cell>
          <cell r="BJ509">
            <v>54.409654071453552</v>
          </cell>
          <cell r="BU509">
            <v>17.381355467468762</v>
          </cell>
          <cell r="BV509">
            <v>29.635401891862816</v>
          </cell>
          <cell r="BW509">
            <v>23.901518972811779</v>
          </cell>
          <cell r="BX509">
            <v>15.713059154269443</v>
          </cell>
          <cell r="BY509">
            <v>32.089978791354113</v>
          </cell>
        </row>
        <row r="510">
          <cell r="A510">
            <v>40240</v>
          </cell>
          <cell r="BF510">
            <v>36.061428730429618</v>
          </cell>
          <cell r="BG510">
            <v>45.468715051806292</v>
          </cell>
          <cell r="BH510">
            <v>42.408178994289898</v>
          </cell>
          <cell r="BI510">
            <v>30.406703917126244</v>
          </cell>
          <cell r="BJ510">
            <v>54.409654071453552</v>
          </cell>
          <cell r="BU510">
            <v>17.81228821144142</v>
          </cell>
          <cell r="BV510">
            <v>29.635401891862816</v>
          </cell>
          <cell r="BW510">
            <v>23.901518972811779</v>
          </cell>
          <cell r="BX510">
            <v>15.713059154269443</v>
          </cell>
          <cell r="BY510">
            <v>32.089978791354113</v>
          </cell>
        </row>
        <row r="511">
          <cell r="A511">
            <v>40241</v>
          </cell>
          <cell r="BF511">
            <v>35.583150764696242</v>
          </cell>
          <cell r="BG511">
            <v>45.468715051806292</v>
          </cell>
          <cell r="BH511">
            <v>42.408178994289898</v>
          </cell>
          <cell r="BI511">
            <v>30.406703917126244</v>
          </cell>
          <cell r="BJ511">
            <v>54.409654071453552</v>
          </cell>
          <cell r="BU511">
            <v>17.506631859621244</v>
          </cell>
          <cell r="BV511">
            <v>29.635401891862816</v>
          </cell>
          <cell r="BW511">
            <v>23.901518972811779</v>
          </cell>
          <cell r="BX511">
            <v>15.713059154269443</v>
          </cell>
          <cell r="BY511">
            <v>32.089978791354113</v>
          </cell>
        </row>
        <row r="512">
          <cell r="A512">
            <v>40242</v>
          </cell>
          <cell r="BF512">
            <v>36.094539444704651</v>
          </cell>
          <cell r="BG512">
            <v>45.468715051806292</v>
          </cell>
          <cell r="BH512">
            <v>42.408178994289898</v>
          </cell>
          <cell r="BI512">
            <v>30.406703917126244</v>
          </cell>
          <cell r="BJ512">
            <v>54.409654071453552</v>
          </cell>
          <cell r="BU512">
            <v>17.782215917497783</v>
          </cell>
          <cell r="BV512">
            <v>29.635401891862816</v>
          </cell>
          <cell r="BW512">
            <v>23.901518972811779</v>
          </cell>
          <cell r="BX512">
            <v>15.713059154269443</v>
          </cell>
          <cell r="BY512">
            <v>32.089978791354113</v>
          </cell>
        </row>
        <row r="513">
          <cell r="A513">
            <v>40245</v>
          </cell>
          <cell r="BF513">
            <v>35.955076144196873</v>
          </cell>
          <cell r="BG513">
            <v>45.468715051806292</v>
          </cell>
          <cell r="BH513">
            <v>42.408178994289898</v>
          </cell>
          <cell r="BI513">
            <v>30.406703917126244</v>
          </cell>
          <cell r="BJ513">
            <v>54.409654071453552</v>
          </cell>
          <cell r="BU513">
            <v>17.707055876482585</v>
          </cell>
          <cell r="BV513">
            <v>29.635401891862816</v>
          </cell>
          <cell r="BW513">
            <v>23.901518972811779</v>
          </cell>
          <cell r="BX513">
            <v>15.713059154269443</v>
          </cell>
          <cell r="BY513">
            <v>32.089978791354113</v>
          </cell>
        </row>
        <row r="514">
          <cell r="A514">
            <v>40246</v>
          </cell>
          <cell r="BF514">
            <v>36.261908608367897</v>
          </cell>
          <cell r="BG514">
            <v>45.468715051806292</v>
          </cell>
          <cell r="BH514">
            <v>42.408178994289898</v>
          </cell>
          <cell r="BI514">
            <v>30.406703917126244</v>
          </cell>
          <cell r="BJ514">
            <v>54.409654071453552</v>
          </cell>
          <cell r="BU514">
            <v>17.872412105484802</v>
          </cell>
          <cell r="BV514">
            <v>29.635401891862816</v>
          </cell>
          <cell r="BW514">
            <v>23.901518972811779</v>
          </cell>
          <cell r="BX514">
            <v>15.713059154269443</v>
          </cell>
          <cell r="BY514">
            <v>32.089978791354113</v>
          </cell>
        </row>
        <row r="515">
          <cell r="A515">
            <v>40247</v>
          </cell>
          <cell r="BF515">
            <v>36.671006163362222</v>
          </cell>
          <cell r="BG515">
            <v>45.468715051806292</v>
          </cell>
          <cell r="BH515">
            <v>42.408178994289898</v>
          </cell>
          <cell r="BI515">
            <v>30.406703917126244</v>
          </cell>
          <cell r="BJ515">
            <v>54.409654071453552</v>
          </cell>
          <cell r="BU515">
            <v>18.092867763233453</v>
          </cell>
          <cell r="BV515">
            <v>29.635401891862816</v>
          </cell>
          <cell r="BW515">
            <v>23.901518972811779</v>
          </cell>
          <cell r="BX515">
            <v>15.713059154269443</v>
          </cell>
          <cell r="BY515">
            <v>32.089978791354113</v>
          </cell>
        </row>
        <row r="516">
          <cell r="A516">
            <v>40248</v>
          </cell>
          <cell r="BF516">
            <v>37.470627737803156</v>
          </cell>
          <cell r="BG516">
            <v>45.468715051806292</v>
          </cell>
          <cell r="BH516">
            <v>42.408178994289898</v>
          </cell>
          <cell r="BI516">
            <v>30.406703917126244</v>
          </cell>
          <cell r="BJ516">
            <v>54.409654071453552</v>
          </cell>
          <cell r="BU516">
            <v>18.523800507206115</v>
          </cell>
          <cell r="BV516">
            <v>29.635401891862816</v>
          </cell>
          <cell r="BW516">
            <v>23.901518972811779</v>
          </cell>
          <cell r="BX516">
            <v>15.713059154269443</v>
          </cell>
          <cell r="BY516">
            <v>32.089978791354113</v>
          </cell>
        </row>
        <row r="517">
          <cell r="A517">
            <v>40249</v>
          </cell>
          <cell r="BF517">
            <v>37.665890677318991</v>
          </cell>
          <cell r="BG517">
            <v>45.468715051806292</v>
          </cell>
          <cell r="BH517">
            <v>42.408178994289898</v>
          </cell>
          <cell r="BI517">
            <v>30.406703917126244</v>
          </cell>
          <cell r="BJ517">
            <v>54.409654071453552</v>
          </cell>
          <cell r="BU517">
            <v>18.62903284216495</v>
          </cell>
          <cell r="BV517">
            <v>29.635401891862816</v>
          </cell>
          <cell r="BW517">
            <v>23.901518972811779</v>
          </cell>
          <cell r="BX517">
            <v>15.713059154269443</v>
          </cell>
          <cell r="BY517">
            <v>32.089978791354113</v>
          </cell>
        </row>
        <row r="518">
          <cell r="A518">
            <v>40252</v>
          </cell>
          <cell r="BF518">
            <v>37.173101567049081</v>
          </cell>
          <cell r="BG518">
            <v>45.468715051806292</v>
          </cell>
          <cell r="BH518">
            <v>42.408178994289898</v>
          </cell>
          <cell r="BI518">
            <v>30.406703917126244</v>
          </cell>
          <cell r="BJ518">
            <v>54.409654071453552</v>
          </cell>
          <cell r="BU518">
            <v>18.363456327194505</v>
          </cell>
          <cell r="BV518">
            <v>29.635401891862816</v>
          </cell>
          <cell r="BW518">
            <v>23.901518972811779</v>
          </cell>
          <cell r="BX518">
            <v>15.713059154269443</v>
          </cell>
          <cell r="BY518">
            <v>32.089978791354113</v>
          </cell>
        </row>
        <row r="519">
          <cell r="A519">
            <v>40253</v>
          </cell>
          <cell r="BF519">
            <v>37.331164437295371</v>
          </cell>
          <cell r="BG519">
            <v>45.468715051806292</v>
          </cell>
          <cell r="BH519">
            <v>42.408178994289898</v>
          </cell>
          <cell r="BI519">
            <v>30.406703917126244</v>
          </cell>
          <cell r="BJ519">
            <v>54.409654071453552</v>
          </cell>
          <cell r="BU519">
            <v>18.448640466190916</v>
          </cell>
          <cell r="BV519">
            <v>29.635401891862816</v>
          </cell>
          <cell r="BW519">
            <v>23.901518972811779</v>
          </cell>
          <cell r="BX519">
            <v>15.713059154269443</v>
          </cell>
          <cell r="BY519">
            <v>32.089978791354113</v>
          </cell>
        </row>
        <row r="520">
          <cell r="A520">
            <v>40254</v>
          </cell>
          <cell r="BF520">
            <v>37.052223889391882</v>
          </cell>
          <cell r="BG520">
            <v>45.468715051806292</v>
          </cell>
          <cell r="BH520">
            <v>42.408178994289898</v>
          </cell>
          <cell r="BI520">
            <v>30.406703917126244</v>
          </cell>
          <cell r="BJ520">
            <v>54.409654071453552</v>
          </cell>
          <cell r="BU520">
            <v>18.298316245391742</v>
          </cell>
          <cell r="BV520">
            <v>29.635401891862816</v>
          </cell>
          <cell r="BW520">
            <v>23.901518972811779</v>
          </cell>
          <cell r="BX520">
            <v>15.713059154269443</v>
          </cell>
          <cell r="BY520">
            <v>32.089978791354113</v>
          </cell>
        </row>
        <row r="521">
          <cell r="A521">
            <v>40255</v>
          </cell>
          <cell r="BF521">
            <v>36.86626817308553</v>
          </cell>
          <cell r="BG521">
            <v>45.468715051806292</v>
          </cell>
          <cell r="BH521">
            <v>42.408178994289898</v>
          </cell>
          <cell r="BI521">
            <v>30.406703917126244</v>
          </cell>
          <cell r="BJ521">
            <v>54.409654071453552</v>
          </cell>
          <cell r="BU521">
            <v>18.198100098192292</v>
          </cell>
          <cell r="BV521">
            <v>29.635401891862816</v>
          </cell>
          <cell r="BW521">
            <v>23.901518972811779</v>
          </cell>
          <cell r="BX521">
            <v>15.713059154269443</v>
          </cell>
          <cell r="BY521">
            <v>32.089978791354113</v>
          </cell>
        </row>
        <row r="522">
          <cell r="A522">
            <v>40256</v>
          </cell>
          <cell r="BF522">
            <v>37.052223889391882</v>
          </cell>
          <cell r="BG522">
            <v>45.468715051806292</v>
          </cell>
          <cell r="BH522">
            <v>42.408178994289898</v>
          </cell>
          <cell r="BI522">
            <v>30.406703917126244</v>
          </cell>
          <cell r="BJ522">
            <v>54.409654071453552</v>
          </cell>
          <cell r="BU522">
            <v>18.298316245391742</v>
          </cell>
          <cell r="BV522">
            <v>29.635401891862816</v>
          </cell>
          <cell r="BW522">
            <v>23.901518972811779</v>
          </cell>
          <cell r="BX522">
            <v>15.713059154269443</v>
          </cell>
          <cell r="BY522">
            <v>32.089978791354113</v>
          </cell>
        </row>
        <row r="523">
          <cell r="A523">
            <v>40259</v>
          </cell>
          <cell r="BF523">
            <v>37.36835055967699</v>
          </cell>
          <cell r="BG523">
            <v>45.468715051806292</v>
          </cell>
          <cell r="BH523">
            <v>42.408178994289898</v>
          </cell>
          <cell r="BI523">
            <v>30.406703917126244</v>
          </cell>
          <cell r="BJ523">
            <v>54.409654071453552</v>
          </cell>
          <cell r="BU523">
            <v>18.468672107078227</v>
          </cell>
          <cell r="BV523">
            <v>29.635401891862816</v>
          </cell>
          <cell r="BW523">
            <v>23.901518972811779</v>
          </cell>
          <cell r="BX523">
            <v>15.713059154269443</v>
          </cell>
          <cell r="BY523">
            <v>32.089978791354113</v>
          </cell>
        </row>
        <row r="524">
          <cell r="A524">
            <v>40260</v>
          </cell>
          <cell r="BF524">
            <v>37.2102876894307</v>
          </cell>
          <cell r="BG524">
            <v>45.468715051806292</v>
          </cell>
          <cell r="BH524">
            <v>42.408178994289898</v>
          </cell>
          <cell r="BI524">
            <v>30.406703917126244</v>
          </cell>
          <cell r="BJ524">
            <v>54.409654071453552</v>
          </cell>
          <cell r="BU524">
            <v>18.383500384388149</v>
          </cell>
          <cell r="BV524">
            <v>29.635401891862816</v>
          </cell>
          <cell r="BW524">
            <v>23.901518972811779</v>
          </cell>
          <cell r="BX524">
            <v>15.713059154269443</v>
          </cell>
          <cell r="BY524">
            <v>32.089978791354113</v>
          </cell>
        </row>
        <row r="525">
          <cell r="A525">
            <v>40261</v>
          </cell>
          <cell r="BF525">
            <v>36.540835209383467</v>
          </cell>
          <cell r="BG525">
            <v>45.468715051806292</v>
          </cell>
          <cell r="BH525">
            <v>42.408178994289898</v>
          </cell>
          <cell r="BI525">
            <v>30.406703917126244</v>
          </cell>
          <cell r="BJ525">
            <v>54.409654071453552</v>
          </cell>
          <cell r="BU525">
            <v>18.022719771208862</v>
          </cell>
          <cell r="BV525">
            <v>29.635401891862816</v>
          </cell>
          <cell r="BW525">
            <v>23.901518972811779</v>
          </cell>
          <cell r="BX525">
            <v>15.713059154269443</v>
          </cell>
          <cell r="BY525">
            <v>32.089978791354113</v>
          </cell>
        </row>
        <row r="526">
          <cell r="A526">
            <v>40262</v>
          </cell>
          <cell r="BF526">
            <v>36.280495161011011</v>
          </cell>
          <cell r="BG526">
            <v>45.468715051806292</v>
          </cell>
          <cell r="BH526">
            <v>42.408178994289898</v>
          </cell>
          <cell r="BI526">
            <v>30.406703917126244</v>
          </cell>
          <cell r="BJ526">
            <v>54.409654071453552</v>
          </cell>
          <cell r="BU526">
            <v>17.88243620346601</v>
          </cell>
          <cell r="BV526">
            <v>29.635401891862816</v>
          </cell>
          <cell r="BW526">
            <v>23.901518972811779</v>
          </cell>
          <cell r="BX526">
            <v>15.713059154269443</v>
          </cell>
          <cell r="BY526">
            <v>32.089978791354113</v>
          </cell>
        </row>
        <row r="527">
          <cell r="A527">
            <v>40263</v>
          </cell>
          <cell r="BF527">
            <v>36.350676853889205</v>
          </cell>
          <cell r="BG527">
            <v>45.468715051806292</v>
          </cell>
          <cell r="BH527">
            <v>42.408178994289898</v>
          </cell>
          <cell r="BI527">
            <v>30.406703917126244</v>
          </cell>
          <cell r="BJ527">
            <v>54.409654071453552</v>
          </cell>
          <cell r="BU527">
            <v>17.840563069290951</v>
          </cell>
          <cell r="BV527">
            <v>29.635401891862816</v>
          </cell>
          <cell r="BW527">
            <v>23.901518972811779</v>
          </cell>
          <cell r="BX527">
            <v>15.713059154269443</v>
          </cell>
          <cell r="BY527">
            <v>32.089978791354113</v>
          </cell>
        </row>
        <row r="528">
          <cell r="A528">
            <v>40266</v>
          </cell>
          <cell r="BF528">
            <v>36.378515700764417</v>
          </cell>
          <cell r="BG528">
            <v>45.468715051806292</v>
          </cell>
          <cell r="BH528">
            <v>42.408178994289898</v>
          </cell>
          <cell r="BI528">
            <v>30.406703917126244</v>
          </cell>
          <cell r="BJ528">
            <v>54.409654071453552</v>
          </cell>
          <cell r="BU528">
            <v>17.855501222745222</v>
          </cell>
          <cell r="BV528">
            <v>29.635401891862816</v>
          </cell>
          <cell r="BW528">
            <v>23.901518972811779</v>
          </cell>
          <cell r="BX528">
            <v>15.713059154269443</v>
          </cell>
          <cell r="BY528">
            <v>32.089978791354113</v>
          </cell>
        </row>
        <row r="529">
          <cell r="A529">
            <v>40267</v>
          </cell>
          <cell r="BF529">
            <v>36.350676853889205</v>
          </cell>
          <cell r="BG529">
            <v>45.468715051806292</v>
          </cell>
          <cell r="BH529">
            <v>42.408178994289898</v>
          </cell>
          <cell r="BI529">
            <v>30.406703917126244</v>
          </cell>
          <cell r="BJ529">
            <v>54.409654071453552</v>
          </cell>
          <cell r="BU529">
            <v>17.840563069290951</v>
          </cell>
          <cell r="BV529">
            <v>29.635401891862816</v>
          </cell>
          <cell r="BW529">
            <v>23.901518972811779</v>
          </cell>
          <cell r="BX529">
            <v>15.713059154269443</v>
          </cell>
          <cell r="BY529">
            <v>32.089978791354113</v>
          </cell>
        </row>
        <row r="530">
          <cell r="A530">
            <v>40268</v>
          </cell>
          <cell r="BF530">
            <v>36.100105887473447</v>
          </cell>
          <cell r="BG530">
            <v>45.468715051806292</v>
          </cell>
          <cell r="BH530">
            <v>42.408178994289898</v>
          </cell>
          <cell r="BI530">
            <v>30.406703917126244</v>
          </cell>
          <cell r="BJ530">
            <v>54.409654071453552</v>
          </cell>
          <cell r="BU530">
            <v>17.706144358976204</v>
          </cell>
          <cell r="BV530">
            <v>29.635401891862816</v>
          </cell>
          <cell r="BW530">
            <v>23.901518972811779</v>
          </cell>
          <cell r="BX530">
            <v>15.713059154269443</v>
          </cell>
          <cell r="BY530">
            <v>32.089978791354113</v>
          </cell>
        </row>
        <row r="531">
          <cell r="A531">
            <v>40269</v>
          </cell>
          <cell r="BF531">
            <v>36.001967741742071</v>
          </cell>
          <cell r="BG531">
            <v>45.468715051806292</v>
          </cell>
          <cell r="BH531">
            <v>42.408178994289898</v>
          </cell>
          <cell r="BI531">
            <v>30.406703917126244</v>
          </cell>
          <cell r="BJ531">
            <v>54.409654071453552</v>
          </cell>
          <cell r="BU531">
            <v>17.514908113893064</v>
          </cell>
          <cell r="BV531">
            <v>29.635401891862816</v>
          </cell>
          <cell r="BW531">
            <v>23.901518972811779</v>
          </cell>
          <cell r="BX531">
            <v>15.713059154269443</v>
          </cell>
          <cell r="BY531">
            <v>32.089978791354113</v>
          </cell>
        </row>
        <row r="532">
          <cell r="A532">
            <v>40270</v>
          </cell>
          <cell r="BF532">
            <v>36.001967741742071</v>
          </cell>
          <cell r="BG532">
            <v>45.468715051806292</v>
          </cell>
          <cell r="BH532">
            <v>42.408178994289898</v>
          </cell>
          <cell r="BI532">
            <v>30.406703917126244</v>
          </cell>
          <cell r="BJ532">
            <v>54.409654071453552</v>
          </cell>
          <cell r="BU532">
            <v>17.514908113893064</v>
          </cell>
          <cell r="BV532">
            <v>29.635401891862816</v>
          </cell>
          <cell r="BW532">
            <v>23.901518972811779</v>
          </cell>
          <cell r="BX532">
            <v>15.713059154269443</v>
          </cell>
          <cell r="BY532">
            <v>32.089978791354113</v>
          </cell>
        </row>
        <row r="533">
          <cell r="A533">
            <v>40273</v>
          </cell>
          <cell r="BF533">
            <v>35.979064140987298</v>
          </cell>
          <cell r="BG533">
            <v>45.468715051806292</v>
          </cell>
          <cell r="BH533">
            <v>42.408178994289898</v>
          </cell>
          <cell r="BI533">
            <v>30.406703917126244</v>
          </cell>
          <cell r="BJ533">
            <v>54.409654071453552</v>
          </cell>
          <cell r="BU533">
            <v>17.351736511324059</v>
          </cell>
          <cell r="BV533">
            <v>29.635401891862816</v>
          </cell>
          <cell r="BW533">
            <v>23.901518972811779</v>
          </cell>
          <cell r="BX533">
            <v>15.713059154269443</v>
          </cell>
          <cell r="BY533">
            <v>32.089978791354113</v>
          </cell>
        </row>
        <row r="534">
          <cell r="A534">
            <v>40274</v>
          </cell>
          <cell r="BF534">
            <v>35.924080132702763</v>
          </cell>
          <cell r="BG534">
            <v>45.468715051806292</v>
          </cell>
          <cell r="BH534">
            <v>42.408178994289898</v>
          </cell>
          <cell r="BI534">
            <v>30.406703917126244</v>
          </cell>
          <cell r="BJ534">
            <v>54.409654071453552</v>
          </cell>
          <cell r="BU534">
            <v>17.3224357827734</v>
          </cell>
          <cell r="BV534">
            <v>29.635401891862816</v>
          </cell>
          <cell r="BW534">
            <v>23.901518972811779</v>
          </cell>
          <cell r="BX534">
            <v>15.713059154269443</v>
          </cell>
          <cell r="BY534">
            <v>32.089978791354113</v>
          </cell>
        </row>
        <row r="535">
          <cell r="A535">
            <v>40275</v>
          </cell>
          <cell r="BF535">
            <v>35.685799906527642</v>
          </cell>
          <cell r="BG535">
            <v>45.468715051806292</v>
          </cell>
          <cell r="BH535">
            <v>42.408178994289898</v>
          </cell>
          <cell r="BI535">
            <v>30.406703917126244</v>
          </cell>
          <cell r="BJ535">
            <v>54.409654071453552</v>
          </cell>
          <cell r="BU535">
            <v>17.195420231303441</v>
          </cell>
          <cell r="BV535">
            <v>29.635401891862816</v>
          </cell>
          <cell r="BW535">
            <v>23.901518972811779</v>
          </cell>
          <cell r="BX535">
            <v>15.713059154269443</v>
          </cell>
          <cell r="BY535">
            <v>32.089978791354113</v>
          </cell>
        </row>
        <row r="536">
          <cell r="A536">
            <v>40276</v>
          </cell>
          <cell r="BF536">
            <v>35.053473730517901</v>
          </cell>
          <cell r="BG536">
            <v>45.468715051806292</v>
          </cell>
          <cell r="BH536">
            <v>42.408178994289898</v>
          </cell>
          <cell r="BI536">
            <v>30.406703917126244</v>
          </cell>
          <cell r="BJ536">
            <v>54.409654071453552</v>
          </cell>
          <cell r="BU536">
            <v>16.858369052536144</v>
          </cell>
          <cell r="BV536">
            <v>29.635401891862816</v>
          </cell>
          <cell r="BW536">
            <v>23.901518972811779</v>
          </cell>
          <cell r="BX536">
            <v>15.713059154269443</v>
          </cell>
          <cell r="BY536">
            <v>32.089978791354113</v>
          </cell>
        </row>
        <row r="537">
          <cell r="A537">
            <v>40277</v>
          </cell>
          <cell r="BF537">
            <v>35.543750538405455</v>
          </cell>
          <cell r="BG537">
            <v>45.468715051806292</v>
          </cell>
          <cell r="BH537">
            <v>42.408178994289898</v>
          </cell>
          <cell r="BI537">
            <v>30.406703917126244</v>
          </cell>
          <cell r="BJ537">
            <v>54.409654071453552</v>
          </cell>
          <cell r="BU537">
            <v>16.98037109243867</v>
          </cell>
          <cell r="BV537">
            <v>29.635401891862816</v>
          </cell>
          <cell r="BW537">
            <v>23.901518972811779</v>
          </cell>
          <cell r="BX537">
            <v>15.713059154269443</v>
          </cell>
          <cell r="BY537">
            <v>32.089978791354113</v>
          </cell>
        </row>
        <row r="538">
          <cell r="A538">
            <v>40280</v>
          </cell>
          <cell r="BF538">
            <v>35.174552357280866</v>
          </cell>
          <cell r="BG538">
            <v>45.468715051806292</v>
          </cell>
          <cell r="BH538">
            <v>42.408178994289898</v>
          </cell>
          <cell r="BI538">
            <v>30.406703917126244</v>
          </cell>
          <cell r="BJ538">
            <v>54.409654071453552</v>
          </cell>
          <cell r="BU538">
            <v>16.670770303187361</v>
          </cell>
          <cell r="BV538">
            <v>29.635401891862816</v>
          </cell>
          <cell r="BW538">
            <v>23.901518972811779</v>
          </cell>
          <cell r="BX538">
            <v>15.713059154269443</v>
          </cell>
          <cell r="BY538">
            <v>32.089978791354113</v>
          </cell>
        </row>
        <row r="539">
          <cell r="A539">
            <v>40281</v>
          </cell>
          <cell r="BF539">
            <v>35.276079572727774</v>
          </cell>
          <cell r="BG539">
            <v>45.468715051806292</v>
          </cell>
          <cell r="BH539">
            <v>42.408178994289898</v>
          </cell>
          <cell r="BI539">
            <v>30.406703917126244</v>
          </cell>
          <cell r="BJ539">
            <v>54.409654071453552</v>
          </cell>
          <cell r="BU539">
            <v>16.724120248703681</v>
          </cell>
          <cell r="BV539">
            <v>29.635401891862816</v>
          </cell>
          <cell r="BW539">
            <v>23.901518972811779</v>
          </cell>
          <cell r="BX539">
            <v>15.713059154269443</v>
          </cell>
          <cell r="BY539">
            <v>32.089978791354113</v>
          </cell>
        </row>
        <row r="540">
          <cell r="A540">
            <v>40282</v>
          </cell>
          <cell r="BF540">
            <v>35.599127173608942</v>
          </cell>
          <cell r="BG540">
            <v>45.468715051806292</v>
          </cell>
          <cell r="BH540">
            <v>42.408178994289898</v>
          </cell>
          <cell r="BI540">
            <v>30.406703917126244</v>
          </cell>
          <cell r="BJ540">
            <v>54.409654071453552</v>
          </cell>
          <cell r="BU540">
            <v>16.893864976605755</v>
          </cell>
          <cell r="BV540">
            <v>29.635401891862816</v>
          </cell>
          <cell r="BW540">
            <v>23.901518972811779</v>
          </cell>
          <cell r="BX540">
            <v>15.713059154269443</v>
          </cell>
          <cell r="BY540">
            <v>32.089978791354113</v>
          </cell>
        </row>
        <row r="541">
          <cell r="A541">
            <v>40283</v>
          </cell>
          <cell r="BF541">
            <v>35.525287352789093</v>
          </cell>
          <cell r="BG541">
            <v>45.468715051806292</v>
          </cell>
          <cell r="BH541">
            <v>42.408178994289898</v>
          </cell>
          <cell r="BI541">
            <v>30.406703917126244</v>
          </cell>
          <cell r="BJ541">
            <v>54.409654071453552</v>
          </cell>
          <cell r="BU541">
            <v>16.967021344787288</v>
          </cell>
          <cell r="BV541">
            <v>29.635401891862816</v>
          </cell>
          <cell r="BW541">
            <v>23.901518972811779</v>
          </cell>
          <cell r="BX541">
            <v>15.713059154269443</v>
          </cell>
          <cell r="BY541">
            <v>32.089978791354113</v>
          </cell>
        </row>
        <row r="542">
          <cell r="A542">
            <v>40284</v>
          </cell>
          <cell r="BF542">
            <v>35.423759214367486</v>
          </cell>
          <cell r="BG542">
            <v>45.468715051806292</v>
          </cell>
          <cell r="BH542">
            <v>42.408178994289898</v>
          </cell>
          <cell r="BI542">
            <v>30.406703917126244</v>
          </cell>
          <cell r="BJ542">
            <v>54.409654071453552</v>
          </cell>
          <cell r="BU542">
            <v>16.913346900841379</v>
          </cell>
          <cell r="BV542">
            <v>29.635401891862816</v>
          </cell>
          <cell r="BW542">
            <v>23.901518972811779</v>
          </cell>
          <cell r="BX542">
            <v>15.713059154269443</v>
          </cell>
          <cell r="BY542">
            <v>32.089978791354113</v>
          </cell>
        </row>
        <row r="543">
          <cell r="A543">
            <v>40287</v>
          </cell>
          <cell r="BF543">
            <v>34.473096210884705</v>
          </cell>
          <cell r="BG543">
            <v>45.468715051806292</v>
          </cell>
          <cell r="BH543">
            <v>42.408178994289898</v>
          </cell>
          <cell r="BI543">
            <v>30.406703917126244</v>
          </cell>
          <cell r="BJ543">
            <v>54.409654071453552</v>
          </cell>
          <cell r="BU543">
            <v>16.410794981092597</v>
          </cell>
          <cell r="BV543">
            <v>29.635401891862816</v>
          </cell>
          <cell r="BW543">
            <v>23.901518972811779</v>
          </cell>
          <cell r="BX543">
            <v>15.713059154269443</v>
          </cell>
          <cell r="BY543">
            <v>32.089978791354113</v>
          </cell>
        </row>
        <row r="544">
          <cell r="A544">
            <v>40288</v>
          </cell>
          <cell r="BF544">
            <v>34.46742739988332</v>
          </cell>
          <cell r="BG544">
            <v>45.468715051806292</v>
          </cell>
          <cell r="BH544">
            <v>42.408178994289898</v>
          </cell>
          <cell r="BI544">
            <v>30.406703917126244</v>
          </cell>
          <cell r="BJ544">
            <v>54.409654071453552</v>
          </cell>
          <cell r="BU544">
            <v>16.479099897444119</v>
          </cell>
          <cell r="BV544">
            <v>29.635401891862816</v>
          </cell>
          <cell r="BW544">
            <v>23.901518972811779</v>
          </cell>
          <cell r="BX544">
            <v>15.713059154269443</v>
          </cell>
          <cell r="BY544">
            <v>32.089978791354113</v>
          </cell>
        </row>
        <row r="545">
          <cell r="A545">
            <v>40289</v>
          </cell>
          <cell r="BF545">
            <v>34.173234183658117</v>
          </cell>
          <cell r="BG545">
            <v>45.468715051806292</v>
          </cell>
          <cell r="BH545">
            <v>42.408178994289898</v>
          </cell>
          <cell r="BI545">
            <v>30.406703917126244</v>
          </cell>
          <cell r="BJ545">
            <v>54.409654071453552</v>
          </cell>
          <cell r="BU545">
            <v>16.322956060510574</v>
          </cell>
          <cell r="BV545">
            <v>29.635401891862816</v>
          </cell>
          <cell r="BW545">
            <v>23.901518972811779</v>
          </cell>
          <cell r="BX545">
            <v>15.713059154269443</v>
          </cell>
          <cell r="BY545">
            <v>32.089978791354113</v>
          </cell>
        </row>
        <row r="546">
          <cell r="A546">
            <v>40290</v>
          </cell>
          <cell r="BF546">
            <v>34.228394032635165</v>
          </cell>
          <cell r="BG546">
            <v>45.468715051806292</v>
          </cell>
          <cell r="BH546">
            <v>42.408178994289898</v>
          </cell>
          <cell r="BI546">
            <v>30.406703917126244</v>
          </cell>
          <cell r="BJ546">
            <v>54.409654071453552</v>
          </cell>
          <cell r="BU546">
            <v>16.473266823257575</v>
          </cell>
          <cell r="BV546">
            <v>29.635401891862816</v>
          </cell>
          <cell r="BW546">
            <v>23.901518972811779</v>
          </cell>
          <cell r="BX546">
            <v>15.713059154269443</v>
          </cell>
          <cell r="BY546">
            <v>32.089978791354113</v>
          </cell>
        </row>
        <row r="547">
          <cell r="A547">
            <v>40291</v>
          </cell>
          <cell r="BF547">
            <v>34.127262586271598</v>
          </cell>
          <cell r="BG547">
            <v>45.468715051806292</v>
          </cell>
          <cell r="BH547">
            <v>42.408178994289898</v>
          </cell>
          <cell r="BI547">
            <v>30.406703917126244</v>
          </cell>
          <cell r="BJ547">
            <v>54.409654071453552</v>
          </cell>
          <cell r="BU547">
            <v>16.419195098919243</v>
          </cell>
          <cell r="BV547">
            <v>29.635401891862816</v>
          </cell>
          <cell r="BW547">
            <v>23.901518972811779</v>
          </cell>
          <cell r="BX547">
            <v>15.713059154269443</v>
          </cell>
          <cell r="BY547">
            <v>32.089978791354113</v>
          </cell>
        </row>
        <row r="548">
          <cell r="A548">
            <v>40294</v>
          </cell>
          <cell r="BF548">
            <v>33.927220834932541</v>
          </cell>
          <cell r="BG548">
            <v>45.468715051806292</v>
          </cell>
          <cell r="BH548">
            <v>42.408178994289898</v>
          </cell>
          <cell r="BI548">
            <v>30.406703917126244</v>
          </cell>
          <cell r="BJ548">
            <v>54.409654071453552</v>
          </cell>
          <cell r="BU548">
            <v>16.267793622947433</v>
          </cell>
          <cell r="BV548">
            <v>29.635401891862816</v>
          </cell>
          <cell r="BW548">
            <v>23.901518972811779</v>
          </cell>
          <cell r="BX548">
            <v>15.713059154269443</v>
          </cell>
          <cell r="BY548">
            <v>32.089978791354113</v>
          </cell>
        </row>
        <row r="549">
          <cell r="A549">
            <v>40295</v>
          </cell>
          <cell r="BF549">
            <v>33.945608272695857</v>
          </cell>
          <cell r="BG549">
            <v>45.468715051806292</v>
          </cell>
          <cell r="BH549">
            <v>42.408178994289898</v>
          </cell>
          <cell r="BI549">
            <v>30.406703917126244</v>
          </cell>
          <cell r="BJ549">
            <v>54.409654071453552</v>
          </cell>
          <cell r="BU549">
            <v>16.277583737064834</v>
          </cell>
          <cell r="BV549">
            <v>29.635401891862816</v>
          </cell>
          <cell r="BW549">
            <v>23.901518972811779</v>
          </cell>
          <cell r="BX549">
            <v>15.713059154269443</v>
          </cell>
          <cell r="BY549">
            <v>32.089978791354113</v>
          </cell>
        </row>
        <row r="550">
          <cell r="A550">
            <v>40296</v>
          </cell>
          <cell r="BF550">
            <v>34.605342192042883</v>
          </cell>
          <cell r="BG550">
            <v>45.468715051806292</v>
          </cell>
          <cell r="BH550">
            <v>42.408178994289898</v>
          </cell>
          <cell r="BI550">
            <v>30.406703917126244</v>
          </cell>
          <cell r="BJ550">
            <v>54.409654071453552</v>
          </cell>
          <cell r="BU550">
            <v>16.625557308183026</v>
          </cell>
          <cell r="BV550">
            <v>29.635401891862816</v>
          </cell>
          <cell r="BW550">
            <v>23.901518972811779</v>
          </cell>
          <cell r="BX550">
            <v>15.713059154269443</v>
          </cell>
          <cell r="BY550">
            <v>32.089978791354113</v>
          </cell>
        </row>
        <row r="551">
          <cell r="A551">
            <v>40297</v>
          </cell>
          <cell r="BF551">
            <v>38.631076764296097</v>
          </cell>
          <cell r="BG551">
            <v>45.468715051806292</v>
          </cell>
          <cell r="BH551">
            <v>42.408178994289898</v>
          </cell>
          <cell r="BI551">
            <v>30.406703917126244</v>
          </cell>
          <cell r="BJ551">
            <v>54.409654071453552</v>
          </cell>
          <cell r="BU551">
            <v>18.531359627340787</v>
          </cell>
          <cell r="BV551">
            <v>29.635401891862816</v>
          </cell>
          <cell r="BW551">
            <v>23.901518972811779</v>
          </cell>
          <cell r="BX551">
            <v>15.713059154269443</v>
          </cell>
          <cell r="BY551">
            <v>32.089978791354113</v>
          </cell>
        </row>
        <row r="552">
          <cell r="A552">
            <v>40298</v>
          </cell>
          <cell r="BF552">
            <v>37.942912664456394</v>
          </cell>
          <cell r="BG552">
            <v>45.468715051806292</v>
          </cell>
          <cell r="BH552">
            <v>42.408178994289898</v>
          </cell>
          <cell r="BI552">
            <v>30.406703917126244</v>
          </cell>
          <cell r="BJ552">
            <v>54.409654071453552</v>
          </cell>
          <cell r="BU552">
            <v>18.201834550617953</v>
          </cell>
          <cell r="BV552">
            <v>29.635401891862816</v>
          </cell>
          <cell r="BW552">
            <v>23.901518972811779</v>
          </cell>
          <cell r="BX552">
            <v>15.713059154269443</v>
          </cell>
          <cell r="BY552">
            <v>32.089978791354113</v>
          </cell>
        </row>
        <row r="553">
          <cell r="A553">
            <v>40301</v>
          </cell>
          <cell r="BF553">
            <v>36.918722406479525</v>
          </cell>
          <cell r="BG553">
            <v>45.468715051806292</v>
          </cell>
          <cell r="BH553">
            <v>42.408178994289898</v>
          </cell>
          <cell r="BI553">
            <v>30.406703917126244</v>
          </cell>
          <cell r="BJ553">
            <v>54.409654071453552</v>
          </cell>
          <cell r="BU553">
            <v>18.205637784148607</v>
          </cell>
          <cell r="BV553">
            <v>29.635401891862816</v>
          </cell>
          <cell r="BW553">
            <v>23.901518972811779</v>
          </cell>
          <cell r="BX553">
            <v>15.713059154269443</v>
          </cell>
          <cell r="BY553">
            <v>32.089978791354113</v>
          </cell>
        </row>
        <row r="554">
          <cell r="A554">
            <v>40302</v>
          </cell>
          <cell r="BF554">
            <v>36.706916642124696</v>
          </cell>
          <cell r="BG554">
            <v>45.468715051806292</v>
          </cell>
          <cell r="BH554">
            <v>42.408178994289898</v>
          </cell>
          <cell r="BI554">
            <v>30.406703917126244</v>
          </cell>
          <cell r="BJ554">
            <v>54.409654071453552</v>
          </cell>
          <cell r="BU554">
            <v>18.115194274499643</v>
          </cell>
          <cell r="BV554">
            <v>29.635401891862816</v>
          </cell>
          <cell r="BW554">
            <v>23.901518972811779</v>
          </cell>
          <cell r="BX554">
            <v>15.713059154269443</v>
          </cell>
          <cell r="BY554">
            <v>32.089978791354113</v>
          </cell>
        </row>
        <row r="555">
          <cell r="A555">
            <v>40303</v>
          </cell>
          <cell r="BF555">
            <v>37.131066273936227</v>
          </cell>
          <cell r="BG555">
            <v>45.468715051806292</v>
          </cell>
          <cell r="BH555">
            <v>42.408178994289898</v>
          </cell>
          <cell r="BI555">
            <v>30.406703917126244</v>
          </cell>
          <cell r="BJ555">
            <v>54.409654071453552</v>
          </cell>
          <cell r="BU555">
            <v>18.345083414986163</v>
          </cell>
          <cell r="BV555">
            <v>29.635401891862816</v>
          </cell>
          <cell r="BW555">
            <v>23.901518972811779</v>
          </cell>
          <cell r="BX555">
            <v>15.713059154269443</v>
          </cell>
          <cell r="BY555">
            <v>32.089978791354113</v>
          </cell>
        </row>
        <row r="556">
          <cell r="A556">
            <v>40304</v>
          </cell>
          <cell r="BF556">
            <v>35.986727957760323</v>
          </cell>
          <cell r="BG556">
            <v>45.468715051806292</v>
          </cell>
          <cell r="BH556">
            <v>42.408178994289898</v>
          </cell>
          <cell r="BI556">
            <v>30.406703917126244</v>
          </cell>
          <cell r="BJ556">
            <v>54.409654071453552</v>
          </cell>
          <cell r="BU556">
            <v>17.717672966075522</v>
          </cell>
          <cell r="BV556">
            <v>29.635401891862816</v>
          </cell>
          <cell r="BW556">
            <v>23.901518972811779</v>
          </cell>
          <cell r="BX556">
            <v>15.713059154269443</v>
          </cell>
          <cell r="BY556">
            <v>32.089978791354113</v>
          </cell>
        </row>
        <row r="557">
          <cell r="A557">
            <v>40305</v>
          </cell>
          <cell r="BF557">
            <v>35.288391707054721</v>
          </cell>
          <cell r="BG557">
            <v>45.468715051806292</v>
          </cell>
          <cell r="BH557">
            <v>42.408178994289898</v>
          </cell>
          <cell r="BI557">
            <v>30.406703917126244</v>
          </cell>
          <cell r="BJ557">
            <v>54.409654071453552</v>
          </cell>
          <cell r="BU557">
            <v>17.339321866164287</v>
          </cell>
          <cell r="BV557">
            <v>29.635401891862816</v>
          </cell>
          <cell r="BW557">
            <v>23.901518972811779</v>
          </cell>
          <cell r="BX557">
            <v>15.713059154269443</v>
          </cell>
          <cell r="BY557">
            <v>32.089978791354113</v>
          </cell>
        </row>
        <row r="558">
          <cell r="A558">
            <v>40308</v>
          </cell>
          <cell r="BF558">
            <v>37.029836981944072</v>
          </cell>
          <cell r="BG558">
            <v>45.468715051806292</v>
          </cell>
          <cell r="BH558">
            <v>42.408178994289898</v>
          </cell>
          <cell r="BI558">
            <v>30.406703917126244</v>
          </cell>
          <cell r="BJ558">
            <v>54.409654071453552</v>
          </cell>
          <cell r="BU558">
            <v>18.307549592469705</v>
          </cell>
          <cell r="BV558">
            <v>29.635401891862816</v>
          </cell>
          <cell r="BW558">
            <v>23.901518972811779</v>
          </cell>
          <cell r="BX558">
            <v>15.713059154269443</v>
          </cell>
          <cell r="BY558">
            <v>32.089978791354113</v>
          </cell>
        </row>
        <row r="559">
          <cell r="A559">
            <v>40309</v>
          </cell>
          <cell r="BF559">
            <v>37.268501308917536</v>
          </cell>
          <cell r="BG559">
            <v>45.468715051806292</v>
          </cell>
          <cell r="BH559">
            <v>42.408178994289898</v>
          </cell>
          <cell r="BI559">
            <v>30.406703917126244</v>
          </cell>
          <cell r="BJ559">
            <v>54.409654071453552</v>
          </cell>
          <cell r="BU559">
            <v>18.43701617955174</v>
          </cell>
          <cell r="BV559">
            <v>29.635401891862816</v>
          </cell>
          <cell r="BW559">
            <v>23.901518972811779</v>
          </cell>
          <cell r="BX559">
            <v>15.713059154269443</v>
          </cell>
          <cell r="BY559">
            <v>32.089978791354113</v>
          </cell>
        </row>
        <row r="560">
          <cell r="A560">
            <v>40310</v>
          </cell>
          <cell r="BF560">
            <v>37.851930302172029</v>
          </cell>
          <cell r="BG560">
            <v>45.468715051806292</v>
          </cell>
          <cell r="BH560">
            <v>42.408178994289898</v>
          </cell>
          <cell r="BI560">
            <v>30.406703917126244</v>
          </cell>
          <cell r="BJ560">
            <v>54.409654071453552</v>
          </cell>
          <cell r="BU560">
            <v>18.753553499292718</v>
          </cell>
          <cell r="BV560">
            <v>29.635401891862816</v>
          </cell>
          <cell r="BW560">
            <v>23.901518972811779</v>
          </cell>
          <cell r="BX560">
            <v>15.713059154269443</v>
          </cell>
          <cell r="BY560">
            <v>32.089978791354113</v>
          </cell>
        </row>
        <row r="561">
          <cell r="A561">
            <v>40311</v>
          </cell>
          <cell r="BF561">
            <v>37.277349928353892</v>
          </cell>
          <cell r="BG561">
            <v>45.468715051806292</v>
          </cell>
          <cell r="BH561">
            <v>42.408178994289898</v>
          </cell>
          <cell r="BI561">
            <v>30.406703917126244</v>
          </cell>
          <cell r="BJ561">
            <v>54.409654071453552</v>
          </cell>
          <cell r="BU561">
            <v>18.441831947549591</v>
          </cell>
          <cell r="BV561">
            <v>29.635401891862816</v>
          </cell>
          <cell r="BW561">
            <v>23.901518972811779</v>
          </cell>
          <cell r="BX561">
            <v>15.713059154269443</v>
          </cell>
          <cell r="BY561">
            <v>32.089978791354113</v>
          </cell>
        </row>
        <row r="562">
          <cell r="A562">
            <v>40312</v>
          </cell>
          <cell r="BF562">
            <v>37.074025272492023</v>
          </cell>
          <cell r="BG562">
            <v>45.468715051806292</v>
          </cell>
          <cell r="BH562">
            <v>42.408178994289898</v>
          </cell>
          <cell r="BI562">
            <v>30.406703917126244</v>
          </cell>
          <cell r="BJ562">
            <v>54.409654071453552</v>
          </cell>
          <cell r="BU562">
            <v>18.331514240086157</v>
          </cell>
          <cell r="BV562">
            <v>29.635401891862816</v>
          </cell>
          <cell r="BW562">
            <v>23.901518972811779</v>
          </cell>
          <cell r="BX562">
            <v>15.713059154269443</v>
          </cell>
          <cell r="BY562">
            <v>32.089978791354113</v>
          </cell>
        </row>
        <row r="563">
          <cell r="A563">
            <v>40315</v>
          </cell>
          <cell r="BF563">
            <v>36.676237839874119</v>
          </cell>
          <cell r="BG563">
            <v>45.468715051806292</v>
          </cell>
          <cell r="BH563">
            <v>42.408178994289898</v>
          </cell>
          <cell r="BI563">
            <v>30.406703917126244</v>
          </cell>
          <cell r="BJ563">
            <v>54.409654071453552</v>
          </cell>
          <cell r="BU563">
            <v>18.115710343829246</v>
          </cell>
          <cell r="BV563">
            <v>29.635401891862816</v>
          </cell>
          <cell r="BW563">
            <v>23.901518972811779</v>
          </cell>
          <cell r="BX563">
            <v>15.713059154269443</v>
          </cell>
          <cell r="BY563">
            <v>32.089978791354113</v>
          </cell>
        </row>
        <row r="564">
          <cell r="A564">
            <v>40316</v>
          </cell>
          <cell r="BF564">
            <v>36.543646448891309</v>
          </cell>
          <cell r="BG564">
            <v>45.468715051806292</v>
          </cell>
          <cell r="BH564">
            <v>42.408178994289898</v>
          </cell>
          <cell r="BI564">
            <v>30.406703917126244</v>
          </cell>
          <cell r="BJ564">
            <v>54.409654071453552</v>
          </cell>
          <cell r="BU564">
            <v>18.043773086631596</v>
          </cell>
          <cell r="BV564">
            <v>29.635401891862816</v>
          </cell>
          <cell r="BW564">
            <v>23.901518972811779</v>
          </cell>
          <cell r="BX564">
            <v>15.713059154269443</v>
          </cell>
          <cell r="BY564">
            <v>32.089978791354113</v>
          </cell>
        </row>
        <row r="565">
          <cell r="A565">
            <v>40317</v>
          </cell>
          <cell r="BF565">
            <v>35.871814355201955</v>
          </cell>
          <cell r="BG565">
            <v>45.468715051806292</v>
          </cell>
          <cell r="BH565">
            <v>42.408178994289898</v>
          </cell>
          <cell r="BI565">
            <v>30.406703917126244</v>
          </cell>
          <cell r="BJ565">
            <v>54.409654071453552</v>
          </cell>
          <cell r="BU565">
            <v>17.679290720985609</v>
          </cell>
          <cell r="BV565">
            <v>29.635401891862816</v>
          </cell>
          <cell r="BW565">
            <v>23.901518972811779</v>
          </cell>
          <cell r="BX565">
            <v>15.713059154269443</v>
          </cell>
          <cell r="BY565">
            <v>32.089978791354113</v>
          </cell>
        </row>
        <row r="566">
          <cell r="A566">
            <v>40318</v>
          </cell>
          <cell r="BF566">
            <v>34.890597929329552</v>
          </cell>
          <cell r="BG566">
            <v>45.468715051806292</v>
          </cell>
          <cell r="BH566">
            <v>42.408178994289898</v>
          </cell>
          <cell r="BI566">
            <v>30.406703917126244</v>
          </cell>
          <cell r="BJ566">
            <v>54.409654071453552</v>
          </cell>
          <cell r="BU566">
            <v>17.14695344265575</v>
          </cell>
          <cell r="BV566">
            <v>29.635401891862816</v>
          </cell>
          <cell r="BW566">
            <v>23.901518972811779</v>
          </cell>
          <cell r="BX566">
            <v>15.713059154269443</v>
          </cell>
          <cell r="BY566">
            <v>32.089978791354113</v>
          </cell>
        </row>
        <row r="567">
          <cell r="A567">
            <v>40319</v>
          </cell>
          <cell r="BF567">
            <v>34.740323443121468</v>
          </cell>
          <cell r="BG567">
            <v>45.468715051806292</v>
          </cell>
          <cell r="BH567">
            <v>42.408178994289898</v>
          </cell>
          <cell r="BI567">
            <v>30.406703917126244</v>
          </cell>
          <cell r="BJ567">
            <v>54.409654071453552</v>
          </cell>
          <cell r="BU567">
            <v>17.065431901478728</v>
          </cell>
          <cell r="BV567">
            <v>29.635401891862816</v>
          </cell>
          <cell r="BW567">
            <v>23.901518972811779</v>
          </cell>
          <cell r="BX567">
            <v>15.713059154269443</v>
          </cell>
          <cell r="BY567">
            <v>32.089978791354113</v>
          </cell>
        </row>
        <row r="568">
          <cell r="A568">
            <v>40322</v>
          </cell>
          <cell r="BF568">
            <v>34.501659116148012</v>
          </cell>
          <cell r="BG568">
            <v>45.468715051806292</v>
          </cell>
          <cell r="BH568">
            <v>42.408178994289898</v>
          </cell>
          <cell r="BI568">
            <v>30.406703917126244</v>
          </cell>
          <cell r="BJ568">
            <v>54.409654071453552</v>
          </cell>
          <cell r="BU568">
            <v>16.935949563724584</v>
          </cell>
          <cell r="BV568">
            <v>29.635401891862816</v>
          </cell>
          <cell r="BW568">
            <v>23.901518972811779</v>
          </cell>
          <cell r="BX568">
            <v>15.713059154269443</v>
          </cell>
          <cell r="BY568">
            <v>32.089978791354113</v>
          </cell>
        </row>
        <row r="569">
          <cell r="A569">
            <v>40323</v>
          </cell>
          <cell r="BF569">
            <v>35.032037939748719</v>
          </cell>
          <cell r="BG569">
            <v>45.468715051806292</v>
          </cell>
          <cell r="BH569">
            <v>42.408178994289898</v>
          </cell>
          <cell r="BI569">
            <v>30.406703917126244</v>
          </cell>
          <cell r="BJ569">
            <v>54.409654071453552</v>
          </cell>
          <cell r="BU569">
            <v>17.223690717179146</v>
          </cell>
          <cell r="BV569">
            <v>29.635401891862816</v>
          </cell>
          <cell r="BW569">
            <v>23.901518972811779</v>
          </cell>
          <cell r="BX569">
            <v>15.713059154269443</v>
          </cell>
          <cell r="BY569">
            <v>32.089978791354113</v>
          </cell>
        </row>
        <row r="570">
          <cell r="A570">
            <v>40324</v>
          </cell>
          <cell r="BF570">
            <v>35.809942969428732</v>
          </cell>
          <cell r="BG570">
            <v>45.468715051806292</v>
          </cell>
          <cell r="BH570">
            <v>42.408178994289898</v>
          </cell>
          <cell r="BI570">
            <v>30.406703917126244</v>
          </cell>
          <cell r="BJ570">
            <v>54.409654071453552</v>
          </cell>
          <cell r="BU570">
            <v>17.645714225713597</v>
          </cell>
          <cell r="BV570">
            <v>29.635401891862816</v>
          </cell>
          <cell r="BW570">
            <v>23.901518972811779</v>
          </cell>
          <cell r="BX570">
            <v>15.713059154269443</v>
          </cell>
          <cell r="BY570">
            <v>32.089978791354113</v>
          </cell>
        </row>
        <row r="571">
          <cell r="A571">
            <v>40325</v>
          </cell>
          <cell r="BF571">
            <v>37.348069049585511</v>
          </cell>
          <cell r="BG571">
            <v>45.468715051806292</v>
          </cell>
          <cell r="BH571">
            <v>42.408178994289898</v>
          </cell>
          <cell r="BI571">
            <v>30.406703917126244</v>
          </cell>
          <cell r="BJ571">
            <v>54.409654071453552</v>
          </cell>
          <cell r="BU571">
            <v>18.480192709475233</v>
          </cell>
          <cell r="BV571">
            <v>29.635401891862816</v>
          </cell>
          <cell r="BW571">
            <v>23.901518972811779</v>
          </cell>
          <cell r="BX571">
            <v>15.713059154269443</v>
          </cell>
          <cell r="BY571">
            <v>32.089978791354113</v>
          </cell>
        </row>
        <row r="572">
          <cell r="A572">
            <v>40326</v>
          </cell>
          <cell r="BF572">
            <v>37.162428372926883</v>
          </cell>
          <cell r="BG572">
            <v>45.468715051806292</v>
          </cell>
          <cell r="BH572">
            <v>42.408178994289898</v>
          </cell>
          <cell r="BI572">
            <v>30.406703917126244</v>
          </cell>
          <cell r="BJ572">
            <v>54.409654071453552</v>
          </cell>
          <cell r="BU572">
            <v>18.379490787335389</v>
          </cell>
          <cell r="BV572">
            <v>29.635401891862816</v>
          </cell>
          <cell r="BW572">
            <v>23.901518972811779</v>
          </cell>
          <cell r="BX572">
            <v>15.713059154269443</v>
          </cell>
          <cell r="BY572">
            <v>32.089978791354113</v>
          </cell>
        </row>
        <row r="573">
          <cell r="A573">
            <v>40329</v>
          </cell>
          <cell r="BF573">
            <v>37.162428372926883</v>
          </cell>
          <cell r="BG573">
            <v>45.468715051806292</v>
          </cell>
          <cell r="BH573">
            <v>42.408178994289898</v>
          </cell>
          <cell r="BI573">
            <v>30.406703917126244</v>
          </cell>
          <cell r="BJ573">
            <v>54.409654071453552</v>
          </cell>
          <cell r="BU573">
            <v>18.379490787335389</v>
          </cell>
          <cell r="BV573">
            <v>29.635401891862816</v>
          </cell>
          <cell r="BW573">
            <v>23.901518972811779</v>
          </cell>
          <cell r="BX573">
            <v>15.713059154269443</v>
          </cell>
          <cell r="BY573">
            <v>32.089978791354113</v>
          </cell>
        </row>
        <row r="574">
          <cell r="A574">
            <v>40330</v>
          </cell>
          <cell r="BF574">
            <v>35.831220148739753</v>
          </cell>
          <cell r="BG574">
            <v>45.468715051806292</v>
          </cell>
          <cell r="BH574">
            <v>42.408178994289898</v>
          </cell>
          <cell r="BI574">
            <v>30.406703917126244</v>
          </cell>
          <cell r="BJ574">
            <v>54.409654071453552</v>
          </cell>
          <cell r="BU574">
            <v>17.760779052821555</v>
          </cell>
          <cell r="BV574">
            <v>29.635401891862816</v>
          </cell>
          <cell r="BW574">
            <v>23.901518972811779</v>
          </cell>
          <cell r="BX574">
            <v>15.713059154269443</v>
          </cell>
          <cell r="BY574">
            <v>32.089978791354113</v>
          </cell>
        </row>
        <row r="575">
          <cell r="A575">
            <v>40331</v>
          </cell>
          <cell r="BF575">
            <v>37.074821977350069</v>
          </cell>
          <cell r="BG575">
            <v>45.468715051806292</v>
          </cell>
          <cell r="BH575">
            <v>42.408178994289898</v>
          </cell>
          <cell r="BI575">
            <v>30.406703917126244</v>
          </cell>
          <cell r="BJ575">
            <v>54.409654071453552</v>
          </cell>
          <cell r="BU575">
            <v>18.43784853252005</v>
          </cell>
          <cell r="BV575">
            <v>29.635401891862816</v>
          </cell>
          <cell r="BW575">
            <v>23.901518972811779</v>
          </cell>
          <cell r="BX575">
            <v>15.713059154269443</v>
          </cell>
          <cell r="BY575">
            <v>32.089978791354113</v>
          </cell>
        </row>
        <row r="576">
          <cell r="A576">
            <v>40332</v>
          </cell>
          <cell r="BF576">
            <v>37.489351890034662</v>
          </cell>
          <cell r="BG576">
            <v>45.468715051806292</v>
          </cell>
          <cell r="BH576">
            <v>42.408178994289898</v>
          </cell>
          <cell r="BI576">
            <v>30.406703917126244</v>
          </cell>
          <cell r="BJ576">
            <v>54.409654071453552</v>
          </cell>
          <cell r="BU576">
            <v>18.663538359086211</v>
          </cell>
          <cell r="BV576">
            <v>29.635401891862816</v>
          </cell>
          <cell r="BW576">
            <v>23.901518972811779</v>
          </cell>
          <cell r="BX576">
            <v>15.713059154269443</v>
          </cell>
          <cell r="BY576">
            <v>32.089978791354113</v>
          </cell>
        </row>
        <row r="577">
          <cell r="A577">
            <v>40333</v>
          </cell>
          <cell r="BF577">
            <v>35.926217378706887</v>
          </cell>
          <cell r="BG577">
            <v>45.468715051806292</v>
          </cell>
          <cell r="BH577">
            <v>42.408178994289898</v>
          </cell>
          <cell r="BI577">
            <v>30.406703917126244</v>
          </cell>
          <cell r="BJ577">
            <v>54.409654071453552</v>
          </cell>
          <cell r="BU577">
            <v>17.812490710625113</v>
          </cell>
          <cell r="BV577">
            <v>29.635401891862816</v>
          </cell>
          <cell r="BW577">
            <v>23.901518972811779</v>
          </cell>
          <cell r="BX577">
            <v>15.713059154269443</v>
          </cell>
          <cell r="BY577">
            <v>32.089978791354113</v>
          </cell>
        </row>
        <row r="578">
          <cell r="A578">
            <v>40336</v>
          </cell>
          <cell r="BF578">
            <v>36.52308547392041</v>
          </cell>
          <cell r="BG578">
            <v>45.468715051806292</v>
          </cell>
          <cell r="BH578">
            <v>42.408178994289898</v>
          </cell>
          <cell r="BI578">
            <v>30.406703917126244</v>
          </cell>
          <cell r="BJ578">
            <v>54.409654071453552</v>
          </cell>
          <cell r="BU578">
            <v>18.212158705953886</v>
          </cell>
          <cell r="BV578">
            <v>29.635401891862816</v>
          </cell>
          <cell r="BW578">
            <v>23.901518972811779</v>
          </cell>
          <cell r="BX578">
            <v>15.713059154269443</v>
          </cell>
          <cell r="BY578">
            <v>32.089978791354113</v>
          </cell>
        </row>
        <row r="579">
          <cell r="A579">
            <v>40337</v>
          </cell>
          <cell r="BF579">
            <v>36.220532675622096</v>
          </cell>
          <cell r="BG579">
            <v>45.468715051806292</v>
          </cell>
          <cell r="BH579">
            <v>42.408178994289898</v>
          </cell>
          <cell r="BI579">
            <v>30.406703917126244</v>
          </cell>
          <cell r="BJ579">
            <v>54.409654071453552</v>
          </cell>
          <cell r="BU579">
            <v>18.013818933478582</v>
          </cell>
          <cell r="BV579">
            <v>29.635401891862816</v>
          </cell>
          <cell r="BW579">
            <v>23.901518972811779</v>
          </cell>
          <cell r="BX579">
            <v>15.713059154269443</v>
          </cell>
          <cell r="BY579">
            <v>32.089978791354113</v>
          </cell>
        </row>
        <row r="580">
          <cell r="A580">
            <v>40338</v>
          </cell>
          <cell r="BF580">
            <v>36.676081942293834</v>
          </cell>
          <cell r="BG580">
            <v>45.468715051806292</v>
          </cell>
          <cell r="BH580">
            <v>42.408178994289898</v>
          </cell>
          <cell r="BI580">
            <v>30.406703917126244</v>
          </cell>
          <cell r="BJ580">
            <v>54.409654071453552</v>
          </cell>
          <cell r="BU580">
            <v>18.262294135421698</v>
          </cell>
          <cell r="BV580">
            <v>29.635401891862816</v>
          </cell>
          <cell r="BW580">
            <v>23.901518972811779</v>
          </cell>
          <cell r="BX580">
            <v>15.713059154269443</v>
          </cell>
          <cell r="BY580">
            <v>32.089978791354113</v>
          </cell>
        </row>
        <row r="581">
          <cell r="A581">
            <v>40339</v>
          </cell>
          <cell r="BF581">
            <v>37.77197567362326</v>
          </cell>
          <cell r="BG581">
            <v>45.468715051806292</v>
          </cell>
          <cell r="BH581">
            <v>42.408178994289898</v>
          </cell>
          <cell r="BI581">
            <v>30.406703917126244</v>
          </cell>
          <cell r="BJ581">
            <v>54.409654071453552</v>
          </cell>
          <cell r="BU581">
            <v>18.860045767999736</v>
          </cell>
          <cell r="BV581">
            <v>29.635401891862816</v>
          </cell>
          <cell r="BW581">
            <v>23.901518972811779</v>
          </cell>
          <cell r="BX581">
            <v>15.713059154269443</v>
          </cell>
          <cell r="BY581">
            <v>32.089978791354113</v>
          </cell>
        </row>
        <row r="582">
          <cell r="A582">
            <v>40340</v>
          </cell>
          <cell r="BF582">
            <v>38.670181278866735</v>
          </cell>
          <cell r="BG582">
            <v>45.468715051806292</v>
          </cell>
          <cell r="BH582">
            <v>42.408178994289898</v>
          </cell>
          <cell r="BI582">
            <v>30.406703917126244</v>
          </cell>
          <cell r="BJ582">
            <v>54.409654071453552</v>
          </cell>
          <cell r="BU582">
            <v>19.349944281598301</v>
          </cell>
          <cell r="BV582">
            <v>29.635401891862816</v>
          </cell>
          <cell r="BW582">
            <v>23.901518972811779</v>
          </cell>
          <cell r="BX582">
            <v>15.713059154269443</v>
          </cell>
          <cell r="BY582">
            <v>32.089978791354113</v>
          </cell>
        </row>
        <row r="583">
          <cell r="A583">
            <v>40343</v>
          </cell>
          <cell r="BF583">
            <v>38.206041024437688</v>
          </cell>
          <cell r="BG583">
            <v>45.468715051806292</v>
          </cell>
          <cell r="BH583">
            <v>42.408178994289898</v>
          </cell>
          <cell r="BI583">
            <v>30.406703917126244</v>
          </cell>
          <cell r="BJ583">
            <v>54.409654071453552</v>
          </cell>
          <cell r="BU583">
            <v>19.096792198268979</v>
          </cell>
          <cell r="BV583">
            <v>29.635401891862816</v>
          </cell>
          <cell r="BW583">
            <v>23.901518972811779</v>
          </cell>
          <cell r="BX583">
            <v>15.713059154269443</v>
          </cell>
          <cell r="BY583">
            <v>32.089978791354113</v>
          </cell>
        </row>
        <row r="584">
          <cell r="A584">
            <v>40344</v>
          </cell>
          <cell r="BF584">
            <v>38.66192425108683</v>
          </cell>
          <cell r="BG584">
            <v>45.468715051806292</v>
          </cell>
          <cell r="BH584">
            <v>42.408178994289898</v>
          </cell>
          <cell r="BI584">
            <v>30.406703917126244</v>
          </cell>
          <cell r="BJ584">
            <v>54.409654071453552</v>
          </cell>
          <cell r="BU584">
            <v>19.466799978991638</v>
          </cell>
          <cell r="BV584">
            <v>29.635401891862816</v>
          </cell>
          <cell r="BW584">
            <v>23.901518972811779</v>
          </cell>
          <cell r="BX584">
            <v>15.713059154269443</v>
          </cell>
          <cell r="BY584">
            <v>32.089978791354113</v>
          </cell>
        </row>
        <row r="585">
          <cell r="A585">
            <v>40345</v>
          </cell>
          <cell r="BF585">
            <v>38.843158110484254</v>
          </cell>
          <cell r="BG585">
            <v>45.468715051806292</v>
          </cell>
          <cell r="BH585">
            <v>42.408178994289898</v>
          </cell>
          <cell r="BI585">
            <v>30.406703917126244</v>
          </cell>
          <cell r="BJ585">
            <v>54.409654071453552</v>
          </cell>
          <cell r="BU585">
            <v>19.566294027594871</v>
          </cell>
          <cell r="BV585">
            <v>29.635401891862816</v>
          </cell>
          <cell r="BW585">
            <v>23.901518972811779</v>
          </cell>
          <cell r="BX585">
            <v>15.713059154269443</v>
          </cell>
          <cell r="BY585">
            <v>32.089978791354113</v>
          </cell>
        </row>
        <row r="586">
          <cell r="A586">
            <v>40346</v>
          </cell>
          <cell r="BF586">
            <v>38.696451602463839</v>
          </cell>
          <cell r="BG586">
            <v>45.468715051806292</v>
          </cell>
          <cell r="BH586">
            <v>42.408178994289898</v>
          </cell>
          <cell r="BI586">
            <v>30.406703917126244</v>
          </cell>
          <cell r="BJ586">
            <v>54.409654071453552</v>
          </cell>
          <cell r="BU586">
            <v>19.485750300049993</v>
          </cell>
          <cell r="BV586">
            <v>29.635401891862816</v>
          </cell>
          <cell r="BW586">
            <v>23.901518972811779</v>
          </cell>
          <cell r="BX586">
            <v>15.713059154269443</v>
          </cell>
          <cell r="BY586">
            <v>32.089978791354113</v>
          </cell>
        </row>
        <row r="587">
          <cell r="A587">
            <v>40347</v>
          </cell>
          <cell r="BF587">
            <v>38.411663304602975</v>
          </cell>
          <cell r="BG587">
            <v>45.468715051806292</v>
          </cell>
          <cell r="BH587">
            <v>42.408178994289898</v>
          </cell>
          <cell r="BI587">
            <v>30.406703917126244</v>
          </cell>
          <cell r="BJ587">
            <v>54.409654071453552</v>
          </cell>
          <cell r="BU587">
            <v>19.329389726521693</v>
          </cell>
          <cell r="BV587">
            <v>29.635401891862816</v>
          </cell>
          <cell r="BW587">
            <v>23.901518972811779</v>
          </cell>
          <cell r="BX587">
            <v>15.713059154269443</v>
          </cell>
          <cell r="BY587">
            <v>32.089978791354113</v>
          </cell>
        </row>
        <row r="588">
          <cell r="A588">
            <v>40350</v>
          </cell>
          <cell r="BF588">
            <v>38.472065673509462</v>
          </cell>
          <cell r="BG588">
            <v>45.468715051806292</v>
          </cell>
          <cell r="BH588">
            <v>42.408178994289898</v>
          </cell>
          <cell r="BI588">
            <v>30.406703917126244</v>
          </cell>
          <cell r="BJ588">
            <v>54.409654071453552</v>
          </cell>
          <cell r="BU588">
            <v>19.36254792532694</v>
          </cell>
          <cell r="BV588">
            <v>29.635401891862816</v>
          </cell>
          <cell r="BW588">
            <v>23.901518972811779</v>
          </cell>
          <cell r="BX588">
            <v>15.713059154269443</v>
          </cell>
          <cell r="BY588">
            <v>32.089978791354113</v>
          </cell>
        </row>
        <row r="589">
          <cell r="A589">
            <v>40351</v>
          </cell>
          <cell r="BF589">
            <v>37.893864359607775</v>
          </cell>
          <cell r="BG589">
            <v>45.468715051806292</v>
          </cell>
          <cell r="BH589">
            <v>42.408178994289898</v>
          </cell>
          <cell r="BI589">
            <v>30.406703917126244</v>
          </cell>
          <cell r="BJ589">
            <v>54.409654071453552</v>
          </cell>
          <cell r="BU589">
            <v>19.045084334958887</v>
          </cell>
          <cell r="BV589">
            <v>29.635401891862816</v>
          </cell>
          <cell r="BW589">
            <v>23.901518972811779</v>
          </cell>
          <cell r="BX589">
            <v>15.713059154269443</v>
          </cell>
          <cell r="BY589">
            <v>32.089978791354113</v>
          </cell>
        </row>
        <row r="590">
          <cell r="A590">
            <v>40352</v>
          </cell>
          <cell r="BF590">
            <v>37.747157851587367</v>
          </cell>
          <cell r="BG590">
            <v>45.468715051806292</v>
          </cell>
          <cell r="BH590">
            <v>42.408178994289898</v>
          </cell>
          <cell r="BI590">
            <v>30.406703917126244</v>
          </cell>
          <cell r="BJ590">
            <v>54.409654071453552</v>
          </cell>
          <cell r="BU590">
            <v>18.964536716976504</v>
          </cell>
          <cell r="BV590">
            <v>29.635401891862816</v>
          </cell>
          <cell r="BW590">
            <v>23.901518972811779</v>
          </cell>
          <cell r="BX590">
            <v>15.713059154269443</v>
          </cell>
          <cell r="BY590">
            <v>32.089978791354113</v>
          </cell>
        </row>
        <row r="591">
          <cell r="A591">
            <v>40353</v>
          </cell>
          <cell r="BF591">
            <v>37.64360341312392</v>
          </cell>
          <cell r="BG591">
            <v>45.468715051806292</v>
          </cell>
          <cell r="BH591">
            <v>42.408178994289898</v>
          </cell>
          <cell r="BI591">
            <v>30.406703917126244</v>
          </cell>
          <cell r="BJ591">
            <v>54.409654071453552</v>
          </cell>
          <cell r="BU591">
            <v>18.907670192051448</v>
          </cell>
          <cell r="BV591">
            <v>29.635401891862816</v>
          </cell>
          <cell r="BW591">
            <v>23.901518972811779</v>
          </cell>
          <cell r="BX591">
            <v>15.713059154269443</v>
          </cell>
          <cell r="BY591">
            <v>32.089978791354113</v>
          </cell>
        </row>
        <row r="592">
          <cell r="A592">
            <v>40354</v>
          </cell>
          <cell r="BF592">
            <v>38.506593024886463</v>
          </cell>
          <cell r="BG592">
            <v>45.468715051806292</v>
          </cell>
          <cell r="BH592">
            <v>42.408178994289898</v>
          </cell>
          <cell r="BI592">
            <v>30.406703917126244</v>
          </cell>
          <cell r="BJ592">
            <v>54.409654071453552</v>
          </cell>
          <cell r="BU592">
            <v>19.381498246385295</v>
          </cell>
          <cell r="BV592">
            <v>29.635401891862816</v>
          </cell>
          <cell r="BW592">
            <v>23.901518972811779</v>
          </cell>
          <cell r="BX592">
            <v>15.713059154269443</v>
          </cell>
          <cell r="BY592">
            <v>32.089978791354113</v>
          </cell>
        </row>
        <row r="593">
          <cell r="A593">
            <v>40357</v>
          </cell>
          <cell r="BF593">
            <v>38.886310180041214</v>
          </cell>
          <cell r="BG593">
            <v>45.468715051806292</v>
          </cell>
          <cell r="BH593">
            <v>42.408178994289898</v>
          </cell>
          <cell r="BI593">
            <v>30.406703917126244</v>
          </cell>
          <cell r="BJ593">
            <v>54.409654071453552</v>
          </cell>
          <cell r="BU593">
            <v>19.590002353714688</v>
          </cell>
          <cell r="BV593">
            <v>29.635401891862816</v>
          </cell>
          <cell r="BW593">
            <v>23.901518972811779</v>
          </cell>
          <cell r="BX593">
            <v>15.713059154269443</v>
          </cell>
          <cell r="BY593">
            <v>32.089978791354113</v>
          </cell>
        </row>
        <row r="594">
          <cell r="A594">
            <v>40358</v>
          </cell>
          <cell r="BF594">
            <v>37.427856010183284</v>
          </cell>
          <cell r="BG594">
            <v>45.468715051806292</v>
          </cell>
          <cell r="BH594">
            <v>42.408178994289898</v>
          </cell>
          <cell r="BI594">
            <v>30.406703917126244</v>
          </cell>
          <cell r="BJ594">
            <v>54.409654071453552</v>
          </cell>
          <cell r="BU594">
            <v>18.789225822389856</v>
          </cell>
          <cell r="BV594">
            <v>29.635401891862816</v>
          </cell>
          <cell r="BW594">
            <v>23.901518972811779</v>
          </cell>
          <cell r="BX594">
            <v>15.713059154269443</v>
          </cell>
          <cell r="BY594">
            <v>32.089978791354113</v>
          </cell>
        </row>
        <row r="595">
          <cell r="A595">
            <v>40359</v>
          </cell>
          <cell r="BF595">
            <v>37.565936937034117</v>
          </cell>
          <cell r="BG595">
            <v>45.468715051806292</v>
          </cell>
          <cell r="BH595">
            <v>42.408178994289898</v>
          </cell>
          <cell r="BI595">
            <v>30.406703917126244</v>
          </cell>
          <cell r="BJ595">
            <v>54.409654071453552</v>
          </cell>
          <cell r="BU595">
            <v>18.865027106623273</v>
          </cell>
          <cell r="BV595">
            <v>29.635401891862816</v>
          </cell>
          <cell r="BW595">
            <v>23.901518972811779</v>
          </cell>
          <cell r="BX595">
            <v>15.713059154269443</v>
          </cell>
          <cell r="BY595">
            <v>32.089978791354113</v>
          </cell>
        </row>
        <row r="596">
          <cell r="A596">
            <v>40360</v>
          </cell>
          <cell r="BF596">
            <v>36.118300305277963</v>
          </cell>
          <cell r="BG596">
            <v>45.468715051806292</v>
          </cell>
          <cell r="BH596">
            <v>42.408178994289898</v>
          </cell>
          <cell r="BI596">
            <v>30.406703917126244</v>
          </cell>
          <cell r="BJ596">
            <v>54.409654071453552</v>
          </cell>
          <cell r="BU596">
            <v>18.166308819449274</v>
          </cell>
          <cell r="BV596">
            <v>29.635401891862816</v>
          </cell>
          <cell r="BW596">
            <v>23.901518972811779</v>
          </cell>
          <cell r="BX596">
            <v>15.713059154269443</v>
          </cell>
          <cell r="BY596">
            <v>32.089978791354113</v>
          </cell>
        </row>
        <row r="597">
          <cell r="A597">
            <v>40361</v>
          </cell>
          <cell r="BF597">
            <v>36.354532223980165</v>
          </cell>
          <cell r="BG597">
            <v>45.468715051806292</v>
          </cell>
          <cell r="BH597">
            <v>42.408178994289898</v>
          </cell>
          <cell r="BI597">
            <v>30.406703917126244</v>
          </cell>
          <cell r="BJ597">
            <v>54.409654071453552</v>
          </cell>
          <cell r="BU597">
            <v>18.296431034369366</v>
          </cell>
          <cell r="BV597">
            <v>29.635401891862816</v>
          </cell>
          <cell r="BW597">
            <v>23.901518972811779</v>
          </cell>
          <cell r="BX597">
            <v>15.713059154269443</v>
          </cell>
          <cell r="BY597">
            <v>32.089978791354113</v>
          </cell>
        </row>
        <row r="598">
          <cell r="A598">
            <v>40364</v>
          </cell>
          <cell r="BF598">
            <v>36.354532223980165</v>
          </cell>
          <cell r="BG598">
            <v>45.468715051806292</v>
          </cell>
          <cell r="BH598">
            <v>42.408178994289898</v>
          </cell>
          <cell r="BI598">
            <v>30.406703917126244</v>
          </cell>
          <cell r="BJ598">
            <v>54.409654071453552</v>
          </cell>
          <cell r="BU598">
            <v>18.173962394090225</v>
          </cell>
          <cell r="BV598">
            <v>29.635401891862816</v>
          </cell>
          <cell r="BW598">
            <v>23.901518972811779</v>
          </cell>
          <cell r="BX598">
            <v>15.713059154269443</v>
          </cell>
          <cell r="BY598">
            <v>32.089978791354113</v>
          </cell>
        </row>
        <row r="599">
          <cell r="A599">
            <v>40365</v>
          </cell>
          <cell r="BF599">
            <v>35.831436112399508</v>
          </cell>
          <cell r="BG599">
            <v>45.468715051806292</v>
          </cell>
          <cell r="BH599">
            <v>42.408178994289898</v>
          </cell>
          <cell r="BI599">
            <v>30.406703917126244</v>
          </cell>
          <cell r="BJ599">
            <v>54.409654071453552</v>
          </cell>
          <cell r="BU599">
            <v>17.885846896078469</v>
          </cell>
          <cell r="BV599">
            <v>29.635401891862816</v>
          </cell>
          <cell r="BW599">
            <v>23.901518972811779</v>
          </cell>
          <cell r="BX599">
            <v>15.713059154269443</v>
          </cell>
          <cell r="BY599">
            <v>32.089978791354113</v>
          </cell>
        </row>
        <row r="600">
          <cell r="A600">
            <v>40366</v>
          </cell>
          <cell r="BF600">
            <v>36.984033717766636</v>
          </cell>
          <cell r="BG600">
            <v>45.468715051806292</v>
          </cell>
          <cell r="BH600">
            <v>42.408178994289898</v>
          </cell>
          <cell r="BI600">
            <v>30.406703917126244</v>
          </cell>
          <cell r="BJ600">
            <v>54.409654071453552</v>
          </cell>
          <cell r="BU600">
            <v>18.513172942745875</v>
          </cell>
          <cell r="BV600">
            <v>29.635401891862816</v>
          </cell>
          <cell r="BW600">
            <v>23.901518972811779</v>
          </cell>
          <cell r="BX600">
            <v>15.713059154269443</v>
          </cell>
          <cell r="BY600">
            <v>32.089978791354113</v>
          </cell>
        </row>
        <row r="601">
          <cell r="A601">
            <v>40367</v>
          </cell>
          <cell r="BF601">
            <v>37.507308926524587</v>
          </cell>
          <cell r="BG601">
            <v>45.468715051806292</v>
          </cell>
          <cell r="BH601">
            <v>42.408178994289898</v>
          </cell>
          <cell r="BI601">
            <v>30.406703917126244</v>
          </cell>
          <cell r="BJ601">
            <v>54.409654071453552</v>
          </cell>
          <cell r="BU601">
            <v>18.801273179392446</v>
          </cell>
          <cell r="BV601">
            <v>29.635401891862816</v>
          </cell>
          <cell r="BW601">
            <v>23.901518972811779</v>
          </cell>
          <cell r="BX601">
            <v>15.713059154269443</v>
          </cell>
          <cell r="BY601">
            <v>32.089978791354113</v>
          </cell>
        </row>
        <row r="602">
          <cell r="A602">
            <v>40368</v>
          </cell>
          <cell r="BF602">
            <v>37.743626980544065</v>
          </cell>
          <cell r="BG602">
            <v>45.468715051806292</v>
          </cell>
          <cell r="BH602">
            <v>42.408178994289898</v>
          </cell>
          <cell r="BI602">
            <v>30.406703917126244</v>
          </cell>
          <cell r="BJ602">
            <v>54.409654071453552</v>
          </cell>
          <cell r="BU602">
            <v>18.931383948288651</v>
          </cell>
          <cell r="BV602">
            <v>29.635401891862816</v>
          </cell>
          <cell r="BW602">
            <v>23.901518972811779</v>
          </cell>
          <cell r="BX602">
            <v>15.713059154269443</v>
          </cell>
          <cell r="BY602">
            <v>32.089978791354113</v>
          </cell>
        </row>
        <row r="603">
          <cell r="A603">
            <v>40371</v>
          </cell>
          <cell r="BF603">
            <v>36.832897585237603</v>
          </cell>
          <cell r="BG603">
            <v>45.468715051806292</v>
          </cell>
          <cell r="BH603">
            <v>42.408178994289898</v>
          </cell>
          <cell r="BI603">
            <v>30.406703917126244</v>
          </cell>
          <cell r="BJ603">
            <v>54.409654071453552</v>
          </cell>
          <cell r="BU603">
            <v>18.410948503386425</v>
          </cell>
          <cell r="BV603">
            <v>29.635401891862816</v>
          </cell>
          <cell r="BW603">
            <v>23.901518972811779</v>
          </cell>
          <cell r="BX603">
            <v>15.713059154269443</v>
          </cell>
          <cell r="BY603">
            <v>32.089978791354113</v>
          </cell>
        </row>
        <row r="604">
          <cell r="A604">
            <v>40372</v>
          </cell>
          <cell r="BF604">
            <v>37.823859107168317</v>
          </cell>
          <cell r="BG604">
            <v>45.468715051806292</v>
          </cell>
          <cell r="BH604">
            <v>42.408178994289898</v>
          </cell>
          <cell r="BI604">
            <v>30.406703917126244</v>
          </cell>
          <cell r="BJ604">
            <v>54.409654071453552</v>
          </cell>
          <cell r="BU604">
            <v>18.699227627239409</v>
          </cell>
          <cell r="BV604">
            <v>29.635401891862816</v>
          </cell>
          <cell r="BW604">
            <v>23.901518972811779</v>
          </cell>
          <cell r="BX604">
            <v>15.713059154269443</v>
          </cell>
          <cell r="BY604">
            <v>32.089978791354113</v>
          </cell>
        </row>
        <row r="605">
          <cell r="A605">
            <v>40373</v>
          </cell>
          <cell r="BF605">
            <v>37.485016582358284</v>
          </cell>
          <cell r="BG605">
            <v>45.468715051806292</v>
          </cell>
          <cell r="BH605">
            <v>42.408178994289898</v>
          </cell>
          <cell r="BI605">
            <v>30.406703917126244</v>
          </cell>
          <cell r="BJ605">
            <v>54.409654071453552</v>
          </cell>
          <cell r="BU605">
            <v>18.51532665403461</v>
          </cell>
          <cell r="BV605">
            <v>29.635401891862816</v>
          </cell>
          <cell r="BW605">
            <v>23.901518972811779</v>
          </cell>
          <cell r="BX605">
            <v>15.713059154269443</v>
          </cell>
          <cell r="BY605">
            <v>32.089978791354113</v>
          </cell>
        </row>
        <row r="606">
          <cell r="A606">
            <v>40374</v>
          </cell>
          <cell r="BF606">
            <v>37.980818638459048</v>
          </cell>
          <cell r="BG606">
            <v>45.468715051806292</v>
          </cell>
          <cell r="BH606">
            <v>42.408178994289898</v>
          </cell>
          <cell r="BI606">
            <v>30.406703917126244</v>
          </cell>
          <cell r="BJ606">
            <v>54.409654071453552</v>
          </cell>
          <cell r="BU606">
            <v>19.169563523974059</v>
          </cell>
          <cell r="BV606">
            <v>29.635401891862816</v>
          </cell>
          <cell r="BW606">
            <v>23.901518972811779</v>
          </cell>
          <cell r="BX606">
            <v>15.713059154269443</v>
          </cell>
          <cell r="BY606">
            <v>32.089978791354113</v>
          </cell>
        </row>
        <row r="607">
          <cell r="A607">
            <v>40375</v>
          </cell>
          <cell r="BF607">
            <v>36.972400629062612</v>
          </cell>
          <cell r="BG607">
            <v>45.468715051806292</v>
          </cell>
          <cell r="BH607">
            <v>42.408178994289898</v>
          </cell>
          <cell r="BI607">
            <v>30.406703917126244</v>
          </cell>
          <cell r="BJ607">
            <v>54.409654071453552</v>
          </cell>
          <cell r="BU607">
            <v>18.612087898282979</v>
          </cell>
          <cell r="BV607">
            <v>29.635401891862816</v>
          </cell>
          <cell r="BW607">
            <v>23.901518972811779</v>
          </cell>
          <cell r="BX607">
            <v>15.713059154269443</v>
          </cell>
          <cell r="BY607">
            <v>32.089978791354113</v>
          </cell>
        </row>
        <row r="608">
          <cell r="A608">
            <v>40378</v>
          </cell>
          <cell r="BF608">
            <v>37.192735171600042</v>
          </cell>
          <cell r="BG608">
            <v>45.468715051806292</v>
          </cell>
          <cell r="BH608">
            <v>42.408178994289898</v>
          </cell>
          <cell r="BI608">
            <v>30.406703917126244</v>
          </cell>
          <cell r="BJ608">
            <v>54.409654071453552</v>
          </cell>
          <cell r="BU608">
            <v>18.733879033070409</v>
          </cell>
          <cell r="BV608">
            <v>29.635401891862816</v>
          </cell>
          <cell r="BW608">
            <v>23.901518972811779</v>
          </cell>
          <cell r="BX608">
            <v>15.713059154269443</v>
          </cell>
          <cell r="BY608">
            <v>32.089978791354113</v>
          </cell>
        </row>
        <row r="609">
          <cell r="A609">
            <v>40379</v>
          </cell>
          <cell r="BF609">
            <v>36.743235715114032</v>
          </cell>
          <cell r="BG609">
            <v>45.468715051806292</v>
          </cell>
          <cell r="BH609">
            <v>42.408178994289898</v>
          </cell>
          <cell r="BI609">
            <v>30.406703917126244</v>
          </cell>
          <cell r="BJ609">
            <v>54.409654071453552</v>
          </cell>
          <cell r="BU609">
            <v>18.480915167355235</v>
          </cell>
          <cell r="BV609">
            <v>29.635401891862816</v>
          </cell>
          <cell r="BW609">
            <v>23.901518972811779</v>
          </cell>
          <cell r="BX609">
            <v>15.713059154269443</v>
          </cell>
          <cell r="BY609">
            <v>32.089978791354113</v>
          </cell>
        </row>
        <row r="610">
          <cell r="A610">
            <v>40380</v>
          </cell>
          <cell r="BF610">
            <v>36.031259303682873</v>
          </cell>
          <cell r="BG610">
            <v>45.468715051806292</v>
          </cell>
          <cell r="BH610">
            <v>42.408178994289898</v>
          </cell>
          <cell r="BI610">
            <v>30.406703917126244</v>
          </cell>
          <cell r="BJ610">
            <v>54.409654071453552</v>
          </cell>
          <cell r="BU610">
            <v>18.087415820687191</v>
          </cell>
          <cell r="BV610">
            <v>29.635401891862816</v>
          </cell>
          <cell r="BW610">
            <v>23.901518972811779</v>
          </cell>
          <cell r="BX610">
            <v>15.713059154269443</v>
          </cell>
          <cell r="BY610">
            <v>32.089978791354113</v>
          </cell>
        </row>
        <row r="611">
          <cell r="A611">
            <v>40381</v>
          </cell>
          <cell r="BF611">
            <v>36.480483807230627</v>
          </cell>
          <cell r="BG611">
            <v>45.468715051806292</v>
          </cell>
          <cell r="BH611">
            <v>42.408178994289898</v>
          </cell>
          <cell r="BI611">
            <v>30.406703917126244</v>
          </cell>
          <cell r="BJ611">
            <v>54.409654071453552</v>
          </cell>
          <cell r="BU611">
            <v>18.335698311389798</v>
          </cell>
          <cell r="BV611">
            <v>29.635401891862816</v>
          </cell>
          <cell r="BW611">
            <v>23.901518972811779</v>
          </cell>
          <cell r="BX611">
            <v>15.713059154269443</v>
          </cell>
          <cell r="BY611">
            <v>32.089978791354113</v>
          </cell>
        </row>
        <row r="612">
          <cell r="A612">
            <v>40382</v>
          </cell>
          <cell r="BF612">
            <v>36.022787591636323</v>
          </cell>
          <cell r="BG612">
            <v>45.468715051806292</v>
          </cell>
          <cell r="BH612">
            <v>42.408178994289898</v>
          </cell>
          <cell r="BI612">
            <v>30.406703917126244</v>
          </cell>
          <cell r="BJ612">
            <v>54.409654071453552</v>
          </cell>
          <cell r="BU612">
            <v>18.082734445674628</v>
          </cell>
          <cell r="BV612">
            <v>29.635401891862816</v>
          </cell>
          <cell r="BW612">
            <v>23.901518972811779</v>
          </cell>
          <cell r="BX612">
            <v>15.713059154269443</v>
          </cell>
          <cell r="BY612">
            <v>32.089978791354113</v>
          </cell>
        </row>
        <row r="613">
          <cell r="A613">
            <v>40385</v>
          </cell>
          <cell r="BF613">
            <v>36.234686342175358</v>
          </cell>
          <cell r="BG613">
            <v>45.468715051806292</v>
          </cell>
          <cell r="BH613">
            <v>42.408178994289898</v>
          </cell>
          <cell r="BI613">
            <v>30.406703917126244</v>
          </cell>
          <cell r="BJ613">
            <v>54.409654071453552</v>
          </cell>
          <cell r="BU613">
            <v>18.199844205449491</v>
          </cell>
          <cell r="BV613">
            <v>29.635401891862816</v>
          </cell>
          <cell r="BW613">
            <v>23.901518972811779</v>
          </cell>
          <cell r="BX613">
            <v>15.713059154269443</v>
          </cell>
          <cell r="BY613">
            <v>32.089978791354113</v>
          </cell>
        </row>
        <row r="614">
          <cell r="A614">
            <v>40386</v>
          </cell>
          <cell r="BF614">
            <v>34.971765550987691</v>
          </cell>
          <cell r="BG614">
            <v>45.468715051806292</v>
          </cell>
          <cell r="BH614">
            <v>42.408178994289898</v>
          </cell>
          <cell r="BI614">
            <v>30.406703917126244</v>
          </cell>
          <cell r="BJ614">
            <v>54.409654071453552</v>
          </cell>
          <cell r="BU614">
            <v>17.501829329582502</v>
          </cell>
          <cell r="BV614">
            <v>29.635401891862816</v>
          </cell>
          <cell r="BW614">
            <v>23.901518972811779</v>
          </cell>
          <cell r="BX614">
            <v>15.713059154269443</v>
          </cell>
          <cell r="BY614">
            <v>32.089978791354113</v>
          </cell>
        </row>
        <row r="615">
          <cell r="A615">
            <v>40387</v>
          </cell>
          <cell r="BF615">
            <v>36.881010983724067</v>
          </cell>
          <cell r="BG615">
            <v>45.468715051806292</v>
          </cell>
          <cell r="BH615">
            <v>42.408178994289898</v>
          </cell>
          <cell r="BI615">
            <v>30.406703917126244</v>
          </cell>
          <cell r="BJ615">
            <v>54.409654071453552</v>
          </cell>
          <cell r="BU615">
            <v>18.296171454692487</v>
          </cell>
          <cell r="BV615">
            <v>29.635401891862816</v>
          </cell>
          <cell r="BW615">
            <v>23.901518972811779</v>
          </cell>
          <cell r="BX615">
            <v>15.713059154269443</v>
          </cell>
          <cell r="BY615">
            <v>32.089978791354113</v>
          </cell>
        </row>
        <row r="616">
          <cell r="A616">
            <v>40388</v>
          </cell>
          <cell r="BF616">
            <v>36.67555728857856</v>
          </cell>
          <cell r="BG616">
            <v>45.468715051806292</v>
          </cell>
          <cell r="BH616">
            <v>42.408178994289898</v>
          </cell>
          <cell r="BI616">
            <v>30.406703917126244</v>
          </cell>
          <cell r="BJ616">
            <v>54.409654071453552</v>
          </cell>
          <cell r="BU616">
            <v>18.193958268453898</v>
          </cell>
          <cell r="BV616">
            <v>29.635401891862816</v>
          </cell>
          <cell r="BW616">
            <v>23.901518972811779</v>
          </cell>
          <cell r="BX616">
            <v>15.713059154269443</v>
          </cell>
          <cell r="BY616">
            <v>32.089978791354113</v>
          </cell>
        </row>
        <row r="617">
          <cell r="A617">
            <v>40389</v>
          </cell>
          <cell r="BF617">
            <v>37.324976262530015</v>
          </cell>
          <cell r="BG617">
            <v>45.468715051806292</v>
          </cell>
          <cell r="BH617">
            <v>42.408178994289898</v>
          </cell>
          <cell r="BI617">
            <v>30.406703917126244</v>
          </cell>
          <cell r="BJ617">
            <v>54.409654071453552</v>
          </cell>
          <cell r="BU617">
            <v>18.547409134759544</v>
          </cell>
          <cell r="BV617">
            <v>29.635401891862816</v>
          </cell>
          <cell r="BW617">
            <v>23.901518972811779</v>
          </cell>
          <cell r="BX617">
            <v>15.713059154269443</v>
          </cell>
          <cell r="BY617">
            <v>32.089978791354113</v>
          </cell>
        </row>
        <row r="618">
          <cell r="A618">
            <v>40392</v>
          </cell>
          <cell r="BF618">
            <v>37.047761425445074</v>
          </cell>
          <cell r="BG618">
            <v>45.468715051806292</v>
          </cell>
          <cell r="BH618">
            <v>42.408178994289898</v>
          </cell>
          <cell r="BI618">
            <v>30.406703917126244</v>
          </cell>
          <cell r="BJ618">
            <v>54.409654071453552</v>
          </cell>
          <cell r="BU618">
            <v>18.740784745462829</v>
          </cell>
          <cell r="BV618">
            <v>29.635401891862816</v>
          </cell>
          <cell r="BW618">
            <v>23.901518972811779</v>
          </cell>
          <cell r="BX618">
            <v>15.713059154269443</v>
          </cell>
          <cell r="BY618">
            <v>32.089978791354113</v>
          </cell>
        </row>
        <row r="619">
          <cell r="A619">
            <v>40393</v>
          </cell>
          <cell r="BF619">
            <v>36.862425682249899</v>
          </cell>
          <cell r="BG619">
            <v>45.468715051806292</v>
          </cell>
          <cell r="BH619">
            <v>42.408178994289898</v>
          </cell>
          <cell r="BI619">
            <v>30.406703917126244</v>
          </cell>
          <cell r="BJ619">
            <v>54.409654071453552</v>
          </cell>
          <cell r="BU619">
            <v>18.52402960508573</v>
          </cell>
          <cell r="BV619">
            <v>29.635401891862816</v>
          </cell>
          <cell r="BW619">
            <v>23.901518972811779</v>
          </cell>
          <cell r="BX619">
            <v>15.713059154269443</v>
          </cell>
          <cell r="BY619">
            <v>32.089978791354113</v>
          </cell>
        </row>
        <row r="620">
          <cell r="A620">
            <v>40394</v>
          </cell>
          <cell r="BF620">
            <v>37.807375066896185</v>
          </cell>
          <cell r="BG620">
            <v>45.468715051806292</v>
          </cell>
          <cell r="BH620">
            <v>42.408178994289898</v>
          </cell>
          <cell r="BI620">
            <v>30.406703917126244</v>
          </cell>
          <cell r="BJ620">
            <v>54.409654071453552</v>
          </cell>
          <cell r="BU620">
            <v>19.029797654994404</v>
          </cell>
          <cell r="BV620">
            <v>29.635401891862816</v>
          </cell>
          <cell r="BW620">
            <v>23.901518972811779</v>
          </cell>
          <cell r="BX620">
            <v>15.713059154269443</v>
          </cell>
          <cell r="BY620">
            <v>32.089978791354113</v>
          </cell>
        </row>
        <row r="621">
          <cell r="A621">
            <v>40395</v>
          </cell>
          <cell r="BF621">
            <v>38.258891224148634</v>
          </cell>
          <cell r="BG621">
            <v>45.468715051806292</v>
          </cell>
          <cell r="BH621">
            <v>42.408178994289898</v>
          </cell>
          <cell r="BI621">
            <v>30.406703917126244</v>
          </cell>
          <cell r="BJ621">
            <v>54.409654071453552</v>
          </cell>
          <cell r="BU621">
            <v>19.242040091128032</v>
          </cell>
          <cell r="BV621">
            <v>29.635401891862816</v>
          </cell>
          <cell r="BW621">
            <v>23.901518972811779</v>
          </cell>
          <cell r="BX621">
            <v>15.713059154269443</v>
          </cell>
          <cell r="BY621">
            <v>32.089978791354113</v>
          </cell>
        </row>
        <row r="622">
          <cell r="A622">
            <v>40396</v>
          </cell>
          <cell r="BF622">
            <v>38.834705284765718</v>
          </cell>
          <cell r="BG622">
            <v>45.468715051806292</v>
          </cell>
          <cell r="BH622">
            <v>42.408178994289898</v>
          </cell>
          <cell r="BI622">
            <v>30.406703917126244</v>
          </cell>
          <cell r="BJ622">
            <v>54.409654071453552</v>
          </cell>
          <cell r="BU622">
            <v>19.553411013128731</v>
          </cell>
          <cell r="BV622">
            <v>29.635401891862816</v>
          </cell>
          <cell r="BW622">
            <v>23.901518972811779</v>
          </cell>
          <cell r="BX622">
            <v>15.713059154269443</v>
          </cell>
          <cell r="BY622">
            <v>32.089978791354113</v>
          </cell>
        </row>
        <row r="623">
          <cell r="A623">
            <v>40399</v>
          </cell>
          <cell r="BF623">
            <v>38.842926299601217</v>
          </cell>
          <cell r="BG623">
            <v>45.468715051806292</v>
          </cell>
          <cell r="BH623">
            <v>42.408178994289898</v>
          </cell>
          <cell r="BI623">
            <v>30.406703917126244</v>
          </cell>
          <cell r="BJ623">
            <v>54.409654071453552</v>
          </cell>
          <cell r="BU623">
            <v>19.557926257071781</v>
          </cell>
          <cell r="BV623">
            <v>29.635401891862816</v>
          </cell>
          <cell r="BW623">
            <v>23.901518972811779</v>
          </cell>
          <cell r="BX623">
            <v>15.713059154269443</v>
          </cell>
          <cell r="BY623">
            <v>32.089978791354113</v>
          </cell>
        </row>
        <row r="624">
          <cell r="A624">
            <v>40400</v>
          </cell>
          <cell r="BF624">
            <v>38.176626784520934</v>
          </cell>
          <cell r="BG624">
            <v>45.468715051806292</v>
          </cell>
          <cell r="BH624">
            <v>42.408178994289898</v>
          </cell>
          <cell r="BI624">
            <v>30.406703917126244</v>
          </cell>
          <cell r="BJ624">
            <v>54.409654071453552</v>
          </cell>
          <cell r="BU624">
            <v>19.277702235932491</v>
          </cell>
          <cell r="BV624">
            <v>29.635401891862816</v>
          </cell>
          <cell r="BW624">
            <v>23.901518972811779</v>
          </cell>
          <cell r="BX624">
            <v>15.713059154269443</v>
          </cell>
          <cell r="BY624">
            <v>32.089978791354113</v>
          </cell>
        </row>
        <row r="625">
          <cell r="A625">
            <v>40401</v>
          </cell>
          <cell r="BF625">
            <v>37.781784455425296</v>
          </cell>
          <cell r="BG625">
            <v>45.468715051806292</v>
          </cell>
          <cell r="BH625">
            <v>42.408178994289898</v>
          </cell>
          <cell r="BI625">
            <v>30.406703917126244</v>
          </cell>
          <cell r="BJ625">
            <v>54.409654071453552</v>
          </cell>
          <cell r="BU625">
            <v>19.060016443529573</v>
          </cell>
          <cell r="BV625">
            <v>29.635401891862816</v>
          </cell>
          <cell r="BW625">
            <v>23.901518972811779</v>
          </cell>
          <cell r="BX625">
            <v>15.713059154269443</v>
          </cell>
          <cell r="BY625">
            <v>32.089978791354113</v>
          </cell>
        </row>
        <row r="626">
          <cell r="A626">
            <v>40402</v>
          </cell>
          <cell r="BF626">
            <v>37.370486935138004</v>
          </cell>
          <cell r="BG626">
            <v>45.468715051806292</v>
          </cell>
          <cell r="BH626">
            <v>42.408178994289898</v>
          </cell>
          <cell r="BI626">
            <v>30.406703917126244</v>
          </cell>
          <cell r="BJ626">
            <v>54.409654071453552</v>
          </cell>
          <cell r="BU626">
            <v>18.833285494669898</v>
          </cell>
          <cell r="BV626">
            <v>29.635401891862816</v>
          </cell>
          <cell r="BW626">
            <v>23.901518972811779</v>
          </cell>
          <cell r="BX626">
            <v>15.713059154269443</v>
          </cell>
          <cell r="BY626">
            <v>32.089978791354113</v>
          </cell>
        </row>
        <row r="627">
          <cell r="A627">
            <v>40403</v>
          </cell>
          <cell r="BF627">
            <v>37.641944943717697</v>
          </cell>
          <cell r="BG627">
            <v>45.468715051806292</v>
          </cell>
          <cell r="BH627">
            <v>42.408178994289898</v>
          </cell>
          <cell r="BI627">
            <v>30.406703917126244</v>
          </cell>
          <cell r="BJ627">
            <v>54.409654071453552</v>
          </cell>
          <cell r="BU627">
            <v>18.981321402252714</v>
          </cell>
          <cell r="BV627">
            <v>29.635401891862816</v>
          </cell>
          <cell r="BW627">
            <v>23.901518972811779</v>
          </cell>
          <cell r="BX627">
            <v>15.713059154269443</v>
          </cell>
          <cell r="BY627">
            <v>32.089978791354113</v>
          </cell>
        </row>
        <row r="628">
          <cell r="A628">
            <v>40406</v>
          </cell>
          <cell r="BF628">
            <v>37.370486935138004</v>
          </cell>
          <cell r="BG628">
            <v>45.468715051806292</v>
          </cell>
          <cell r="BH628">
            <v>42.408178994289898</v>
          </cell>
          <cell r="BI628">
            <v>30.406703917126244</v>
          </cell>
          <cell r="BJ628">
            <v>54.409654071453552</v>
          </cell>
          <cell r="BU628">
            <v>18.83168222912634</v>
          </cell>
          <cell r="BV628">
            <v>29.635401891862816</v>
          </cell>
          <cell r="BW628">
            <v>23.901518972811779</v>
          </cell>
          <cell r="BX628">
            <v>15.713059154269443</v>
          </cell>
          <cell r="BY628">
            <v>32.089978791354113</v>
          </cell>
        </row>
        <row r="629">
          <cell r="A629">
            <v>40407</v>
          </cell>
          <cell r="BF629">
            <v>37.707754192153743</v>
          </cell>
          <cell r="BG629">
            <v>45.468715051806292</v>
          </cell>
          <cell r="BH629">
            <v>42.408178994289898</v>
          </cell>
          <cell r="BI629">
            <v>30.406703917126244</v>
          </cell>
          <cell r="BJ629">
            <v>54.409654071453552</v>
          </cell>
          <cell r="BU629">
            <v>19.017593806476107</v>
          </cell>
          <cell r="BV629">
            <v>29.635401891862816</v>
          </cell>
          <cell r="BW629">
            <v>23.901518972811779</v>
          </cell>
          <cell r="BX629">
            <v>15.713059154269443</v>
          </cell>
          <cell r="BY629">
            <v>32.089978791354113</v>
          </cell>
        </row>
        <row r="630">
          <cell r="A630">
            <v>40408</v>
          </cell>
          <cell r="BF630">
            <v>37.839371866430795</v>
          </cell>
          <cell r="BG630">
            <v>45.468715051806292</v>
          </cell>
          <cell r="BH630">
            <v>42.408178994289898</v>
          </cell>
          <cell r="BI630">
            <v>30.406703917126244</v>
          </cell>
          <cell r="BJ630">
            <v>54.409654071453552</v>
          </cell>
          <cell r="BU630">
            <v>19.090149560126342</v>
          </cell>
          <cell r="BV630">
            <v>29.635401891862816</v>
          </cell>
          <cell r="BW630">
            <v>23.901518972811779</v>
          </cell>
          <cell r="BX630">
            <v>15.713059154269443</v>
          </cell>
          <cell r="BY630">
            <v>32.089978791354113</v>
          </cell>
        </row>
        <row r="631">
          <cell r="A631">
            <v>40409</v>
          </cell>
          <cell r="BF631">
            <v>36.934512386228512</v>
          </cell>
          <cell r="BG631">
            <v>45.468715051806292</v>
          </cell>
          <cell r="BH631">
            <v>42.408178994289898</v>
          </cell>
          <cell r="BI631">
            <v>30.406703917126244</v>
          </cell>
          <cell r="BJ631">
            <v>54.409654071453552</v>
          </cell>
          <cell r="BU631">
            <v>18.591358397040331</v>
          </cell>
          <cell r="BV631">
            <v>29.635401891862816</v>
          </cell>
          <cell r="BW631">
            <v>23.901518972811779</v>
          </cell>
          <cell r="BX631">
            <v>15.713059154269443</v>
          </cell>
          <cell r="BY631">
            <v>32.089978791354113</v>
          </cell>
        </row>
        <row r="632">
          <cell r="A632">
            <v>40410</v>
          </cell>
          <cell r="BF632">
            <v>37.016776825856212</v>
          </cell>
          <cell r="BG632">
            <v>45.468715051806292</v>
          </cell>
          <cell r="BH632">
            <v>42.408178994289898</v>
          </cell>
          <cell r="BI632">
            <v>30.406703917126244</v>
          </cell>
          <cell r="BJ632">
            <v>54.409654071453552</v>
          </cell>
          <cell r="BU632">
            <v>18.636704374921294</v>
          </cell>
          <cell r="BV632">
            <v>29.635401891862816</v>
          </cell>
          <cell r="BW632">
            <v>23.901518972811779</v>
          </cell>
          <cell r="BX632">
            <v>15.713059154269443</v>
          </cell>
          <cell r="BY632">
            <v>32.089978791354113</v>
          </cell>
        </row>
        <row r="633">
          <cell r="A633">
            <v>40413</v>
          </cell>
          <cell r="BF633">
            <v>36.77821768332926</v>
          </cell>
          <cell r="BG633">
            <v>45.468715051806292</v>
          </cell>
          <cell r="BH633">
            <v>42.408178994289898</v>
          </cell>
          <cell r="BI633">
            <v>30.406703917126244</v>
          </cell>
          <cell r="BJ633">
            <v>54.409654071453552</v>
          </cell>
          <cell r="BU633">
            <v>18.505194107104312</v>
          </cell>
          <cell r="BV633">
            <v>29.635401891862816</v>
          </cell>
          <cell r="BW633">
            <v>23.901518972811779</v>
          </cell>
          <cell r="BX633">
            <v>15.713059154269443</v>
          </cell>
          <cell r="BY633">
            <v>32.089978791354113</v>
          </cell>
        </row>
        <row r="634">
          <cell r="A634">
            <v>40414</v>
          </cell>
          <cell r="BF634">
            <v>35.791106102424891</v>
          </cell>
          <cell r="BG634">
            <v>45.468715051806292</v>
          </cell>
          <cell r="BH634">
            <v>42.408178994289898</v>
          </cell>
          <cell r="BI634">
            <v>30.406703917126244</v>
          </cell>
          <cell r="BJ634">
            <v>54.409654071453552</v>
          </cell>
          <cell r="BU634">
            <v>17.961067911340781</v>
          </cell>
          <cell r="BV634">
            <v>29.635401891862816</v>
          </cell>
          <cell r="BW634">
            <v>23.901518972811779</v>
          </cell>
          <cell r="BX634">
            <v>15.713059154269443</v>
          </cell>
          <cell r="BY634">
            <v>32.089978791354113</v>
          </cell>
        </row>
        <row r="635">
          <cell r="A635">
            <v>40415</v>
          </cell>
          <cell r="BF635">
            <v>36.111917345653929</v>
          </cell>
          <cell r="BG635">
            <v>45.468715051806292</v>
          </cell>
          <cell r="BH635">
            <v>42.408178994289898</v>
          </cell>
          <cell r="BI635">
            <v>30.406703917126244</v>
          </cell>
          <cell r="BJ635">
            <v>54.409654071453552</v>
          </cell>
          <cell r="BU635">
            <v>18.13791686023643</v>
          </cell>
          <cell r="BV635">
            <v>29.635401891862816</v>
          </cell>
          <cell r="BW635">
            <v>23.901518972811779</v>
          </cell>
          <cell r="BX635">
            <v>15.713059154269443</v>
          </cell>
          <cell r="BY635">
            <v>32.089978791354113</v>
          </cell>
        </row>
        <row r="636">
          <cell r="A636">
            <v>40416</v>
          </cell>
          <cell r="BF636">
            <v>35.791106102424891</v>
          </cell>
          <cell r="BG636">
            <v>45.468715051806292</v>
          </cell>
          <cell r="BH636">
            <v>42.408178994289898</v>
          </cell>
          <cell r="BI636">
            <v>30.406703917126244</v>
          </cell>
          <cell r="BJ636">
            <v>54.409654071453552</v>
          </cell>
          <cell r="BU636">
            <v>17.961067911340781</v>
          </cell>
          <cell r="BV636">
            <v>29.635401891862816</v>
          </cell>
          <cell r="BW636">
            <v>23.901518972811779</v>
          </cell>
          <cell r="BX636">
            <v>15.713059154269443</v>
          </cell>
          <cell r="BY636">
            <v>32.089978791354113</v>
          </cell>
        </row>
        <row r="637">
          <cell r="A637">
            <v>40417</v>
          </cell>
          <cell r="BF637">
            <v>36.218858813903829</v>
          </cell>
          <cell r="BG637">
            <v>45.468715051806292</v>
          </cell>
          <cell r="BH637">
            <v>42.408178994289898</v>
          </cell>
          <cell r="BI637">
            <v>30.406703917126244</v>
          </cell>
          <cell r="BJ637">
            <v>54.409654071453552</v>
          </cell>
          <cell r="BU637">
            <v>18.152554031677752</v>
          </cell>
          <cell r="BV637">
            <v>29.635401891862816</v>
          </cell>
          <cell r="BW637">
            <v>23.901518972811779</v>
          </cell>
          <cell r="BX637">
            <v>15.713059154269443</v>
          </cell>
          <cell r="BY637">
            <v>32.089978791354113</v>
          </cell>
        </row>
        <row r="638">
          <cell r="A638">
            <v>40420</v>
          </cell>
          <cell r="BF638">
            <v>35.675943619339485</v>
          </cell>
          <cell r="BG638">
            <v>45.468715051806292</v>
          </cell>
          <cell r="BH638">
            <v>42.408178994289898</v>
          </cell>
          <cell r="BI638">
            <v>30.406703917126244</v>
          </cell>
          <cell r="BJ638">
            <v>54.409654071453552</v>
          </cell>
          <cell r="BU638">
            <v>17.854011658590743</v>
          </cell>
          <cell r="BV638">
            <v>29.635401891862816</v>
          </cell>
          <cell r="BW638">
            <v>23.901518972811779</v>
          </cell>
          <cell r="BX638">
            <v>15.713059154269443</v>
          </cell>
          <cell r="BY638">
            <v>32.089978791354113</v>
          </cell>
        </row>
        <row r="639">
          <cell r="A639">
            <v>40421</v>
          </cell>
          <cell r="BF639">
            <v>35.281101290243846</v>
          </cell>
          <cell r="BG639">
            <v>45.468715051806292</v>
          </cell>
          <cell r="BH639">
            <v>42.408178994289898</v>
          </cell>
          <cell r="BI639">
            <v>30.406703917126244</v>
          </cell>
          <cell r="BJ639">
            <v>54.409654071453552</v>
          </cell>
          <cell r="BU639">
            <v>17.636878021559841</v>
          </cell>
          <cell r="BV639">
            <v>29.635401891862816</v>
          </cell>
          <cell r="BW639">
            <v>23.901518972811779</v>
          </cell>
          <cell r="BX639">
            <v>15.713059154269443</v>
          </cell>
          <cell r="BY639">
            <v>32.089978791354113</v>
          </cell>
        </row>
        <row r="640">
          <cell r="A640">
            <v>40422</v>
          </cell>
          <cell r="BF640">
            <v>35.265014899649579</v>
          </cell>
          <cell r="BG640">
            <v>45.468715051806292</v>
          </cell>
          <cell r="BH640">
            <v>42.408178994289898</v>
          </cell>
          <cell r="BI640">
            <v>30.406703917126244</v>
          </cell>
          <cell r="BJ640">
            <v>54.409654071453552</v>
          </cell>
          <cell r="BU640">
            <v>17.72345167455925</v>
          </cell>
          <cell r="BV640">
            <v>29.635401891862816</v>
          </cell>
          <cell r="BW640">
            <v>23.901518972811779</v>
          </cell>
          <cell r="BX640">
            <v>15.713059154269443</v>
          </cell>
          <cell r="BY640">
            <v>32.089978791354113</v>
          </cell>
        </row>
        <row r="641">
          <cell r="A641">
            <v>40423</v>
          </cell>
          <cell r="BF641">
            <v>35.964043986858982</v>
          </cell>
          <cell r="BG641">
            <v>45.468715051806292</v>
          </cell>
          <cell r="BH641">
            <v>42.408178994289898</v>
          </cell>
          <cell r="BI641">
            <v>30.406703917126244</v>
          </cell>
          <cell r="BJ641">
            <v>54.409654071453552</v>
          </cell>
          <cell r="BU641">
            <v>18.109031779540135</v>
          </cell>
          <cell r="BV641">
            <v>29.635401891862816</v>
          </cell>
          <cell r="BW641">
            <v>23.901518972811779</v>
          </cell>
          <cell r="BX641">
            <v>15.713059154269443</v>
          </cell>
          <cell r="BY641">
            <v>32.089978791354113</v>
          </cell>
        </row>
        <row r="642">
          <cell r="A642">
            <v>40424</v>
          </cell>
          <cell r="BF642">
            <v>35.843513806405994</v>
          </cell>
          <cell r="BG642">
            <v>45.468715051806292</v>
          </cell>
          <cell r="BH642">
            <v>42.408178994289898</v>
          </cell>
          <cell r="BI642">
            <v>30.406703917126244</v>
          </cell>
          <cell r="BJ642">
            <v>54.409654071453552</v>
          </cell>
          <cell r="BU642">
            <v>18.042548639242309</v>
          </cell>
          <cell r="BV642">
            <v>29.635401891862816</v>
          </cell>
          <cell r="BW642">
            <v>23.901518972811779</v>
          </cell>
          <cell r="BX642">
            <v>15.713059154269443</v>
          </cell>
          <cell r="BY642">
            <v>32.089978791354113</v>
          </cell>
        </row>
        <row r="643">
          <cell r="A643">
            <v>40427</v>
          </cell>
          <cell r="BF643">
            <v>35.843513806405994</v>
          </cell>
          <cell r="BG643">
            <v>45.468715051806292</v>
          </cell>
          <cell r="BH643">
            <v>42.408178994289898</v>
          </cell>
          <cell r="BI643">
            <v>30.406703917126244</v>
          </cell>
          <cell r="BJ643">
            <v>54.409654071453552</v>
          </cell>
          <cell r="BU643">
            <v>18.042548639242309</v>
          </cell>
          <cell r="BV643">
            <v>29.635401891862816</v>
          </cell>
          <cell r="BW643">
            <v>23.901518972811779</v>
          </cell>
          <cell r="BX643">
            <v>15.713059154269443</v>
          </cell>
          <cell r="BY643">
            <v>32.089978791354113</v>
          </cell>
        </row>
        <row r="644">
          <cell r="A644">
            <v>40428</v>
          </cell>
          <cell r="BF644">
            <v>35.819410020077122</v>
          </cell>
          <cell r="BG644">
            <v>45.468715051806292</v>
          </cell>
          <cell r="BH644">
            <v>42.408178994289898</v>
          </cell>
          <cell r="BI644">
            <v>30.406703917126244</v>
          </cell>
          <cell r="BJ644">
            <v>54.409654071453552</v>
          </cell>
          <cell r="BU644">
            <v>18.029258429851087</v>
          </cell>
          <cell r="BV644">
            <v>29.635401891862816</v>
          </cell>
          <cell r="BW644">
            <v>23.901518972811779</v>
          </cell>
          <cell r="BX644">
            <v>15.713059154269443</v>
          </cell>
          <cell r="BY644">
            <v>32.089978791354113</v>
          </cell>
        </row>
        <row r="645">
          <cell r="A645">
            <v>40429</v>
          </cell>
          <cell r="BF645">
            <v>36.156884722812286</v>
          </cell>
          <cell r="BG645">
            <v>45.468715051806292</v>
          </cell>
          <cell r="BH645">
            <v>42.408178994289898</v>
          </cell>
          <cell r="BI645">
            <v>30.406703917126244</v>
          </cell>
          <cell r="BJ645">
            <v>54.409654071453552</v>
          </cell>
          <cell r="BU645">
            <v>18.21541050949963</v>
          </cell>
          <cell r="BV645">
            <v>29.635401891862816</v>
          </cell>
          <cell r="BW645">
            <v>23.901518972811779</v>
          </cell>
          <cell r="BX645">
            <v>15.713059154269443</v>
          </cell>
          <cell r="BY645">
            <v>32.089978791354113</v>
          </cell>
        </row>
        <row r="646">
          <cell r="A646">
            <v>40430</v>
          </cell>
          <cell r="BF646">
            <v>36.16491556865239</v>
          </cell>
          <cell r="BG646">
            <v>45.468715051806292</v>
          </cell>
          <cell r="BH646">
            <v>42.408178994289898</v>
          </cell>
          <cell r="BI646">
            <v>30.406703917126244</v>
          </cell>
          <cell r="BJ646">
            <v>54.409654071453552</v>
          </cell>
          <cell r="BU646">
            <v>18.219842956581271</v>
          </cell>
          <cell r="BV646">
            <v>29.635401891862816</v>
          </cell>
          <cell r="BW646">
            <v>23.901518972811779</v>
          </cell>
          <cell r="BX646">
            <v>15.713059154269443</v>
          </cell>
          <cell r="BY646">
            <v>32.089978791354113</v>
          </cell>
        </row>
        <row r="647">
          <cell r="A647">
            <v>40431</v>
          </cell>
          <cell r="BF647">
            <v>36.189019354981262</v>
          </cell>
          <cell r="BG647">
            <v>45.468715051806292</v>
          </cell>
          <cell r="BH647">
            <v>42.408178994289898</v>
          </cell>
          <cell r="BI647">
            <v>30.406703917126244</v>
          </cell>
          <cell r="BJ647">
            <v>54.409654071453552</v>
          </cell>
          <cell r="BU647">
            <v>18.233129600045643</v>
          </cell>
          <cell r="BV647">
            <v>29.635401891862816</v>
          </cell>
          <cell r="BW647">
            <v>23.901518972811779</v>
          </cell>
          <cell r="BX647">
            <v>15.713059154269443</v>
          </cell>
          <cell r="BY647">
            <v>32.089978791354113</v>
          </cell>
        </row>
        <row r="648">
          <cell r="A648">
            <v>40434</v>
          </cell>
          <cell r="BF648">
            <v>35.787276191394461</v>
          </cell>
          <cell r="BG648">
            <v>45.468715051806292</v>
          </cell>
          <cell r="BH648">
            <v>42.408178994289898</v>
          </cell>
          <cell r="BI648">
            <v>30.406703917126244</v>
          </cell>
          <cell r="BJ648">
            <v>54.409654071453552</v>
          </cell>
          <cell r="BU648">
            <v>18.011542905231927</v>
          </cell>
          <cell r="BV648">
            <v>29.635401891862816</v>
          </cell>
          <cell r="BW648">
            <v>23.901518972811779</v>
          </cell>
          <cell r="BX648">
            <v>15.713059154269443</v>
          </cell>
          <cell r="BY648">
            <v>32.089978791354113</v>
          </cell>
        </row>
        <row r="649">
          <cell r="A649">
            <v>40435</v>
          </cell>
          <cell r="BF649">
            <v>36.976432741666088</v>
          </cell>
          <cell r="BG649">
            <v>45.468715051806292</v>
          </cell>
          <cell r="BH649">
            <v>42.408178994289898</v>
          </cell>
          <cell r="BI649">
            <v>30.406703917126244</v>
          </cell>
          <cell r="BJ649">
            <v>54.409654071453552</v>
          </cell>
          <cell r="BU649">
            <v>18.667462722692129</v>
          </cell>
          <cell r="BV649">
            <v>29.635401891862816</v>
          </cell>
          <cell r="BW649">
            <v>23.901518972811779</v>
          </cell>
          <cell r="BX649">
            <v>15.713059154269443</v>
          </cell>
          <cell r="BY649">
            <v>32.089978791354113</v>
          </cell>
        </row>
        <row r="650">
          <cell r="A650">
            <v>40436</v>
          </cell>
          <cell r="BF650">
            <v>37.747784436670713</v>
          </cell>
          <cell r="BG650">
            <v>45.468715051806292</v>
          </cell>
          <cell r="BH650">
            <v>42.408178994289898</v>
          </cell>
          <cell r="BI650">
            <v>30.406703917126244</v>
          </cell>
          <cell r="BJ650">
            <v>54.409654071453552</v>
          </cell>
          <cell r="BU650">
            <v>19.092920922006044</v>
          </cell>
          <cell r="BV650">
            <v>29.635401891862816</v>
          </cell>
          <cell r="BW650">
            <v>23.901518972811779</v>
          </cell>
          <cell r="BX650">
            <v>15.713059154269443</v>
          </cell>
          <cell r="BY650">
            <v>32.089978791354113</v>
          </cell>
        </row>
        <row r="651">
          <cell r="A651">
            <v>40437</v>
          </cell>
          <cell r="BF651">
            <v>39.335591681265171</v>
          </cell>
          <cell r="BG651">
            <v>45.468715051806292</v>
          </cell>
          <cell r="BH651">
            <v>42.408178994289898</v>
          </cell>
          <cell r="BI651">
            <v>30.406703917126244</v>
          </cell>
          <cell r="BJ651">
            <v>54.409654071453552</v>
          </cell>
          <cell r="BU651">
            <v>19.966088471852256</v>
          </cell>
          <cell r="BV651">
            <v>29.635401891862816</v>
          </cell>
          <cell r="BW651">
            <v>23.901518972811779</v>
          </cell>
          <cell r="BX651">
            <v>15.713059154269443</v>
          </cell>
          <cell r="BY651">
            <v>32.089978791354113</v>
          </cell>
        </row>
        <row r="652">
          <cell r="A652">
            <v>40438</v>
          </cell>
          <cell r="BF652">
            <v>38.813252760322079</v>
          </cell>
          <cell r="BG652">
            <v>45.468715051806292</v>
          </cell>
          <cell r="BH652">
            <v>42.408178994289898</v>
          </cell>
          <cell r="BI652">
            <v>30.406703917126244</v>
          </cell>
          <cell r="BJ652">
            <v>54.409654071453552</v>
          </cell>
          <cell r="BU652">
            <v>19.67801348638346</v>
          </cell>
          <cell r="BV652">
            <v>29.635401891862816</v>
          </cell>
          <cell r="BW652">
            <v>23.901518972811779</v>
          </cell>
          <cell r="BX652">
            <v>15.713059154269443</v>
          </cell>
          <cell r="BY652">
            <v>32.089978791354113</v>
          </cell>
        </row>
        <row r="653">
          <cell r="A653">
            <v>40441</v>
          </cell>
          <cell r="BF653">
            <v>39.56059529740763</v>
          </cell>
          <cell r="BG653">
            <v>45.468715051806292</v>
          </cell>
          <cell r="BH653">
            <v>42.408178994289898</v>
          </cell>
          <cell r="BI653">
            <v>30.406703917126244</v>
          </cell>
          <cell r="BJ653">
            <v>54.409654071453552</v>
          </cell>
          <cell r="BU653">
            <v>20.09018595483381</v>
          </cell>
          <cell r="BV653">
            <v>29.635401891862816</v>
          </cell>
          <cell r="BW653">
            <v>23.901518972811779</v>
          </cell>
          <cell r="BX653">
            <v>15.713059154269443</v>
          </cell>
          <cell r="BY653">
            <v>32.089978791354113</v>
          </cell>
        </row>
        <row r="654">
          <cell r="A654">
            <v>40442</v>
          </cell>
          <cell r="BF654">
            <v>39.898100319827712</v>
          </cell>
          <cell r="BG654">
            <v>45.468715051806292</v>
          </cell>
          <cell r="BH654">
            <v>42.408178994289898</v>
          </cell>
          <cell r="BI654">
            <v>30.406703917126244</v>
          </cell>
          <cell r="BJ654">
            <v>54.409654071453552</v>
          </cell>
          <cell r="BU654">
            <v>20.276324657402355</v>
          </cell>
          <cell r="BV654">
            <v>29.635401891862816</v>
          </cell>
          <cell r="BW654">
            <v>23.901518972811779</v>
          </cell>
          <cell r="BX654">
            <v>15.713059154269443</v>
          </cell>
          <cell r="BY654">
            <v>32.089978791354113</v>
          </cell>
        </row>
        <row r="655">
          <cell r="A655">
            <v>40443</v>
          </cell>
          <cell r="BF655">
            <v>39.705235370694787</v>
          </cell>
          <cell r="BG655">
            <v>45.468715051806292</v>
          </cell>
          <cell r="BH655">
            <v>42.408178994289898</v>
          </cell>
          <cell r="BI655">
            <v>30.406703917126244</v>
          </cell>
          <cell r="BJ655">
            <v>54.409654071453552</v>
          </cell>
          <cell r="BU655">
            <v>20.16995981186103</v>
          </cell>
          <cell r="BV655">
            <v>29.635401891862816</v>
          </cell>
          <cell r="BW655">
            <v>23.901518972811779</v>
          </cell>
          <cell r="BX655">
            <v>15.713059154269443</v>
          </cell>
          <cell r="BY655">
            <v>32.089978791354113</v>
          </cell>
        </row>
        <row r="656">
          <cell r="A656">
            <v>40444</v>
          </cell>
          <cell r="BF656">
            <v>39.849887497790135</v>
          </cell>
          <cell r="BG656">
            <v>45.468715051806292</v>
          </cell>
          <cell r="BH656">
            <v>42.408178994289898</v>
          </cell>
          <cell r="BI656">
            <v>30.406703917126244</v>
          </cell>
          <cell r="BJ656">
            <v>54.409654071453552</v>
          </cell>
          <cell r="BU656">
            <v>20.249733446017025</v>
          </cell>
          <cell r="BV656">
            <v>29.635401891862816</v>
          </cell>
          <cell r="BW656">
            <v>23.901518972811779</v>
          </cell>
          <cell r="BX656">
            <v>15.713059154269443</v>
          </cell>
          <cell r="BY656">
            <v>32.089978791354113</v>
          </cell>
        </row>
        <row r="657">
          <cell r="A657">
            <v>40445</v>
          </cell>
          <cell r="BF657">
            <v>40.315969688690316</v>
          </cell>
          <cell r="BG657">
            <v>45.468715051806292</v>
          </cell>
          <cell r="BH657">
            <v>42.408178994289898</v>
          </cell>
          <cell r="BI657">
            <v>30.406703917126244</v>
          </cell>
          <cell r="BJ657">
            <v>54.409654071453552</v>
          </cell>
          <cell r="BU657">
            <v>20.506787765974519</v>
          </cell>
          <cell r="BV657">
            <v>29.635401891862816</v>
          </cell>
          <cell r="BW657">
            <v>23.901518972811779</v>
          </cell>
          <cell r="BX657">
            <v>15.713059154269443</v>
          </cell>
          <cell r="BY657">
            <v>32.089978791354113</v>
          </cell>
        </row>
        <row r="658">
          <cell r="A658">
            <v>40448</v>
          </cell>
          <cell r="BF658">
            <v>39.793630767747231</v>
          </cell>
          <cell r="BG658">
            <v>45.468715051806292</v>
          </cell>
          <cell r="BH658">
            <v>42.408178994289898</v>
          </cell>
          <cell r="BI658">
            <v>30.406703917126244</v>
          </cell>
          <cell r="BJ658">
            <v>54.409654071453552</v>
          </cell>
          <cell r="BU658">
            <v>20.218713003376944</v>
          </cell>
          <cell r="BV658">
            <v>29.635401891862816</v>
          </cell>
          <cell r="BW658">
            <v>23.901518972811779</v>
          </cell>
          <cell r="BX658">
            <v>15.713059154269443</v>
          </cell>
          <cell r="BY658">
            <v>32.089978791354113</v>
          </cell>
        </row>
        <row r="659">
          <cell r="A659">
            <v>40449</v>
          </cell>
          <cell r="BF659">
            <v>40.139178894585434</v>
          </cell>
          <cell r="BG659">
            <v>45.468715051806292</v>
          </cell>
          <cell r="BH659">
            <v>42.408178994289898</v>
          </cell>
          <cell r="BI659">
            <v>30.406703917126244</v>
          </cell>
          <cell r="BJ659">
            <v>54.409654071453552</v>
          </cell>
          <cell r="BU659">
            <v>20.409294978087299</v>
          </cell>
          <cell r="BV659">
            <v>29.635401891862816</v>
          </cell>
          <cell r="BW659">
            <v>23.901518972811779</v>
          </cell>
          <cell r="BX659">
            <v>15.713059154269443</v>
          </cell>
          <cell r="BY659">
            <v>32.089978791354113</v>
          </cell>
        </row>
        <row r="660">
          <cell r="A660">
            <v>40450</v>
          </cell>
          <cell r="BF660">
            <v>40.19330568435835</v>
          </cell>
          <cell r="BG660">
            <v>45.468715051806292</v>
          </cell>
          <cell r="BH660">
            <v>42.408178994289898</v>
          </cell>
          <cell r="BI660">
            <v>30.406703917126244</v>
          </cell>
          <cell r="BJ660">
            <v>54.409654071453552</v>
          </cell>
          <cell r="BU660">
            <v>20.38192538574414</v>
          </cell>
          <cell r="BV660">
            <v>29.635401891862816</v>
          </cell>
          <cell r="BW660">
            <v>23.901518972811779</v>
          </cell>
          <cell r="BX660">
            <v>15.713059154269443</v>
          </cell>
          <cell r="BY660">
            <v>32.089978791354113</v>
          </cell>
        </row>
        <row r="661">
          <cell r="A661">
            <v>40451</v>
          </cell>
          <cell r="BF661">
            <v>39.550210381810274</v>
          </cell>
          <cell r="BG661">
            <v>45.468715051806292</v>
          </cell>
          <cell r="BH661">
            <v>42.408178994289898</v>
          </cell>
          <cell r="BI661">
            <v>30.406703917126244</v>
          </cell>
          <cell r="BJ661">
            <v>54.409654071453552</v>
          </cell>
          <cell r="BU661">
            <v>20.028223575970475</v>
          </cell>
          <cell r="BV661">
            <v>29.635401891862816</v>
          </cell>
          <cell r="BW661">
            <v>23.901518972811779</v>
          </cell>
          <cell r="BX661">
            <v>15.713059154269443</v>
          </cell>
          <cell r="BY661">
            <v>32.089978791354113</v>
          </cell>
        </row>
        <row r="662">
          <cell r="A662">
            <v>40452</v>
          </cell>
          <cell r="BF662">
            <v>38.314059272977914</v>
          </cell>
          <cell r="BG662">
            <v>45.468715051806292</v>
          </cell>
          <cell r="BH662">
            <v>42.408178994289898</v>
          </cell>
          <cell r="BI662">
            <v>30.406703917126244</v>
          </cell>
          <cell r="BJ662">
            <v>54.409654071453552</v>
          </cell>
          <cell r="BU662">
            <v>19.415478996430188</v>
          </cell>
          <cell r="BV662">
            <v>29.635401891862816</v>
          </cell>
          <cell r="BW662">
            <v>23.901518972811779</v>
          </cell>
          <cell r="BX662">
            <v>15.713059154269443</v>
          </cell>
          <cell r="BY662">
            <v>32.089978791354113</v>
          </cell>
        </row>
        <row r="663">
          <cell r="A663">
            <v>40455</v>
          </cell>
          <cell r="BF663">
            <v>38.844784343244477</v>
          </cell>
          <cell r="BG663">
            <v>45.468715051806292</v>
          </cell>
          <cell r="BH663">
            <v>42.408178994289898</v>
          </cell>
          <cell r="BI663">
            <v>30.406703917126244</v>
          </cell>
          <cell r="BJ663">
            <v>54.409654071453552</v>
          </cell>
          <cell r="BU663">
            <v>19.652190696333587</v>
          </cell>
          <cell r="BV663">
            <v>29.635401891862816</v>
          </cell>
          <cell r="BW663">
            <v>23.901518972811779</v>
          </cell>
          <cell r="BX663">
            <v>15.713059154269443</v>
          </cell>
          <cell r="BY663">
            <v>32.089978791354113</v>
          </cell>
        </row>
        <row r="664">
          <cell r="A664">
            <v>40456</v>
          </cell>
          <cell r="BF664">
            <v>39.661022480918732</v>
          </cell>
          <cell r="BG664">
            <v>45.468715051806292</v>
          </cell>
          <cell r="BH664">
            <v>42.408178994289898</v>
          </cell>
          <cell r="BI664">
            <v>30.406703917126244</v>
          </cell>
          <cell r="BJ664">
            <v>54.409654071453552</v>
          </cell>
          <cell r="BU664">
            <v>20.005226354900952</v>
          </cell>
          <cell r="BV664">
            <v>29.635401891862816</v>
          </cell>
          <cell r="BW664">
            <v>23.901518972811779</v>
          </cell>
          <cell r="BX664">
            <v>15.713059154269443</v>
          </cell>
          <cell r="BY664">
            <v>32.089978791354113</v>
          </cell>
        </row>
        <row r="665">
          <cell r="A665">
            <v>40457</v>
          </cell>
          <cell r="BF665">
            <v>39.366440870814699</v>
          </cell>
          <cell r="BG665">
            <v>45.468715051806292</v>
          </cell>
          <cell r="BH665">
            <v>42.408178994289898</v>
          </cell>
          <cell r="BI665">
            <v>30.406703917126244</v>
          </cell>
          <cell r="BJ665">
            <v>54.409654071453552</v>
          </cell>
          <cell r="BU665">
            <v>19.843937923518901</v>
          </cell>
          <cell r="BV665">
            <v>29.635401891862816</v>
          </cell>
          <cell r="BW665">
            <v>23.901518972811779</v>
          </cell>
          <cell r="BX665">
            <v>15.713059154269443</v>
          </cell>
          <cell r="BY665">
            <v>32.089978791354113</v>
          </cell>
        </row>
        <row r="666">
          <cell r="A666">
            <v>40458</v>
          </cell>
          <cell r="BF666">
            <v>38.290373706504738</v>
          </cell>
          <cell r="BG666">
            <v>45.468715051806292</v>
          </cell>
          <cell r="BH666">
            <v>42.408178994289898</v>
          </cell>
          <cell r="BI666">
            <v>30.406703917126244</v>
          </cell>
          <cell r="BJ666">
            <v>54.409654071453552</v>
          </cell>
          <cell r="BU666">
            <v>19.253942676302927</v>
          </cell>
          <cell r="BV666">
            <v>29.635401891862816</v>
          </cell>
          <cell r="BW666">
            <v>23.901518972811779</v>
          </cell>
          <cell r="BX666">
            <v>15.713059154269443</v>
          </cell>
          <cell r="BY666">
            <v>32.089978791354113</v>
          </cell>
        </row>
        <row r="667">
          <cell r="A667">
            <v>40459</v>
          </cell>
          <cell r="BF667">
            <v>38.104552149269523</v>
          </cell>
          <cell r="BG667">
            <v>45.468715051806292</v>
          </cell>
          <cell r="BH667">
            <v>42.408178994289898</v>
          </cell>
          <cell r="BI667">
            <v>30.406703917126244</v>
          </cell>
          <cell r="BJ667">
            <v>54.409654071453552</v>
          </cell>
          <cell r="BU667">
            <v>19.143574492065653</v>
          </cell>
          <cell r="BV667">
            <v>29.635401891862816</v>
          </cell>
          <cell r="BW667">
            <v>23.901518972811779</v>
          </cell>
          <cell r="BX667">
            <v>15.713059154269443</v>
          </cell>
          <cell r="BY667">
            <v>32.089978791354113</v>
          </cell>
        </row>
        <row r="668">
          <cell r="A668">
            <v>40462</v>
          </cell>
          <cell r="BF668">
            <v>37.910655548897381</v>
          </cell>
          <cell r="BG668">
            <v>45.468715051806292</v>
          </cell>
          <cell r="BH668">
            <v>42.408178994289898</v>
          </cell>
          <cell r="BI668">
            <v>30.406703917126244</v>
          </cell>
          <cell r="BJ668">
            <v>54.409654071453552</v>
          </cell>
          <cell r="BU668">
            <v>19.037465030040959</v>
          </cell>
          <cell r="BV668">
            <v>29.635401891862816</v>
          </cell>
          <cell r="BW668">
            <v>23.901518972811779</v>
          </cell>
          <cell r="BX668">
            <v>15.713059154269443</v>
          </cell>
          <cell r="BY668">
            <v>32.089978791354113</v>
          </cell>
        </row>
        <row r="669">
          <cell r="A669">
            <v>40463</v>
          </cell>
          <cell r="BF669">
            <v>38.593175460139335</v>
          </cell>
          <cell r="BG669">
            <v>45.468715051806292</v>
          </cell>
          <cell r="BH669">
            <v>42.408178994289898</v>
          </cell>
          <cell r="BI669">
            <v>30.406703917126244</v>
          </cell>
          <cell r="BJ669">
            <v>54.409654071453552</v>
          </cell>
          <cell r="BU669">
            <v>26.756585167331629</v>
          </cell>
          <cell r="BV669">
            <v>29.635401891862816</v>
          </cell>
          <cell r="BW669">
            <v>23.901518972811779</v>
          </cell>
          <cell r="BX669">
            <v>15.713059154269443</v>
          </cell>
          <cell r="BY669">
            <v>32.089978791354113</v>
          </cell>
        </row>
        <row r="670">
          <cell r="A670">
            <v>40464</v>
          </cell>
          <cell r="BF670">
            <v>38.310966041881386</v>
          </cell>
          <cell r="BG670">
            <v>45.468715051806292</v>
          </cell>
          <cell r="BH670">
            <v>42.408178994289898</v>
          </cell>
          <cell r="BI670">
            <v>30.406703917126244</v>
          </cell>
          <cell r="BJ670">
            <v>54.409654071453552</v>
          </cell>
          <cell r="BU670">
            <v>19.212499610380604</v>
          </cell>
          <cell r="BV670">
            <v>29.635401891862816</v>
          </cell>
          <cell r="BW670">
            <v>23.901518972811779</v>
          </cell>
          <cell r="BX670">
            <v>15.713059154269443</v>
          </cell>
          <cell r="BY670">
            <v>32.089978791354113</v>
          </cell>
        </row>
        <row r="671">
          <cell r="A671">
            <v>40465</v>
          </cell>
          <cell r="BF671">
            <v>37.744207149942014</v>
          </cell>
          <cell r="BG671">
            <v>45.468715051806292</v>
          </cell>
          <cell r="BH671">
            <v>42.408178994289898</v>
          </cell>
          <cell r="BI671">
            <v>30.406703917126244</v>
          </cell>
          <cell r="BJ671">
            <v>54.409654071453552</v>
          </cell>
          <cell r="BU671">
            <v>18.81102341410223</v>
          </cell>
          <cell r="BV671">
            <v>29.635401891862816</v>
          </cell>
          <cell r="BW671">
            <v>23.901518972811779</v>
          </cell>
          <cell r="BX671">
            <v>15.713059154269443</v>
          </cell>
          <cell r="BY671">
            <v>32.089978791354113</v>
          </cell>
        </row>
        <row r="672">
          <cell r="A672">
            <v>40466</v>
          </cell>
          <cell r="BF672">
            <v>37.90245391346734</v>
          </cell>
          <cell r="BG672">
            <v>45.468715051806292</v>
          </cell>
          <cell r="BH672">
            <v>42.408178994289898</v>
          </cell>
          <cell r="BI672">
            <v>30.406703917126244</v>
          </cell>
          <cell r="BJ672">
            <v>54.409654071453552</v>
          </cell>
          <cell r="BU672">
            <v>18.956667457387525</v>
          </cell>
          <cell r="BV672">
            <v>29.635401891862816</v>
          </cell>
          <cell r="BW672">
            <v>23.901518972811779</v>
          </cell>
          <cell r="BX672">
            <v>15.713059154269443</v>
          </cell>
          <cell r="BY672">
            <v>32.089978791354113</v>
          </cell>
        </row>
        <row r="673">
          <cell r="A673">
            <v>40469</v>
          </cell>
          <cell r="BF673">
            <v>38.546178321632624</v>
          </cell>
          <cell r="BG673">
            <v>45.468715051806292</v>
          </cell>
          <cell r="BH673">
            <v>42.408178994289898</v>
          </cell>
          <cell r="BI673">
            <v>30.406703917126244</v>
          </cell>
          <cell r="BJ673">
            <v>54.409654071453552</v>
          </cell>
          <cell r="BU673">
            <v>19.278721745909699</v>
          </cell>
          <cell r="BV673">
            <v>29.635401891862816</v>
          </cell>
          <cell r="BW673">
            <v>23.901518972811779</v>
          </cell>
          <cell r="BX673">
            <v>15.713059154269443</v>
          </cell>
          <cell r="BY673">
            <v>32.089978791354113</v>
          </cell>
        </row>
        <row r="674">
          <cell r="A674">
            <v>40470</v>
          </cell>
          <cell r="BF674">
            <v>38.803142720538098</v>
          </cell>
          <cell r="BG674">
            <v>45.468715051806292</v>
          </cell>
          <cell r="BH674">
            <v>42.408178994289898</v>
          </cell>
          <cell r="BI674">
            <v>30.406703917126244</v>
          </cell>
          <cell r="BJ674">
            <v>54.409654071453552</v>
          </cell>
          <cell r="BU674">
            <v>19.418550272799816</v>
          </cell>
          <cell r="BV674">
            <v>29.635401891862816</v>
          </cell>
          <cell r="BW674">
            <v>23.901518972811779</v>
          </cell>
          <cell r="BX674">
            <v>15.713059154269443</v>
          </cell>
          <cell r="BY674">
            <v>32.089978791354113</v>
          </cell>
        </row>
        <row r="675">
          <cell r="A675">
            <v>40471</v>
          </cell>
          <cell r="BF675">
            <v>39.526886913267937</v>
          </cell>
          <cell r="BG675">
            <v>45.468715051806292</v>
          </cell>
          <cell r="BH675">
            <v>42.408178994289898</v>
          </cell>
          <cell r="BI675">
            <v>30.406703917126244</v>
          </cell>
          <cell r="BJ675">
            <v>54.409654071453552</v>
          </cell>
          <cell r="BU675">
            <v>19.829587583450838</v>
          </cell>
          <cell r="BV675">
            <v>29.635401891862816</v>
          </cell>
          <cell r="BW675">
            <v>23.901518972811779</v>
          </cell>
          <cell r="BX675">
            <v>15.713059154269443</v>
          </cell>
          <cell r="BY675">
            <v>32.089978791354113</v>
          </cell>
        </row>
        <row r="676">
          <cell r="A676">
            <v>40472</v>
          </cell>
          <cell r="BF676">
            <v>39.12228944763185</v>
          </cell>
          <cell r="BG676">
            <v>45.468715051806292</v>
          </cell>
          <cell r="BH676">
            <v>42.408178994289898</v>
          </cell>
          <cell r="BI676">
            <v>30.406703917126244</v>
          </cell>
          <cell r="BJ676">
            <v>54.409654071453552</v>
          </cell>
          <cell r="BU676">
            <v>19.609248026027661</v>
          </cell>
          <cell r="BV676">
            <v>29.635401891862816</v>
          </cell>
          <cell r="BW676">
            <v>23.901518972811779</v>
          </cell>
          <cell r="BX676">
            <v>15.713059154269443</v>
          </cell>
          <cell r="BY676">
            <v>32.089978791354113</v>
          </cell>
        </row>
        <row r="677">
          <cell r="A677">
            <v>40473</v>
          </cell>
          <cell r="BF677">
            <v>39.604700432685462</v>
          </cell>
          <cell r="BG677">
            <v>45.468715051806292</v>
          </cell>
          <cell r="BH677">
            <v>42.408178994289898</v>
          </cell>
          <cell r="BI677">
            <v>30.406703917126244</v>
          </cell>
          <cell r="BJ677">
            <v>54.409654071453552</v>
          </cell>
          <cell r="BU677">
            <v>19.871971263006234</v>
          </cell>
          <cell r="BV677">
            <v>29.635401891862816</v>
          </cell>
          <cell r="BW677">
            <v>23.901518972811779</v>
          </cell>
          <cell r="BX677">
            <v>15.713059154269443</v>
          </cell>
          <cell r="BY677">
            <v>32.089978791354113</v>
          </cell>
        </row>
        <row r="678">
          <cell r="A678">
            <v>40476</v>
          </cell>
          <cell r="BF678">
            <v>39.859135814481753</v>
          </cell>
          <cell r="BG678">
            <v>45.468715051806292</v>
          </cell>
          <cell r="BH678">
            <v>42.408178994289898</v>
          </cell>
          <cell r="BI678">
            <v>30.406703917126244</v>
          </cell>
          <cell r="BJ678">
            <v>54.409654071453552</v>
          </cell>
          <cell r="BU678">
            <v>20.156322173941263</v>
          </cell>
          <cell r="BV678">
            <v>29.635401891862816</v>
          </cell>
          <cell r="BW678">
            <v>23.901518972811779</v>
          </cell>
          <cell r="BX678">
            <v>15.713059154269443</v>
          </cell>
          <cell r="BY678">
            <v>32.089978791354113</v>
          </cell>
        </row>
        <row r="679">
          <cell r="A679">
            <v>40477</v>
          </cell>
          <cell r="BF679">
            <v>40.193765880044708</v>
          </cell>
          <cell r="BG679">
            <v>45.468715051806292</v>
          </cell>
          <cell r="BH679">
            <v>42.408178994289898</v>
          </cell>
          <cell r="BI679">
            <v>30.406703917126244</v>
          </cell>
          <cell r="BJ679">
            <v>54.409654071453552</v>
          </cell>
          <cell r="BU679">
            <v>20.339892561651357</v>
          </cell>
          <cell r="BV679">
            <v>29.635401891862816</v>
          </cell>
          <cell r="BW679">
            <v>23.901518972811779</v>
          </cell>
          <cell r="BX679">
            <v>15.713059154269443</v>
          </cell>
          <cell r="BY679">
            <v>32.089978791354113</v>
          </cell>
        </row>
        <row r="680">
          <cell r="A680">
            <v>40478</v>
          </cell>
          <cell r="BF680">
            <v>40.396526824965328</v>
          </cell>
          <cell r="BG680">
            <v>45.468715051806292</v>
          </cell>
          <cell r="BH680">
            <v>42.408178994289898</v>
          </cell>
          <cell r="BI680">
            <v>30.406703917126244</v>
          </cell>
          <cell r="BJ680">
            <v>54.409654071453552</v>
          </cell>
          <cell r="BU680">
            <v>20.979751743111937</v>
          </cell>
          <cell r="BV680">
            <v>29.635401891862816</v>
          </cell>
          <cell r="BW680">
            <v>23.901518972811779</v>
          </cell>
          <cell r="BX680">
            <v>15.713059154269443</v>
          </cell>
          <cell r="BY680">
            <v>32.089978791354113</v>
          </cell>
        </row>
        <row r="681">
          <cell r="A681">
            <v>40479</v>
          </cell>
          <cell r="BF681">
            <v>39.761027816440482</v>
          </cell>
          <cell r="BG681">
            <v>45.468715051806292</v>
          </cell>
          <cell r="BH681">
            <v>42.408178994289898</v>
          </cell>
          <cell r="BI681">
            <v>30.406703917126244</v>
          </cell>
          <cell r="BJ681">
            <v>54.409654071453552</v>
          </cell>
          <cell r="BU681">
            <v>20.819028011161688</v>
          </cell>
          <cell r="BV681">
            <v>29.635401891862816</v>
          </cell>
          <cell r="BW681">
            <v>23.901518972811779</v>
          </cell>
          <cell r="BX681">
            <v>15.713059154269443</v>
          </cell>
          <cell r="BY681">
            <v>32.089978791354113</v>
          </cell>
        </row>
        <row r="682">
          <cell r="A682">
            <v>40480</v>
          </cell>
          <cell r="BF682">
            <v>39.6078821949312</v>
          </cell>
          <cell r="BG682">
            <v>45.468715051806292</v>
          </cell>
          <cell r="BH682">
            <v>42.408178994289898</v>
          </cell>
          <cell r="BI682">
            <v>30.406703917126244</v>
          </cell>
          <cell r="BJ682">
            <v>54.409654071453552</v>
          </cell>
          <cell r="BU682">
            <v>20.732484716717934</v>
          </cell>
          <cell r="BV682">
            <v>29.635401891862816</v>
          </cell>
          <cell r="BW682">
            <v>23.901518972811779</v>
          </cell>
          <cell r="BX682">
            <v>15.713059154269443</v>
          </cell>
          <cell r="BY682">
            <v>32.089978791354113</v>
          </cell>
        </row>
        <row r="683">
          <cell r="A683">
            <v>40483</v>
          </cell>
          <cell r="BF683">
            <v>38.592474633281775</v>
          </cell>
          <cell r="BG683">
            <v>45.468715051806292</v>
          </cell>
          <cell r="BH683">
            <v>42.408178994289898</v>
          </cell>
          <cell r="BI683">
            <v>30.406703917126244</v>
          </cell>
          <cell r="BJ683">
            <v>54.409654071453552</v>
          </cell>
          <cell r="BU683">
            <v>20.239556904025132</v>
          </cell>
          <cell r="BV683">
            <v>29.635401891862816</v>
          </cell>
          <cell r="BW683">
            <v>23.901518972811779</v>
          </cell>
          <cell r="BX683">
            <v>15.713059154269443</v>
          </cell>
          <cell r="BY683">
            <v>32.089978791354113</v>
          </cell>
        </row>
        <row r="684">
          <cell r="A684">
            <v>40484</v>
          </cell>
          <cell r="BF684">
            <v>39.048852072275409</v>
          </cell>
          <cell r="BG684">
            <v>45.468715051806292</v>
          </cell>
          <cell r="BH684">
            <v>42.408178994289898</v>
          </cell>
          <cell r="BI684">
            <v>30.406703917126244</v>
          </cell>
          <cell r="BJ684">
            <v>54.409654071453552</v>
          </cell>
          <cell r="BU684">
            <v>20.498021662268545</v>
          </cell>
          <cell r="BV684">
            <v>29.635401891862816</v>
          </cell>
          <cell r="BW684">
            <v>23.901518972811779</v>
          </cell>
          <cell r="BX684">
            <v>15.713059154269443</v>
          </cell>
          <cell r="BY684">
            <v>32.089978791354113</v>
          </cell>
        </row>
        <row r="685">
          <cell r="A685">
            <v>40485</v>
          </cell>
          <cell r="BF685">
            <v>39.753069589213695</v>
          </cell>
          <cell r="BG685">
            <v>45.468715051806292</v>
          </cell>
          <cell r="BH685">
            <v>42.408178994289898</v>
          </cell>
          <cell r="BI685">
            <v>30.406703917126244</v>
          </cell>
          <cell r="BJ685">
            <v>54.409654071453552</v>
          </cell>
          <cell r="BU685">
            <v>20.954384249952106</v>
          </cell>
          <cell r="BV685">
            <v>29.635401891862816</v>
          </cell>
          <cell r="BW685">
            <v>23.901518972811779</v>
          </cell>
          <cell r="BX685">
            <v>15.713059154269443</v>
          </cell>
          <cell r="BY685">
            <v>32.089978791354113</v>
          </cell>
        </row>
        <row r="686">
          <cell r="A686">
            <v>40486</v>
          </cell>
          <cell r="BF686">
            <v>39.809961502331653</v>
          </cell>
          <cell r="BG686">
            <v>45.468715051806292</v>
          </cell>
          <cell r="BH686">
            <v>42.408178994289898</v>
          </cell>
          <cell r="BI686">
            <v>30.406703917126244</v>
          </cell>
          <cell r="BJ686">
            <v>54.409654071453552</v>
          </cell>
          <cell r="BU686">
            <v>20.986681444429397</v>
          </cell>
          <cell r="BV686">
            <v>29.635401891862816</v>
          </cell>
          <cell r="BW686">
            <v>23.901518972811779</v>
          </cell>
          <cell r="BX686">
            <v>15.713059154269443</v>
          </cell>
          <cell r="BY686">
            <v>32.089978791354113</v>
          </cell>
        </row>
        <row r="687">
          <cell r="A687">
            <v>40487</v>
          </cell>
          <cell r="BF687">
            <v>40.037574676300252</v>
          </cell>
          <cell r="BG687">
            <v>45.468715051806292</v>
          </cell>
          <cell r="BH687">
            <v>42.408178994289898</v>
          </cell>
          <cell r="BI687">
            <v>30.406703917126244</v>
          </cell>
          <cell r="BJ687">
            <v>54.409654071453552</v>
          </cell>
          <cell r="BU687">
            <v>21.115921897849724</v>
          </cell>
          <cell r="BV687">
            <v>29.635401891862816</v>
          </cell>
          <cell r="BW687">
            <v>23.901518972811779</v>
          </cell>
          <cell r="BX687">
            <v>15.713059154269443</v>
          </cell>
          <cell r="BY687">
            <v>32.089978791354113</v>
          </cell>
        </row>
        <row r="688">
          <cell r="A688">
            <v>40490</v>
          </cell>
          <cell r="BF688">
            <v>40.670607279294181</v>
          </cell>
          <cell r="BG688">
            <v>45.468715051806292</v>
          </cell>
          <cell r="BH688">
            <v>42.408178994289898</v>
          </cell>
          <cell r="BI688">
            <v>30.406703917126244</v>
          </cell>
          <cell r="BJ688">
            <v>54.409654071453552</v>
          </cell>
          <cell r="BU688">
            <v>21.475354145468039</v>
          </cell>
          <cell r="BV688">
            <v>29.635401891862816</v>
          </cell>
          <cell r="BW688">
            <v>23.901518972811779</v>
          </cell>
          <cell r="BX688">
            <v>15.713059154269443</v>
          </cell>
          <cell r="BY688">
            <v>32.089978791354113</v>
          </cell>
        </row>
        <row r="689">
          <cell r="A689">
            <v>40491</v>
          </cell>
          <cell r="BF689">
            <v>40.364764701876489</v>
          </cell>
          <cell r="BG689">
            <v>45.468715051806292</v>
          </cell>
          <cell r="BH689">
            <v>42.408178994289898</v>
          </cell>
          <cell r="BI689">
            <v>30.406703917126244</v>
          </cell>
          <cell r="BJ689">
            <v>54.409654071453552</v>
          </cell>
          <cell r="BU689">
            <v>21.302523478287213</v>
          </cell>
          <cell r="BV689">
            <v>29.635401891862816</v>
          </cell>
          <cell r="BW689">
            <v>23.901518972811779</v>
          </cell>
          <cell r="BX689">
            <v>15.713059154269443</v>
          </cell>
          <cell r="BY689">
            <v>32.089978791354113</v>
          </cell>
        </row>
        <row r="690">
          <cell r="A690">
            <v>40492</v>
          </cell>
          <cell r="BF690">
            <v>40.350536389046603</v>
          </cell>
          <cell r="BG690">
            <v>45.468715051806292</v>
          </cell>
          <cell r="BH690">
            <v>42.408178994289898</v>
          </cell>
          <cell r="BI690">
            <v>30.406703917126244</v>
          </cell>
          <cell r="BJ690">
            <v>54.409654071453552</v>
          </cell>
          <cell r="BU690">
            <v>21.294448864549818</v>
          </cell>
          <cell r="BV690">
            <v>29.635401891862816</v>
          </cell>
          <cell r="BW690">
            <v>23.901518972811779</v>
          </cell>
          <cell r="BX690">
            <v>15.713059154269443</v>
          </cell>
          <cell r="BY690">
            <v>32.089978791354113</v>
          </cell>
        </row>
        <row r="691">
          <cell r="A691">
            <v>40493</v>
          </cell>
          <cell r="BF691">
            <v>40.471451442258754</v>
          </cell>
          <cell r="BG691">
            <v>45.468715051806292</v>
          </cell>
          <cell r="BH691">
            <v>42.408178994289898</v>
          </cell>
          <cell r="BI691">
            <v>30.406703917126244</v>
          </cell>
          <cell r="BJ691">
            <v>54.409654071453552</v>
          </cell>
          <cell r="BU691">
            <v>21.363108920081633</v>
          </cell>
          <cell r="BV691">
            <v>29.635401891862816</v>
          </cell>
          <cell r="BW691">
            <v>23.901518972811779</v>
          </cell>
          <cell r="BX691">
            <v>15.713059154269443</v>
          </cell>
          <cell r="BY691">
            <v>32.089978791354113</v>
          </cell>
        </row>
        <row r="692">
          <cell r="A692">
            <v>40494</v>
          </cell>
          <cell r="BF692">
            <v>40.201164710174666</v>
          </cell>
          <cell r="BG692">
            <v>45.468715051806292</v>
          </cell>
          <cell r="BH692">
            <v>42.408178994289898</v>
          </cell>
          <cell r="BI692">
            <v>30.406703917126244</v>
          </cell>
          <cell r="BJ692">
            <v>54.409654071453552</v>
          </cell>
          <cell r="BU692">
            <v>21.209629892006724</v>
          </cell>
          <cell r="BV692">
            <v>29.635401891862816</v>
          </cell>
          <cell r="BW692">
            <v>23.901518972811779</v>
          </cell>
          <cell r="BX692">
            <v>15.713059154269443</v>
          </cell>
          <cell r="BY692">
            <v>32.089978791354113</v>
          </cell>
        </row>
        <row r="693">
          <cell r="A693">
            <v>40497</v>
          </cell>
          <cell r="BF693">
            <v>41.026243972702787</v>
          </cell>
          <cell r="BG693">
            <v>45.468715051806292</v>
          </cell>
          <cell r="BH693">
            <v>42.408178994289898</v>
          </cell>
          <cell r="BI693">
            <v>30.406703917126244</v>
          </cell>
          <cell r="BJ693">
            <v>54.409654071453552</v>
          </cell>
          <cell r="BU693">
            <v>21.678131900432358</v>
          </cell>
          <cell r="BV693">
            <v>29.635401891862816</v>
          </cell>
          <cell r="BW693">
            <v>23.901518972811779</v>
          </cell>
          <cell r="BX693">
            <v>15.713059154269443</v>
          </cell>
          <cell r="BY693">
            <v>32.089978791354113</v>
          </cell>
        </row>
        <row r="694">
          <cell r="A694">
            <v>40498</v>
          </cell>
          <cell r="BF694">
            <v>40.514126422921009</v>
          </cell>
          <cell r="BG694">
            <v>45.468715051806292</v>
          </cell>
          <cell r="BH694">
            <v>42.408178994289898</v>
          </cell>
          <cell r="BI694">
            <v>30.406703917126244</v>
          </cell>
          <cell r="BJ694">
            <v>54.409654071453552</v>
          </cell>
          <cell r="BU694">
            <v>21.387332761293816</v>
          </cell>
          <cell r="BV694">
            <v>29.635401891862816</v>
          </cell>
          <cell r="BW694">
            <v>23.901518972811779</v>
          </cell>
          <cell r="BX694">
            <v>15.713059154269443</v>
          </cell>
          <cell r="BY694">
            <v>32.089978791354113</v>
          </cell>
        </row>
        <row r="695">
          <cell r="A695">
            <v>40499</v>
          </cell>
          <cell r="BF695">
            <v>41.182724829075958</v>
          </cell>
          <cell r="BG695">
            <v>45.468715051806292</v>
          </cell>
          <cell r="BH695">
            <v>42.408178994289898</v>
          </cell>
          <cell r="BI695">
            <v>30.406703917126244</v>
          </cell>
          <cell r="BJ695">
            <v>54.409654071453552</v>
          </cell>
          <cell r="BU695">
            <v>21.766978490307661</v>
          </cell>
          <cell r="BV695">
            <v>29.635401891862816</v>
          </cell>
          <cell r="BW695">
            <v>23.901518972811779</v>
          </cell>
          <cell r="BX695">
            <v>15.713059154269443</v>
          </cell>
          <cell r="BY695">
            <v>32.089978791354113</v>
          </cell>
        </row>
        <row r="696">
          <cell r="A696">
            <v>40500</v>
          </cell>
          <cell r="BF696">
            <v>41.801529830513381</v>
          </cell>
          <cell r="BG696">
            <v>45.468715051806292</v>
          </cell>
          <cell r="BH696">
            <v>42.408178994289898</v>
          </cell>
          <cell r="BI696">
            <v>30.406703917126244</v>
          </cell>
          <cell r="BJ696">
            <v>54.409654071453552</v>
          </cell>
          <cell r="BU696">
            <v>22.118350151858646</v>
          </cell>
          <cell r="BV696">
            <v>29.635401891862816</v>
          </cell>
          <cell r="BW696">
            <v>23.901518972811779</v>
          </cell>
          <cell r="BX696">
            <v>15.713059154269443</v>
          </cell>
          <cell r="BY696">
            <v>32.089978791354113</v>
          </cell>
        </row>
        <row r="697">
          <cell r="A697">
            <v>40501</v>
          </cell>
          <cell r="BF697">
            <v>42.612380780211609</v>
          </cell>
          <cell r="BG697">
            <v>45.468715051806292</v>
          </cell>
          <cell r="BH697">
            <v>42.408178994289898</v>
          </cell>
          <cell r="BI697">
            <v>30.406703917126244</v>
          </cell>
          <cell r="BJ697">
            <v>54.409654071453552</v>
          </cell>
          <cell r="BU697">
            <v>22.578767857010401</v>
          </cell>
          <cell r="BV697">
            <v>29.635401891862816</v>
          </cell>
          <cell r="BW697">
            <v>23.901518972811779</v>
          </cell>
          <cell r="BX697">
            <v>15.713059154269443</v>
          </cell>
          <cell r="BY697">
            <v>32.089978791354113</v>
          </cell>
        </row>
        <row r="698">
          <cell r="A698">
            <v>40504</v>
          </cell>
          <cell r="BF698">
            <v>43.295208210469838</v>
          </cell>
          <cell r="BG698">
            <v>45.468715051806292</v>
          </cell>
          <cell r="BH698">
            <v>42.408178994289898</v>
          </cell>
          <cell r="BI698">
            <v>30.406703917126244</v>
          </cell>
          <cell r="BJ698">
            <v>54.409654071453552</v>
          </cell>
          <cell r="BU698">
            <v>22.966475280379658</v>
          </cell>
          <cell r="BV698">
            <v>29.635401891862816</v>
          </cell>
          <cell r="BW698">
            <v>23.901518972811779</v>
          </cell>
          <cell r="BX698">
            <v>15.713059154269443</v>
          </cell>
          <cell r="BY698">
            <v>32.089978791354113</v>
          </cell>
        </row>
        <row r="699">
          <cell r="A699">
            <v>40505</v>
          </cell>
          <cell r="BF699">
            <v>42.870773098236469</v>
          </cell>
          <cell r="BG699">
            <v>45.468715051806292</v>
          </cell>
          <cell r="BH699">
            <v>42.408178994289898</v>
          </cell>
          <cell r="BI699">
            <v>30.406703917126244</v>
          </cell>
          <cell r="BJ699">
            <v>54.409654071453552</v>
          </cell>
          <cell r="BU699">
            <v>22.526828827824925</v>
          </cell>
          <cell r="BV699">
            <v>29.635401891862816</v>
          </cell>
          <cell r="BW699">
            <v>23.901518972811779</v>
          </cell>
          <cell r="BX699">
            <v>15.713059154269443</v>
          </cell>
          <cell r="BY699">
            <v>32.089978791354113</v>
          </cell>
        </row>
        <row r="700">
          <cell r="A700">
            <v>40506</v>
          </cell>
          <cell r="BF700">
            <v>43.590030052275075</v>
          </cell>
          <cell r="BG700">
            <v>45.468715051806292</v>
          </cell>
          <cell r="BH700">
            <v>42.408178994289898</v>
          </cell>
          <cell r="BI700">
            <v>30.406703917126244</v>
          </cell>
          <cell r="BJ700">
            <v>54.409654071453552</v>
          </cell>
          <cell r="BU700">
            <v>22.931710065450961</v>
          </cell>
          <cell r="BV700">
            <v>29.635401891862816</v>
          </cell>
          <cell r="BW700">
            <v>23.901518972811779</v>
          </cell>
          <cell r="BX700">
            <v>15.713059154269443</v>
          </cell>
          <cell r="BY700">
            <v>32.089978791354113</v>
          </cell>
        </row>
        <row r="701">
          <cell r="A701">
            <v>40507</v>
          </cell>
          <cell r="BF701">
            <v>43.590030052275075</v>
          </cell>
          <cell r="BG701">
            <v>45.468715051806292</v>
          </cell>
          <cell r="BH701">
            <v>42.408178994289898</v>
          </cell>
          <cell r="BI701">
            <v>30.406703917126244</v>
          </cell>
          <cell r="BJ701">
            <v>54.409654071453552</v>
          </cell>
          <cell r="BU701">
            <v>22.931710065450961</v>
          </cell>
          <cell r="BV701">
            <v>29.635401891862816</v>
          </cell>
          <cell r="BW701">
            <v>23.901518972811779</v>
          </cell>
          <cell r="BX701">
            <v>15.713059154269443</v>
          </cell>
          <cell r="BY701">
            <v>32.089978791354113</v>
          </cell>
        </row>
        <row r="702">
          <cell r="A702">
            <v>40508</v>
          </cell>
          <cell r="BF702">
            <v>43.440486533453225</v>
          </cell>
          <cell r="BG702">
            <v>45.468715051806292</v>
          </cell>
          <cell r="BH702">
            <v>42.408178994289898</v>
          </cell>
          <cell r="BI702">
            <v>30.406703917126244</v>
          </cell>
          <cell r="BJ702">
            <v>54.409654071453552</v>
          </cell>
          <cell r="BU702">
            <v>22.847519375643138</v>
          </cell>
          <cell r="BV702">
            <v>29.635401891862816</v>
          </cell>
          <cell r="BW702">
            <v>23.901518972811779</v>
          </cell>
          <cell r="BX702">
            <v>15.713059154269443</v>
          </cell>
          <cell r="BY702">
            <v>32.089978791354113</v>
          </cell>
        </row>
        <row r="703">
          <cell r="A703">
            <v>40511</v>
          </cell>
          <cell r="BF703">
            <v>43.20424921311271</v>
          </cell>
          <cell r="BG703">
            <v>45.468715051806292</v>
          </cell>
          <cell r="BH703">
            <v>42.408178994289898</v>
          </cell>
          <cell r="BI703">
            <v>30.406703917126244</v>
          </cell>
          <cell r="BJ703">
            <v>54.409654071453552</v>
          </cell>
          <cell r="BU703">
            <v>22.702111446755133</v>
          </cell>
          <cell r="BV703">
            <v>29.635401891862816</v>
          </cell>
          <cell r="BW703">
            <v>23.901518972811779</v>
          </cell>
          <cell r="BX703">
            <v>15.713059154269443</v>
          </cell>
          <cell r="BY703">
            <v>32.089978791354113</v>
          </cell>
        </row>
        <row r="704">
          <cell r="A704">
            <v>40512</v>
          </cell>
          <cell r="BF704">
            <v>42.812581715640697</v>
          </cell>
          <cell r="BG704">
            <v>45.468715051806292</v>
          </cell>
          <cell r="BH704">
            <v>42.408178994289898</v>
          </cell>
          <cell r="BI704">
            <v>30.406703917126244</v>
          </cell>
          <cell r="BJ704">
            <v>54.409654071453552</v>
          </cell>
          <cell r="BU704">
            <v>22.481767205268103</v>
          </cell>
          <cell r="BV704">
            <v>29.635401891862816</v>
          </cell>
          <cell r="BW704">
            <v>23.901518972811779</v>
          </cell>
          <cell r="BX704">
            <v>15.713059154269443</v>
          </cell>
          <cell r="BY704">
            <v>32.089978791354113</v>
          </cell>
        </row>
        <row r="705">
          <cell r="A705">
            <v>40513</v>
          </cell>
          <cell r="BF705">
            <v>43.052028928959615</v>
          </cell>
          <cell r="BG705">
            <v>45.468715051806292</v>
          </cell>
          <cell r="BH705">
            <v>42.408178994289898</v>
          </cell>
          <cell r="BI705">
            <v>30.406703917126244</v>
          </cell>
          <cell r="BJ705">
            <v>54.409654071453552</v>
          </cell>
          <cell r="BU705">
            <v>22.703555213422778</v>
          </cell>
          <cell r="BV705">
            <v>29.635401891862816</v>
          </cell>
          <cell r="BW705">
            <v>23.901518972811779</v>
          </cell>
          <cell r="BX705">
            <v>15.713059154269443</v>
          </cell>
          <cell r="BY705">
            <v>32.089978791354113</v>
          </cell>
        </row>
        <row r="706">
          <cell r="A706">
            <v>40514</v>
          </cell>
          <cell r="BF706">
            <v>43.32375978930353</v>
          </cell>
          <cell r="BG706">
            <v>45.468715051806292</v>
          </cell>
          <cell r="BH706">
            <v>42.408178994289898</v>
          </cell>
          <cell r="BI706">
            <v>30.406703917126244</v>
          </cell>
          <cell r="BJ706">
            <v>54.409654071453552</v>
          </cell>
          <cell r="BU706">
            <v>22.856792295728404</v>
          </cell>
          <cell r="BV706">
            <v>29.635401891862816</v>
          </cell>
          <cell r="BW706">
            <v>23.901518972811779</v>
          </cell>
          <cell r="BX706">
            <v>15.713059154269443</v>
          </cell>
          <cell r="BY706">
            <v>32.089978791354113</v>
          </cell>
        </row>
        <row r="707">
          <cell r="A707">
            <v>40515</v>
          </cell>
          <cell r="BF707">
            <v>43.79754326802486</v>
          </cell>
          <cell r="BG707">
            <v>45.468715051806292</v>
          </cell>
          <cell r="BH707">
            <v>42.408178994289898</v>
          </cell>
          <cell r="BI707">
            <v>30.406703917126244</v>
          </cell>
          <cell r="BJ707">
            <v>54.409654071453552</v>
          </cell>
          <cell r="BU707">
            <v>23.123950167313403</v>
          </cell>
          <cell r="BV707">
            <v>29.635401891862816</v>
          </cell>
          <cell r="BW707">
            <v>23.901518972811779</v>
          </cell>
          <cell r="BX707">
            <v>15.713059154269443</v>
          </cell>
          <cell r="BY707">
            <v>32.089978791354113</v>
          </cell>
        </row>
        <row r="708">
          <cell r="A708">
            <v>40518</v>
          </cell>
          <cell r="BF708">
            <v>43.82541874529695</v>
          </cell>
          <cell r="BG708">
            <v>45.468715051806292</v>
          </cell>
          <cell r="BH708">
            <v>42.408178994289898</v>
          </cell>
          <cell r="BI708">
            <v>30.406703917126244</v>
          </cell>
          <cell r="BJ708">
            <v>54.409654071453552</v>
          </cell>
          <cell r="BU708">
            <v>23.139660345938132</v>
          </cell>
          <cell r="BV708">
            <v>29.635401891862816</v>
          </cell>
          <cell r="BW708">
            <v>23.901518972811779</v>
          </cell>
          <cell r="BX708">
            <v>15.713059154269443</v>
          </cell>
          <cell r="BY708">
            <v>32.089978791354113</v>
          </cell>
        </row>
        <row r="709">
          <cell r="A709">
            <v>40519</v>
          </cell>
          <cell r="BF709">
            <v>43.358599258660568</v>
          </cell>
          <cell r="BG709">
            <v>45.468715051806292</v>
          </cell>
          <cell r="BH709">
            <v>42.408178994289898</v>
          </cell>
          <cell r="BI709">
            <v>30.406703917126244</v>
          </cell>
          <cell r="BJ709">
            <v>54.409654071453552</v>
          </cell>
          <cell r="BU709">
            <v>22.876430019009316</v>
          </cell>
          <cell r="BV709">
            <v>29.635401891862816</v>
          </cell>
          <cell r="BW709">
            <v>23.901518972811779</v>
          </cell>
          <cell r="BX709">
            <v>15.713059154269443</v>
          </cell>
          <cell r="BY709">
            <v>32.089978791354113</v>
          </cell>
        </row>
        <row r="710">
          <cell r="A710">
            <v>40520</v>
          </cell>
          <cell r="BF710">
            <v>43.268018589225498</v>
          </cell>
          <cell r="BG710">
            <v>45.468715051806292</v>
          </cell>
          <cell r="BH710">
            <v>42.408178994289898</v>
          </cell>
          <cell r="BI710">
            <v>30.406703917126244</v>
          </cell>
          <cell r="BJ710">
            <v>54.409654071453552</v>
          </cell>
          <cell r="BU710">
            <v>22.825346802193142</v>
          </cell>
          <cell r="BV710">
            <v>29.635401891862816</v>
          </cell>
          <cell r="BW710">
            <v>23.901518972811779</v>
          </cell>
          <cell r="BX710">
            <v>15.713059154269443</v>
          </cell>
          <cell r="BY710">
            <v>32.089978791354113</v>
          </cell>
        </row>
        <row r="711">
          <cell r="A711">
            <v>40521</v>
          </cell>
          <cell r="BF711">
            <v>43.860258214653996</v>
          </cell>
          <cell r="BG711">
            <v>45.468715051806292</v>
          </cell>
          <cell r="BH711">
            <v>42.408178994289898</v>
          </cell>
          <cell r="BI711">
            <v>30.406703917126244</v>
          </cell>
          <cell r="BJ711">
            <v>54.409654071453552</v>
          </cell>
          <cell r="BU711">
            <v>23.159310637361948</v>
          </cell>
          <cell r="BV711">
            <v>29.635401891862816</v>
          </cell>
          <cell r="BW711">
            <v>23.901518972811779</v>
          </cell>
          <cell r="BX711">
            <v>15.713059154269443</v>
          </cell>
          <cell r="BY711">
            <v>32.089978791354113</v>
          </cell>
        </row>
        <row r="712">
          <cell r="A712">
            <v>40522</v>
          </cell>
          <cell r="BF712">
            <v>43.985667902232379</v>
          </cell>
          <cell r="BG712">
            <v>45.468715051806292</v>
          </cell>
          <cell r="BH712">
            <v>42.408178994289898</v>
          </cell>
          <cell r="BI712">
            <v>30.406703917126244</v>
          </cell>
          <cell r="BJ712">
            <v>54.409654071453552</v>
          </cell>
          <cell r="BU712">
            <v>23.230030634848319</v>
          </cell>
          <cell r="BV712">
            <v>29.635401891862816</v>
          </cell>
          <cell r="BW712">
            <v>23.901518972811779</v>
          </cell>
          <cell r="BX712">
            <v>15.713059154269443</v>
          </cell>
          <cell r="BY712">
            <v>32.089978791354113</v>
          </cell>
        </row>
        <row r="713">
          <cell r="A713">
            <v>40525</v>
          </cell>
          <cell r="BF713">
            <v>45.056706981666771</v>
          </cell>
          <cell r="BG713">
            <v>45.468715051806292</v>
          </cell>
          <cell r="BH713">
            <v>42.408178994289898</v>
          </cell>
          <cell r="BI713">
            <v>30.406703917126244</v>
          </cell>
          <cell r="BJ713">
            <v>54.409654071453552</v>
          </cell>
          <cell r="BU713">
            <v>23.781237860123561</v>
          </cell>
          <cell r="BV713">
            <v>29.635401891862816</v>
          </cell>
          <cell r="BW713">
            <v>23.901518972811779</v>
          </cell>
          <cell r="BX713">
            <v>15.713059154269443</v>
          </cell>
          <cell r="BY713">
            <v>32.089978791354113</v>
          </cell>
        </row>
        <row r="714">
          <cell r="A714">
            <v>40526</v>
          </cell>
          <cell r="BF714">
            <v>45.606779047340531</v>
          </cell>
          <cell r="BG714">
            <v>45.468715051806292</v>
          </cell>
          <cell r="BH714">
            <v>42.408178994289898</v>
          </cell>
          <cell r="BI714">
            <v>30.406703917126244</v>
          </cell>
          <cell r="BJ714">
            <v>54.409654071453552</v>
          </cell>
          <cell r="BU714">
            <v>24.090718555370366</v>
          </cell>
          <cell r="BV714">
            <v>29.635401891862816</v>
          </cell>
          <cell r="BW714">
            <v>23.901518972811779</v>
          </cell>
          <cell r="BX714">
            <v>15.713059154269443</v>
          </cell>
          <cell r="BY714">
            <v>32.089978791354113</v>
          </cell>
        </row>
        <row r="715">
          <cell r="A715">
            <v>40527</v>
          </cell>
          <cell r="BF715">
            <v>44.813002457892061</v>
          </cell>
          <cell r="BG715">
            <v>45.468715051806292</v>
          </cell>
          <cell r="BH715">
            <v>42.408178994289898</v>
          </cell>
          <cell r="BI715">
            <v>30.406703917126244</v>
          </cell>
          <cell r="BJ715">
            <v>54.409654071453552</v>
          </cell>
          <cell r="BU715">
            <v>23.70353396399452</v>
          </cell>
          <cell r="BV715">
            <v>29.635401891862816</v>
          </cell>
          <cell r="BW715">
            <v>23.901518972811779</v>
          </cell>
          <cell r="BX715">
            <v>15.713059154269443</v>
          </cell>
          <cell r="BY715">
            <v>32.089978791354113</v>
          </cell>
        </row>
        <row r="716">
          <cell r="A716">
            <v>40528</v>
          </cell>
          <cell r="BF716">
            <v>44.047093351158274</v>
          </cell>
          <cell r="BG716">
            <v>45.468715051806292</v>
          </cell>
          <cell r="BH716">
            <v>42.408178994289898</v>
          </cell>
          <cell r="BI716">
            <v>30.406703917126244</v>
          </cell>
          <cell r="BJ716">
            <v>54.409654071453552</v>
          </cell>
          <cell r="BU716">
            <v>23.271523511601906</v>
          </cell>
          <cell r="BV716">
            <v>29.635401891862816</v>
          </cell>
          <cell r="BW716">
            <v>23.901518972811779</v>
          </cell>
          <cell r="BX716">
            <v>15.713059154269443</v>
          </cell>
          <cell r="BY716">
            <v>32.089978791354113</v>
          </cell>
        </row>
        <row r="717">
          <cell r="A717">
            <v>40529</v>
          </cell>
          <cell r="BF717">
            <v>44.39523670266469</v>
          </cell>
          <cell r="BG717">
            <v>45.468715051806292</v>
          </cell>
          <cell r="BH717">
            <v>42.408178994289898</v>
          </cell>
          <cell r="BI717">
            <v>30.406703917126244</v>
          </cell>
          <cell r="BJ717">
            <v>54.409654071453552</v>
          </cell>
          <cell r="BU717">
            <v>23.345736138623138</v>
          </cell>
          <cell r="BV717">
            <v>29.635401891862816</v>
          </cell>
          <cell r="BW717">
            <v>23.901518972811779</v>
          </cell>
          <cell r="BX717">
            <v>15.713059154269443</v>
          </cell>
          <cell r="BY717">
            <v>32.089978791354113</v>
          </cell>
        </row>
        <row r="718">
          <cell r="A718">
            <v>40532</v>
          </cell>
          <cell r="BF718">
            <v>44.959227539531675</v>
          </cell>
          <cell r="BG718">
            <v>45.468715051806292</v>
          </cell>
          <cell r="BH718">
            <v>42.408178994289898</v>
          </cell>
          <cell r="BI718">
            <v>30.406703917126244</v>
          </cell>
          <cell r="BJ718">
            <v>54.409654071453552</v>
          </cell>
          <cell r="BU718">
            <v>23.662190450600196</v>
          </cell>
          <cell r="BV718">
            <v>29.635401891862816</v>
          </cell>
          <cell r="BW718">
            <v>23.901518972811779</v>
          </cell>
          <cell r="BX718">
            <v>15.713059154269443</v>
          </cell>
          <cell r="BY718">
            <v>32.089978791354113</v>
          </cell>
        </row>
        <row r="719">
          <cell r="A719">
            <v>40533</v>
          </cell>
          <cell r="BF719">
            <v>44.68535251398589</v>
          </cell>
          <cell r="BG719">
            <v>45.468715051806292</v>
          </cell>
          <cell r="BH719">
            <v>42.408178994289898</v>
          </cell>
          <cell r="BI719">
            <v>30.406703917126244</v>
          </cell>
          <cell r="BJ719">
            <v>54.409654071453552</v>
          </cell>
          <cell r="BU719">
            <v>23.556704638476294</v>
          </cell>
          <cell r="BV719">
            <v>29.635401891862816</v>
          </cell>
          <cell r="BW719">
            <v>23.901518972811779</v>
          </cell>
          <cell r="BX719">
            <v>15.713059154269443</v>
          </cell>
          <cell r="BY719">
            <v>32.089978791354113</v>
          </cell>
        </row>
        <row r="720">
          <cell r="A720">
            <v>40534</v>
          </cell>
          <cell r="BF720">
            <v>44.47687549949616</v>
          </cell>
          <cell r="BG720">
            <v>45.468715051806292</v>
          </cell>
          <cell r="BH720">
            <v>42.408178994289898</v>
          </cell>
          <cell r="BI720">
            <v>30.406703917126244</v>
          </cell>
          <cell r="BJ720">
            <v>54.409654071453552</v>
          </cell>
          <cell r="BU720">
            <v>23.439505470815028</v>
          </cell>
          <cell r="BV720">
            <v>29.635401891862816</v>
          </cell>
          <cell r="BW720">
            <v>23.901518972811779</v>
          </cell>
          <cell r="BX720">
            <v>15.713059154269443</v>
          </cell>
          <cell r="BY720">
            <v>32.089978791354113</v>
          </cell>
        </row>
        <row r="721">
          <cell r="A721">
            <v>40535</v>
          </cell>
          <cell r="BF721">
            <v>44.205834810104591</v>
          </cell>
          <cell r="BG721">
            <v>45.468715051806292</v>
          </cell>
          <cell r="BH721">
            <v>42.408178994289898</v>
          </cell>
          <cell r="BI721">
            <v>30.406703917126244</v>
          </cell>
          <cell r="BJ721">
            <v>54.409654071453552</v>
          </cell>
          <cell r="BU721">
            <v>23.287128743805887</v>
          </cell>
          <cell r="BV721">
            <v>29.635401891862816</v>
          </cell>
          <cell r="BW721">
            <v>23.901518972811779</v>
          </cell>
          <cell r="BX721">
            <v>15.713059154269443</v>
          </cell>
          <cell r="BY721">
            <v>32.089978791354113</v>
          </cell>
        </row>
        <row r="722">
          <cell r="A722">
            <v>40536</v>
          </cell>
          <cell r="BF722">
            <v>44.205834810104591</v>
          </cell>
          <cell r="BG722">
            <v>45.468715051806292</v>
          </cell>
          <cell r="BH722">
            <v>42.408178994289898</v>
          </cell>
          <cell r="BI722">
            <v>30.406703917126244</v>
          </cell>
          <cell r="BJ722">
            <v>54.409654071453552</v>
          </cell>
          <cell r="BU722">
            <v>23.287128743805887</v>
          </cell>
          <cell r="BV722">
            <v>29.635401891862816</v>
          </cell>
          <cell r="BW722">
            <v>23.901518972811779</v>
          </cell>
          <cell r="BX722">
            <v>15.713059154269443</v>
          </cell>
          <cell r="BY722">
            <v>32.089978791354113</v>
          </cell>
        </row>
        <row r="723">
          <cell r="A723">
            <v>40539</v>
          </cell>
          <cell r="BF723">
            <v>44.442125855658645</v>
          </cell>
          <cell r="BG723">
            <v>45.468715051806292</v>
          </cell>
          <cell r="BH723">
            <v>42.408178994289898</v>
          </cell>
          <cell r="BI723">
            <v>30.406703917126244</v>
          </cell>
          <cell r="BJ723">
            <v>54.409654071453552</v>
          </cell>
          <cell r="BU723">
            <v>23.419965506683081</v>
          </cell>
          <cell r="BV723">
            <v>29.635401891862816</v>
          </cell>
          <cell r="BW723">
            <v>23.901518972811779</v>
          </cell>
          <cell r="BX723">
            <v>15.713059154269443</v>
          </cell>
          <cell r="BY723">
            <v>32.089978791354113</v>
          </cell>
        </row>
        <row r="724">
          <cell r="A724">
            <v>40540</v>
          </cell>
          <cell r="BF724">
            <v>44.191943430973971</v>
          </cell>
          <cell r="BG724">
            <v>45.468715051806292</v>
          </cell>
          <cell r="BH724">
            <v>42.408178994289898</v>
          </cell>
          <cell r="BI724">
            <v>30.406703917126244</v>
          </cell>
          <cell r="BJ724">
            <v>54.409654071453552</v>
          </cell>
          <cell r="BU724">
            <v>23.279330254763138</v>
          </cell>
          <cell r="BV724">
            <v>29.635401891862816</v>
          </cell>
          <cell r="BW724">
            <v>23.901518972811779</v>
          </cell>
          <cell r="BX724">
            <v>15.713059154269443</v>
          </cell>
          <cell r="BY724">
            <v>32.089978791354113</v>
          </cell>
        </row>
        <row r="725">
          <cell r="A725">
            <v>40541</v>
          </cell>
          <cell r="BF725">
            <v>44.504669376976267</v>
          </cell>
          <cell r="BG725">
            <v>45.468715051806292</v>
          </cell>
          <cell r="BH725">
            <v>42.408178994289898</v>
          </cell>
          <cell r="BI725">
            <v>30.406703917126244</v>
          </cell>
          <cell r="BJ725">
            <v>54.409654071453552</v>
          </cell>
          <cell r="BU725">
            <v>23.455127444057712</v>
          </cell>
          <cell r="BV725">
            <v>29.635401891862816</v>
          </cell>
          <cell r="BW725">
            <v>23.901518972811779</v>
          </cell>
          <cell r="BX725">
            <v>15.713059154269443</v>
          </cell>
          <cell r="BY725">
            <v>32.089978791354113</v>
          </cell>
        </row>
        <row r="726">
          <cell r="A726">
            <v>40542</v>
          </cell>
          <cell r="BF726">
            <v>44.462973696097848</v>
          </cell>
          <cell r="BG726">
            <v>45.468715051806292</v>
          </cell>
          <cell r="BH726">
            <v>42.408178994289898</v>
          </cell>
          <cell r="BI726">
            <v>30.406703917126244</v>
          </cell>
          <cell r="BJ726">
            <v>54.409654071453552</v>
          </cell>
          <cell r="BU726">
            <v>23.431681361736164</v>
          </cell>
          <cell r="BV726">
            <v>29.635401891862816</v>
          </cell>
          <cell r="BW726">
            <v>23.901518972811779</v>
          </cell>
          <cell r="BX726">
            <v>15.713059154269443</v>
          </cell>
          <cell r="BY726">
            <v>32.089978791354113</v>
          </cell>
        </row>
        <row r="727">
          <cell r="A727">
            <v>40543</v>
          </cell>
          <cell r="BF727">
            <v>44.01820563605407</v>
          </cell>
          <cell r="BG727">
            <v>45.468715051806292</v>
          </cell>
          <cell r="BH727">
            <v>42.408178994289898</v>
          </cell>
          <cell r="BI727">
            <v>30.406703917126244</v>
          </cell>
          <cell r="BJ727">
            <v>54.409654071453552</v>
          </cell>
          <cell r="BU727">
            <v>23.181644493879311</v>
          </cell>
          <cell r="BV727">
            <v>29.635401891862816</v>
          </cell>
          <cell r="BW727">
            <v>23.901518972811779</v>
          </cell>
          <cell r="BX727">
            <v>15.713059154269443</v>
          </cell>
          <cell r="BY727">
            <v>32.089978791354113</v>
          </cell>
        </row>
        <row r="728">
          <cell r="A728">
            <v>40546</v>
          </cell>
          <cell r="BF728">
            <v>43.767588922055964</v>
          </cell>
          <cell r="BG728">
            <v>45.468715051806292</v>
          </cell>
          <cell r="BH728">
            <v>42.408178994289898</v>
          </cell>
          <cell r="BI728">
            <v>30.406703917126244</v>
          </cell>
          <cell r="BJ728">
            <v>54.409654071453552</v>
          </cell>
          <cell r="BU728">
            <v>22.794963359452975</v>
          </cell>
          <cell r="BV728">
            <v>29.635401891862816</v>
          </cell>
          <cell r="BW728">
            <v>23.901518972811779</v>
          </cell>
          <cell r="BX728">
            <v>15.713059154269443</v>
          </cell>
          <cell r="BY728">
            <v>32.089978791354113</v>
          </cell>
        </row>
        <row r="729">
          <cell r="A729">
            <v>40547</v>
          </cell>
          <cell r="BF729">
            <v>43.692760218706553</v>
          </cell>
          <cell r="BG729">
            <v>45.468715051806292</v>
          </cell>
          <cell r="BH729">
            <v>42.408178994289898</v>
          </cell>
          <cell r="BI729">
            <v>30.406703917126244</v>
          </cell>
          <cell r="BJ729">
            <v>54.409654071453552</v>
          </cell>
          <cell r="BU729">
            <v>22.75295419123379</v>
          </cell>
          <cell r="BV729">
            <v>29.635401891862816</v>
          </cell>
          <cell r="BW729">
            <v>23.901518972811779</v>
          </cell>
          <cell r="BX729">
            <v>15.713059154269443</v>
          </cell>
          <cell r="BY729">
            <v>32.089978791354113</v>
          </cell>
        </row>
        <row r="730">
          <cell r="A730">
            <v>40548</v>
          </cell>
          <cell r="BF730">
            <v>44.896813856794147</v>
          </cell>
          <cell r="BG730">
            <v>45.468715051806292</v>
          </cell>
          <cell r="BH730">
            <v>42.408178994289898</v>
          </cell>
          <cell r="BI730">
            <v>30.406703917126244</v>
          </cell>
          <cell r="BJ730">
            <v>54.409654071453552</v>
          </cell>
          <cell r="BU730">
            <v>23.429022919532269</v>
          </cell>
          <cell r="BV730">
            <v>29.635401891862816</v>
          </cell>
          <cell r="BW730">
            <v>23.901518972811779</v>
          </cell>
          <cell r="BX730">
            <v>15.713059154269443</v>
          </cell>
          <cell r="BY730">
            <v>32.089978791354113</v>
          </cell>
        </row>
        <row r="731">
          <cell r="A731">
            <v>40549</v>
          </cell>
          <cell r="BF731">
            <v>45.408490032163527</v>
          </cell>
          <cell r="BG731">
            <v>45.468715051806292</v>
          </cell>
          <cell r="BH731">
            <v>42.408178994289898</v>
          </cell>
          <cell r="BI731">
            <v>30.406703917126244</v>
          </cell>
          <cell r="BJ731">
            <v>54.409654071453552</v>
          </cell>
          <cell r="BU731">
            <v>23.57279465963336</v>
          </cell>
          <cell r="BV731">
            <v>29.635401891862816</v>
          </cell>
          <cell r="BW731">
            <v>23.901518972811779</v>
          </cell>
          <cell r="BX731">
            <v>15.713059154269443</v>
          </cell>
          <cell r="BY731">
            <v>32.089978791354113</v>
          </cell>
        </row>
        <row r="732">
          <cell r="A732">
            <v>40550</v>
          </cell>
          <cell r="BF732">
            <v>44.465580986665394</v>
          </cell>
          <cell r="BG732">
            <v>45.468715051806292</v>
          </cell>
          <cell r="BH732">
            <v>42.408178994289898</v>
          </cell>
          <cell r="BI732">
            <v>30.406703917126244</v>
          </cell>
          <cell r="BJ732">
            <v>54.409654071453552</v>
          </cell>
          <cell r="BU732">
            <v>23.064057124227691</v>
          </cell>
          <cell r="BV732">
            <v>29.635401891862816</v>
          </cell>
          <cell r="BW732">
            <v>23.901518972811779</v>
          </cell>
          <cell r="BX732">
            <v>15.713059154269443</v>
          </cell>
          <cell r="BY732">
            <v>32.089978791354113</v>
          </cell>
        </row>
        <row r="733">
          <cell r="A733">
            <v>40553</v>
          </cell>
          <cell r="BF733">
            <v>44.687221283635928</v>
          </cell>
          <cell r="BG733">
            <v>45.468715051806292</v>
          </cell>
          <cell r="BH733">
            <v>42.408178994289898</v>
          </cell>
          <cell r="BI733">
            <v>30.406703917126244</v>
          </cell>
          <cell r="BJ733">
            <v>54.409654071453552</v>
          </cell>
          <cell r="BU733">
            <v>22.989796675954121</v>
          </cell>
          <cell r="BV733">
            <v>29.635401891862816</v>
          </cell>
          <cell r="BW733">
            <v>23.901518972811779</v>
          </cell>
          <cell r="BX733">
            <v>15.713059154269443</v>
          </cell>
          <cell r="BY733">
            <v>32.089978791354113</v>
          </cell>
        </row>
        <row r="734">
          <cell r="A734">
            <v>40554</v>
          </cell>
          <cell r="BF734">
            <v>45.629074815247975</v>
          </cell>
          <cell r="BG734">
            <v>45.468715051806292</v>
          </cell>
          <cell r="BH734">
            <v>42.408178994289898</v>
          </cell>
          <cell r="BI734">
            <v>30.406703917126244</v>
          </cell>
          <cell r="BJ734">
            <v>54.409654071453552</v>
          </cell>
          <cell r="BU734">
            <v>23.51117336102001</v>
          </cell>
          <cell r="BV734">
            <v>29.635401891862816</v>
          </cell>
          <cell r="BW734">
            <v>23.901518972811779</v>
          </cell>
          <cell r="BX734">
            <v>15.713059154269443</v>
          </cell>
          <cell r="BY734">
            <v>32.089978791354113</v>
          </cell>
        </row>
        <row r="735">
          <cell r="A735">
            <v>40555</v>
          </cell>
          <cell r="BF735">
            <v>45.152941348388403</v>
          </cell>
          <cell r="BG735">
            <v>45.468715051806292</v>
          </cell>
          <cell r="BH735">
            <v>42.408178994289898</v>
          </cell>
          <cell r="BI735">
            <v>30.406703917126244</v>
          </cell>
          <cell r="BJ735">
            <v>54.409654071453552</v>
          </cell>
          <cell r="BU735">
            <v>22.864401020665984</v>
          </cell>
          <cell r="BV735">
            <v>29.635401891862816</v>
          </cell>
          <cell r="BW735">
            <v>23.901518972811779</v>
          </cell>
          <cell r="BX735">
            <v>15.713059154269443</v>
          </cell>
          <cell r="BY735">
            <v>32.089978791354113</v>
          </cell>
        </row>
        <row r="736">
          <cell r="A736">
            <v>40556</v>
          </cell>
          <cell r="BF736">
            <v>46.906447642486341</v>
          </cell>
          <cell r="BG736">
            <v>45.468715051806292</v>
          </cell>
          <cell r="BH736">
            <v>42.408178994289898</v>
          </cell>
          <cell r="BI736">
            <v>30.406703917126244</v>
          </cell>
          <cell r="BJ736">
            <v>54.409654071453552</v>
          </cell>
          <cell r="BU736">
            <v>23.746411067844011</v>
          </cell>
          <cell r="BV736">
            <v>29.635401891862816</v>
          </cell>
          <cell r="BW736">
            <v>23.901518972811779</v>
          </cell>
          <cell r="BX736">
            <v>15.713059154269443</v>
          </cell>
          <cell r="BY736">
            <v>32.089978791354113</v>
          </cell>
        </row>
        <row r="737">
          <cell r="A737">
            <v>40557</v>
          </cell>
          <cell r="BF737">
            <v>46.744385341694354</v>
          </cell>
          <cell r="BG737">
            <v>45.468715051806292</v>
          </cell>
          <cell r="BH737">
            <v>42.408178994289898</v>
          </cell>
          <cell r="BI737">
            <v>30.406703917126244</v>
          </cell>
          <cell r="BJ737">
            <v>54.409654071453552</v>
          </cell>
          <cell r="BU737">
            <v>22.938152367506248</v>
          </cell>
          <cell r="BV737">
            <v>29.635401891862816</v>
          </cell>
          <cell r="BW737">
            <v>23.901518972811779</v>
          </cell>
          <cell r="BX737">
            <v>15.713059154269443</v>
          </cell>
          <cell r="BY737">
            <v>32.089978791354113</v>
          </cell>
        </row>
        <row r="738">
          <cell r="A738">
            <v>40560</v>
          </cell>
          <cell r="BF738">
            <v>46.744385341694354</v>
          </cell>
          <cell r="BG738">
            <v>45.468715051806292</v>
          </cell>
          <cell r="BH738">
            <v>42.408178994289898</v>
          </cell>
          <cell r="BI738">
            <v>30.406703917126244</v>
          </cell>
          <cell r="BJ738">
            <v>54.409654071453552</v>
          </cell>
          <cell r="BU738">
            <v>22.938152367506248</v>
          </cell>
          <cell r="BV738">
            <v>29.635401891862816</v>
          </cell>
          <cell r="BW738">
            <v>23.901518972811779</v>
          </cell>
          <cell r="BX738">
            <v>15.713059154269443</v>
          </cell>
          <cell r="BY738">
            <v>32.089978791354113</v>
          </cell>
        </row>
        <row r="739">
          <cell r="A739">
            <v>40561</v>
          </cell>
          <cell r="BF739">
            <v>48.044155681513715</v>
          </cell>
          <cell r="BG739">
            <v>45.468715051806292</v>
          </cell>
          <cell r="BH739">
            <v>42.408178994289898</v>
          </cell>
          <cell r="BI739">
            <v>30.406703917126244</v>
          </cell>
          <cell r="BJ739">
            <v>54.409654071453552</v>
          </cell>
          <cell r="BU739">
            <v>23.62213098369309</v>
          </cell>
          <cell r="BV739">
            <v>29.635401891862816</v>
          </cell>
          <cell r="BW739">
            <v>23.901518972811779</v>
          </cell>
          <cell r="BX739">
            <v>15.713059154269443</v>
          </cell>
          <cell r="BY739">
            <v>32.089978791354113</v>
          </cell>
        </row>
        <row r="740">
          <cell r="A740">
            <v>40562</v>
          </cell>
          <cell r="BF740">
            <v>47.188929029268948</v>
          </cell>
          <cell r="BG740">
            <v>45.468715051806292</v>
          </cell>
          <cell r="BH740">
            <v>42.408178994289898</v>
          </cell>
          <cell r="BI740">
            <v>30.406703917126244</v>
          </cell>
          <cell r="BJ740">
            <v>54.409654071453552</v>
          </cell>
          <cell r="BU740">
            <v>23.091336079988089</v>
          </cell>
          <cell r="BV740">
            <v>29.635401891862816</v>
          </cell>
          <cell r="BW740">
            <v>23.901518972811779</v>
          </cell>
          <cell r="BX740">
            <v>15.713059154269443</v>
          </cell>
          <cell r="BY740">
            <v>32.089978791354113</v>
          </cell>
        </row>
        <row r="741">
          <cell r="A741">
            <v>40563</v>
          </cell>
          <cell r="BF741">
            <v>46.740672890536516</v>
          </cell>
          <cell r="BG741">
            <v>45.468715051806292</v>
          </cell>
          <cell r="BH741">
            <v>42.408178994289898</v>
          </cell>
          <cell r="BI741">
            <v>30.406703917126244</v>
          </cell>
          <cell r="BJ741">
            <v>54.409654071453552</v>
          </cell>
          <cell r="BU741">
            <v>22.856225241315819</v>
          </cell>
          <cell r="BV741">
            <v>29.635401891862816</v>
          </cell>
          <cell r="BW741">
            <v>23.901518972811779</v>
          </cell>
          <cell r="BX741">
            <v>15.713059154269443</v>
          </cell>
          <cell r="BY741">
            <v>32.089978791354113</v>
          </cell>
        </row>
        <row r="742">
          <cell r="A742">
            <v>40564</v>
          </cell>
          <cell r="BF742">
            <v>46.504601418930861</v>
          </cell>
          <cell r="BG742">
            <v>45.468715051806292</v>
          </cell>
          <cell r="BH742">
            <v>42.408178994289898</v>
          </cell>
          <cell r="BI742">
            <v>30.406703917126244</v>
          </cell>
          <cell r="BJ742">
            <v>54.409654071453552</v>
          </cell>
          <cell r="BU742">
            <v>22.831285436113827</v>
          </cell>
          <cell r="BV742">
            <v>29.635401891862816</v>
          </cell>
          <cell r="BW742">
            <v>23.901518972811779</v>
          </cell>
          <cell r="BX742">
            <v>15.713059154269443</v>
          </cell>
          <cell r="BY742">
            <v>32.089978791354113</v>
          </cell>
        </row>
        <row r="743">
          <cell r="A743">
            <v>40567</v>
          </cell>
          <cell r="BF743">
            <v>47.233963307624023</v>
          </cell>
          <cell r="BG743">
            <v>45.468715051806292</v>
          </cell>
          <cell r="BH743">
            <v>42.408178994289898</v>
          </cell>
          <cell r="BI743">
            <v>30.406703917126244</v>
          </cell>
          <cell r="BJ743">
            <v>54.409654071453552</v>
          </cell>
          <cell r="BU743">
            <v>23.187531901702286</v>
          </cell>
          <cell r="BV743">
            <v>29.635401891862816</v>
          </cell>
          <cell r="BW743">
            <v>23.901518972811779</v>
          </cell>
          <cell r="BX743">
            <v>15.713059154269443</v>
          </cell>
          <cell r="BY743">
            <v>32.089978791354113</v>
          </cell>
        </row>
        <row r="744">
          <cell r="A744">
            <v>40568</v>
          </cell>
          <cell r="BF744">
            <v>47.247500324491689</v>
          </cell>
          <cell r="BG744">
            <v>45.468715051806292</v>
          </cell>
          <cell r="BH744">
            <v>42.408178994289898</v>
          </cell>
          <cell r="BI744">
            <v>30.406703917126244</v>
          </cell>
          <cell r="BJ744">
            <v>54.409654071453552</v>
          </cell>
          <cell r="BU744">
            <v>23.580867683861843</v>
          </cell>
          <cell r="BV744">
            <v>29.635401891862816</v>
          </cell>
          <cell r="BW744">
            <v>23.901518972811779</v>
          </cell>
          <cell r="BX744">
            <v>15.713059154269443</v>
          </cell>
          <cell r="BY744">
            <v>32.089978791354113</v>
          </cell>
        </row>
        <row r="745">
          <cell r="A745">
            <v>40569</v>
          </cell>
          <cell r="BF745">
            <v>47.836661907534925</v>
          </cell>
          <cell r="BG745">
            <v>45.468715051806292</v>
          </cell>
          <cell r="BH745">
            <v>42.408178994289898</v>
          </cell>
          <cell r="BI745">
            <v>30.406703917126244</v>
          </cell>
          <cell r="BJ745">
            <v>54.409654071453552</v>
          </cell>
          <cell r="BU745">
            <v>23.895969461052662</v>
          </cell>
          <cell r="BV745">
            <v>29.635401891862816</v>
          </cell>
          <cell r="BW745">
            <v>23.901518972811779</v>
          </cell>
          <cell r="BX745">
            <v>15.713059154269443</v>
          </cell>
          <cell r="BY745">
            <v>32.089978791354113</v>
          </cell>
        </row>
        <row r="746">
          <cell r="A746">
            <v>40570</v>
          </cell>
          <cell r="BF746">
            <v>47.823115410015127</v>
          </cell>
          <cell r="BG746">
            <v>45.468715051806292</v>
          </cell>
          <cell r="BH746">
            <v>42.408178994289898</v>
          </cell>
          <cell r="BI746">
            <v>30.406703917126244</v>
          </cell>
          <cell r="BJ746">
            <v>54.409654071453552</v>
          </cell>
          <cell r="BU746">
            <v>23.8887170397171</v>
          </cell>
          <cell r="BV746">
            <v>29.635401891862816</v>
          </cell>
          <cell r="BW746">
            <v>23.901518972811779</v>
          </cell>
          <cell r="BX746">
            <v>15.713059154269443</v>
          </cell>
          <cell r="BY746">
            <v>32.089978791354113</v>
          </cell>
        </row>
        <row r="747">
          <cell r="A747">
            <v>40571</v>
          </cell>
          <cell r="BF747">
            <v>46.759922574679265</v>
          </cell>
          <cell r="BG747">
            <v>45.468715051806292</v>
          </cell>
          <cell r="BH747">
            <v>42.408178994289898</v>
          </cell>
          <cell r="BI747">
            <v>30.406703917126244</v>
          </cell>
          <cell r="BJ747">
            <v>54.409654071453552</v>
          </cell>
          <cell r="BU747">
            <v>23.32010722230196</v>
          </cell>
          <cell r="BV747">
            <v>29.635401891862816</v>
          </cell>
          <cell r="BW747">
            <v>23.901518972811779</v>
          </cell>
          <cell r="BX747">
            <v>15.713059154269443</v>
          </cell>
          <cell r="BY747">
            <v>32.089978791354113</v>
          </cell>
        </row>
        <row r="748">
          <cell r="A748">
            <v>40574</v>
          </cell>
          <cell r="BF748">
            <v>46.956313606433831</v>
          </cell>
          <cell r="BG748">
            <v>45.468715051806292</v>
          </cell>
          <cell r="BH748">
            <v>42.408178994289898</v>
          </cell>
          <cell r="BI748">
            <v>30.406703917126244</v>
          </cell>
          <cell r="BJ748">
            <v>54.409654071453552</v>
          </cell>
          <cell r="BU748">
            <v>23.425144237455598</v>
          </cell>
          <cell r="BV748">
            <v>29.635401891862816</v>
          </cell>
          <cell r="BW748">
            <v>23.901518972811779</v>
          </cell>
          <cell r="BX748">
            <v>15.713059154269443</v>
          </cell>
          <cell r="BY748">
            <v>32.089978791354113</v>
          </cell>
        </row>
        <row r="749">
          <cell r="A749">
            <v>40575</v>
          </cell>
          <cell r="BF749">
            <v>46.793023332648602</v>
          </cell>
          <cell r="BG749">
            <v>45.468715051806292</v>
          </cell>
          <cell r="BH749">
            <v>42.408178994289898</v>
          </cell>
          <cell r="BI749">
            <v>30.406703917126244</v>
          </cell>
          <cell r="BJ749">
            <v>54.409654071453552</v>
          </cell>
          <cell r="BU749">
            <v>23.375523432248933</v>
          </cell>
          <cell r="BV749">
            <v>29.635401891862816</v>
          </cell>
          <cell r="BW749">
            <v>23.901518972811779</v>
          </cell>
          <cell r="BX749">
            <v>15.713059154269443</v>
          </cell>
          <cell r="BY749">
            <v>32.089978791354113</v>
          </cell>
        </row>
        <row r="750">
          <cell r="A750">
            <v>40576</v>
          </cell>
          <cell r="BF750">
            <v>47.116785231327611</v>
          </cell>
          <cell r="BG750">
            <v>45.468715051806292</v>
          </cell>
          <cell r="BH750">
            <v>42.408178994289898</v>
          </cell>
          <cell r="BI750">
            <v>30.406703917126244</v>
          </cell>
          <cell r="BJ750">
            <v>54.409654071453552</v>
          </cell>
          <cell r="BU750">
            <v>23.548644585975563</v>
          </cell>
          <cell r="BV750">
            <v>29.635401891862816</v>
          </cell>
          <cell r="BW750">
            <v>23.901518972811779</v>
          </cell>
          <cell r="BX750">
            <v>15.713059154269443</v>
          </cell>
          <cell r="BY750">
            <v>32.089978791354113</v>
          </cell>
        </row>
        <row r="751">
          <cell r="A751">
            <v>40577</v>
          </cell>
          <cell r="BF751">
            <v>46.687303597469899</v>
          </cell>
          <cell r="BG751">
            <v>45.468715051806292</v>
          </cell>
          <cell r="BH751">
            <v>42.408178994289898</v>
          </cell>
          <cell r="BI751">
            <v>30.406703917126244</v>
          </cell>
          <cell r="BJ751">
            <v>54.409654071453552</v>
          </cell>
          <cell r="BU751">
            <v>23.318981447472961</v>
          </cell>
          <cell r="BV751">
            <v>29.635401891862816</v>
          </cell>
          <cell r="BW751">
            <v>23.901518972811779</v>
          </cell>
          <cell r="BX751">
            <v>15.713059154269443</v>
          </cell>
          <cell r="BY751">
            <v>32.089978791354113</v>
          </cell>
        </row>
        <row r="752">
          <cell r="A752">
            <v>40578</v>
          </cell>
          <cell r="BF752">
            <v>47.043412632009051</v>
          </cell>
          <cell r="BG752">
            <v>45.468715051806292</v>
          </cell>
          <cell r="BH752">
            <v>42.408178994289898</v>
          </cell>
          <cell r="BI752">
            <v>30.406703917126244</v>
          </cell>
          <cell r="BJ752">
            <v>54.409654071453552</v>
          </cell>
          <cell r="BU752">
            <v>24.000412529600339</v>
          </cell>
          <cell r="BV752">
            <v>29.635401891862816</v>
          </cell>
          <cell r="BW752">
            <v>23.901518972811779</v>
          </cell>
          <cell r="BX752">
            <v>15.713059154269443</v>
          </cell>
          <cell r="BY752">
            <v>32.089978791354113</v>
          </cell>
        </row>
        <row r="753">
          <cell r="A753">
            <v>40581</v>
          </cell>
          <cell r="BF753">
            <v>47.101738128962637</v>
          </cell>
          <cell r="BG753">
            <v>45.468715051806292</v>
          </cell>
          <cell r="BH753">
            <v>42.408178994289898</v>
          </cell>
          <cell r="BI753">
            <v>30.406703917126244</v>
          </cell>
          <cell r="BJ753">
            <v>54.409654071453552</v>
          </cell>
          <cell r="BU753">
            <v>24.040238854330813</v>
          </cell>
          <cell r="BV753">
            <v>29.635401891862816</v>
          </cell>
          <cell r="BW753">
            <v>23.901518972811779</v>
          </cell>
          <cell r="BX753">
            <v>15.713059154269443</v>
          </cell>
          <cell r="BY753">
            <v>32.089978791354113</v>
          </cell>
        </row>
        <row r="754">
          <cell r="A754">
            <v>40582</v>
          </cell>
          <cell r="BF754">
            <v>46.453703346545531</v>
          </cell>
          <cell r="BG754">
            <v>45.468715051806292</v>
          </cell>
          <cell r="BH754">
            <v>42.408178994289898</v>
          </cell>
          <cell r="BI754">
            <v>30.406703917126244</v>
          </cell>
          <cell r="BJ754">
            <v>54.409654071453552</v>
          </cell>
          <cell r="BU754">
            <v>23.686834285394085</v>
          </cell>
          <cell r="BV754">
            <v>29.635401891862816</v>
          </cell>
          <cell r="BW754">
            <v>23.901518972811779</v>
          </cell>
          <cell r="BX754">
            <v>15.713059154269443</v>
          </cell>
          <cell r="BY754">
            <v>32.089978791354113</v>
          </cell>
        </row>
        <row r="755">
          <cell r="A755">
            <v>40583</v>
          </cell>
          <cell r="BF755">
            <v>45.960722901938283</v>
          </cell>
          <cell r="BG755">
            <v>45.468715051806292</v>
          </cell>
          <cell r="BH755">
            <v>42.408178994289898</v>
          </cell>
          <cell r="BI755">
            <v>30.406703917126244</v>
          </cell>
          <cell r="BJ755">
            <v>54.409654071453552</v>
          </cell>
          <cell r="BU755">
            <v>22.552404437847311</v>
          </cell>
          <cell r="BV755">
            <v>29.635401891862816</v>
          </cell>
          <cell r="BW755">
            <v>23.901518972811779</v>
          </cell>
          <cell r="BX755">
            <v>15.713059154269443</v>
          </cell>
          <cell r="BY755">
            <v>32.089978791354113</v>
          </cell>
        </row>
        <row r="756">
          <cell r="A756">
            <v>40584</v>
          </cell>
          <cell r="BF756">
            <v>47.167396837866377</v>
          </cell>
          <cell r="BG756">
            <v>45.468715051806292</v>
          </cell>
          <cell r="BH756">
            <v>42.408178994289898</v>
          </cell>
          <cell r="BI756">
            <v>30.406703917126244</v>
          </cell>
          <cell r="BJ756">
            <v>54.409654071453552</v>
          </cell>
          <cell r="BU756">
            <v>23.192057676185648</v>
          </cell>
          <cell r="BV756">
            <v>29.635401891862816</v>
          </cell>
          <cell r="BW756">
            <v>23.901518972811779</v>
          </cell>
          <cell r="BX756">
            <v>15.713059154269443</v>
          </cell>
          <cell r="BY756">
            <v>32.089978791354113</v>
          </cell>
        </row>
        <row r="757">
          <cell r="A757">
            <v>40585</v>
          </cell>
          <cell r="BF757">
            <v>48.742283683756391</v>
          </cell>
          <cell r="BG757">
            <v>45.468715051806292</v>
          </cell>
          <cell r="BH757">
            <v>42.408178994289898</v>
          </cell>
          <cell r="BI757">
            <v>30.406703917126244</v>
          </cell>
          <cell r="BJ757">
            <v>54.409654071453552</v>
          </cell>
          <cell r="BU757">
            <v>24.019410009440847</v>
          </cell>
          <cell r="BV757">
            <v>29.635401891862816</v>
          </cell>
          <cell r="BW757">
            <v>23.901518972811779</v>
          </cell>
          <cell r="BX757">
            <v>15.713059154269443</v>
          </cell>
          <cell r="BY757">
            <v>32.089978791354113</v>
          </cell>
        </row>
        <row r="758">
          <cell r="A758">
            <v>40588</v>
          </cell>
          <cell r="BF758">
            <v>48.808459648323506</v>
          </cell>
          <cell r="BG758">
            <v>45.468715051806292</v>
          </cell>
          <cell r="BH758">
            <v>42.408178994289898</v>
          </cell>
          <cell r="BI758">
            <v>30.406703917126244</v>
          </cell>
          <cell r="BJ758">
            <v>54.409654071453552</v>
          </cell>
          <cell r="BU758">
            <v>23.815407309926115</v>
          </cell>
          <cell r="BV758">
            <v>29.635401891862816</v>
          </cell>
          <cell r="BW758">
            <v>23.901518972811779</v>
          </cell>
          <cell r="BX758">
            <v>15.713059154269443</v>
          </cell>
          <cell r="BY758">
            <v>32.089978791354113</v>
          </cell>
        </row>
        <row r="759">
          <cell r="A759">
            <v>40589</v>
          </cell>
          <cell r="BF759">
            <v>47.587252687602081</v>
          </cell>
          <cell r="BG759">
            <v>45.468715051806292</v>
          </cell>
          <cell r="BH759">
            <v>42.408178994289898</v>
          </cell>
          <cell r="BI759">
            <v>30.406703917126244</v>
          </cell>
          <cell r="BJ759">
            <v>54.409654071453552</v>
          </cell>
          <cell r="BU759">
            <v>23.168336430151712</v>
          </cell>
          <cell r="BV759">
            <v>29.635401891862816</v>
          </cell>
          <cell r="BW759">
            <v>23.901518972811779</v>
          </cell>
          <cell r="BX759">
            <v>15.713059154269443</v>
          </cell>
          <cell r="BY759">
            <v>32.089978791354113</v>
          </cell>
        </row>
        <row r="760">
          <cell r="A760">
            <v>40590</v>
          </cell>
          <cell r="BF760">
            <v>47.759389071751592</v>
          </cell>
          <cell r="BG760">
            <v>45.468715051806292</v>
          </cell>
          <cell r="BH760">
            <v>42.408178994289898</v>
          </cell>
          <cell r="BI760">
            <v>30.406703917126244</v>
          </cell>
          <cell r="BJ760">
            <v>54.409654071453552</v>
          </cell>
          <cell r="BU760">
            <v>23.257834853877014</v>
          </cell>
          <cell r="BV760">
            <v>29.635401891862816</v>
          </cell>
          <cell r="BW760">
            <v>23.901518972811779</v>
          </cell>
          <cell r="BX760">
            <v>15.713059154269443</v>
          </cell>
          <cell r="BY760">
            <v>32.089978791354113</v>
          </cell>
        </row>
        <row r="761">
          <cell r="A761">
            <v>40591</v>
          </cell>
          <cell r="BF761">
            <v>47.818969803369299</v>
          </cell>
          <cell r="BG761">
            <v>45.468715051806292</v>
          </cell>
          <cell r="BH761">
            <v>42.408178994289898</v>
          </cell>
          <cell r="BI761">
            <v>30.406703917126244</v>
          </cell>
          <cell r="BJ761">
            <v>54.409654071453552</v>
          </cell>
          <cell r="BU761">
            <v>23.288807505713127</v>
          </cell>
          <cell r="BV761">
            <v>29.635401891862816</v>
          </cell>
          <cell r="BW761">
            <v>23.901518972811779</v>
          </cell>
          <cell r="BX761">
            <v>15.713059154269443</v>
          </cell>
          <cell r="BY761">
            <v>32.089978791354113</v>
          </cell>
        </row>
        <row r="762">
          <cell r="A762">
            <v>40592</v>
          </cell>
          <cell r="BF762">
            <v>47.84544733326306</v>
          </cell>
          <cell r="BG762">
            <v>45.468715051806292</v>
          </cell>
          <cell r="BH762">
            <v>42.408178994289898</v>
          </cell>
          <cell r="BI762">
            <v>30.406703917126244</v>
          </cell>
          <cell r="BJ762">
            <v>54.409654071453552</v>
          </cell>
          <cell r="BU762">
            <v>23.302574626968973</v>
          </cell>
          <cell r="BV762">
            <v>29.635401891862816</v>
          </cell>
          <cell r="BW762">
            <v>23.901518972811779</v>
          </cell>
          <cell r="BX762">
            <v>15.713059154269443</v>
          </cell>
          <cell r="BY762">
            <v>32.089978791354113</v>
          </cell>
        </row>
        <row r="763">
          <cell r="A763">
            <v>40595</v>
          </cell>
          <cell r="BF763">
            <v>47.84544733326306</v>
          </cell>
          <cell r="BG763">
            <v>45.468715051806292</v>
          </cell>
          <cell r="BH763">
            <v>42.408178994289898</v>
          </cell>
          <cell r="BI763">
            <v>30.406703917126244</v>
          </cell>
          <cell r="BJ763">
            <v>54.409654071453552</v>
          </cell>
          <cell r="BU763">
            <v>23.302574626968973</v>
          </cell>
          <cell r="BV763">
            <v>29.635401891862816</v>
          </cell>
          <cell r="BW763">
            <v>23.901518972811779</v>
          </cell>
          <cell r="BX763">
            <v>15.713059154269443</v>
          </cell>
          <cell r="BY763">
            <v>32.089978791354113</v>
          </cell>
        </row>
        <row r="764">
          <cell r="A764">
            <v>40596</v>
          </cell>
          <cell r="BF764">
            <v>46.878877802217239</v>
          </cell>
          <cell r="BG764">
            <v>45.468715051806292</v>
          </cell>
          <cell r="BH764">
            <v>42.408178994289898</v>
          </cell>
          <cell r="BI764">
            <v>30.406703917126244</v>
          </cell>
          <cell r="BJ764">
            <v>54.409654071453552</v>
          </cell>
          <cell r="BU764">
            <v>22.800076049526499</v>
          </cell>
          <cell r="BV764">
            <v>29.635401891862816</v>
          </cell>
          <cell r="BW764">
            <v>23.901518972811779</v>
          </cell>
          <cell r="BX764">
            <v>15.713059154269443</v>
          </cell>
          <cell r="BY764">
            <v>32.089978791354113</v>
          </cell>
        </row>
        <row r="765">
          <cell r="A765">
            <v>40597</v>
          </cell>
          <cell r="BF765">
            <v>44.435957907657482</v>
          </cell>
          <cell r="BG765">
            <v>45.468715051806292</v>
          </cell>
          <cell r="BH765">
            <v>42.408178994289898</v>
          </cell>
          <cell r="BI765">
            <v>30.406703917126244</v>
          </cell>
          <cell r="BJ765">
            <v>54.409654071453552</v>
          </cell>
          <cell r="BU765">
            <v>21.530046303914705</v>
          </cell>
          <cell r="BV765">
            <v>29.635401891862816</v>
          </cell>
          <cell r="BW765">
            <v>23.901518972811779</v>
          </cell>
          <cell r="BX765">
            <v>15.713059154269443</v>
          </cell>
          <cell r="BY765">
            <v>32.089978791354113</v>
          </cell>
        </row>
        <row r="766">
          <cell r="A766">
            <v>40598</v>
          </cell>
          <cell r="BF766">
            <v>45.084751399387052</v>
          </cell>
          <cell r="BG766">
            <v>45.468715051806292</v>
          </cell>
          <cell r="BH766">
            <v>42.408178994289898</v>
          </cell>
          <cell r="BI766">
            <v>30.406703917126244</v>
          </cell>
          <cell r="BJ766">
            <v>54.409654071453552</v>
          </cell>
          <cell r="BU766">
            <v>21.867344819870311</v>
          </cell>
          <cell r="BV766">
            <v>29.635401891862816</v>
          </cell>
          <cell r="BW766">
            <v>23.901518972811779</v>
          </cell>
          <cell r="BX766">
            <v>15.713059154269443</v>
          </cell>
          <cell r="BY766">
            <v>32.089978791354113</v>
          </cell>
        </row>
        <row r="767">
          <cell r="A767">
            <v>40599</v>
          </cell>
          <cell r="BF767">
            <v>46.038087461786404</v>
          </cell>
          <cell r="BG767">
            <v>45.468715051806292</v>
          </cell>
          <cell r="BH767">
            <v>42.408178994289898</v>
          </cell>
          <cell r="BI767">
            <v>30.406703917126244</v>
          </cell>
          <cell r="BJ767">
            <v>54.409654071453552</v>
          </cell>
          <cell r="BU767">
            <v>22.362953094705798</v>
          </cell>
          <cell r="BV767">
            <v>29.635401891862816</v>
          </cell>
          <cell r="BW767">
            <v>23.901518972811779</v>
          </cell>
          <cell r="BX767">
            <v>15.713059154269443</v>
          </cell>
          <cell r="BY767">
            <v>32.089978791354113</v>
          </cell>
        </row>
        <row r="768">
          <cell r="A768">
            <v>40602</v>
          </cell>
          <cell r="BF768">
            <v>45.94540220436965</v>
          </cell>
          <cell r="BG768">
            <v>45.468715051806292</v>
          </cell>
          <cell r="BH768">
            <v>42.408178994289898</v>
          </cell>
          <cell r="BI768">
            <v>30.406703917126244</v>
          </cell>
          <cell r="BJ768">
            <v>54.409654071453552</v>
          </cell>
          <cell r="BU768">
            <v>22.314780305872663</v>
          </cell>
          <cell r="BV768">
            <v>29.635401891862816</v>
          </cell>
          <cell r="BW768">
            <v>23.901518972811779</v>
          </cell>
          <cell r="BX768">
            <v>15.713059154269443</v>
          </cell>
          <cell r="BY768">
            <v>32.089978791354113</v>
          </cell>
        </row>
        <row r="769">
          <cell r="A769">
            <v>40603</v>
          </cell>
          <cell r="BF769">
            <v>43.12089201840007</v>
          </cell>
          <cell r="BG769">
            <v>45.468715051806292</v>
          </cell>
          <cell r="BH769">
            <v>42.408178994289898</v>
          </cell>
          <cell r="BI769">
            <v>30.406703917126244</v>
          </cell>
          <cell r="BJ769">
            <v>54.409654071453552</v>
          </cell>
          <cell r="BU769">
            <v>20.880016319654654</v>
          </cell>
          <cell r="BV769">
            <v>29.635401891862816</v>
          </cell>
          <cell r="BW769">
            <v>23.901518972811779</v>
          </cell>
          <cell r="BX769">
            <v>15.713059154269443</v>
          </cell>
          <cell r="BY769">
            <v>32.089978791354113</v>
          </cell>
        </row>
        <row r="770">
          <cell r="A770">
            <v>40604</v>
          </cell>
          <cell r="BF770">
            <v>43.599155290502189</v>
          </cell>
          <cell r="BG770">
            <v>45.468715051806292</v>
          </cell>
          <cell r="BH770">
            <v>42.408178994289898</v>
          </cell>
          <cell r="BI770">
            <v>30.406703917126244</v>
          </cell>
          <cell r="BJ770">
            <v>54.409654071453552</v>
          </cell>
          <cell r="BU770">
            <v>21.128604143086516</v>
          </cell>
          <cell r="BV770">
            <v>29.635401891862816</v>
          </cell>
          <cell r="BW770">
            <v>23.901518972811779</v>
          </cell>
          <cell r="BX770">
            <v>15.713059154269443</v>
          </cell>
          <cell r="BY770">
            <v>32.089978791354113</v>
          </cell>
        </row>
        <row r="771">
          <cell r="A771">
            <v>40605</v>
          </cell>
          <cell r="BF771">
            <v>44.419954403783422</v>
          </cell>
          <cell r="BG771">
            <v>45.468715051806292</v>
          </cell>
          <cell r="BH771">
            <v>42.408178994289898</v>
          </cell>
          <cell r="BI771">
            <v>30.406703917126244</v>
          </cell>
          <cell r="BJ771">
            <v>54.409654071453552</v>
          </cell>
          <cell r="BU771">
            <v>21.555248348293013</v>
          </cell>
          <cell r="BV771">
            <v>29.635401891862816</v>
          </cell>
          <cell r="BW771">
            <v>23.901518972811779</v>
          </cell>
          <cell r="BX771">
            <v>15.713059154269443</v>
          </cell>
          <cell r="BY771">
            <v>32.089978791354113</v>
          </cell>
        </row>
        <row r="772">
          <cell r="A772">
            <v>40606</v>
          </cell>
          <cell r="BF772">
            <v>44.148511175273988</v>
          </cell>
          <cell r="BG772">
            <v>45.468715051806292</v>
          </cell>
          <cell r="BH772">
            <v>42.408178994289898</v>
          </cell>
          <cell r="BI772">
            <v>30.406703917126244</v>
          </cell>
          <cell r="BJ772">
            <v>54.409654071453552</v>
          </cell>
          <cell r="BU772">
            <v>21.414158353294201</v>
          </cell>
          <cell r="BV772">
            <v>29.635401891862816</v>
          </cell>
          <cell r="BW772">
            <v>23.901518972811779</v>
          </cell>
          <cell r="BX772">
            <v>15.713059154269443</v>
          </cell>
          <cell r="BY772">
            <v>32.089978791354113</v>
          </cell>
        </row>
        <row r="773">
          <cell r="A773">
            <v>40609</v>
          </cell>
          <cell r="BF773">
            <v>43.579767042434213</v>
          </cell>
          <cell r="BG773">
            <v>45.468715051806292</v>
          </cell>
          <cell r="BH773">
            <v>42.408178994289898</v>
          </cell>
          <cell r="BI773">
            <v>30.406703917126244</v>
          </cell>
          <cell r="BJ773">
            <v>54.409654071453552</v>
          </cell>
          <cell r="BU773">
            <v>21.118529125319153</v>
          </cell>
          <cell r="BV773">
            <v>29.635401891862816</v>
          </cell>
          <cell r="BW773">
            <v>23.901518972811779</v>
          </cell>
          <cell r="BX773">
            <v>15.713059154269443</v>
          </cell>
          <cell r="BY773">
            <v>32.089978791354113</v>
          </cell>
        </row>
        <row r="774">
          <cell r="A774">
            <v>40610</v>
          </cell>
          <cell r="BF774">
            <v>43.366487911832238</v>
          </cell>
          <cell r="BG774">
            <v>45.468715051806292</v>
          </cell>
          <cell r="BH774">
            <v>42.408178994289898</v>
          </cell>
          <cell r="BI774">
            <v>30.406703917126244</v>
          </cell>
          <cell r="BJ774">
            <v>54.409654071453552</v>
          </cell>
          <cell r="BU774">
            <v>21.007667605485505</v>
          </cell>
          <cell r="BV774">
            <v>29.635401891862816</v>
          </cell>
          <cell r="BW774">
            <v>23.901518972811779</v>
          </cell>
          <cell r="BX774">
            <v>15.713059154269443</v>
          </cell>
          <cell r="BY774">
            <v>32.089978791354113</v>
          </cell>
        </row>
        <row r="775">
          <cell r="A775">
            <v>40611</v>
          </cell>
          <cell r="BF775">
            <v>42.532769978235969</v>
          </cell>
          <cell r="BG775">
            <v>45.468715051806292</v>
          </cell>
          <cell r="BH775">
            <v>42.408178994289898</v>
          </cell>
          <cell r="BI775">
            <v>30.406703917126244</v>
          </cell>
          <cell r="BJ775">
            <v>54.409654071453552</v>
          </cell>
          <cell r="BU775">
            <v>20.574309704930116</v>
          </cell>
          <cell r="BV775">
            <v>29.635401891862816</v>
          </cell>
          <cell r="BW775">
            <v>23.901518972811779</v>
          </cell>
          <cell r="BX775">
            <v>15.713059154269443</v>
          </cell>
          <cell r="BY775">
            <v>32.089978791354113</v>
          </cell>
        </row>
        <row r="776">
          <cell r="A776">
            <v>40612</v>
          </cell>
          <cell r="BF776">
            <v>41.207860257775359</v>
          </cell>
          <cell r="BG776">
            <v>45.468715051806292</v>
          </cell>
          <cell r="BH776">
            <v>42.408178994289898</v>
          </cell>
          <cell r="BI776">
            <v>30.406703917126244</v>
          </cell>
          <cell r="BJ776">
            <v>54.409654071453552</v>
          </cell>
          <cell r="BU776">
            <v>19.88564133610592</v>
          </cell>
          <cell r="BV776">
            <v>29.635401891862816</v>
          </cell>
          <cell r="BW776">
            <v>23.901518972811779</v>
          </cell>
          <cell r="BX776">
            <v>15.713059154269443</v>
          </cell>
          <cell r="BY776">
            <v>32.089978791354113</v>
          </cell>
        </row>
        <row r="777">
          <cell r="A777">
            <v>40613</v>
          </cell>
          <cell r="BF777">
            <v>41.718429951964019</v>
          </cell>
          <cell r="BG777">
            <v>45.468715051806292</v>
          </cell>
          <cell r="BH777">
            <v>42.408178994289898</v>
          </cell>
          <cell r="BI777">
            <v>30.406703917126244</v>
          </cell>
          <cell r="BJ777">
            <v>54.409654071453552</v>
          </cell>
          <cell r="BU777">
            <v>20.15103024400516</v>
          </cell>
          <cell r="BV777">
            <v>29.635401891862816</v>
          </cell>
          <cell r="BW777">
            <v>23.901518972811779</v>
          </cell>
          <cell r="BX777">
            <v>15.713059154269443</v>
          </cell>
          <cell r="BY777">
            <v>32.089978791354113</v>
          </cell>
        </row>
        <row r="778">
          <cell r="A778">
            <v>40616</v>
          </cell>
          <cell r="BF778">
            <v>41.53746823048872</v>
          </cell>
          <cell r="BG778">
            <v>45.468715051806292</v>
          </cell>
          <cell r="BH778">
            <v>42.408178994289898</v>
          </cell>
          <cell r="BI778">
            <v>30.406703917126244</v>
          </cell>
          <cell r="BJ778">
            <v>54.409654071453552</v>
          </cell>
          <cell r="BU778">
            <v>20.112329235871652</v>
          </cell>
          <cell r="BV778">
            <v>29.635401891862816</v>
          </cell>
          <cell r="BW778">
            <v>23.901518972811779</v>
          </cell>
          <cell r="BX778">
            <v>15.713059154269443</v>
          </cell>
          <cell r="BY778">
            <v>32.089978791354113</v>
          </cell>
        </row>
        <row r="779">
          <cell r="A779">
            <v>40617</v>
          </cell>
          <cell r="BF779">
            <v>41.485763219590545</v>
          </cell>
          <cell r="BG779">
            <v>45.468715051806292</v>
          </cell>
          <cell r="BH779">
            <v>42.408178994289898</v>
          </cell>
          <cell r="BI779">
            <v>30.406703917126244</v>
          </cell>
          <cell r="BJ779">
            <v>54.409654071453552</v>
          </cell>
          <cell r="BU779">
            <v>20.085378115869549</v>
          </cell>
          <cell r="BV779">
            <v>29.635401891862816</v>
          </cell>
          <cell r="BW779">
            <v>23.901518972811779</v>
          </cell>
          <cell r="BX779">
            <v>15.713059154269443</v>
          </cell>
          <cell r="BY779">
            <v>32.089978791354113</v>
          </cell>
        </row>
        <row r="780">
          <cell r="A780">
            <v>40618</v>
          </cell>
          <cell r="BF780">
            <v>41.121101859686981</v>
          </cell>
          <cell r="BG780">
            <v>45.468715051806292</v>
          </cell>
          <cell r="BH780">
            <v>42.408178994289898</v>
          </cell>
          <cell r="BI780">
            <v>30.406703917126244</v>
          </cell>
          <cell r="BJ780">
            <v>54.409654071453552</v>
          </cell>
          <cell r="BU780">
            <v>19.386810868453466</v>
          </cell>
          <cell r="BV780">
            <v>29.635401891862816</v>
          </cell>
          <cell r="BW780">
            <v>23.901518972811779</v>
          </cell>
          <cell r="BX780">
            <v>15.713059154269443</v>
          </cell>
          <cell r="BY780">
            <v>32.089978791354113</v>
          </cell>
        </row>
        <row r="781">
          <cell r="A781">
            <v>40619</v>
          </cell>
          <cell r="BF781">
            <v>40.475152928409486</v>
          </cell>
          <cell r="BG781">
            <v>45.468715051806292</v>
          </cell>
          <cell r="BH781">
            <v>42.408178994289898</v>
          </cell>
          <cell r="BI781">
            <v>30.406703917126244</v>
          </cell>
          <cell r="BJ781">
            <v>54.409654071453552</v>
          </cell>
          <cell r="BU781">
            <v>19.058811616976609</v>
          </cell>
          <cell r="BV781">
            <v>29.635401891862816</v>
          </cell>
          <cell r="BW781">
            <v>23.901518972811779</v>
          </cell>
          <cell r="BX781">
            <v>15.713059154269443</v>
          </cell>
          <cell r="BY781">
            <v>32.089978791354113</v>
          </cell>
        </row>
        <row r="782">
          <cell r="A782">
            <v>40620</v>
          </cell>
          <cell r="BF782">
            <v>40.119879078360064</v>
          </cell>
          <cell r="BG782">
            <v>45.468715051806292</v>
          </cell>
          <cell r="BH782">
            <v>42.408178994289898</v>
          </cell>
          <cell r="BI782">
            <v>30.406703917126244</v>
          </cell>
          <cell r="BJ782">
            <v>54.409654071453552</v>
          </cell>
          <cell r="BU782">
            <v>18.878409849744234</v>
          </cell>
          <cell r="BV782">
            <v>29.635401891862816</v>
          </cell>
          <cell r="BW782">
            <v>23.901518972811779</v>
          </cell>
          <cell r="BX782">
            <v>15.713059154269443</v>
          </cell>
          <cell r="BY782">
            <v>32.089978791354113</v>
          </cell>
        </row>
        <row r="783">
          <cell r="A783">
            <v>40623</v>
          </cell>
          <cell r="BF783">
            <v>40.727072365658771</v>
          </cell>
          <cell r="BG783">
            <v>45.468715051806292</v>
          </cell>
          <cell r="BH783">
            <v>42.408178994289898</v>
          </cell>
          <cell r="BI783">
            <v>30.406703917126244</v>
          </cell>
          <cell r="BJ783">
            <v>54.409654071453552</v>
          </cell>
          <cell r="BU783">
            <v>19.186732170986271</v>
          </cell>
          <cell r="BV783">
            <v>29.635401891862816</v>
          </cell>
          <cell r="BW783">
            <v>23.901518972811779</v>
          </cell>
          <cell r="BX783">
            <v>15.713059154269443</v>
          </cell>
          <cell r="BY783">
            <v>32.089978791354113</v>
          </cell>
        </row>
        <row r="784">
          <cell r="A784">
            <v>40624</v>
          </cell>
          <cell r="BF784">
            <v>40.811048956469506</v>
          </cell>
          <cell r="BG784">
            <v>45.468715051806292</v>
          </cell>
          <cell r="BH784">
            <v>42.408178994289898</v>
          </cell>
          <cell r="BI784">
            <v>30.406703917126244</v>
          </cell>
          <cell r="BJ784">
            <v>54.409654071453552</v>
          </cell>
          <cell r="BU784">
            <v>19.229369792220744</v>
          </cell>
          <cell r="BV784">
            <v>29.635401891862816</v>
          </cell>
          <cell r="BW784">
            <v>23.901518972811779</v>
          </cell>
          <cell r="BX784">
            <v>15.713059154269443</v>
          </cell>
          <cell r="BY784">
            <v>32.089978791354113</v>
          </cell>
        </row>
        <row r="785">
          <cell r="A785">
            <v>40625</v>
          </cell>
          <cell r="BF785">
            <v>40.839923760297204</v>
          </cell>
          <cell r="BG785">
            <v>45.468715051806292</v>
          </cell>
          <cell r="BH785">
            <v>42.408178994289898</v>
          </cell>
          <cell r="BI785">
            <v>30.406703917126244</v>
          </cell>
          <cell r="BJ785">
            <v>54.409654071453552</v>
          </cell>
          <cell r="BU785">
            <v>19.261644514137153</v>
          </cell>
          <cell r="BV785">
            <v>29.635401891862816</v>
          </cell>
          <cell r="BW785">
            <v>23.901518972811779</v>
          </cell>
          <cell r="BX785">
            <v>15.713059154269443</v>
          </cell>
          <cell r="BY785">
            <v>32.089978791354113</v>
          </cell>
        </row>
        <row r="786">
          <cell r="A786">
            <v>40626</v>
          </cell>
          <cell r="BF786">
            <v>42.611232402902814</v>
          </cell>
          <cell r="BG786">
            <v>45.468715051806292</v>
          </cell>
          <cell r="BH786">
            <v>42.408178994289898</v>
          </cell>
          <cell r="BI786">
            <v>30.406703917126244</v>
          </cell>
          <cell r="BJ786">
            <v>54.409654071453552</v>
          </cell>
          <cell r="BU786">
            <v>20.135338133740277</v>
          </cell>
          <cell r="BV786">
            <v>29.635401891862816</v>
          </cell>
          <cell r="BW786">
            <v>23.901518972811779</v>
          </cell>
          <cell r="BX786">
            <v>15.713059154269443</v>
          </cell>
          <cell r="BY786">
            <v>32.089978791354113</v>
          </cell>
        </row>
        <row r="787">
          <cell r="A787">
            <v>40627</v>
          </cell>
          <cell r="BF787">
            <v>42.313844612176943</v>
          </cell>
          <cell r="BG787">
            <v>45.468715051806292</v>
          </cell>
          <cell r="BH787">
            <v>42.408178994289898</v>
          </cell>
          <cell r="BI787">
            <v>30.406703917126244</v>
          </cell>
          <cell r="BJ787">
            <v>54.409654071453552</v>
          </cell>
          <cell r="BU787">
            <v>19.984388204592232</v>
          </cell>
          <cell r="BV787">
            <v>29.635401891862816</v>
          </cell>
          <cell r="BW787">
            <v>23.901518972811779</v>
          </cell>
          <cell r="BX787">
            <v>15.713059154269443</v>
          </cell>
          <cell r="BY787">
            <v>32.089978791354113</v>
          </cell>
        </row>
        <row r="788">
          <cell r="A788">
            <v>40630</v>
          </cell>
          <cell r="BF788">
            <v>42.637097832587152</v>
          </cell>
          <cell r="BG788">
            <v>45.468715051806292</v>
          </cell>
          <cell r="BH788">
            <v>42.408178994289898</v>
          </cell>
          <cell r="BI788">
            <v>30.406703917126244</v>
          </cell>
          <cell r="BJ788">
            <v>54.409654071453552</v>
          </cell>
          <cell r="BU788">
            <v>20.148474919690432</v>
          </cell>
          <cell r="BV788">
            <v>29.635401891862816</v>
          </cell>
          <cell r="BW788">
            <v>23.901518972811779</v>
          </cell>
          <cell r="BX788">
            <v>15.713059154269443</v>
          </cell>
          <cell r="BY788">
            <v>32.089978791354113</v>
          </cell>
        </row>
        <row r="789">
          <cell r="A789">
            <v>40631</v>
          </cell>
          <cell r="BF789">
            <v>43.871918022983309</v>
          </cell>
          <cell r="BG789">
            <v>45.468715051806292</v>
          </cell>
          <cell r="BH789">
            <v>42.408178994289898</v>
          </cell>
          <cell r="BI789">
            <v>30.406703917126244</v>
          </cell>
          <cell r="BJ789">
            <v>54.409654071453552</v>
          </cell>
          <cell r="BU789">
            <v>20.775270423636982</v>
          </cell>
          <cell r="BV789">
            <v>29.635401891862816</v>
          </cell>
          <cell r="BW789">
            <v>23.901518972811779</v>
          </cell>
          <cell r="BX789">
            <v>15.713059154269443</v>
          </cell>
          <cell r="BY789">
            <v>32.089978791354113</v>
          </cell>
        </row>
        <row r="790">
          <cell r="A790">
            <v>40632</v>
          </cell>
          <cell r="BF790">
            <v>45.203729695657096</v>
          </cell>
          <cell r="BG790">
            <v>45.468715051806292</v>
          </cell>
          <cell r="BH790">
            <v>42.408178994289898</v>
          </cell>
          <cell r="BI790">
            <v>30.406703917126244</v>
          </cell>
          <cell r="BJ790">
            <v>54.409654071453552</v>
          </cell>
          <cell r="BU790">
            <v>21.451309639071809</v>
          </cell>
          <cell r="BV790">
            <v>29.635401891862816</v>
          </cell>
          <cell r="BW790">
            <v>23.901518972811779</v>
          </cell>
          <cell r="BX790">
            <v>15.713059154269443</v>
          </cell>
          <cell r="BY790">
            <v>32.089978791354113</v>
          </cell>
        </row>
        <row r="791">
          <cell r="A791">
            <v>40633</v>
          </cell>
          <cell r="BF791">
            <v>45.300701782741505</v>
          </cell>
          <cell r="BG791">
            <v>45.468715051806292</v>
          </cell>
          <cell r="BH791">
            <v>42.408178994289898</v>
          </cell>
          <cell r="BI791">
            <v>30.406703917126244</v>
          </cell>
          <cell r="BJ791">
            <v>54.409654071453552</v>
          </cell>
          <cell r="BU791">
            <v>21.500532832346963</v>
          </cell>
          <cell r="BV791">
            <v>29.635401891862816</v>
          </cell>
          <cell r="BW791">
            <v>23.901518972811779</v>
          </cell>
          <cell r="BX791">
            <v>15.713059154269443</v>
          </cell>
          <cell r="BY791">
            <v>32.089978791354113</v>
          </cell>
        </row>
        <row r="792">
          <cell r="A792">
            <v>40634</v>
          </cell>
          <cell r="BF792">
            <v>44.605819055188093</v>
          </cell>
          <cell r="BG792">
            <v>45.468715051806292</v>
          </cell>
          <cell r="BH792">
            <v>42.408178994289898</v>
          </cell>
          <cell r="BI792">
            <v>30.406703917126244</v>
          </cell>
          <cell r="BJ792">
            <v>54.409654071453552</v>
          </cell>
          <cell r="BU792">
            <v>21.301478554673025</v>
          </cell>
          <cell r="BV792">
            <v>29.635401891862816</v>
          </cell>
          <cell r="BW792">
            <v>23.901518972811779</v>
          </cell>
          <cell r="BX792">
            <v>15.713059154269443</v>
          </cell>
          <cell r="BY792">
            <v>32.089978791354113</v>
          </cell>
        </row>
        <row r="793">
          <cell r="A793">
            <v>40637</v>
          </cell>
          <cell r="BF793">
            <v>44.359970750284958</v>
          </cell>
          <cell r="BG793">
            <v>45.468715051806292</v>
          </cell>
          <cell r="BH793">
            <v>42.408178994289898</v>
          </cell>
          <cell r="BI793">
            <v>30.406703917126244</v>
          </cell>
          <cell r="BJ793">
            <v>54.409654071453552</v>
          </cell>
          <cell r="BU793">
            <v>21.707692088477405</v>
          </cell>
          <cell r="BV793">
            <v>29.635401891862816</v>
          </cell>
          <cell r="BW793">
            <v>23.901518972811779</v>
          </cell>
          <cell r="BX793">
            <v>15.713059154269443</v>
          </cell>
          <cell r="BY793">
            <v>32.089978791354113</v>
          </cell>
        </row>
        <row r="794">
          <cell r="A794">
            <v>40638</v>
          </cell>
          <cell r="BF794">
            <v>43.515260915066698</v>
          </cell>
          <cell r="BG794">
            <v>45.468715051806292</v>
          </cell>
          <cell r="BH794">
            <v>42.408178994289898</v>
          </cell>
          <cell r="BI794">
            <v>30.406703917126244</v>
          </cell>
          <cell r="BJ794">
            <v>54.409654071453552</v>
          </cell>
          <cell r="BU794">
            <v>21.288867437628294</v>
          </cell>
          <cell r="BV794">
            <v>29.635401891862816</v>
          </cell>
          <cell r="BW794">
            <v>23.901518972811779</v>
          </cell>
          <cell r="BX794">
            <v>15.713059154269443</v>
          </cell>
          <cell r="BY794">
            <v>32.089978791354113</v>
          </cell>
        </row>
        <row r="795">
          <cell r="A795">
            <v>40639</v>
          </cell>
          <cell r="BF795">
            <v>43.527861618572885</v>
          </cell>
          <cell r="BG795">
            <v>45.468715051806292</v>
          </cell>
          <cell r="BH795">
            <v>42.408178994289898</v>
          </cell>
          <cell r="BI795">
            <v>30.406703917126244</v>
          </cell>
          <cell r="BJ795">
            <v>54.409654071453552</v>
          </cell>
          <cell r="BU795">
            <v>21.295305639960294</v>
          </cell>
          <cell r="BV795">
            <v>29.635401891862816</v>
          </cell>
          <cell r="BW795">
            <v>23.901518972811779</v>
          </cell>
          <cell r="BX795">
            <v>15.713059154269443</v>
          </cell>
          <cell r="BY795">
            <v>32.089978791354113</v>
          </cell>
        </row>
        <row r="796">
          <cell r="A796">
            <v>40640</v>
          </cell>
          <cell r="BF796">
            <v>42.778091244820871</v>
          </cell>
          <cell r="BG796">
            <v>45.468715051806292</v>
          </cell>
          <cell r="BH796">
            <v>42.408178994289898</v>
          </cell>
          <cell r="BI796">
            <v>30.406703917126244</v>
          </cell>
          <cell r="BJ796">
            <v>54.409654071453552</v>
          </cell>
          <cell r="BU796">
            <v>20.918642246894198</v>
          </cell>
          <cell r="BV796">
            <v>29.635401891862816</v>
          </cell>
          <cell r="BW796">
            <v>23.901518972811779</v>
          </cell>
          <cell r="BX796">
            <v>15.713059154269443</v>
          </cell>
          <cell r="BY796">
            <v>32.089978791354113</v>
          </cell>
        </row>
        <row r="797">
          <cell r="A797">
            <v>40641</v>
          </cell>
          <cell r="BF797">
            <v>42.885379812372896</v>
          </cell>
          <cell r="BG797">
            <v>45.468715051806292</v>
          </cell>
          <cell r="BH797">
            <v>42.408178994289898</v>
          </cell>
          <cell r="BI797">
            <v>30.406703917126244</v>
          </cell>
          <cell r="BJ797">
            <v>54.409654071453552</v>
          </cell>
          <cell r="BU797">
            <v>20.914186837672691</v>
          </cell>
          <cell r="BV797">
            <v>29.635401891862816</v>
          </cell>
          <cell r="BW797">
            <v>23.901518972811779</v>
          </cell>
          <cell r="BX797">
            <v>15.713059154269443</v>
          </cell>
          <cell r="BY797">
            <v>32.089978791354113</v>
          </cell>
        </row>
        <row r="798">
          <cell r="A798">
            <v>40644</v>
          </cell>
          <cell r="BF798">
            <v>42.975655669553099</v>
          </cell>
          <cell r="BG798">
            <v>45.468715051806292</v>
          </cell>
          <cell r="BH798">
            <v>42.408178994289898</v>
          </cell>
          <cell r="BI798">
            <v>30.406703917126244</v>
          </cell>
          <cell r="BJ798">
            <v>54.409654071453552</v>
          </cell>
          <cell r="BU798">
            <v>21.042022739839449</v>
          </cell>
          <cell r="BV798">
            <v>29.635401891862816</v>
          </cell>
          <cell r="BW798">
            <v>23.901518972811779</v>
          </cell>
          <cell r="BX798">
            <v>15.713059154269443</v>
          </cell>
          <cell r="BY798">
            <v>32.089978791354113</v>
          </cell>
        </row>
        <row r="799">
          <cell r="A799">
            <v>40645</v>
          </cell>
          <cell r="BF799">
            <v>42.155870883162741</v>
          </cell>
          <cell r="BG799">
            <v>45.468715051806292</v>
          </cell>
          <cell r="BH799">
            <v>42.408178994289898</v>
          </cell>
          <cell r="BI799">
            <v>30.406703917126244</v>
          </cell>
          <cell r="BJ799">
            <v>54.409654071453552</v>
          </cell>
          <cell r="BU799">
            <v>20.643599033112601</v>
          </cell>
          <cell r="BV799">
            <v>29.635401891862816</v>
          </cell>
          <cell r="BW799">
            <v>23.901518972811779</v>
          </cell>
          <cell r="BX799">
            <v>15.713059154269443</v>
          </cell>
          <cell r="BY799">
            <v>32.089978791354113</v>
          </cell>
        </row>
        <row r="800">
          <cell r="A800">
            <v>40646</v>
          </cell>
          <cell r="BF800">
            <v>42.562958447462336</v>
          </cell>
          <cell r="BG800">
            <v>45.468715051806292</v>
          </cell>
          <cell r="BH800">
            <v>42.408178994289898</v>
          </cell>
          <cell r="BI800">
            <v>30.406703917126244</v>
          </cell>
          <cell r="BJ800">
            <v>54.409654071453552</v>
          </cell>
          <cell r="BU800">
            <v>20.851925638019708</v>
          </cell>
          <cell r="BV800">
            <v>29.635401891862816</v>
          </cell>
          <cell r="BW800">
            <v>23.901518972811779</v>
          </cell>
          <cell r="BX800">
            <v>15.713059154269443</v>
          </cell>
          <cell r="BY800">
            <v>32.089978791354113</v>
          </cell>
        </row>
        <row r="801">
          <cell r="A801">
            <v>40647</v>
          </cell>
          <cell r="BF801">
            <v>42.075946208499452</v>
          </cell>
          <cell r="BG801">
            <v>45.468715051806292</v>
          </cell>
          <cell r="BH801">
            <v>42.408178994289898</v>
          </cell>
          <cell r="BI801">
            <v>30.406703917126244</v>
          </cell>
          <cell r="BJ801">
            <v>54.409654071453552</v>
          </cell>
          <cell r="BU801">
            <v>20.642942525281168</v>
          </cell>
          <cell r="BV801">
            <v>29.635401891862816</v>
          </cell>
          <cell r="BW801">
            <v>23.901518972811779</v>
          </cell>
          <cell r="BX801">
            <v>15.713059154269443</v>
          </cell>
          <cell r="BY801">
            <v>32.089978791354113</v>
          </cell>
        </row>
        <row r="802">
          <cell r="A802">
            <v>40648</v>
          </cell>
          <cell r="BF802">
            <v>42.269814510619106</v>
          </cell>
          <cell r="BG802">
            <v>45.468715051806292</v>
          </cell>
          <cell r="BH802">
            <v>42.408178994289898</v>
          </cell>
          <cell r="BI802">
            <v>30.406703917126244</v>
          </cell>
          <cell r="BJ802">
            <v>54.409654071453552</v>
          </cell>
          <cell r="BU802">
            <v>19.925722662859563</v>
          </cell>
          <cell r="BV802">
            <v>29.635401891862816</v>
          </cell>
          <cell r="BW802">
            <v>23.901518972811779</v>
          </cell>
          <cell r="BX802">
            <v>15.713059154269443</v>
          </cell>
          <cell r="BY802">
            <v>32.089978791354113</v>
          </cell>
        </row>
        <row r="803">
          <cell r="A803">
            <v>40651</v>
          </cell>
          <cell r="BF803">
            <v>41.663189800381069</v>
          </cell>
          <cell r="BG803">
            <v>45.468715051806292</v>
          </cell>
          <cell r="BH803">
            <v>42.408178994289898</v>
          </cell>
          <cell r="BI803">
            <v>30.406703917126244</v>
          </cell>
          <cell r="BJ803">
            <v>54.409654071453552</v>
          </cell>
          <cell r="BU803">
            <v>19.626415567168571</v>
          </cell>
          <cell r="BV803">
            <v>29.635401891862816</v>
          </cell>
          <cell r="BW803">
            <v>23.901518972811779</v>
          </cell>
          <cell r="BX803">
            <v>15.713059154269443</v>
          </cell>
          <cell r="BY803">
            <v>32.089978791354113</v>
          </cell>
        </row>
        <row r="804">
          <cell r="A804">
            <v>40652</v>
          </cell>
          <cell r="BF804">
            <v>41.85705747711507</v>
          </cell>
          <cell r="BG804">
            <v>45.468715051806292</v>
          </cell>
          <cell r="BH804">
            <v>42.408178994289898</v>
          </cell>
          <cell r="BI804">
            <v>30.406703917126244</v>
          </cell>
          <cell r="BJ804">
            <v>54.409654071453552</v>
          </cell>
          <cell r="BU804">
            <v>19.722063927629183</v>
          </cell>
          <cell r="BV804">
            <v>29.635401891862816</v>
          </cell>
          <cell r="BW804">
            <v>23.901518972811779</v>
          </cell>
          <cell r="BX804">
            <v>15.713059154269443</v>
          </cell>
          <cell r="BY804">
            <v>32.089978791354113</v>
          </cell>
        </row>
        <row r="805">
          <cell r="A805">
            <v>40653</v>
          </cell>
          <cell r="BF805">
            <v>42.859640451408353</v>
          </cell>
          <cell r="BG805">
            <v>45.468715051806292</v>
          </cell>
          <cell r="BH805">
            <v>42.408178994289898</v>
          </cell>
          <cell r="BI805">
            <v>30.406703917126244</v>
          </cell>
          <cell r="BJ805">
            <v>54.409654071453552</v>
          </cell>
          <cell r="BU805">
            <v>20.632117657482311</v>
          </cell>
          <cell r="BV805">
            <v>29.635401891862816</v>
          </cell>
          <cell r="BW805">
            <v>23.901518972811779</v>
          </cell>
          <cell r="BX805">
            <v>15.713059154269443</v>
          </cell>
          <cell r="BY805">
            <v>32.089978791354113</v>
          </cell>
        </row>
        <row r="806">
          <cell r="A806">
            <v>40654</v>
          </cell>
          <cell r="BF806">
            <v>43.615724158620651</v>
          </cell>
          <cell r="BG806">
            <v>45.468715051806292</v>
          </cell>
          <cell r="BH806">
            <v>42.408178994289898</v>
          </cell>
          <cell r="BI806">
            <v>30.406703917126244</v>
          </cell>
          <cell r="BJ806">
            <v>54.409654071453552</v>
          </cell>
          <cell r="BU806">
            <v>21.012819704751124</v>
          </cell>
          <cell r="BV806">
            <v>29.635401891862816</v>
          </cell>
          <cell r="BW806">
            <v>23.901518972811779</v>
          </cell>
          <cell r="BX806">
            <v>15.713059154269443</v>
          </cell>
          <cell r="BY806">
            <v>32.089978791354113</v>
          </cell>
        </row>
        <row r="807">
          <cell r="A807">
            <v>40655</v>
          </cell>
          <cell r="BF807">
            <v>43.615724158620651</v>
          </cell>
          <cell r="BG807">
            <v>45.468715051806292</v>
          </cell>
          <cell r="BH807">
            <v>42.408178994289898</v>
          </cell>
          <cell r="BI807">
            <v>30.406703917126244</v>
          </cell>
          <cell r="BJ807">
            <v>54.409654071453552</v>
          </cell>
          <cell r="BU807">
            <v>21.012819704751124</v>
          </cell>
          <cell r="BV807">
            <v>29.635401891862816</v>
          </cell>
          <cell r="BW807">
            <v>23.901518972811779</v>
          </cell>
          <cell r="BX807">
            <v>15.713059154269443</v>
          </cell>
          <cell r="BY807">
            <v>32.089978791354113</v>
          </cell>
        </row>
        <row r="808">
          <cell r="A808">
            <v>40658</v>
          </cell>
          <cell r="BF808">
            <v>43.703205568820991</v>
          </cell>
          <cell r="BG808">
            <v>45.468715051806292</v>
          </cell>
          <cell r="BH808">
            <v>42.408178994289898</v>
          </cell>
          <cell r="BI808">
            <v>30.406703917126244</v>
          </cell>
          <cell r="BJ808">
            <v>54.409654071453552</v>
          </cell>
          <cell r="BU808">
            <v>21.056869712757589</v>
          </cell>
          <cell r="BV808">
            <v>29.635401891862816</v>
          </cell>
          <cell r="BW808">
            <v>23.901518972811779</v>
          </cell>
          <cell r="BX808">
            <v>15.713059154269443</v>
          </cell>
          <cell r="BY808">
            <v>32.089978791354113</v>
          </cell>
        </row>
        <row r="809">
          <cell r="A809">
            <v>40659</v>
          </cell>
          <cell r="BF809">
            <v>43.784441431200243</v>
          </cell>
          <cell r="BG809">
            <v>45.468715051806292</v>
          </cell>
          <cell r="BH809">
            <v>42.408178994289898</v>
          </cell>
          <cell r="BI809">
            <v>30.406703917126244</v>
          </cell>
          <cell r="BJ809">
            <v>54.409654071453552</v>
          </cell>
          <cell r="BU809">
            <v>21.097771648958034</v>
          </cell>
          <cell r="BV809">
            <v>29.635401891862816</v>
          </cell>
          <cell r="BW809">
            <v>23.901518972811779</v>
          </cell>
          <cell r="BX809">
            <v>15.713059154269443</v>
          </cell>
          <cell r="BY809">
            <v>32.089978791354113</v>
          </cell>
        </row>
        <row r="810">
          <cell r="A810">
            <v>40660</v>
          </cell>
          <cell r="BF810">
            <v>43.327605789284355</v>
          </cell>
          <cell r="BG810">
            <v>45.468715051806292</v>
          </cell>
          <cell r="BH810">
            <v>42.408178994289898</v>
          </cell>
          <cell r="BI810">
            <v>30.406703917126244</v>
          </cell>
          <cell r="BJ810">
            <v>54.409654071453552</v>
          </cell>
          <cell r="BU810">
            <v>20.935965623087853</v>
          </cell>
          <cell r="BV810">
            <v>29.635401891862816</v>
          </cell>
          <cell r="BW810">
            <v>23.901518972811779</v>
          </cell>
          <cell r="BX810">
            <v>15.713059154269443</v>
          </cell>
          <cell r="BY810">
            <v>32.089978791354113</v>
          </cell>
        </row>
        <row r="811">
          <cell r="A811">
            <v>40661</v>
          </cell>
          <cell r="BF811">
            <v>43.742672422591198</v>
          </cell>
          <cell r="BG811">
            <v>45.468715051806292</v>
          </cell>
          <cell r="BH811">
            <v>42.408178994289898</v>
          </cell>
          <cell r="BI811">
            <v>30.406703917126244</v>
          </cell>
          <cell r="BJ811">
            <v>54.409654071453552</v>
          </cell>
          <cell r="BU811">
            <v>20.947902437086803</v>
          </cell>
          <cell r="BV811">
            <v>29.635401891862816</v>
          </cell>
          <cell r="BW811">
            <v>23.901518972811779</v>
          </cell>
          <cell r="BX811">
            <v>15.713059154269443</v>
          </cell>
          <cell r="BY811">
            <v>32.089978791354113</v>
          </cell>
        </row>
        <row r="812">
          <cell r="A812">
            <v>40662</v>
          </cell>
          <cell r="BF812">
            <v>43.442777693909626</v>
          </cell>
          <cell r="BG812">
            <v>45.468715051806292</v>
          </cell>
          <cell r="BH812">
            <v>42.408178994289898</v>
          </cell>
          <cell r="BI812">
            <v>30.406703917126244</v>
          </cell>
          <cell r="BJ812">
            <v>54.409654071453552</v>
          </cell>
          <cell r="BU812">
            <v>20.801755544491808</v>
          </cell>
          <cell r="BV812">
            <v>29.635401891862816</v>
          </cell>
          <cell r="BW812">
            <v>23.901518972811779</v>
          </cell>
          <cell r="BX812">
            <v>15.713059154269443</v>
          </cell>
          <cell r="BY812">
            <v>32.089978791354113</v>
          </cell>
        </row>
        <row r="813">
          <cell r="A813">
            <v>40665</v>
          </cell>
          <cell r="BF813">
            <v>42.269714763984716</v>
          </cell>
          <cell r="BG813">
            <v>45.468715051806292</v>
          </cell>
          <cell r="BH813">
            <v>42.408178994289898</v>
          </cell>
          <cell r="BI813">
            <v>30.406703917126244</v>
          </cell>
          <cell r="BJ813">
            <v>54.409654071453552</v>
          </cell>
          <cell r="BU813">
            <v>20.428014641263893</v>
          </cell>
          <cell r="BV813">
            <v>29.635401891862816</v>
          </cell>
          <cell r="BW813">
            <v>23.901518972811779</v>
          </cell>
          <cell r="BX813">
            <v>15.713059154269443</v>
          </cell>
          <cell r="BY813">
            <v>32.089978791354113</v>
          </cell>
        </row>
        <row r="814">
          <cell r="A814">
            <v>40666</v>
          </cell>
          <cell r="BF814">
            <v>42.703034889885721</v>
          </cell>
          <cell r="BG814">
            <v>45.468715051806292</v>
          </cell>
          <cell r="BH814">
            <v>42.408178994289898</v>
          </cell>
          <cell r="BI814">
            <v>30.406703917126244</v>
          </cell>
          <cell r="BJ814">
            <v>54.409654071453552</v>
          </cell>
          <cell r="BU814">
            <v>20.646687216875126</v>
          </cell>
          <cell r="BV814">
            <v>29.635401891862816</v>
          </cell>
          <cell r="BW814">
            <v>23.901518972811779</v>
          </cell>
          <cell r="BX814">
            <v>15.713059154269443</v>
          </cell>
          <cell r="BY814">
            <v>32.089978791354113</v>
          </cell>
        </row>
        <row r="815">
          <cell r="A815">
            <v>40667</v>
          </cell>
          <cell r="BF815">
            <v>41.836394638083704</v>
          </cell>
          <cell r="BG815">
            <v>45.468715051806292</v>
          </cell>
          <cell r="BH815">
            <v>42.408178994289898</v>
          </cell>
          <cell r="BI815">
            <v>30.406703917126244</v>
          </cell>
          <cell r="BJ815">
            <v>54.409654071453552</v>
          </cell>
          <cell r="BU815">
            <v>20.209349363983062</v>
          </cell>
          <cell r="BV815">
            <v>29.635401891862816</v>
          </cell>
          <cell r="BW815">
            <v>23.901518972811779</v>
          </cell>
          <cell r="BX815">
            <v>15.713059154269443</v>
          </cell>
          <cell r="BY815">
            <v>32.089978791354113</v>
          </cell>
        </row>
        <row r="816">
          <cell r="A816">
            <v>40668</v>
          </cell>
          <cell r="BF816">
            <v>41.213120767875594</v>
          </cell>
          <cell r="BG816">
            <v>45.468715051806292</v>
          </cell>
          <cell r="BH816">
            <v>42.408178994289898</v>
          </cell>
          <cell r="BI816">
            <v>30.406703917126244</v>
          </cell>
          <cell r="BJ816">
            <v>54.409654071453552</v>
          </cell>
          <cell r="BU816">
            <v>19.894818084048474</v>
          </cell>
          <cell r="BV816">
            <v>29.635401891862816</v>
          </cell>
          <cell r="BW816">
            <v>23.901518972811779</v>
          </cell>
          <cell r="BX816">
            <v>15.713059154269443</v>
          </cell>
          <cell r="BY816">
            <v>32.089978791354113</v>
          </cell>
        </row>
        <row r="817">
          <cell r="A817">
            <v>40669</v>
          </cell>
          <cell r="BF817">
            <v>42.251907583593443</v>
          </cell>
          <cell r="BG817">
            <v>45.468715051806292</v>
          </cell>
          <cell r="BH817">
            <v>42.408178994289898</v>
          </cell>
          <cell r="BI817">
            <v>30.406703917126244</v>
          </cell>
          <cell r="BJ817">
            <v>54.409654071453552</v>
          </cell>
          <cell r="BU817">
            <v>20.419033315866816</v>
          </cell>
          <cell r="BV817">
            <v>29.635401891862816</v>
          </cell>
          <cell r="BW817">
            <v>23.901518972811779</v>
          </cell>
          <cell r="BX817">
            <v>15.713059154269443</v>
          </cell>
          <cell r="BY817">
            <v>32.089978791354113</v>
          </cell>
        </row>
        <row r="818">
          <cell r="A818">
            <v>40672</v>
          </cell>
          <cell r="BF818">
            <v>43.492514057016223</v>
          </cell>
          <cell r="BG818">
            <v>45.468715051806292</v>
          </cell>
          <cell r="BH818">
            <v>42.408178994289898</v>
          </cell>
          <cell r="BI818">
            <v>30.406703917126244</v>
          </cell>
          <cell r="BJ818">
            <v>54.409654071453552</v>
          </cell>
          <cell r="BU818">
            <v>21.045103073714362</v>
          </cell>
          <cell r="BV818">
            <v>29.635401891862816</v>
          </cell>
          <cell r="BW818">
            <v>23.901518972811779</v>
          </cell>
          <cell r="BX818">
            <v>15.713059154269443</v>
          </cell>
          <cell r="BY818">
            <v>32.089978791354113</v>
          </cell>
        </row>
        <row r="819">
          <cell r="A819">
            <v>40673</v>
          </cell>
          <cell r="BF819">
            <v>44.911199457461265</v>
          </cell>
          <cell r="BG819">
            <v>45.468715051806292</v>
          </cell>
          <cell r="BH819">
            <v>42.408178994289898</v>
          </cell>
          <cell r="BI819">
            <v>30.406703917126244</v>
          </cell>
          <cell r="BJ819">
            <v>54.409654071453552</v>
          </cell>
          <cell r="BU819">
            <v>21.761424530629917</v>
          </cell>
          <cell r="BV819">
            <v>29.635401891862816</v>
          </cell>
          <cell r="BW819">
            <v>23.901518972811779</v>
          </cell>
          <cell r="BX819">
            <v>15.713059154269443</v>
          </cell>
          <cell r="BY819">
            <v>32.089978791354113</v>
          </cell>
        </row>
        <row r="820">
          <cell r="A820">
            <v>40674</v>
          </cell>
          <cell r="BF820">
            <v>44.365095575811672</v>
          </cell>
          <cell r="BG820">
            <v>45.468715051806292</v>
          </cell>
          <cell r="BH820">
            <v>42.408178994289898</v>
          </cell>
          <cell r="BI820">
            <v>30.406703917126244</v>
          </cell>
          <cell r="BJ820">
            <v>54.409654071453552</v>
          </cell>
          <cell r="BU820">
            <v>21.485841788742537</v>
          </cell>
          <cell r="BV820">
            <v>29.635401891862816</v>
          </cell>
          <cell r="BW820">
            <v>23.901518972811779</v>
          </cell>
          <cell r="BX820">
            <v>15.713059154269443</v>
          </cell>
          <cell r="BY820">
            <v>32.089978791354113</v>
          </cell>
        </row>
        <row r="821">
          <cell r="A821">
            <v>40675</v>
          </cell>
          <cell r="BF821">
            <v>44.655958852174997</v>
          </cell>
          <cell r="BG821">
            <v>45.468715051806292</v>
          </cell>
          <cell r="BH821">
            <v>42.408178994289898</v>
          </cell>
          <cell r="BI821">
            <v>30.406703917126244</v>
          </cell>
          <cell r="BJ821">
            <v>54.409654071453552</v>
          </cell>
          <cell r="BU821">
            <v>21.632628517862454</v>
          </cell>
          <cell r="BV821">
            <v>29.635401891862816</v>
          </cell>
          <cell r="BW821">
            <v>23.901518972811779</v>
          </cell>
          <cell r="BX821">
            <v>15.713059154269443</v>
          </cell>
          <cell r="BY821">
            <v>32.089978791354113</v>
          </cell>
        </row>
        <row r="822">
          <cell r="A822">
            <v>40676</v>
          </cell>
          <cell r="BF822">
            <v>45.140550731333867</v>
          </cell>
          <cell r="BG822">
            <v>45.468715051806292</v>
          </cell>
          <cell r="BH822">
            <v>42.408178994289898</v>
          </cell>
          <cell r="BI822">
            <v>30.406703917126244</v>
          </cell>
          <cell r="BJ822">
            <v>54.409654071453552</v>
          </cell>
          <cell r="BU822">
            <v>21.768986462596136</v>
          </cell>
          <cell r="BV822">
            <v>29.635401891862816</v>
          </cell>
          <cell r="BW822">
            <v>23.901518972811779</v>
          </cell>
          <cell r="BX822">
            <v>15.713059154269443</v>
          </cell>
          <cell r="BY822">
            <v>32.089978791354113</v>
          </cell>
        </row>
        <row r="823">
          <cell r="A823">
            <v>40679</v>
          </cell>
          <cell r="BF823">
            <v>44.32368488034615</v>
          </cell>
          <cell r="BG823">
            <v>45.468715051806292</v>
          </cell>
          <cell r="BH823">
            <v>42.408178994289898</v>
          </cell>
          <cell r="BI823">
            <v>30.406703917126244</v>
          </cell>
          <cell r="BJ823">
            <v>54.409654071453552</v>
          </cell>
          <cell r="BU823">
            <v>21.358840830180661</v>
          </cell>
          <cell r="BV823">
            <v>29.635401891862816</v>
          </cell>
          <cell r="BW823">
            <v>23.901518972811779</v>
          </cell>
          <cell r="BX823">
            <v>15.713059154269443</v>
          </cell>
          <cell r="BY823">
            <v>32.089978791354113</v>
          </cell>
        </row>
        <row r="824">
          <cell r="A824">
            <v>40680</v>
          </cell>
          <cell r="BF824">
            <v>43.009600506696344</v>
          </cell>
          <cell r="BG824">
            <v>45.468715051806292</v>
          </cell>
          <cell r="BH824">
            <v>42.408178994289898</v>
          </cell>
          <cell r="BI824">
            <v>30.406703917126244</v>
          </cell>
          <cell r="BJ824">
            <v>54.409654071453552</v>
          </cell>
          <cell r="BU824">
            <v>20.699035594075532</v>
          </cell>
          <cell r="BV824">
            <v>29.635401891862816</v>
          </cell>
          <cell r="BW824">
            <v>23.901518972811779</v>
          </cell>
          <cell r="BX824">
            <v>15.713059154269443</v>
          </cell>
          <cell r="BY824">
            <v>32.089978791354113</v>
          </cell>
        </row>
        <row r="825">
          <cell r="A825">
            <v>40681</v>
          </cell>
          <cell r="BF825">
            <v>43.489061732345895</v>
          </cell>
          <cell r="BG825">
            <v>45.468715051806292</v>
          </cell>
          <cell r="BH825">
            <v>42.408178994289898</v>
          </cell>
          <cell r="BI825">
            <v>30.406703917126244</v>
          </cell>
          <cell r="BJ825">
            <v>54.409654071453552</v>
          </cell>
          <cell r="BU825">
            <v>20.939776223069526</v>
          </cell>
          <cell r="BV825">
            <v>29.635401891862816</v>
          </cell>
          <cell r="BW825">
            <v>23.901518972811779</v>
          </cell>
          <cell r="BX825">
            <v>15.713059154269443</v>
          </cell>
          <cell r="BY825">
            <v>32.089978791354113</v>
          </cell>
        </row>
        <row r="826">
          <cell r="A826">
            <v>40682</v>
          </cell>
          <cell r="BF826">
            <v>43.145750833145549</v>
          </cell>
          <cell r="BG826">
            <v>45.468715051806292</v>
          </cell>
          <cell r="BH826">
            <v>42.408178994289898</v>
          </cell>
          <cell r="BI826">
            <v>30.406703917126244</v>
          </cell>
          <cell r="BJ826">
            <v>54.409654071453552</v>
          </cell>
          <cell r="BU826">
            <v>20.767402090051245</v>
          </cell>
          <cell r="BV826">
            <v>29.635401891862816</v>
          </cell>
          <cell r="BW826">
            <v>23.901518972811779</v>
          </cell>
          <cell r="BX826">
            <v>15.713059154269443</v>
          </cell>
          <cell r="BY826">
            <v>32.089978791354113</v>
          </cell>
        </row>
        <row r="827">
          <cell r="A827">
            <v>40683</v>
          </cell>
          <cell r="BF827">
            <v>43.127984657188549</v>
          </cell>
          <cell r="BG827">
            <v>45.468715051806292</v>
          </cell>
          <cell r="BH827">
            <v>42.408178994289898</v>
          </cell>
          <cell r="BI827">
            <v>30.406703917126244</v>
          </cell>
          <cell r="BJ827">
            <v>54.409654071453552</v>
          </cell>
          <cell r="BU827">
            <v>20.758482149863479</v>
          </cell>
          <cell r="BV827">
            <v>29.635401891862816</v>
          </cell>
          <cell r="BW827">
            <v>23.901518972811779</v>
          </cell>
          <cell r="BX827">
            <v>15.713059154269443</v>
          </cell>
          <cell r="BY827">
            <v>32.089978791354113</v>
          </cell>
        </row>
        <row r="828">
          <cell r="A828">
            <v>40686</v>
          </cell>
          <cell r="BF828">
            <v>42.384458047513505</v>
          </cell>
          <cell r="BG828">
            <v>45.468715051806292</v>
          </cell>
          <cell r="BH828">
            <v>42.408178994289898</v>
          </cell>
          <cell r="BI828">
            <v>30.406703917126244</v>
          </cell>
          <cell r="BJ828">
            <v>54.409654071453552</v>
          </cell>
          <cell r="BU828">
            <v>20.428555595674766</v>
          </cell>
          <cell r="BV828">
            <v>29.635401891862816</v>
          </cell>
          <cell r="BW828">
            <v>23.901518972811779</v>
          </cell>
          <cell r="BX828">
            <v>15.713059154269443</v>
          </cell>
          <cell r="BY828">
            <v>32.089978791354113</v>
          </cell>
        </row>
        <row r="829">
          <cell r="A829">
            <v>40687</v>
          </cell>
          <cell r="BF829">
            <v>42.059557990656266</v>
          </cell>
          <cell r="BG829">
            <v>45.468715051806292</v>
          </cell>
          <cell r="BH829">
            <v>42.408178994289898</v>
          </cell>
          <cell r="BI829">
            <v>30.406703917126244</v>
          </cell>
          <cell r="BJ829">
            <v>54.409654071453552</v>
          </cell>
          <cell r="BU829">
            <v>20.265090771218063</v>
          </cell>
          <cell r="BV829">
            <v>29.635401891862816</v>
          </cell>
          <cell r="BW829">
            <v>23.901518972811779</v>
          </cell>
          <cell r="BX829">
            <v>15.713059154269443</v>
          </cell>
          <cell r="BY829">
            <v>32.089978791354113</v>
          </cell>
        </row>
        <row r="830">
          <cell r="A830">
            <v>40688</v>
          </cell>
          <cell r="BF830">
            <v>42.668003278523599</v>
          </cell>
          <cell r="BG830">
            <v>45.468715051806292</v>
          </cell>
          <cell r="BH830">
            <v>42.408178994289898</v>
          </cell>
          <cell r="BI830">
            <v>30.406703917126244</v>
          </cell>
          <cell r="BJ830">
            <v>54.409654071453552</v>
          </cell>
          <cell r="BU830">
            <v>20.571209267104202</v>
          </cell>
          <cell r="BV830">
            <v>29.635401891862816</v>
          </cell>
          <cell r="BW830">
            <v>23.901518972811779</v>
          </cell>
          <cell r="BX830">
            <v>15.713059154269443</v>
          </cell>
          <cell r="BY830">
            <v>32.089978791354113</v>
          </cell>
        </row>
        <row r="831">
          <cell r="A831">
            <v>40689</v>
          </cell>
          <cell r="BF831">
            <v>42.933827375638678</v>
          </cell>
          <cell r="BG831">
            <v>45.468715051806292</v>
          </cell>
          <cell r="BH831">
            <v>42.408178994289898</v>
          </cell>
          <cell r="BI831">
            <v>30.406703917126244</v>
          </cell>
          <cell r="BJ831">
            <v>54.409654071453552</v>
          </cell>
          <cell r="BU831">
            <v>20.704953872676104</v>
          </cell>
          <cell r="BV831">
            <v>29.635401891862816</v>
          </cell>
          <cell r="BW831">
            <v>23.901518972811779</v>
          </cell>
          <cell r="BX831">
            <v>15.713059154269443</v>
          </cell>
          <cell r="BY831">
            <v>32.089978791354113</v>
          </cell>
        </row>
        <row r="832">
          <cell r="A832">
            <v>40690</v>
          </cell>
          <cell r="BF832">
            <v>42.608927318781447</v>
          </cell>
          <cell r="BG832">
            <v>45.468715051806292</v>
          </cell>
          <cell r="BH832">
            <v>42.408178994289898</v>
          </cell>
          <cell r="BI832">
            <v>30.406703917126244</v>
          </cell>
          <cell r="BJ832">
            <v>54.409654071453552</v>
          </cell>
          <cell r="BU832">
            <v>20.497132984529085</v>
          </cell>
          <cell r="BV832">
            <v>29.635401891862816</v>
          </cell>
          <cell r="BW832">
            <v>23.901518972811779</v>
          </cell>
          <cell r="BX832">
            <v>15.713059154269443</v>
          </cell>
          <cell r="BY832">
            <v>32.089978791354113</v>
          </cell>
        </row>
        <row r="833">
          <cell r="A833">
            <v>40693</v>
          </cell>
          <cell r="BF833">
            <v>42.608927318781447</v>
          </cell>
          <cell r="BG833">
            <v>45.468715051806292</v>
          </cell>
          <cell r="BH833">
            <v>42.408178994289898</v>
          </cell>
          <cell r="BI833">
            <v>30.406703917126244</v>
          </cell>
          <cell r="BJ833">
            <v>54.409654071453552</v>
          </cell>
          <cell r="BU833">
            <v>20.497132984529085</v>
          </cell>
          <cell r="BV833">
            <v>29.635401891862816</v>
          </cell>
          <cell r="BW833">
            <v>23.901518972811779</v>
          </cell>
          <cell r="BX833">
            <v>15.713059154269443</v>
          </cell>
          <cell r="BY833">
            <v>32.089978791354113</v>
          </cell>
        </row>
        <row r="834">
          <cell r="A834">
            <v>40694</v>
          </cell>
          <cell r="BF834">
            <v>42.580290662131709</v>
          </cell>
          <cell r="BG834">
            <v>45.468715051806292</v>
          </cell>
          <cell r="BH834">
            <v>42.408178994289898</v>
          </cell>
          <cell r="BI834">
            <v>30.406703917126244</v>
          </cell>
          <cell r="BJ834">
            <v>54.409654071453552</v>
          </cell>
          <cell r="BU834">
            <v>20.482304241958342</v>
          </cell>
          <cell r="BV834">
            <v>29.635401891862816</v>
          </cell>
          <cell r="BW834">
            <v>23.901518972811779</v>
          </cell>
          <cell r="BX834">
            <v>15.713059154269443</v>
          </cell>
          <cell r="BY834">
            <v>32.089978791354113</v>
          </cell>
        </row>
        <row r="835">
          <cell r="A835">
            <v>40695</v>
          </cell>
          <cell r="BF835">
            <v>42.007420560099021</v>
          </cell>
          <cell r="BG835">
            <v>45.468715051806292</v>
          </cell>
          <cell r="BH835">
            <v>42.408178994289898</v>
          </cell>
          <cell r="BI835">
            <v>30.406703917126244</v>
          </cell>
          <cell r="BJ835">
            <v>54.409654071453552</v>
          </cell>
          <cell r="BU835">
            <v>20.211898636874881</v>
          </cell>
          <cell r="BV835">
            <v>29.635401891862816</v>
          </cell>
          <cell r="BW835">
            <v>23.901518972811779</v>
          </cell>
          <cell r="BX835">
            <v>15.713059154269443</v>
          </cell>
          <cell r="BY835">
            <v>32.089978791354113</v>
          </cell>
        </row>
        <row r="836">
          <cell r="A836">
            <v>40696</v>
          </cell>
          <cell r="BF836">
            <v>42.099962983955855</v>
          </cell>
          <cell r="BG836">
            <v>45.468715051806292</v>
          </cell>
          <cell r="BH836">
            <v>42.408178994289898</v>
          </cell>
          <cell r="BI836">
            <v>30.406703917126244</v>
          </cell>
          <cell r="BJ836">
            <v>54.409654071453552</v>
          </cell>
          <cell r="BU836">
            <v>20.258347697117891</v>
          </cell>
          <cell r="BV836">
            <v>29.635401891862816</v>
          </cell>
          <cell r="BW836">
            <v>23.901518972811779</v>
          </cell>
          <cell r="BX836">
            <v>15.713059154269443</v>
          </cell>
          <cell r="BY836">
            <v>32.089978791354113</v>
          </cell>
        </row>
        <row r="837">
          <cell r="A837">
            <v>40697</v>
          </cell>
          <cell r="BF837">
            <v>41.718232715242515</v>
          </cell>
          <cell r="BG837">
            <v>45.468715051806292</v>
          </cell>
          <cell r="BH837">
            <v>42.408178994289898</v>
          </cell>
          <cell r="BI837">
            <v>30.406703917126244</v>
          </cell>
          <cell r="BJ837">
            <v>54.409654071453552</v>
          </cell>
          <cell r="BU837">
            <v>20.076410050142194</v>
          </cell>
          <cell r="BV837">
            <v>29.635401891862816</v>
          </cell>
          <cell r="BW837">
            <v>23.901518972811779</v>
          </cell>
          <cell r="BX837">
            <v>15.713059154269443</v>
          </cell>
          <cell r="BY837">
            <v>32.089978791354113</v>
          </cell>
        </row>
        <row r="838">
          <cell r="A838">
            <v>40700</v>
          </cell>
          <cell r="BF838">
            <v>41.614129139724</v>
          </cell>
          <cell r="BG838">
            <v>45.468715051806292</v>
          </cell>
          <cell r="BH838">
            <v>42.408178994289898</v>
          </cell>
          <cell r="BI838">
            <v>30.406703917126244</v>
          </cell>
          <cell r="BJ838">
            <v>54.409654071453552</v>
          </cell>
          <cell r="BU838">
            <v>20.024123927062039</v>
          </cell>
          <cell r="BV838">
            <v>29.635401891862816</v>
          </cell>
          <cell r="BW838">
            <v>23.901518972811779</v>
          </cell>
          <cell r="BX838">
            <v>15.713059154269443</v>
          </cell>
          <cell r="BY838">
            <v>32.089978791354113</v>
          </cell>
        </row>
        <row r="839">
          <cell r="A839">
            <v>40701</v>
          </cell>
          <cell r="BF839">
            <v>42.053691772027442</v>
          </cell>
          <cell r="BG839">
            <v>45.468715051806292</v>
          </cell>
          <cell r="BH839">
            <v>42.408178994289898</v>
          </cell>
          <cell r="BI839">
            <v>30.406703917126244</v>
          </cell>
          <cell r="BJ839">
            <v>54.409654071453552</v>
          </cell>
          <cell r="BU839">
            <v>20.464739275123673</v>
          </cell>
          <cell r="BV839">
            <v>29.635401891862816</v>
          </cell>
          <cell r="BW839">
            <v>23.901518972811779</v>
          </cell>
          <cell r="BX839">
            <v>15.713059154269443</v>
          </cell>
          <cell r="BY839">
            <v>32.089978791354113</v>
          </cell>
        </row>
        <row r="840">
          <cell r="A840">
            <v>40702</v>
          </cell>
          <cell r="BF840">
            <v>42.377581001515352</v>
          </cell>
          <cell r="BG840">
            <v>45.468715051806292</v>
          </cell>
          <cell r="BH840">
            <v>42.408178994289898</v>
          </cell>
          <cell r="BI840">
            <v>30.406703917126244</v>
          </cell>
          <cell r="BJ840">
            <v>54.409654071453552</v>
          </cell>
          <cell r="BU840">
            <v>20.629180820836527</v>
          </cell>
          <cell r="BV840">
            <v>29.635401891862816</v>
          </cell>
          <cell r="BW840">
            <v>23.901518972811779</v>
          </cell>
          <cell r="BX840">
            <v>15.713059154269443</v>
          </cell>
          <cell r="BY840">
            <v>32.089978791354113</v>
          </cell>
        </row>
        <row r="841">
          <cell r="A841">
            <v>40703</v>
          </cell>
          <cell r="BF841">
            <v>42.620497634443431</v>
          </cell>
          <cell r="BG841">
            <v>45.468715051806292</v>
          </cell>
          <cell r="BH841">
            <v>42.408178994289898</v>
          </cell>
          <cell r="BI841">
            <v>30.406703917126244</v>
          </cell>
          <cell r="BJ841">
            <v>54.409654071453552</v>
          </cell>
          <cell r="BU841">
            <v>20.752495406477554</v>
          </cell>
          <cell r="BV841">
            <v>29.635401891862816</v>
          </cell>
          <cell r="BW841">
            <v>23.901518972811779</v>
          </cell>
          <cell r="BX841">
            <v>15.713059154269443</v>
          </cell>
          <cell r="BY841">
            <v>32.089978791354113</v>
          </cell>
        </row>
        <row r="842">
          <cell r="A842">
            <v>40704</v>
          </cell>
          <cell r="BF842">
            <v>42.059472058670437</v>
          </cell>
          <cell r="BG842">
            <v>45.468715051806292</v>
          </cell>
          <cell r="BH842">
            <v>42.408178994289898</v>
          </cell>
          <cell r="BI842">
            <v>30.406703917126244</v>
          </cell>
          <cell r="BJ842">
            <v>54.409654071453552</v>
          </cell>
          <cell r="BU842">
            <v>20.467682468065927</v>
          </cell>
          <cell r="BV842">
            <v>29.635401891862816</v>
          </cell>
          <cell r="BW842">
            <v>23.901518972811779</v>
          </cell>
          <cell r="BX842">
            <v>15.713059154269443</v>
          </cell>
          <cell r="BY842">
            <v>32.089978791354113</v>
          </cell>
        </row>
        <row r="843">
          <cell r="A843">
            <v>40707</v>
          </cell>
          <cell r="BF843">
            <v>41.157207717845203</v>
          </cell>
          <cell r="BG843">
            <v>45.468715051806292</v>
          </cell>
          <cell r="BH843">
            <v>42.408178994289898</v>
          </cell>
          <cell r="BI843">
            <v>30.406703917126244</v>
          </cell>
          <cell r="BJ843">
            <v>54.409654071453552</v>
          </cell>
          <cell r="BU843">
            <v>20.009605559205465</v>
          </cell>
          <cell r="BV843">
            <v>29.635401891862816</v>
          </cell>
          <cell r="BW843">
            <v>23.901518972811779</v>
          </cell>
          <cell r="BX843">
            <v>15.713059154269443</v>
          </cell>
          <cell r="BY843">
            <v>32.089978791354113</v>
          </cell>
        </row>
        <row r="844">
          <cell r="A844">
            <v>40708</v>
          </cell>
          <cell r="BF844">
            <v>41.787643581764975</v>
          </cell>
          <cell r="BG844">
            <v>45.468715051806292</v>
          </cell>
          <cell r="BH844">
            <v>42.408178994289898</v>
          </cell>
          <cell r="BI844">
            <v>30.406703917126244</v>
          </cell>
          <cell r="BJ844">
            <v>54.409654071453552</v>
          </cell>
          <cell r="BU844">
            <v>20.329677195501031</v>
          </cell>
          <cell r="BV844">
            <v>29.635401891862816</v>
          </cell>
          <cell r="BW844">
            <v>23.901518972811779</v>
          </cell>
          <cell r="BX844">
            <v>15.713059154269443</v>
          </cell>
          <cell r="BY844">
            <v>32.089978791354113</v>
          </cell>
        </row>
        <row r="845">
          <cell r="A845">
            <v>40709</v>
          </cell>
          <cell r="BF845">
            <v>41.00105264375528</v>
          </cell>
          <cell r="BG845">
            <v>45.468715051806292</v>
          </cell>
          <cell r="BH845">
            <v>42.408178994289898</v>
          </cell>
          <cell r="BI845">
            <v>30.406703917126244</v>
          </cell>
          <cell r="BJ845">
            <v>54.409654071453552</v>
          </cell>
          <cell r="BU845">
            <v>19.930333464094211</v>
          </cell>
          <cell r="BV845">
            <v>29.635401891862816</v>
          </cell>
          <cell r="BW845">
            <v>23.901518972811779</v>
          </cell>
          <cell r="BX845">
            <v>15.713059154269443</v>
          </cell>
          <cell r="BY845">
            <v>32.089978791354113</v>
          </cell>
        </row>
        <row r="846">
          <cell r="A846">
            <v>40710</v>
          </cell>
          <cell r="BF846">
            <v>41.076235699661076</v>
          </cell>
          <cell r="BG846">
            <v>45.468715051806292</v>
          </cell>
          <cell r="BH846">
            <v>42.408178994289898</v>
          </cell>
          <cell r="BI846">
            <v>30.406703917126244</v>
          </cell>
          <cell r="BJ846">
            <v>54.409654071453552</v>
          </cell>
          <cell r="BU846">
            <v>19.968507692436095</v>
          </cell>
          <cell r="BV846">
            <v>29.635401891862816</v>
          </cell>
          <cell r="BW846">
            <v>23.901518972811779</v>
          </cell>
          <cell r="BX846">
            <v>15.713059154269443</v>
          </cell>
          <cell r="BY846">
            <v>32.089978791354113</v>
          </cell>
        </row>
        <row r="847">
          <cell r="A847">
            <v>40711</v>
          </cell>
          <cell r="BF847">
            <v>41.307591180927488</v>
          </cell>
          <cell r="BG847">
            <v>45.468715051806292</v>
          </cell>
          <cell r="BH847">
            <v>42.408178994289898</v>
          </cell>
          <cell r="BI847">
            <v>30.406703917126244</v>
          </cell>
          <cell r="BJ847">
            <v>54.409654071453552</v>
          </cell>
          <cell r="BU847">
            <v>20.085954015889232</v>
          </cell>
          <cell r="BV847">
            <v>29.635401891862816</v>
          </cell>
          <cell r="BW847">
            <v>23.901518972811779</v>
          </cell>
          <cell r="BX847">
            <v>15.713059154269443</v>
          </cell>
          <cell r="BY847">
            <v>32.089978791354113</v>
          </cell>
        </row>
        <row r="848">
          <cell r="A848">
            <v>40714</v>
          </cell>
          <cell r="BF848">
            <v>41.874396464967788</v>
          </cell>
          <cell r="BG848">
            <v>45.468715051806292</v>
          </cell>
          <cell r="BH848">
            <v>42.408178994289898</v>
          </cell>
          <cell r="BI848">
            <v>30.406703917126244</v>
          </cell>
          <cell r="BJ848">
            <v>54.409654071453552</v>
          </cell>
          <cell r="BU848">
            <v>20.373720162970187</v>
          </cell>
          <cell r="BV848">
            <v>29.635401891862816</v>
          </cell>
          <cell r="BW848">
            <v>23.901518972811779</v>
          </cell>
          <cell r="BX848">
            <v>15.713059154269443</v>
          </cell>
          <cell r="BY848">
            <v>32.089978791354113</v>
          </cell>
        </row>
        <row r="849">
          <cell r="A849">
            <v>40715</v>
          </cell>
          <cell r="BF849">
            <v>42.549381794281196</v>
          </cell>
          <cell r="BG849">
            <v>45.468715051806292</v>
          </cell>
          <cell r="BH849">
            <v>42.408178994289898</v>
          </cell>
          <cell r="BI849">
            <v>30.406703917126244</v>
          </cell>
          <cell r="BJ849">
            <v>54.409654071453552</v>
          </cell>
          <cell r="BU849">
            <v>20.646938637728436</v>
          </cell>
          <cell r="BV849">
            <v>29.635401891862816</v>
          </cell>
          <cell r="BW849">
            <v>23.901518972811779</v>
          </cell>
          <cell r="BX849">
            <v>15.713059154269443</v>
          </cell>
          <cell r="BY849">
            <v>32.089978791354113</v>
          </cell>
        </row>
        <row r="850">
          <cell r="A850">
            <v>40716</v>
          </cell>
          <cell r="BF850">
            <v>42.903023053188825</v>
          </cell>
          <cell r="BG850">
            <v>45.468715051806292</v>
          </cell>
          <cell r="BH850">
            <v>42.408178994289898</v>
          </cell>
          <cell r="BI850">
            <v>30.406703917126244</v>
          </cell>
          <cell r="BJ850">
            <v>54.409654071453552</v>
          </cell>
          <cell r="BU850">
            <v>20.779602580000283</v>
          </cell>
          <cell r="BV850">
            <v>29.635401891862816</v>
          </cell>
          <cell r="BW850">
            <v>23.901518972811779</v>
          </cell>
          <cell r="BX850">
            <v>15.713059154269443</v>
          </cell>
          <cell r="BY850">
            <v>32.089978791354113</v>
          </cell>
        </row>
        <row r="851">
          <cell r="A851">
            <v>40717</v>
          </cell>
          <cell r="BF851">
            <v>42.63272189808518</v>
          </cell>
          <cell r="BG851">
            <v>45.468715051806292</v>
          </cell>
          <cell r="BH851">
            <v>42.408178994289898</v>
          </cell>
          <cell r="BI851">
            <v>30.406703917126244</v>
          </cell>
          <cell r="BJ851">
            <v>54.409654071453552</v>
          </cell>
          <cell r="BU851">
            <v>20.643163612188992</v>
          </cell>
          <cell r="BV851">
            <v>29.635401891862816</v>
          </cell>
          <cell r="BW851">
            <v>23.901518972811779</v>
          </cell>
          <cell r="BX851">
            <v>15.713059154269443</v>
          </cell>
          <cell r="BY851">
            <v>32.089978791354113</v>
          </cell>
        </row>
        <row r="852">
          <cell r="A852">
            <v>40718</v>
          </cell>
          <cell r="BF852">
            <v>42.003872411799058</v>
          </cell>
          <cell r="BG852">
            <v>45.468715051806292</v>
          </cell>
          <cell r="BH852">
            <v>42.408178994289898</v>
          </cell>
          <cell r="BI852">
            <v>30.406703917126244</v>
          </cell>
          <cell r="BJ852">
            <v>54.409654071453552</v>
          </cell>
          <cell r="BU852">
            <v>20.409387830020545</v>
          </cell>
          <cell r="BV852">
            <v>29.635401891862816</v>
          </cell>
          <cell r="BW852">
            <v>23.901518972811779</v>
          </cell>
          <cell r="BX852">
            <v>15.713059154269443</v>
          </cell>
          <cell r="BY852">
            <v>32.089978791354113</v>
          </cell>
        </row>
        <row r="853">
          <cell r="A853">
            <v>40721</v>
          </cell>
          <cell r="BF853">
            <v>42.66557379878995</v>
          </cell>
          <cell r="BG853">
            <v>45.468715051806292</v>
          </cell>
          <cell r="BH853">
            <v>42.408178994289898</v>
          </cell>
          <cell r="BI853">
            <v>30.406703917126244</v>
          </cell>
          <cell r="BJ853">
            <v>54.409654071453552</v>
          </cell>
          <cell r="BU853">
            <v>20.744754901090051</v>
          </cell>
          <cell r="BV853">
            <v>29.635401891862816</v>
          </cell>
          <cell r="BW853">
            <v>23.901518972811779</v>
          </cell>
          <cell r="BX853">
            <v>15.713059154269443</v>
          </cell>
          <cell r="BY853">
            <v>32.089978791354113</v>
          </cell>
        </row>
        <row r="854">
          <cell r="A854">
            <v>40722</v>
          </cell>
          <cell r="BF854">
            <v>43.58308813585657</v>
          </cell>
          <cell r="BG854">
            <v>45.468715051806292</v>
          </cell>
          <cell r="BH854">
            <v>42.408178994289898</v>
          </cell>
          <cell r="BI854">
            <v>30.406703917126244</v>
          </cell>
          <cell r="BJ854">
            <v>54.409654071453552</v>
          </cell>
          <cell r="BU854">
            <v>21.206979649596484</v>
          </cell>
          <cell r="BV854">
            <v>29.635401891862816</v>
          </cell>
          <cell r="BW854">
            <v>23.901518972811779</v>
          </cell>
          <cell r="BX854">
            <v>15.713059154269443</v>
          </cell>
          <cell r="BY854">
            <v>32.089978791354113</v>
          </cell>
        </row>
        <row r="855">
          <cell r="A855">
            <v>40723</v>
          </cell>
          <cell r="BF855">
            <v>43.332760550493028</v>
          </cell>
          <cell r="BG855">
            <v>45.468715051806292</v>
          </cell>
          <cell r="BH855">
            <v>42.408178994289898</v>
          </cell>
          <cell r="BI855">
            <v>30.406703917126244</v>
          </cell>
          <cell r="BJ855">
            <v>54.409654071453552</v>
          </cell>
          <cell r="BU855">
            <v>21.080123866872714</v>
          </cell>
          <cell r="BV855">
            <v>29.635401891862816</v>
          </cell>
          <cell r="BW855">
            <v>23.901518972811779</v>
          </cell>
          <cell r="BX855">
            <v>15.713059154269443</v>
          </cell>
          <cell r="BY855">
            <v>32.089978791354113</v>
          </cell>
        </row>
        <row r="856">
          <cell r="A856">
            <v>40724</v>
          </cell>
          <cell r="BF856">
            <v>43.246443749406552</v>
          </cell>
          <cell r="BG856">
            <v>45.468715051806292</v>
          </cell>
          <cell r="BH856">
            <v>42.408178994289898</v>
          </cell>
          <cell r="BI856">
            <v>30.406703917126244</v>
          </cell>
          <cell r="BJ856">
            <v>54.409654071453552</v>
          </cell>
          <cell r="BU856">
            <v>21.036382045224432</v>
          </cell>
          <cell r="BV856">
            <v>29.635401891862816</v>
          </cell>
          <cell r="BW856">
            <v>23.901518972811779</v>
          </cell>
          <cell r="BX856">
            <v>15.713059154269443</v>
          </cell>
          <cell r="BY856">
            <v>32.089978791354113</v>
          </cell>
        </row>
        <row r="857">
          <cell r="A857">
            <v>40725</v>
          </cell>
          <cell r="BF857">
            <v>42.841740780494803</v>
          </cell>
          <cell r="BG857">
            <v>45.468715051806292</v>
          </cell>
          <cell r="BH857">
            <v>42.408178994289898</v>
          </cell>
          <cell r="BI857">
            <v>30.406703917126244</v>
          </cell>
          <cell r="BJ857">
            <v>54.409654071453552</v>
          </cell>
          <cell r="BU857">
            <v>20.851764697696257</v>
          </cell>
          <cell r="BV857">
            <v>29.635401891862816</v>
          </cell>
          <cell r="BW857">
            <v>23.901518972811779</v>
          </cell>
          <cell r="BX857">
            <v>15.713059154269443</v>
          </cell>
          <cell r="BY857">
            <v>32.089978791354113</v>
          </cell>
        </row>
        <row r="858">
          <cell r="A858">
            <v>40728</v>
          </cell>
          <cell r="BF858">
            <v>42.841740780494803</v>
          </cell>
          <cell r="BG858">
            <v>45.468715051806292</v>
          </cell>
          <cell r="BH858">
            <v>42.408178994289898</v>
          </cell>
          <cell r="BI858">
            <v>30.406703917126244</v>
          </cell>
          <cell r="BJ858">
            <v>54.409654071453552</v>
          </cell>
          <cell r="BU858">
            <v>20.701527163986913</v>
          </cell>
          <cell r="BV858">
            <v>29.635401891862816</v>
          </cell>
          <cell r="BW858">
            <v>23.901518972811779</v>
          </cell>
          <cell r="BX858">
            <v>15.713059154269443</v>
          </cell>
          <cell r="BY858">
            <v>32.089978791354113</v>
          </cell>
        </row>
        <row r="859">
          <cell r="A859">
            <v>40729</v>
          </cell>
          <cell r="BF859">
            <v>43.867548313919507</v>
          </cell>
          <cell r="BG859">
            <v>45.468715051806292</v>
          </cell>
          <cell r="BH859">
            <v>42.408178994289898</v>
          </cell>
          <cell r="BI859">
            <v>30.406703917126244</v>
          </cell>
          <cell r="BJ859">
            <v>54.409654071453552</v>
          </cell>
          <cell r="BU859">
            <v>21.221430368009596</v>
          </cell>
          <cell r="BV859">
            <v>29.635401891862816</v>
          </cell>
          <cell r="BW859">
            <v>23.901518972811779</v>
          </cell>
          <cell r="BX859">
            <v>15.713059154269443</v>
          </cell>
          <cell r="BY859">
            <v>32.089978791354113</v>
          </cell>
        </row>
        <row r="860">
          <cell r="A860">
            <v>40730</v>
          </cell>
          <cell r="BF860">
            <v>43.895731654337403</v>
          </cell>
          <cell r="BG860">
            <v>45.468715051806292</v>
          </cell>
          <cell r="BH860">
            <v>42.408178994289898</v>
          </cell>
          <cell r="BI860">
            <v>30.406703917126244</v>
          </cell>
          <cell r="BJ860">
            <v>54.409654071453552</v>
          </cell>
          <cell r="BU860">
            <v>21.235714289859047</v>
          </cell>
          <cell r="BV860">
            <v>29.635401891862816</v>
          </cell>
          <cell r="BW860">
            <v>23.901518972811779</v>
          </cell>
          <cell r="BX860">
            <v>15.713059154269443</v>
          </cell>
          <cell r="BY860">
            <v>32.089978791354113</v>
          </cell>
        </row>
        <row r="861">
          <cell r="A861">
            <v>40731</v>
          </cell>
          <cell r="BF861">
            <v>42.994414985100548</v>
          </cell>
          <cell r="BG861">
            <v>45.468715051806292</v>
          </cell>
          <cell r="BH861">
            <v>42.408178994289898</v>
          </cell>
          <cell r="BI861">
            <v>30.406703917126244</v>
          </cell>
          <cell r="BJ861">
            <v>54.409654071453552</v>
          </cell>
          <cell r="BU861">
            <v>20.822640090831655</v>
          </cell>
          <cell r="BV861">
            <v>29.635401891862816</v>
          </cell>
          <cell r="BW861">
            <v>23.901518972811779</v>
          </cell>
          <cell r="BX861">
            <v>15.713059154269443</v>
          </cell>
          <cell r="BY861">
            <v>32.089978791354113</v>
          </cell>
        </row>
        <row r="862">
          <cell r="A862">
            <v>40732</v>
          </cell>
          <cell r="BF862">
            <v>43.03964959134786</v>
          </cell>
          <cell r="BG862">
            <v>45.468715051806292</v>
          </cell>
          <cell r="BH862">
            <v>42.408178994289898</v>
          </cell>
          <cell r="BI862">
            <v>30.406703917126244</v>
          </cell>
          <cell r="BJ862">
            <v>54.409654071453552</v>
          </cell>
          <cell r="BU862">
            <v>20.845619490676892</v>
          </cell>
          <cell r="BV862">
            <v>29.635401891862816</v>
          </cell>
          <cell r="BW862">
            <v>23.901518972811779</v>
          </cell>
          <cell r="BX862">
            <v>15.713059154269443</v>
          </cell>
          <cell r="BY862">
            <v>32.089978791354113</v>
          </cell>
        </row>
        <row r="863">
          <cell r="A863">
            <v>40735</v>
          </cell>
          <cell r="BF863">
            <v>41.722223489182277</v>
          </cell>
          <cell r="BG863">
            <v>45.468715051806292</v>
          </cell>
          <cell r="BH863">
            <v>42.408178994289898</v>
          </cell>
          <cell r="BI863">
            <v>30.406703917126244</v>
          </cell>
          <cell r="BJ863">
            <v>54.409654071453552</v>
          </cell>
          <cell r="BU863">
            <v>20.184353712528505</v>
          </cell>
          <cell r="BV863">
            <v>29.635401891862816</v>
          </cell>
          <cell r="BW863">
            <v>23.901518972811779</v>
          </cell>
          <cell r="BX863">
            <v>15.713059154269443</v>
          </cell>
          <cell r="BY863">
            <v>32.089978791354113</v>
          </cell>
        </row>
        <row r="864">
          <cell r="A864">
            <v>40736</v>
          </cell>
          <cell r="BF864">
            <v>41.614792288827189</v>
          </cell>
          <cell r="BG864">
            <v>45.468715051806292</v>
          </cell>
          <cell r="BH864">
            <v>42.408178994289898</v>
          </cell>
          <cell r="BI864">
            <v>30.406703917126244</v>
          </cell>
          <cell r="BJ864">
            <v>54.409654071453552</v>
          </cell>
          <cell r="BU864">
            <v>20.12976444172136</v>
          </cell>
          <cell r="BV864">
            <v>29.635401891862816</v>
          </cell>
          <cell r="BW864">
            <v>23.901518972811779</v>
          </cell>
          <cell r="BX864">
            <v>15.713059154269443</v>
          </cell>
          <cell r="BY864">
            <v>32.089978791354113</v>
          </cell>
        </row>
        <row r="865">
          <cell r="A865">
            <v>40737</v>
          </cell>
          <cell r="BF865">
            <v>41.846616111979401</v>
          </cell>
          <cell r="BG865">
            <v>45.468715051806292</v>
          </cell>
          <cell r="BH865">
            <v>42.408178994289898</v>
          </cell>
          <cell r="BI865">
            <v>30.406703917126244</v>
          </cell>
          <cell r="BJ865">
            <v>54.409654071453552</v>
          </cell>
          <cell r="BU865">
            <v>20.24756750008795</v>
          </cell>
          <cell r="BV865">
            <v>29.635401891862816</v>
          </cell>
          <cell r="BW865">
            <v>23.901518972811779</v>
          </cell>
          <cell r="BX865">
            <v>15.713059154269443</v>
          </cell>
          <cell r="BY865">
            <v>32.089978791354113</v>
          </cell>
        </row>
        <row r="866">
          <cell r="A866">
            <v>40738</v>
          </cell>
          <cell r="BF866">
            <v>41.660026895074502</v>
          </cell>
          <cell r="BG866">
            <v>45.468715051806292</v>
          </cell>
          <cell r="BH866">
            <v>42.408178994289898</v>
          </cell>
          <cell r="BI866">
            <v>30.406703917126244</v>
          </cell>
          <cell r="BJ866">
            <v>54.409654071453552</v>
          </cell>
          <cell r="BU866">
            <v>20.137088367371952</v>
          </cell>
          <cell r="BV866">
            <v>29.635401891862816</v>
          </cell>
          <cell r="BW866">
            <v>23.901518972811779</v>
          </cell>
          <cell r="BX866">
            <v>15.713059154269443</v>
          </cell>
          <cell r="BY866">
            <v>32.089978791354113</v>
          </cell>
        </row>
        <row r="867">
          <cell r="A867">
            <v>40739</v>
          </cell>
          <cell r="BF867">
            <v>41.178132573585565</v>
          </cell>
          <cell r="BG867">
            <v>45.468715051806292</v>
          </cell>
          <cell r="BH867">
            <v>42.408178994289898</v>
          </cell>
          <cell r="BI867">
            <v>30.406703917126244</v>
          </cell>
          <cell r="BJ867">
            <v>54.409654071453552</v>
          </cell>
          <cell r="BU867">
            <v>19.890178914066425</v>
          </cell>
          <cell r="BV867">
            <v>29.635401891862816</v>
          </cell>
          <cell r="BW867">
            <v>23.901518972811779</v>
          </cell>
          <cell r="BX867">
            <v>15.713059154269443</v>
          </cell>
          <cell r="BY867">
            <v>32.089978791354113</v>
          </cell>
        </row>
        <row r="868">
          <cell r="A868">
            <v>40742</v>
          </cell>
          <cell r="BF868">
            <v>40.171720527983645</v>
          </cell>
          <cell r="BG868">
            <v>45.468715051806292</v>
          </cell>
          <cell r="BH868">
            <v>42.408178994289898</v>
          </cell>
          <cell r="BI868">
            <v>30.406703917126244</v>
          </cell>
          <cell r="BJ868">
            <v>54.409654071453552</v>
          </cell>
          <cell r="BU868">
            <v>19.404975256236639</v>
          </cell>
          <cell r="BV868">
            <v>29.635401891862816</v>
          </cell>
          <cell r="BW868">
            <v>23.901518972811779</v>
          </cell>
          <cell r="BX868">
            <v>15.713059154269443</v>
          </cell>
          <cell r="BY868">
            <v>32.089978791354113</v>
          </cell>
        </row>
        <row r="869">
          <cell r="A869">
            <v>40743</v>
          </cell>
          <cell r="BF869">
            <v>40.674297823759787</v>
          </cell>
          <cell r="BG869">
            <v>45.468715051806292</v>
          </cell>
          <cell r="BH869">
            <v>42.408178994289898</v>
          </cell>
          <cell r="BI869">
            <v>30.406703917126244</v>
          </cell>
          <cell r="BJ869">
            <v>54.409654071453552</v>
          </cell>
          <cell r="BU869">
            <v>19.711187093511889</v>
          </cell>
          <cell r="BV869">
            <v>29.635401891862816</v>
          </cell>
          <cell r="BW869">
            <v>23.901518972811779</v>
          </cell>
          <cell r="BX869">
            <v>15.713059154269443</v>
          </cell>
          <cell r="BY869">
            <v>32.089978791354113</v>
          </cell>
        </row>
        <row r="870">
          <cell r="A870">
            <v>40744</v>
          </cell>
          <cell r="BF870">
            <v>41.124984272983625</v>
          </cell>
          <cell r="BG870">
            <v>45.468715051806292</v>
          </cell>
          <cell r="BH870">
            <v>42.408178994289898</v>
          </cell>
          <cell r="BI870">
            <v>30.406703917126244</v>
          </cell>
          <cell r="BJ870">
            <v>54.409654071453552</v>
          </cell>
          <cell r="BU870">
            <v>19.940862740893994</v>
          </cell>
          <cell r="BV870">
            <v>29.635401891862816</v>
          </cell>
          <cell r="BW870">
            <v>23.901518972811779</v>
          </cell>
          <cell r="BX870">
            <v>15.713059154269443</v>
          </cell>
          <cell r="BY870">
            <v>32.089978791354113</v>
          </cell>
        </row>
        <row r="871">
          <cell r="A871">
            <v>40745</v>
          </cell>
          <cell r="BF871">
            <v>41.714296700693161</v>
          </cell>
          <cell r="BG871">
            <v>45.468715051806292</v>
          </cell>
          <cell r="BH871">
            <v>42.408178994289898</v>
          </cell>
          <cell r="BI871">
            <v>30.406703917126244</v>
          </cell>
          <cell r="BJ871">
            <v>54.409654071453552</v>
          </cell>
          <cell r="BU871">
            <v>20.150558025883914</v>
          </cell>
          <cell r="BV871">
            <v>29.635401891862816</v>
          </cell>
          <cell r="BW871">
            <v>23.901518972811779</v>
          </cell>
          <cell r="BX871">
            <v>15.713059154269443</v>
          </cell>
          <cell r="BY871">
            <v>32.089978791354113</v>
          </cell>
        </row>
        <row r="872">
          <cell r="A872">
            <v>40746</v>
          </cell>
          <cell r="BF872">
            <v>41.901197666282528</v>
          </cell>
          <cell r="BG872">
            <v>45.468715051806292</v>
          </cell>
          <cell r="BH872">
            <v>42.408178994289898</v>
          </cell>
          <cell r="BI872">
            <v>30.406703917126244</v>
          </cell>
          <cell r="BJ872">
            <v>54.409654071453552</v>
          </cell>
          <cell r="BU872">
            <v>20.170736093572245</v>
          </cell>
          <cell r="BV872">
            <v>29.635401891862816</v>
          </cell>
          <cell r="BW872">
            <v>23.901518972811779</v>
          </cell>
          <cell r="BX872">
            <v>15.713059154269443</v>
          </cell>
          <cell r="BY872">
            <v>32.089978791354113</v>
          </cell>
        </row>
        <row r="873">
          <cell r="A873">
            <v>40749</v>
          </cell>
          <cell r="BF873">
            <v>40.663350417848363</v>
          </cell>
          <cell r="BG873">
            <v>45.468715051806292</v>
          </cell>
          <cell r="BH873">
            <v>42.408178994289898</v>
          </cell>
          <cell r="BI873">
            <v>30.406703917126244</v>
          </cell>
          <cell r="BJ873">
            <v>54.409654071453552</v>
          </cell>
          <cell r="BU873">
            <v>19.54510248018115</v>
          </cell>
          <cell r="BV873">
            <v>29.635401891862816</v>
          </cell>
          <cell r="BW873">
            <v>23.901518972811779</v>
          </cell>
          <cell r="BX873">
            <v>15.713059154269443</v>
          </cell>
          <cell r="BY873">
            <v>32.089978791354113</v>
          </cell>
        </row>
        <row r="874">
          <cell r="A874">
            <v>40750</v>
          </cell>
          <cell r="BF874">
            <v>39.189186446864539</v>
          </cell>
          <cell r="BG874">
            <v>45.468715051806292</v>
          </cell>
          <cell r="BH874">
            <v>42.408178994289898</v>
          </cell>
          <cell r="BI874">
            <v>30.406703917126244</v>
          </cell>
          <cell r="BJ874">
            <v>54.409654071453552</v>
          </cell>
          <cell r="BU874">
            <v>18.800032487567769</v>
          </cell>
          <cell r="BV874">
            <v>29.635401891862816</v>
          </cell>
          <cell r="BW874">
            <v>23.901518972811779</v>
          </cell>
          <cell r="BX874">
            <v>15.713059154269443</v>
          </cell>
          <cell r="BY874">
            <v>32.089978791354113</v>
          </cell>
        </row>
        <row r="875">
          <cell r="A875">
            <v>40751</v>
          </cell>
          <cell r="BF875">
            <v>33.160300561688501</v>
          </cell>
          <cell r="BG875">
            <v>45.468715051806292</v>
          </cell>
          <cell r="BH875">
            <v>42.408178994289898</v>
          </cell>
          <cell r="BI875">
            <v>30.406703917126244</v>
          </cell>
          <cell r="BJ875">
            <v>54.409654071453552</v>
          </cell>
          <cell r="BU875">
            <v>15.819400276629088</v>
          </cell>
          <cell r="BV875">
            <v>29.635401891862816</v>
          </cell>
          <cell r="BW875">
            <v>23.901518972811779</v>
          </cell>
          <cell r="BX875">
            <v>15.713059154269443</v>
          </cell>
          <cell r="BY875">
            <v>32.089978791354113</v>
          </cell>
        </row>
        <row r="876">
          <cell r="A876">
            <v>40752</v>
          </cell>
          <cell r="BF876">
            <v>34.864561065788322</v>
          </cell>
          <cell r="BG876">
            <v>45.468715051806292</v>
          </cell>
          <cell r="BH876">
            <v>42.408178994289898</v>
          </cell>
          <cell r="BI876">
            <v>30.406703917126244</v>
          </cell>
          <cell r="BJ876">
            <v>54.409654071453552</v>
          </cell>
          <cell r="BU876">
            <v>16.628606128922439</v>
          </cell>
          <cell r="BV876">
            <v>29.635401891862816</v>
          </cell>
          <cell r="BW876">
            <v>23.901518972811779</v>
          </cell>
          <cell r="BX876">
            <v>15.713059154269443</v>
          </cell>
          <cell r="BY876">
            <v>32.089978791354113</v>
          </cell>
        </row>
        <row r="877">
          <cell r="A877">
            <v>40753</v>
          </cell>
          <cell r="BF877">
            <v>36.137622140494564</v>
          </cell>
          <cell r="BG877">
            <v>45.468715051806292</v>
          </cell>
          <cell r="BH877">
            <v>42.408178994289898</v>
          </cell>
          <cell r="BI877">
            <v>30.406703917126244</v>
          </cell>
          <cell r="BJ877">
            <v>54.409654071453552</v>
          </cell>
          <cell r="BU877">
            <v>17.273704540134112</v>
          </cell>
          <cell r="BV877">
            <v>29.635401891862816</v>
          </cell>
          <cell r="BW877">
            <v>23.901518972811779</v>
          </cell>
          <cell r="BX877">
            <v>15.713059154269443</v>
          </cell>
          <cell r="BY877">
            <v>32.089978791354113</v>
          </cell>
        </row>
        <row r="878">
          <cell r="A878">
            <v>40756</v>
          </cell>
          <cell r="BF878">
            <v>34.623625358059655</v>
          </cell>
          <cell r="BG878">
            <v>45.468715051806292</v>
          </cell>
          <cell r="BH878">
            <v>42.408178994289898</v>
          </cell>
          <cell r="BI878">
            <v>30.406703917126244</v>
          </cell>
          <cell r="BJ878">
            <v>54.409654071453552</v>
          </cell>
          <cell r="BU878">
            <v>16.495279407815175</v>
          </cell>
          <cell r="BV878">
            <v>29.635401891862816</v>
          </cell>
          <cell r="BW878">
            <v>23.901518972811779</v>
          </cell>
          <cell r="BX878">
            <v>15.713059154269443</v>
          </cell>
          <cell r="BY878">
            <v>32.089978791354113</v>
          </cell>
        </row>
        <row r="879">
          <cell r="A879">
            <v>40757</v>
          </cell>
          <cell r="BF879">
            <v>33.355383591693212</v>
          </cell>
          <cell r="BG879">
            <v>45.468715051806292</v>
          </cell>
          <cell r="BH879">
            <v>42.408178994289898</v>
          </cell>
          <cell r="BI879">
            <v>30.406703917126244</v>
          </cell>
          <cell r="BJ879">
            <v>54.409654071453552</v>
          </cell>
          <cell r="BU879">
            <v>15.853760158250257</v>
          </cell>
          <cell r="BV879">
            <v>29.635401891862816</v>
          </cell>
          <cell r="BW879">
            <v>23.901518972811779</v>
          </cell>
          <cell r="BX879">
            <v>15.713059154269443</v>
          </cell>
          <cell r="BY879">
            <v>32.089978791354113</v>
          </cell>
        </row>
        <row r="880">
          <cell r="A880">
            <v>40758</v>
          </cell>
          <cell r="BF880">
            <v>33.395189393009233</v>
          </cell>
          <cell r="BG880">
            <v>45.468715051806292</v>
          </cell>
          <cell r="BH880">
            <v>42.408178994289898</v>
          </cell>
          <cell r="BI880">
            <v>30.406703917126244</v>
          </cell>
          <cell r="BJ880">
            <v>54.409654071453552</v>
          </cell>
          <cell r="BU880">
            <v>15.873894809803348</v>
          </cell>
          <cell r="BV880">
            <v>29.635401891862816</v>
          </cell>
          <cell r="BW880">
            <v>23.901518972811779</v>
          </cell>
          <cell r="BX880">
            <v>15.713059154269443</v>
          </cell>
          <cell r="BY880">
            <v>32.089978791354113</v>
          </cell>
        </row>
        <row r="881">
          <cell r="A881">
            <v>40759</v>
          </cell>
          <cell r="BF881">
            <v>30.995201904833614</v>
          </cell>
          <cell r="BG881">
            <v>45.468715051806292</v>
          </cell>
          <cell r="BH881">
            <v>42.408178994289898</v>
          </cell>
          <cell r="BI881">
            <v>30.406703917126244</v>
          </cell>
          <cell r="BJ881">
            <v>54.409654071453552</v>
          </cell>
          <cell r="BU881">
            <v>14.659895409466012</v>
          </cell>
          <cell r="BV881">
            <v>29.635401891862816</v>
          </cell>
          <cell r="BW881">
            <v>23.901518972811779</v>
          </cell>
          <cell r="BX881">
            <v>15.713059154269443</v>
          </cell>
          <cell r="BY881">
            <v>32.089978791354113</v>
          </cell>
        </row>
        <row r="882">
          <cell r="A882">
            <v>40760</v>
          </cell>
          <cell r="BF882">
            <v>30.560148028726633</v>
          </cell>
          <cell r="BG882">
            <v>45.468715051806292</v>
          </cell>
          <cell r="BH882">
            <v>42.408178994289898</v>
          </cell>
          <cell r="BI882">
            <v>30.406703917126244</v>
          </cell>
          <cell r="BJ882">
            <v>54.409654071453552</v>
          </cell>
          <cell r="BU882">
            <v>14.481317370994248</v>
          </cell>
          <cell r="BV882">
            <v>29.635401891862816</v>
          </cell>
          <cell r="BW882">
            <v>23.901518972811779</v>
          </cell>
          <cell r="BX882">
            <v>15.713059154269443</v>
          </cell>
          <cell r="BY882">
            <v>32.089978791354113</v>
          </cell>
        </row>
        <row r="883">
          <cell r="A883">
            <v>40763</v>
          </cell>
          <cell r="BF883">
            <v>29.088613803976067</v>
          </cell>
          <cell r="BG883">
            <v>45.468715051806292</v>
          </cell>
          <cell r="BH883">
            <v>42.408178994289898</v>
          </cell>
          <cell r="BI883">
            <v>30.406703917126244</v>
          </cell>
          <cell r="BJ883">
            <v>54.409654071453552</v>
          </cell>
          <cell r="BU883">
            <v>13.734666696961074</v>
          </cell>
          <cell r="BV883">
            <v>29.635401891862816</v>
          </cell>
          <cell r="BW883">
            <v>23.901518972811779</v>
          </cell>
          <cell r="BX883">
            <v>15.713059154269443</v>
          </cell>
          <cell r="BY883">
            <v>32.089978791354113</v>
          </cell>
        </row>
        <row r="884">
          <cell r="A884">
            <v>40764</v>
          </cell>
          <cell r="BF884">
            <v>31.370073710170271</v>
          </cell>
          <cell r="BG884">
            <v>45.468715051806292</v>
          </cell>
          <cell r="BH884">
            <v>42.408178994289898</v>
          </cell>
          <cell r="BI884">
            <v>30.406703917126244</v>
          </cell>
          <cell r="BJ884">
            <v>54.409654071453552</v>
          </cell>
          <cell r="BU884">
            <v>14.892275354292902</v>
          </cell>
          <cell r="BV884">
            <v>29.635401891862816</v>
          </cell>
          <cell r="BW884">
            <v>23.901518972811779</v>
          </cell>
          <cell r="BX884">
            <v>15.713059154269443</v>
          </cell>
          <cell r="BY884">
            <v>32.089978791354113</v>
          </cell>
        </row>
        <row r="885">
          <cell r="A885">
            <v>40765</v>
          </cell>
          <cell r="BF885">
            <v>29.525382085991577</v>
          </cell>
          <cell r="BG885">
            <v>45.468715051806292</v>
          </cell>
          <cell r="BH885">
            <v>42.408178994289898</v>
          </cell>
          <cell r="BI885">
            <v>30.406703917126244</v>
          </cell>
          <cell r="BJ885">
            <v>54.409654071453552</v>
          </cell>
          <cell r="BU885">
            <v>13.934352380603091</v>
          </cell>
          <cell r="BV885">
            <v>29.635401891862816</v>
          </cell>
          <cell r="BW885">
            <v>23.901518972811779</v>
          </cell>
          <cell r="BX885">
            <v>15.713059154269443</v>
          </cell>
          <cell r="BY885">
            <v>32.089978791354113</v>
          </cell>
        </row>
        <row r="886">
          <cell r="A886">
            <v>40766</v>
          </cell>
          <cell r="BF886">
            <v>29.985305082133532</v>
          </cell>
          <cell r="BG886">
            <v>45.468715051806292</v>
          </cell>
          <cell r="BH886">
            <v>42.408178994289898</v>
          </cell>
          <cell r="BI886">
            <v>30.406703917126244</v>
          </cell>
          <cell r="BJ886">
            <v>54.409654071453552</v>
          </cell>
          <cell r="BU886">
            <v>14.165100406045763</v>
          </cell>
          <cell r="BV886">
            <v>29.635401891862816</v>
          </cell>
          <cell r="BW886">
            <v>23.901518972811779</v>
          </cell>
          <cell r="BX886">
            <v>15.713059154269443</v>
          </cell>
          <cell r="BY886">
            <v>32.089978791354113</v>
          </cell>
        </row>
        <row r="887">
          <cell r="A887">
            <v>40767</v>
          </cell>
          <cell r="BF887">
            <v>29.688144171811324</v>
          </cell>
          <cell r="BG887">
            <v>45.468715051806292</v>
          </cell>
          <cell r="BH887">
            <v>42.408178994289898</v>
          </cell>
          <cell r="BI887">
            <v>30.406703917126244</v>
          </cell>
          <cell r="BJ887">
            <v>54.409654071453552</v>
          </cell>
          <cell r="BU887">
            <v>14.014563284846094</v>
          </cell>
          <cell r="BV887">
            <v>29.635401891862816</v>
          </cell>
          <cell r="BW887">
            <v>23.901518972811779</v>
          </cell>
          <cell r="BX887">
            <v>15.713059154269443</v>
          </cell>
          <cell r="BY887">
            <v>32.089978791354113</v>
          </cell>
        </row>
        <row r="888">
          <cell r="A888">
            <v>40770</v>
          </cell>
          <cell r="BF888">
            <v>31.069331329686484</v>
          </cell>
          <cell r="BG888">
            <v>45.468715051806292</v>
          </cell>
          <cell r="BH888">
            <v>42.408178994289898</v>
          </cell>
          <cell r="BI888">
            <v>30.406703917126244</v>
          </cell>
          <cell r="BJ888">
            <v>54.409654071453552</v>
          </cell>
          <cell r="BU888">
            <v>14.791637131732177</v>
          </cell>
          <cell r="BV888">
            <v>29.635401891862816</v>
          </cell>
          <cell r="BW888">
            <v>23.901518972811779</v>
          </cell>
          <cell r="BX888">
            <v>15.713059154269443</v>
          </cell>
          <cell r="BY888">
            <v>32.089978791354113</v>
          </cell>
        </row>
        <row r="889">
          <cell r="A889">
            <v>40771</v>
          </cell>
          <cell r="BF889">
            <v>30.253330269870055</v>
          </cell>
          <cell r="BG889">
            <v>45.468715051806292</v>
          </cell>
          <cell r="BH889">
            <v>42.408178994289898</v>
          </cell>
          <cell r="BI889">
            <v>30.406703917126244</v>
          </cell>
          <cell r="BJ889">
            <v>54.409654071453552</v>
          </cell>
          <cell r="BU889">
            <v>14.309307663430848</v>
          </cell>
          <cell r="BV889">
            <v>29.635401891862816</v>
          </cell>
          <cell r="BW889">
            <v>23.901518972811779</v>
          </cell>
          <cell r="BX889">
            <v>15.713059154269443</v>
          </cell>
          <cell r="BY889">
            <v>32.089978791354113</v>
          </cell>
        </row>
        <row r="890">
          <cell r="A890">
            <v>40772</v>
          </cell>
          <cell r="BF890">
            <v>29.618843201799514</v>
          </cell>
          <cell r="BG890">
            <v>45.468715051806292</v>
          </cell>
          <cell r="BH890">
            <v>42.408178994289898</v>
          </cell>
          <cell r="BI890">
            <v>30.406703917126244</v>
          </cell>
          <cell r="BJ890">
            <v>54.409654071453552</v>
          </cell>
          <cell r="BU890">
            <v>13.987482120144534</v>
          </cell>
          <cell r="BV890">
            <v>29.635401891862816</v>
          </cell>
          <cell r="BW890">
            <v>23.901518972811779</v>
          </cell>
          <cell r="BX890">
            <v>15.713059154269443</v>
          </cell>
          <cell r="BY890">
            <v>32.089978791354113</v>
          </cell>
        </row>
        <row r="891">
          <cell r="A891">
            <v>40773</v>
          </cell>
          <cell r="BF891">
            <v>27.167429264693897</v>
          </cell>
          <cell r="BG891">
            <v>45.468715051806292</v>
          </cell>
          <cell r="BH891">
            <v>42.408178994289898</v>
          </cell>
          <cell r="BI891">
            <v>30.406703917126244</v>
          </cell>
          <cell r="BJ891">
            <v>54.409654071453552</v>
          </cell>
          <cell r="BU891">
            <v>12.744061036248873</v>
          </cell>
          <cell r="BV891">
            <v>29.635401891862816</v>
          </cell>
          <cell r="BW891">
            <v>23.901518972811779</v>
          </cell>
          <cell r="BX891">
            <v>15.713059154269443</v>
          </cell>
          <cell r="BY891">
            <v>32.089978791354113</v>
          </cell>
        </row>
        <row r="892">
          <cell r="A892">
            <v>40774</v>
          </cell>
          <cell r="BF892">
            <v>26.988621978514857</v>
          </cell>
          <cell r="BG892">
            <v>45.468715051806292</v>
          </cell>
          <cell r="BH892">
            <v>42.408178994289898</v>
          </cell>
          <cell r="BI892">
            <v>30.406703917126244</v>
          </cell>
          <cell r="BJ892">
            <v>54.409654071453552</v>
          </cell>
          <cell r="BU892">
            <v>12.65336157149614</v>
          </cell>
          <cell r="BV892">
            <v>29.635401891862816</v>
          </cell>
          <cell r="BW892">
            <v>23.901518972811779</v>
          </cell>
          <cell r="BX892">
            <v>15.713059154269443</v>
          </cell>
          <cell r="BY892">
            <v>32.089978791354113</v>
          </cell>
        </row>
        <row r="893">
          <cell r="A893">
            <v>40777</v>
          </cell>
          <cell r="BF893">
            <v>26.671378444479586</v>
          </cell>
          <cell r="BG893">
            <v>45.468715051806292</v>
          </cell>
          <cell r="BH893">
            <v>42.408178994289898</v>
          </cell>
          <cell r="BI893">
            <v>30.406703917126244</v>
          </cell>
          <cell r="BJ893">
            <v>54.409654071453552</v>
          </cell>
          <cell r="BU893">
            <v>12.49244808703477</v>
          </cell>
          <cell r="BV893">
            <v>29.635401891862816</v>
          </cell>
          <cell r="BW893">
            <v>23.901518972811779</v>
          </cell>
          <cell r="BX893">
            <v>15.713059154269443</v>
          </cell>
          <cell r="BY893">
            <v>32.089978791354113</v>
          </cell>
        </row>
        <row r="894">
          <cell r="A894">
            <v>40778</v>
          </cell>
          <cell r="BF894">
            <v>28.03263418367235</v>
          </cell>
          <cell r="BG894">
            <v>45.468715051806292</v>
          </cell>
          <cell r="BH894">
            <v>42.408178994289898</v>
          </cell>
          <cell r="BI894">
            <v>30.406703917126244</v>
          </cell>
          <cell r="BJ894">
            <v>54.409654071453552</v>
          </cell>
          <cell r="BU894">
            <v>13.182917073898391</v>
          </cell>
          <cell r="BV894">
            <v>29.635401891862816</v>
          </cell>
          <cell r="BW894">
            <v>23.901518972811779</v>
          </cell>
          <cell r="BX894">
            <v>15.713059154269443</v>
          </cell>
          <cell r="BY894">
            <v>32.089978791354113</v>
          </cell>
        </row>
        <row r="895">
          <cell r="A895">
            <v>40779</v>
          </cell>
          <cell r="BF895">
            <v>27.80827997176555</v>
          </cell>
          <cell r="BG895">
            <v>45.468715051806292</v>
          </cell>
          <cell r="BH895">
            <v>42.408178994289898</v>
          </cell>
          <cell r="BI895">
            <v>30.406703917126244</v>
          </cell>
          <cell r="BJ895">
            <v>54.409654071453552</v>
          </cell>
          <cell r="BU895">
            <v>13.062961648797357</v>
          </cell>
          <cell r="BV895">
            <v>29.635401891862816</v>
          </cell>
          <cell r="BW895">
            <v>23.901518972811779</v>
          </cell>
          <cell r="BX895">
            <v>15.713059154269443</v>
          </cell>
          <cell r="BY895">
            <v>32.089978791354113</v>
          </cell>
        </row>
        <row r="896">
          <cell r="A896">
            <v>40780</v>
          </cell>
          <cell r="BF896">
            <v>27.115815542405688</v>
          </cell>
          <cell r="BG896">
            <v>45.468715051806292</v>
          </cell>
          <cell r="BH896">
            <v>42.408178994289898</v>
          </cell>
          <cell r="BI896">
            <v>30.406703917126244</v>
          </cell>
          <cell r="BJ896">
            <v>54.409654071453552</v>
          </cell>
          <cell r="BU896">
            <v>12.711882046011311</v>
          </cell>
          <cell r="BV896">
            <v>29.635401891862816</v>
          </cell>
          <cell r="BW896">
            <v>23.901518972811779</v>
          </cell>
          <cell r="BX896">
            <v>15.713059154269443</v>
          </cell>
          <cell r="BY896">
            <v>32.089978791354113</v>
          </cell>
        </row>
        <row r="897">
          <cell r="A897">
            <v>40781</v>
          </cell>
          <cell r="BF897">
            <v>28.639240518506135</v>
          </cell>
          <cell r="BG897">
            <v>45.468715051806292</v>
          </cell>
          <cell r="BH897">
            <v>42.408178994289898</v>
          </cell>
          <cell r="BI897">
            <v>30.406703917126244</v>
          </cell>
          <cell r="BJ897">
            <v>54.409654071453552</v>
          </cell>
          <cell r="BU897">
            <v>13.484258835383111</v>
          </cell>
          <cell r="BV897">
            <v>29.635401891862816</v>
          </cell>
          <cell r="BW897">
            <v>23.901518972811779</v>
          </cell>
          <cell r="BX897">
            <v>15.713059154269443</v>
          </cell>
          <cell r="BY897">
            <v>32.089978791354113</v>
          </cell>
        </row>
        <row r="898">
          <cell r="A898">
            <v>40784</v>
          </cell>
          <cell r="BF898">
            <v>29.816438184895294</v>
          </cell>
          <cell r="BG898">
            <v>45.468715051806292</v>
          </cell>
          <cell r="BH898">
            <v>42.408178994289898</v>
          </cell>
          <cell r="BI898">
            <v>30.406703917126244</v>
          </cell>
          <cell r="BJ898">
            <v>54.409654071453552</v>
          </cell>
          <cell r="BU898">
            <v>14.08110366436224</v>
          </cell>
          <cell r="BV898">
            <v>29.635401891862816</v>
          </cell>
          <cell r="BW898">
            <v>23.901518972811779</v>
          </cell>
          <cell r="BX898">
            <v>15.713059154269443</v>
          </cell>
          <cell r="BY898">
            <v>32.089978791354113</v>
          </cell>
        </row>
        <row r="899">
          <cell r="A899">
            <v>40785</v>
          </cell>
          <cell r="BF899">
            <v>29.810661863006246</v>
          </cell>
          <cell r="BG899">
            <v>45.468715051806292</v>
          </cell>
          <cell r="BH899">
            <v>42.408178994289898</v>
          </cell>
          <cell r="BI899">
            <v>30.406703917126244</v>
          </cell>
          <cell r="BJ899">
            <v>54.409654071453552</v>
          </cell>
          <cell r="BU899">
            <v>14.078171605442272</v>
          </cell>
          <cell r="BV899">
            <v>29.635401891862816</v>
          </cell>
          <cell r="BW899">
            <v>23.901518972811779</v>
          </cell>
          <cell r="BX899">
            <v>15.713059154269443</v>
          </cell>
          <cell r="BY899">
            <v>32.089978791354113</v>
          </cell>
        </row>
        <row r="900">
          <cell r="A900">
            <v>40786</v>
          </cell>
          <cell r="BF900">
            <v>30.064567275975779</v>
          </cell>
          <cell r="BG900">
            <v>45.468715051806292</v>
          </cell>
          <cell r="BH900">
            <v>42.408178994289898</v>
          </cell>
          <cell r="BI900">
            <v>30.406703917126244</v>
          </cell>
          <cell r="BJ900">
            <v>54.409654071453552</v>
          </cell>
          <cell r="BU900">
            <v>14.206906574878223</v>
          </cell>
          <cell r="BV900">
            <v>29.635401891862816</v>
          </cell>
          <cell r="BW900">
            <v>23.901518972811779</v>
          </cell>
          <cell r="BX900">
            <v>15.713059154269443</v>
          </cell>
          <cell r="BY900">
            <v>32.089978791354113</v>
          </cell>
        </row>
        <row r="901">
          <cell r="A901">
            <v>40787</v>
          </cell>
          <cell r="BF901">
            <v>28.694529023957926</v>
          </cell>
          <cell r="BG901">
            <v>45.468715051806292</v>
          </cell>
          <cell r="BH901">
            <v>42.408178994289898</v>
          </cell>
          <cell r="BI901">
            <v>30.406703917126244</v>
          </cell>
          <cell r="BJ901">
            <v>54.409654071453552</v>
          </cell>
          <cell r="BU901">
            <v>13.528479091067643</v>
          </cell>
          <cell r="BV901">
            <v>29.635401891862816</v>
          </cell>
          <cell r="BW901">
            <v>23.901518972811779</v>
          </cell>
          <cell r="BX901">
            <v>15.713059154269443</v>
          </cell>
          <cell r="BY901">
            <v>32.089978791354113</v>
          </cell>
        </row>
        <row r="902">
          <cell r="A902">
            <v>40788</v>
          </cell>
          <cell r="BF902">
            <v>28.274106066265499</v>
          </cell>
          <cell r="BG902">
            <v>45.468715051806292</v>
          </cell>
          <cell r="BH902">
            <v>42.408178994289898</v>
          </cell>
          <cell r="BI902">
            <v>30.406703917126244</v>
          </cell>
          <cell r="BJ902">
            <v>54.409654071453552</v>
          </cell>
          <cell r="BU902">
            <v>13.277638789187852</v>
          </cell>
          <cell r="BV902">
            <v>29.635401891862816</v>
          </cell>
          <cell r="BW902">
            <v>23.901518972811779</v>
          </cell>
          <cell r="BX902">
            <v>15.713059154269443</v>
          </cell>
          <cell r="BY902">
            <v>32.089978791354113</v>
          </cell>
        </row>
        <row r="903">
          <cell r="A903">
            <v>40791</v>
          </cell>
          <cell r="BF903">
            <v>28.274106066265499</v>
          </cell>
          <cell r="BG903">
            <v>45.468715051806292</v>
          </cell>
          <cell r="BH903">
            <v>42.408178994289898</v>
          </cell>
          <cell r="BI903">
            <v>30.406703917126244</v>
          </cell>
          <cell r="BJ903">
            <v>54.409654071453552</v>
          </cell>
          <cell r="BU903">
            <v>13.277638789187852</v>
          </cell>
          <cell r="BV903">
            <v>29.635401891862816</v>
          </cell>
          <cell r="BW903">
            <v>23.901518972811779</v>
          </cell>
          <cell r="BX903">
            <v>15.713059154269443</v>
          </cell>
          <cell r="BY903">
            <v>32.089978791354113</v>
          </cell>
        </row>
        <row r="904">
          <cell r="A904">
            <v>40792</v>
          </cell>
          <cell r="BF904">
            <v>28.109361787341982</v>
          </cell>
          <cell r="BG904">
            <v>45.468715051806292</v>
          </cell>
          <cell r="BH904">
            <v>42.408178994289898</v>
          </cell>
          <cell r="BI904">
            <v>30.406703917126244</v>
          </cell>
          <cell r="BJ904">
            <v>54.409654071453552</v>
          </cell>
          <cell r="BU904">
            <v>13.19434889019383</v>
          </cell>
          <cell r="BV904">
            <v>29.635401891862816</v>
          </cell>
          <cell r="BW904">
            <v>23.901518972811779</v>
          </cell>
          <cell r="BX904">
            <v>15.713059154269443</v>
          </cell>
          <cell r="BY904">
            <v>32.089978791354113</v>
          </cell>
        </row>
        <row r="905">
          <cell r="A905">
            <v>40793</v>
          </cell>
          <cell r="BF905">
            <v>28.904256708037696</v>
          </cell>
          <cell r="BG905">
            <v>45.468715051806292</v>
          </cell>
          <cell r="BH905">
            <v>42.408178994289898</v>
          </cell>
          <cell r="BI905">
            <v>30.406703917126244</v>
          </cell>
          <cell r="BJ905">
            <v>54.409654071453552</v>
          </cell>
          <cell r="BU905">
            <v>13.576344039620983</v>
          </cell>
          <cell r="BV905">
            <v>29.635401891862816</v>
          </cell>
          <cell r="BW905">
            <v>23.901518972811779</v>
          </cell>
          <cell r="BX905">
            <v>15.713059154269443</v>
          </cell>
          <cell r="BY905">
            <v>32.089978791354113</v>
          </cell>
        </row>
        <row r="906">
          <cell r="A906">
            <v>40794</v>
          </cell>
          <cell r="BF906">
            <v>28.568616893432257</v>
          </cell>
          <cell r="BG906">
            <v>45.468715051806292</v>
          </cell>
          <cell r="BH906">
            <v>42.408178994289898</v>
          </cell>
          <cell r="BI906">
            <v>30.406703917126244</v>
          </cell>
          <cell r="BJ906">
            <v>54.409654071453552</v>
          </cell>
          <cell r="BU906">
            <v>13.40688772014329</v>
          </cell>
          <cell r="BV906">
            <v>29.635401891862816</v>
          </cell>
          <cell r="BW906">
            <v>23.901518972811779</v>
          </cell>
          <cell r="BX906">
            <v>15.713059154269443</v>
          </cell>
          <cell r="BY906">
            <v>32.089978791354113</v>
          </cell>
        </row>
        <row r="907">
          <cell r="A907">
            <v>40795</v>
          </cell>
          <cell r="BF907">
            <v>27.612920732305668</v>
          </cell>
          <cell r="BG907">
            <v>45.468715051806292</v>
          </cell>
          <cell r="BH907">
            <v>42.408178994289898</v>
          </cell>
          <cell r="BI907">
            <v>30.406703917126244</v>
          </cell>
          <cell r="BJ907">
            <v>54.409654071453552</v>
          </cell>
          <cell r="BU907">
            <v>12.923542850612085</v>
          </cell>
          <cell r="BV907">
            <v>29.635401891862816</v>
          </cell>
          <cell r="BW907">
            <v>23.901518972811779</v>
          </cell>
          <cell r="BX907">
            <v>15.713059154269443</v>
          </cell>
          <cell r="BY907">
            <v>32.089978791354113</v>
          </cell>
        </row>
        <row r="908">
          <cell r="A908">
            <v>40798</v>
          </cell>
          <cell r="BF908">
            <v>27.483854227421833</v>
          </cell>
          <cell r="BG908">
            <v>45.468715051806292</v>
          </cell>
          <cell r="BH908">
            <v>42.408178994289898</v>
          </cell>
          <cell r="BI908">
            <v>30.406703917126244</v>
          </cell>
          <cell r="BJ908">
            <v>54.409654071453552</v>
          </cell>
          <cell r="BU908">
            <v>12.854616847759537</v>
          </cell>
          <cell r="BV908">
            <v>29.635401891862816</v>
          </cell>
          <cell r="BW908">
            <v>23.901518972811779</v>
          </cell>
          <cell r="BX908">
            <v>15.713059154269443</v>
          </cell>
          <cell r="BY908">
            <v>32.089978791354113</v>
          </cell>
        </row>
        <row r="909">
          <cell r="A909">
            <v>40799</v>
          </cell>
          <cell r="BF909">
            <v>28.546300390690579</v>
          </cell>
          <cell r="BG909">
            <v>45.468715051806292</v>
          </cell>
          <cell r="BH909">
            <v>42.408178994289898</v>
          </cell>
          <cell r="BI909">
            <v>30.406703917126244</v>
          </cell>
          <cell r="BJ909">
            <v>54.409654071453552</v>
          </cell>
          <cell r="BU909">
            <v>13.388806023237887</v>
          </cell>
          <cell r="BV909">
            <v>29.635401891862816</v>
          </cell>
          <cell r="BW909">
            <v>23.901518972811779</v>
          </cell>
          <cell r="BX909">
            <v>15.713059154269443</v>
          </cell>
          <cell r="BY909">
            <v>32.089978791354113</v>
          </cell>
        </row>
        <row r="910">
          <cell r="A910">
            <v>40800</v>
          </cell>
          <cell r="BF910">
            <v>29.360125089278341</v>
          </cell>
          <cell r="BG910">
            <v>45.468715051806292</v>
          </cell>
          <cell r="BH910">
            <v>42.408178994289898</v>
          </cell>
          <cell r="BI910">
            <v>30.406703917126244</v>
          </cell>
          <cell r="BJ910">
            <v>54.409654071453552</v>
          </cell>
          <cell r="BU910">
            <v>13.799493631914016</v>
          </cell>
          <cell r="BV910">
            <v>29.635401891862816</v>
          </cell>
          <cell r="BW910">
            <v>23.901518972811779</v>
          </cell>
          <cell r="BX910">
            <v>15.713059154269443</v>
          </cell>
          <cell r="BY910">
            <v>32.089978791354113</v>
          </cell>
        </row>
        <row r="911">
          <cell r="A911">
            <v>40801</v>
          </cell>
          <cell r="BF911">
            <v>28.068313808228307</v>
          </cell>
          <cell r="BG911">
            <v>45.468715051806292</v>
          </cell>
          <cell r="BH911">
            <v>42.408178994289898</v>
          </cell>
          <cell r="BI911">
            <v>30.406703917126244</v>
          </cell>
          <cell r="BJ911">
            <v>54.409654071453552</v>
          </cell>
          <cell r="BU911">
            <v>13.156928531472943</v>
          </cell>
          <cell r="BV911">
            <v>29.635401891862816</v>
          </cell>
          <cell r="BW911">
            <v>23.901518972811779</v>
          </cell>
          <cell r="BX911">
            <v>15.713059154269443</v>
          </cell>
          <cell r="BY911">
            <v>32.089978791354113</v>
          </cell>
        </row>
        <row r="912">
          <cell r="A912">
            <v>40802</v>
          </cell>
          <cell r="BF912">
            <v>27.321042285427346</v>
          </cell>
          <cell r="BG912">
            <v>45.468715051806292</v>
          </cell>
          <cell r="BH912">
            <v>42.408178994289898</v>
          </cell>
          <cell r="BI912">
            <v>30.406703917126244</v>
          </cell>
          <cell r="BJ912">
            <v>54.409654071453552</v>
          </cell>
          <cell r="BU912">
            <v>12.781337768918055</v>
          </cell>
          <cell r="BV912">
            <v>29.635401891862816</v>
          </cell>
          <cell r="BW912">
            <v>23.901518972811779</v>
          </cell>
          <cell r="BX912">
            <v>15.713059154269443</v>
          </cell>
          <cell r="BY912">
            <v>32.089978791354113</v>
          </cell>
        </row>
        <row r="913">
          <cell r="A913">
            <v>40805</v>
          </cell>
          <cell r="BF913">
            <v>27.047714444981448</v>
          </cell>
          <cell r="BG913">
            <v>45.468715051806292</v>
          </cell>
          <cell r="BH913">
            <v>42.408178994289898</v>
          </cell>
          <cell r="BI913">
            <v>30.406703917126244</v>
          </cell>
          <cell r="BJ913">
            <v>54.409654071453552</v>
          </cell>
          <cell r="BU913">
            <v>12.666622523851769</v>
          </cell>
          <cell r="BV913">
            <v>29.635401891862816</v>
          </cell>
          <cell r="BW913">
            <v>23.901518972811779</v>
          </cell>
          <cell r="BX913">
            <v>15.713059154269443</v>
          </cell>
          <cell r="BY913">
            <v>32.089978791354113</v>
          </cell>
        </row>
        <row r="914">
          <cell r="A914">
            <v>40806</v>
          </cell>
          <cell r="BF914">
            <v>25.696100453595058</v>
          </cell>
          <cell r="BG914">
            <v>45.468715051806292</v>
          </cell>
          <cell r="BH914">
            <v>42.408178994289898</v>
          </cell>
          <cell r="BI914">
            <v>30.406703917126244</v>
          </cell>
          <cell r="BJ914">
            <v>54.409654071453552</v>
          </cell>
          <cell r="BU914">
            <v>11.975129682033325</v>
          </cell>
          <cell r="BV914">
            <v>29.635401891862816</v>
          </cell>
          <cell r="BW914">
            <v>23.901518972811779</v>
          </cell>
          <cell r="BX914">
            <v>15.713059154269443</v>
          </cell>
          <cell r="BY914">
            <v>32.089978791354113</v>
          </cell>
        </row>
        <row r="915">
          <cell r="A915">
            <v>40807</v>
          </cell>
          <cell r="BF915">
            <v>23.805170640860116</v>
          </cell>
          <cell r="BG915">
            <v>45.468715051806292</v>
          </cell>
          <cell r="BH915">
            <v>42.408178994289898</v>
          </cell>
          <cell r="BI915">
            <v>30.406703917126244</v>
          </cell>
          <cell r="BJ915">
            <v>54.409654071453552</v>
          </cell>
          <cell r="BU915">
            <v>11.018602279681357</v>
          </cell>
          <cell r="BV915">
            <v>29.635401891862816</v>
          </cell>
          <cell r="BW915">
            <v>23.901518972811779</v>
          </cell>
          <cell r="BX915">
            <v>15.713059154269443</v>
          </cell>
          <cell r="BY915">
            <v>32.089978791354113</v>
          </cell>
        </row>
        <row r="916">
          <cell r="A916">
            <v>40808</v>
          </cell>
          <cell r="BF916">
            <v>24.245048730048104</v>
          </cell>
          <cell r="BG916">
            <v>45.468715051806292</v>
          </cell>
          <cell r="BH916">
            <v>42.408178994289898</v>
          </cell>
          <cell r="BI916">
            <v>30.406703917126244</v>
          </cell>
          <cell r="BJ916">
            <v>54.409654071453552</v>
          </cell>
          <cell r="BU916">
            <v>11.282780194903856</v>
          </cell>
          <cell r="BV916">
            <v>29.635401891862816</v>
          </cell>
          <cell r="BW916">
            <v>23.901518972811779</v>
          </cell>
          <cell r="BX916">
            <v>15.713059154269443</v>
          </cell>
          <cell r="BY916">
            <v>32.089978791354113</v>
          </cell>
        </row>
        <row r="917">
          <cell r="A917">
            <v>40809</v>
          </cell>
          <cell r="BF917">
            <v>23.805170640860116</v>
          </cell>
          <cell r="BG917">
            <v>45.468715051806292</v>
          </cell>
          <cell r="BH917">
            <v>42.408178994289898</v>
          </cell>
          <cell r="BI917">
            <v>30.406703917126244</v>
          </cell>
          <cell r="BJ917">
            <v>54.409654071453552</v>
          </cell>
          <cell r="BU917">
            <v>11.067434132013547</v>
          </cell>
          <cell r="BV917">
            <v>29.635401891862816</v>
          </cell>
          <cell r="BW917">
            <v>23.901518972811779</v>
          </cell>
          <cell r="BX917">
            <v>15.713059154269443</v>
          </cell>
          <cell r="BY917">
            <v>32.089978791354113</v>
          </cell>
        </row>
        <row r="918">
          <cell r="A918">
            <v>40812</v>
          </cell>
          <cell r="BF918">
            <v>23.810817224530172</v>
          </cell>
          <cell r="BG918">
            <v>45.468715051806292</v>
          </cell>
          <cell r="BH918">
            <v>42.408178994289898</v>
          </cell>
          <cell r="BI918">
            <v>30.406703917126244</v>
          </cell>
          <cell r="BJ918">
            <v>54.409654071453552</v>
          </cell>
          <cell r="BU918">
            <v>11.058723828573214</v>
          </cell>
          <cell r="BV918">
            <v>29.635401891862816</v>
          </cell>
          <cell r="BW918">
            <v>23.901518972811779</v>
          </cell>
          <cell r="BX918">
            <v>15.713059154269443</v>
          </cell>
          <cell r="BY918">
            <v>32.089978791354113</v>
          </cell>
        </row>
        <row r="919">
          <cell r="A919">
            <v>40813</v>
          </cell>
          <cell r="BF919">
            <v>24.416950625720144</v>
          </cell>
          <cell r="BG919">
            <v>45.468715051806292</v>
          </cell>
          <cell r="BH919">
            <v>42.408178994289898</v>
          </cell>
          <cell r="BI919">
            <v>30.406703917126244</v>
          </cell>
          <cell r="BJ919">
            <v>54.409654071453552</v>
          </cell>
          <cell r="BU919">
            <v>11.366399091016779</v>
          </cell>
          <cell r="BV919">
            <v>29.635401891862816</v>
          </cell>
          <cell r="BW919">
            <v>23.901518972811779</v>
          </cell>
          <cell r="BX919">
            <v>15.713059154269443</v>
          </cell>
          <cell r="BY919">
            <v>32.089978791354113</v>
          </cell>
        </row>
        <row r="920">
          <cell r="A920">
            <v>40814</v>
          </cell>
          <cell r="BF920">
            <v>23.627829035587563</v>
          </cell>
          <cell r="BG920">
            <v>45.468715051806292</v>
          </cell>
          <cell r="BH920">
            <v>42.408178994289898</v>
          </cell>
          <cell r="BI920">
            <v>30.406703917126244</v>
          </cell>
          <cell r="BJ920">
            <v>54.409654071453552</v>
          </cell>
          <cell r="BU920">
            <v>10.965840641521512</v>
          </cell>
          <cell r="BV920">
            <v>29.635401891862816</v>
          </cell>
          <cell r="BW920">
            <v>23.901518972811779</v>
          </cell>
          <cell r="BX920">
            <v>15.713059154269443</v>
          </cell>
          <cell r="BY920">
            <v>32.089978791354113</v>
          </cell>
        </row>
        <row r="921">
          <cell r="A921">
            <v>40815</v>
          </cell>
          <cell r="BF921">
            <v>23.753631235400579</v>
          </cell>
          <cell r="BG921">
            <v>45.468715051806292</v>
          </cell>
          <cell r="BH921">
            <v>42.408178994289898</v>
          </cell>
          <cell r="BI921">
            <v>30.406703917126244</v>
          </cell>
          <cell r="BJ921">
            <v>54.409654071453552</v>
          </cell>
          <cell r="BU921">
            <v>11.02969812728476</v>
          </cell>
          <cell r="BV921">
            <v>29.635401891862816</v>
          </cell>
          <cell r="BW921">
            <v>23.901518972811779</v>
          </cell>
          <cell r="BX921">
            <v>15.713059154269443</v>
          </cell>
          <cell r="BY921">
            <v>32.089978791354113</v>
          </cell>
        </row>
        <row r="922">
          <cell r="A922">
            <v>40816</v>
          </cell>
          <cell r="BF922">
            <v>23.49819916045044</v>
          </cell>
          <cell r="BG922">
            <v>45.468715051806292</v>
          </cell>
          <cell r="BH922">
            <v>42.408178994289898</v>
          </cell>
          <cell r="BI922">
            <v>30.406703917126244</v>
          </cell>
          <cell r="BJ922">
            <v>54.409654071453552</v>
          </cell>
          <cell r="BU922">
            <v>10.849732178795776</v>
          </cell>
          <cell r="BV922">
            <v>29.635401891862816</v>
          </cell>
          <cell r="BW922">
            <v>23.901518972811779</v>
          </cell>
          <cell r="BX922">
            <v>15.713059154269443</v>
          </cell>
          <cell r="BY922">
            <v>32.089978791354113</v>
          </cell>
        </row>
        <row r="923">
          <cell r="A923">
            <v>40819</v>
          </cell>
          <cell r="BF923">
            <v>21.554953012560141</v>
          </cell>
          <cell r="BG923">
            <v>45.468715051806292</v>
          </cell>
          <cell r="BH923">
            <v>42.408178994289898</v>
          </cell>
          <cell r="BI923">
            <v>30.406703917126244</v>
          </cell>
          <cell r="BJ923">
            <v>54.409654071453552</v>
          </cell>
          <cell r="BU923">
            <v>10.192559747956636</v>
          </cell>
          <cell r="BV923">
            <v>29.635401891862816</v>
          </cell>
          <cell r="BW923">
            <v>23.901518972811779</v>
          </cell>
          <cell r="BX923">
            <v>15.713059154269443</v>
          </cell>
          <cell r="BY923">
            <v>32.089978791354113</v>
          </cell>
        </row>
        <row r="924">
          <cell r="A924">
            <v>40820</v>
          </cell>
          <cell r="BF924">
            <v>22.136298010443639</v>
          </cell>
          <cell r="BG924">
            <v>45.468715051806292</v>
          </cell>
          <cell r="BH924">
            <v>42.408178994289898</v>
          </cell>
          <cell r="BI924">
            <v>30.406703917126244</v>
          </cell>
          <cell r="BJ924">
            <v>54.409654071453552</v>
          </cell>
          <cell r="BU924">
            <v>10.488424835989811</v>
          </cell>
          <cell r="BV924">
            <v>29.635401891862816</v>
          </cell>
          <cell r="BW924">
            <v>23.901518972811779</v>
          </cell>
          <cell r="BX924">
            <v>15.713059154269443</v>
          </cell>
          <cell r="BY924">
            <v>32.089978791354113</v>
          </cell>
        </row>
        <row r="925">
          <cell r="A925">
            <v>40821</v>
          </cell>
          <cell r="BF925">
            <v>22.582189925217211</v>
          </cell>
          <cell r="BG925">
            <v>45.468715051806292</v>
          </cell>
          <cell r="BH925">
            <v>42.408178994289898</v>
          </cell>
          <cell r="BI925">
            <v>30.406703917126244</v>
          </cell>
          <cell r="BJ925">
            <v>54.409654071453552</v>
          </cell>
          <cell r="BU925">
            <v>10.715362671365533</v>
          </cell>
          <cell r="BV925">
            <v>29.635401891862816</v>
          </cell>
          <cell r="BW925">
            <v>23.901518972811779</v>
          </cell>
          <cell r="BX925">
            <v>15.713059154269443</v>
          </cell>
          <cell r="BY925">
            <v>32.089978791354113</v>
          </cell>
        </row>
        <row r="926">
          <cell r="A926">
            <v>40822</v>
          </cell>
          <cell r="BF926">
            <v>22.537035699169515</v>
          </cell>
          <cell r="BG926">
            <v>45.468715051806292</v>
          </cell>
          <cell r="BH926">
            <v>42.408178994289898</v>
          </cell>
          <cell r="BI926">
            <v>30.406703917126244</v>
          </cell>
          <cell r="BJ926">
            <v>54.409654071453552</v>
          </cell>
          <cell r="BU926">
            <v>10.692379144215288</v>
          </cell>
          <cell r="BV926">
            <v>29.635401891862816</v>
          </cell>
          <cell r="BW926">
            <v>23.901518972811779</v>
          </cell>
          <cell r="BX926">
            <v>15.713059154269443</v>
          </cell>
          <cell r="BY926">
            <v>32.089978791354113</v>
          </cell>
        </row>
        <row r="927">
          <cell r="A927">
            <v>40823</v>
          </cell>
          <cell r="BF927">
            <v>16.484878546808751</v>
          </cell>
          <cell r="BG927">
            <v>45.468715051806292</v>
          </cell>
          <cell r="BH927">
            <v>42.408178994289898</v>
          </cell>
          <cell r="BI927">
            <v>30.406703917126244</v>
          </cell>
          <cell r="BJ927">
            <v>54.409654071453552</v>
          </cell>
          <cell r="BU927">
            <v>7.467626640938807</v>
          </cell>
          <cell r="BV927">
            <v>29.635401891862816</v>
          </cell>
          <cell r="BW927">
            <v>23.901518972811779</v>
          </cell>
          <cell r="BX927">
            <v>15.713059154269443</v>
          </cell>
          <cell r="BY927">
            <v>32.089978791354113</v>
          </cell>
        </row>
        <row r="928">
          <cell r="A928">
            <v>40826</v>
          </cell>
          <cell r="BF928">
            <v>18.574759634770444</v>
          </cell>
          <cell r="BG928">
            <v>45.468715051806292</v>
          </cell>
          <cell r="BH928">
            <v>42.408178994289898</v>
          </cell>
          <cell r="BI928">
            <v>30.406703917126244</v>
          </cell>
          <cell r="BJ928">
            <v>54.409654071453552</v>
          </cell>
          <cell r="BU928">
            <v>8.253949836501759</v>
          </cell>
          <cell r="BV928">
            <v>29.635401891862816</v>
          </cell>
          <cell r="BW928">
            <v>23.901518972811779</v>
          </cell>
          <cell r="BX928">
            <v>15.713059154269443</v>
          </cell>
          <cell r="BY928">
            <v>32.089978791354113</v>
          </cell>
        </row>
        <row r="929">
          <cell r="A929">
            <v>40827</v>
          </cell>
          <cell r="BF929">
            <v>18.378424569085595</v>
          </cell>
          <cell r="BG929">
            <v>45.468715051806292</v>
          </cell>
          <cell r="BH929">
            <v>42.408178994289898</v>
          </cell>
          <cell r="BI929">
            <v>30.406703917126244</v>
          </cell>
          <cell r="BJ929">
            <v>54.409654071453552</v>
          </cell>
          <cell r="BU929">
            <v>8.1567805467888235</v>
          </cell>
          <cell r="BV929">
            <v>29.635401891862816</v>
          </cell>
          <cell r="BW929">
            <v>23.901518972811779</v>
          </cell>
          <cell r="BX929">
            <v>15.713059154269443</v>
          </cell>
          <cell r="BY929">
            <v>32.089978791354113</v>
          </cell>
        </row>
        <row r="930">
          <cell r="A930">
            <v>40828</v>
          </cell>
          <cell r="BF930">
            <v>18.259222113018634</v>
          </cell>
          <cell r="BG930">
            <v>45.468715051806292</v>
          </cell>
          <cell r="BH930">
            <v>42.408178994289898</v>
          </cell>
          <cell r="BI930">
            <v>30.406703917126244</v>
          </cell>
          <cell r="BJ930">
            <v>54.409654071453552</v>
          </cell>
          <cell r="BU930">
            <v>8.0977771556111424</v>
          </cell>
          <cell r="BV930">
            <v>29.635401891862816</v>
          </cell>
          <cell r="BW930">
            <v>23.901518972811779</v>
          </cell>
          <cell r="BX930">
            <v>15.713059154269443</v>
          </cell>
          <cell r="BY930">
            <v>32.089978791354113</v>
          </cell>
        </row>
        <row r="931">
          <cell r="A931">
            <v>40829</v>
          </cell>
          <cell r="BF931">
            <v>19.265995451380856</v>
          </cell>
          <cell r="BG931">
            <v>45.468715051806292</v>
          </cell>
          <cell r="BH931">
            <v>42.408178994289898</v>
          </cell>
          <cell r="BI931">
            <v>30.406703917126244</v>
          </cell>
          <cell r="BJ931">
            <v>54.409654071453552</v>
          </cell>
          <cell r="BU931">
            <v>8.4830044171283348</v>
          </cell>
          <cell r="BV931">
            <v>29.635401891862816</v>
          </cell>
          <cell r="BW931">
            <v>23.901518972811779</v>
          </cell>
          <cell r="BX931">
            <v>15.713059154269443</v>
          </cell>
          <cell r="BY931">
            <v>32.089978791354113</v>
          </cell>
        </row>
        <row r="932">
          <cell r="A932">
            <v>40830</v>
          </cell>
          <cell r="BF932">
            <v>19.095684723566013</v>
          </cell>
          <cell r="BG932">
            <v>45.468715051806292</v>
          </cell>
          <cell r="BH932">
            <v>42.408178994289898</v>
          </cell>
          <cell r="BI932">
            <v>30.406703917126244</v>
          </cell>
          <cell r="BJ932">
            <v>54.409654071453552</v>
          </cell>
          <cell r="BU932">
            <v>8.3997170182259602</v>
          </cell>
          <cell r="BV932">
            <v>29.635401891862816</v>
          </cell>
          <cell r="BW932">
            <v>23.901518972811779</v>
          </cell>
          <cell r="BX932">
            <v>15.713059154269443</v>
          </cell>
          <cell r="BY932">
            <v>32.089978791354113</v>
          </cell>
        </row>
        <row r="933">
          <cell r="A933">
            <v>40833</v>
          </cell>
          <cell r="BF933">
            <v>19.339723660042214</v>
          </cell>
          <cell r="BG933">
            <v>45.468715051806292</v>
          </cell>
          <cell r="BH933">
            <v>42.408178994289898</v>
          </cell>
          <cell r="BI933">
            <v>30.406703917126244</v>
          </cell>
          <cell r="BJ933">
            <v>54.409654071453552</v>
          </cell>
          <cell r="BU933">
            <v>8.2918592475717823</v>
          </cell>
          <cell r="BV933">
            <v>29.635401891862816</v>
          </cell>
          <cell r="BW933">
            <v>23.901518972811779</v>
          </cell>
          <cell r="BX933">
            <v>15.713059154269443</v>
          </cell>
          <cell r="BY933">
            <v>32.089978791354113</v>
          </cell>
        </row>
        <row r="934">
          <cell r="A934">
            <v>40834</v>
          </cell>
          <cell r="BF934">
            <v>19.134107655444005</v>
          </cell>
          <cell r="BG934">
            <v>45.468715051806292</v>
          </cell>
          <cell r="BH934">
            <v>42.408178994289898</v>
          </cell>
          <cell r="BI934">
            <v>30.406703917126244</v>
          </cell>
          <cell r="BJ934">
            <v>54.409654071453552</v>
          </cell>
          <cell r="BU934">
            <v>8.2432160404163159</v>
          </cell>
          <cell r="BV934">
            <v>29.635401891862816</v>
          </cell>
          <cell r="BW934">
            <v>23.901518972811779</v>
          </cell>
          <cell r="BX934">
            <v>15.713059154269443</v>
          </cell>
          <cell r="BY934">
            <v>32.089978791354113</v>
          </cell>
        </row>
        <row r="935">
          <cell r="A935">
            <v>40835</v>
          </cell>
          <cell r="BF935">
            <v>18.832331840016693</v>
          </cell>
          <cell r="BG935">
            <v>45.468715051806292</v>
          </cell>
          <cell r="BH935">
            <v>42.408178994289898</v>
          </cell>
          <cell r="BI935">
            <v>30.406703917126244</v>
          </cell>
          <cell r="BJ935">
            <v>54.409654071453552</v>
          </cell>
          <cell r="BU935">
            <v>8.0982708487375614</v>
          </cell>
          <cell r="BV935">
            <v>29.635401891862816</v>
          </cell>
          <cell r="BW935">
            <v>23.901518972811779</v>
          </cell>
          <cell r="BX935">
            <v>15.713059154269443</v>
          </cell>
          <cell r="BY935">
            <v>32.089978791354113</v>
          </cell>
        </row>
        <row r="936">
          <cell r="A936">
            <v>40836</v>
          </cell>
          <cell r="BF936">
            <v>19.328110191809976</v>
          </cell>
          <cell r="BG936">
            <v>45.468715051806292</v>
          </cell>
          <cell r="BH936">
            <v>42.408178994289898</v>
          </cell>
          <cell r="BI936">
            <v>30.406703917126244</v>
          </cell>
          <cell r="BJ936">
            <v>54.409654071453552</v>
          </cell>
          <cell r="BU936">
            <v>8.3364046328586827</v>
          </cell>
          <cell r="BV936">
            <v>29.635401891862816</v>
          </cell>
          <cell r="BW936">
            <v>23.901518972811779</v>
          </cell>
          <cell r="BX936">
            <v>15.713059154269443</v>
          </cell>
          <cell r="BY936">
            <v>32.089978791354113</v>
          </cell>
        </row>
        <row r="937">
          <cell r="A937">
            <v>40837</v>
          </cell>
          <cell r="BF937">
            <v>19.665448287285891</v>
          </cell>
          <cell r="BG937">
            <v>45.468715051806292</v>
          </cell>
          <cell r="BH937">
            <v>42.408178994289898</v>
          </cell>
          <cell r="BI937">
            <v>30.406703917126244</v>
          </cell>
          <cell r="BJ937">
            <v>54.409654071453552</v>
          </cell>
          <cell r="BU937">
            <v>8.4778997635077342</v>
          </cell>
          <cell r="BV937">
            <v>29.635401891862816</v>
          </cell>
          <cell r="BW937">
            <v>23.901518972811779</v>
          </cell>
          <cell r="BX937">
            <v>15.713059154269443</v>
          </cell>
          <cell r="BY937">
            <v>32.089978791354113</v>
          </cell>
        </row>
        <row r="938">
          <cell r="A938">
            <v>40840</v>
          </cell>
          <cell r="BF938">
            <v>20.680755798465263</v>
          </cell>
          <cell r="BG938">
            <v>45.468715051806292</v>
          </cell>
          <cell r="BH938">
            <v>42.408178994289898</v>
          </cell>
          <cell r="BI938">
            <v>30.406703917126244</v>
          </cell>
          <cell r="BJ938">
            <v>54.409654071453552</v>
          </cell>
          <cell r="BU938">
            <v>8.9645146729436771</v>
          </cell>
          <cell r="BV938">
            <v>29.635401891862816</v>
          </cell>
          <cell r="BW938">
            <v>23.901518972811779</v>
          </cell>
          <cell r="BX938">
            <v>15.713059154269443</v>
          </cell>
          <cell r="BY938">
            <v>32.089978791354113</v>
          </cell>
        </row>
        <row r="939">
          <cell r="A939">
            <v>40841</v>
          </cell>
          <cell r="BF939">
            <v>22.17852858367203</v>
          </cell>
          <cell r="BG939">
            <v>45.468715051806292</v>
          </cell>
          <cell r="BH939">
            <v>42.408178994289898</v>
          </cell>
          <cell r="BI939">
            <v>30.406703917126244</v>
          </cell>
          <cell r="BJ939">
            <v>54.409654071453552</v>
          </cell>
          <cell r="BU939">
            <v>9.938964166439499</v>
          </cell>
          <cell r="BV939">
            <v>29.635401891862816</v>
          </cell>
          <cell r="BW939">
            <v>23.901518972811779</v>
          </cell>
          <cell r="BX939">
            <v>15.713059154269443</v>
          </cell>
          <cell r="BY939">
            <v>32.089978791354113</v>
          </cell>
        </row>
        <row r="940">
          <cell r="A940">
            <v>40842</v>
          </cell>
          <cell r="BF940">
            <v>21.878779407208679</v>
          </cell>
          <cell r="BG940">
            <v>45.468715051806292</v>
          </cell>
          <cell r="BH940">
            <v>42.408178994289898</v>
          </cell>
          <cell r="BI940">
            <v>30.406703917126244</v>
          </cell>
          <cell r="BJ940">
            <v>54.409654071453552</v>
          </cell>
          <cell r="BU940">
            <v>9.8162424805628525</v>
          </cell>
          <cell r="BV940">
            <v>29.635401891862816</v>
          </cell>
          <cell r="BW940">
            <v>23.901518972811779</v>
          </cell>
          <cell r="BX940">
            <v>15.713059154269443</v>
          </cell>
          <cell r="BY940">
            <v>32.089978791354113</v>
          </cell>
        </row>
        <row r="941">
          <cell r="A941">
            <v>40843</v>
          </cell>
          <cell r="BF941">
            <v>22.914782792200874</v>
          </cell>
          <cell r="BG941">
            <v>45.468715051806292</v>
          </cell>
          <cell r="BH941">
            <v>42.408178994289898</v>
          </cell>
          <cell r="BI941">
            <v>30.406703917126244</v>
          </cell>
          <cell r="BJ941">
            <v>54.409654071453552</v>
          </cell>
          <cell r="BU941">
            <v>10.472740364062838</v>
          </cell>
          <cell r="BV941">
            <v>29.635401891862816</v>
          </cell>
          <cell r="BW941">
            <v>23.901518972811779</v>
          </cell>
          <cell r="BX941">
            <v>15.713059154269443</v>
          </cell>
          <cell r="BY941">
            <v>32.089978791354113</v>
          </cell>
        </row>
        <row r="942">
          <cell r="A942">
            <v>40844</v>
          </cell>
          <cell r="BF942">
            <v>23.395056838236677</v>
          </cell>
          <cell r="BG942">
            <v>45.468715051806292</v>
          </cell>
          <cell r="BH942">
            <v>42.408178994289898</v>
          </cell>
          <cell r="BI942">
            <v>30.406703917126244</v>
          </cell>
          <cell r="BJ942">
            <v>54.409654071453552</v>
          </cell>
          <cell r="BU942">
            <v>10.713201179039348</v>
          </cell>
          <cell r="BV942">
            <v>29.635401891862816</v>
          </cell>
          <cell r="BW942">
            <v>23.901518972811779</v>
          </cell>
          <cell r="BX942">
            <v>15.713059154269443</v>
          </cell>
          <cell r="BY942">
            <v>32.089978791354113</v>
          </cell>
        </row>
        <row r="943">
          <cell r="A943">
            <v>40847</v>
          </cell>
          <cell r="BF943">
            <v>22.349519178719191</v>
          </cell>
          <cell r="BG943">
            <v>45.468715051806292</v>
          </cell>
          <cell r="BH943">
            <v>42.408178994289898</v>
          </cell>
          <cell r="BI943">
            <v>30.406703917126244</v>
          </cell>
          <cell r="BJ943">
            <v>54.409654071453552</v>
          </cell>
          <cell r="BU943">
            <v>10.259732046386473</v>
          </cell>
          <cell r="BV943">
            <v>29.635401891862816</v>
          </cell>
          <cell r="BW943">
            <v>23.901518972811779</v>
          </cell>
          <cell r="BX943">
            <v>15.713059154269443</v>
          </cell>
          <cell r="BY943">
            <v>32.089978791354113</v>
          </cell>
        </row>
        <row r="944">
          <cell r="A944">
            <v>40848</v>
          </cell>
          <cell r="BF944">
            <v>21.914067126901298</v>
          </cell>
          <cell r="BG944">
            <v>45.468715051806292</v>
          </cell>
          <cell r="BH944">
            <v>42.408178994289898</v>
          </cell>
          <cell r="BI944">
            <v>30.406703917126244</v>
          </cell>
          <cell r="BJ944">
            <v>54.409654071453552</v>
          </cell>
          <cell r="BU944">
            <v>10.101443443884145</v>
          </cell>
          <cell r="BV944">
            <v>29.635401891862816</v>
          </cell>
          <cell r="BW944">
            <v>23.901518972811779</v>
          </cell>
          <cell r="BX944">
            <v>15.713059154269443</v>
          </cell>
          <cell r="BY944">
            <v>32.089978791354113</v>
          </cell>
        </row>
        <row r="945">
          <cell r="A945">
            <v>40849</v>
          </cell>
          <cell r="BF945">
            <v>21.813014069835781</v>
          </cell>
          <cell r="BG945">
            <v>45.468715051806292</v>
          </cell>
          <cell r="BH945">
            <v>42.408178994289898</v>
          </cell>
          <cell r="BI945">
            <v>30.406703917126244</v>
          </cell>
          <cell r="BJ945">
            <v>54.409654071453552</v>
          </cell>
          <cell r="BU945">
            <v>10.050234005837012</v>
          </cell>
          <cell r="BV945">
            <v>29.635401891862816</v>
          </cell>
          <cell r="BW945">
            <v>23.901518972811779</v>
          </cell>
          <cell r="BX945">
            <v>15.713059154269443</v>
          </cell>
          <cell r="BY945">
            <v>32.089978791354113</v>
          </cell>
        </row>
        <row r="946">
          <cell r="A946">
            <v>40850</v>
          </cell>
          <cell r="BF946">
            <v>22.152265062170819</v>
          </cell>
          <cell r="BG946">
            <v>45.468715051806292</v>
          </cell>
          <cell r="BH946">
            <v>42.408178994289898</v>
          </cell>
          <cell r="BI946">
            <v>30.406703917126244</v>
          </cell>
          <cell r="BJ946">
            <v>54.409654071453552</v>
          </cell>
          <cell r="BU946">
            <v>10.222152050454392</v>
          </cell>
          <cell r="BV946">
            <v>29.635401891862816</v>
          </cell>
          <cell r="BW946">
            <v>23.901518972811779</v>
          </cell>
          <cell r="BX946">
            <v>15.713059154269443</v>
          </cell>
          <cell r="BY946">
            <v>32.089978791354113</v>
          </cell>
        </row>
        <row r="947">
          <cell r="A947">
            <v>40851</v>
          </cell>
          <cell r="BF947">
            <v>23.65362621075926</v>
          </cell>
          <cell r="BG947">
            <v>45.468715051806292</v>
          </cell>
          <cell r="BH947">
            <v>42.408178994289898</v>
          </cell>
          <cell r="BI947">
            <v>30.406703917126244</v>
          </cell>
          <cell r="BJ947">
            <v>54.409654071453552</v>
          </cell>
          <cell r="BU947">
            <v>10.983004235826749</v>
          </cell>
          <cell r="BV947">
            <v>29.635401891862816</v>
          </cell>
          <cell r="BW947">
            <v>23.901518972811779</v>
          </cell>
          <cell r="BX947">
            <v>15.713059154269443</v>
          </cell>
          <cell r="BY947">
            <v>32.089978791354113</v>
          </cell>
        </row>
        <row r="948">
          <cell r="A948">
            <v>40854</v>
          </cell>
          <cell r="BF948">
            <v>23.631972706052775</v>
          </cell>
          <cell r="BG948">
            <v>45.468715051806292</v>
          </cell>
          <cell r="BH948">
            <v>42.408178994289898</v>
          </cell>
          <cell r="BI948">
            <v>30.406703917126244</v>
          </cell>
          <cell r="BJ948">
            <v>54.409654071453552</v>
          </cell>
          <cell r="BU948">
            <v>10.993061811444713</v>
          </cell>
          <cell r="BV948">
            <v>29.635401891862816</v>
          </cell>
          <cell r="BW948">
            <v>23.901518972811779</v>
          </cell>
          <cell r="BX948">
            <v>15.713059154269443</v>
          </cell>
          <cell r="BY948">
            <v>32.089978791354113</v>
          </cell>
        </row>
        <row r="949">
          <cell r="A949">
            <v>40855</v>
          </cell>
          <cell r="BF949">
            <v>24.06572744875708</v>
          </cell>
          <cell r="BG949">
            <v>45.468715051806292</v>
          </cell>
          <cell r="BH949">
            <v>42.408178994289898</v>
          </cell>
          <cell r="BI949">
            <v>30.406703917126244</v>
          </cell>
          <cell r="BJ949">
            <v>54.409654071453552</v>
          </cell>
          <cell r="BU949">
            <v>11.212963759358525</v>
          </cell>
          <cell r="BV949">
            <v>29.635401891862816</v>
          </cell>
          <cell r="BW949">
            <v>23.901518972811779</v>
          </cell>
          <cell r="BX949">
            <v>15.713059154269443</v>
          </cell>
          <cell r="BY949">
            <v>32.089978791354113</v>
          </cell>
        </row>
        <row r="950">
          <cell r="A950">
            <v>40856</v>
          </cell>
          <cell r="BF950">
            <v>23.141788941243671</v>
          </cell>
          <cell r="BG950">
            <v>45.468715051806292</v>
          </cell>
          <cell r="BH950">
            <v>42.408178994289898</v>
          </cell>
          <cell r="BI950">
            <v>30.406703917126244</v>
          </cell>
          <cell r="BJ950">
            <v>54.409654071453552</v>
          </cell>
          <cell r="BU950">
            <v>10.743849864722973</v>
          </cell>
          <cell r="BV950">
            <v>29.635401891862816</v>
          </cell>
          <cell r="BW950">
            <v>23.901518972811779</v>
          </cell>
          <cell r="BX950">
            <v>15.713059154269443</v>
          </cell>
          <cell r="BY950">
            <v>32.089978791354113</v>
          </cell>
        </row>
        <row r="951">
          <cell r="A951">
            <v>40857</v>
          </cell>
          <cell r="BF951">
            <v>22.658165944540571</v>
          </cell>
          <cell r="BG951">
            <v>45.468715051806292</v>
          </cell>
          <cell r="BH951">
            <v>42.408178994289898</v>
          </cell>
          <cell r="BI951">
            <v>30.406703917126244</v>
          </cell>
          <cell r="BJ951">
            <v>54.409654071453552</v>
          </cell>
          <cell r="BU951">
            <v>10.49829714097844</v>
          </cell>
          <cell r="BV951">
            <v>29.635401891862816</v>
          </cell>
          <cell r="BW951">
            <v>23.901518972811779</v>
          </cell>
          <cell r="BX951">
            <v>15.713059154269443</v>
          </cell>
          <cell r="BY951">
            <v>32.089978791354113</v>
          </cell>
        </row>
        <row r="952">
          <cell r="A952">
            <v>40858</v>
          </cell>
          <cell r="BF952">
            <v>22.946892622744475</v>
          </cell>
          <cell r="BG952">
            <v>45.468715051806292</v>
          </cell>
          <cell r="BH952">
            <v>42.408178994289898</v>
          </cell>
          <cell r="BI952">
            <v>30.406703917126244</v>
          </cell>
          <cell r="BJ952">
            <v>54.409654071453552</v>
          </cell>
          <cell r="BU952">
            <v>10.644896025254964</v>
          </cell>
          <cell r="BV952">
            <v>29.635401891862816</v>
          </cell>
          <cell r="BW952">
            <v>23.901518972811779</v>
          </cell>
          <cell r="BX952">
            <v>15.713059154269443</v>
          </cell>
          <cell r="BY952">
            <v>32.089978791354113</v>
          </cell>
        </row>
        <row r="953">
          <cell r="A953">
            <v>40861</v>
          </cell>
          <cell r="BF953">
            <v>23.004640268233331</v>
          </cell>
          <cell r="BG953">
            <v>45.468715051806292</v>
          </cell>
          <cell r="BH953">
            <v>42.408178994289898</v>
          </cell>
          <cell r="BI953">
            <v>30.406703917126244</v>
          </cell>
          <cell r="BJ953">
            <v>54.409654071453552</v>
          </cell>
          <cell r="BU953">
            <v>10.687419690226589</v>
          </cell>
          <cell r="BV953">
            <v>29.635401891862816</v>
          </cell>
          <cell r="BW953">
            <v>23.901518972811779</v>
          </cell>
          <cell r="BX953">
            <v>15.713059154269443</v>
          </cell>
          <cell r="BY953">
            <v>32.089978791354113</v>
          </cell>
        </row>
        <row r="954">
          <cell r="A954">
            <v>40862</v>
          </cell>
          <cell r="BF954">
            <v>23.069601857986271</v>
          </cell>
          <cell r="BG954">
            <v>45.468715051806292</v>
          </cell>
          <cell r="BH954">
            <v>42.408178994289898</v>
          </cell>
          <cell r="BI954">
            <v>30.406703917126244</v>
          </cell>
          <cell r="BJ954">
            <v>54.409654071453552</v>
          </cell>
          <cell r="BU954">
            <v>10.720443296106822</v>
          </cell>
          <cell r="BV954">
            <v>29.635401891862816</v>
          </cell>
          <cell r="BW954">
            <v>23.901518972811779</v>
          </cell>
          <cell r="BX954">
            <v>15.713059154269443</v>
          </cell>
          <cell r="BY954">
            <v>32.089978791354113</v>
          </cell>
        </row>
        <row r="955">
          <cell r="A955">
            <v>40863</v>
          </cell>
          <cell r="BF955">
            <v>22.116154979207309</v>
          </cell>
          <cell r="BG955">
            <v>45.468715051806292</v>
          </cell>
          <cell r="BH955">
            <v>42.408178994289898</v>
          </cell>
          <cell r="BI955">
            <v>30.406703917126244</v>
          </cell>
          <cell r="BJ955">
            <v>54.409654071453552</v>
          </cell>
          <cell r="BU955">
            <v>10.232398577710645</v>
          </cell>
          <cell r="BV955">
            <v>29.635401891862816</v>
          </cell>
          <cell r="BW955">
            <v>23.901518972811779</v>
          </cell>
          <cell r="BX955">
            <v>15.713059154269443</v>
          </cell>
          <cell r="BY955">
            <v>32.089978791354113</v>
          </cell>
        </row>
        <row r="956">
          <cell r="A956">
            <v>40864</v>
          </cell>
          <cell r="BF956">
            <v>21.71902943045496</v>
          </cell>
          <cell r="BG956">
            <v>45.468715051806292</v>
          </cell>
          <cell r="BH956">
            <v>42.408178994289898</v>
          </cell>
          <cell r="BI956">
            <v>30.406703917126244</v>
          </cell>
          <cell r="BJ956">
            <v>54.409654071453552</v>
          </cell>
          <cell r="BU956">
            <v>10.030582616804725</v>
          </cell>
          <cell r="BV956">
            <v>29.635401891862816</v>
          </cell>
          <cell r="BW956">
            <v>23.901518972811779</v>
          </cell>
          <cell r="BX956">
            <v>15.713059154269443</v>
          </cell>
          <cell r="BY956">
            <v>32.089978791354113</v>
          </cell>
        </row>
        <row r="957">
          <cell r="A957">
            <v>40865</v>
          </cell>
          <cell r="BF957">
            <v>21.040318853976153</v>
          </cell>
          <cell r="BG957">
            <v>45.468715051806292</v>
          </cell>
          <cell r="BH957">
            <v>42.408178994289898</v>
          </cell>
          <cell r="BI957">
            <v>30.406703917126244</v>
          </cell>
          <cell r="BJ957">
            <v>54.409654071453552</v>
          </cell>
          <cell r="BU957">
            <v>9.6856525793186137</v>
          </cell>
          <cell r="BV957">
            <v>29.635401891862816</v>
          </cell>
          <cell r="BW957">
            <v>23.901518972811779</v>
          </cell>
          <cell r="BX957">
            <v>15.713059154269443</v>
          </cell>
          <cell r="BY957">
            <v>32.089978791354113</v>
          </cell>
        </row>
        <row r="958">
          <cell r="A958">
            <v>40868</v>
          </cell>
          <cell r="BF958">
            <v>20.506003061462238</v>
          </cell>
          <cell r="BG958">
            <v>45.468715051806292</v>
          </cell>
          <cell r="BH958">
            <v>42.408178994289898</v>
          </cell>
          <cell r="BI958">
            <v>30.406703917126244</v>
          </cell>
          <cell r="BJ958">
            <v>54.409654071453552</v>
          </cell>
          <cell r="BU958">
            <v>9.4141147788627713</v>
          </cell>
          <cell r="BV958">
            <v>29.635401891862816</v>
          </cell>
          <cell r="BW958">
            <v>23.901518972811779</v>
          </cell>
          <cell r="BX958">
            <v>15.713059154269443</v>
          </cell>
          <cell r="BY958">
            <v>32.089978791354113</v>
          </cell>
        </row>
        <row r="959">
          <cell r="A959">
            <v>40869</v>
          </cell>
          <cell r="BF959">
            <v>20.007792282811543</v>
          </cell>
          <cell r="BG959">
            <v>45.468715051806292</v>
          </cell>
          <cell r="BH959">
            <v>42.408178994289898</v>
          </cell>
          <cell r="BI959">
            <v>30.406703917126244</v>
          </cell>
          <cell r="BJ959">
            <v>54.409654071453552</v>
          </cell>
          <cell r="BU959">
            <v>9.1609217138501968</v>
          </cell>
          <cell r="BV959">
            <v>29.635401891862816</v>
          </cell>
          <cell r="BW959">
            <v>23.901518972811779</v>
          </cell>
          <cell r="BX959">
            <v>15.713059154269443</v>
          </cell>
          <cell r="BY959">
            <v>32.089978791354113</v>
          </cell>
        </row>
        <row r="960">
          <cell r="A960">
            <v>40870</v>
          </cell>
          <cell r="BF960">
            <v>19.60344991913313</v>
          </cell>
          <cell r="BG960">
            <v>45.468715051806292</v>
          </cell>
          <cell r="BH960">
            <v>42.408178994289898</v>
          </cell>
          <cell r="BI960">
            <v>30.406703917126244</v>
          </cell>
          <cell r="BJ960">
            <v>54.409654071453552</v>
          </cell>
          <cell r="BU960">
            <v>8.9533407497541031</v>
          </cell>
          <cell r="BV960">
            <v>29.635401891862816</v>
          </cell>
          <cell r="BW960">
            <v>23.901518972811779</v>
          </cell>
          <cell r="BX960">
            <v>15.713059154269443</v>
          </cell>
          <cell r="BY960">
            <v>32.089978791354113</v>
          </cell>
        </row>
        <row r="961">
          <cell r="A961">
            <v>40871</v>
          </cell>
          <cell r="BF961">
            <v>19.60344991913313</v>
          </cell>
          <cell r="BG961">
            <v>45.468715051806292</v>
          </cell>
          <cell r="BH961">
            <v>42.408178994289898</v>
          </cell>
          <cell r="BI961">
            <v>30.406703917126244</v>
          </cell>
          <cell r="BJ961">
            <v>54.409654071453552</v>
          </cell>
          <cell r="BU961">
            <v>8.9533407497541031</v>
          </cell>
          <cell r="BV961">
            <v>29.635401891862816</v>
          </cell>
          <cell r="BW961">
            <v>23.901518972811779</v>
          </cell>
          <cell r="BX961">
            <v>15.713059154269443</v>
          </cell>
          <cell r="BY961">
            <v>32.089978791354113</v>
          </cell>
        </row>
        <row r="962">
          <cell r="A962">
            <v>40872</v>
          </cell>
          <cell r="BF962">
            <v>19.711751963957539</v>
          </cell>
          <cell r="BG962">
            <v>45.468715051806292</v>
          </cell>
          <cell r="BH962">
            <v>42.408178994289898</v>
          </cell>
          <cell r="BI962">
            <v>30.406703917126244</v>
          </cell>
          <cell r="BJ962">
            <v>54.409654071453552</v>
          </cell>
          <cell r="BU962">
            <v>9.0083660539443855</v>
          </cell>
          <cell r="BV962">
            <v>29.635401891862816</v>
          </cell>
          <cell r="BW962">
            <v>23.901518972811779</v>
          </cell>
          <cell r="BX962">
            <v>15.713059154269443</v>
          </cell>
          <cell r="BY962">
            <v>32.089978791354113</v>
          </cell>
        </row>
        <row r="963">
          <cell r="A963">
            <v>40875</v>
          </cell>
          <cell r="BF963">
            <v>19.531853363280703</v>
          </cell>
          <cell r="BG963">
            <v>45.468715051806292</v>
          </cell>
          <cell r="BH963">
            <v>42.408178994289898</v>
          </cell>
          <cell r="BI963">
            <v>30.406703917126244</v>
          </cell>
          <cell r="BJ963">
            <v>54.409654071453552</v>
          </cell>
          <cell r="BU963">
            <v>8.9103008256401406</v>
          </cell>
          <cell r="BV963">
            <v>29.635401891862816</v>
          </cell>
          <cell r="BW963">
            <v>23.901518972811779</v>
          </cell>
          <cell r="BX963">
            <v>15.713059154269443</v>
          </cell>
          <cell r="BY963">
            <v>32.089978791354113</v>
          </cell>
        </row>
        <row r="964">
          <cell r="A964">
            <v>40876</v>
          </cell>
          <cell r="BF964">
            <v>19.438119923720215</v>
          </cell>
          <cell r="BG964">
            <v>45.468715051806292</v>
          </cell>
          <cell r="BH964">
            <v>42.408178994289898</v>
          </cell>
          <cell r="BI964">
            <v>30.406703917126244</v>
          </cell>
          <cell r="BJ964">
            <v>54.409654071453552</v>
          </cell>
          <cell r="BU964">
            <v>8.8627214601421827</v>
          </cell>
          <cell r="BV964">
            <v>29.635401891862816</v>
          </cell>
          <cell r="BW964">
            <v>23.901518972811779</v>
          </cell>
          <cell r="BX964">
            <v>15.713059154269443</v>
          </cell>
          <cell r="BY964">
            <v>32.089978791354113</v>
          </cell>
        </row>
        <row r="965">
          <cell r="A965">
            <v>40877</v>
          </cell>
          <cell r="BF965">
            <v>20.038939563831953</v>
          </cell>
          <cell r="BG965">
            <v>45.468715051806292</v>
          </cell>
          <cell r="BH965">
            <v>42.408178994289898</v>
          </cell>
          <cell r="BI965">
            <v>30.406703917126244</v>
          </cell>
          <cell r="BJ965">
            <v>54.409654071453552</v>
          </cell>
          <cell r="BU965">
            <v>9.1746174818601443</v>
          </cell>
          <cell r="BV965">
            <v>29.635401891862816</v>
          </cell>
          <cell r="BW965">
            <v>23.901518972811779</v>
          </cell>
          <cell r="BX965">
            <v>15.713059154269443</v>
          </cell>
          <cell r="BY965">
            <v>32.089978791354113</v>
          </cell>
        </row>
        <row r="966">
          <cell r="A966">
            <v>40878</v>
          </cell>
          <cell r="BF966">
            <v>19.901552093795186</v>
          </cell>
          <cell r="BG966">
            <v>45.468715051806292</v>
          </cell>
          <cell r="BH966">
            <v>42.408178994289898</v>
          </cell>
          <cell r="BI966">
            <v>30.406703917126244</v>
          </cell>
          <cell r="BJ966">
            <v>54.409654071453552</v>
          </cell>
          <cell r="BU966">
            <v>9.1549405766399765</v>
          </cell>
          <cell r="BV966">
            <v>29.635401891862816</v>
          </cell>
          <cell r="BW966">
            <v>23.901518972811779</v>
          </cell>
          <cell r="BX966">
            <v>15.713059154269443</v>
          </cell>
          <cell r="BY966">
            <v>32.089978791354113</v>
          </cell>
        </row>
        <row r="967">
          <cell r="A967">
            <v>40879</v>
          </cell>
          <cell r="BF967">
            <v>19.787592509491351</v>
          </cell>
          <cell r="BG967">
            <v>45.468715051806292</v>
          </cell>
          <cell r="BH967">
            <v>42.408178994289898</v>
          </cell>
          <cell r="BI967">
            <v>30.406703917126244</v>
          </cell>
          <cell r="BJ967">
            <v>54.409654071453552</v>
          </cell>
          <cell r="BU967">
            <v>9.0968107069764095</v>
          </cell>
          <cell r="BV967">
            <v>29.635401891862816</v>
          </cell>
          <cell r="BW967">
            <v>23.901518972811779</v>
          </cell>
          <cell r="BX967">
            <v>15.713059154269443</v>
          </cell>
          <cell r="BY967">
            <v>32.089978791354113</v>
          </cell>
        </row>
        <row r="968">
          <cell r="A968">
            <v>40882</v>
          </cell>
          <cell r="BF968">
            <v>20.969996652207051</v>
          </cell>
          <cell r="BG968">
            <v>45.468715051806292</v>
          </cell>
          <cell r="BH968">
            <v>42.408178994289898</v>
          </cell>
          <cell r="BI968">
            <v>30.406703917126244</v>
          </cell>
          <cell r="BJ968">
            <v>54.409654071453552</v>
          </cell>
          <cell r="BU968">
            <v>9.6999808504781395</v>
          </cell>
          <cell r="BV968">
            <v>29.635401891862816</v>
          </cell>
          <cell r="BW968">
            <v>23.901518972811779</v>
          </cell>
          <cell r="BX968">
            <v>15.713059154269443</v>
          </cell>
          <cell r="BY968">
            <v>32.089978791354113</v>
          </cell>
        </row>
        <row r="969">
          <cell r="A969">
            <v>40883</v>
          </cell>
          <cell r="BF969">
            <v>21.176568298537656</v>
          </cell>
          <cell r="BG969">
            <v>45.468715051806292</v>
          </cell>
          <cell r="BH969">
            <v>42.408178994289898</v>
          </cell>
          <cell r="BI969">
            <v>30.406703917126244</v>
          </cell>
          <cell r="BJ969">
            <v>54.409654071453552</v>
          </cell>
          <cell r="BU969">
            <v>9.8053570787404389</v>
          </cell>
          <cell r="BV969">
            <v>29.635401891862816</v>
          </cell>
          <cell r="BW969">
            <v>23.901518972811779</v>
          </cell>
          <cell r="BX969">
            <v>15.713059154269443</v>
          </cell>
          <cell r="BY969">
            <v>32.089978791354113</v>
          </cell>
        </row>
        <row r="970">
          <cell r="A970">
            <v>40884</v>
          </cell>
          <cell r="BF970">
            <v>21.190817075168635</v>
          </cell>
          <cell r="BG970">
            <v>45.468715051806292</v>
          </cell>
          <cell r="BH970">
            <v>42.408178994289898</v>
          </cell>
          <cell r="BI970">
            <v>30.406703917126244</v>
          </cell>
          <cell r="BJ970">
            <v>54.409654071453552</v>
          </cell>
          <cell r="BU970">
            <v>9.812627912821803</v>
          </cell>
          <cell r="BV970">
            <v>29.635401891862816</v>
          </cell>
          <cell r="BW970">
            <v>23.901518972811779</v>
          </cell>
          <cell r="BX970">
            <v>15.713059154269443</v>
          </cell>
          <cell r="BY970">
            <v>32.089978791354113</v>
          </cell>
        </row>
        <row r="971">
          <cell r="A971">
            <v>40885</v>
          </cell>
          <cell r="BF971">
            <v>20.528376462878676</v>
          </cell>
          <cell r="BG971">
            <v>45.468715051806292</v>
          </cell>
          <cell r="BH971">
            <v>42.408178994289898</v>
          </cell>
          <cell r="BI971">
            <v>30.406703917126244</v>
          </cell>
          <cell r="BJ971">
            <v>54.409654071453552</v>
          </cell>
          <cell r="BU971">
            <v>9.4746986942419777</v>
          </cell>
          <cell r="BV971">
            <v>29.635401891862816</v>
          </cell>
          <cell r="BW971">
            <v>23.901518972811779</v>
          </cell>
          <cell r="BX971">
            <v>15.713059154269443</v>
          </cell>
          <cell r="BY971">
            <v>32.089978791354113</v>
          </cell>
        </row>
        <row r="972">
          <cell r="A972">
            <v>40886</v>
          </cell>
          <cell r="BF972">
            <v>20.207845232244232</v>
          </cell>
          <cell r="BG972">
            <v>45.468715051806292</v>
          </cell>
          <cell r="BH972">
            <v>42.408178994289898</v>
          </cell>
          <cell r="BI972">
            <v>30.406703917126244</v>
          </cell>
          <cell r="BJ972">
            <v>54.409654071453552</v>
          </cell>
          <cell r="BU972">
            <v>9.3111857144566912</v>
          </cell>
          <cell r="BV972">
            <v>29.635401891862816</v>
          </cell>
          <cell r="BW972">
            <v>23.901518972811779</v>
          </cell>
          <cell r="BX972">
            <v>15.713059154269443</v>
          </cell>
          <cell r="BY972">
            <v>32.089978791354113</v>
          </cell>
        </row>
        <row r="973">
          <cell r="A973">
            <v>40889</v>
          </cell>
          <cell r="BF973">
            <v>19.148356373058469</v>
          </cell>
          <cell r="BG973">
            <v>45.468715051806292</v>
          </cell>
          <cell r="BH973">
            <v>42.408178994289898</v>
          </cell>
          <cell r="BI973">
            <v>30.406703917126244</v>
          </cell>
          <cell r="BJ973">
            <v>54.409654071453552</v>
          </cell>
          <cell r="BU973">
            <v>8.7817025162033904</v>
          </cell>
          <cell r="BV973">
            <v>29.635401891862816</v>
          </cell>
          <cell r="BW973">
            <v>23.901518972811779</v>
          </cell>
          <cell r="BX973">
            <v>15.713059154269443</v>
          </cell>
          <cell r="BY973">
            <v>32.089978791354113</v>
          </cell>
        </row>
        <row r="974">
          <cell r="A974">
            <v>40890</v>
          </cell>
          <cell r="BF974">
            <v>18.479230079298414</v>
          </cell>
          <cell r="BG974">
            <v>45.468715051806292</v>
          </cell>
          <cell r="BH974">
            <v>42.408178994289898</v>
          </cell>
          <cell r="BI974">
            <v>30.406703917126244</v>
          </cell>
          <cell r="BJ974">
            <v>54.409654071453552</v>
          </cell>
          <cell r="BU974">
            <v>8.439962878141511</v>
          </cell>
          <cell r="BV974">
            <v>29.635401891862816</v>
          </cell>
          <cell r="BW974">
            <v>23.901518972811779</v>
          </cell>
          <cell r="BX974">
            <v>15.713059154269443</v>
          </cell>
          <cell r="BY974">
            <v>32.089978791354113</v>
          </cell>
        </row>
        <row r="975">
          <cell r="A975">
            <v>40891</v>
          </cell>
          <cell r="BF975">
            <v>19.369023789524636</v>
          </cell>
          <cell r="BG975">
            <v>45.468715051806292</v>
          </cell>
          <cell r="BH975">
            <v>42.408178994289898</v>
          </cell>
          <cell r="BI975">
            <v>30.406703917126244</v>
          </cell>
          <cell r="BJ975">
            <v>54.409654071453552</v>
          </cell>
          <cell r="BU975">
            <v>8.8944002873950314</v>
          </cell>
          <cell r="BV975">
            <v>29.635401891862816</v>
          </cell>
          <cell r="BW975">
            <v>23.901518972811779</v>
          </cell>
          <cell r="BX975">
            <v>15.713059154269443</v>
          </cell>
          <cell r="BY975">
            <v>32.089978791354113</v>
          </cell>
        </row>
        <row r="976">
          <cell r="A976">
            <v>40892</v>
          </cell>
          <cell r="BF976">
            <v>19.264095029563009</v>
          </cell>
          <cell r="BG976">
            <v>45.468715051806292</v>
          </cell>
          <cell r="BH976">
            <v>42.408178994289898</v>
          </cell>
          <cell r="BI976">
            <v>30.406703917126244</v>
          </cell>
          <cell r="BJ976">
            <v>54.409654071453552</v>
          </cell>
          <cell r="BU976">
            <v>8.8541364317886124</v>
          </cell>
          <cell r="BV976">
            <v>29.635401891862816</v>
          </cell>
          <cell r="BW976">
            <v>23.901518972811779</v>
          </cell>
          <cell r="BX976">
            <v>15.713059154269443</v>
          </cell>
          <cell r="BY976">
            <v>32.089978791354113</v>
          </cell>
        </row>
        <row r="977">
          <cell r="A977">
            <v>40893</v>
          </cell>
          <cell r="BF977">
            <v>19.192768652511607</v>
          </cell>
          <cell r="BG977">
            <v>45.468715051806292</v>
          </cell>
          <cell r="BH977">
            <v>42.408178994289898</v>
          </cell>
          <cell r="BI977">
            <v>30.406703917126244</v>
          </cell>
          <cell r="BJ977">
            <v>54.409654071453552</v>
          </cell>
          <cell r="BU977">
            <v>8.8112652078354134</v>
          </cell>
          <cell r="BV977">
            <v>29.635401891862816</v>
          </cell>
          <cell r="BW977">
            <v>23.901518972811779</v>
          </cell>
          <cell r="BX977">
            <v>15.713059154269443</v>
          </cell>
          <cell r="BY977">
            <v>32.089978791354113</v>
          </cell>
        </row>
        <row r="978">
          <cell r="A978">
            <v>40896</v>
          </cell>
          <cell r="BF978">
            <v>18.664992261552396</v>
          </cell>
          <cell r="BG978">
            <v>45.468715051806292</v>
          </cell>
          <cell r="BH978">
            <v>42.408178994289898</v>
          </cell>
          <cell r="BI978">
            <v>30.406703917126244</v>
          </cell>
          <cell r="BJ978">
            <v>54.409654071453552</v>
          </cell>
          <cell r="BU978">
            <v>8.5414469812521752</v>
          </cell>
          <cell r="BV978">
            <v>29.635401891862816</v>
          </cell>
          <cell r="BW978">
            <v>23.901518972811779</v>
          </cell>
          <cell r="BX978">
            <v>15.713059154269443</v>
          </cell>
          <cell r="BY978">
            <v>32.089978791354113</v>
          </cell>
        </row>
        <row r="979">
          <cell r="A979">
            <v>40897</v>
          </cell>
          <cell r="BF979">
            <v>19.116525672406638</v>
          </cell>
          <cell r="BG979">
            <v>45.468715051806292</v>
          </cell>
          <cell r="BH979">
            <v>42.408178994289898</v>
          </cell>
          <cell r="BI979">
            <v>30.406703917126244</v>
          </cell>
          <cell r="BJ979">
            <v>54.409654071453552</v>
          </cell>
          <cell r="BU979">
            <v>8.7383441624731262</v>
          </cell>
          <cell r="BV979">
            <v>29.635401891862816</v>
          </cell>
          <cell r="BW979">
            <v>23.901518972811779</v>
          </cell>
          <cell r="BX979">
            <v>15.713059154269443</v>
          </cell>
          <cell r="BY979">
            <v>32.089978791354113</v>
          </cell>
        </row>
        <row r="980">
          <cell r="A980">
            <v>40898</v>
          </cell>
          <cell r="BF980">
            <v>19.445755858061009</v>
          </cell>
          <cell r="BG980">
            <v>45.468715051806292</v>
          </cell>
          <cell r="BH980">
            <v>42.408178994289898</v>
          </cell>
          <cell r="BI980">
            <v>30.406703917126244</v>
          </cell>
          <cell r="BJ980">
            <v>54.409654071453552</v>
          </cell>
          <cell r="BU980">
            <v>8.9060717245355079</v>
          </cell>
          <cell r="BV980">
            <v>29.635401891862816</v>
          </cell>
          <cell r="BW980">
            <v>23.901518972811779</v>
          </cell>
          <cell r="BX980">
            <v>15.713059154269443</v>
          </cell>
          <cell r="BY980">
            <v>32.089978791354113</v>
          </cell>
        </row>
        <row r="981">
          <cell r="A981">
            <v>40899</v>
          </cell>
          <cell r="BF981">
            <v>20.805594680866292</v>
          </cell>
          <cell r="BG981">
            <v>45.468715051806292</v>
          </cell>
          <cell r="BH981">
            <v>42.408178994289898</v>
          </cell>
          <cell r="BI981">
            <v>30.406703917126244</v>
          </cell>
          <cell r="BJ981">
            <v>54.409654071453552</v>
          </cell>
          <cell r="BU981">
            <v>9.5988524314521442</v>
          </cell>
          <cell r="BV981">
            <v>29.635401891862816</v>
          </cell>
          <cell r="BW981">
            <v>23.901518972811779</v>
          </cell>
          <cell r="BX981">
            <v>15.713059154269443</v>
          </cell>
          <cell r="BY981">
            <v>32.089978791354113</v>
          </cell>
        </row>
        <row r="982">
          <cell r="A982">
            <v>40900</v>
          </cell>
          <cell r="BF982">
            <v>20.82706445656375</v>
          </cell>
          <cell r="BG982">
            <v>45.468715051806292</v>
          </cell>
          <cell r="BH982">
            <v>42.408178994289898</v>
          </cell>
          <cell r="BI982">
            <v>30.406703917126244</v>
          </cell>
          <cell r="BJ982">
            <v>54.409654071453552</v>
          </cell>
          <cell r="BU982">
            <v>9.6097912638266685</v>
          </cell>
          <cell r="BV982">
            <v>29.635401891862816</v>
          </cell>
          <cell r="BW982">
            <v>23.901518972811779</v>
          </cell>
          <cell r="BX982">
            <v>15.713059154269443</v>
          </cell>
          <cell r="BY982">
            <v>32.089978791354113</v>
          </cell>
        </row>
        <row r="983">
          <cell r="A983">
            <v>40903</v>
          </cell>
          <cell r="BF983">
            <v>20.82706445656375</v>
          </cell>
          <cell r="BG983">
            <v>45.468715051806292</v>
          </cell>
          <cell r="BH983">
            <v>42.408178994289898</v>
          </cell>
          <cell r="BI983">
            <v>30.406703917126244</v>
          </cell>
          <cell r="BJ983">
            <v>54.409654071453552</v>
          </cell>
          <cell r="BU983">
            <v>9.6097912638266685</v>
          </cell>
          <cell r="BV983">
            <v>29.635401891862816</v>
          </cell>
          <cell r="BW983">
            <v>23.901518972811779</v>
          </cell>
          <cell r="BX983">
            <v>15.713059154269443</v>
          </cell>
          <cell r="BY983">
            <v>32.089978791354113</v>
          </cell>
        </row>
        <row r="984">
          <cell r="A984">
            <v>40904</v>
          </cell>
          <cell r="BF984">
            <v>21.328057142039192</v>
          </cell>
          <cell r="BG984">
            <v>45.468715051806292</v>
          </cell>
          <cell r="BH984">
            <v>42.408178994289898</v>
          </cell>
          <cell r="BI984">
            <v>30.406703917126244</v>
          </cell>
          <cell r="BJ984">
            <v>54.409654071453552</v>
          </cell>
          <cell r="BU984">
            <v>9.8650270828579316</v>
          </cell>
          <cell r="BV984">
            <v>29.635401891862816</v>
          </cell>
          <cell r="BW984">
            <v>23.901518972811779</v>
          </cell>
          <cell r="BX984">
            <v>15.713059154269443</v>
          </cell>
          <cell r="BY984">
            <v>32.089978791354113</v>
          </cell>
        </row>
        <row r="985">
          <cell r="A985">
            <v>40905</v>
          </cell>
          <cell r="BF985">
            <v>20.998025771283427</v>
          </cell>
          <cell r="BG985">
            <v>45.468715051806292</v>
          </cell>
          <cell r="BH985">
            <v>42.408178994289898</v>
          </cell>
          <cell r="BI985">
            <v>30.406703917126244</v>
          </cell>
          <cell r="BJ985">
            <v>54.409654071453552</v>
          </cell>
          <cell r="BU985">
            <v>9.7301232240010549</v>
          </cell>
          <cell r="BV985">
            <v>29.635401891862816</v>
          </cell>
          <cell r="BW985">
            <v>23.901518972811779</v>
          </cell>
          <cell r="BX985">
            <v>15.713059154269443</v>
          </cell>
          <cell r="BY985">
            <v>32.089978791354113</v>
          </cell>
        </row>
        <row r="986">
          <cell r="A986">
            <v>40906</v>
          </cell>
          <cell r="BF986">
            <v>21.526013156768176</v>
          </cell>
          <cell r="BG986">
            <v>45.468715051806292</v>
          </cell>
          <cell r="BH986">
            <v>42.408178994289898</v>
          </cell>
          <cell r="BI986">
            <v>30.406703917126244</v>
          </cell>
          <cell r="BJ986">
            <v>54.409654071453552</v>
          </cell>
          <cell r="BU986">
            <v>9.9999489569196385</v>
          </cell>
          <cell r="BV986">
            <v>29.635401891862816</v>
          </cell>
          <cell r="BW986">
            <v>23.901518972811779</v>
          </cell>
          <cell r="BX986">
            <v>15.713059154269443</v>
          </cell>
          <cell r="BY986">
            <v>32.089978791354113</v>
          </cell>
        </row>
        <row r="987">
          <cell r="A987">
            <v>40907</v>
          </cell>
          <cell r="BF987">
            <v>21.747193127657756</v>
          </cell>
          <cell r="BG987">
            <v>45.468715051806292</v>
          </cell>
          <cell r="BH987">
            <v>42.408178994289898</v>
          </cell>
          <cell r="BI987">
            <v>30.406703917126244</v>
          </cell>
          <cell r="BJ987">
            <v>54.409654071453552</v>
          </cell>
          <cell r="BU987">
            <v>10.112979654828674</v>
          </cell>
          <cell r="BV987">
            <v>29.635401891862816</v>
          </cell>
          <cell r="BW987">
            <v>23.901518972811779</v>
          </cell>
          <cell r="BX987">
            <v>15.713059154269443</v>
          </cell>
          <cell r="BY987">
            <v>32.089978791354113</v>
          </cell>
        </row>
        <row r="988">
          <cell r="A988">
            <v>40910</v>
          </cell>
          <cell r="BF988">
            <v>21.426597783178583</v>
          </cell>
          <cell r="BG988">
            <v>45.468715051806292</v>
          </cell>
          <cell r="BH988">
            <v>42.408178994289898</v>
          </cell>
          <cell r="BI988">
            <v>30.406703917126244</v>
          </cell>
          <cell r="BJ988">
            <v>54.409654071453552</v>
          </cell>
          <cell r="BU988">
            <v>9.8534591674180732</v>
          </cell>
          <cell r="BV988">
            <v>29.635401891862816</v>
          </cell>
          <cell r="BW988">
            <v>23.901518972811779</v>
          </cell>
          <cell r="BX988">
            <v>15.713059154269443</v>
          </cell>
          <cell r="BY988">
            <v>32.089978791354113</v>
          </cell>
        </row>
        <row r="989">
          <cell r="A989">
            <v>40911</v>
          </cell>
          <cell r="BF989">
            <v>22.274023405396502</v>
          </cell>
          <cell r="BG989">
            <v>45.468715051806292</v>
          </cell>
          <cell r="BH989">
            <v>42.408178994289898</v>
          </cell>
          <cell r="BI989">
            <v>30.406703917126244</v>
          </cell>
          <cell r="BJ989">
            <v>54.409654071453552</v>
          </cell>
          <cell r="BU989">
            <v>10.339876595188004</v>
          </cell>
          <cell r="BV989">
            <v>29.635401891862816</v>
          </cell>
          <cell r="BW989">
            <v>23.901518972811779</v>
          </cell>
          <cell r="BX989">
            <v>15.713059154269443</v>
          </cell>
          <cell r="BY989">
            <v>32.089978791354113</v>
          </cell>
        </row>
        <row r="990">
          <cell r="A990">
            <v>40912</v>
          </cell>
          <cell r="BF990">
            <v>22.072644744229123</v>
          </cell>
          <cell r="BG990">
            <v>45.468715051806292</v>
          </cell>
          <cell r="BH990">
            <v>42.408178994289898</v>
          </cell>
          <cell r="BI990">
            <v>30.406703917126244</v>
          </cell>
          <cell r="BJ990">
            <v>54.409654071453552</v>
          </cell>
          <cell r="BU990">
            <v>10.231345795618539</v>
          </cell>
          <cell r="BV990">
            <v>29.635401891862816</v>
          </cell>
          <cell r="BW990">
            <v>23.901518972811779</v>
          </cell>
          <cell r="BX990">
            <v>15.713059154269443</v>
          </cell>
          <cell r="BY990">
            <v>32.089978791354113</v>
          </cell>
        </row>
        <row r="991">
          <cell r="A991">
            <v>40913</v>
          </cell>
          <cell r="BF991">
            <v>22.121809236267325</v>
          </cell>
          <cell r="BG991">
            <v>45.468715051806292</v>
          </cell>
          <cell r="BH991">
            <v>42.408178994289898</v>
          </cell>
          <cell r="BI991">
            <v>30.406703917126244</v>
          </cell>
          <cell r="BJ991">
            <v>54.409654071453552</v>
          </cell>
          <cell r="BU991">
            <v>10.27599125943887</v>
          </cell>
          <cell r="BV991">
            <v>29.635401891862816</v>
          </cell>
          <cell r="BW991">
            <v>23.901518972811779</v>
          </cell>
          <cell r="BX991">
            <v>15.713059154269443</v>
          </cell>
          <cell r="BY991">
            <v>32.089978791354113</v>
          </cell>
        </row>
        <row r="992">
          <cell r="A992">
            <v>40914</v>
          </cell>
          <cell r="BF992">
            <v>22.330105412612131</v>
          </cell>
          <cell r="BG992">
            <v>45.468715051806292</v>
          </cell>
          <cell r="BH992">
            <v>42.408178994289898</v>
          </cell>
          <cell r="BI992">
            <v>30.406703917126244</v>
          </cell>
          <cell r="BJ992">
            <v>54.409654071453552</v>
          </cell>
          <cell r="BU992">
            <v>10.397626881451584</v>
          </cell>
          <cell r="BV992">
            <v>29.635401891862816</v>
          </cell>
          <cell r="BW992">
            <v>23.901518972811779</v>
          </cell>
          <cell r="BX992">
            <v>15.713059154269443</v>
          </cell>
          <cell r="BY992">
            <v>32.089978791354113</v>
          </cell>
        </row>
        <row r="993">
          <cell r="A993">
            <v>40917</v>
          </cell>
          <cell r="BF993">
            <v>22.486885944871062</v>
          </cell>
          <cell r="BG993">
            <v>45.468715051806292</v>
          </cell>
          <cell r="BH993">
            <v>42.408178994289898</v>
          </cell>
          <cell r="BI993">
            <v>30.406703917126244</v>
          </cell>
          <cell r="BJ993">
            <v>54.409654071453552</v>
          </cell>
          <cell r="BU993">
            <v>10.210042471006725</v>
          </cell>
          <cell r="BV993">
            <v>29.635401891862816</v>
          </cell>
          <cell r="BW993">
            <v>23.901518972811779</v>
          </cell>
          <cell r="BX993">
            <v>15.713059154269443</v>
          </cell>
          <cell r="BY993">
            <v>32.089978791354113</v>
          </cell>
        </row>
        <row r="994">
          <cell r="A994">
            <v>40918</v>
          </cell>
          <cell r="BF994">
            <v>23.327849022649506</v>
          </cell>
          <cell r="BG994">
            <v>45.468715051806292</v>
          </cell>
          <cell r="BH994">
            <v>42.408178994289898</v>
          </cell>
          <cell r="BI994">
            <v>30.406703917126244</v>
          </cell>
          <cell r="BJ994">
            <v>54.409654071453552</v>
          </cell>
          <cell r="BU994">
            <v>10.633785867059832</v>
          </cell>
          <cell r="BV994">
            <v>29.635401891862816</v>
          </cell>
          <cell r="BW994">
            <v>23.901518972811779</v>
          </cell>
          <cell r="BX994">
            <v>15.713059154269443</v>
          </cell>
          <cell r="BY994">
            <v>32.089978791354113</v>
          </cell>
        </row>
        <row r="995">
          <cell r="A995">
            <v>40919</v>
          </cell>
          <cell r="BF995">
            <v>24.019856464683095</v>
          </cell>
          <cell r="BG995">
            <v>45.468715051806292</v>
          </cell>
          <cell r="BH995">
            <v>42.408178994289898</v>
          </cell>
          <cell r="BI995">
            <v>30.406703917126244</v>
          </cell>
          <cell r="BJ995">
            <v>54.409654071453552</v>
          </cell>
          <cell r="BU995">
            <v>10.989864968055631</v>
          </cell>
          <cell r="BV995">
            <v>29.635401891862816</v>
          </cell>
          <cell r="BW995">
            <v>23.901518972811779</v>
          </cell>
          <cell r="BX995">
            <v>15.713059154269443</v>
          </cell>
          <cell r="BY995">
            <v>32.089978791354113</v>
          </cell>
        </row>
        <row r="996">
          <cell r="A996">
            <v>40920</v>
          </cell>
          <cell r="BF996">
            <v>25.553176250286992</v>
          </cell>
          <cell r="BG996">
            <v>45.468715051806292</v>
          </cell>
          <cell r="BH996">
            <v>42.408178994289898</v>
          </cell>
          <cell r="BI996">
            <v>30.406703917126244</v>
          </cell>
          <cell r="BJ996">
            <v>54.409654071453552</v>
          </cell>
          <cell r="BU996">
            <v>11.780387196975923</v>
          </cell>
          <cell r="BV996">
            <v>29.635401891862816</v>
          </cell>
          <cell r="BW996">
            <v>23.901518972811779</v>
          </cell>
          <cell r="BX996">
            <v>15.713059154269443</v>
          </cell>
          <cell r="BY996">
            <v>32.089978791354113</v>
          </cell>
        </row>
        <row r="997">
          <cell r="A997">
            <v>40921</v>
          </cell>
          <cell r="BF997">
            <v>25.186415131603614</v>
          </cell>
          <cell r="BG997">
            <v>45.468715051806292</v>
          </cell>
          <cell r="BH997">
            <v>42.408178994289898</v>
          </cell>
          <cell r="BI997">
            <v>30.406703917126244</v>
          </cell>
          <cell r="BJ997">
            <v>54.409654071453552</v>
          </cell>
          <cell r="BU997">
            <v>11.595221724747727</v>
          </cell>
          <cell r="BV997">
            <v>29.635401891862816</v>
          </cell>
          <cell r="BW997">
            <v>23.901518972811779</v>
          </cell>
          <cell r="BX997">
            <v>15.713059154269443</v>
          </cell>
          <cell r="BY997">
            <v>32.089978791354113</v>
          </cell>
        </row>
        <row r="998">
          <cell r="A998">
            <v>40924</v>
          </cell>
          <cell r="BF998">
            <v>25.186415131603614</v>
          </cell>
          <cell r="BG998">
            <v>45.468715051806292</v>
          </cell>
          <cell r="BH998">
            <v>42.408178994289898</v>
          </cell>
          <cell r="BI998">
            <v>30.406703917126244</v>
          </cell>
          <cell r="BJ998">
            <v>54.409654071453552</v>
          </cell>
          <cell r="BU998">
            <v>11.595221724747727</v>
          </cell>
          <cell r="BV998">
            <v>29.635401891862816</v>
          </cell>
          <cell r="BW998">
            <v>23.901518972811779</v>
          </cell>
          <cell r="BX998">
            <v>15.713059154269443</v>
          </cell>
          <cell r="BY998">
            <v>32.089978791354113</v>
          </cell>
        </row>
        <row r="999">
          <cell r="A999">
            <v>40925</v>
          </cell>
          <cell r="BF999">
            <v>25.318206486386483</v>
          </cell>
          <cell r="BG999">
            <v>45.468715051806292</v>
          </cell>
          <cell r="BH999">
            <v>42.408178994289898</v>
          </cell>
          <cell r="BI999">
            <v>30.406703917126244</v>
          </cell>
          <cell r="BJ999">
            <v>54.409654071453552</v>
          </cell>
          <cell r="BU999">
            <v>11.63247446038609</v>
          </cell>
          <cell r="BV999">
            <v>29.635401891862816</v>
          </cell>
          <cell r="BW999">
            <v>23.901518972811779</v>
          </cell>
          <cell r="BX999">
            <v>15.713059154269443</v>
          </cell>
          <cell r="BY999">
            <v>32.089978791354113</v>
          </cell>
        </row>
        <row r="1000">
          <cell r="A1000">
            <v>40926</v>
          </cell>
          <cell r="BF1000">
            <v>25.488104143166737</v>
          </cell>
          <cell r="BG1000">
            <v>45.468715051806292</v>
          </cell>
          <cell r="BH1000">
            <v>42.408178994289898</v>
          </cell>
          <cell r="BI1000">
            <v>30.406703917126244</v>
          </cell>
          <cell r="BJ1000">
            <v>54.409654071453552</v>
          </cell>
          <cell r="BU1000">
            <v>11.702065569816821</v>
          </cell>
          <cell r="BV1000">
            <v>29.635401891862816</v>
          </cell>
          <cell r="BW1000">
            <v>23.901518972811779</v>
          </cell>
          <cell r="BX1000">
            <v>15.713059154269443</v>
          </cell>
          <cell r="BY1000">
            <v>32.089978791354113</v>
          </cell>
        </row>
        <row r="1001">
          <cell r="A1001">
            <v>40927</v>
          </cell>
          <cell r="BF1001">
            <v>25.811843948968988</v>
          </cell>
          <cell r="BG1001">
            <v>45.468715051806292</v>
          </cell>
          <cell r="BH1001">
            <v>42.408178994289898</v>
          </cell>
          <cell r="BI1001">
            <v>30.406703917126244</v>
          </cell>
          <cell r="BJ1001">
            <v>54.409654071453552</v>
          </cell>
          <cell r="BU1001">
            <v>11.879484436294458</v>
          </cell>
          <cell r="BV1001">
            <v>29.635401891862816</v>
          </cell>
          <cell r="BW1001">
            <v>23.901518972811779</v>
          </cell>
          <cell r="BX1001">
            <v>15.713059154269443</v>
          </cell>
          <cell r="BY1001">
            <v>32.089978791354113</v>
          </cell>
        </row>
        <row r="1002">
          <cell r="A1002">
            <v>40928</v>
          </cell>
          <cell r="BF1002">
            <v>25.495772125318283</v>
          </cell>
          <cell r="BG1002">
            <v>45.468715051806292</v>
          </cell>
          <cell r="BH1002">
            <v>42.408178994289898</v>
          </cell>
          <cell r="BI1002">
            <v>30.406703917126244</v>
          </cell>
          <cell r="BJ1002">
            <v>54.409654071453552</v>
          </cell>
          <cell r="BU1002">
            <v>11.720393877864131</v>
          </cell>
          <cell r="BV1002">
            <v>29.635401891862816</v>
          </cell>
          <cell r="BW1002">
            <v>23.901518972811779</v>
          </cell>
          <cell r="BX1002">
            <v>15.713059154269443</v>
          </cell>
          <cell r="BY1002">
            <v>32.089978791354113</v>
          </cell>
        </row>
        <row r="1003">
          <cell r="A1003">
            <v>40931</v>
          </cell>
          <cell r="BF1003">
            <v>25.484336712375644</v>
          </cell>
          <cell r="BG1003">
            <v>45.468715051806292</v>
          </cell>
          <cell r="BH1003">
            <v>42.408178994289898</v>
          </cell>
          <cell r="BI1003">
            <v>30.406703917126244</v>
          </cell>
          <cell r="BJ1003">
            <v>54.409654071453552</v>
          </cell>
          <cell r="BU1003">
            <v>11.717230455381037</v>
          </cell>
          <cell r="BV1003">
            <v>29.635401891862816</v>
          </cell>
          <cell r="BW1003">
            <v>23.901518972811779</v>
          </cell>
          <cell r="BX1003">
            <v>15.713059154269443</v>
          </cell>
          <cell r="BY1003">
            <v>32.089978791354113</v>
          </cell>
        </row>
        <row r="1004">
          <cell r="A1004">
            <v>40932</v>
          </cell>
          <cell r="BF1004">
            <v>26.449386696116111</v>
          </cell>
          <cell r="BG1004">
            <v>45.468715051806292</v>
          </cell>
          <cell r="BH1004">
            <v>42.408178994289898</v>
          </cell>
          <cell r="BI1004">
            <v>30.406703917126244</v>
          </cell>
          <cell r="BJ1004">
            <v>54.409654071453552</v>
          </cell>
          <cell r="BU1004">
            <v>12.199444017444243</v>
          </cell>
          <cell r="BV1004">
            <v>29.635401891862816</v>
          </cell>
          <cell r="BW1004">
            <v>23.901518972811779</v>
          </cell>
          <cell r="BX1004">
            <v>15.713059154269443</v>
          </cell>
          <cell r="BY1004">
            <v>32.089978791354113</v>
          </cell>
        </row>
        <row r="1005">
          <cell r="A1005">
            <v>40933</v>
          </cell>
          <cell r="BF1005">
            <v>38.809645529153499</v>
          </cell>
          <cell r="BG1005">
            <v>45.468715051806292</v>
          </cell>
          <cell r="BH1005">
            <v>42.408178994289898</v>
          </cell>
          <cell r="BI1005">
            <v>30.406703917126244</v>
          </cell>
          <cell r="BJ1005">
            <v>54.409654071453552</v>
          </cell>
          <cell r="BU1005">
            <v>18.32484879026352</v>
          </cell>
          <cell r="BV1005">
            <v>29.635401891862816</v>
          </cell>
          <cell r="BW1005">
            <v>23.901518972811779</v>
          </cell>
          <cell r="BX1005">
            <v>15.713059154269443</v>
          </cell>
          <cell r="BY1005">
            <v>32.089978791354113</v>
          </cell>
        </row>
        <row r="1006">
          <cell r="A1006">
            <v>40934</v>
          </cell>
          <cell r="BF1006">
            <v>37.075763433367825</v>
          </cell>
          <cell r="BG1006">
            <v>45.468715051806292</v>
          </cell>
          <cell r="BH1006">
            <v>42.408178994289898</v>
          </cell>
          <cell r="BI1006">
            <v>30.406703917126244</v>
          </cell>
          <cell r="BJ1006">
            <v>54.409654071453552</v>
          </cell>
          <cell r="BU1006">
            <v>17.442872261998062</v>
          </cell>
          <cell r="BV1006">
            <v>29.635401891862816</v>
          </cell>
          <cell r="BW1006">
            <v>23.901518972811779</v>
          </cell>
          <cell r="BX1006">
            <v>15.713059154269443</v>
          </cell>
          <cell r="BY1006">
            <v>32.089978791354113</v>
          </cell>
        </row>
        <row r="1007">
          <cell r="A1007">
            <v>40935</v>
          </cell>
          <cell r="BF1007">
            <v>36.396219891346789</v>
          </cell>
          <cell r="BG1007">
            <v>45.468715051806292</v>
          </cell>
          <cell r="BH1007">
            <v>42.408178994289898</v>
          </cell>
          <cell r="BI1007">
            <v>30.406703917126244</v>
          </cell>
          <cell r="BJ1007">
            <v>54.409654071453552</v>
          </cell>
          <cell r="BU1007">
            <v>17.10285983853543</v>
          </cell>
          <cell r="BV1007">
            <v>29.635401891862816</v>
          </cell>
          <cell r="BW1007">
            <v>23.901518972811779</v>
          </cell>
          <cell r="BX1007">
            <v>15.713059154269443</v>
          </cell>
          <cell r="BY1007">
            <v>32.089978791354113</v>
          </cell>
        </row>
        <row r="1008">
          <cell r="A1008">
            <v>40938</v>
          </cell>
          <cell r="BF1008">
            <v>35.88567565569555</v>
          </cell>
          <cell r="BG1008">
            <v>45.468715051806292</v>
          </cell>
          <cell r="BH1008">
            <v>42.408178994289898</v>
          </cell>
          <cell r="BI1008">
            <v>30.406703917126244</v>
          </cell>
          <cell r="BJ1008">
            <v>54.409654071453552</v>
          </cell>
          <cell r="BU1008">
            <v>16.847387506370023</v>
          </cell>
          <cell r="BV1008">
            <v>29.635401891862816</v>
          </cell>
          <cell r="BW1008">
            <v>23.901518972811779</v>
          </cell>
          <cell r="BX1008">
            <v>15.713059154269443</v>
          </cell>
          <cell r="BY1008">
            <v>32.089978791354113</v>
          </cell>
        </row>
        <row r="1009">
          <cell r="A1009">
            <v>40939</v>
          </cell>
          <cell r="BF1009">
            <v>36.519445236665504</v>
          </cell>
          <cell r="BG1009">
            <v>45.468715051806292</v>
          </cell>
          <cell r="BH1009">
            <v>42.408178994289898</v>
          </cell>
          <cell r="BI1009">
            <v>30.406703917126244</v>
          </cell>
          <cell r="BJ1009">
            <v>54.409654071453552</v>
          </cell>
          <cell r="BU1009">
            <v>17.298090805406297</v>
          </cell>
          <cell r="BV1009">
            <v>29.635401891862816</v>
          </cell>
          <cell r="BW1009">
            <v>23.901518972811779</v>
          </cell>
          <cell r="BX1009">
            <v>15.713059154269443</v>
          </cell>
          <cell r="BY1009">
            <v>32.089978791354113</v>
          </cell>
        </row>
        <row r="1010">
          <cell r="A1010">
            <v>40940</v>
          </cell>
          <cell r="BF1010">
            <v>36.118862154765303</v>
          </cell>
          <cell r="BG1010">
            <v>45.468715051806292</v>
          </cell>
          <cell r="BH1010">
            <v>42.408178994289898</v>
          </cell>
          <cell r="BI1010">
            <v>30.406703917126244</v>
          </cell>
          <cell r="BJ1010">
            <v>54.409654071453552</v>
          </cell>
          <cell r="BU1010">
            <v>17.193547072104231</v>
          </cell>
          <cell r="BV1010">
            <v>29.635401891862816</v>
          </cell>
          <cell r="BW1010">
            <v>23.901518972811779</v>
          </cell>
          <cell r="BX1010">
            <v>15.713059154269443</v>
          </cell>
          <cell r="BY1010">
            <v>32.089978791354113</v>
          </cell>
        </row>
        <row r="1011">
          <cell r="A1011">
            <v>40941</v>
          </cell>
          <cell r="BF1011">
            <v>36.049369639857659</v>
          </cell>
          <cell r="BG1011">
            <v>45.468715051806292</v>
          </cell>
          <cell r="BH1011">
            <v>42.408178994289898</v>
          </cell>
          <cell r="BI1011">
            <v>30.406703917126244</v>
          </cell>
          <cell r="BJ1011">
            <v>54.409654071453552</v>
          </cell>
          <cell r="BU1011">
            <v>17.158355038606089</v>
          </cell>
          <cell r="BV1011">
            <v>29.635401891862816</v>
          </cell>
          <cell r="BW1011">
            <v>23.901518972811779</v>
          </cell>
          <cell r="BX1011">
            <v>15.713059154269443</v>
          </cell>
          <cell r="BY1011">
            <v>32.089978791354113</v>
          </cell>
        </row>
        <row r="1012">
          <cell r="A1012">
            <v>40942</v>
          </cell>
          <cell r="BF1012">
            <v>36.028520495396066</v>
          </cell>
          <cell r="BG1012">
            <v>45.468715051806292</v>
          </cell>
          <cell r="BH1012">
            <v>42.408178994289898</v>
          </cell>
          <cell r="BI1012">
            <v>30.406703917126244</v>
          </cell>
          <cell r="BJ1012">
            <v>54.409654071453552</v>
          </cell>
          <cell r="BU1012">
            <v>17.147788796005507</v>
          </cell>
          <cell r="BV1012">
            <v>29.635401891862816</v>
          </cell>
          <cell r="BW1012">
            <v>23.901518972811779</v>
          </cell>
          <cell r="BX1012">
            <v>15.713059154269443</v>
          </cell>
          <cell r="BY1012">
            <v>32.089978791354113</v>
          </cell>
        </row>
        <row r="1013">
          <cell r="A1013">
            <v>40945</v>
          </cell>
          <cell r="BF1013">
            <v>36.118862154765303</v>
          </cell>
          <cell r="BG1013">
            <v>45.468715051806292</v>
          </cell>
          <cell r="BH1013">
            <v>42.408178994289898</v>
          </cell>
          <cell r="BI1013">
            <v>30.406703917126244</v>
          </cell>
          <cell r="BJ1013">
            <v>54.409654071453552</v>
          </cell>
          <cell r="BU1013">
            <v>17.193547072104231</v>
          </cell>
          <cell r="BV1013">
            <v>29.635401891862816</v>
          </cell>
          <cell r="BW1013">
            <v>23.901518972811779</v>
          </cell>
          <cell r="BX1013">
            <v>15.713059154269443</v>
          </cell>
          <cell r="BY1013">
            <v>32.089978791354113</v>
          </cell>
        </row>
        <row r="1014">
          <cell r="A1014">
            <v>40946</v>
          </cell>
          <cell r="BF1014">
            <v>36.000714454502585</v>
          </cell>
          <cell r="BG1014">
            <v>45.468715051806292</v>
          </cell>
          <cell r="BH1014">
            <v>42.408178994289898</v>
          </cell>
          <cell r="BI1014">
            <v>30.406703917126244</v>
          </cell>
          <cell r="BJ1014">
            <v>54.409654071453552</v>
          </cell>
          <cell r="BU1014">
            <v>17.133714860123298</v>
          </cell>
          <cell r="BV1014">
            <v>29.635401891862816</v>
          </cell>
          <cell r="BW1014">
            <v>23.901518972811779</v>
          </cell>
          <cell r="BX1014">
            <v>15.713059154269443</v>
          </cell>
          <cell r="BY1014">
            <v>32.089978791354113</v>
          </cell>
        </row>
        <row r="1015">
          <cell r="A1015">
            <v>40947</v>
          </cell>
          <cell r="BF1015">
            <v>34.719425881500257</v>
          </cell>
          <cell r="BG1015">
            <v>45.468715051806292</v>
          </cell>
          <cell r="BH1015">
            <v>42.408178994289898</v>
          </cell>
          <cell r="BI1015">
            <v>30.406703917126244</v>
          </cell>
          <cell r="BJ1015">
            <v>54.409654071453552</v>
          </cell>
          <cell r="BU1015">
            <v>16.401792291815816</v>
          </cell>
          <cell r="BV1015">
            <v>29.635401891862816</v>
          </cell>
          <cell r="BW1015">
            <v>23.901518972811779</v>
          </cell>
          <cell r="BX1015">
            <v>15.713059154269443</v>
          </cell>
          <cell r="BY1015">
            <v>32.089978791354113</v>
          </cell>
        </row>
        <row r="1016">
          <cell r="A1016">
            <v>40948</v>
          </cell>
          <cell r="BF1016">
            <v>35.312087710175042</v>
          </cell>
          <cell r="BG1016">
            <v>45.468715051806292</v>
          </cell>
          <cell r="BH1016">
            <v>42.408178994289898</v>
          </cell>
          <cell r="BI1016">
            <v>30.406703917126244</v>
          </cell>
          <cell r="BJ1016">
            <v>54.409654071453552</v>
          </cell>
          <cell r="BU1016">
            <v>17.158850214209764</v>
          </cell>
          <cell r="BV1016">
            <v>29.635401891862816</v>
          </cell>
          <cell r="BW1016">
            <v>23.901518972811779</v>
          </cell>
          <cell r="BX1016">
            <v>15.713059154269443</v>
          </cell>
          <cell r="BY1016">
            <v>32.089978791354113</v>
          </cell>
        </row>
        <row r="1017">
          <cell r="A1017">
            <v>40949</v>
          </cell>
          <cell r="BF1017">
            <v>35.790265986300533</v>
          </cell>
          <cell r="BG1017">
            <v>45.468715051806292</v>
          </cell>
          <cell r="BH1017">
            <v>42.408178994289898</v>
          </cell>
          <cell r="BI1017">
            <v>30.406703917126244</v>
          </cell>
          <cell r="BJ1017">
            <v>54.409654071453552</v>
          </cell>
          <cell r="BU1017">
            <v>17.405719779305318</v>
          </cell>
          <cell r="BV1017">
            <v>29.635401891862816</v>
          </cell>
          <cell r="BW1017">
            <v>23.901518972811779</v>
          </cell>
          <cell r="BX1017">
            <v>15.713059154269443</v>
          </cell>
          <cell r="BY1017">
            <v>32.089978791354113</v>
          </cell>
        </row>
        <row r="1018">
          <cell r="A1018">
            <v>40952</v>
          </cell>
          <cell r="BF1018">
            <v>35.885238914085093</v>
          </cell>
          <cell r="BG1018">
            <v>45.468715051806292</v>
          </cell>
          <cell r="BH1018">
            <v>42.408178994289898</v>
          </cell>
          <cell r="BI1018">
            <v>30.406703917126244</v>
          </cell>
          <cell r="BJ1018">
            <v>54.409654071453552</v>
          </cell>
          <cell r="BU1018">
            <v>17.460571585532978</v>
          </cell>
          <cell r="BV1018">
            <v>29.635401891862816</v>
          </cell>
          <cell r="BW1018">
            <v>23.901518972811779</v>
          </cell>
          <cell r="BX1018">
            <v>15.713059154269443</v>
          </cell>
          <cell r="BY1018">
            <v>32.089978791354113</v>
          </cell>
        </row>
        <row r="1019">
          <cell r="A1019">
            <v>40953</v>
          </cell>
          <cell r="BF1019">
            <v>36.077783679353772</v>
          </cell>
          <cell r="BG1019">
            <v>45.468715051806292</v>
          </cell>
          <cell r="BH1019">
            <v>42.408178994289898</v>
          </cell>
          <cell r="BI1019">
            <v>30.406703917126244</v>
          </cell>
          <cell r="BJ1019">
            <v>54.409654071453552</v>
          </cell>
          <cell r="BU1019">
            <v>17.559997141093216</v>
          </cell>
          <cell r="BV1019">
            <v>29.635401891862816</v>
          </cell>
          <cell r="BW1019">
            <v>23.901518972811779</v>
          </cell>
          <cell r="BX1019">
            <v>15.713059154269443</v>
          </cell>
          <cell r="BY1019">
            <v>32.089978791354113</v>
          </cell>
        </row>
        <row r="1020">
          <cell r="A1020">
            <v>40954</v>
          </cell>
          <cell r="BF1020">
            <v>36.23711948692123</v>
          </cell>
          <cell r="BG1020">
            <v>45.468715051806292</v>
          </cell>
          <cell r="BH1020">
            <v>42.408178994289898</v>
          </cell>
          <cell r="BI1020">
            <v>30.406703917126244</v>
          </cell>
          <cell r="BJ1020">
            <v>54.409654071453552</v>
          </cell>
          <cell r="BU1020">
            <v>17.642286061841194</v>
          </cell>
          <cell r="BV1020">
            <v>29.635401891862816</v>
          </cell>
          <cell r="BW1020">
            <v>23.901518972811779</v>
          </cell>
          <cell r="BX1020">
            <v>15.713059154269443</v>
          </cell>
          <cell r="BY1020">
            <v>32.089978791354113</v>
          </cell>
        </row>
        <row r="1021">
          <cell r="A1021">
            <v>40955</v>
          </cell>
          <cell r="BF1021">
            <v>35.812206959285227</v>
          </cell>
          <cell r="BG1021">
            <v>45.468715051806292</v>
          </cell>
          <cell r="BH1021">
            <v>42.408178994289898</v>
          </cell>
          <cell r="BI1021">
            <v>30.406703917126244</v>
          </cell>
          <cell r="BJ1021">
            <v>54.409654071453552</v>
          </cell>
          <cell r="BU1021">
            <v>17.422853611265957</v>
          </cell>
          <cell r="BV1021">
            <v>29.635401891862816</v>
          </cell>
          <cell r="BW1021">
            <v>23.901518972811779</v>
          </cell>
          <cell r="BX1021">
            <v>15.713059154269443</v>
          </cell>
          <cell r="BY1021">
            <v>32.089978791354113</v>
          </cell>
        </row>
        <row r="1022">
          <cell r="A1022">
            <v>40956</v>
          </cell>
          <cell r="BF1022">
            <v>34.404685331867547</v>
          </cell>
          <cell r="BG1022">
            <v>45.468715051806292</v>
          </cell>
          <cell r="BH1022">
            <v>42.408178994289898</v>
          </cell>
          <cell r="BI1022">
            <v>30.406703917126244</v>
          </cell>
          <cell r="BJ1022">
            <v>54.409654071453552</v>
          </cell>
          <cell r="BU1022">
            <v>16.695984494626611</v>
          </cell>
          <cell r="BV1022">
            <v>29.635401891862816</v>
          </cell>
          <cell r="BW1022">
            <v>23.901518972811779</v>
          </cell>
          <cell r="BX1022">
            <v>15.713059154269443</v>
          </cell>
          <cell r="BY1022">
            <v>32.089978791354113</v>
          </cell>
        </row>
        <row r="1023">
          <cell r="A1023">
            <v>40959</v>
          </cell>
          <cell r="BF1023">
            <v>34.404685331867547</v>
          </cell>
          <cell r="BG1023">
            <v>45.468715051806292</v>
          </cell>
          <cell r="BH1023">
            <v>42.408178994289898</v>
          </cell>
          <cell r="BI1023">
            <v>30.406703917126244</v>
          </cell>
          <cell r="BJ1023">
            <v>54.409654071453552</v>
          </cell>
          <cell r="BU1023">
            <v>16.695984494626611</v>
          </cell>
          <cell r="BV1023">
            <v>29.635401891862816</v>
          </cell>
          <cell r="BW1023">
            <v>23.901518972811779</v>
          </cell>
          <cell r="BX1023">
            <v>15.713059154269443</v>
          </cell>
          <cell r="BY1023">
            <v>32.089978791354113</v>
          </cell>
        </row>
        <row r="1024">
          <cell r="A1024">
            <v>40960</v>
          </cell>
          <cell r="BF1024">
            <v>34.216926905239312</v>
          </cell>
          <cell r="BG1024">
            <v>45.468715051806292</v>
          </cell>
          <cell r="BH1024">
            <v>42.408178994289898</v>
          </cell>
          <cell r="BI1024">
            <v>30.406703917126244</v>
          </cell>
          <cell r="BJ1024">
            <v>54.409654071453552</v>
          </cell>
          <cell r="BU1024">
            <v>16.569135838804161</v>
          </cell>
          <cell r="BV1024">
            <v>29.635401891862816</v>
          </cell>
          <cell r="BW1024">
            <v>23.901518972811779</v>
          </cell>
          <cell r="BX1024">
            <v>15.713059154269443</v>
          </cell>
          <cell r="BY1024">
            <v>32.089978791354113</v>
          </cell>
        </row>
        <row r="1025">
          <cell r="A1025">
            <v>40961</v>
          </cell>
          <cell r="BF1025">
            <v>33.990801886534697</v>
          </cell>
          <cell r="BG1025">
            <v>45.468715051806292</v>
          </cell>
          <cell r="BH1025">
            <v>42.408178994289898</v>
          </cell>
          <cell r="BI1025">
            <v>30.406703917126244</v>
          </cell>
          <cell r="BJ1025">
            <v>54.409654071453552</v>
          </cell>
          <cell r="BU1025">
            <v>16.452542817063833</v>
          </cell>
          <cell r="BV1025">
            <v>29.635401891862816</v>
          </cell>
          <cell r="BW1025">
            <v>23.901518972811779</v>
          </cell>
          <cell r="BX1025">
            <v>15.713059154269443</v>
          </cell>
          <cell r="BY1025">
            <v>32.089978791354113</v>
          </cell>
        </row>
        <row r="1026">
          <cell r="A1026">
            <v>40962</v>
          </cell>
          <cell r="BF1026">
            <v>34.110516579197522</v>
          </cell>
          <cell r="BG1026">
            <v>45.468715051806292</v>
          </cell>
          <cell r="BH1026">
            <v>42.408178994289898</v>
          </cell>
          <cell r="BI1026">
            <v>30.406703917126244</v>
          </cell>
          <cell r="BJ1026">
            <v>54.409654071453552</v>
          </cell>
          <cell r="BU1026">
            <v>16.514270018318395</v>
          </cell>
          <cell r="BV1026">
            <v>29.635401891862816</v>
          </cell>
          <cell r="BW1026">
            <v>23.901518972811779</v>
          </cell>
          <cell r="BX1026">
            <v>15.713059154269443</v>
          </cell>
          <cell r="BY1026">
            <v>32.089978791354113</v>
          </cell>
        </row>
        <row r="1027">
          <cell r="A1027">
            <v>40963</v>
          </cell>
          <cell r="BF1027">
            <v>34.063957614018534</v>
          </cell>
          <cell r="BG1027">
            <v>45.468715051806292</v>
          </cell>
          <cell r="BH1027">
            <v>42.408178994289898</v>
          </cell>
          <cell r="BI1027">
            <v>30.406703917126244</v>
          </cell>
          <cell r="BJ1027">
            <v>54.409654071453552</v>
          </cell>
          <cell r="BU1027">
            <v>16.490260791330854</v>
          </cell>
          <cell r="BV1027">
            <v>29.635401891862816</v>
          </cell>
          <cell r="BW1027">
            <v>23.901518972811779</v>
          </cell>
          <cell r="BX1027">
            <v>15.713059154269443</v>
          </cell>
          <cell r="BY1027">
            <v>32.089978791354113</v>
          </cell>
        </row>
        <row r="1028">
          <cell r="A1028">
            <v>40966</v>
          </cell>
          <cell r="BF1028">
            <v>34.183672306681359</v>
          </cell>
          <cell r="BG1028">
            <v>45.468715051806292</v>
          </cell>
          <cell r="BH1028">
            <v>42.408178994289898</v>
          </cell>
          <cell r="BI1028">
            <v>30.406703917126244</v>
          </cell>
          <cell r="BJ1028">
            <v>54.409654071453552</v>
          </cell>
          <cell r="BU1028">
            <v>16.551978182604742</v>
          </cell>
          <cell r="BV1028">
            <v>29.635401891862816</v>
          </cell>
          <cell r="BW1028">
            <v>23.901518972811779</v>
          </cell>
          <cell r="BX1028">
            <v>15.713059154269443</v>
          </cell>
          <cell r="BY1028">
            <v>32.089978791354113</v>
          </cell>
        </row>
        <row r="1029">
          <cell r="A1029">
            <v>40967</v>
          </cell>
          <cell r="BF1029">
            <v>34.222351287416025</v>
          </cell>
          <cell r="BG1029">
            <v>45.468715051806292</v>
          </cell>
          <cell r="BH1029">
            <v>42.408178994289898</v>
          </cell>
          <cell r="BI1029">
            <v>30.406703917126244</v>
          </cell>
          <cell r="BJ1029">
            <v>54.409654071453552</v>
          </cell>
          <cell r="BU1029">
            <v>16.569134717663513</v>
          </cell>
          <cell r="BV1029">
            <v>29.635401891862816</v>
          </cell>
          <cell r="BW1029">
            <v>23.901518972811779</v>
          </cell>
          <cell r="BX1029">
            <v>15.713059154269443</v>
          </cell>
          <cell r="BY1029">
            <v>32.089978791354113</v>
          </cell>
        </row>
        <row r="1030">
          <cell r="A1030">
            <v>40968</v>
          </cell>
          <cell r="BF1030">
            <v>34.089321783246575</v>
          </cell>
          <cell r="BG1030">
            <v>45.468715051806292</v>
          </cell>
          <cell r="BH1030">
            <v>42.408178994289898</v>
          </cell>
          <cell r="BI1030">
            <v>30.406703917126244</v>
          </cell>
          <cell r="BJ1030">
            <v>54.409654071453552</v>
          </cell>
          <cell r="BU1030">
            <v>16.500552862484046</v>
          </cell>
          <cell r="BV1030">
            <v>29.635401891862816</v>
          </cell>
          <cell r="BW1030">
            <v>23.901518972811779</v>
          </cell>
          <cell r="BX1030">
            <v>15.713059154269443</v>
          </cell>
          <cell r="BY1030">
            <v>32.089978791354113</v>
          </cell>
        </row>
        <row r="1031">
          <cell r="A1031">
            <v>40969</v>
          </cell>
          <cell r="BF1031">
            <v>33.569386159687831</v>
          </cell>
          <cell r="BG1031">
            <v>45.468715051806292</v>
          </cell>
          <cell r="BH1031">
            <v>42.408178994289898</v>
          </cell>
          <cell r="BI1031">
            <v>30.406703917126244</v>
          </cell>
          <cell r="BJ1031">
            <v>54.409654071453552</v>
          </cell>
          <cell r="BU1031">
            <v>16.273891790902507</v>
          </cell>
          <cell r="BV1031">
            <v>29.635401891862816</v>
          </cell>
          <cell r="BW1031">
            <v>23.901518972811779</v>
          </cell>
          <cell r="BX1031">
            <v>15.713059154269443</v>
          </cell>
          <cell r="BY1031">
            <v>32.089978791354113</v>
          </cell>
        </row>
        <row r="1032">
          <cell r="A1032">
            <v>40970</v>
          </cell>
          <cell r="BF1032">
            <v>33.73361997608756</v>
          </cell>
          <cell r="BG1032">
            <v>45.468715051806292</v>
          </cell>
          <cell r="BH1032">
            <v>42.408178994289898</v>
          </cell>
          <cell r="BI1032">
            <v>30.406703917126244</v>
          </cell>
          <cell r="BJ1032">
            <v>54.409654071453552</v>
          </cell>
          <cell r="BU1032">
            <v>16.358695445706541</v>
          </cell>
          <cell r="BV1032">
            <v>29.635401891862816</v>
          </cell>
          <cell r="BW1032">
            <v>23.901518972811779</v>
          </cell>
          <cell r="BX1032">
            <v>15.713059154269443</v>
          </cell>
          <cell r="BY1032">
            <v>32.089978791354113</v>
          </cell>
        </row>
        <row r="1033">
          <cell r="A1033">
            <v>40973</v>
          </cell>
          <cell r="BF1033">
            <v>33.424859744320798</v>
          </cell>
          <cell r="BG1033">
            <v>45.468715051806292</v>
          </cell>
          <cell r="BH1033">
            <v>42.408178994289898</v>
          </cell>
          <cell r="BI1033">
            <v>30.406703917126244</v>
          </cell>
          <cell r="BJ1033">
            <v>54.409654071453552</v>
          </cell>
          <cell r="BU1033">
            <v>16.199259195069622</v>
          </cell>
          <cell r="BV1033">
            <v>29.635401891862816</v>
          </cell>
          <cell r="BW1033">
            <v>23.901518972811779</v>
          </cell>
          <cell r="BX1033">
            <v>15.713059154269443</v>
          </cell>
          <cell r="BY1033">
            <v>32.089978791354113</v>
          </cell>
        </row>
        <row r="1034">
          <cell r="A1034">
            <v>40974</v>
          </cell>
          <cell r="BF1034">
            <v>33.076684710488635</v>
          </cell>
          <cell r="BG1034">
            <v>45.468715051806292</v>
          </cell>
          <cell r="BH1034">
            <v>42.408178994289898</v>
          </cell>
          <cell r="BI1034">
            <v>30.406703917126244</v>
          </cell>
          <cell r="BJ1034">
            <v>54.409654071453552</v>
          </cell>
          <cell r="BU1034">
            <v>16.019480271891911</v>
          </cell>
          <cell r="BV1034">
            <v>29.635401891862816</v>
          </cell>
          <cell r="BW1034">
            <v>23.901518972811779</v>
          </cell>
          <cell r="BX1034">
            <v>15.713059154269443</v>
          </cell>
          <cell r="BY1034">
            <v>32.089978791354113</v>
          </cell>
        </row>
        <row r="1035">
          <cell r="A1035">
            <v>40975</v>
          </cell>
          <cell r="BF1035">
            <v>33.160439444894422</v>
          </cell>
          <cell r="BG1035">
            <v>45.468715051806292</v>
          </cell>
          <cell r="BH1035">
            <v>42.408178994289898</v>
          </cell>
          <cell r="BI1035">
            <v>30.406703917126244</v>
          </cell>
          <cell r="BJ1035">
            <v>54.409654071453552</v>
          </cell>
          <cell r="BU1035">
            <v>15.938480806390347</v>
          </cell>
          <cell r="BV1035">
            <v>29.635401891862816</v>
          </cell>
          <cell r="BW1035">
            <v>23.901518972811779</v>
          </cell>
          <cell r="BX1035">
            <v>15.713059154269443</v>
          </cell>
          <cell r="BY1035">
            <v>32.089978791354113</v>
          </cell>
        </row>
        <row r="1036">
          <cell r="A1036">
            <v>40976</v>
          </cell>
          <cell r="BF1036">
            <v>33.213013798779983</v>
          </cell>
          <cell r="BG1036">
            <v>45.468715051806292</v>
          </cell>
          <cell r="BH1036">
            <v>42.408178994289898</v>
          </cell>
          <cell r="BI1036">
            <v>30.406703917126244</v>
          </cell>
          <cell r="BJ1036">
            <v>54.409654071453552</v>
          </cell>
          <cell r="BU1036">
            <v>15.965425903803489</v>
          </cell>
          <cell r="BV1036">
            <v>29.635401891862816</v>
          </cell>
          <cell r="BW1036">
            <v>23.901518972811779</v>
          </cell>
          <cell r="BX1036">
            <v>15.713059154269443</v>
          </cell>
          <cell r="BY1036">
            <v>32.089978791354113</v>
          </cell>
        </row>
        <row r="1037">
          <cell r="A1037">
            <v>40977</v>
          </cell>
          <cell r="BF1037">
            <v>32.93700665541823</v>
          </cell>
          <cell r="BG1037">
            <v>45.468715051806292</v>
          </cell>
          <cell r="BH1037">
            <v>42.408178994289898</v>
          </cell>
          <cell r="BI1037">
            <v>30.406703917126244</v>
          </cell>
          <cell r="BJ1037">
            <v>54.409654071453552</v>
          </cell>
          <cell r="BU1037">
            <v>15.824002334171947</v>
          </cell>
          <cell r="BV1037">
            <v>29.635401891862816</v>
          </cell>
          <cell r="BW1037">
            <v>23.901518972811779</v>
          </cell>
          <cell r="BX1037">
            <v>15.713059154269443</v>
          </cell>
          <cell r="BY1037">
            <v>32.089978791354113</v>
          </cell>
        </row>
        <row r="1038">
          <cell r="A1038">
            <v>40980</v>
          </cell>
          <cell r="BF1038">
            <v>32.976434463598927</v>
          </cell>
          <cell r="BG1038">
            <v>45.468715051806292</v>
          </cell>
          <cell r="BH1038">
            <v>42.408178994289898</v>
          </cell>
          <cell r="BI1038">
            <v>30.406703917126244</v>
          </cell>
          <cell r="BJ1038">
            <v>54.409654071453552</v>
          </cell>
          <cell r="BU1038">
            <v>15.842483090790244</v>
          </cell>
          <cell r="BV1038">
            <v>29.635401891862816</v>
          </cell>
          <cell r="BW1038">
            <v>23.901518972811779</v>
          </cell>
          <cell r="BX1038">
            <v>15.713059154269443</v>
          </cell>
          <cell r="BY1038">
            <v>32.089978791354113</v>
          </cell>
        </row>
        <row r="1039">
          <cell r="A1039">
            <v>40981</v>
          </cell>
          <cell r="BF1039">
            <v>33.081583171370035</v>
          </cell>
          <cell r="BG1039">
            <v>45.468715051806292</v>
          </cell>
          <cell r="BH1039">
            <v>42.408178994289898</v>
          </cell>
          <cell r="BI1039">
            <v>30.406703917126244</v>
          </cell>
          <cell r="BJ1039">
            <v>54.409654071453552</v>
          </cell>
          <cell r="BU1039">
            <v>15.896356693157191</v>
          </cell>
          <cell r="BV1039">
            <v>29.635401891862816</v>
          </cell>
          <cell r="BW1039">
            <v>23.901518972811779</v>
          </cell>
          <cell r="BX1039">
            <v>15.713059154269443</v>
          </cell>
          <cell r="BY1039">
            <v>32.089978791354113</v>
          </cell>
        </row>
        <row r="1040">
          <cell r="A1040">
            <v>40982</v>
          </cell>
          <cell r="BF1040">
            <v>32.976434463598927</v>
          </cell>
          <cell r="BG1040">
            <v>45.468715051806292</v>
          </cell>
          <cell r="BH1040">
            <v>42.408178994289898</v>
          </cell>
          <cell r="BI1040">
            <v>30.406703917126244</v>
          </cell>
          <cell r="BJ1040">
            <v>54.409654071453552</v>
          </cell>
          <cell r="BU1040">
            <v>15.842483090790244</v>
          </cell>
          <cell r="BV1040">
            <v>29.635401891862816</v>
          </cell>
          <cell r="BW1040">
            <v>23.901518972811779</v>
          </cell>
          <cell r="BX1040">
            <v>15.713059154269443</v>
          </cell>
          <cell r="BY1040">
            <v>32.089978791354113</v>
          </cell>
        </row>
        <row r="1041">
          <cell r="A1041">
            <v>40983</v>
          </cell>
          <cell r="BF1041">
            <v>32.83842563461409</v>
          </cell>
          <cell r="BG1041">
            <v>45.468715051806292</v>
          </cell>
          <cell r="BH1041">
            <v>42.408178994289898</v>
          </cell>
          <cell r="BI1041">
            <v>30.406703917126244</v>
          </cell>
          <cell r="BJ1041">
            <v>54.409654071453552</v>
          </cell>
          <cell r="BU1041">
            <v>15.771785185949705</v>
          </cell>
          <cell r="BV1041">
            <v>29.635401891862816</v>
          </cell>
          <cell r="BW1041">
            <v>23.901518972811779</v>
          </cell>
          <cell r="BX1041">
            <v>15.713059154269443</v>
          </cell>
          <cell r="BY1041">
            <v>32.089978791354113</v>
          </cell>
        </row>
        <row r="1042">
          <cell r="A1042">
            <v>40984</v>
          </cell>
          <cell r="BF1042">
            <v>32.812143714975271</v>
          </cell>
          <cell r="BG1042">
            <v>45.468715051806292</v>
          </cell>
          <cell r="BH1042">
            <v>42.408178994289898</v>
          </cell>
          <cell r="BI1042">
            <v>30.406703917126244</v>
          </cell>
          <cell r="BJ1042">
            <v>54.409654071453552</v>
          </cell>
          <cell r="BU1042">
            <v>15.758313413837</v>
          </cell>
          <cell r="BV1042">
            <v>29.635401891862816</v>
          </cell>
          <cell r="BW1042">
            <v>23.901518972811779</v>
          </cell>
          <cell r="BX1042">
            <v>15.713059154269443</v>
          </cell>
          <cell r="BY1042">
            <v>32.089978791354113</v>
          </cell>
        </row>
        <row r="1043">
          <cell r="A1043">
            <v>40987</v>
          </cell>
          <cell r="BF1043">
            <v>32.614992845137898</v>
          </cell>
          <cell r="BG1043">
            <v>45.468715051806292</v>
          </cell>
          <cell r="BH1043">
            <v>42.408178994289898</v>
          </cell>
          <cell r="BI1043">
            <v>30.406703917126244</v>
          </cell>
          <cell r="BJ1043">
            <v>54.409654071453552</v>
          </cell>
          <cell r="BU1043">
            <v>15.657329146219627</v>
          </cell>
          <cell r="BV1043">
            <v>29.635401891862816</v>
          </cell>
          <cell r="BW1043">
            <v>23.901518972811779</v>
          </cell>
          <cell r="BX1043">
            <v>15.713059154269443</v>
          </cell>
          <cell r="BY1043">
            <v>32.089978791354113</v>
          </cell>
        </row>
        <row r="1044">
          <cell r="A1044">
            <v>40988</v>
          </cell>
          <cell r="BF1044">
            <v>33.153871100764448</v>
          </cell>
          <cell r="BG1044">
            <v>45.468715051806292</v>
          </cell>
          <cell r="BH1044">
            <v>42.408178994289898</v>
          </cell>
          <cell r="BI1044">
            <v>30.406703917126244</v>
          </cell>
          <cell r="BJ1044">
            <v>54.409654071453552</v>
          </cell>
          <cell r="BU1044">
            <v>15.933415809565227</v>
          </cell>
          <cell r="BV1044">
            <v>29.635401891862816</v>
          </cell>
          <cell r="BW1044">
            <v>23.901518972811779</v>
          </cell>
          <cell r="BX1044">
            <v>15.713059154269443</v>
          </cell>
          <cell r="BY1044">
            <v>32.089978791354113</v>
          </cell>
        </row>
        <row r="1045">
          <cell r="A1045">
            <v>40989</v>
          </cell>
          <cell r="BF1045">
            <v>32.930428453843341</v>
          </cell>
          <cell r="BG1045">
            <v>45.468715051806292</v>
          </cell>
          <cell r="BH1045">
            <v>42.408178994289898</v>
          </cell>
          <cell r="BI1045">
            <v>30.406703917126244</v>
          </cell>
          <cell r="BJ1045">
            <v>54.409654071453552</v>
          </cell>
          <cell r="BU1045">
            <v>15.818938616215799</v>
          </cell>
          <cell r="BV1045">
            <v>29.635401891862816</v>
          </cell>
          <cell r="BW1045">
            <v>23.901518972811779</v>
          </cell>
          <cell r="BX1045">
            <v>15.713059154269443</v>
          </cell>
          <cell r="BY1045">
            <v>32.089978791354113</v>
          </cell>
        </row>
        <row r="1046">
          <cell r="A1046">
            <v>40990</v>
          </cell>
          <cell r="BF1046">
            <v>33.002716383237747</v>
          </cell>
          <cell r="BG1046">
            <v>45.468715051806292</v>
          </cell>
          <cell r="BH1046">
            <v>42.408178994289898</v>
          </cell>
          <cell r="BI1046">
            <v>30.406703917126244</v>
          </cell>
          <cell r="BJ1046">
            <v>54.409654071453552</v>
          </cell>
          <cell r="BU1046">
            <v>15.85597613235096</v>
          </cell>
          <cell r="BV1046">
            <v>29.635401891862816</v>
          </cell>
          <cell r="BW1046">
            <v>23.901518972811779</v>
          </cell>
          <cell r="BX1046">
            <v>15.713059154269443</v>
          </cell>
          <cell r="BY1046">
            <v>32.089978791354113</v>
          </cell>
        </row>
        <row r="1047">
          <cell r="A1047">
            <v>40991</v>
          </cell>
          <cell r="BF1047">
            <v>33.160439444894422</v>
          </cell>
          <cell r="BG1047">
            <v>45.468715051806292</v>
          </cell>
          <cell r="BH1047">
            <v>42.408178994289898</v>
          </cell>
          <cell r="BI1047">
            <v>30.406703917126244</v>
          </cell>
          <cell r="BJ1047">
            <v>54.409654071453552</v>
          </cell>
          <cell r="BU1047">
            <v>15.937559555101714</v>
          </cell>
          <cell r="BV1047">
            <v>29.635401891862816</v>
          </cell>
          <cell r="BW1047">
            <v>23.901518972811779</v>
          </cell>
          <cell r="BX1047">
            <v>15.713059154269443</v>
          </cell>
          <cell r="BY1047">
            <v>32.089978791354113</v>
          </cell>
        </row>
        <row r="1048">
          <cell r="A1048">
            <v>40994</v>
          </cell>
          <cell r="BF1048">
            <v>33.311584304976208</v>
          </cell>
          <cell r="BG1048">
            <v>45.468715051806292</v>
          </cell>
          <cell r="BH1048">
            <v>42.408178994289898</v>
          </cell>
          <cell r="BI1048">
            <v>30.406703917126244</v>
          </cell>
          <cell r="BJ1048">
            <v>54.409654071453552</v>
          </cell>
          <cell r="BU1048">
            <v>16.015003344168623</v>
          </cell>
          <cell r="BV1048">
            <v>29.635401891862816</v>
          </cell>
          <cell r="BW1048">
            <v>23.901518972811779</v>
          </cell>
          <cell r="BX1048">
            <v>15.713059154269443</v>
          </cell>
          <cell r="BY1048">
            <v>32.089978791354113</v>
          </cell>
        </row>
        <row r="1049">
          <cell r="A1049">
            <v>40995</v>
          </cell>
          <cell r="BF1049">
            <v>33.132577840112205</v>
          </cell>
          <cell r="BG1049">
            <v>45.468715051806292</v>
          </cell>
          <cell r="BH1049">
            <v>42.408178994289898</v>
          </cell>
          <cell r="BI1049">
            <v>30.406703917126244</v>
          </cell>
          <cell r="BJ1049">
            <v>54.409654071453552</v>
          </cell>
          <cell r="BU1049">
            <v>15.870266627991978</v>
          </cell>
          <cell r="BV1049">
            <v>29.635401891862816</v>
          </cell>
          <cell r="BW1049">
            <v>23.901518972811779</v>
          </cell>
          <cell r="BX1049">
            <v>15.713059154269443</v>
          </cell>
          <cell r="BY1049">
            <v>32.089978791354113</v>
          </cell>
        </row>
        <row r="1050">
          <cell r="A1050">
            <v>40996</v>
          </cell>
          <cell r="BF1050">
            <v>32.921369523966675</v>
          </cell>
          <cell r="BG1050">
            <v>45.468715051806292</v>
          </cell>
          <cell r="BH1050">
            <v>42.408178994289898</v>
          </cell>
          <cell r="BI1050">
            <v>30.406703917126244</v>
          </cell>
          <cell r="BJ1050">
            <v>54.409654071453552</v>
          </cell>
          <cell r="BU1050">
            <v>15.762376646918231</v>
          </cell>
          <cell r="BV1050">
            <v>29.635401891862816</v>
          </cell>
          <cell r="BW1050">
            <v>23.901518972811779</v>
          </cell>
          <cell r="BX1050">
            <v>15.713059154269443</v>
          </cell>
          <cell r="BY1050">
            <v>32.089978791354113</v>
          </cell>
        </row>
        <row r="1051">
          <cell r="A1051">
            <v>40997</v>
          </cell>
          <cell r="BF1051">
            <v>34.584601270522235</v>
          </cell>
          <cell r="BG1051">
            <v>45.468715051806292</v>
          </cell>
          <cell r="BH1051">
            <v>42.408178994289898</v>
          </cell>
          <cell r="BI1051">
            <v>30.406703917126244</v>
          </cell>
          <cell r="BJ1051">
            <v>54.409654071453552</v>
          </cell>
          <cell r="BU1051">
            <v>16.611931876510159</v>
          </cell>
          <cell r="BV1051">
            <v>29.635401891862816</v>
          </cell>
          <cell r="BW1051">
            <v>23.901518972811779</v>
          </cell>
          <cell r="BX1051">
            <v>15.713059154269443</v>
          </cell>
          <cell r="BY1051">
            <v>32.089978791354113</v>
          </cell>
        </row>
        <row r="1052">
          <cell r="A1052">
            <v>40998</v>
          </cell>
          <cell r="BF1052">
            <v>34.723198415972284</v>
          </cell>
          <cell r="BG1052">
            <v>45.468715051806292</v>
          </cell>
          <cell r="BH1052">
            <v>42.408178994289898</v>
          </cell>
          <cell r="BI1052">
            <v>30.406703917126244</v>
          </cell>
          <cell r="BJ1052">
            <v>54.409654071453552</v>
          </cell>
          <cell r="BU1052">
            <v>16.682723368721593</v>
          </cell>
          <cell r="BV1052">
            <v>29.635401891862816</v>
          </cell>
          <cell r="BW1052">
            <v>23.901518972811779</v>
          </cell>
          <cell r="BX1052">
            <v>15.713059154269443</v>
          </cell>
          <cell r="BY1052">
            <v>32.089978791354113</v>
          </cell>
        </row>
        <row r="1053">
          <cell r="A1053">
            <v>41001</v>
          </cell>
          <cell r="BF1053">
            <v>33.487684240951289</v>
          </cell>
          <cell r="BG1053">
            <v>45.468715051806292</v>
          </cell>
          <cell r="BH1053">
            <v>42.408178994289898</v>
          </cell>
          <cell r="BI1053">
            <v>30.406703917126244</v>
          </cell>
          <cell r="BJ1053">
            <v>54.409654071453552</v>
          </cell>
          <cell r="BU1053">
            <v>15.906785045252494</v>
          </cell>
          <cell r="BV1053">
            <v>29.635401891862816</v>
          </cell>
          <cell r="BW1053">
            <v>23.901518972811779</v>
          </cell>
          <cell r="BX1053">
            <v>15.713059154269443</v>
          </cell>
          <cell r="BY1053">
            <v>32.089978791354113</v>
          </cell>
        </row>
        <row r="1054">
          <cell r="A1054">
            <v>41002</v>
          </cell>
          <cell r="BF1054">
            <v>33.866954969979027</v>
          </cell>
          <cell r="BG1054">
            <v>45.468715051806292</v>
          </cell>
          <cell r="BH1054">
            <v>42.408178994289898</v>
          </cell>
          <cell r="BI1054">
            <v>30.406703917126244</v>
          </cell>
          <cell r="BJ1054">
            <v>54.409654071453552</v>
          </cell>
          <cell r="BU1054">
            <v>15.66014625228676</v>
          </cell>
          <cell r="BV1054">
            <v>29.635401891862816</v>
          </cell>
          <cell r="BW1054">
            <v>23.901518972811779</v>
          </cell>
          <cell r="BX1054">
            <v>15.713059154269443</v>
          </cell>
          <cell r="BY1054">
            <v>32.089978791354113</v>
          </cell>
        </row>
        <row r="1055">
          <cell r="A1055">
            <v>41003</v>
          </cell>
          <cell r="BF1055">
            <v>33.999934315354743</v>
          </cell>
          <cell r="BG1055">
            <v>45.468715051806292</v>
          </cell>
          <cell r="BH1055">
            <v>42.408178994289898</v>
          </cell>
          <cell r="BI1055">
            <v>30.406703917126244</v>
          </cell>
          <cell r="BJ1055">
            <v>54.409654071453552</v>
          </cell>
          <cell r="BU1055">
            <v>15.56304206877028</v>
          </cell>
          <cell r="BV1055">
            <v>29.635401891862816</v>
          </cell>
          <cell r="BW1055">
            <v>23.901518972811779</v>
          </cell>
          <cell r="BX1055">
            <v>15.713059154269443</v>
          </cell>
          <cell r="BY1055">
            <v>32.089978791354113</v>
          </cell>
        </row>
        <row r="1056">
          <cell r="A1056">
            <v>41004</v>
          </cell>
          <cell r="BF1056">
            <v>34.03244366403618</v>
          </cell>
          <cell r="BG1056">
            <v>45.468715051806292</v>
          </cell>
          <cell r="BH1056">
            <v>42.408178994289898</v>
          </cell>
          <cell r="BI1056">
            <v>30.406703917126244</v>
          </cell>
          <cell r="BJ1056">
            <v>54.409654071453552</v>
          </cell>
          <cell r="BU1056">
            <v>15.579056020428151</v>
          </cell>
          <cell r="BV1056">
            <v>29.635401891862816</v>
          </cell>
          <cell r="BW1056">
            <v>23.901518972811779</v>
          </cell>
          <cell r="BX1056">
            <v>15.713059154269443</v>
          </cell>
          <cell r="BY1056">
            <v>32.089978791354113</v>
          </cell>
        </row>
        <row r="1057">
          <cell r="A1057">
            <v>41005</v>
          </cell>
          <cell r="BF1057">
            <v>34.03244366403618</v>
          </cell>
          <cell r="BG1057">
            <v>45.468715051806292</v>
          </cell>
          <cell r="BH1057">
            <v>42.408178994289898</v>
          </cell>
          <cell r="BI1057">
            <v>30.406703917126244</v>
          </cell>
          <cell r="BJ1057">
            <v>54.409654071453552</v>
          </cell>
          <cell r="BU1057">
            <v>15.579056020428151</v>
          </cell>
          <cell r="BV1057">
            <v>29.635401891862816</v>
          </cell>
          <cell r="BW1057">
            <v>23.901518972811779</v>
          </cell>
          <cell r="BX1057">
            <v>15.713059154269443</v>
          </cell>
          <cell r="BY1057">
            <v>32.089978791354113</v>
          </cell>
        </row>
        <row r="1058">
          <cell r="A1058">
            <v>41008</v>
          </cell>
          <cell r="BF1058">
            <v>34.22104900335269</v>
          </cell>
          <cell r="BG1058">
            <v>45.468715051806292</v>
          </cell>
          <cell r="BH1058">
            <v>42.408178994289898</v>
          </cell>
          <cell r="BI1058">
            <v>30.406703917126244</v>
          </cell>
          <cell r="BJ1058">
            <v>54.409654071453552</v>
          </cell>
          <cell r="BU1058">
            <v>15.671930971233468</v>
          </cell>
          <cell r="BV1058">
            <v>29.635401891862816</v>
          </cell>
          <cell r="BW1058">
            <v>23.901518972811779</v>
          </cell>
          <cell r="BX1058">
            <v>15.713059154269443</v>
          </cell>
          <cell r="BY1058">
            <v>32.089978791354113</v>
          </cell>
        </row>
        <row r="1059">
          <cell r="A1059">
            <v>41009</v>
          </cell>
          <cell r="BF1059">
            <v>34.097481871690725</v>
          </cell>
          <cell r="BG1059">
            <v>45.468715051806292</v>
          </cell>
          <cell r="BH1059">
            <v>42.408178994289898</v>
          </cell>
          <cell r="BI1059">
            <v>30.406703917126244</v>
          </cell>
          <cell r="BJ1059">
            <v>54.409654071453552</v>
          </cell>
          <cell r="BU1059">
            <v>15.611083138374116</v>
          </cell>
          <cell r="BV1059">
            <v>29.635401891862816</v>
          </cell>
          <cell r="BW1059">
            <v>23.901518972811779</v>
          </cell>
          <cell r="BX1059">
            <v>15.713059154269443</v>
          </cell>
          <cell r="BY1059">
            <v>32.089978791354113</v>
          </cell>
        </row>
        <row r="1060">
          <cell r="A1060">
            <v>41010</v>
          </cell>
          <cell r="BF1060">
            <v>34.188529899525413</v>
          </cell>
          <cell r="BG1060">
            <v>45.468715051806292</v>
          </cell>
          <cell r="BH1060">
            <v>42.408178994289898</v>
          </cell>
          <cell r="BI1060">
            <v>30.406703917126244</v>
          </cell>
          <cell r="BJ1060">
            <v>54.409654071453552</v>
          </cell>
          <cell r="BU1060">
            <v>15.655906809768423</v>
          </cell>
          <cell r="BV1060">
            <v>29.635401891862816</v>
          </cell>
          <cell r="BW1060">
            <v>23.901518972811779</v>
          </cell>
          <cell r="BX1060">
            <v>15.713059154269443</v>
          </cell>
          <cell r="BY1060">
            <v>32.089978791354113</v>
          </cell>
        </row>
        <row r="1061">
          <cell r="A1061">
            <v>41011</v>
          </cell>
          <cell r="BF1061">
            <v>32.195829259995456</v>
          </cell>
          <cell r="BG1061">
            <v>45.468715051806292</v>
          </cell>
          <cell r="BH1061">
            <v>42.408178994289898</v>
          </cell>
          <cell r="BI1061">
            <v>30.406703917126244</v>
          </cell>
          <cell r="BJ1061">
            <v>54.409654071453552</v>
          </cell>
          <cell r="BU1061">
            <v>14.667474169757647</v>
          </cell>
          <cell r="BV1061">
            <v>29.635401891862816</v>
          </cell>
          <cell r="BW1061">
            <v>23.901518972811779</v>
          </cell>
          <cell r="BX1061">
            <v>15.713059154269443</v>
          </cell>
          <cell r="BY1061">
            <v>32.089978791354113</v>
          </cell>
        </row>
        <row r="1062">
          <cell r="A1062">
            <v>41012</v>
          </cell>
          <cell r="BF1062">
            <v>30.671162690898601</v>
          </cell>
          <cell r="BG1062">
            <v>45.468715051806292</v>
          </cell>
          <cell r="BH1062">
            <v>42.408178994289898</v>
          </cell>
          <cell r="BI1062">
            <v>30.406703917126244</v>
          </cell>
          <cell r="BJ1062">
            <v>54.409654071453552</v>
          </cell>
          <cell r="BU1062">
            <v>14.053292528218407</v>
          </cell>
          <cell r="BV1062">
            <v>29.635401891862816</v>
          </cell>
          <cell r="BW1062">
            <v>23.901518972811779</v>
          </cell>
          <cell r="BX1062">
            <v>15.713059154269443</v>
          </cell>
          <cell r="BY1062">
            <v>32.089978791354113</v>
          </cell>
        </row>
        <row r="1063">
          <cell r="A1063">
            <v>41015</v>
          </cell>
          <cell r="BF1063">
            <v>29.209508736227395</v>
          </cell>
          <cell r="BG1063">
            <v>45.468715051806292</v>
          </cell>
          <cell r="BH1063">
            <v>42.408178994289898</v>
          </cell>
          <cell r="BI1063">
            <v>30.406703917126244</v>
          </cell>
          <cell r="BJ1063">
            <v>54.409654071453552</v>
          </cell>
          <cell r="BU1063">
            <v>13.342912072822774</v>
          </cell>
          <cell r="BV1063">
            <v>29.635401891862816</v>
          </cell>
          <cell r="BW1063">
            <v>23.901518972811779</v>
          </cell>
          <cell r="BX1063">
            <v>15.713059154269443</v>
          </cell>
          <cell r="BY1063">
            <v>32.089978791354113</v>
          </cell>
        </row>
        <row r="1064">
          <cell r="A1064">
            <v>41016</v>
          </cell>
          <cell r="BF1064">
            <v>28.568707742122655</v>
          </cell>
          <cell r="BG1064">
            <v>45.468715051806292</v>
          </cell>
          <cell r="BH1064">
            <v>42.408178994289898</v>
          </cell>
          <cell r="BI1064">
            <v>30.406703917126244</v>
          </cell>
          <cell r="BJ1064">
            <v>54.409654071453552</v>
          </cell>
          <cell r="BU1064">
            <v>13.029690953559328</v>
          </cell>
          <cell r="BV1064">
            <v>29.635401891862816</v>
          </cell>
          <cell r="BW1064">
            <v>23.901518972811779</v>
          </cell>
          <cell r="BX1064">
            <v>15.713059154269443</v>
          </cell>
          <cell r="BY1064">
            <v>32.089978791354113</v>
          </cell>
        </row>
        <row r="1065">
          <cell r="A1065">
            <v>41017</v>
          </cell>
          <cell r="BF1065">
            <v>28.767722108041813</v>
          </cell>
          <cell r="BG1065">
            <v>45.468715051806292</v>
          </cell>
          <cell r="BH1065">
            <v>42.408178994289898</v>
          </cell>
          <cell r="BI1065">
            <v>30.406703917126244</v>
          </cell>
          <cell r="BJ1065">
            <v>54.409654071453552</v>
          </cell>
          <cell r="BU1065">
            <v>13.194368370804733</v>
          </cell>
          <cell r="BV1065">
            <v>29.635401891862816</v>
          </cell>
          <cell r="BW1065">
            <v>23.901518972811779</v>
          </cell>
          <cell r="BX1065">
            <v>15.713059154269443</v>
          </cell>
          <cell r="BY1065">
            <v>32.089978791354113</v>
          </cell>
        </row>
        <row r="1066">
          <cell r="A1066">
            <v>41018</v>
          </cell>
          <cell r="BF1066">
            <v>28.47694117393884</v>
          </cell>
          <cell r="BG1066">
            <v>45.468715051806292</v>
          </cell>
          <cell r="BH1066">
            <v>42.408178994289898</v>
          </cell>
          <cell r="BI1066">
            <v>30.406703917126244</v>
          </cell>
          <cell r="BJ1066">
            <v>54.409654071453552</v>
          </cell>
          <cell r="BU1066">
            <v>12.944315669662839</v>
          </cell>
          <cell r="BV1066">
            <v>29.635401891862816</v>
          </cell>
          <cell r="BW1066">
            <v>23.901518972811779</v>
          </cell>
          <cell r="BX1066">
            <v>15.713059154269443</v>
          </cell>
          <cell r="BY1066">
            <v>32.089978791354113</v>
          </cell>
        </row>
        <row r="1067">
          <cell r="A1067">
            <v>41019</v>
          </cell>
          <cell r="BF1067">
            <v>28.657432458625294</v>
          </cell>
          <cell r="BG1067">
            <v>45.468715051806292</v>
          </cell>
          <cell r="BH1067">
            <v>42.408178994289898</v>
          </cell>
          <cell r="BI1067">
            <v>30.406703917126244</v>
          </cell>
          <cell r="BJ1067">
            <v>54.409654071453552</v>
          </cell>
          <cell r="BU1067">
            <v>13.022818259791569</v>
          </cell>
          <cell r="BV1067">
            <v>29.635401891862816</v>
          </cell>
          <cell r="BW1067">
            <v>23.901518972811779</v>
          </cell>
          <cell r="BX1067">
            <v>15.713059154269443</v>
          </cell>
          <cell r="BY1067">
            <v>32.089978791354113</v>
          </cell>
        </row>
        <row r="1068">
          <cell r="A1068">
            <v>41022</v>
          </cell>
          <cell r="BF1068">
            <v>28.292641334332956</v>
          </cell>
          <cell r="BG1068">
            <v>45.468715051806292</v>
          </cell>
          <cell r="BH1068">
            <v>42.408178994289898</v>
          </cell>
          <cell r="BI1068">
            <v>30.406703917126244</v>
          </cell>
          <cell r="BJ1068">
            <v>54.409654071453552</v>
          </cell>
          <cell r="BU1068">
            <v>12.920515887462937</v>
          </cell>
          <cell r="BV1068">
            <v>29.635401891862816</v>
          </cell>
          <cell r="BW1068">
            <v>23.901518972811779</v>
          </cell>
          <cell r="BX1068">
            <v>15.713059154269443</v>
          </cell>
          <cell r="BY1068">
            <v>32.089978791354113</v>
          </cell>
        </row>
        <row r="1069">
          <cell r="A1069">
            <v>41023</v>
          </cell>
          <cell r="BF1069">
            <v>27.542104596685039</v>
          </cell>
          <cell r="BG1069">
            <v>45.468715051806292</v>
          </cell>
          <cell r="BH1069">
            <v>42.408178994289898</v>
          </cell>
          <cell r="BI1069">
            <v>30.406703917126244</v>
          </cell>
          <cell r="BJ1069">
            <v>54.409654071453552</v>
          </cell>
          <cell r="BU1069">
            <v>12.525059829931497</v>
          </cell>
          <cell r="BV1069">
            <v>29.635401891862816</v>
          </cell>
          <cell r="BW1069">
            <v>23.901518972811779</v>
          </cell>
          <cell r="BX1069">
            <v>15.713059154269443</v>
          </cell>
          <cell r="BY1069">
            <v>32.089978791354113</v>
          </cell>
        </row>
        <row r="1070">
          <cell r="A1070">
            <v>41024</v>
          </cell>
          <cell r="BF1070">
            <v>27.998144627579411</v>
          </cell>
          <cell r="BG1070">
            <v>45.468715051806292</v>
          </cell>
          <cell r="BH1070">
            <v>42.408178994289898</v>
          </cell>
          <cell r="BI1070">
            <v>30.406703917126244</v>
          </cell>
          <cell r="BJ1070">
            <v>54.409654071453552</v>
          </cell>
          <cell r="BU1070">
            <v>12.770207240695813</v>
          </cell>
          <cell r="BV1070">
            <v>29.635401891862816</v>
          </cell>
          <cell r="BW1070">
            <v>23.901518972811779</v>
          </cell>
          <cell r="BX1070">
            <v>15.713059154269443</v>
          </cell>
          <cell r="BY1070">
            <v>32.089978791354113</v>
          </cell>
        </row>
        <row r="1071">
          <cell r="A1071">
            <v>41025</v>
          </cell>
          <cell r="BF1071">
            <v>28.31273873266441</v>
          </cell>
          <cell r="BG1071">
            <v>45.468715051806292</v>
          </cell>
          <cell r="BH1071">
            <v>42.408178994289898</v>
          </cell>
          <cell r="BI1071">
            <v>30.406703917126244</v>
          </cell>
          <cell r="BJ1071">
            <v>54.409654071453552</v>
          </cell>
          <cell r="BU1071">
            <v>12.924209481135769</v>
          </cell>
          <cell r="BV1071">
            <v>29.635401891862816</v>
          </cell>
          <cell r="BW1071">
            <v>23.901518972811779</v>
          </cell>
          <cell r="BX1071">
            <v>15.713059154269443</v>
          </cell>
          <cell r="BY1071">
            <v>32.089978791354113</v>
          </cell>
        </row>
        <row r="1072">
          <cell r="A1072">
            <v>41026</v>
          </cell>
          <cell r="BF1072">
            <v>28.129345250645759</v>
          </cell>
          <cell r="BG1072">
            <v>45.468715051806292</v>
          </cell>
          <cell r="BH1072">
            <v>42.408178994289898</v>
          </cell>
          <cell r="BI1072">
            <v>30.406703917126244</v>
          </cell>
          <cell r="BJ1072">
            <v>54.409654071453552</v>
          </cell>
          <cell r="BU1072">
            <v>12.833061764856929</v>
          </cell>
          <cell r="BV1072">
            <v>29.635401891862816</v>
          </cell>
          <cell r="BW1072">
            <v>23.901518972811779</v>
          </cell>
          <cell r="BX1072">
            <v>15.713059154269443</v>
          </cell>
          <cell r="BY1072">
            <v>32.089978791354113</v>
          </cell>
        </row>
        <row r="1073">
          <cell r="A1073">
            <v>41029</v>
          </cell>
          <cell r="BF1073">
            <v>28.206156201176757</v>
          </cell>
          <cell r="BG1073">
            <v>45.468715051806292</v>
          </cell>
          <cell r="BH1073">
            <v>42.408178994289898</v>
          </cell>
          <cell r="BI1073">
            <v>30.406703917126244</v>
          </cell>
          <cell r="BJ1073">
            <v>54.409654071453552</v>
          </cell>
          <cell r="BU1073">
            <v>12.848785579715118</v>
          </cell>
          <cell r="BV1073">
            <v>29.635401891862816</v>
          </cell>
          <cell r="BW1073">
            <v>23.901518972811779</v>
          </cell>
          <cell r="BX1073">
            <v>15.713059154269443</v>
          </cell>
          <cell r="BY1073">
            <v>32.089978791354113</v>
          </cell>
        </row>
        <row r="1074">
          <cell r="A1074">
            <v>41030</v>
          </cell>
          <cell r="BF1074">
            <v>28.768744687829923</v>
          </cell>
          <cell r="BG1074">
            <v>45.468715051806292</v>
          </cell>
          <cell r="BH1074">
            <v>42.408178994289898</v>
          </cell>
          <cell r="BI1074">
            <v>30.406703917126244</v>
          </cell>
          <cell r="BJ1074">
            <v>54.409654071453552</v>
          </cell>
          <cell r="BU1074">
            <v>13.183073292981268</v>
          </cell>
          <cell r="BV1074">
            <v>29.635401891862816</v>
          </cell>
          <cell r="BW1074">
            <v>23.901518972811779</v>
          </cell>
          <cell r="BX1074">
            <v>15.713059154269443</v>
          </cell>
          <cell r="BY1074">
            <v>32.089978791354113</v>
          </cell>
        </row>
        <row r="1075">
          <cell r="A1075">
            <v>41031</v>
          </cell>
          <cell r="BF1075">
            <v>29.13837545134194</v>
          </cell>
          <cell r="BG1075">
            <v>45.468715051806292</v>
          </cell>
          <cell r="BH1075">
            <v>42.408178994289898</v>
          </cell>
          <cell r="BI1075">
            <v>30.406703917126244</v>
          </cell>
          <cell r="BJ1075">
            <v>54.409654071453552</v>
          </cell>
          <cell r="BU1075">
            <v>13.367078790207414</v>
          </cell>
          <cell r="BV1075">
            <v>29.635401891862816</v>
          </cell>
          <cell r="BW1075">
            <v>23.901518972811779</v>
          </cell>
          <cell r="BX1075">
            <v>15.713059154269443</v>
          </cell>
          <cell r="BY1075">
            <v>32.089978791354113</v>
          </cell>
        </row>
        <row r="1076">
          <cell r="A1076">
            <v>41032</v>
          </cell>
          <cell r="BF1076">
            <v>28.729151247566037</v>
          </cell>
          <cell r="BG1076">
            <v>45.468715051806292</v>
          </cell>
          <cell r="BH1076">
            <v>42.408178994289898</v>
          </cell>
          <cell r="BI1076">
            <v>30.406703917126244</v>
          </cell>
          <cell r="BJ1076">
            <v>54.409654071453552</v>
          </cell>
          <cell r="BU1076">
            <v>13.17856442361242</v>
          </cell>
          <cell r="BV1076">
            <v>29.635401891862816</v>
          </cell>
          <cell r="BW1076">
            <v>23.901518972811779</v>
          </cell>
          <cell r="BX1076">
            <v>15.713059154269443</v>
          </cell>
          <cell r="BY1076">
            <v>32.089978791354113</v>
          </cell>
        </row>
        <row r="1077">
          <cell r="A1077">
            <v>41033</v>
          </cell>
          <cell r="BF1077">
            <v>28.158712881841204</v>
          </cell>
          <cell r="BG1077">
            <v>45.468715051806292</v>
          </cell>
          <cell r="BH1077">
            <v>42.408178994289898</v>
          </cell>
          <cell r="BI1077">
            <v>30.406703917126244</v>
          </cell>
          <cell r="BJ1077">
            <v>54.409654071453552</v>
          </cell>
          <cell r="BU1077">
            <v>12.894262494575864</v>
          </cell>
          <cell r="BV1077">
            <v>29.635401891862816</v>
          </cell>
          <cell r="BW1077">
            <v>23.901518972811779</v>
          </cell>
          <cell r="BX1077">
            <v>15.713059154269443</v>
          </cell>
          <cell r="BY1077">
            <v>32.089978791354113</v>
          </cell>
        </row>
        <row r="1078">
          <cell r="A1078">
            <v>41036</v>
          </cell>
          <cell r="BF1078">
            <v>28.736528852230286</v>
          </cell>
          <cell r="BG1078">
            <v>45.468715051806292</v>
          </cell>
          <cell r="BH1078">
            <v>42.408178994289898</v>
          </cell>
          <cell r="BI1078">
            <v>30.406703917126244</v>
          </cell>
          <cell r="BJ1078">
            <v>54.409654071453552</v>
          </cell>
          <cell r="BU1078">
            <v>13.216073771845002</v>
          </cell>
          <cell r="BV1078">
            <v>29.635401891862816</v>
          </cell>
          <cell r="BW1078">
            <v>23.901518972811779</v>
          </cell>
          <cell r="BX1078">
            <v>15.713059154269443</v>
          </cell>
          <cell r="BY1078">
            <v>32.089978791354113</v>
          </cell>
        </row>
        <row r="1079">
          <cell r="A1079">
            <v>41037</v>
          </cell>
          <cell r="BF1079">
            <v>28.307720687092175</v>
          </cell>
          <cell r="BG1079">
            <v>45.468715051806292</v>
          </cell>
          <cell r="BH1079">
            <v>42.408178994289898</v>
          </cell>
          <cell r="BI1079">
            <v>30.406703917126244</v>
          </cell>
          <cell r="BJ1079">
            <v>54.409654071453552</v>
          </cell>
          <cell r="BU1079">
            <v>12.982601952199284</v>
          </cell>
          <cell r="BV1079">
            <v>29.635401891862816</v>
          </cell>
          <cell r="BW1079">
            <v>23.901518972811779</v>
          </cell>
          <cell r="BX1079">
            <v>15.713059154269443</v>
          </cell>
          <cell r="BY1079">
            <v>32.089978791354113</v>
          </cell>
        </row>
        <row r="1080">
          <cell r="A1080">
            <v>41038</v>
          </cell>
          <cell r="BF1080">
            <v>27.957549039841307</v>
          </cell>
          <cell r="BG1080">
            <v>45.468715051806292</v>
          </cell>
          <cell r="BH1080">
            <v>42.408178994289898</v>
          </cell>
          <cell r="BI1080">
            <v>30.406703917126244</v>
          </cell>
          <cell r="BJ1080">
            <v>54.409654071453552</v>
          </cell>
          <cell r="BU1080">
            <v>12.807932264960691</v>
          </cell>
          <cell r="BV1080">
            <v>29.635401891862816</v>
          </cell>
          <cell r="BW1080">
            <v>23.901518972811779</v>
          </cell>
          <cell r="BX1080">
            <v>15.713059154269443</v>
          </cell>
          <cell r="BY1080">
            <v>32.089978791354113</v>
          </cell>
        </row>
        <row r="1081">
          <cell r="A1081">
            <v>41039</v>
          </cell>
          <cell r="BF1081">
            <v>28.207668786466229</v>
          </cell>
          <cell r="BG1081">
            <v>45.468715051806292</v>
          </cell>
          <cell r="BH1081">
            <v>42.408178994289898</v>
          </cell>
          <cell r="BI1081">
            <v>30.406703917126244</v>
          </cell>
          <cell r="BJ1081">
            <v>54.409654071453552</v>
          </cell>
          <cell r="BU1081">
            <v>12.932698926201908</v>
          </cell>
          <cell r="BV1081">
            <v>29.635401891862816</v>
          </cell>
          <cell r="BW1081">
            <v>23.901518972811779</v>
          </cell>
          <cell r="BX1081">
            <v>15.713059154269443</v>
          </cell>
          <cell r="BY1081">
            <v>32.089978791354113</v>
          </cell>
        </row>
        <row r="1082">
          <cell r="A1082">
            <v>41040</v>
          </cell>
          <cell r="BF1082">
            <v>27.926281726605396</v>
          </cell>
          <cell r="BG1082">
            <v>45.468715051806292</v>
          </cell>
          <cell r="BH1082">
            <v>42.408178994289898</v>
          </cell>
          <cell r="BI1082">
            <v>30.406703917126244</v>
          </cell>
          <cell r="BJ1082">
            <v>54.409654071453552</v>
          </cell>
          <cell r="BU1082">
            <v>12.792337506168121</v>
          </cell>
          <cell r="BV1082">
            <v>29.635401891862816</v>
          </cell>
          <cell r="BW1082">
            <v>23.901518972811779</v>
          </cell>
          <cell r="BX1082">
            <v>15.713059154269443</v>
          </cell>
          <cell r="BY1082">
            <v>32.089978791354113</v>
          </cell>
        </row>
        <row r="1083">
          <cell r="A1083">
            <v>41043</v>
          </cell>
          <cell r="BF1083">
            <v>28.163902176702656</v>
          </cell>
          <cell r="BG1083">
            <v>45.468715051806292</v>
          </cell>
          <cell r="BH1083">
            <v>42.408178994289898</v>
          </cell>
          <cell r="BI1083">
            <v>30.406703917126244</v>
          </cell>
          <cell r="BJ1083">
            <v>54.409654071453552</v>
          </cell>
          <cell r="BU1083">
            <v>12.910857319248665</v>
          </cell>
          <cell r="BV1083">
            <v>29.635401891862816</v>
          </cell>
          <cell r="BW1083">
            <v>23.901518972811779</v>
          </cell>
          <cell r="BX1083">
            <v>15.713059154269443</v>
          </cell>
          <cell r="BY1083">
            <v>32.089978791354113</v>
          </cell>
        </row>
        <row r="1084">
          <cell r="A1084">
            <v>41044</v>
          </cell>
          <cell r="BF1084">
            <v>27.870006440682964</v>
          </cell>
          <cell r="BG1084">
            <v>45.468715051806292</v>
          </cell>
          <cell r="BH1084">
            <v>42.408178994289898</v>
          </cell>
          <cell r="BI1084">
            <v>30.406703917126244</v>
          </cell>
          <cell r="BJ1084">
            <v>54.409654071453552</v>
          </cell>
          <cell r="BU1084">
            <v>12.764256631260688</v>
          </cell>
          <cell r="BV1084">
            <v>29.635401891862816</v>
          </cell>
          <cell r="BW1084">
            <v>23.901518972811779</v>
          </cell>
          <cell r="BX1084">
            <v>15.713059154269443</v>
          </cell>
          <cell r="BY1084">
            <v>32.089978791354113</v>
          </cell>
        </row>
        <row r="1085">
          <cell r="A1085">
            <v>41045</v>
          </cell>
          <cell r="BF1085">
            <v>27.907523089528336</v>
          </cell>
          <cell r="BG1085">
            <v>45.468715051806292</v>
          </cell>
          <cell r="BH1085">
            <v>42.408178994289898</v>
          </cell>
          <cell r="BI1085">
            <v>30.406703917126244</v>
          </cell>
          <cell r="BJ1085">
            <v>54.409654071453552</v>
          </cell>
          <cell r="BU1085">
            <v>12.782969634325827</v>
          </cell>
          <cell r="BV1085">
            <v>29.635401891862816</v>
          </cell>
          <cell r="BW1085">
            <v>23.901518972811779</v>
          </cell>
          <cell r="BX1085">
            <v>15.713059154269443</v>
          </cell>
          <cell r="BY1085">
            <v>32.089978791354113</v>
          </cell>
        </row>
        <row r="1086">
          <cell r="A1086">
            <v>41046</v>
          </cell>
          <cell r="BF1086">
            <v>27.03440009336861</v>
          </cell>
          <cell r="BG1086">
            <v>45.468715051806292</v>
          </cell>
          <cell r="BH1086">
            <v>42.408178994289898</v>
          </cell>
          <cell r="BI1086">
            <v>30.406703917126244</v>
          </cell>
          <cell r="BJ1086">
            <v>54.409654071453552</v>
          </cell>
          <cell r="BU1086">
            <v>12.349409617725131</v>
          </cell>
          <cell r="BV1086">
            <v>29.635401891862816</v>
          </cell>
          <cell r="BW1086">
            <v>23.901518972811779</v>
          </cell>
          <cell r="BX1086">
            <v>15.713059154269443</v>
          </cell>
          <cell r="BY1086">
            <v>32.089978791354113</v>
          </cell>
        </row>
        <row r="1087">
          <cell r="A1087">
            <v>41047</v>
          </cell>
          <cell r="BF1087">
            <v>26.790565259165852</v>
          </cell>
          <cell r="BG1087">
            <v>45.468715051806292</v>
          </cell>
          <cell r="BH1087">
            <v>42.408178994289898</v>
          </cell>
          <cell r="BI1087">
            <v>30.406703917126244</v>
          </cell>
          <cell r="BJ1087">
            <v>54.409654071453552</v>
          </cell>
          <cell r="BU1087">
            <v>12.227750335793869</v>
          </cell>
          <cell r="BV1087">
            <v>29.635401891862816</v>
          </cell>
          <cell r="BW1087">
            <v>23.901518972811779</v>
          </cell>
          <cell r="BX1087">
            <v>15.713059154269443</v>
          </cell>
          <cell r="BY1087">
            <v>32.089978791354113</v>
          </cell>
        </row>
        <row r="1088">
          <cell r="A1088">
            <v>41050</v>
          </cell>
          <cell r="BF1088">
            <v>27.415782782762669</v>
          </cell>
          <cell r="BG1088">
            <v>45.468715051806292</v>
          </cell>
          <cell r="BH1088">
            <v>42.408178994289898</v>
          </cell>
          <cell r="BI1088">
            <v>30.406703917126244</v>
          </cell>
          <cell r="BJ1088">
            <v>54.409654071453552</v>
          </cell>
          <cell r="BU1088">
            <v>12.539672800388548</v>
          </cell>
          <cell r="BV1088">
            <v>29.635401891862816</v>
          </cell>
          <cell r="BW1088">
            <v>23.901518972811779</v>
          </cell>
          <cell r="BX1088">
            <v>15.713059154269443</v>
          </cell>
          <cell r="BY1088">
            <v>32.089978791354113</v>
          </cell>
        </row>
        <row r="1089">
          <cell r="A1089">
            <v>41051</v>
          </cell>
          <cell r="BF1089">
            <v>26.849950393423509</v>
          </cell>
          <cell r="BG1089">
            <v>45.468715051806292</v>
          </cell>
          <cell r="BH1089">
            <v>42.408178994289898</v>
          </cell>
          <cell r="BI1089">
            <v>30.406703917126244</v>
          </cell>
          <cell r="BJ1089">
            <v>54.409654071453552</v>
          </cell>
          <cell r="BU1089">
            <v>12.283911580261641</v>
          </cell>
          <cell r="BV1089">
            <v>29.635401891862816</v>
          </cell>
          <cell r="BW1089">
            <v>23.901518972811779</v>
          </cell>
          <cell r="BX1089">
            <v>15.713059154269443</v>
          </cell>
          <cell r="BY1089">
            <v>32.089978791354113</v>
          </cell>
        </row>
        <row r="1090">
          <cell r="A1090">
            <v>41052</v>
          </cell>
          <cell r="BF1090">
            <v>27.118258341083916</v>
          </cell>
          <cell r="BG1090">
            <v>45.468715051806292</v>
          </cell>
          <cell r="BH1090">
            <v>42.408178994289898</v>
          </cell>
          <cell r="BI1090">
            <v>30.406703917126244</v>
          </cell>
          <cell r="BJ1090">
            <v>54.409654071453552</v>
          </cell>
          <cell r="BU1090">
            <v>12.418035248382528</v>
          </cell>
          <cell r="BV1090">
            <v>29.635401891862816</v>
          </cell>
          <cell r="BW1090">
            <v>23.901518972811779</v>
          </cell>
          <cell r="BX1090">
            <v>15.713059154269443</v>
          </cell>
          <cell r="BY1090">
            <v>32.089978791354113</v>
          </cell>
        </row>
        <row r="1091">
          <cell r="A1091">
            <v>41053</v>
          </cell>
          <cell r="BF1091">
            <v>27.118258341083916</v>
          </cell>
          <cell r="BG1091">
            <v>45.468715051806292</v>
          </cell>
          <cell r="BH1091">
            <v>42.408178994289898</v>
          </cell>
          <cell r="BI1091">
            <v>30.406703917126244</v>
          </cell>
          <cell r="BJ1091">
            <v>54.409654071453552</v>
          </cell>
          <cell r="BU1091">
            <v>12.418035248382528</v>
          </cell>
          <cell r="BV1091">
            <v>29.635401891862816</v>
          </cell>
          <cell r="BW1091">
            <v>23.901518972811779</v>
          </cell>
          <cell r="BX1091">
            <v>15.713059154269443</v>
          </cell>
          <cell r="BY1091">
            <v>32.089978791354113</v>
          </cell>
        </row>
        <row r="1092">
          <cell r="A1092">
            <v>41054</v>
          </cell>
          <cell r="BF1092">
            <v>27.355374670072276</v>
          </cell>
          <cell r="BG1092">
            <v>45.468715051806292</v>
          </cell>
          <cell r="BH1092">
            <v>42.408178994289898</v>
          </cell>
          <cell r="BI1092">
            <v>30.406703917126244</v>
          </cell>
          <cell r="BJ1092">
            <v>54.409654071453552</v>
          </cell>
          <cell r="BU1092">
            <v>12.536555061463067</v>
          </cell>
          <cell r="BV1092">
            <v>29.635401891862816</v>
          </cell>
          <cell r="BW1092">
            <v>23.901518972811779</v>
          </cell>
          <cell r="BX1092">
            <v>15.713059154269443</v>
          </cell>
          <cell r="BY1092">
            <v>32.089978791354113</v>
          </cell>
        </row>
        <row r="1093">
          <cell r="A1093">
            <v>41057</v>
          </cell>
          <cell r="BF1093">
            <v>27.355374670072276</v>
          </cell>
          <cell r="BG1093">
            <v>45.468715051806292</v>
          </cell>
          <cell r="BH1093">
            <v>42.408178994289898</v>
          </cell>
          <cell r="BI1093">
            <v>30.406703917126244</v>
          </cell>
          <cell r="BJ1093">
            <v>54.409654071453552</v>
          </cell>
          <cell r="BU1093">
            <v>12.536555061463067</v>
          </cell>
          <cell r="BV1093">
            <v>29.635401891862816</v>
          </cell>
          <cell r="BW1093">
            <v>23.901518972811779</v>
          </cell>
          <cell r="BX1093">
            <v>15.713059154269443</v>
          </cell>
          <cell r="BY1093">
            <v>32.089978791354113</v>
          </cell>
        </row>
        <row r="1094">
          <cell r="A1094">
            <v>41058</v>
          </cell>
          <cell r="BF1094">
            <v>27.580008236566961</v>
          </cell>
          <cell r="BG1094">
            <v>45.468715051806292</v>
          </cell>
          <cell r="BH1094">
            <v>42.408178994289898</v>
          </cell>
          <cell r="BI1094">
            <v>30.406703917126244</v>
          </cell>
          <cell r="BJ1094">
            <v>54.409654071453552</v>
          </cell>
          <cell r="BU1094">
            <v>12.648845460857846</v>
          </cell>
          <cell r="BV1094">
            <v>29.635401891862816</v>
          </cell>
          <cell r="BW1094">
            <v>23.901518972811779</v>
          </cell>
          <cell r="BX1094">
            <v>15.713059154269443</v>
          </cell>
          <cell r="BY1094">
            <v>32.089978791354113</v>
          </cell>
        </row>
        <row r="1095">
          <cell r="A1095">
            <v>41059</v>
          </cell>
          <cell r="BF1095">
            <v>27.661119673535413</v>
          </cell>
          <cell r="BG1095">
            <v>45.468715051806292</v>
          </cell>
          <cell r="BH1095">
            <v>42.408178994289898</v>
          </cell>
          <cell r="BI1095">
            <v>30.406703917126244</v>
          </cell>
          <cell r="BJ1095">
            <v>54.409654071453552</v>
          </cell>
          <cell r="BU1095">
            <v>12.689402092264624</v>
          </cell>
          <cell r="BV1095">
            <v>29.635401891862816</v>
          </cell>
          <cell r="BW1095">
            <v>23.901518972811779</v>
          </cell>
          <cell r="BX1095">
            <v>15.713059154269443</v>
          </cell>
          <cell r="BY1095">
            <v>32.089978791354113</v>
          </cell>
        </row>
        <row r="1096">
          <cell r="A1096">
            <v>41060</v>
          </cell>
          <cell r="BF1096">
            <v>26.865875262307991</v>
          </cell>
          <cell r="BG1096">
            <v>45.468715051806292</v>
          </cell>
          <cell r="BH1096">
            <v>42.408178994289898</v>
          </cell>
          <cell r="BI1096">
            <v>30.406703917126244</v>
          </cell>
          <cell r="BJ1096">
            <v>54.409654071453552</v>
          </cell>
          <cell r="BU1096">
            <v>12.279644696914225</v>
          </cell>
          <cell r="BV1096">
            <v>29.635401891862816</v>
          </cell>
          <cell r="BW1096">
            <v>23.901518972811779</v>
          </cell>
          <cell r="BX1096">
            <v>15.713059154269443</v>
          </cell>
          <cell r="BY1096">
            <v>32.089978791354113</v>
          </cell>
        </row>
        <row r="1097">
          <cell r="A1097">
            <v>41061</v>
          </cell>
          <cell r="BF1097">
            <v>25.857275329771355</v>
          </cell>
          <cell r="BG1097">
            <v>45.468715051806292</v>
          </cell>
          <cell r="BH1097">
            <v>42.408178994289898</v>
          </cell>
          <cell r="BI1097">
            <v>30.406703917126244</v>
          </cell>
          <cell r="BJ1097">
            <v>54.409654071453552</v>
          </cell>
          <cell r="BU1097">
            <v>11.831934368737475</v>
          </cell>
          <cell r="BV1097">
            <v>29.635401891862816</v>
          </cell>
          <cell r="BW1097">
            <v>23.901518972811779</v>
          </cell>
          <cell r="BX1097">
            <v>15.713059154269443</v>
          </cell>
          <cell r="BY1097">
            <v>32.089978791354113</v>
          </cell>
        </row>
        <row r="1098">
          <cell r="A1098">
            <v>41064</v>
          </cell>
          <cell r="BF1098">
            <v>24.987352081045398</v>
          </cell>
          <cell r="BG1098">
            <v>45.468715051806292</v>
          </cell>
          <cell r="BH1098">
            <v>42.408178994289898</v>
          </cell>
          <cell r="BI1098">
            <v>30.406703917126244</v>
          </cell>
          <cell r="BJ1098">
            <v>54.409654071453552</v>
          </cell>
          <cell r="BU1098">
            <v>11.395906062124247</v>
          </cell>
          <cell r="BV1098">
            <v>29.635401891862816</v>
          </cell>
          <cell r="BW1098">
            <v>23.901518972811779</v>
          </cell>
          <cell r="BX1098">
            <v>15.713059154269443</v>
          </cell>
          <cell r="BY1098">
            <v>32.089978791354113</v>
          </cell>
        </row>
        <row r="1099">
          <cell r="A1099">
            <v>41065</v>
          </cell>
          <cell r="BF1099">
            <v>25.283496008193385</v>
          </cell>
          <cell r="BG1099">
            <v>45.468715051806292</v>
          </cell>
          <cell r="BH1099">
            <v>42.408178994289898</v>
          </cell>
          <cell r="BI1099">
            <v>30.406703917126244</v>
          </cell>
          <cell r="BJ1099">
            <v>54.409654071453552</v>
          </cell>
          <cell r="BU1099">
            <v>11.544346192384772</v>
          </cell>
          <cell r="BV1099">
            <v>29.635401891862816</v>
          </cell>
          <cell r="BW1099">
            <v>23.901518972811779</v>
          </cell>
          <cell r="BX1099">
            <v>15.713059154269443</v>
          </cell>
          <cell r="BY1099">
            <v>32.089978791354113</v>
          </cell>
        </row>
        <row r="1100">
          <cell r="A1100">
            <v>41066</v>
          </cell>
          <cell r="BF1100">
            <v>24.987352081045398</v>
          </cell>
          <cell r="BG1100">
            <v>45.468715051806292</v>
          </cell>
          <cell r="BH1100">
            <v>42.408178994289898</v>
          </cell>
          <cell r="BI1100">
            <v>30.406703917126244</v>
          </cell>
          <cell r="BJ1100">
            <v>54.409654071453552</v>
          </cell>
          <cell r="BU1100">
            <v>11.395906062124247</v>
          </cell>
          <cell r="BV1100">
            <v>29.635401891862816</v>
          </cell>
          <cell r="BW1100">
            <v>23.901518972811779</v>
          </cell>
          <cell r="BX1100">
            <v>15.713059154269443</v>
          </cell>
          <cell r="BY1100">
            <v>32.089978791354113</v>
          </cell>
        </row>
        <row r="1101">
          <cell r="A1101">
            <v>41067</v>
          </cell>
          <cell r="BF1101">
            <v>24.265487222516999</v>
          </cell>
          <cell r="BG1101">
            <v>45.468715051806292</v>
          </cell>
          <cell r="BH1101">
            <v>42.408178994289898</v>
          </cell>
          <cell r="BI1101">
            <v>30.406703917126244</v>
          </cell>
          <cell r="BJ1101">
            <v>54.409654071453552</v>
          </cell>
          <cell r="BU1101">
            <v>11.034098196392785</v>
          </cell>
          <cell r="BV1101">
            <v>29.635401891862816</v>
          </cell>
          <cell r="BW1101">
            <v>23.901518972811779</v>
          </cell>
          <cell r="BX1101">
            <v>15.713059154269443</v>
          </cell>
          <cell r="BY1101">
            <v>32.089978791354113</v>
          </cell>
        </row>
        <row r="1102">
          <cell r="A1102">
            <v>41068</v>
          </cell>
          <cell r="BF1102">
            <v>24.463730688560698</v>
          </cell>
          <cell r="BG1102">
            <v>45.468715051806292</v>
          </cell>
          <cell r="BH1102">
            <v>42.408178994289898</v>
          </cell>
          <cell r="BI1102">
            <v>30.406703917126244</v>
          </cell>
          <cell r="BJ1102">
            <v>54.409654071453552</v>
          </cell>
          <cell r="BU1102">
            <v>11.099042835671343</v>
          </cell>
          <cell r="BV1102">
            <v>29.635401891862816</v>
          </cell>
          <cell r="BW1102">
            <v>23.901518972811779</v>
          </cell>
          <cell r="BX1102">
            <v>15.713059154269443</v>
          </cell>
          <cell r="BY1102">
            <v>32.089978791354113</v>
          </cell>
        </row>
        <row r="1103">
          <cell r="A1103">
            <v>41071</v>
          </cell>
          <cell r="BF1103">
            <v>24.01825994419249</v>
          </cell>
          <cell r="BG1103">
            <v>45.468715051806292</v>
          </cell>
          <cell r="BH1103">
            <v>42.408178994289898</v>
          </cell>
          <cell r="BI1103">
            <v>30.406703917126244</v>
          </cell>
          <cell r="BJ1103">
            <v>54.409654071453552</v>
          </cell>
          <cell r="BU1103">
            <v>10.876390280561122</v>
          </cell>
          <cell r="BV1103">
            <v>29.635401891862816</v>
          </cell>
          <cell r="BW1103">
            <v>23.901518972811779</v>
          </cell>
          <cell r="BX1103">
            <v>15.713059154269443</v>
          </cell>
          <cell r="BY1103">
            <v>32.089978791354113</v>
          </cell>
        </row>
        <row r="1104">
          <cell r="A1104">
            <v>41072</v>
          </cell>
          <cell r="BF1104">
            <v>24.327614198122834</v>
          </cell>
          <cell r="BG1104">
            <v>45.468715051806292</v>
          </cell>
          <cell r="BH1104">
            <v>42.408178994289898</v>
          </cell>
          <cell r="BI1104">
            <v>30.406703917126244</v>
          </cell>
          <cell r="BJ1104">
            <v>54.409654071453552</v>
          </cell>
          <cell r="BU1104">
            <v>11.031007014028056</v>
          </cell>
          <cell r="BV1104">
            <v>29.635401891862816</v>
          </cell>
          <cell r="BW1104">
            <v>23.901518972811779</v>
          </cell>
          <cell r="BX1104">
            <v>15.713059154269443</v>
          </cell>
          <cell r="BY1104">
            <v>32.089978791354113</v>
          </cell>
        </row>
        <row r="1105">
          <cell r="A1105">
            <v>41073</v>
          </cell>
          <cell r="BF1105">
            <v>24.476107333551944</v>
          </cell>
          <cell r="BG1105">
            <v>45.468715051806292</v>
          </cell>
          <cell r="BH1105">
            <v>42.408178994289898</v>
          </cell>
          <cell r="BI1105">
            <v>30.406703917126244</v>
          </cell>
          <cell r="BJ1105">
            <v>54.409654071453552</v>
          </cell>
          <cell r="BU1105">
            <v>11.105227955911825</v>
          </cell>
          <cell r="BV1105">
            <v>29.635401891862816</v>
          </cell>
          <cell r="BW1105">
            <v>23.901518972811779</v>
          </cell>
          <cell r="BX1105">
            <v>15.713059154269443</v>
          </cell>
          <cell r="BY1105">
            <v>32.089978791354113</v>
          </cell>
        </row>
        <row r="1106">
          <cell r="A1106">
            <v>41074</v>
          </cell>
          <cell r="BF1106">
            <v>24.290492925068214</v>
          </cell>
          <cell r="BG1106">
            <v>45.468715051806292</v>
          </cell>
          <cell r="BH1106">
            <v>42.408178994289898</v>
          </cell>
          <cell r="BI1106">
            <v>30.406703917126244</v>
          </cell>
          <cell r="BJ1106">
            <v>54.409654071453552</v>
          </cell>
          <cell r="BU1106">
            <v>11.01245365731463</v>
          </cell>
          <cell r="BV1106">
            <v>29.635401891862816</v>
          </cell>
          <cell r="BW1106">
            <v>23.901518972811779</v>
          </cell>
          <cell r="BX1106">
            <v>15.713059154269443</v>
          </cell>
          <cell r="BY1106">
            <v>32.089978791354113</v>
          </cell>
        </row>
        <row r="1107">
          <cell r="A1107">
            <v>41075</v>
          </cell>
          <cell r="BF1107">
            <v>24.630784460517116</v>
          </cell>
          <cell r="BG1107">
            <v>45.468715051806292</v>
          </cell>
          <cell r="BH1107">
            <v>42.408178994289898</v>
          </cell>
          <cell r="BI1107">
            <v>30.406703917126244</v>
          </cell>
          <cell r="BJ1107">
            <v>54.409654071453552</v>
          </cell>
          <cell r="BU1107">
            <v>11.232681710440897</v>
          </cell>
          <cell r="BV1107">
            <v>29.635401891862816</v>
          </cell>
          <cell r="BW1107">
            <v>23.901518972811779</v>
          </cell>
          <cell r="BX1107">
            <v>15.713059154269443</v>
          </cell>
          <cell r="BY1107">
            <v>32.089978791354113</v>
          </cell>
        </row>
        <row r="1108">
          <cell r="A1108">
            <v>41078</v>
          </cell>
          <cell r="BF1108">
            <v>24.989636632493333</v>
          </cell>
          <cell r="BG1108">
            <v>45.468715051806292</v>
          </cell>
          <cell r="BH1108">
            <v>42.408178994289898</v>
          </cell>
          <cell r="BI1108">
            <v>30.406703917126244</v>
          </cell>
          <cell r="BJ1108">
            <v>54.409654071453552</v>
          </cell>
          <cell r="BU1108">
            <v>11.412838623313487</v>
          </cell>
          <cell r="BV1108">
            <v>29.635401891862816</v>
          </cell>
          <cell r="BW1108">
            <v>23.901518972811779</v>
          </cell>
          <cell r="BX1108">
            <v>15.713059154269443</v>
          </cell>
          <cell r="BY1108">
            <v>32.089978791354113</v>
          </cell>
        </row>
        <row r="1109">
          <cell r="A1109">
            <v>41079</v>
          </cell>
          <cell r="BF1109">
            <v>25.527909940789595</v>
          </cell>
          <cell r="BG1109">
            <v>45.468715051806292</v>
          </cell>
          <cell r="BH1109">
            <v>42.408178994289898</v>
          </cell>
          <cell r="BI1109">
            <v>30.406703917126244</v>
          </cell>
          <cell r="BJ1109">
            <v>54.409654071453552</v>
          </cell>
          <cell r="BU1109">
            <v>11.683089341700677</v>
          </cell>
          <cell r="BV1109">
            <v>29.635401891862816</v>
          </cell>
          <cell r="BW1109">
            <v>23.901518972811779</v>
          </cell>
          <cell r="BX1109">
            <v>15.713059154269443</v>
          </cell>
          <cell r="BY1109">
            <v>32.089978791354113</v>
          </cell>
        </row>
        <row r="1110">
          <cell r="A1110">
            <v>41080</v>
          </cell>
          <cell r="BF1110">
            <v>25.410354086879046</v>
          </cell>
          <cell r="BG1110">
            <v>45.468715051806292</v>
          </cell>
          <cell r="BH1110">
            <v>42.408178994289898</v>
          </cell>
          <cell r="BI1110">
            <v>30.406703917126244</v>
          </cell>
          <cell r="BJ1110">
            <v>54.409654071453552</v>
          </cell>
          <cell r="BU1110">
            <v>11.624065845029664</v>
          </cell>
          <cell r="BV1110">
            <v>29.635401891862816</v>
          </cell>
          <cell r="BW1110">
            <v>23.901518972811779</v>
          </cell>
          <cell r="BX1110">
            <v>15.713059154269443</v>
          </cell>
          <cell r="BY1110">
            <v>32.089978791354113</v>
          </cell>
        </row>
        <row r="1111">
          <cell r="A1111">
            <v>41081</v>
          </cell>
          <cell r="BF1111">
            <v>24.073941235065924</v>
          </cell>
          <cell r="BG1111">
            <v>45.468715051806292</v>
          </cell>
          <cell r="BH1111">
            <v>42.408178994289898</v>
          </cell>
          <cell r="BI1111">
            <v>30.406703917126244</v>
          </cell>
          <cell r="BJ1111">
            <v>54.409654071453552</v>
          </cell>
          <cell r="BU1111">
            <v>10.953112340155705</v>
          </cell>
          <cell r="BV1111">
            <v>29.635401891862816</v>
          </cell>
          <cell r="BW1111">
            <v>23.901518972811779</v>
          </cell>
          <cell r="BX1111">
            <v>15.713059154269443</v>
          </cell>
          <cell r="BY1111">
            <v>32.089978791354113</v>
          </cell>
        </row>
        <row r="1112">
          <cell r="A1112">
            <v>41082</v>
          </cell>
          <cell r="BF1112">
            <v>25.104095850322039</v>
          </cell>
          <cell r="BG1112">
            <v>45.468715051806292</v>
          </cell>
          <cell r="BH1112">
            <v>42.408178994289898</v>
          </cell>
          <cell r="BI1112">
            <v>30.406703917126244</v>
          </cell>
          <cell r="BJ1112">
            <v>54.409654071453552</v>
          </cell>
          <cell r="BU1112">
            <v>11.470309346833814</v>
          </cell>
          <cell r="BV1112">
            <v>29.635401891862816</v>
          </cell>
          <cell r="BW1112">
            <v>23.901518972811779</v>
          </cell>
          <cell r="BX1112">
            <v>15.713059154269443</v>
          </cell>
          <cell r="BY1112">
            <v>32.089978791354113</v>
          </cell>
        </row>
        <row r="1113">
          <cell r="A1113">
            <v>41085</v>
          </cell>
          <cell r="BF1113">
            <v>24.649345097044424</v>
          </cell>
          <cell r="BG1113">
            <v>45.468715051806292</v>
          </cell>
          <cell r="BH1113">
            <v>42.408178994289898</v>
          </cell>
          <cell r="BI1113">
            <v>30.406703917126244</v>
          </cell>
          <cell r="BJ1113">
            <v>54.409654071453552</v>
          </cell>
          <cell r="BU1113">
            <v>11.241999607466193</v>
          </cell>
          <cell r="BV1113">
            <v>29.635401891862816</v>
          </cell>
          <cell r="BW1113">
            <v>23.901518972811779</v>
          </cell>
          <cell r="BX1113">
            <v>15.713059154269443</v>
          </cell>
          <cell r="BY1113">
            <v>32.089978791354113</v>
          </cell>
        </row>
        <row r="1114">
          <cell r="A1114">
            <v>41086</v>
          </cell>
          <cell r="BF1114">
            <v>24.240995007022342</v>
          </cell>
          <cell r="BG1114">
            <v>45.468715051806292</v>
          </cell>
          <cell r="BH1114">
            <v>42.408178994289898</v>
          </cell>
          <cell r="BI1114">
            <v>30.406703917126244</v>
          </cell>
          <cell r="BJ1114">
            <v>54.409654071453552</v>
          </cell>
          <cell r="BU1114">
            <v>11.036984988098174</v>
          </cell>
          <cell r="BV1114">
            <v>29.635401891862816</v>
          </cell>
          <cell r="BW1114">
            <v>23.901518972811779</v>
          </cell>
          <cell r="BX1114">
            <v>15.713059154269443</v>
          </cell>
          <cell r="BY1114">
            <v>32.089978791354113</v>
          </cell>
        </row>
        <row r="1115">
          <cell r="A1115">
            <v>41087</v>
          </cell>
          <cell r="BF1115">
            <v>24.705026387917862</v>
          </cell>
          <cell r="BG1115">
            <v>45.468715051806292</v>
          </cell>
          <cell r="BH1115">
            <v>42.408178994289898</v>
          </cell>
          <cell r="BI1115">
            <v>30.406703917126244</v>
          </cell>
          <cell r="BJ1115">
            <v>54.409654071453552</v>
          </cell>
          <cell r="BU1115">
            <v>11.269953550166324</v>
          </cell>
          <cell r="BV1115">
            <v>29.635401891862816</v>
          </cell>
          <cell r="BW1115">
            <v>23.901518972811779</v>
          </cell>
          <cell r="BX1115">
            <v>15.713059154269443</v>
          </cell>
          <cell r="BY1115">
            <v>32.089978791354113</v>
          </cell>
        </row>
        <row r="1116">
          <cell r="A1116">
            <v>41088</v>
          </cell>
          <cell r="BF1116">
            <v>24.247178998558407</v>
          </cell>
          <cell r="BG1116">
            <v>45.468715051806292</v>
          </cell>
          <cell r="BH1116">
            <v>42.408178994289898</v>
          </cell>
          <cell r="BI1116">
            <v>30.406703917126244</v>
          </cell>
          <cell r="BJ1116">
            <v>54.409654071453552</v>
          </cell>
          <cell r="BU1116">
            <v>11.040091289272254</v>
          </cell>
          <cell r="BV1116">
            <v>29.635401891862816</v>
          </cell>
          <cell r="BW1116">
            <v>23.901518972811779</v>
          </cell>
          <cell r="BX1116">
            <v>15.713059154269443</v>
          </cell>
          <cell r="BY1116">
            <v>32.089978791354113</v>
          </cell>
        </row>
        <row r="1117">
          <cell r="A1117">
            <v>41089</v>
          </cell>
          <cell r="BF1117">
            <v>24.989636632493333</v>
          </cell>
          <cell r="BG1117">
            <v>45.468715051806292</v>
          </cell>
          <cell r="BH1117">
            <v>42.408178994289898</v>
          </cell>
          <cell r="BI1117">
            <v>30.406703917126244</v>
          </cell>
          <cell r="BJ1117">
            <v>54.409654071453552</v>
          </cell>
          <cell r="BU1117">
            <v>11.412838623313487</v>
          </cell>
          <cell r="BV1117">
            <v>29.635401891862816</v>
          </cell>
          <cell r="BW1117">
            <v>23.901518972811779</v>
          </cell>
          <cell r="BX1117">
            <v>15.713059154269443</v>
          </cell>
          <cell r="BY1117">
            <v>32.089978791354113</v>
          </cell>
        </row>
        <row r="1118">
          <cell r="A1118">
            <v>41092</v>
          </cell>
          <cell r="BF1118">
            <v>25.198699204578791</v>
          </cell>
          <cell r="BG1118">
            <v>45.468715051806292</v>
          </cell>
          <cell r="BH1118">
            <v>42.408178994289898</v>
          </cell>
          <cell r="BI1118">
            <v>30.406703917126244</v>
          </cell>
          <cell r="BJ1118">
            <v>54.409654071453552</v>
          </cell>
          <cell r="BU1118">
            <v>11.508980890500364</v>
          </cell>
          <cell r="BV1118">
            <v>29.635401891862816</v>
          </cell>
          <cell r="BW1118">
            <v>23.901518972811779</v>
          </cell>
          <cell r="BX1118">
            <v>15.713059154269443</v>
          </cell>
          <cell r="BY1118">
            <v>32.089978791354113</v>
          </cell>
        </row>
        <row r="1119">
          <cell r="A1119">
            <v>41093</v>
          </cell>
          <cell r="BF1119">
            <v>25.158908331673643</v>
          </cell>
          <cell r="BG1119">
            <v>45.468715051806292</v>
          </cell>
          <cell r="BH1119">
            <v>42.408178994289898</v>
          </cell>
          <cell r="BI1119">
            <v>30.406703917126244</v>
          </cell>
          <cell r="BJ1119">
            <v>54.409654071453552</v>
          </cell>
          <cell r="BU1119">
            <v>11.488927286921902</v>
          </cell>
          <cell r="BV1119">
            <v>29.635401891862816</v>
          </cell>
          <cell r="BW1119">
            <v>23.901518972811779</v>
          </cell>
          <cell r="BX1119">
            <v>15.713059154269443</v>
          </cell>
          <cell r="BY1119">
            <v>32.089978791354113</v>
          </cell>
        </row>
        <row r="1120">
          <cell r="A1120">
            <v>41094</v>
          </cell>
          <cell r="BF1120">
            <v>25.158908331673643</v>
          </cell>
          <cell r="BG1120">
            <v>45.468715051806292</v>
          </cell>
          <cell r="BH1120">
            <v>42.408178994289898</v>
          </cell>
          <cell r="BI1120">
            <v>30.406703917126244</v>
          </cell>
          <cell r="BJ1120">
            <v>54.409654071453552</v>
          </cell>
          <cell r="BU1120">
            <v>11.488927286921902</v>
          </cell>
          <cell r="BV1120">
            <v>29.635401891862816</v>
          </cell>
          <cell r="BW1120">
            <v>23.901518972811779</v>
          </cell>
          <cell r="BX1120">
            <v>15.713059154269443</v>
          </cell>
          <cell r="BY1120">
            <v>32.089978791354113</v>
          </cell>
        </row>
        <row r="1121">
          <cell r="A1121">
            <v>41095</v>
          </cell>
          <cell r="BF1121">
            <v>25.024237134498037</v>
          </cell>
          <cell r="BG1121">
            <v>45.468715051806292</v>
          </cell>
          <cell r="BH1121">
            <v>42.408178994289898</v>
          </cell>
          <cell r="BI1121">
            <v>30.406703917126244</v>
          </cell>
          <cell r="BJ1121">
            <v>54.409654071453552</v>
          </cell>
          <cell r="BU1121">
            <v>11.421043361913584</v>
          </cell>
          <cell r="BV1121">
            <v>29.635401891862816</v>
          </cell>
          <cell r="BW1121">
            <v>23.901518972811779</v>
          </cell>
          <cell r="BX1121">
            <v>15.713059154269443</v>
          </cell>
          <cell r="BY1121">
            <v>32.089978791354113</v>
          </cell>
        </row>
        <row r="1122">
          <cell r="A1122">
            <v>41096</v>
          </cell>
          <cell r="BF1122">
            <v>24.627585041500176</v>
          </cell>
          <cell r="BG1122">
            <v>45.468715051806292</v>
          </cell>
          <cell r="BH1122">
            <v>42.408178994289898</v>
          </cell>
          <cell r="BI1122">
            <v>30.406703917126244</v>
          </cell>
          <cell r="BJ1122">
            <v>54.409654071453552</v>
          </cell>
          <cell r="BU1122">
            <v>11.21124108863529</v>
          </cell>
          <cell r="BV1122">
            <v>29.635401891862816</v>
          </cell>
          <cell r="BW1122">
            <v>23.901518972811779</v>
          </cell>
          <cell r="BX1122">
            <v>15.713059154269443</v>
          </cell>
          <cell r="BY1122">
            <v>32.089978791354113</v>
          </cell>
        </row>
        <row r="1123">
          <cell r="A1123">
            <v>41099</v>
          </cell>
          <cell r="BF1123">
            <v>24.872631981456163</v>
          </cell>
          <cell r="BG1123">
            <v>45.468715051806292</v>
          </cell>
          <cell r="BH1123">
            <v>42.408178994289898</v>
          </cell>
          <cell r="BI1123">
            <v>30.406703917126244</v>
          </cell>
          <cell r="BJ1123">
            <v>54.409654071453552</v>
          </cell>
          <cell r="BU1123">
            <v>11.334658204289562</v>
          </cell>
          <cell r="BV1123">
            <v>29.635401891862816</v>
          </cell>
          <cell r="BW1123">
            <v>23.901518972811779</v>
          </cell>
          <cell r="BX1123">
            <v>15.713059154269443</v>
          </cell>
          <cell r="BY1123">
            <v>32.089978791354113</v>
          </cell>
        </row>
        <row r="1124">
          <cell r="A1124">
            <v>41100</v>
          </cell>
          <cell r="BF1124">
            <v>24.443795241834138</v>
          </cell>
          <cell r="BG1124">
            <v>45.468715051806292</v>
          </cell>
          <cell r="BH1124">
            <v>42.408178994289898</v>
          </cell>
          <cell r="BI1124">
            <v>30.406703917126244</v>
          </cell>
          <cell r="BJ1124">
            <v>54.409654071453552</v>
          </cell>
          <cell r="BU1124">
            <v>11.118675939959083</v>
          </cell>
          <cell r="BV1124">
            <v>29.635401891862816</v>
          </cell>
          <cell r="BW1124">
            <v>23.901518972811779</v>
          </cell>
          <cell r="BX1124">
            <v>15.713059154269443</v>
          </cell>
          <cell r="BY1124">
            <v>32.089978791354113</v>
          </cell>
        </row>
        <row r="1125">
          <cell r="A1125">
            <v>41101</v>
          </cell>
          <cell r="BF1125">
            <v>24.1436051744503</v>
          </cell>
          <cell r="BG1125">
            <v>45.468715051806292</v>
          </cell>
          <cell r="BH1125">
            <v>42.408178994289898</v>
          </cell>
          <cell r="BI1125">
            <v>30.406703917126244</v>
          </cell>
          <cell r="BJ1125">
            <v>54.409654071453552</v>
          </cell>
          <cell r="BU1125">
            <v>10.967482106453415</v>
          </cell>
          <cell r="BV1125">
            <v>29.635401891862816</v>
          </cell>
          <cell r="BW1125">
            <v>23.901518972811779</v>
          </cell>
          <cell r="BX1125">
            <v>15.713059154269443</v>
          </cell>
          <cell r="BY1125">
            <v>32.089978791354113</v>
          </cell>
        </row>
        <row r="1126">
          <cell r="A1126">
            <v>41102</v>
          </cell>
          <cell r="BF1126">
            <v>24.455731066533954</v>
          </cell>
          <cell r="BG1126">
            <v>45.468715051806292</v>
          </cell>
          <cell r="BH1126">
            <v>42.408178994289898</v>
          </cell>
          <cell r="BI1126">
            <v>30.406703917126244</v>
          </cell>
          <cell r="BJ1126">
            <v>54.409654071453552</v>
          </cell>
          <cell r="BU1126">
            <v>11.121428299333788</v>
          </cell>
          <cell r="BV1126">
            <v>29.635401891862816</v>
          </cell>
          <cell r="BW1126">
            <v>23.901518972811779</v>
          </cell>
          <cell r="BX1126">
            <v>15.713059154269443</v>
          </cell>
          <cell r="BY1126">
            <v>32.089978791354113</v>
          </cell>
        </row>
        <row r="1127">
          <cell r="A1127">
            <v>41103</v>
          </cell>
          <cell r="BF1127">
            <v>24.770365891647572</v>
          </cell>
          <cell r="BG1127">
            <v>45.468715051806292</v>
          </cell>
          <cell r="BH1127">
            <v>42.408178994289898</v>
          </cell>
          <cell r="BI1127">
            <v>30.406703917126244</v>
          </cell>
          <cell r="BJ1127">
            <v>54.409654071453552</v>
          </cell>
          <cell r="BU1127">
            <v>11.243675677296464</v>
          </cell>
          <cell r="BV1127">
            <v>29.635401891862816</v>
          </cell>
          <cell r="BW1127">
            <v>23.901518972811779</v>
          </cell>
          <cell r="BX1127">
            <v>15.713059154269443</v>
          </cell>
          <cell r="BY1127">
            <v>32.089978791354113</v>
          </cell>
        </row>
        <row r="1128">
          <cell r="A1128">
            <v>41106</v>
          </cell>
          <cell r="BF1128">
            <v>24.990601349862249</v>
          </cell>
          <cell r="BG1128">
            <v>45.468715051806292</v>
          </cell>
          <cell r="BH1128">
            <v>42.408178994289898</v>
          </cell>
          <cell r="BI1128">
            <v>30.406703917126244</v>
          </cell>
          <cell r="BJ1128">
            <v>54.409654071453552</v>
          </cell>
          <cell r="BU1128">
            <v>11.384981193474337</v>
          </cell>
          <cell r="BV1128">
            <v>29.635401891862816</v>
          </cell>
          <cell r="BW1128">
            <v>23.901518972811779</v>
          </cell>
          <cell r="BX1128">
            <v>15.713059154269443</v>
          </cell>
          <cell r="BY1128">
            <v>32.089978791354113</v>
          </cell>
        </row>
        <row r="1129">
          <cell r="A1129">
            <v>41107</v>
          </cell>
          <cell r="BF1129">
            <v>25.516720000695802</v>
          </cell>
          <cell r="BG1129">
            <v>45.468715051806292</v>
          </cell>
          <cell r="BH1129">
            <v>42.408178994289898</v>
          </cell>
          <cell r="BI1129">
            <v>30.406703917126244</v>
          </cell>
          <cell r="BJ1129">
            <v>54.409654071453552</v>
          </cell>
          <cell r="BU1129">
            <v>11.649813645650578</v>
          </cell>
          <cell r="BV1129">
            <v>29.635401891862816</v>
          </cell>
          <cell r="BW1129">
            <v>23.901518972811779</v>
          </cell>
          <cell r="BX1129">
            <v>15.713059154269443</v>
          </cell>
          <cell r="BY1129">
            <v>32.089978791354113</v>
          </cell>
        </row>
        <row r="1130">
          <cell r="A1130">
            <v>41108</v>
          </cell>
          <cell r="BF1130">
            <v>26.021700453730752</v>
          </cell>
          <cell r="BG1130">
            <v>45.468715051806292</v>
          </cell>
          <cell r="BH1130">
            <v>42.408178994289898</v>
          </cell>
          <cell r="BI1130">
            <v>30.406703917126244</v>
          </cell>
          <cell r="BJ1130">
            <v>54.409654071453552</v>
          </cell>
          <cell r="BU1130">
            <v>11.905404641302161</v>
          </cell>
          <cell r="BV1130">
            <v>29.635401891862816</v>
          </cell>
          <cell r="BW1130">
            <v>23.901518972811779</v>
          </cell>
          <cell r="BX1130">
            <v>15.713059154269443</v>
          </cell>
          <cell r="BY1130">
            <v>32.089978791354113</v>
          </cell>
        </row>
        <row r="1131">
          <cell r="A1131">
            <v>41109</v>
          </cell>
          <cell r="BF1131">
            <v>26.315313850361438</v>
          </cell>
          <cell r="BG1131">
            <v>45.468715051806292</v>
          </cell>
          <cell r="BH1131">
            <v>42.408178994289898</v>
          </cell>
          <cell r="BI1131">
            <v>30.406703917126244</v>
          </cell>
          <cell r="BJ1131">
            <v>54.409654071453552</v>
          </cell>
          <cell r="BU1131">
            <v>12.053207854947116</v>
          </cell>
          <cell r="BV1131">
            <v>29.635401891862816</v>
          </cell>
          <cell r="BW1131">
            <v>23.901518972811779</v>
          </cell>
          <cell r="BX1131">
            <v>15.713059154269443</v>
          </cell>
          <cell r="BY1131">
            <v>32.089978791354113</v>
          </cell>
        </row>
        <row r="1132">
          <cell r="A1132">
            <v>41110</v>
          </cell>
          <cell r="BF1132">
            <v>26.125688174879311</v>
          </cell>
          <cell r="BG1132">
            <v>45.468715051806292</v>
          </cell>
          <cell r="BH1132">
            <v>42.408178994289898</v>
          </cell>
          <cell r="BI1132">
            <v>30.406703917126244</v>
          </cell>
          <cell r="BJ1132">
            <v>54.409654071453552</v>
          </cell>
          <cell r="BU1132">
            <v>11.957751195504544</v>
          </cell>
          <cell r="BV1132">
            <v>29.635401891862816</v>
          </cell>
          <cell r="BW1132">
            <v>23.901518972811779</v>
          </cell>
          <cell r="BX1132">
            <v>15.713059154269443</v>
          </cell>
          <cell r="BY1132">
            <v>32.089978791354113</v>
          </cell>
        </row>
        <row r="1133">
          <cell r="A1133">
            <v>41113</v>
          </cell>
          <cell r="BF1133">
            <v>26.225180131179428</v>
          </cell>
          <cell r="BG1133">
            <v>45.468715051806292</v>
          </cell>
          <cell r="BH1133">
            <v>42.408178994289898</v>
          </cell>
          <cell r="BI1133">
            <v>30.406703917126244</v>
          </cell>
          <cell r="BJ1133">
            <v>54.409654071453552</v>
          </cell>
          <cell r="BU1133">
            <v>11.988745135997442</v>
          </cell>
          <cell r="BV1133">
            <v>29.635401891862816</v>
          </cell>
          <cell r="BW1133">
            <v>23.901518972811779</v>
          </cell>
          <cell r="BX1133">
            <v>15.713059154269443</v>
          </cell>
          <cell r="BY1133">
            <v>32.089978791354113</v>
          </cell>
        </row>
        <row r="1134">
          <cell r="A1134">
            <v>41114</v>
          </cell>
          <cell r="BF1134">
            <v>25.388096982719347</v>
          </cell>
          <cell r="BG1134">
            <v>45.468715051806292</v>
          </cell>
          <cell r="BH1134">
            <v>42.408178994289898</v>
          </cell>
          <cell r="BI1134">
            <v>30.406703917126244</v>
          </cell>
          <cell r="BJ1134">
            <v>54.409654071453552</v>
          </cell>
          <cell r="BU1134">
            <v>11.573662651577422</v>
          </cell>
          <cell r="BV1134">
            <v>29.635401891862816</v>
          </cell>
          <cell r="BW1134">
            <v>23.901518972811779</v>
          </cell>
          <cell r="BX1134">
            <v>15.713059154269443</v>
          </cell>
          <cell r="BY1134">
            <v>32.089978791354113</v>
          </cell>
        </row>
        <row r="1135">
          <cell r="A1135">
            <v>41115</v>
          </cell>
          <cell r="BF1135">
            <v>24.915204848410017</v>
          </cell>
          <cell r="BG1135">
            <v>45.468715051806292</v>
          </cell>
          <cell r="BH1135">
            <v>42.408178994289898</v>
          </cell>
          <cell r="BI1135">
            <v>30.406703917126244</v>
          </cell>
          <cell r="BJ1135">
            <v>54.409654071453552</v>
          </cell>
          <cell r="BU1135">
            <v>11.828143660299286</v>
          </cell>
          <cell r="BV1135">
            <v>29.635401891862816</v>
          </cell>
          <cell r="BW1135">
            <v>23.901518972811779</v>
          </cell>
          <cell r="BX1135">
            <v>15.713059154269443</v>
          </cell>
          <cell r="BY1135">
            <v>32.089978791354113</v>
          </cell>
        </row>
        <row r="1136">
          <cell r="A1136">
            <v>41116</v>
          </cell>
          <cell r="BF1136">
            <v>24.551574845484733</v>
          </cell>
          <cell r="BG1136">
            <v>45.468715051806292</v>
          </cell>
          <cell r="BH1136">
            <v>42.408178994289898</v>
          </cell>
          <cell r="BI1136">
            <v>30.406703917126244</v>
          </cell>
          <cell r="BJ1136">
            <v>54.409654071453552</v>
          </cell>
          <cell r="BU1136">
            <v>11.630651150206861</v>
          </cell>
          <cell r="BV1136">
            <v>29.635401891862816</v>
          </cell>
          <cell r="BW1136">
            <v>23.901518972811779</v>
          </cell>
          <cell r="BX1136">
            <v>15.713059154269443</v>
          </cell>
          <cell r="BY1136">
            <v>32.089978791354113</v>
          </cell>
        </row>
        <row r="1137">
          <cell r="A1137">
            <v>41117</v>
          </cell>
          <cell r="BF1137">
            <v>25.246414023404625</v>
          </cell>
          <cell r="BG1137">
            <v>45.468715051806292</v>
          </cell>
          <cell r="BH1137">
            <v>42.408178994289898</v>
          </cell>
          <cell r="BI1137">
            <v>30.406703917126244</v>
          </cell>
          <cell r="BJ1137">
            <v>54.409654071453552</v>
          </cell>
          <cell r="BU1137">
            <v>12.005612246843487</v>
          </cell>
          <cell r="BV1137">
            <v>29.635401891862816</v>
          </cell>
          <cell r="BW1137">
            <v>23.901518972811779</v>
          </cell>
          <cell r="BX1137">
            <v>15.713059154269443</v>
          </cell>
          <cell r="BY1137">
            <v>32.089978791354113</v>
          </cell>
        </row>
        <row r="1138">
          <cell r="A1138">
            <v>41120</v>
          </cell>
          <cell r="BF1138">
            <v>25.266514897866688</v>
          </cell>
          <cell r="BG1138">
            <v>45.468715051806292</v>
          </cell>
          <cell r="BH1138">
            <v>42.408178994289898</v>
          </cell>
          <cell r="BI1138">
            <v>30.406703917126244</v>
          </cell>
          <cell r="BJ1138">
            <v>54.409654071453552</v>
          </cell>
          <cell r="BU1138">
            <v>12.024359539486975</v>
          </cell>
          <cell r="BV1138">
            <v>29.635401891862816</v>
          </cell>
          <cell r="BW1138">
            <v>23.901518972811779</v>
          </cell>
          <cell r="BX1138">
            <v>15.713059154269443</v>
          </cell>
          <cell r="BY1138">
            <v>32.089978791354113</v>
          </cell>
        </row>
        <row r="1139">
          <cell r="A1139">
            <v>41121</v>
          </cell>
          <cell r="BF1139">
            <v>24.735655462287525</v>
          </cell>
          <cell r="BG1139">
            <v>45.468715051806292</v>
          </cell>
          <cell r="BH1139">
            <v>42.408178994289898</v>
          </cell>
          <cell r="BI1139">
            <v>30.406703917126244</v>
          </cell>
          <cell r="BJ1139">
            <v>54.409654071453552</v>
          </cell>
          <cell r="BU1139">
            <v>11.746369303172427</v>
          </cell>
          <cell r="BV1139">
            <v>29.635401891862816</v>
          </cell>
          <cell r="BW1139">
            <v>23.901518972811779</v>
          </cell>
          <cell r="BX1139">
            <v>15.713059154269443</v>
          </cell>
          <cell r="BY1139">
            <v>32.089978791354113</v>
          </cell>
        </row>
        <row r="1140">
          <cell r="A1140">
            <v>41122</v>
          </cell>
          <cell r="BF1140">
            <v>24.753209472099247</v>
          </cell>
          <cell r="BG1140">
            <v>45.468715051806292</v>
          </cell>
          <cell r="BH1140">
            <v>42.408178994289898</v>
          </cell>
          <cell r="BI1140">
            <v>30.406703917126244</v>
          </cell>
          <cell r="BJ1140">
            <v>54.409654071453552</v>
          </cell>
          <cell r="BU1140">
            <v>11.782743445686201</v>
          </cell>
          <cell r="BV1140">
            <v>29.635401891862816</v>
          </cell>
          <cell r="BW1140">
            <v>23.901518972811779</v>
          </cell>
          <cell r="BX1140">
            <v>15.713059154269443</v>
          </cell>
          <cell r="BY1140">
            <v>32.089978791354113</v>
          </cell>
        </row>
        <row r="1141">
          <cell r="A1141">
            <v>41123</v>
          </cell>
          <cell r="BF1141">
            <v>24.505146928540412</v>
          </cell>
          <cell r="BG1141">
            <v>45.468715051806292</v>
          </cell>
          <cell r="BH1141">
            <v>42.408178994289898</v>
          </cell>
          <cell r="BI1141">
            <v>30.406703917126244</v>
          </cell>
          <cell r="BJ1141">
            <v>54.409654071453552</v>
          </cell>
          <cell r="BU1141">
            <v>11.652619500846303</v>
          </cell>
          <cell r="BV1141">
            <v>29.635401891862816</v>
          </cell>
          <cell r="BW1141">
            <v>23.901518972811779</v>
          </cell>
          <cell r="BX1141">
            <v>15.713059154269443</v>
          </cell>
          <cell r="BY1141">
            <v>32.089978791354113</v>
          </cell>
        </row>
        <row r="1142">
          <cell r="A1142">
            <v>41124</v>
          </cell>
          <cell r="BF1142">
            <v>24.883148204296745</v>
          </cell>
          <cell r="BG1142">
            <v>45.468715051806292</v>
          </cell>
          <cell r="BH1142">
            <v>42.408178994289898</v>
          </cell>
          <cell r="BI1142">
            <v>30.406703917126244</v>
          </cell>
          <cell r="BJ1142">
            <v>54.409654071453552</v>
          </cell>
          <cell r="BU1142">
            <v>11.850904710845541</v>
          </cell>
          <cell r="BV1142">
            <v>29.635401891862816</v>
          </cell>
          <cell r="BW1142">
            <v>23.901518972811779</v>
          </cell>
          <cell r="BX1142">
            <v>15.713059154269443</v>
          </cell>
          <cell r="BY1142">
            <v>32.089978791354113</v>
          </cell>
        </row>
        <row r="1143">
          <cell r="A1143">
            <v>41127</v>
          </cell>
          <cell r="BF1143">
            <v>25.13121074785558</v>
          </cell>
          <cell r="BG1143">
            <v>45.468715051806292</v>
          </cell>
          <cell r="BH1143">
            <v>42.408178994289898</v>
          </cell>
          <cell r="BI1143">
            <v>30.406703917126244</v>
          </cell>
          <cell r="BJ1143">
            <v>54.409654071453552</v>
          </cell>
          <cell r="BU1143">
            <v>11.981019083358534</v>
          </cell>
          <cell r="BV1143">
            <v>29.635401891862816</v>
          </cell>
          <cell r="BW1143">
            <v>23.901518972811779</v>
          </cell>
          <cell r="BX1143">
            <v>15.713059154269443</v>
          </cell>
          <cell r="BY1143">
            <v>32.089978791354113</v>
          </cell>
        </row>
        <row r="1144">
          <cell r="A1144">
            <v>41128</v>
          </cell>
          <cell r="BF1144">
            <v>25.769090078634839</v>
          </cell>
          <cell r="BG1144">
            <v>45.468715051806292</v>
          </cell>
          <cell r="BH1144">
            <v>42.408178994289898</v>
          </cell>
          <cell r="BI1144">
            <v>30.406703917126244</v>
          </cell>
          <cell r="BJ1144">
            <v>54.409654071453552</v>
          </cell>
          <cell r="BU1144">
            <v>12.315627075579792</v>
          </cell>
          <cell r="BV1144">
            <v>29.635401891862816</v>
          </cell>
          <cell r="BW1144">
            <v>23.901518972811779</v>
          </cell>
          <cell r="BX1144">
            <v>15.713059154269443</v>
          </cell>
          <cell r="BY1144">
            <v>32.089978791354113</v>
          </cell>
        </row>
        <row r="1145">
          <cell r="A1145">
            <v>41129</v>
          </cell>
          <cell r="BF1145">
            <v>25.757275157798666</v>
          </cell>
          <cell r="BG1145">
            <v>45.468715051806292</v>
          </cell>
          <cell r="BH1145">
            <v>42.408178994289898</v>
          </cell>
          <cell r="BI1145">
            <v>30.406703917126244</v>
          </cell>
          <cell r="BJ1145">
            <v>54.409654071453552</v>
          </cell>
          <cell r="BU1145">
            <v>12.305894105056741</v>
          </cell>
          <cell r="BV1145">
            <v>29.635401891862816</v>
          </cell>
          <cell r="BW1145">
            <v>23.901518972811779</v>
          </cell>
          <cell r="BX1145">
            <v>15.713059154269443</v>
          </cell>
          <cell r="BY1145">
            <v>32.089978791354113</v>
          </cell>
        </row>
        <row r="1146">
          <cell r="A1146">
            <v>41130</v>
          </cell>
          <cell r="BF1146">
            <v>25.377967163017811</v>
          </cell>
          <cell r="BG1146">
            <v>45.468715051806292</v>
          </cell>
          <cell r="BH1146">
            <v>42.408178994289898</v>
          </cell>
          <cell r="BI1146">
            <v>30.406703917126244</v>
          </cell>
          <cell r="BJ1146">
            <v>54.409654071453552</v>
          </cell>
          <cell r="BU1146">
            <v>12.10457686092753</v>
          </cell>
          <cell r="BV1146">
            <v>29.635401891862816</v>
          </cell>
          <cell r="BW1146">
            <v>23.901518972811779</v>
          </cell>
          <cell r="BX1146">
            <v>15.713059154269443</v>
          </cell>
          <cell r="BY1146">
            <v>32.089978791354113</v>
          </cell>
        </row>
        <row r="1147">
          <cell r="A1147">
            <v>41131</v>
          </cell>
          <cell r="BF1147">
            <v>25.75603691699645</v>
          </cell>
          <cell r="BG1147">
            <v>45.468715051806292</v>
          </cell>
          <cell r="BH1147">
            <v>42.408178994289898</v>
          </cell>
          <cell r="BI1147">
            <v>30.406703917126244</v>
          </cell>
          <cell r="BJ1147">
            <v>54.409654071453552</v>
          </cell>
          <cell r="BU1147">
            <v>12.3027953243386</v>
          </cell>
          <cell r="BV1147">
            <v>29.635401891862816</v>
          </cell>
          <cell r="BW1147">
            <v>23.901518972811779</v>
          </cell>
          <cell r="BX1147">
            <v>15.713059154269443</v>
          </cell>
          <cell r="BY1147">
            <v>32.089978791354113</v>
          </cell>
        </row>
        <row r="1148">
          <cell r="A1148">
            <v>41134</v>
          </cell>
          <cell r="BF1148">
            <v>24.810866371826791</v>
          </cell>
          <cell r="BG1148">
            <v>45.468715051806292</v>
          </cell>
          <cell r="BH1148">
            <v>42.408178994289898</v>
          </cell>
          <cell r="BI1148">
            <v>30.406703917126244</v>
          </cell>
          <cell r="BJ1148">
            <v>54.409654071453552</v>
          </cell>
          <cell r="BU1148">
            <v>11.807239218485579</v>
          </cell>
          <cell r="BV1148">
            <v>29.635401891862816</v>
          </cell>
          <cell r="BW1148">
            <v>23.901518972811779</v>
          </cell>
          <cell r="BX1148">
            <v>15.713059154269443</v>
          </cell>
          <cell r="BY1148">
            <v>32.089978791354113</v>
          </cell>
        </row>
        <row r="1149">
          <cell r="A1149">
            <v>41135</v>
          </cell>
          <cell r="BF1149">
            <v>24.568663285039932</v>
          </cell>
          <cell r="BG1149">
            <v>45.468715051806292</v>
          </cell>
          <cell r="BH1149">
            <v>42.408178994289898</v>
          </cell>
          <cell r="BI1149">
            <v>30.406703917126244</v>
          </cell>
          <cell r="BJ1149">
            <v>54.409654071453552</v>
          </cell>
          <cell r="BU1149">
            <v>11.680250152149078</v>
          </cell>
          <cell r="BV1149">
            <v>29.635401891862816</v>
          </cell>
          <cell r="BW1149">
            <v>23.901518972811779</v>
          </cell>
          <cell r="BX1149">
            <v>15.713059154269443</v>
          </cell>
          <cell r="BY1149">
            <v>32.089978791354113</v>
          </cell>
        </row>
        <row r="1150">
          <cell r="A1150">
            <v>41136</v>
          </cell>
          <cell r="BF1150">
            <v>24.604105607652087</v>
          </cell>
          <cell r="BG1150">
            <v>45.468715051806292</v>
          </cell>
          <cell r="BH1150">
            <v>42.408178994289898</v>
          </cell>
          <cell r="BI1150">
            <v>30.406703917126244</v>
          </cell>
          <cell r="BJ1150">
            <v>54.409654071453552</v>
          </cell>
          <cell r="BU1150">
            <v>11.702635512324747</v>
          </cell>
          <cell r="BV1150">
            <v>29.635401891862816</v>
          </cell>
          <cell r="BW1150">
            <v>23.901518972811779</v>
          </cell>
          <cell r="BX1150">
            <v>15.713059154269443</v>
          </cell>
          <cell r="BY1150">
            <v>32.089978791354113</v>
          </cell>
        </row>
        <row r="1151">
          <cell r="A1151">
            <v>41137</v>
          </cell>
          <cell r="BF1151">
            <v>24.373719582077182</v>
          </cell>
          <cell r="BG1151">
            <v>45.468715051806292</v>
          </cell>
          <cell r="BH1151">
            <v>42.408178994289898</v>
          </cell>
          <cell r="BI1151">
            <v>30.406703917126244</v>
          </cell>
          <cell r="BJ1151">
            <v>54.409654071453552</v>
          </cell>
          <cell r="BU1151">
            <v>11.581807021316346</v>
          </cell>
          <cell r="BV1151">
            <v>29.635401891862816</v>
          </cell>
          <cell r="BW1151">
            <v>23.901518972811779</v>
          </cell>
          <cell r="BX1151">
            <v>15.713059154269443</v>
          </cell>
          <cell r="BY1151">
            <v>32.089978791354113</v>
          </cell>
        </row>
        <row r="1152">
          <cell r="A1152">
            <v>41138</v>
          </cell>
          <cell r="BF1152">
            <v>24.066535064057767</v>
          </cell>
          <cell r="BG1152">
            <v>45.468715051806292</v>
          </cell>
          <cell r="BH1152">
            <v>42.408178994289898</v>
          </cell>
          <cell r="BI1152">
            <v>30.406703917126244</v>
          </cell>
          <cell r="BJ1152">
            <v>54.409654071453552</v>
          </cell>
          <cell r="BU1152">
            <v>11.420689854966513</v>
          </cell>
          <cell r="BV1152">
            <v>29.635401891862816</v>
          </cell>
          <cell r="BW1152">
            <v>23.901518972811779</v>
          </cell>
          <cell r="BX1152">
            <v>15.713059154269443</v>
          </cell>
          <cell r="BY1152">
            <v>32.089978791354113</v>
          </cell>
        </row>
        <row r="1153">
          <cell r="A1153">
            <v>41141</v>
          </cell>
          <cell r="BF1153">
            <v>24.350084868918362</v>
          </cell>
          <cell r="BG1153">
            <v>45.468715051806292</v>
          </cell>
          <cell r="BH1153">
            <v>42.408178994289898</v>
          </cell>
          <cell r="BI1153">
            <v>30.406703917126244</v>
          </cell>
          <cell r="BJ1153">
            <v>54.409654071453552</v>
          </cell>
          <cell r="BU1153">
            <v>11.566357427204938</v>
          </cell>
          <cell r="BV1153">
            <v>29.635401891862816</v>
          </cell>
          <cell r="BW1153">
            <v>23.901518972811779</v>
          </cell>
          <cell r="BX1153">
            <v>15.713059154269443</v>
          </cell>
          <cell r="BY1153">
            <v>32.089978791354113</v>
          </cell>
        </row>
        <row r="1154">
          <cell r="A1154">
            <v>41142</v>
          </cell>
          <cell r="BF1154">
            <v>24.657269977672691</v>
          </cell>
          <cell r="BG1154">
            <v>45.468715051806292</v>
          </cell>
          <cell r="BH1154">
            <v>42.408178994289898</v>
          </cell>
          <cell r="BI1154">
            <v>30.406703917126244</v>
          </cell>
          <cell r="BJ1154">
            <v>54.409654071453552</v>
          </cell>
          <cell r="BU1154">
            <v>11.727421545633231</v>
          </cell>
          <cell r="BV1154">
            <v>29.635401891862816</v>
          </cell>
          <cell r="BW1154">
            <v>23.901518972811779</v>
          </cell>
          <cell r="BX1154">
            <v>15.713059154269443</v>
          </cell>
          <cell r="BY1154">
            <v>32.089978791354113</v>
          </cell>
        </row>
        <row r="1155">
          <cell r="A1155">
            <v>41143</v>
          </cell>
          <cell r="BF1155">
            <v>24.59820180292542</v>
          </cell>
          <cell r="BG1155">
            <v>45.468715051806292</v>
          </cell>
          <cell r="BH1155">
            <v>42.408178994289898</v>
          </cell>
          <cell r="BI1155">
            <v>30.406703917126244</v>
          </cell>
          <cell r="BJ1155">
            <v>54.409654071453552</v>
          </cell>
          <cell r="BU1155">
            <v>11.696451735307187</v>
          </cell>
          <cell r="BV1155">
            <v>29.635401891862816</v>
          </cell>
          <cell r="BW1155">
            <v>23.901518972811779</v>
          </cell>
          <cell r="BX1155">
            <v>15.713059154269443</v>
          </cell>
          <cell r="BY1155">
            <v>32.089978791354113</v>
          </cell>
        </row>
        <row r="1156">
          <cell r="A1156">
            <v>41144</v>
          </cell>
          <cell r="BF1156">
            <v>24.613112226818767</v>
          </cell>
          <cell r="BG1156">
            <v>45.468715051806292</v>
          </cell>
          <cell r="BH1156">
            <v>42.408178994289898</v>
          </cell>
          <cell r="BI1156">
            <v>30.406703917126244</v>
          </cell>
          <cell r="BJ1156">
            <v>54.409654071453552</v>
          </cell>
          <cell r="BU1156">
            <v>11.763896233404308</v>
          </cell>
          <cell r="BV1156">
            <v>29.635401891862816</v>
          </cell>
          <cell r="BW1156">
            <v>23.901518972811779</v>
          </cell>
          <cell r="BX1156">
            <v>15.713059154269443</v>
          </cell>
          <cell r="BY1156">
            <v>32.089978791354113</v>
          </cell>
        </row>
        <row r="1157">
          <cell r="A1157">
            <v>41145</v>
          </cell>
          <cell r="BF1157">
            <v>24.595392793859521</v>
          </cell>
          <cell r="BG1157">
            <v>45.468715051806292</v>
          </cell>
          <cell r="BH1157">
            <v>42.408178994289898</v>
          </cell>
          <cell r="BI1157">
            <v>30.406703917126244</v>
          </cell>
          <cell r="BJ1157">
            <v>54.409654071453552</v>
          </cell>
          <cell r="BU1157">
            <v>11.754553392604317</v>
          </cell>
          <cell r="BV1157">
            <v>29.635401891862816</v>
          </cell>
          <cell r="BW1157">
            <v>23.901518972811779</v>
          </cell>
          <cell r="BX1157">
            <v>15.713059154269443</v>
          </cell>
          <cell r="BY1157">
            <v>32.089978791354113</v>
          </cell>
        </row>
        <row r="1158">
          <cell r="A1158">
            <v>41148</v>
          </cell>
          <cell r="BF1158">
            <v>24.666269935029053</v>
          </cell>
          <cell r="BG1158">
            <v>45.468715051806292</v>
          </cell>
          <cell r="BH1158">
            <v>42.408178994289898</v>
          </cell>
          <cell r="BI1158">
            <v>30.406703917126244</v>
          </cell>
          <cell r="BJ1158">
            <v>54.409654071453552</v>
          </cell>
          <cell r="BU1158">
            <v>11.791905014199948</v>
          </cell>
          <cell r="BV1158">
            <v>29.635401891862816</v>
          </cell>
          <cell r="BW1158">
            <v>23.901518972811779</v>
          </cell>
          <cell r="BX1158">
            <v>15.713059154269443</v>
          </cell>
          <cell r="BY1158">
            <v>32.089978791354113</v>
          </cell>
        </row>
        <row r="1159">
          <cell r="A1159">
            <v>41149</v>
          </cell>
          <cell r="BF1159">
            <v>24.571760779683501</v>
          </cell>
          <cell r="BG1159">
            <v>45.468715051806292</v>
          </cell>
          <cell r="BH1159">
            <v>42.408178994289898</v>
          </cell>
          <cell r="BI1159">
            <v>30.406703917126244</v>
          </cell>
          <cell r="BJ1159">
            <v>54.409654071453552</v>
          </cell>
          <cell r="BU1159">
            <v>11.74209618717183</v>
          </cell>
          <cell r="BV1159">
            <v>29.635401891862816</v>
          </cell>
          <cell r="BW1159">
            <v>23.901518972811779</v>
          </cell>
          <cell r="BX1159">
            <v>15.713059154269443</v>
          </cell>
          <cell r="BY1159">
            <v>32.089978791354113</v>
          </cell>
        </row>
        <row r="1160">
          <cell r="A1160">
            <v>41150</v>
          </cell>
          <cell r="BF1160">
            <v>24.979323095099961</v>
          </cell>
          <cell r="BG1160">
            <v>45.468715051806292</v>
          </cell>
          <cell r="BH1160">
            <v>42.408178994289898</v>
          </cell>
          <cell r="BI1160">
            <v>30.406703917126244</v>
          </cell>
          <cell r="BJ1160">
            <v>54.409654071453552</v>
          </cell>
          <cell r="BU1160">
            <v>11.956882311354981</v>
          </cell>
          <cell r="BV1160">
            <v>29.635401891862816</v>
          </cell>
          <cell r="BW1160">
            <v>23.901518972811779</v>
          </cell>
          <cell r="BX1160">
            <v>15.713059154269443</v>
          </cell>
          <cell r="BY1160">
            <v>32.089978791354113</v>
          </cell>
        </row>
        <row r="1161">
          <cell r="A1161">
            <v>41151</v>
          </cell>
          <cell r="BF1161">
            <v>24.808033077379921</v>
          </cell>
          <cell r="BG1161">
            <v>45.468715051806292</v>
          </cell>
          <cell r="BH1161">
            <v>42.408178994289898</v>
          </cell>
          <cell r="BI1161">
            <v>30.406703917126244</v>
          </cell>
          <cell r="BJ1161">
            <v>54.409654071453552</v>
          </cell>
          <cell r="BU1161">
            <v>11.866617621998394</v>
          </cell>
          <cell r="BV1161">
            <v>29.635401891862816</v>
          </cell>
          <cell r="BW1161">
            <v>23.901518972811779</v>
          </cell>
          <cell r="BX1161">
            <v>15.713059154269443</v>
          </cell>
          <cell r="BY1161">
            <v>32.089978791354113</v>
          </cell>
        </row>
        <row r="1162">
          <cell r="A1162">
            <v>41152</v>
          </cell>
          <cell r="BF1162">
            <v>24.855278795040885</v>
          </cell>
          <cell r="BG1162">
            <v>45.468715051806292</v>
          </cell>
          <cell r="BH1162">
            <v>42.408178994289898</v>
          </cell>
          <cell r="BI1162">
            <v>30.406703917126244</v>
          </cell>
          <cell r="BJ1162">
            <v>54.409654071453552</v>
          </cell>
          <cell r="BU1162">
            <v>11.866617621998394</v>
          </cell>
          <cell r="BV1162">
            <v>29.635401891862816</v>
          </cell>
          <cell r="BW1162">
            <v>23.901518972811779</v>
          </cell>
          <cell r="BX1162">
            <v>15.713059154269443</v>
          </cell>
          <cell r="BY1162">
            <v>32.089978791354113</v>
          </cell>
        </row>
        <row r="1163">
          <cell r="A1163">
            <v>41155</v>
          </cell>
          <cell r="BF1163">
            <v>24.615377010821881</v>
          </cell>
          <cell r="BG1163">
            <v>45.468715051806292</v>
          </cell>
          <cell r="BH1163">
            <v>42.408178994289898</v>
          </cell>
          <cell r="BI1163">
            <v>30.406703917126244</v>
          </cell>
          <cell r="BJ1163">
            <v>54.409654071453552</v>
          </cell>
          <cell r="BU1163">
            <v>11.797543136973033</v>
          </cell>
          <cell r="BV1163">
            <v>29.635401891862816</v>
          </cell>
          <cell r="BW1163">
            <v>23.901518972811779</v>
          </cell>
          <cell r="BX1163">
            <v>15.713059154269443</v>
          </cell>
          <cell r="BY1163">
            <v>32.089978791354113</v>
          </cell>
        </row>
        <row r="1164">
          <cell r="A1164">
            <v>41156</v>
          </cell>
          <cell r="BF1164">
            <v>24.820118748171986</v>
          </cell>
          <cell r="BG1164">
            <v>45.468715051806292</v>
          </cell>
          <cell r="BH1164">
            <v>42.408178994289898</v>
          </cell>
          <cell r="BI1164">
            <v>30.406703917126244</v>
          </cell>
          <cell r="BJ1164">
            <v>54.409654071453552</v>
          </cell>
          <cell r="BU1164">
            <v>11.905632806384402</v>
          </cell>
          <cell r="BV1164">
            <v>29.635401891862816</v>
          </cell>
          <cell r="BW1164">
            <v>23.901518972811779</v>
          </cell>
          <cell r="BX1164">
            <v>15.713059154269443</v>
          </cell>
          <cell r="BY1164">
            <v>32.089978791354113</v>
          </cell>
        </row>
        <row r="1165">
          <cell r="A1165">
            <v>41157</v>
          </cell>
          <cell r="BF1165">
            <v>24.668031003217315</v>
          </cell>
          <cell r="BG1165">
            <v>45.468715051806292</v>
          </cell>
          <cell r="BH1165">
            <v>42.408178994289898</v>
          </cell>
          <cell r="BI1165">
            <v>30.406703917126244</v>
          </cell>
          <cell r="BJ1165">
            <v>54.409654071453552</v>
          </cell>
          <cell r="BU1165">
            <v>11.825340378290866</v>
          </cell>
          <cell r="BV1165">
            <v>29.635401891862816</v>
          </cell>
          <cell r="BW1165">
            <v>23.901518972811779</v>
          </cell>
          <cell r="BX1165">
            <v>15.713059154269443</v>
          </cell>
          <cell r="BY1165">
            <v>32.089978791354113</v>
          </cell>
        </row>
        <row r="1166">
          <cell r="A1166">
            <v>41158</v>
          </cell>
          <cell r="BF1166">
            <v>25.124303597543147</v>
          </cell>
          <cell r="BG1166">
            <v>45.468715051806292</v>
          </cell>
          <cell r="BH1166">
            <v>42.408178994289898</v>
          </cell>
          <cell r="BI1166">
            <v>30.406703917126244</v>
          </cell>
          <cell r="BJ1166">
            <v>54.409654071453552</v>
          </cell>
          <cell r="BU1166">
            <v>12.066227204274682</v>
          </cell>
          <cell r="BV1166">
            <v>29.635401891862816</v>
          </cell>
          <cell r="BW1166">
            <v>23.901518972811779</v>
          </cell>
          <cell r="BX1166">
            <v>15.713059154269443</v>
          </cell>
          <cell r="BY1166">
            <v>32.089978791354113</v>
          </cell>
        </row>
        <row r="1167">
          <cell r="A1167">
            <v>41159</v>
          </cell>
          <cell r="BF1167">
            <v>26.539921614507168</v>
          </cell>
          <cell r="BG1167">
            <v>45.468715051806292</v>
          </cell>
          <cell r="BH1167">
            <v>42.408178994289898</v>
          </cell>
          <cell r="BI1167">
            <v>30.406703917126244</v>
          </cell>
          <cell r="BJ1167">
            <v>54.409654071453552</v>
          </cell>
          <cell r="BU1167">
            <v>12.813585376586543</v>
          </cell>
          <cell r="BV1167">
            <v>29.635401891862816</v>
          </cell>
          <cell r="BW1167">
            <v>23.901518972811779</v>
          </cell>
          <cell r="BX1167">
            <v>15.713059154269443</v>
          </cell>
          <cell r="BY1167">
            <v>32.089978791354113</v>
          </cell>
        </row>
        <row r="1168">
          <cell r="A1168">
            <v>41162</v>
          </cell>
          <cell r="BF1168">
            <v>26.143368605438347</v>
          </cell>
          <cell r="BG1168">
            <v>45.468715051806292</v>
          </cell>
          <cell r="BH1168">
            <v>42.408178994289898</v>
          </cell>
          <cell r="BI1168">
            <v>30.406703917126244</v>
          </cell>
          <cell r="BJ1168">
            <v>54.409654071453552</v>
          </cell>
          <cell r="BU1168">
            <v>12.606675300234086</v>
          </cell>
          <cell r="BV1168">
            <v>29.635401891862816</v>
          </cell>
          <cell r="BW1168">
            <v>23.901518972811779</v>
          </cell>
          <cell r="BX1168">
            <v>15.713059154269443</v>
          </cell>
          <cell r="BY1168">
            <v>32.089978791354113</v>
          </cell>
        </row>
        <row r="1169">
          <cell r="A1169">
            <v>41163</v>
          </cell>
          <cell r="BF1169">
            <v>26.272039606913662</v>
          </cell>
          <cell r="BG1169">
            <v>45.468715051806292</v>
          </cell>
          <cell r="BH1169">
            <v>42.408178994289898</v>
          </cell>
          <cell r="BI1169">
            <v>30.406703917126244</v>
          </cell>
          <cell r="BJ1169">
            <v>54.409654071453552</v>
          </cell>
          <cell r="BU1169">
            <v>12.674608962798029</v>
          </cell>
          <cell r="BV1169">
            <v>29.635401891862816</v>
          </cell>
          <cell r="BW1169">
            <v>23.901518972811779</v>
          </cell>
          <cell r="BX1169">
            <v>15.713059154269443</v>
          </cell>
          <cell r="BY1169">
            <v>32.089978791354113</v>
          </cell>
        </row>
        <row r="1170">
          <cell r="A1170">
            <v>41164</v>
          </cell>
          <cell r="BF1170">
            <v>26.346061319203361</v>
          </cell>
          <cell r="BG1170">
            <v>45.468715051806292</v>
          </cell>
          <cell r="BH1170">
            <v>42.408178994289898</v>
          </cell>
          <cell r="BI1170">
            <v>30.406703917126244</v>
          </cell>
          <cell r="BJ1170">
            <v>54.409654071453552</v>
          </cell>
          <cell r="BU1170">
            <v>12.715857338682545</v>
          </cell>
          <cell r="BV1170">
            <v>29.635401891862816</v>
          </cell>
          <cell r="BW1170">
            <v>23.901518972811779</v>
          </cell>
          <cell r="BX1170">
            <v>15.713059154269443</v>
          </cell>
          <cell r="BY1170">
            <v>32.089978791354113</v>
          </cell>
        </row>
        <row r="1171">
          <cell r="A1171">
            <v>41165</v>
          </cell>
          <cell r="BF1171">
            <v>27.176317778183808</v>
          </cell>
          <cell r="BG1171">
            <v>45.468715051806292</v>
          </cell>
          <cell r="BH1171">
            <v>42.408178994289898</v>
          </cell>
          <cell r="BI1171">
            <v>30.406703917126244</v>
          </cell>
          <cell r="BJ1171">
            <v>54.409654071453552</v>
          </cell>
          <cell r="BU1171">
            <v>13.15431543957782</v>
          </cell>
          <cell r="BV1171">
            <v>29.635401891862816</v>
          </cell>
          <cell r="BW1171">
            <v>23.901518972811779</v>
          </cell>
          <cell r="BX1171">
            <v>15.713059154269443</v>
          </cell>
          <cell r="BY1171">
            <v>32.089978791354113</v>
          </cell>
        </row>
        <row r="1172">
          <cell r="A1172">
            <v>41166</v>
          </cell>
          <cell r="BF1172">
            <v>27.935112669881629</v>
          </cell>
          <cell r="BG1172">
            <v>45.468715051806292</v>
          </cell>
          <cell r="BH1172">
            <v>42.408178994289898</v>
          </cell>
          <cell r="BI1172">
            <v>30.406703917126244</v>
          </cell>
          <cell r="BJ1172">
            <v>54.409654071453552</v>
          </cell>
          <cell r="BU1172">
            <v>13.558814402707412</v>
          </cell>
          <cell r="BV1172">
            <v>29.635401891862816</v>
          </cell>
          <cell r="BW1172">
            <v>23.901518972811779</v>
          </cell>
          <cell r="BX1172">
            <v>15.713059154269443</v>
          </cell>
          <cell r="BY1172">
            <v>32.089978791354113</v>
          </cell>
        </row>
        <row r="1173">
          <cell r="A1173">
            <v>41169</v>
          </cell>
          <cell r="BF1173">
            <v>27.880550246365885</v>
          </cell>
          <cell r="BG1173">
            <v>45.468715051806292</v>
          </cell>
          <cell r="BH1173">
            <v>42.408178994289898</v>
          </cell>
          <cell r="BI1173">
            <v>30.406703917126244</v>
          </cell>
          <cell r="BJ1173">
            <v>54.409654071453552</v>
          </cell>
          <cell r="BU1173">
            <v>13.531030794800081</v>
          </cell>
          <cell r="BV1173">
            <v>29.635401891862816</v>
          </cell>
          <cell r="BW1173">
            <v>23.901518972811779</v>
          </cell>
          <cell r="BX1173">
            <v>15.713059154269443</v>
          </cell>
          <cell r="BY1173">
            <v>32.089978791354113</v>
          </cell>
        </row>
        <row r="1174">
          <cell r="A1174">
            <v>41170</v>
          </cell>
          <cell r="BF1174">
            <v>27.997448081969988</v>
          </cell>
          <cell r="BG1174">
            <v>45.468715051806292</v>
          </cell>
          <cell r="BH1174">
            <v>42.408178994289898</v>
          </cell>
          <cell r="BI1174">
            <v>30.406703917126244</v>
          </cell>
          <cell r="BJ1174">
            <v>54.409654071453552</v>
          </cell>
          <cell r="BU1174">
            <v>13.5927858423254</v>
          </cell>
          <cell r="BV1174">
            <v>29.635401891862816</v>
          </cell>
          <cell r="BW1174">
            <v>23.901518972811779</v>
          </cell>
          <cell r="BX1174">
            <v>15.713059154269443</v>
          </cell>
          <cell r="BY1174">
            <v>32.089978791354113</v>
          </cell>
        </row>
        <row r="1175">
          <cell r="A1175">
            <v>41171</v>
          </cell>
          <cell r="BF1175">
            <v>27.836601808970709</v>
          </cell>
          <cell r="BG1175">
            <v>45.468715051806292</v>
          </cell>
          <cell r="BH1175">
            <v>42.408178994289898</v>
          </cell>
          <cell r="BI1175">
            <v>30.406703917126244</v>
          </cell>
          <cell r="BJ1175">
            <v>54.409654071453552</v>
          </cell>
          <cell r="BU1175">
            <v>13.526695328865143</v>
          </cell>
          <cell r="BV1175">
            <v>29.635401891862816</v>
          </cell>
          <cell r="BW1175">
            <v>23.901518972811779</v>
          </cell>
          <cell r="BX1175">
            <v>15.713059154269443</v>
          </cell>
          <cell r="BY1175">
            <v>32.089978791354113</v>
          </cell>
        </row>
        <row r="1176">
          <cell r="A1176">
            <v>41172</v>
          </cell>
          <cell r="BF1176">
            <v>28.09931970207592</v>
          </cell>
          <cell r="BG1176">
            <v>45.468715051806292</v>
          </cell>
          <cell r="BH1176">
            <v>42.408178994289898</v>
          </cell>
          <cell r="BI1176">
            <v>30.406703917126244</v>
          </cell>
          <cell r="BJ1176">
            <v>54.409654071453552</v>
          </cell>
          <cell r="BU1176">
            <v>13.665659158375909</v>
          </cell>
          <cell r="BV1176">
            <v>29.635401891862816</v>
          </cell>
          <cell r="BW1176">
            <v>23.901518972811779</v>
          </cell>
          <cell r="BX1176">
            <v>15.713059154269443</v>
          </cell>
          <cell r="BY1176">
            <v>32.089978791354113</v>
          </cell>
        </row>
        <row r="1177">
          <cell r="A1177">
            <v>41173</v>
          </cell>
          <cell r="BF1177">
            <v>28.259980180705334</v>
          </cell>
          <cell r="BG1177">
            <v>45.468715051806292</v>
          </cell>
          <cell r="BH1177">
            <v>42.408178994289898</v>
          </cell>
          <cell r="BI1177">
            <v>30.406703917126244</v>
          </cell>
          <cell r="BJ1177">
            <v>54.409654071453552</v>
          </cell>
          <cell r="BU1177">
            <v>13.842147609684028</v>
          </cell>
          <cell r="BV1177">
            <v>29.635401891862816</v>
          </cell>
          <cell r="BW1177">
            <v>23.901518972811779</v>
          </cell>
          <cell r="BX1177">
            <v>15.713059154269443</v>
          </cell>
          <cell r="BY1177">
            <v>32.089978791354113</v>
          </cell>
        </row>
        <row r="1178">
          <cell r="A1178">
            <v>41176</v>
          </cell>
          <cell r="BF1178">
            <v>28.052704343301702</v>
          </cell>
          <cell r="BG1178">
            <v>45.468715051806292</v>
          </cell>
          <cell r="BH1178">
            <v>42.408178994289898</v>
          </cell>
          <cell r="BI1178">
            <v>30.406703917126244</v>
          </cell>
          <cell r="BJ1178">
            <v>54.409654071453552</v>
          </cell>
          <cell r="BU1178">
            <v>13.730427141115101</v>
          </cell>
          <cell r="BV1178">
            <v>29.635401891862816</v>
          </cell>
          <cell r="BW1178">
            <v>23.901518972811779</v>
          </cell>
          <cell r="BX1178">
            <v>15.713059154269443</v>
          </cell>
          <cell r="BY1178">
            <v>32.089978791354113</v>
          </cell>
        </row>
        <row r="1179">
          <cell r="A1179">
            <v>41177</v>
          </cell>
          <cell r="BF1179">
            <v>27.689649622095736</v>
          </cell>
          <cell r="BG1179">
            <v>45.468715051806292</v>
          </cell>
          <cell r="BH1179">
            <v>42.408178994289898</v>
          </cell>
          <cell r="BI1179">
            <v>30.406703917126244</v>
          </cell>
          <cell r="BJ1179">
            <v>54.409654071453552</v>
          </cell>
          <cell r="BU1179">
            <v>13.531799740973666</v>
          </cell>
          <cell r="BV1179">
            <v>29.635401891862816</v>
          </cell>
          <cell r="BW1179">
            <v>23.901518972811779</v>
          </cell>
          <cell r="BX1179">
            <v>15.713059154269443</v>
          </cell>
          <cell r="BY1179">
            <v>32.089978791354113</v>
          </cell>
        </row>
        <row r="1180">
          <cell r="A1180">
            <v>41178</v>
          </cell>
          <cell r="BF1180">
            <v>27.322239782588412</v>
          </cell>
          <cell r="BG1180">
            <v>45.468715051806292</v>
          </cell>
          <cell r="BH1180">
            <v>42.408178994289898</v>
          </cell>
          <cell r="BI1180">
            <v>30.406703917126244</v>
          </cell>
          <cell r="BJ1180">
            <v>54.409654071453552</v>
          </cell>
          <cell r="BU1180">
            <v>13.336275610077676</v>
          </cell>
          <cell r="BV1180">
            <v>29.635401891862816</v>
          </cell>
          <cell r="BW1180">
            <v>23.901518972811779</v>
          </cell>
          <cell r="BX1180">
            <v>15.713059154269443</v>
          </cell>
          <cell r="BY1180">
            <v>32.089978791354113</v>
          </cell>
        </row>
        <row r="1181">
          <cell r="A1181">
            <v>41179</v>
          </cell>
          <cell r="BF1181">
            <v>27.398056825604179</v>
          </cell>
          <cell r="BG1181">
            <v>45.468715051806292</v>
          </cell>
          <cell r="BH1181">
            <v>42.408178994289898</v>
          </cell>
          <cell r="BI1181">
            <v>30.406703917126244</v>
          </cell>
          <cell r="BJ1181">
            <v>54.409654071453552</v>
          </cell>
          <cell r="BU1181">
            <v>13.376622147698004</v>
          </cell>
          <cell r="BV1181">
            <v>29.635401891862816</v>
          </cell>
          <cell r="BW1181">
            <v>23.901518972811779</v>
          </cell>
          <cell r="BX1181">
            <v>15.713059154269443</v>
          </cell>
          <cell r="BY1181">
            <v>32.089978791354113</v>
          </cell>
        </row>
        <row r="1182">
          <cell r="A1182">
            <v>41180</v>
          </cell>
          <cell r="BF1182">
            <v>28.090928592247156</v>
          </cell>
          <cell r="BG1182">
            <v>45.468715051806292</v>
          </cell>
          <cell r="BH1182">
            <v>42.408178994289898</v>
          </cell>
          <cell r="BI1182">
            <v>30.406703917126244</v>
          </cell>
          <cell r="BJ1182">
            <v>54.409654071453552</v>
          </cell>
          <cell r="BU1182">
            <v>13.752143465010311</v>
          </cell>
          <cell r="BV1182">
            <v>29.635401891862816</v>
          </cell>
          <cell r="BW1182">
            <v>23.901518972811779</v>
          </cell>
          <cell r="BX1182">
            <v>15.713059154269443</v>
          </cell>
          <cell r="BY1182">
            <v>32.089978791354113</v>
          </cell>
        </row>
        <row r="1183">
          <cell r="A1183">
            <v>41183</v>
          </cell>
          <cell r="BF1183">
            <v>28.304624962116407</v>
          </cell>
          <cell r="BG1183">
            <v>45.468715051806292</v>
          </cell>
          <cell r="BH1183">
            <v>42.408178994289898</v>
          </cell>
          <cell r="BI1183">
            <v>30.406703917126244</v>
          </cell>
          <cell r="BJ1183">
            <v>54.409654071453552</v>
          </cell>
          <cell r="BU1183">
            <v>13.902245338642254</v>
          </cell>
          <cell r="BV1183">
            <v>29.635401891862816</v>
          </cell>
          <cell r="BW1183">
            <v>23.901518972811779</v>
          </cell>
          <cell r="BX1183">
            <v>15.713059154269443</v>
          </cell>
          <cell r="BY1183">
            <v>32.089978791354113</v>
          </cell>
        </row>
        <row r="1184">
          <cell r="A1184">
            <v>41184</v>
          </cell>
          <cell r="BF1184">
            <v>29.386343993088335</v>
          </cell>
          <cell r="BG1184">
            <v>45.468715051806292</v>
          </cell>
          <cell r="BH1184">
            <v>42.408178994289898</v>
          </cell>
          <cell r="BI1184">
            <v>30.406703917126244</v>
          </cell>
          <cell r="BJ1184">
            <v>54.409654071453552</v>
          </cell>
          <cell r="BU1184">
            <v>14.509431624013251</v>
          </cell>
          <cell r="BV1184">
            <v>29.635401891862816</v>
          </cell>
          <cell r="BW1184">
            <v>23.901518972811779</v>
          </cell>
          <cell r="BX1184">
            <v>15.713059154269443</v>
          </cell>
          <cell r="BY1184">
            <v>32.089978791354113</v>
          </cell>
        </row>
        <row r="1185">
          <cell r="A1185">
            <v>41185</v>
          </cell>
          <cell r="BF1185">
            <v>29.628348602710943</v>
          </cell>
          <cell r="BG1185">
            <v>45.468715051806292</v>
          </cell>
          <cell r="BH1185">
            <v>42.408178994289898</v>
          </cell>
          <cell r="BI1185">
            <v>30.406703917126244</v>
          </cell>
          <cell r="BJ1185">
            <v>54.409654071453552</v>
          </cell>
          <cell r="BU1185">
            <v>14.63874920980793</v>
          </cell>
          <cell r="BV1185">
            <v>29.635401891862816</v>
          </cell>
          <cell r="BW1185">
            <v>23.901518972811779</v>
          </cell>
          <cell r="BX1185">
            <v>15.713059154269443</v>
          </cell>
          <cell r="BY1185">
            <v>32.089978791354113</v>
          </cell>
        </row>
        <row r="1186">
          <cell r="A1186">
            <v>41186</v>
          </cell>
          <cell r="BF1186">
            <v>30.106597522330699</v>
          </cell>
          <cell r="BG1186">
            <v>45.468715051806292</v>
          </cell>
          <cell r="BH1186">
            <v>42.408178994289898</v>
          </cell>
          <cell r="BI1186">
            <v>30.406703917126244</v>
          </cell>
          <cell r="BJ1186">
            <v>54.409654071453552</v>
          </cell>
          <cell r="BU1186">
            <v>14.894319995494969</v>
          </cell>
          <cell r="BV1186">
            <v>29.635401891862816</v>
          </cell>
          <cell r="BW1186">
            <v>23.901518972811779</v>
          </cell>
          <cell r="BX1186">
            <v>15.713059154269443</v>
          </cell>
          <cell r="BY1186">
            <v>32.089978791354113</v>
          </cell>
        </row>
        <row r="1187">
          <cell r="A1187">
            <v>41187</v>
          </cell>
          <cell r="BF1187">
            <v>29.845696750246535</v>
          </cell>
          <cell r="BG1187">
            <v>45.468715051806292</v>
          </cell>
          <cell r="BH1187">
            <v>42.408178994289898</v>
          </cell>
          <cell r="BI1187">
            <v>30.406703917126244</v>
          </cell>
          <cell r="BJ1187">
            <v>54.409654071453552</v>
          </cell>
          <cell r="BU1187">
            <v>14.752681275076357</v>
          </cell>
          <cell r="BV1187">
            <v>29.635401891862816</v>
          </cell>
          <cell r="BW1187">
            <v>23.901518972811779</v>
          </cell>
          <cell r="BX1187">
            <v>15.713059154269443</v>
          </cell>
          <cell r="BY1187">
            <v>32.089978791354113</v>
          </cell>
        </row>
        <row r="1188">
          <cell r="A1188">
            <v>41190</v>
          </cell>
          <cell r="BF1188">
            <v>29.937903770334813</v>
          </cell>
          <cell r="BG1188">
            <v>45.468715051806292</v>
          </cell>
          <cell r="BH1188">
            <v>42.408178994289898</v>
          </cell>
          <cell r="BI1188">
            <v>30.406703917126244</v>
          </cell>
          <cell r="BJ1188">
            <v>54.409654071453552</v>
          </cell>
          <cell r="BU1188">
            <v>14.801950291355912</v>
          </cell>
          <cell r="BV1188">
            <v>29.635401891862816</v>
          </cell>
          <cell r="BW1188">
            <v>23.901518972811779</v>
          </cell>
          <cell r="BX1188">
            <v>15.713059154269443</v>
          </cell>
          <cell r="BY1188">
            <v>32.089978791354113</v>
          </cell>
        </row>
        <row r="1189">
          <cell r="A1189">
            <v>41191</v>
          </cell>
          <cell r="BF1189">
            <v>29.315517478188049</v>
          </cell>
          <cell r="BG1189">
            <v>45.468715051806292</v>
          </cell>
          <cell r="BH1189">
            <v>42.408178994289898</v>
          </cell>
          <cell r="BI1189">
            <v>30.406703917126244</v>
          </cell>
          <cell r="BJ1189">
            <v>54.409654071453552</v>
          </cell>
          <cell r="BU1189">
            <v>14.469404585314109</v>
          </cell>
          <cell r="BV1189">
            <v>29.635401891862816</v>
          </cell>
          <cell r="BW1189">
            <v>23.901518972811779</v>
          </cell>
          <cell r="BX1189">
            <v>15.713059154269443</v>
          </cell>
          <cell r="BY1189">
            <v>32.089978791354113</v>
          </cell>
        </row>
        <row r="1190">
          <cell r="A1190">
            <v>41192</v>
          </cell>
          <cell r="BF1190">
            <v>29.424071990787947</v>
          </cell>
          <cell r="BG1190">
            <v>45.468715051806292</v>
          </cell>
          <cell r="BH1190">
            <v>42.408178994289898</v>
          </cell>
          <cell r="BI1190">
            <v>30.406703917126244</v>
          </cell>
          <cell r="BJ1190">
            <v>54.409654071453552</v>
          </cell>
          <cell r="BU1190">
            <v>14.533754338014079</v>
          </cell>
          <cell r="BV1190">
            <v>29.635401891862816</v>
          </cell>
          <cell r="BW1190">
            <v>23.901518972811779</v>
          </cell>
          <cell r="BX1190">
            <v>15.713059154269443</v>
          </cell>
          <cell r="BY1190">
            <v>32.089978791354113</v>
          </cell>
        </row>
        <row r="1191">
          <cell r="A1191">
            <v>41193</v>
          </cell>
          <cell r="BF1191">
            <v>30.080627375698743</v>
          </cell>
          <cell r="BG1191">
            <v>45.468715051806292</v>
          </cell>
          <cell r="BH1191">
            <v>42.408178994289898</v>
          </cell>
          <cell r="BI1191">
            <v>30.406703917126244</v>
          </cell>
          <cell r="BJ1191">
            <v>54.409654071453552</v>
          </cell>
          <cell r="BU1191">
            <v>14.884703037767942</v>
          </cell>
          <cell r="BV1191">
            <v>29.635401891862816</v>
          </cell>
          <cell r="BW1191">
            <v>23.901518972811779</v>
          </cell>
          <cell r="BX1191">
            <v>15.713059154269443</v>
          </cell>
          <cell r="BY1191">
            <v>32.089978791354113</v>
          </cell>
        </row>
        <row r="1192">
          <cell r="A1192">
            <v>41194</v>
          </cell>
          <cell r="BF1192">
            <v>29.464382223078221</v>
          </cell>
          <cell r="BG1192">
            <v>45.468715051806292</v>
          </cell>
          <cell r="BH1192">
            <v>42.408178994289898</v>
          </cell>
          <cell r="BI1192">
            <v>30.406703917126244</v>
          </cell>
          <cell r="BJ1192">
            <v>54.409654071453552</v>
          </cell>
          <cell r="BU1192">
            <v>14.884703037767942</v>
          </cell>
          <cell r="BV1192">
            <v>29.635401891862816</v>
          </cell>
          <cell r="BW1192">
            <v>23.901518972811779</v>
          </cell>
          <cell r="BX1192">
            <v>15.713059154269443</v>
          </cell>
          <cell r="BY1192">
            <v>32.089978791354113</v>
          </cell>
        </row>
        <row r="1193">
          <cell r="A1193">
            <v>41197</v>
          </cell>
          <cell r="BF1193">
            <v>27.678794462707437</v>
          </cell>
          <cell r="BG1193">
            <v>45.468715051806292</v>
          </cell>
          <cell r="BH1193">
            <v>42.408178994289898</v>
          </cell>
          <cell r="BI1193">
            <v>30.406703917126244</v>
          </cell>
          <cell r="BJ1193">
            <v>54.409654071453552</v>
          </cell>
          <cell r="BU1193">
            <v>13.599963467213119</v>
          </cell>
          <cell r="BV1193">
            <v>29.635401891862816</v>
          </cell>
          <cell r="BW1193">
            <v>23.901518972811779</v>
          </cell>
          <cell r="BX1193">
            <v>15.713059154269443</v>
          </cell>
          <cell r="BY1193">
            <v>32.089978791354113</v>
          </cell>
        </row>
        <row r="1194">
          <cell r="A1194">
            <v>41198</v>
          </cell>
          <cell r="BF1194">
            <v>27.7256568841252</v>
          </cell>
          <cell r="BG1194">
            <v>45.468715051806292</v>
          </cell>
          <cell r="BH1194">
            <v>42.408178994289898</v>
          </cell>
          <cell r="BI1194">
            <v>30.406703917126244</v>
          </cell>
          <cell r="BJ1194">
            <v>54.409654071453552</v>
          </cell>
          <cell r="BU1194">
            <v>13.618997759723017</v>
          </cell>
          <cell r="BV1194">
            <v>29.635401891862816</v>
          </cell>
          <cell r="BW1194">
            <v>23.901518972811779</v>
          </cell>
          <cell r="BX1194">
            <v>15.713059154269443</v>
          </cell>
          <cell r="BY1194">
            <v>32.089978791354113</v>
          </cell>
        </row>
        <row r="1195">
          <cell r="A1195">
            <v>41199</v>
          </cell>
          <cell r="BF1195">
            <v>27.564099923483582</v>
          </cell>
          <cell r="BG1195">
            <v>45.468715051806292</v>
          </cell>
          <cell r="BH1195">
            <v>42.408178994289898</v>
          </cell>
          <cell r="BI1195">
            <v>30.406703917126244</v>
          </cell>
          <cell r="BJ1195">
            <v>54.409654071453552</v>
          </cell>
          <cell r="BU1195">
            <v>13.532687696712841</v>
          </cell>
          <cell r="BV1195">
            <v>29.635401891862816</v>
          </cell>
          <cell r="BW1195">
            <v>23.901518972811779</v>
          </cell>
          <cell r="BX1195">
            <v>15.713059154269443</v>
          </cell>
          <cell r="BY1195">
            <v>32.089978791354113</v>
          </cell>
        </row>
        <row r="1196">
          <cell r="A1196">
            <v>41200</v>
          </cell>
          <cell r="BF1196">
            <v>27.113080496471756</v>
          </cell>
          <cell r="BG1196">
            <v>45.468715051806292</v>
          </cell>
          <cell r="BH1196">
            <v>42.408178994289898</v>
          </cell>
          <cell r="BI1196">
            <v>30.406703917126244</v>
          </cell>
          <cell r="BJ1196">
            <v>54.409654071453552</v>
          </cell>
          <cell r="BU1196">
            <v>13.28783897204419</v>
          </cell>
          <cell r="BV1196">
            <v>29.635401891862816</v>
          </cell>
          <cell r="BW1196">
            <v>23.901518972811779</v>
          </cell>
          <cell r="BX1196">
            <v>15.713059154269443</v>
          </cell>
          <cell r="BY1196">
            <v>32.089978791354113</v>
          </cell>
        </row>
        <row r="1197">
          <cell r="A1197">
            <v>41201</v>
          </cell>
          <cell r="BF1197">
            <v>26.850729364397125</v>
          </cell>
          <cell r="BG1197">
            <v>45.468715051806292</v>
          </cell>
          <cell r="BH1197">
            <v>42.408178994289898</v>
          </cell>
          <cell r="BI1197">
            <v>30.406703917126244</v>
          </cell>
          <cell r="BJ1197">
            <v>54.409654071453552</v>
          </cell>
          <cell r="BU1197">
            <v>13.149592334287137</v>
          </cell>
          <cell r="BV1197">
            <v>29.635401891862816</v>
          </cell>
          <cell r="BW1197">
            <v>23.901518972811779</v>
          </cell>
          <cell r="BX1197">
            <v>15.713059154269443</v>
          </cell>
          <cell r="BY1197">
            <v>32.089978791354113</v>
          </cell>
        </row>
        <row r="1198">
          <cell r="A1198">
            <v>41204</v>
          </cell>
          <cell r="BF1198">
            <v>26.910305324052786</v>
          </cell>
          <cell r="BG1198">
            <v>45.468715051806292</v>
          </cell>
          <cell r="BH1198">
            <v>42.408178994289898</v>
          </cell>
          <cell r="BI1198">
            <v>30.406703917126244</v>
          </cell>
          <cell r="BJ1198">
            <v>54.409654071453552</v>
          </cell>
          <cell r="BU1198">
            <v>13.292143151719644</v>
          </cell>
          <cell r="BV1198">
            <v>29.635401891862816</v>
          </cell>
          <cell r="BW1198">
            <v>23.901518972811779</v>
          </cell>
          <cell r="BX1198">
            <v>15.713059154269443</v>
          </cell>
          <cell r="BY1198">
            <v>32.089978791354113</v>
          </cell>
        </row>
        <row r="1199">
          <cell r="A1199">
            <v>41205</v>
          </cell>
          <cell r="BF1199">
            <v>26.054086506818667</v>
          </cell>
          <cell r="BG1199">
            <v>45.468715051806292</v>
          </cell>
          <cell r="BH1199">
            <v>42.408178994289898</v>
          </cell>
          <cell r="BI1199">
            <v>30.406703917126244</v>
          </cell>
          <cell r="BJ1199">
            <v>54.409654071453552</v>
          </cell>
          <cell r="BU1199">
            <v>12.851898621167699</v>
          </cell>
          <cell r="BV1199">
            <v>29.635401891862816</v>
          </cell>
          <cell r="BW1199">
            <v>23.901518972811779</v>
          </cell>
          <cell r="BX1199">
            <v>15.713059154269443</v>
          </cell>
          <cell r="BY1199">
            <v>32.089978791354113</v>
          </cell>
        </row>
        <row r="1200">
          <cell r="A1200">
            <v>41206</v>
          </cell>
          <cell r="BF1200">
            <v>26.391810068986292</v>
          </cell>
          <cell r="BG1200">
            <v>45.468715051806292</v>
          </cell>
          <cell r="BH1200">
            <v>42.408178994289898</v>
          </cell>
          <cell r="BI1200">
            <v>30.406703917126244</v>
          </cell>
          <cell r="BJ1200">
            <v>54.409654071453552</v>
          </cell>
          <cell r="BU1200">
            <v>13.183448355183947</v>
          </cell>
          <cell r="BV1200">
            <v>29.635401891862816</v>
          </cell>
          <cell r="BW1200">
            <v>23.901518972811779</v>
          </cell>
          <cell r="BX1200">
            <v>15.713059154269443</v>
          </cell>
          <cell r="BY1200">
            <v>32.089978791354113</v>
          </cell>
        </row>
        <row r="1201">
          <cell r="A1201">
            <v>41207</v>
          </cell>
          <cell r="BF1201">
            <v>27.290677881075975</v>
          </cell>
          <cell r="BG1201">
            <v>45.468715051806292</v>
          </cell>
          <cell r="BH1201">
            <v>42.408178994289898</v>
          </cell>
          <cell r="BI1201">
            <v>30.406703917126244</v>
          </cell>
          <cell r="BJ1201">
            <v>54.409654071453552</v>
          </cell>
          <cell r="BU1201">
            <v>13.633303965860048</v>
          </cell>
          <cell r="BV1201">
            <v>29.635401891862816</v>
          </cell>
          <cell r="BW1201">
            <v>23.901518972811779</v>
          </cell>
          <cell r="BX1201">
            <v>15.713059154269443</v>
          </cell>
          <cell r="BY1201">
            <v>32.089978791354113</v>
          </cell>
        </row>
        <row r="1202">
          <cell r="A1202">
            <v>41208</v>
          </cell>
          <cell r="BF1202">
            <v>27.477542327539382</v>
          </cell>
          <cell r="BG1202">
            <v>45.468715051806292</v>
          </cell>
          <cell r="BH1202">
            <v>42.408178994289898</v>
          </cell>
          <cell r="BI1202">
            <v>30.406703917126244</v>
          </cell>
          <cell r="BJ1202">
            <v>54.409654071453552</v>
          </cell>
          <cell r="BU1202">
            <v>13.738343640339211</v>
          </cell>
          <cell r="BV1202">
            <v>29.635401891862816</v>
          </cell>
          <cell r="BW1202">
            <v>23.901518972811779</v>
          </cell>
          <cell r="BX1202">
            <v>15.713059154269443</v>
          </cell>
          <cell r="BY1202">
            <v>32.089978791354113</v>
          </cell>
        </row>
        <row r="1203">
          <cell r="A1203">
            <v>41211</v>
          </cell>
          <cell r="BF1203">
            <v>27.477542327539382</v>
          </cell>
          <cell r="BG1203">
            <v>45.468715051806292</v>
          </cell>
          <cell r="BH1203">
            <v>42.408178994289898</v>
          </cell>
          <cell r="BI1203">
            <v>30.406703917126244</v>
          </cell>
          <cell r="BJ1203">
            <v>54.409654071453552</v>
          </cell>
          <cell r="BU1203">
            <v>13.785540415653738</v>
          </cell>
          <cell r="BV1203">
            <v>29.635401891862816</v>
          </cell>
          <cell r="BW1203">
            <v>23.901518972811779</v>
          </cell>
          <cell r="BX1203">
            <v>15.713059154269443</v>
          </cell>
          <cell r="BY1203">
            <v>32.089978791354113</v>
          </cell>
        </row>
        <row r="1204">
          <cell r="A1204">
            <v>41212</v>
          </cell>
          <cell r="BF1204">
            <v>27.477542327539382</v>
          </cell>
          <cell r="BG1204">
            <v>45.468715051806292</v>
          </cell>
          <cell r="BH1204">
            <v>42.408178994289898</v>
          </cell>
          <cell r="BI1204">
            <v>30.406703917126244</v>
          </cell>
          <cell r="BJ1204">
            <v>54.409654071453552</v>
          </cell>
          <cell r="BU1204">
            <v>13.785540415653738</v>
          </cell>
          <cell r="BV1204">
            <v>29.635401891862816</v>
          </cell>
          <cell r="BW1204">
            <v>23.901518972811779</v>
          </cell>
          <cell r="BX1204">
            <v>15.713059154269443</v>
          </cell>
          <cell r="BY1204">
            <v>32.089978791354113</v>
          </cell>
        </row>
        <row r="1205">
          <cell r="A1205">
            <v>41213</v>
          </cell>
          <cell r="BF1205">
            <v>27.231033823813007</v>
          </cell>
          <cell r="BG1205">
            <v>45.468715051806292</v>
          </cell>
          <cell r="BH1205">
            <v>42.408178994289898</v>
          </cell>
          <cell r="BI1205">
            <v>30.406703917126244</v>
          </cell>
          <cell r="BJ1205">
            <v>54.409654071453552</v>
          </cell>
          <cell r="BU1205">
            <v>13.652912141988795</v>
          </cell>
          <cell r="BV1205">
            <v>29.635401891862816</v>
          </cell>
          <cell r="BW1205">
            <v>23.901518972811779</v>
          </cell>
          <cell r="BX1205">
            <v>15.713059154269443</v>
          </cell>
          <cell r="BY1205">
            <v>32.089978791354113</v>
          </cell>
        </row>
        <row r="1206">
          <cell r="A1206">
            <v>41214</v>
          </cell>
          <cell r="BF1206">
            <v>27.853082544493432</v>
          </cell>
          <cell r="BG1206">
            <v>45.468715051806292</v>
          </cell>
          <cell r="BH1206">
            <v>42.408178994289898</v>
          </cell>
          <cell r="BI1206">
            <v>30.406703917126244</v>
          </cell>
          <cell r="BJ1206">
            <v>54.409654071453552</v>
          </cell>
          <cell r="BU1206">
            <v>14.019123266467206</v>
          </cell>
          <cell r="BV1206">
            <v>29.635401891862816</v>
          </cell>
          <cell r="BW1206">
            <v>23.901518972811779</v>
          </cell>
          <cell r="BX1206">
            <v>15.713059154269443</v>
          </cell>
          <cell r="BY1206">
            <v>32.089978791354113</v>
          </cell>
        </row>
        <row r="1207">
          <cell r="A1207">
            <v>41215</v>
          </cell>
          <cell r="BF1207">
            <v>27.22263896251685</v>
          </cell>
          <cell r="BG1207">
            <v>45.468715051806292</v>
          </cell>
          <cell r="BH1207">
            <v>42.408178994289898</v>
          </cell>
          <cell r="BI1207">
            <v>30.406703917126244</v>
          </cell>
          <cell r="BJ1207">
            <v>54.409654071453552</v>
          </cell>
          <cell r="BU1207">
            <v>13.679365868221732</v>
          </cell>
          <cell r="BV1207">
            <v>29.635401891862816</v>
          </cell>
          <cell r="BW1207">
            <v>23.901518972811779</v>
          </cell>
          <cell r="BX1207">
            <v>15.713059154269443</v>
          </cell>
          <cell r="BY1207">
            <v>32.089978791354113</v>
          </cell>
        </row>
        <row r="1208">
          <cell r="A1208">
            <v>41218</v>
          </cell>
          <cell r="BF1208">
            <v>27.423857942749397</v>
          </cell>
          <cell r="BG1208">
            <v>45.468715051806292</v>
          </cell>
          <cell r="BH1208">
            <v>42.408178994289898</v>
          </cell>
          <cell r="BI1208">
            <v>30.406703917126244</v>
          </cell>
          <cell r="BJ1208">
            <v>54.409654071453552</v>
          </cell>
          <cell r="BU1208">
            <v>13.786503675246756</v>
          </cell>
          <cell r="BV1208">
            <v>29.635401891862816</v>
          </cell>
          <cell r="BW1208">
            <v>23.901518972811779</v>
          </cell>
          <cell r="BX1208">
            <v>15.713059154269443</v>
          </cell>
          <cell r="BY1208">
            <v>32.089978791354113</v>
          </cell>
        </row>
        <row r="1209">
          <cell r="A1209">
            <v>41219</v>
          </cell>
          <cell r="BF1209">
            <v>27.083044362600045</v>
          </cell>
          <cell r="BG1209">
            <v>45.468715051806292</v>
          </cell>
          <cell r="BH1209">
            <v>42.408178994289898</v>
          </cell>
          <cell r="BI1209">
            <v>30.406703917126244</v>
          </cell>
          <cell r="BJ1209">
            <v>54.409654071453552</v>
          </cell>
          <cell r="BU1209">
            <v>13.602849813985703</v>
          </cell>
          <cell r="BV1209">
            <v>29.635401891862816</v>
          </cell>
          <cell r="BW1209">
            <v>23.901518972811779</v>
          </cell>
          <cell r="BX1209">
            <v>15.713059154269443</v>
          </cell>
          <cell r="BY1209">
            <v>32.089978791354113</v>
          </cell>
        </row>
        <row r="1210">
          <cell r="A1210">
            <v>41220</v>
          </cell>
          <cell r="BF1210">
            <v>27.367420597003463</v>
          </cell>
          <cell r="BG1210">
            <v>45.468715051806292</v>
          </cell>
          <cell r="BH1210">
            <v>42.408178994289898</v>
          </cell>
          <cell r="BI1210">
            <v>30.406703917126244</v>
          </cell>
          <cell r="BJ1210">
            <v>54.409654071453552</v>
          </cell>
          <cell r="BU1210">
            <v>13.765068423486863</v>
          </cell>
          <cell r="BV1210">
            <v>29.635401891862816</v>
          </cell>
          <cell r="BW1210">
            <v>23.901518972811779</v>
          </cell>
          <cell r="BX1210">
            <v>15.713059154269443</v>
          </cell>
          <cell r="BY1210">
            <v>32.089978791354113</v>
          </cell>
        </row>
        <row r="1211">
          <cell r="A1211">
            <v>41221</v>
          </cell>
          <cell r="BF1211">
            <v>27.367420597003463</v>
          </cell>
          <cell r="BG1211">
            <v>45.468715051806292</v>
          </cell>
          <cell r="BH1211">
            <v>42.408178994289898</v>
          </cell>
          <cell r="BI1211">
            <v>30.406703917126244</v>
          </cell>
          <cell r="BJ1211">
            <v>54.409654071453552</v>
          </cell>
          <cell r="BU1211">
            <v>13.765067927334936</v>
          </cell>
          <cell r="BV1211">
            <v>29.635401891862816</v>
          </cell>
          <cell r="BW1211">
            <v>23.901518972811779</v>
          </cell>
          <cell r="BX1211">
            <v>15.713059154269443</v>
          </cell>
          <cell r="BY1211">
            <v>32.089978791354113</v>
          </cell>
        </row>
        <row r="1212">
          <cell r="A1212">
            <v>41222</v>
          </cell>
          <cell r="BF1212">
            <v>27.719373858747193</v>
          </cell>
          <cell r="BG1212">
            <v>45.468715051806292</v>
          </cell>
          <cell r="BH1212">
            <v>42.408178994289898</v>
          </cell>
          <cell r="BI1212">
            <v>30.406703917126244</v>
          </cell>
          <cell r="BJ1212">
            <v>54.409654071453552</v>
          </cell>
          <cell r="BU1212">
            <v>13.954846536075332</v>
          </cell>
          <cell r="BV1212">
            <v>29.635401891862816</v>
          </cell>
          <cell r="BW1212">
            <v>23.901518972811779</v>
          </cell>
          <cell r="BX1212">
            <v>15.713059154269443</v>
          </cell>
          <cell r="BY1212">
            <v>32.089978791354113</v>
          </cell>
        </row>
        <row r="1213">
          <cell r="A1213">
            <v>41225</v>
          </cell>
          <cell r="BF1213">
            <v>27.373093902268611</v>
          </cell>
          <cell r="BG1213">
            <v>45.468715051806292</v>
          </cell>
          <cell r="BH1213">
            <v>42.408178994289898</v>
          </cell>
          <cell r="BI1213">
            <v>30.406703917126244</v>
          </cell>
          <cell r="BJ1213">
            <v>54.409654071453552</v>
          </cell>
          <cell r="BU1213">
            <v>13.768130425112588</v>
          </cell>
          <cell r="BV1213">
            <v>29.635401891862816</v>
          </cell>
          <cell r="BW1213">
            <v>23.901518972811779</v>
          </cell>
          <cell r="BX1213">
            <v>15.713059154269443</v>
          </cell>
          <cell r="BY1213">
            <v>32.089978791354113</v>
          </cell>
        </row>
        <row r="1214">
          <cell r="A1214">
            <v>41226</v>
          </cell>
          <cell r="BF1214">
            <v>27.645582288663455</v>
          </cell>
          <cell r="BG1214">
            <v>45.468715051806292</v>
          </cell>
          <cell r="BH1214">
            <v>42.408178994289898</v>
          </cell>
          <cell r="BI1214">
            <v>30.406703917126244</v>
          </cell>
          <cell r="BJ1214">
            <v>54.409654071453552</v>
          </cell>
          <cell r="BU1214">
            <v>13.915057384106472</v>
          </cell>
          <cell r="BV1214">
            <v>29.635401891862816</v>
          </cell>
          <cell r="BW1214">
            <v>23.901518972811779</v>
          </cell>
          <cell r="BX1214">
            <v>15.713059154269443</v>
          </cell>
          <cell r="BY1214">
            <v>32.089978791354113</v>
          </cell>
        </row>
        <row r="1215">
          <cell r="A1215">
            <v>41227</v>
          </cell>
          <cell r="BF1215">
            <v>27.497982686033229</v>
          </cell>
          <cell r="BG1215">
            <v>45.468715051806292</v>
          </cell>
          <cell r="BH1215">
            <v>42.408178994289898</v>
          </cell>
          <cell r="BI1215">
            <v>30.406703917126244</v>
          </cell>
          <cell r="BJ1215">
            <v>54.409654071453552</v>
          </cell>
          <cell r="BU1215">
            <v>13.826911244981437</v>
          </cell>
          <cell r="BV1215">
            <v>29.635401891862816</v>
          </cell>
          <cell r="BW1215">
            <v>23.901518972811779</v>
          </cell>
          <cell r="BX1215">
            <v>15.713059154269443</v>
          </cell>
          <cell r="BY1215">
            <v>32.089978791354113</v>
          </cell>
        </row>
        <row r="1216">
          <cell r="A1216">
            <v>41228</v>
          </cell>
          <cell r="BF1216">
            <v>27.395805856476478</v>
          </cell>
          <cell r="BG1216">
            <v>45.468715051806292</v>
          </cell>
          <cell r="BH1216">
            <v>42.408178994289898</v>
          </cell>
          <cell r="BI1216">
            <v>30.406703917126244</v>
          </cell>
          <cell r="BJ1216">
            <v>54.409654071453552</v>
          </cell>
          <cell r="BU1216">
            <v>13.771855092598338</v>
          </cell>
          <cell r="BV1216">
            <v>29.635401891862816</v>
          </cell>
          <cell r="BW1216">
            <v>23.901518972811779</v>
          </cell>
          <cell r="BX1216">
            <v>15.713059154269443</v>
          </cell>
          <cell r="BY1216">
            <v>32.089978791354113</v>
          </cell>
        </row>
        <row r="1217">
          <cell r="A1217">
            <v>41229</v>
          </cell>
          <cell r="BF1217">
            <v>28.059979942289495</v>
          </cell>
          <cell r="BG1217">
            <v>45.468715051806292</v>
          </cell>
          <cell r="BH1217">
            <v>42.408178994289898</v>
          </cell>
          <cell r="BI1217">
            <v>30.406703917126244</v>
          </cell>
          <cell r="BJ1217">
            <v>54.409654071453552</v>
          </cell>
          <cell r="BU1217">
            <v>14.129754544317738</v>
          </cell>
          <cell r="BV1217">
            <v>29.635401891862816</v>
          </cell>
          <cell r="BW1217">
            <v>23.901518972811779</v>
          </cell>
          <cell r="BX1217">
            <v>15.713059154269443</v>
          </cell>
          <cell r="BY1217">
            <v>32.089978791354113</v>
          </cell>
        </row>
        <row r="1218">
          <cell r="A1218">
            <v>41232</v>
          </cell>
          <cell r="BF1218">
            <v>28.420842521721404</v>
          </cell>
          <cell r="BG1218">
            <v>45.468715051806292</v>
          </cell>
          <cell r="BH1218">
            <v>42.408178994289898</v>
          </cell>
          <cell r="BI1218">
            <v>30.406703917126244</v>
          </cell>
          <cell r="BJ1218">
            <v>54.409654071453552</v>
          </cell>
          <cell r="BU1218">
            <v>14.322114605872667</v>
          </cell>
          <cell r="BV1218">
            <v>29.635401891862816</v>
          </cell>
          <cell r="BW1218">
            <v>23.901518972811779</v>
          </cell>
          <cell r="BX1218">
            <v>15.713059154269443</v>
          </cell>
          <cell r="BY1218">
            <v>32.089978791354113</v>
          </cell>
        </row>
        <row r="1219">
          <cell r="A1219">
            <v>41233</v>
          </cell>
          <cell r="BF1219">
            <v>28.676270835287319</v>
          </cell>
          <cell r="BG1219">
            <v>45.468715051806292</v>
          </cell>
          <cell r="BH1219">
            <v>42.408178994289898</v>
          </cell>
          <cell r="BI1219">
            <v>30.406703917126244</v>
          </cell>
          <cell r="BJ1219">
            <v>54.409654071453552</v>
          </cell>
          <cell r="BU1219">
            <v>14.459727164288418</v>
          </cell>
          <cell r="BV1219">
            <v>29.635401891862816</v>
          </cell>
          <cell r="BW1219">
            <v>23.901518972811779</v>
          </cell>
          <cell r="BX1219">
            <v>15.713059154269443</v>
          </cell>
          <cell r="BY1219">
            <v>32.089978791354113</v>
          </cell>
        </row>
        <row r="1220">
          <cell r="A1220">
            <v>41234</v>
          </cell>
          <cell r="BF1220">
            <v>29.340387742767795</v>
          </cell>
          <cell r="BG1220">
            <v>45.468715051806292</v>
          </cell>
          <cell r="BH1220">
            <v>42.408178994289898</v>
          </cell>
          <cell r="BI1220">
            <v>30.406703917126244</v>
          </cell>
          <cell r="BJ1220">
            <v>54.409654071453552</v>
          </cell>
          <cell r="BU1220">
            <v>14.817550799102944</v>
          </cell>
          <cell r="BV1220">
            <v>29.635401891862816</v>
          </cell>
          <cell r="BW1220">
            <v>23.901518972811779</v>
          </cell>
          <cell r="BX1220">
            <v>15.713059154269443</v>
          </cell>
          <cell r="BY1220">
            <v>32.089978791354113</v>
          </cell>
        </row>
        <row r="1221">
          <cell r="A1221">
            <v>41235</v>
          </cell>
          <cell r="BF1221">
            <v>29.342913855908993</v>
          </cell>
          <cell r="BG1221">
            <v>45.468715051806292</v>
          </cell>
          <cell r="BH1221">
            <v>42.408178994289898</v>
          </cell>
          <cell r="BI1221">
            <v>30.406703917126244</v>
          </cell>
          <cell r="BJ1221">
            <v>54.409654071453552</v>
          </cell>
          <cell r="BU1221">
            <v>14.817550799102944</v>
          </cell>
          <cell r="BV1221">
            <v>29.635401891862816</v>
          </cell>
          <cell r="BW1221">
            <v>23.901518972811779</v>
          </cell>
          <cell r="BX1221">
            <v>15.713059154269443</v>
          </cell>
          <cell r="BY1221">
            <v>32.089978791354113</v>
          </cell>
        </row>
        <row r="1222">
          <cell r="A1222">
            <v>41236</v>
          </cell>
          <cell r="BF1222">
            <v>30.046828894463395</v>
          </cell>
          <cell r="BG1222">
            <v>45.468715051806292</v>
          </cell>
          <cell r="BH1222">
            <v>42.408178994289898</v>
          </cell>
          <cell r="BI1222">
            <v>30.406703917126244</v>
          </cell>
          <cell r="BJ1222">
            <v>54.409654071453552</v>
          </cell>
          <cell r="BU1222">
            <v>15.196772487156478</v>
          </cell>
          <cell r="BV1222">
            <v>29.635401891862816</v>
          </cell>
          <cell r="BW1222">
            <v>23.901518972811779</v>
          </cell>
          <cell r="BX1222">
            <v>15.713059154269443</v>
          </cell>
          <cell r="BY1222">
            <v>32.089978791354113</v>
          </cell>
        </row>
        <row r="1223">
          <cell r="A1223">
            <v>41239</v>
          </cell>
          <cell r="BF1223">
            <v>29.04773111311129</v>
          </cell>
          <cell r="BG1223">
            <v>45.468715051806292</v>
          </cell>
          <cell r="BH1223">
            <v>42.408178994289898</v>
          </cell>
          <cell r="BI1223">
            <v>30.406703917126244</v>
          </cell>
          <cell r="BJ1223">
            <v>54.409654071453552</v>
          </cell>
          <cell r="BU1223">
            <v>14.65852159768804</v>
          </cell>
          <cell r="BV1223">
            <v>29.635401891862816</v>
          </cell>
          <cell r="BW1223">
            <v>23.901518972811779</v>
          </cell>
          <cell r="BX1223">
            <v>15.713059154269443</v>
          </cell>
          <cell r="BY1223">
            <v>32.089978791354113</v>
          </cell>
        </row>
        <row r="1224">
          <cell r="A1224">
            <v>41240</v>
          </cell>
          <cell r="BF1224">
            <v>29.059078291312723</v>
          </cell>
          <cell r="BG1224">
            <v>45.468715051806292</v>
          </cell>
          <cell r="BH1224">
            <v>42.408178994289898</v>
          </cell>
          <cell r="BI1224">
            <v>30.406703917126244</v>
          </cell>
          <cell r="BJ1224">
            <v>54.409654071453552</v>
          </cell>
          <cell r="BU1224">
            <v>14.664630936460602</v>
          </cell>
          <cell r="BV1224">
            <v>29.635401891862816</v>
          </cell>
          <cell r="BW1224">
            <v>23.901518972811779</v>
          </cell>
          <cell r="BX1224">
            <v>15.713059154269443</v>
          </cell>
          <cell r="BY1224">
            <v>32.089978791354113</v>
          </cell>
        </row>
        <row r="1225">
          <cell r="A1225">
            <v>41241</v>
          </cell>
          <cell r="BF1225">
            <v>29.053404418376445</v>
          </cell>
          <cell r="BG1225">
            <v>45.468715051806292</v>
          </cell>
          <cell r="BH1225">
            <v>42.408178994289898</v>
          </cell>
          <cell r="BI1225">
            <v>30.406703917126244</v>
          </cell>
          <cell r="BJ1225">
            <v>54.409654071453552</v>
          </cell>
          <cell r="BU1225">
            <v>14.66157130980495</v>
          </cell>
          <cell r="BV1225">
            <v>29.635401891862816</v>
          </cell>
          <cell r="BW1225">
            <v>23.901518972811779</v>
          </cell>
          <cell r="BX1225">
            <v>15.713059154269443</v>
          </cell>
          <cell r="BY1225">
            <v>32.089978791354113</v>
          </cell>
        </row>
        <row r="1226">
          <cell r="A1226">
            <v>41242</v>
          </cell>
          <cell r="BF1226">
            <v>29.655134679978282</v>
          </cell>
          <cell r="BG1226">
            <v>45.468715051806292</v>
          </cell>
          <cell r="BH1226">
            <v>42.408178994289898</v>
          </cell>
          <cell r="BI1226">
            <v>30.406703917126244</v>
          </cell>
          <cell r="BJ1226">
            <v>54.409654071453552</v>
          </cell>
          <cell r="BU1226">
            <v>14.985749709536464</v>
          </cell>
          <cell r="BV1226">
            <v>29.635401891862816</v>
          </cell>
          <cell r="BW1226">
            <v>23.901518972811779</v>
          </cell>
          <cell r="BX1226">
            <v>15.713059154269443</v>
          </cell>
          <cell r="BY1226">
            <v>32.089978791354113</v>
          </cell>
        </row>
        <row r="1227">
          <cell r="A1227">
            <v>41243</v>
          </cell>
          <cell r="BF1227">
            <v>30.489611807562447</v>
          </cell>
          <cell r="BG1227">
            <v>45.468715051806292</v>
          </cell>
          <cell r="BH1227">
            <v>42.408178994289898</v>
          </cell>
          <cell r="BI1227">
            <v>30.406703917126244</v>
          </cell>
          <cell r="BJ1227">
            <v>54.409654071453552</v>
          </cell>
          <cell r="BU1227">
            <v>15.435312075599867</v>
          </cell>
          <cell r="BV1227">
            <v>29.635401891862816</v>
          </cell>
          <cell r="BW1227">
            <v>23.901518972811779</v>
          </cell>
          <cell r="BX1227">
            <v>15.713059154269443</v>
          </cell>
          <cell r="BY1227">
            <v>32.089978791354113</v>
          </cell>
        </row>
        <row r="1228">
          <cell r="A1228">
            <v>41246</v>
          </cell>
          <cell r="BF1228">
            <v>29.336326771653546</v>
          </cell>
          <cell r="BG1228">
            <v>45.468715051806292</v>
          </cell>
          <cell r="BH1228">
            <v>42.408178994289898</v>
          </cell>
          <cell r="BI1228">
            <v>30.406703917126244</v>
          </cell>
          <cell r="BJ1228">
            <v>54.409654071453552</v>
          </cell>
          <cell r="BU1228">
            <v>14.846211400110681</v>
          </cell>
          <cell r="BV1228">
            <v>29.635401891862816</v>
          </cell>
          <cell r="BW1228">
            <v>23.901518972811779</v>
          </cell>
          <cell r="BX1228">
            <v>15.713059154269443</v>
          </cell>
          <cell r="BY1228">
            <v>32.089978791354113</v>
          </cell>
        </row>
        <row r="1229">
          <cell r="A1229">
            <v>41247</v>
          </cell>
          <cell r="BF1229">
            <v>29.111358267716536</v>
          </cell>
          <cell r="BG1229">
            <v>45.468715051806292</v>
          </cell>
          <cell r="BH1229">
            <v>42.408178994289898</v>
          </cell>
          <cell r="BI1229">
            <v>30.406703917126244</v>
          </cell>
          <cell r="BJ1229">
            <v>54.409654071453552</v>
          </cell>
          <cell r="BU1229">
            <v>14.724828137490009</v>
          </cell>
          <cell r="BV1229">
            <v>29.635401891862816</v>
          </cell>
          <cell r="BW1229">
            <v>23.901518972811779</v>
          </cell>
          <cell r="BX1229">
            <v>15.713059154269443</v>
          </cell>
          <cell r="BY1229">
            <v>32.089978791354113</v>
          </cell>
        </row>
        <row r="1230">
          <cell r="A1230">
            <v>41248</v>
          </cell>
          <cell r="BF1230">
            <v>29.07204386951631</v>
          </cell>
          <cell r="BG1230">
            <v>45.468715051806292</v>
          </cell>
          <cell r="BH1230">
            <v>42.408178994289898</v>
          </cell>
          <cell r="BI1230">
            <v>30.406703917126244</v>
          </cell>
          <cell r="BJ1230">
            <v>54.409654071453552</v>
          </cell>
          <cell r="BU1230">
            <v>14.703614339297793</v>
          </cell>
          <cell r="BV1230">
            <v>29.635401891862816</v>
          </cell>
          <cell r="BW1230">
            <v>23.901518972811779</v>
          </cell>
          <cell r="BX1230">
            <v>15.713059154269443</v>
          </cell>
          <cell r="BY1230">
            <v>32.089978791354113</v>
          </cell>
        </row>
        <row r="1231">
          <cell r="A1231">
            <v>41249</v>
          </cell>
          <cell r="BF1231">
            <v>29.184476940382453</v>
          </cell>
          <cell r="BG1231">
            <v>45.468715051806292</v>
          </cell>
          <cell r="BH1231">
            <v>42.408178994289898</v>
          </cell>
          <cell r="BI1231">
            <v>30.406703917126244</v>
          </cell>
          <cell r="BJ1231">
            <v>54.409654071453552</v>
          </cell>
          <cell r="BU1231">
            <v>14.764276947672631</v>
          </cell>
          <cell r="BV1231">
            <v>29.635401891862816</v>
          </cell>
          <cell r="BW1231">
            <v>23.901518972811779</v>
          </cell>
          <cell r="BX1231">
            <v>15.713059154269443</v>
          </cell>
          <cell r="BY1231">
            <v>32.089978791354113</v>
          </cell>
        </row>
        <row r="1232">
          <cell r="A1232">
            <v>41250</v>
          </cell>
          <cell r="BF1232">
            <v>29.010116422947132</v>
          </cell>
          <cell r="BG1232">
            <v>45.468715051806292</v>
          </cell>
          <cell r="BH1232">
            <v>42.408178994289898</v>
          </cell>
          <cell r="BI1232">
            <v>30.406703917126244</v>
          </cell>
          <cell r="BJ1232">
            <v>54.409654071453552</v>
          </cell>
          <cell r="BU1232">
            <v>14.670198364385415</v>
          </cell>
          <cell r="BV1232">
            <v>29.635401891862816</v>
          </cell>
          <cell r="BW1232">
            <v>23.901518972811779</v>
          </cell>
          <cell r="BX1232">
            <v>15.713059154269443</v>
          </cell>
          <cell r="BY1232">
            <v>32.089978791354113</v>
          </cell>
        </row>
        <row r="1233">
          <cell r="A1233">
            <v>41253</v>
          </cell>
          <cell r="BF1233">
            <v>29.330705286839144</v>
          </cell>
          <cell r="BG1233">
            <v>45.468715051806292</v>
          </cell>
          <cell r="BH1233">
            <v>42.408178994289898</v>
          </cell>
          <cell r="BI1233">
            <v>30.406703917126244</v>
          </cell>
          <cell r="BJ1233">
            <v>54.409654071453552</v>
          </cell>
          <cell r="BU1233">
            <v>14.843175305909121</v>
          </cell>
          <cell r="BV1233">
            <v>29.635401891862816</v>
          </cell>
          <cell r="BW1233">
            <v>23.901518972811779</v>
          </cell>
          <cell r="BX1233">
            <v>15.713059154269443</v>
          </cell>
          <cell r="BY1233">
            <v>32.089978791354113</v>
          </cell>
        </row>
        <row r="1234">
          <cell r="A1234">
            <v>41254</v>
          </cell>
          <cell r="BF1234">
            <v>29.448811023622046</v>
          </cell>
          <cell r="BG1234">
            <v>45.468715051806292</v>
          </cell>
          <cell r="BH1234">
            <v>42.408178994289898</v>
          </cell>
          <cell r="BI1234">
            <v>30.406703917126244</v>
          </cell>
          <cell r="BJ1234">
            <v>54.409654071453552</v>
          </cell>
          <cell r="BU1234">
            <v>14.906903031421018</v>
          </cell>
          <cell r="BV1234">
            <v>29.635401891862816</v>
          </cell>
          <cell r="BW1234">
            <v>23.901518972811779</v>
          </cell>
          <cell r="BX1234">
            <v>15.713059154269443</v>
          </cell>
          <cell r="BY1234">
            <v>32.089978791354113</v>
          </cell>
        </row>
        <row r="1235">
          <cell r="A1235">
            <v>41255</v>
          </cell>
          <cell r="BF1235">
            <v>29.932500562429695</v>
          </cell>
          <cell r="BG1235">
            <v>45.468715051806292</v>
          </cell>
          <cell r="BH1235">
            <v>42.408178994289898</v>
          </cell>
          <cell r="BI1235">
            <v>30.406703917126244</v>
          </cell>
          <cell r="BJ1235">
            <v>54.409654071453552</v>
          </cell>
          <cell r="BU1235">
            <v>15.167895222283713</v>
          </cell>
          <cell r="BV1235">
            <v>29.635401891862816</v>
          </cell>
          <cell r="BW1235">
            <v>23.901518972811779</v>
          </cell>
          <cell r="BX1235">
            <v>15.713059154269443</v>
          </cell>
          <cell r="BY1235">
            <v>32.089978791354113</v>
          </cell>
        </row>
        <row r="1236">
          <cell r="A1236">
            <v>41256</v>
          </cell>
          <cell r="BF1236">
            <v>29.926879640044994</v>
          </cell>
          <cell r="BG1236">
            <v>45.468715051806292</v>
          </cell>
          <cell r="BH1236">
            <v>42.408178994289898</v>
          </cell>
          <cell r="BI1236">
            <v>30.406703917126244</v>
          </cell>
          <cell r="BJ1236">
            <v>54.409654071453552</v>
          </cell>
          <cell r="BU1236">
            <v>15.164860111910473</v>
          </cell>
          <cell r="BV1236">
            <v>29.635401891862816</v>
          </cell>
          <cell r="BW1236">
            <v>23.901518972811779</v>
          </cell>
          <cell r="BX1236">
            <v>15.713059154269443</v>
          </cell>
          <cell r="BY1236">
            <v>32.089978791354113</v>
          </cell>
        </row>
        <row r="1237">
          <cell r="A1237">
            <v>41257</v>
          </cell>
          <cell r="BF1237">
            <v>28.807641169853767</v>
          </cell>
          <cell r="BG1237">
            <v>45.468715051806292</v>
          </cell>
          <cell r="BH1237">
            <v>42.408178994289898</v>
          </cell>
          <cell r="BI1237">
            <v>30.406703917126244</v>
          </cell>
          <cell r="BJ1237">
            <v>54.409654071453552</v>
          </cell>
          <cell r="BU1237">
            <v>14.560949148373609</v>
          </cell>
          <cell r="BV1237">
            <v>29.635401891862816</v>
          </cell>
          <cell r="BW1237">
            <v>23.901518972811779</v>
          </cell>
          <cell r="BX1237">
            <v>15.713059154269443</v>
          </cell>
          <cell r="BY1237">
            <v>32.089978791354113</v>
          </cell>
        </row>
        <row r="1238">
          <cell r="A1238">
            <v>41260</v>
          </cell>
          <cell r="BF1238">
            <v>29.167596175478064</v>
          </cell>
          <cell r="BG1238">
            <v>45.468715051806292</v>
          </cell>
          <cell r="BH1238">
            <v>42.408178994289898</v>
          </cell>
          <cell r="BI1238">
            <v>30.406703917126244</v>
          </cell>
          <cell r="BJ1238">
            <v>54.409654071453552</v>
          </cell>
          <cell r="BU1238">
            <v>14.755168665067945</v>
          </cell>
          <cell r="BV1238">
            <v>29.635401891862816</v>
          </cell>
          <cell r="BW1238">
            <v>23.901518972811779</v>
          </cell>
          <cell r="BX1238">
            <v>15.713059154269443</v>
          </cell>
          <cell r="BY1238">
            <v>32.089978791354113</v>
          </cell>
        </row>
        <row r="1239">
          <cell r="A1239">
            <v>41261</v>
          </cell>
          <cell r="BF1239">
            <v>29.161974690663669</v>
          </cell>
          <cell r="BG1239">
            <v>45.468715051806292</v>
          </cell>
          <cell r="BH1239">
            <v>42.408178994289898</v>
          </cell>
          <cell r="BI1239">
            <v>30.406703917126244</v>
          </cell>
          <cell r="BJ1239">
            <v>54.409654071453552</v>
          </cell>
          <cell r="BU1239">
            <v>14.752132816823464</v>
          </cell>
          <cell r="BV1239">
            <v>29.635401891862816</v>
          </cell>
          <cell r="BW1239">
            <v>23.901518972811779</v>
          </cell>
          <cell r="BX1239">
            <v>15.713059154269443</v>
          </cell>
          <cell r="BY1239">
            <v>32.089978791354113</v>
          </cell>
        </row>
        <row r="1240">
          <cell r="A1240">
            <v>41262</v>
          </cell>
          <cell r="BF1240">
            <v>29.339313273340832</v>
          </cell>
          <cell r="BG1240">
            <v>45.468715051806292</v>
          </cell>
          <cell r="BH1240">
            <v>42.408178994289898</v>
          </cell>
          <cell r="BI1240">
            <v>30.406703917126244</v>
          </cell>
          <cell r="BJ1240">
            <v>54.409654071453552</v>
          </cell>
          <cell r="BU1240">
            <v>14.847825370472853</v>
          </cell>
          <cell r="BV1240">
            <v>29.635401891862816</v>
          </cell>
          <cell r="BW1240">
            <v>23.901518972811779</v>
          </cell>
          <cell r="BX1240">
            <v>15.713059154269443</v>
          </cell>
          <cell r="BY1240">
            <v>32.089978791354113</v>
          </cell>
        </row>
        <row r="1241">
          <cell r="A1241">
            <v>41263</v>
          </cell>
          <cell r="BF1241">
            <v>31.619789651293587</v>
          </cell>
          <cell r="BG1241">
            <v>45.468715051806292</v>
          </cell>
          <cell r="BH1241">
            <v>42.408178994289898</v>
          </cell>
          <cell r="BI1241">
            <v>30.406703917126244</v>
          </cell>
          <cell r="BJ1241">
            <v>54.409654071453552</v>
          </cell>
          <cell r="BU1241">
            <v>16.078302896144624</v>
          </cell>
          <cell r="BV1241">
            <v>29.635401891862816</v>
          </cell>
          <cell r="BW1241">
            <v>23.901518972811779</v>
          </cell>
          <cell r="BX1241">
            <v>15.713059154269443</v>
          </cell>
          <cell r="BY1241">
            <v>32.089978791354113</v>
          </cell>
        </row>
        <row r="1242">
          <cell r="A1242">
            <v>41264</v>
          </cell>
          <cell r="BF1242">
            <v>31.715410573678291</v>
          </cell>
          <cell r="BG1242">
            <v>45.468715051806292</v>
          </cell>
          <cell r="BH1242">
            <v>42.408178994289898</v>
          </cell>
          <cell r="BI1242">
            <v>30.406703917126244</v>
          </cell>
          <cell r="BJ1242">
            <v>54.409654071453552</v>
          </cell>
          <cell r="BU1242">
            <v>16.129895837176413</v>
          </cell>
          <cell r="BV1242">
            <v>29.635401891862816</v>
          </cell>
          <cell r="BW1242">
            <v>23.901518972811779</v>
          </cell>
          <cell r="BX1242">
            <v>15.713059154269443</v>
          </cell>
          <cell r="BY1242">
            <v>32.089978791354113</v>
          </cell>
        </row>
        <row r="1243">
          <cell r="A1243">
            <v>41267</v>
          </cell>
          <cell r="BF1243">
            <v>31.552300899887516</v>
          </cell>
          <cell r="BG1243">
            <v>45.468715051806292</v>
          </cell>
          <cell r="BH1243">
            <v>42.408178994289898</v>
          </cell>
          <cell r="BI1243">
            <v>30.406703917126244</v>
          </cell>
          <cell r="BJ1243">
            <v>54.409654071453552</v>
          </cell>
          <cell r="BU1243">
            <v>16.04188944229232</v>
          </cell>
          <cell r="BV1243">
            <v>29.635401891862816</v>
          </cell>
          <cell r="BW1243">
            <v>23.901518972811779</v>
          </cell>
          <cell r="BX1243">
            <v>15.713059154269443</v>
          </cell>
          <cell r="BY1243">
            <v>32.089978791354113</v>
          </cell>
        </row>
        <row r="1244">
          <cell r="A1244">
            <v>41268</v>
          </cell>
          <cell r="BF1244">
            <v>31.552300899887516</v>
          </cell>
          <cell r="BG1244">
            <v>45.468715051806292</v>
          </cell>
          <cell r="BH1244">
            <v>42.408178994289898</v>
          </cell>
          <cell r="BI1244">
            <v>30.406703917126244</v>
          </cell>
          <cell r="BJ1244">
            <v>54.409654071453552</v>
          </cell>
          <cell r="BU1244">
            <v>16.04188944229232</v>
          </cell>
          <cell r="BV1244">
            <v>29.635401891862816</v>
          </cell>
          <cell r="BW1244">
            <v>23.901518972811779</v>
          </cell>
          <cell r="BX1244">
            <v>15.713059154269443</v>
          </cell>
          <cell r="BY1244">
            <v>32.089978791354113</v>
          </cell>
        </row>
        <row r="1245">
          <cell r="A1245">
            <v>41269</v>
          </cell>
          <cell r="BF1245">
            <v>31.338574803149605</v>
          </cell>
          <cell r="BG1245">
            <v>45.468715051806292</v>
          </cell>
          <cell r="BH1245">
            <v>42.408178994289898</v>
          </cell>
          <cell r="BI1245">
            <v>30.406703917126244</v>
          </cell>
          <cell r="BJ1245">
            <v>54.409654071453552</v>
          </cell>
          <cell r="BU1245">
            <v>15.926568283834472</v>
          </cell>
          <cell r="BV1245">
            <v>29.635401891862816</v>
          </cell>
          <cell r="BW1245">
            <v>23.901518972811779</v>
          </cell>
          <cell r="BX1245">
            <v>15.713059154269443</v>
          </cell>
          <cell r="BY1245">
            <v>32.089978791354113</v>
          </cell>
        </row>
        <row r="1246">
          <cell r="A1246">
            <v>41270</v>
          </cell>
          <cell r="BF1246">
            <v>31.164223284589429</v>
          </cell>
          <cell r="BG1246">
            <v>45.468715051806292</v>
          </cell>
          <cell r="BH1246">
            <v>42.408178994289898</v>
          </cell>
          <cell r="BI1246">
            <v>30.406703917126244</v>
          </cell>
          <cell r="BJ1246">
            <v>54.409654071453552</v>
          </cell>
          <cell r="BU1246">
            <v>15.832489700547255</v>
          </cell>
          <cell r="BV1246">
            <v>29.635401891862816</v>
          </cell>
          <cell r="BW1246">
            <v>23.901518972811779</v>
          </cell>
          <cell r="BX1246">
            <v>15.713059154269443</v>
          </cell>
          <cell r="BY1246">
            <v>32.089978791354113</v>
          </cell>
        </row>
        <row r="1247">
          <cell r="A1247">
            <v>41271</v>
          </cell>
          <cell r="BF1247">
            <v>30.79302587176603</v>
          </cell>
          <cell r="BG1247">
            <v>45.468715051806292</v>
          </cell>
          <cell r="BH1247">
            <v>42.408178994289898</v>
          </cell>
          <cell r="BI1247">
            <v>30.406703917126244</v>
          </cell>
          <cell r="BJ1247">
            <v>54.409654071453552</v>
          </cell>
          <cell r="BU1247">
            <v>15.632197995449793</v>
          </cell>
          <cell r="BV1247">
            <v>29.635401891862816</v>
          </cell>
          <cell r="BW1247">
            <v>23.901518972811779</v>
          </cell>
          <cell r="BX1247">
            <v>15.713059154269443</v>
          </cell>
          <cell r="BY1247">
            <v>32.089978791354113</v>
          </cell>
        </row>
        <row r="1248">
          <cell r="A1248">
            <v>41274</v>
          </cell>
          <cell r="BF1248">
            <v>31.263179295102155</v>
          </cell>
          <cell r="BG1248">
            <v>45.468715051806292</v>
          </cell>
          <cell r="BH1248">
            <v>42.408178994289898</v>
          </cell>
          <cell r="BI1248">
            <v>30.406703917126244</v>
          </cell>
          <cell r="BJ1248">
            <v>54.409654071453552</v>
          </cell>
          <cell r="BU1248">
            <v>15.632197995449793</v>
          </cell>
          <cell r="BV1248">
            <v>29.635401891862816</v>
          </cell>
          <cell r="BW1248">
            <v>23.901518972811779</v>
          </cell>
          <cell r="BX1248">
            <v>15.713059154269443</v>
          </cell>
          <cell r="BY1248">
            <v>32.089978791354113</v>
          </cell>
        </row>
        <row r="1249">
          <cell r="A1249">
            <v>41275</v>
          </cell>
          <cell r="BF1249">
            <v>30.851195005206119</v>
          </cell>
          <cell r="BG1249">
            <v>45.468715051806292</v>
          </cell>
          <cell r="BH1249">
            <v>42.408178994289898</v>
          </cell>
          <cell r="BI1249">
            <v>30.406703917126244</v>
          </cell>
          <cell r="BJ1249">
            <v>54.409654071453552</v>
          </cell>
          <cell r="BU1249">
            <v>15.450189825531467</v>
          </cell>
          <cell r="BV1249">
            <v>29.635401891862816</v>
          </cell>
          <cell r="BW1249">
            <v>23.901518972811779</v>
          </cell>
          <cell r="BX1249">
            <v>15.713059154269443</v>
          </cell>
          <cell r="BY1249">
            <v>32.089978791354113</v>
          </cell>
        </row>
        <row r="1250">
          <cell r="A1250">
            <v>41276</v>
          </cell>
          <cell r="BF1250">
            <v>30.756849947974057</v>
          </cell>
          <cell r="BG1250">
            <v>45.468715051806292</v>
          </cell>
          <cell r="BH1250">
            <v>42.408178994289898</v>
          </cell>
          <cell r="BI1250">
            <v>30.406703917126244</v>
          </cell>
          <cell r="BJ1250">
            <v>54.409654071453552</v>
          </cell>
          <cell r="BU1250">
            <v>15.450189825531467</v>
          </cell>
          <cell r="BV1250">
            <v>29.635401891862816</v>
          </cell>
          <cell r="BW1250">
            <v>23.901518972811779</v>
          </cell>
          <cell r="BX1250">
            <v>15.713059154269443</v>
          </cell>
          <cell r="BY1250">
            <v>32.089978791354113</v>
          </cell>
        </row>
        <row r="1251">
          <cell r="A1251">
            <v>41277</v>
          </cell>
          <cell r="BF1251">
            <v>30.828990912247395</v>
          </cell>
          <cell r="BG1251">
            <v>45.468715051806292</v>
          </cell>
          <cell r="BH1251">
            <v>42.408178994289898</v>
          </cell>
          <cell r="BI1251">
            <v>30.406703917126244</v>
          </cell>
          <cell r="BJ1251">
            <v>54.409654071453552</v>
          </cell>
          <cell r="BU1251">
            <v>15.450189825531467</v>
          </cell>
          <cell r="BV1251">
            <v>29.635401891862816</v>
          </cell>
          <cell r="BW1251">
            <v>23.901518972811779</v>
          </cell>
          <cell r="BX1251">
            <v>15.713059154269443</v>
          </cell>
          <cell r="BY1251">
            <v>32.089978791354113</v>
          </cell>
        </row>
        <row r="1252">
          <cell r="A1252">
            <v>41278</v>
          </cell>
          <cell r="BF1252">
            <v>30.384239145515714</v>
          </cell>
          <cell r="BG1252">
            <v>45.468715051806292</v>
          </cell>
          <cell r="BH1252">
            <v>42.408178994289898</v>
          </cell>
          <cell r="BI1252">
            <v>30.406703917126244</v>
          </cell>
          <cell r="BJ1252">
            <v>54.409654071453552</v>
          </cell>
          <cell r="BU1252">
            <v>15.429725737126315</v>
          </cell>
          <cell r="BV1252">
            <v>29.635401891862816</v>
          </cell>
          <cell r="BW1252">
            <v>23.901518972811779</v>
          </cell>
          <cell r="BX1252">
            <v>15.713059154269443</v>
          </cell>
          <cell r="BY1252">
            <v>32.089978791354113</v>
          </cell>
        </row>
        <row r="1253">
          <cell r="A1253">
            <v>41281</v>
          </cell>
          <cell r="BF1253">
            <v>28.22561569069952</v>
          </cell>
          <cell r="BG1253">
            <v>45.468715051806292</v>
          </cell>
          <cell r="BH1253">
            <v>42.408178994289898</v>
          </cell>
          <cell r="BI1253">
            <v>30.406703917126244</v>
          </cell>
          <cell r="BJ1253">
            <v>54.409654071453552</v>
          </cell>
          <cell r="BU1253">
            <v>15.400457240613862</v>
          </cell>
          <cell r="BV1253">
            <v>29.635401891862816</v>
          </cell>
          <cell r="BW1253">
            <v>23.901518972811779</v>
          </cell>
          <cell r="BX1253">
            <v>15.713059154269443</v>
          </cell>
          <cell r="BY1253">
            <v>32.089978791354113</v>
          </cell>
        </row>
        <row r="1254">
          <cell r="A1254">
            <v>41282</v>
          </cell>
          <cell r="BF1254">
            <v>29.054588576739636</v>
          </cell>
          <cell r="BG1254">
            <v>45.468715051806292</v>
          </cell>
          <cell r="BH1254">
            <v>42.408178994289898</v>
          </cell>
          <cell r="BI1254">
            <v>30.406703917126244</v>
          </cell>
          <cell r="BJ1254">
            <v>54.409654071453552</v>
          </cell>
          <cell r="BU1254">
            <v>15.400457240613862</v>
          </cell>
          <cell r="BV1254">
            <v>29.635401891862816</v>
          </cell>
          <cell r="BW1254">
            <v>23.901518972811779</v>
          </cell>
          <cell r="BX1254">
            <v>15.713059154269443</v>
          </cell>
          <cell r="BY1254">
            <v>32.089978791354113</v>
          </cell>
        </row>
        <row r="1255">
          <cell r="A1255">
            <v>41283</v>
          </cell>
          <cell r="BF1255">
            <v>29.197120306814583</v>
          </cell>
          <cell r="BG1255">
            <v>45.468715051806292</v>
          </cell>
          <cell r="BH1255">
            <v>42.408178994289898</v>
          </cell>
          <cell r="BI1255">
            <v>30.406703917126244</v>
          </cell>
          <cell r="BJ1255">
            <v>54.409654071453552</v>
          </cell>
          <cell r="BU1255">
            <v>15.469202086362129</v>
          </cell>
          <cell r="BV1255">
            <v>29.635401891862816</v>
          </cell>
          <cell r="BW1255">
            <v>23.901518972811779</v>
          </cell>
          <cell r="BX1255">
            <v>15.713059154269443</v>
          </cell>
          <cell r="BY1255">
            <v>32.089978791354113</v>
          </cell>
        </row>
        <row r="1256">
          <cell r="A1256">
            <v>41284</v>
          </cell>
          <cell r="BF1256">
            <v>29.96575501896913</v>
          </cell>
          <cell r="BG1256">
            <v>45.468715051806292</v>
          </cell>
          <cell r="BH1256">
            <v>42.408178994289898</v>
          </cell>
          <cell r="BI1256">
            <v>30.406703917126244</v>
          </cell>
          <cell r="BJ1256">
            <v>54.409654071453552</v>
          </cell>
          <cell r="BU1256">
            <v>15.469202086362129</v>
          </cell>
          <cell r="BV1256">
            <v>29.635401891862816</v>
          </cell>
          <cell r="BW1256">
            <v>23.901518972811779</v>
          </cell>
          <cell r="BX1256">
            <v>15.713059154269443</v>
          </cell>
          <cell r="BY1256">
            <v>32.089978791354113</v>
          </cell>
        </row>
        <row r="1257">
          <cell r="A1257">
            <v>41285</v>
          </cell>
          <cell r="BF1257">
            <v>29.540182990657279</v>
          </cell>
          <cell r="BG1257">
            <v>45.468715051806292</v>
          </cell>
          <cell r="BH1257">
            <v>42.408178994289898</v>
          </cell>
          <cell r="BI1257">
            <v>30.406703917126244</v>
          </cell>
          <cell r="BJ1257">
            <v>54.409654071453552</v>
          </cell>
          <cell r="BU1257">
            <v>15.547179089935932</v>
          </cell>
          <cell r="BV1257">
            <v>29.635401891862816</v>
          </cell>
          <cell r="BW1257">
            <v>23.901518972811779</v>
          </cell>
          <cell r="BX1257">
            <v>15.713059154269443</v>
          </cell>
          <cell r="BY1257">
            <v>32.089978791354113</v>
          </cell>
        </row>
        <row r="1258">
          <cell r="A1258">
            <v>41288</v>
          </cell>
          <cell r="BF1258">
            <v>29.49974384406142</v>
          </cell>
          <cell r="BG1258">
            <v>45.468715051806292</v>
          </cell>
          <cell r="BH1258">
            <v>42.408178994289898</v>
          </cell>
          <cell r="BI1258">
            <v>30.406703917126244</v>
          </cell>
          <cell r="BJ1258">
            <v>54.409654071453552</v>
          </cell>
          <cell r="BU1258">
            <v>15.547179089935932</v>
          </cell>
          <cell r="BV1258">
            <v>29.635401891862816</v>
          </cell>
          <cell r="BW1258">
            <v>23.901518972811779</v>
          </cell>
          <cell r="BX1258">
            <v>15.713059154269443</v>
          </cell>
          <cell r="BY1258">
            <v>32.089978791354113</v>
          </cell>
        </row>
        <row r="1259">
          <cell r="A1259">
            <v>41289</v>
          </cell>
          <cell r="BF1259">
            <v>28.93912533234467</v>
          </cell>
          <cell r="BG1259">
            <v>45.468715051806292</v>
          </cell>
          <cell r="BH1259">
            <v>42.408178994289898</v>
          </cell>
          <cell r="BI1259">
            <v>30.406703917126244</v>
          </cell>
          <cell r="BJ1259">
            <v>54.409654071453552</v>
          </cell>
          <cell r="BU1259">
            <v>15.589483405244341</v>
          </cell>
          <cell r="BV1259">
            <v>29.635401891862816</v>
          </cell>
          <cell r="BW1259">
            <v>23.901518972811779</v>
          </cell>
          <cell r="BX1259">
            <v>15.713059154269443</v>
          </cell>
          <cell r="BY1259">
            <v>32.089978791354113</v>
          </cell>
        </row>
        <row r="1260">
          <cell r="A1260">
            <v>41290</v>
          </cell>
          <cell r="BF1260">
            <v>28.414043581498156</v>
          </cell>
          <cell r="BG1260">
            <v>45.468715051806292</v>
          </cell>
          <cell r="BH1260">
            <v>42.408178994289898</v>
          </cell>
          <cell r="BI1260">
            <v>30.406703917126244</v>
          </cell>
          <cell r="BJ1260">
            <v>54.409654071453552</v>
          </cell>
          <cell r="BU1260">
            <v>15.585577667001926</v>
          </cell>
          <cell r="BV1260">
            <v>29.635401891862816</v>
          </cell>
          <cell r="BW1260">
            <v>23.901518972811779</v>
          </cell>
          <cell r="BX1260">
            <v>15.713059154269443</v>
          </cell>
          <cell r="BY1260">
            <v>32.089978791354113</v>
          </cell>
        </row>
        <row r="1261">
          <cell r="A1261">
            <v>41291</v>
          </cell>
          <cell r="BF1261">
            <v>28.975696976763196</v>
          </cell>
          <cell r="BG1261">
            <v>45.468715051806292</v>
          </cell>
          <cell r="BH1261">
            <v>42.408178994289898</v>
          </cell>
          <cell r="BI1261">
            <v>30.406703917126244</v>
          </cell>
          <cell r="BJ1261">
            <v>54.409654071453552</v>
          </cell>
          <cell r="BU1261">
            <v>15.585577667001926</v>
          </cell>
          <cell r="BV1261">
            <v>29.635401891862816</v>
          </cell>
          <cell r="BW1261">
            <v>23.901518972811779</v>
          </cell>
          <cell r="BX1261">
            <v>15.713059154269443</v>
          </cell>
          <cell r="BY1261">
            <v>32.089978791354113</v>
          </cell>
        </row>
        <row r="1262">
          <cell r="A1262">
            <v>41292</v>
          </cell>
          <cell r="BF1262">
            <v>29.008052486976013</v>
          </cell>
          <cell r="BG1262">
            <v>45.468715051806292</v>
          </cell>
          <cell r="BH1262">
            <v>42.408178994289898</v>
          </cell>
          <cell r="BI1262">
            <v>30.406703917126244</v>
          </cell>
          <cell r="BJ1262">
            <v>54.409654071453552</v>
          </cell>
          <cell r="BU1262">
            <v>15.678601694742671</v>
          </cell>
          <cell r="BV1262">
            <v>29.635401891862816</v>
          </cell>
          <cell r="BW1262">
            <v>23.901518972811779</v>
          </cell>
          <cell r="BX1262">
            <v>15.713059154269443</v>
          </cell>
          <cell r="BY1262">
            <v>32.089978791354113</v>
          </cell>
        </row>
        <row r="1263">
          <cell r="A1263">
            <v>41295</v>
          </cell>
          <cell r="BF1263">
            <v>29.091247114560385</v>
          </cell>
          <cell r="BG1263">
            <v>45.468715051806292</v>
          </cell>
          <cell r="BH1263">
            <v>42.408178994289898</v>
          </cell>
          <cell r="BI1263">
            <v>30.406703917126244</v>
          </cell>
          <cell r="BJ1263">
            <v>54.409654071453552</v>
          </cell>
          <cell r="BU1263">
            <v>15.678601694742671</v>
          </cell>
          <cell r="BV1263">
            <v>29.635401891862816</v>
          </cell>
          <cell r="BW1263">
            <v>23.901518972811779</v>
          </cell>
          <cell r="BX1263">
            <v>15.713059154269443</v>
          </cell>
          <cell r="BY1263">
            <v>32.089978791354113</v>
          </cell>
        </row>
        <row r="1264">
          <cell r="A1264">
            <v>41296</v>
          </cell>
          <cell r="BF1264">
            <v>28.977838852766091</v>
          </cell>
          <cell r="BG1264">
            <v>45.468715051806292</v>
          </cell>
          <cell r="BH1264">
            <v>42.408178994289898</v>
          </cell>
          <cell r="BI1264">
            <v>30.406703917126244</v>
          </cell>
          <cell r="BJ1264">
            <v>54.409654071453552</v>
          </cell>
          <cell r="BU1264">
            <v>15.678601694742671</v>
          </cell>
          <cell r="BV1264">
            <v>29.635401891862816</v>
          </cell>
          <cell r="BW1264">
            <v>23.901518972811779</v>
          </cell>
          <cell r="BX1264">
            <v>15.713059154269443</v>
          </cell>
          <cell r="BY1264">
            <v>32.089978791354113</v>
          </cell>
        </row>
        <row r="1265">
          <cell r="A1265">
            <v>41297</v>
          </cell>
          <cell r="BF1265">
            <v>28.892184929052505</v>
          </cell>
          <cell r="BG1265">
            <v>45.468715051806292</v>
          </cell>
          <cell r="BH1265">
            <v>42.408178994289898</v>
          </cell>
          <cell r="BI1265">
            <v>30.406703917126244</v>
          </cell>
          <cell r="BJ1265">
            <v>54.409654071453552</v>
          </cell>
          <cell r="BU1265">
            <v>15.678601694742671</v>
          </cell>
          <cell r="BV1265">
            <v>29.635401891862816</v>
          </cell>
          <cell r="BW1265">
            <v>23.901518972811779</v>
          </cell>
          <cell r="BX1265">
            <v>15.713059154269443</v>
          </cell>
          <cell r="BY1265">
            <v>32.089978791354113</v>
          </cell>
        </row>
        <row r="1266">
          <cell r="A1266">
            <v>41298</v>
          </cell>
          <cell r="BF1266">
            <v>29.215843838106935</v>
          </cell>
          <cell r="BG1266">
            <v>45.468715051806292</v>
          </cell>
          <cell r="BH1266">
            <v>42.408178994289898</v>
          </cell>
          <cell r="BI1266">
            <v>30.406703917126244</v>
          </cell>
          <cell r="BJ1266">
            <v>54.409654071453552</v>
          </cell>
          <cell r="BU1266">
            <v>15.678601694742671</v>
          </cell>
          <cell r="BV1266">
            <v>29.635401891862816</v>
          </cell>
          <cell r="BW1266">
            <v>23.901518972811779</v>
          </cell>
          <cell r="BX1266">
            <v>15.713059154269443</v>
          </cell>
          <cell r="BY1266">
            <v>32.089978791354113</v>
          </cell>
        </row>
        <row r="1267">
          <cell r="A1267">
            <v>41299</v>
          </cell>
          <cell r="BF1267">
            <v>29.856594287334133</v>
          </cell>
          <cell r="BG1267">
            <v>45.468715051806292</v>
          </cell>
          <cell r="BH1267">
            <v>42.408178994289898</v>
          </cell>
          <cell r="BI1267">
            <v>30.406703917126244</v>
          </cell>
          <cell r="BJ1267">
            <v>54.409654071453552</v>
          </cell>
          <cell r="BU1267">
            <v>14.592851169504403</v>
          </cell>
          <cell r="BV1267">
            <v>29.635401891862816</v>
          </cell>
          <cell r="BW1267">
            <v>23.901518972811779</v>
          </cell>
          <cell r="BX1267">
            <v>15.713059154269443</v>
          </cell>
          <cell r="BY1267">
            <v>32.089978791354113</v>
          </cell>
        </row>
        <row r="1268">
          <cell r="A1268">
            <v>41302</v>
          </cell>
          <cell r="BF1268">
            <v>29.68153356518949</v>
          </cell>
          <cell r="BG1268">
            <v>45.468715051806292</v>
          </cell>
          <cell r="BH1268">
            <v>42.408178994289898</v>
          </cell>
          <cell r="BI1268">
            <v>30.406703917126244</v>
          </cell>
          <cell r="BJ1268">
            <v>54.409654071453552</v>
          </cell>
          <cell r="BU1268">
            <v>14.458916303147177</v>
          </cell>
          <cell r="BV1268">
            <v>29.635401891862816</v>
          </cell>
          <cell r="BW1268">
            <v>23.901518972811779</v>
          </cell>
          <cell r="BX1268">
            <v>15.713059154269443</v>
          </cell>
          <cell r="BY1268">
            <v>32.089978791354113</v>
          </cell>
        </row>
        <row r="1269">
          <cell r="A1269">
            <v>41303</v>
          </cell>
          <cell r="BF1269">
            <v>30.874952539498995</v>
          </cell>
          <cell r="BG1269">
            <v>45.468715051806292</v>
          </cell>
          <cell r="BH1269">
            <v>42.408178994289898</v>
          </cell>
          <cell r="BI1269">
            <v>30.406703917126244</v>
          </cell>
          <cell r="BJ1269">
            <v>54.409654071453552</v>
          </cell>
          <cell r="BU1269">
            <v>14.964938788017665</v>
          </cell>
          <cell r="BV1269">
            <v>29.635401891862816</v>
          </cell>
          <cell r="BW1269">
            <v>23.901518972811779</v>
          </cell>
          <cell r="BX1269">
            <v>15.713059154269443</v>
          </cell>
          <cell r="BY1269">
            <v>32.089978791354113</v>
          </cell>
        </row>
        <row r="1270">
          <cell r="A1270">
            <v>41304</v>
          </cell>
          <cell r="BF1270">
            <v>30.986595113842601</v>
          </cell>
          <cell r="BG1270">
            <v>45.468715051806292</v>
          </cell>
          <cell r="BH1270">
            <v>42.408178994289898</v>
          </cell>
          <cell r="BI1270">
            <v>30.406703917126244</v>
          </cell>
          <cell r="BJ1270">
            <v>54.409654071453552</v>
          </cell>
          <cell r="BU1270">
            <v>15.205145171126569</v>
          </cell>
          <cell r="BV1270">
            <v>29.635401891862816</v>
          </cell>
          <cell r="BW1270">
            <v>23.901518972811779</v>
          </cell>
          <cell r="BX1270">
            <v>15.713059154269443</v>
          </cell>
          <cell r="BY1270">
            <v>32.089978791354113</v>
          </cell>
        </row>
        <row r="1271">
          <cell r="A1271">
            <v>41305</v>
          </cell>
          <cell r="BF1271">
            <v>30.975827470177617</v>
          </cell>
          <cell r="BG1271">
            <v>45.468715051806292</v>
          </cell>
          <cell r="BH1271">
            <v>42.408178994289898</v>
          </cell>
          <cell r="BI1271">
            <v>30.406703917126244</v>
          </cell>
          <cell r="BJ1271">
            <v>54.409654071453552</v>
          </cell>
          <cell r="BU1271">
            <v>15.234795189040005</v>
          </cell>
          <cell r="BV1271">
            <v>29.635401891862816</v>
          </cell>
          <cell r="BW1271">
            <v>23.901518972811779</v>
          </cell>
          <cell r="BX1271">
            <v>15.713059154269443</v>
          </cell>
          <cell r="BY1271">
            <v>32.089978791354113</v>
          </cell>
        </row>
        <row r="1272">
          <cell r="A1272">
            <v>41306</v>
          </cell>
          <cell r="BF1272">
            <v>30.986762936224824</v>
          </cell>
          <cell r="BG1272">
            <v>45.468715051806292</v>
          </cell>
          <cell r="BH1272">
            <v>42.408178994289898</v>
          </cell>
          <cell r="BI1272">
            <v>30.406703917126244</v>
          </cell>
          <cell r="BJ1272">
            <v>54.409654071453552</v>
          </cell>
          <cell r="BU1272">
            <v>15.267569642600783</v>
          </cell>
          <cell r="BV1272">
            <v>29.635401891862816</v>
          </cell>
          <cell r="BW1272">
            <v>23.901518972811779</v>
          </cell>
          <cell r="BX1272">
            <v>15.713059154269443</v>
          </cell>
          <cell r="BY1272">
            <v>32.089978791354113</v>
          </cell>
        </row>
        <row r="1273">
          <cell r="A1273">
            <v>41309</v>
          </cell>
          <cell r="BF1273">
            <v>30.445241275574947</v>
          </cell>
          <cell r="BG1273">
            <v>45.468715051806292</v>
          </cell>
          <cell r="BH1273">
            <v>42.408178994289898</v>
          </cell>
          <cell r="BI1273">
            <v>30.406703917126244</v>
          </cell>
          <cell r="BJ1273">
            <v>54.409654071453552</v>
          </cell>
          <cell r="BU1273">
            <v>14.977577964371234</v>
          </cell>
          <cell r="BV1273">
            <v>29.635401891862816</v>
          </cell>
          <cell r="BW1273">
            <v>23.901518972811779</v>
          </cell>
          <cell r="BX1273">
            <v>15.713059154269443</v>
          </cell>
          <cell r="BY1273">
            <v>32.089978791354113</v>
          </cell>
        </row>
        <row r="1274">
          <cell r="A1274">
            <v>41310</v>
          </cell>
          <cell r="BF1274">
            <v>30.685920577620699</v>
          </cell>
          <cell r="BG1274">
            <v>45.468715051806292</v>
          </cell>
          <cell r="BH1274">
            <v>42.408178994289898</v>
          </cell>
          <cell r="BI1274">
            <v>30.406703917126244</v>
          </cell>
          <cell r="BJ1274">
            <v>54.409654071453552</v>
          </cell>
          <cell r="BU1274">
            <v>15.106466607591877</v>
          </cell>
          <cell r="BV1274">
            <v>29.635401891862816</v>
          </cell>
          <cell r="BW1274">
            <v>23.901518972811779</v>
          </cell>
          <cell r="BX1274">
            <v>15.713059154269443</v>
          </cell>
          <cell r="BY1274">
            <v>32.089978791354113</v>
          </cell>
        </row>
        <row r="1275">
          <cell r="A1275">
            <v>41311</v>
          </cell>
          <cell r="BF1275">
            <v>31.179297833938442</v>
          </cell>
          <cell r="BG1275">
            <v>45.468715051806292</v>
          </cell>
          <cell r="BH1275">
            <v>42.408178994289898</v>
          </cell>
          <cell r="BI1275">
            <v>30.406703917126244</v>
          </cell>
          <cell r="BJ1275">
            <v>54.409654071453552</v>
          </cell>
          <cell r="BU1275">
            <v>15.37067011144029</v>
          </cell>
          <cell r="BV1275">
            <v>29.635401891862816</v>
          </cell>
          <cell r="BW1275">
            <v>23.901518972811779</v>
          </cell>
          <cell r="BX1275">
            <v>15.713059154269443</v>
          </cell>
          <cell r="BY1275">
            <v>32.089978791354113</v>
          </cell>
        </row>
        <row r="1276">
          <cell r="A1276">
            <v>41312</v>
          </cell>
          <cell r="BF1276">
            <v>30.866418772566568</v>
          </cell>
          <cell r="BG1276">
            <v>45.468715051806292</v>
          </cell>
          <cell r="BH1276">
            <v>42.408178994289898</v>
          </cell>
          <cell r="BI1276">
            <v>30.406703917126244</v>
          </cell>
          <cell r="BJ1276">
            <v>54.409654071453552</v>
          </cell>
          <cell r="BU1276">
            <v>15.203130413287253</v>
          </cell>
          <cell r="BV1276">
            <v>29.635401891862816</v>
          </cell>
          <cell r="BW1276">
            <v>23.901518972811779</v>
          </cell>
          <cell r="BX1276">
            <v>15.713059154269443</v>
          </cell>
          <cell r="BY1276">
            <v>32.089978791354113</v>
          </cell>
        </row>
        <row r="1277">
          <cell r="A1277">
            <v>41313</v>
          </cell>
          <cell r="BF1277">
            <v>30.613712394708539</v>
          </cell>
          <cell r="BG1277">
            <v>45.468715051806292</v>
          </cell>
          <cell r="BH1277">
            <v>42.408178994289898</v>
          </cell>
          <cell r="BI1277">
            <v>30.406703917126244</v>
          </cell>
          <cell r="BJ1277">
            <v>54.409654071453552</v>
          </cell>
          <cell r="BU1277">
            <v>15.067794922328893</v>
          </cell>
          <cell r="BV1277">
            <v>29.635401891862816</v>
          </cell>
          <cell r="BW1277">
            <v>23.901518972811779</v>
          </cell>
          <cell r="BX1277">
            <v>15.713059154269443</v>
          </cell>
          <cell r="BY1277">
            <v>32.089978791354113</v>
          </cell>
        </row>
        <row r="1278">
          <cell r="A1278">
            <v>41316</v>
          </cell>
          <cell r="BF1278">
            <v>30.234657039714513</v>
          </cell>
          <cell r="BG1278">
            <v>45.468715051806292</v>
          </cell>
          <cell r="BH1278">
            <v>42.408178994289898</v>
          </cell>
          <cell r="BI1278">
            <v>30.406703917126244</v>
          </cell>
          <cell r="BJ1278">
            <v>54.409654071453552</v>
          </cell>
          <cell r="BU1278">
            <v>14.864816494516747</v>
          </cell>
          <cell r="BV1278">
            <v>29.635401891862816</v>
          </cell>
          <cell r="BW1278">
            <v>23.901518972811779</v>
          </cell>
          <cell r="BX1278">
            <v>15.713059154269443</v>
          </cell>
          <cell r="BY1278">
            <v>32.089978791354113</v>
          </cell>
        </row>
        <row r="1279">
          <cell r="A1279">
            <v>41317</v>
          </cell>
          <cell r="BF1279">
            <v>30.246684717211505</v>
          </cell>
          <cell r="BG1279">
            <v>45.468715051806292</v>
          </cell>
          <cell r="BH1279">
            <v>42.408178994289898</v>
          </cell>
          <cell r="BI1279">
            <v>30.406703917126244</v>
          </cell>
          <cell r="BJ1279">
            <v>54.409654071453552</v>
          </cell>
          <cell r="BU1279">
            <v>14.871253679947731</v>
          </cell>
          <cell r="BV1279">
            <v>29.635401891862816</v>
          </cell>
          <cell r="BW1279">
            <v>23.901518972811779</v>
          </cell>
          <cell r="BX1279">
            <v>15.713059154269443</v>
          </cell>
          <cell r="BY1279">
            <v>32.089978791354113</v>
          </cell>
        </row>
        <row r="1280">
          <cell r="A1280">
            <v>41318</v>
          </cell>
          <cell r="BF1280">
            <v>29.939828519858889</v>
          </cell>
          <cell r="BG1280">
            <v>45.468715051806292</v>
          </cell>
          <cell r="BH1280">
            <v>42.408178994289898</v>
          </cell>
          <cell r="BI1280">
            <v>30.406703917126244</v>
          </cell>
          <cell r="BJ1280">
            <v>54.409654071453552</v>
          </cell>
          <cell r="BU1280">
            <v>14.706927351641681</v>
          </cell>
          <cell r="BV1280">
            <v>29.635401891862816</v>
          </cell>
          <cell r="BW1280">
            <v>23.901518972811779</v>
          </cell>
          <cell r="BX1280">
            <v>15.713059154269443</v>
          </cell>
          <cell r="BY1280">
            <v>32.089978791354113</v>
          </cell>
        </row>
        <row r="1281">
          <cell r="A1281">
            <v>41319</v>
          </cell>
          <cell r="BF1281">
            <v>29.356193742482166</v>
          </cell>
          <cell r="BG1281">
            <v>45.468715051806292</v>
          </cell>
          <cell r="BH1281">
            <v>42.408178994289898</v>
          </cell>
          <cell r="BI1281">
            <v>30.406703917126244</v>
          </cell>
          <cell r="BJ1281">
            <v>54.409654071453552</v>
          </cell>
          <cell r="BU1281">
            <v>14.394381499208572</v>
          </cell>
          <cell r="BV1281">
            <v>29.635401891862816</v>
          </cell>
          <cell r="BW1281">
            <v>23.901518972811779</v>
          </cell>
          <cell r="BX1281">
            <v>15.713059154269443</v>
          </cell>
          <cell r="BY1281">
            <v>32.089978791354113</v>
          </cell>
        </row>
        <row r="1282">
          <cell r="A1282">
            <v>41320</v>
          </cell>
          <cell r="BF1282">
            <v>29.320093862819107</v>
          </cell>
          <cell r="BG1282">
            <v>45.468715051806292</v>
          </cell>
          <cell r="BH1282">
            <v>42.408178994289898</v>
          </cell>
          <cell r="BI1282">
            <v>30.406703917126244</v>
          </cell>
          <cell r="BJ1282">
            <v>54.409654071453552</v>
          </cell>
          <cell r="BU1282">
            <v>14.458657513881359</v>
          </cell>
          <cell r="BV1282">
            <v>29.635401891862816</v>
          </cell>
          <cell r="BW1282">
            <v>23.901518972811779</v>
          </cell>
          <cell r="BX1282">
            <v>15.713059154269443</v>
          </cell>
          <cell r="BY1282">
            <v>32.089978791354113</v>
          </cell>
        </row>
        <row r="1283">
          <cell r="A1283">
            <v>41323</v>
          </cell>
          <cell r="BF1283">
            <v>29.320093862819107</v>
          </cell>
          <cell r="BG1283">
            <v>45.468715051806292</v>
          </cell>
          <cell r="BH1283">
            <v>42.408178994289898</v>
          </cell>
          <cell r="BI1283">
            <v>30.406703917126244</v>
          </cell>
          <cell r="BJ1283">
            <v>54.409654071453552</v>
          </cell>
          <cell r="BU1283">
            <v>14.458657513881359</v>
          </cell>
          <cell r="BV1283">
            <v>29.635401891862816</v>
          </cell>
          <cell r="BW1283">
            <v>23.901518972811779</v>
          </cell>
          <cell r="BX1283">
            <v>15.713059154269443</v>
          </cell>
          <cell r="BY1283">
            <v>32.089978791354113</v>
          </cell>
        </row>
        <row r="1284">
          <cell r="A1284">
            <v>41324</v>
          </cell>
          <cell r="BF1284">
            <v>29.494578820701193</v>
          </cell>
          <cell r="BG1284">
            <v>45.468715051806292</v>
          </cell>
          <cell r="BH1284">
            <v>42.408178994289898</v>
          </cell>
          <cell r="BI1284">
            <v>30.406703917126244</v>
          </cell>
          <cell r="BJ1284">
            <v>54.409654071453552</v>
          </cell>
          <cell r="BU1284">
            <v>14.552597593651981</v>
          </cell>
          <cell r="BV1284">
            <v>29.635401891862816</v>
          </cell>
          <cell r="BW1284">
            <v>23.901518972811779</v>
          </cell>
          <cell r="BX1284">
            <v>15.713059154269443</v>
          </cell>
          <cell r="BY1284">
            <v>32.089978791354113</v>
          </cell>
        </row>
        <row r="1285">
          <cell r="A1285">
            <v>41325</v>
          </cell>
          <cell r="BF1285">
            <v>29.368229843565199</v>
          </cell>
          <cell r="BG1285">
            <v>45.468715051806292</v>
          </cell>
          <cell r="BH1285">
            <v>42.408178994289898</v>
          </cell>
          <cell r="BI1285">
            <v>30.406703917126244</v>
          </cell>
          <cell r="BJ1285">
            <v>54.409654071453552</v>
          </cell>
          <cell r="BU1285">
            <v>14.484577826835642</v>
          </cell>
          <cell r="BV1285">
            <v>29.635401891862816</v>
          </cell>
          <cell r="BW1285">
            <v>23.901518972811779</v>
          </cell>
          <cell r="BX1285">
            <v>15.713059154269443</v>
          </cell>
          <cell r="BY1285">
            <v>32.089978791354113</v>
          </cell>
        </row>
        <row r="1286">
          <cell r="A1286">
            <v>41326</v>
          </cell>
          <cell r="BF1286">
            <v>29.097464500604882</v>
          </cell>
          <cell r="BG1286">
            <v>45.468715051806292</v>
          </cell>
          <cell r="BH1286">
            <v>42.408178994289898</v>
          </cell>
          <cell r="BI1286">
            <v>30.406703917126244</v>
          </cell>
          <cell r="BJ1286">
            <v>54.409654071453552</v>
          </cell>
          <cell r="BU1286">
            <v>14.338806783463186</v>
          </cell>
          <cell r="BV1286">
            <v>29.635401891862816</v>
          </cell>
          <cell r="BW1286">
            <v>23.901518972811779</v>
          </cell>
          <cell r="BX1286">
            <v>15.713059154269443</v>
          </cell>
          <cell r="BY1286">
            <v>32.089978791354113</v>
          </cell>
        </row>
        <row r="1287">
          <cell r="A1287">
            <v>41327</v>
          </cell>
          <cell r="BF1287">
            <v>29.500601083035729</v>
          </cell>
          <cell r="BG1287">
            <v>45.468715051806292</v>
          </cell>
          <cell r="BH1287">
            <v>42.408178994289898</v>
          </cell>
          <cell r="BI1287">
            <v>30.406703917126244</v>
          </cell>
          <cell r="BJ1287">
            <v>54.409654071453552</v>
          </cell>
          <cell r="BU1287">
            <v>14.555841517279715</v>
          </cell>
          <cell r="BV1287">
            <v>29.635401891862816</v>
          </cell>
          <cell r="BW1287">
            <v>23.901518972811779</v>
          </cell>
          <cell r="BX1287">
            <v>15.713059154269443</v>
          </cell>
          <cell r="BY1287">
            <v>32.089978791354113</v>
          </cell>
        </row>
        <row r="1288">
          <cell r="A1288">
            <v>41330</v>
          </cell>
          <cell r="BF1288">
            <v>29.338143802650638</v>
          </cell>
          <cell r="BG1288">
            <v>45.468715051806292</v>
          </cell>
          <cell r="BH1288">
            <v>42.408178994289898</v>
          </cell>
          <cell r="BI1288">
            <v>30.406703917126244</v>
          </cell>
          <cell r="BJ1288">
            <v>54.409654071453552</v>
          </cell>
          <cell r="BU1288">
            <v>14.468379883601257</v>
          </cell>
          <cell r="BV1288">
            <v>29.635401891862816</v>
          </cell>
          <cell r="BW1288">
            <v>23.901518972811779</v>
          </cell>
          <cell r="BX1288">
            <v>15.713059154269443</v>
          </cell>
          <cell r="BY1288">
            <v>32.089978791354113</v>
          </cell>
        </row>
        <row r="1289">
          <cell r="A1289">
            <v>41331</v>
          </cell>
          <cell r="BF1289">
            <v>29.356193742482166</v>
          </cell>
          <cell r="BG1289">
            <v>45.468715051806292</v>
          </cell>
          <cell r="BH1289">
            <v>42.408178994289898</v>
          </cell>
          <cell r="BI1289">
            <v>30.406703917126244</v>
          </cell>
          <cell r="BJ1289">
            <v>54.409654071453552</v>
          </cell>
          <cell r="BU1289">
            <v>14.47810042531718</v>
          </cell>
          <cell r="BV1289">
            <v>29.635401891862816</v>
          </cell>
          <cell r="BW1289">
            <v>23.901518972811779</v>
          </cell>
          <cell r="BX1289">
            <v>15.713059154269443</v>
          </cell>
          <cell r="BY1289">
            <v>32.089978791354113</v>
          </cell>
        </row>
        <row r="1290">
          <cell r="A1290">
            <v>41332</v>
          </cell>
          <cell r="BF1290">
            <v>29.494578820701193</v>
          </cell>
          <cell r="BG1290">
            <v>45.468715051806292</v>
          </cell>
          <cell r="BH1290">
            <v>42.408178994289898</v>
          </cell>
          <cell r="BI1290">
            <v>30.406703917126244</v>
          </cell>
          <cell r="BJ1290">
            <v>54.409654071453552</v>
          </cell>
          <cell r="BU1290">
            <v>14.552597593651981</v>
          </cell>
          <cell r="BV1290">
            <v>29.635401891862816</v>
          </cell>
          <cell r="BW1290">
            <v>23.901518972811779</v>
          </cell>
          <cell r="BX1290">
            <v>15.713059154269443</v>
          </cell>
          <cell r="BY1290">
            <v>32.089978791354113</v>
          </cell>
        </row>
        <row r="1291">
          <cell r="A1291">
            <v>41333</v>
          </cell>
          <cell r="BF1291">
            <v>30.162448856802349</v>
          </cell>
          <cell r="BG1291">
            <v>45.468715051806292</v>
          </cell>
          <cell r="BH1291">
            <v>42.408178994289898</v>
          </cell>
          <cell r="BI1291">
            <v>30.406703917126244</v>
          </cell>
          <cell r="BJ1291">
            <v>54.409654071453552</v>
          </cell>
          <cell r="BU1291">
            <v>14.9121487403328</v>
          </cell>
          <cell r="BV1291">
            <v>29.635401891862816</v>
          </cell>
          <cell r="BW1291">
            <v>23.901518972811779</v>
          </cell>
          <cell r="BX1291">
            <v>15.713059154269443</v>
          </cell>
          <cell r="BY1291">
            <v>32.089978791354113</v>
          </cell>
        </row>
        <row r="1292">
          <cell r="A1292">
            <v>41334</v>
          </cell>
          <cell r="BF1292">
            <v>30.908544539804677</v>
          </cell>
          <cell r="BG1292">
            <v>45.468715051806292</v>
          </cell>
          <cell r="BH1292">
            <v>42.408178994289898</v>
          </cell>
          <cell r="BI1292">
            <v>30.406703917126244</v>
          </cell>
          <cell r="BJ1292">
            <v>54.409654071453552</v>
          </cell>
          <cell r="BU1292">
            <v>15.339898780301345</v>
          </cell>
          <cell r="BV1292">
            <v>29.635401891862816</v>
          </cell>
          <cell r="BW1292">
            <v>23.901518972811779</v>
          </cell>
          <cell r="BX1292">
            <v>15.713059154269443</v>
          </cell>
          <cell r="BY1292">
            <v>32.089978791354113</v>
          </cell>
        </row>
        <row r="1293">
          <cell r="A1293">
            <v>41337</v>
          </cell>
          <cell r="BF1293">
            <v>31.16306244451021</v>
          </cell>
          <cell r="BG1293">
            <v>45.468715051806292</v>
          </cell>
          <cell r="BH1293">
            <v>42.408178994289898</v>
          </cell>
          <cell r="BI1293">
            <v>30.406703917126244</v>
          </cell>
          <cell r="BJ1293">
            <v>54.409654071453552</v>
          </cell>
          <cell r="BU1293">
            <v>15.476965002242046</v>
          </cell>
          <cell r="BV1293">
            <v>29.635401891862816</v>
          </cell>
          <cell r="BW1293">
            <v>23.901518972811779</v>
          </cell>
          <cell r="BX1293">
            <v>15.713059154269443</v>
          </cell>
          <cell r="BY1293">
            <v>32.089978791354113</v>
          </cell>
        </row>
        <row r="1294">
          <cell r="A1294">
            <v>41338</v>
          </cell>
          <cell r="BF1294">
            <v>31.370227878070434</v>
          </cell>
          <cell r="BG1294">
            <v>45.468715051806292</v>
          </cell>
          <cell r="BH1294">
            <v>42.408178994289898</v>
          </cell>
          <cell r="BI1294">
            <v>30.406703917126244</v>
          </cell>
          <cell r="BJ1294">
            <v>54.409654071453552</v>
          </cell>
          <cell r="BU1294">
            <v>15.588525350536486</v>
          </cell>
          <cell r="BV1294">
            <v>29.635401891862816</v>
          </cell>
          <cell r="BW1294">
            <v>23.901518972811779</v>
          </cell>
          <cell r="BX1294">
            <v>15.713059154269443</v>
          </cell>
          <cell r="BY1294">
            <v>32.089978791354113</v>
          </cell>
        </row>
        <row r="1295">
          <cell r="A1295">
            <v>41339</v>
          </cell>
          <cell r="BF1295">
            <v>31.512276413139983</v>
          </cell>
          <cell r="BG1295">
            <v>45.468715051806292</v>
          </cell>
          <cell r="BH1295">
            <v>42.408178994289898</v>
          </cell>
          <cell r="BI1295">
            <v>30.406703917126244</v>
          </cell>
          <cell r="BJ1295">
            <v>54.409654071453552</v>
          </cell>
          <cell r="BU1295">
            <v>15.665013420154256</v>
          </cell>
          <cell r="BV1295">
            <v>29.635401891862816</v>
          </cell>
          <cell r="BW1295">
            <v>23.901518972811779</v>
          </cell>
          <cell r="BX1295">
            <v>15.713059154269443</v>
          </cell>
          <cell r="BY1295">
            <v>32.089978791354113</v>
          </cell>
        </row>
        <row r="1296">
          <cell r="A1296">
            <v>41340</v>
          </cell>
          <cell r="BF1296">
            <v>31.565544243859133</v>
          </cell>
          <cell r="BG1296">
            <v>45.468715051806292</v>
          </cell>
          <cell r="BH1296">
            <v>42.408178994289898</v>
          </cell>
          <cell r="BI1296">
            <v>30.406703917126244</v>
          </cell>
          <cell r="BJ1296">
            <v>54.409654071453552</v>
          </cell>
          <cell r="BU1296">
            <v>15.693711607373439</v>
          </cell>
          <cell r="BV1296">
            <v>29.635401891862816</v>
          </cell>
          <cell r="BW1296">
            <v>23.901518972811779</v>
          </cell>
          <cell r="BX1296">
            <v>15.713059154269443</v>
          </cell>
          <cell r="BY1296">
            <v>32.089978791354113</v>
          </cell>
        </row>
        <row r="1297">
          <cell r="A1297">
            <v>41341</v>
          </cell>
          <cell r="BF1297">
            <v>31.825978100029594</v>
          </cell>
          <cell r="BG1297">
            <v>45.468715051806292</v>
          </cell>
          <cell r="BH1297">
            <v>42.408178994289898</v>
          </cell>
          <cell r="BI1297">
            <v>30.406703917126244</v>
          </cell>
          <cell r="BJ1297">
            <v>54.409654071453552</v>
          </cell>
          <cell r="BU1297">
            <v>15.83395986416671</v>
          </cell>
          <cell r="BV1297">
            <v>29.635401891862816</v>
          </cell>
          <cell r="BW1297">
            <v>23.901518972811779</v>
          </cell>
          <cell r="BX1297">
            <v>15.713059154269443</v>
          </cell>
          <cell r="BY1297">
            <v>32.089978791354113</v>
          </cell>
        </row>
        <row r="1298">
          <cell r="A1298">
            <v>41344</v>
          </cell>
          <cell r="BF1298">
            <v>31.837818289434743</v>
          </cell>
          <cell r="BG1298">
            <v>45.468715051806292</v>
          </cell>
          <cell r="BH1298">
            <v>42.408178994289898</v>
          </cell>
          <cell r="BI1298">
            <v>30.406703917126244</v>
          </cell>
          <cell r="BJ1298">
            <v>54.409654071453552</v>
          </cell>
          <cell r="BU1298">
            <v>15.840333955624194</v>
          </cell>
          <cell r="BV1298">
            <v>29.635401891862816</v>
          </cell>
          <cell r="BW1298">
            <v>23.901518972811779</v>
          </cell>
          <cell r="BX1298">
            <v>15.713059154269443</v>
          </cell>
          <cell r="BY1298">
            <v>32.089978791354113</v>
          </cell>
        </row>
        <row r="1299">
          <cell r="A1299">
            <v>41345</v>
          </cell>
          <cell r="BF1299">
            <v>31.530032554010063</v>
          </cell>
          <cell r="BG1299">
            <v>45.468715051806292</v>
          </cell>
          <cell r="BH1299">
            <v>42.408178994289898</v>
          </cell>
          <cell r="BI1299">
            <v>30.406703917126244</v>
          </cell>
          <cell r="BJ1299">
            <v>54.409654071453552</v>
          </cell>
          <cell r="BU1299">
            <v>15.674578283376611</v>
          </cell>
          <cell r="BV1299">
            <v>29.635401891862816</v>
          </cell>
          <cell r="BW1299">
            <v>23.901518972811779</v>
          </cell>
          <cell r="BX1299">
            <v>15.713059154269443</v>
          </cell>
          <cell r="BY1299">
            <v>32.089978791354113</v>
          </cell>
        </row>
        <row r="1300">
          <cell r="A1300">
            <v>41346</v>
          </cell>
          <cell r="BF1300">
            <v>31.115710565255991</v>
          </cell>
          <cell r="BG1300">
            <v>45.468715051806292</v>
          </cell>
          <cell r="BH1300">
            <v>42.408178994289898</v>
          </cell>
          <cell r="BI1300">
            <v>30.406703917126244</v>
          </cell>
          <cell r="BJ1300">
            <v>54.409654071453552</v>
          </cell>
          <cell r="BU1300">
            <v>15.451469150348128</v>
          </cell>
          <cell r="BV1300">
            <v>29.635401891862816</v>
          </cell>
          <cell r="BW1300">
            <v>23.901518972811779</v>
          </cell>
          <cell r="BX1300">
            <v>15.713059154269443</v>
          </cell>
          <cell r="BY1300">
            <v>32.089978791354113</v>
          </cell>
        </row>
        <row r="1301">
          <cell r="A1301">
            <v>41347</v>
          </cell>
          <cell r="BF1301">
            <v>31.216330867120451</v>
          </cell>
          <cell r="BG1301">
            <v>45.468715051806292</v>
          </cell>
          <cell r="BH1301">
            <v>42.408178994289898</v>
          </cell>
          <cell r="BI1301">
            <v>30.406703917126244</v>
          </cell>
          <cell r="BJ1301">
            <v>54.409654071453552</v>
          </cell>
          <cell r="BU1301">
            <v>15.505653167708886</v>
          </cell>
          <cell r="BV1301">
            <v>29.635401891862816</v>
          </cell>
          <cell r="BW1301">
            <v>23.901518972811779</v>
          </cell>
          <cell r="BX1301">
            <v>15.713059154269443</v>
          </cell>
          <cell r="BY1301">
            <v>32.089978791354113</v>
          </cell>
        </row>
        <row r="1302">
          <cell r="A1302">
            <v>41348</v>
          </cell>
          <cell r="BF1302">
            <v>30.944065699911214</v>
          </cell>
          <cell r="BG1302">
            <v>45.468715051806292</v>
          </cell>
          <cell r="BH1302">
            <v>42.408178994289898</v>
          </cell>
          <cell r="BI1302">
            <v>30.406703917126244</v>
          </cell>
          <cell r="BJ1302">
            <v>54.409654071453552</v>
          </cell>
          <cell r="BU1302">
            <v>15.35902079770579</v>
          </cell>
          <cell r="BV1302">
            <v>29.635401891862816</v>
          </cell>
          <cell r="BW1302">
            <v>23.901518972811779</v>
          </cell>
          <cell r="BX1302">
            <v>15.713059154269443</v>
          </cell>
          <cell r="BY1302">
            <v>32.089978791354113</v>
          </cell>
        </row>
        <row r="1303">
          <cell r="A1303">
            <v>41351</v>
          </cell>
          <cell r="BF1303">
            <v>30.884873039360759</v>
          </cell>
          <cell r="BG1303">
            <v>45.468715051806292</v>
          </cell>
          <cell r="BH1303">
            <v>42.408178994289898</v>
          </cell>
          <cell r="BI1303">
            <v>30.406703917126244</v>
          </cell>
          <cell r="BJ1303">
            <v>54.409654071453552</v>
          </cell>
          <cell r="BU1303">
            <v>15.327150854354386</v>
          </cell>
          <cell r="BV1303">
            <v>29.635401891862816</v>
          </cell>
          <cell r="BW1303">
            <v>23.901518972811779</v>
          </cell>
          <cell r="BX1303">
            <v>15.713059154269443</v>
          </cell>
          <cell r="BY1303">
            <v>32.089978791354113</v>
          </cell>
        </row>
        <row r="1304">
          <cell r="A1304">
            <v>41352</v>
          </cell>
          <cell r="BF1304">
            <v>30.618523823616453</v>
          </cell>
          <cell r="BG1304">
            <v>45.468715051806292</v>
          </cell>
          <cell r="BH1304">
            <v>42.408178994289898</v>
          </cell>
          <cell r="BI1304">
            <v>30.406703917126244</v>
          </cell>
          <cell r="BJ1304">
            <v>54.409654071453552</v>
          </cell>
          <cell r="BU1304">
            <v>15.183720562708544</v>
          </cell>
          <cell r="BV1304">
            <v>29.635401891862816</v>
          </cell>
          <cell r="BW1304">
            <v>23.901518972811779</v>
          </cell>
          <cell r="BX1304">
            <v>15.713059154269443</v>
          </cell>
          <cell r="BY1304">
            <v>32.089978791354113</v>
          </cell>
        </row>
        <row r="1305">
          <cell r="A1305">
            <v>41353</v>
          </cell>
          <cell r="BF1305">
            <v>31.305119857946138</v>
          </cell>
          <cell r="BG1305">
            <v>45.468715051806292</v>
          </cell>
          <cell r="BH1305">
            <v>42.408178994289898</v>
          </cell>
          <cell r="BI1305">
            <v>30.406703917126244</v>
          </cell>
          <cell r="BJ1305">
            <v>54.409654071453552</v>
          </cell>
          <cell r="BU1305">
            <v>15.553463350580168</v>
          </cell>
          <cell r="BV1305">
            <v>29.635401891862816</v>
          </cell>
          <cell r="BW1305">
            <v>23.901518972811779</v>
          </cell>
          <cell r="BX1305">
            <v>15.713059154269443</v>
          </cell>
          <cell r="BY1305">
            <v>32.089978791354113</v>
          </cell>
        </row>
        <row r="1306">
          <cell r="A1306">
            <v>41354</v>
          </cell>
          <cell r="BF1306">
            <v>31.447167801124593</v>
          </cell>
          <cell r="BG1306">
            <v>45.468715051806292</v>
          </cell>
          <cell r="BH1306">
            <v>42.408178994289898</v>
          </cell>
          <cell r="BI1306">
            <v>30.406703917126244</v>
          </cell>
          <cell r="BJ1306">
            <v>54.409654071453552</v>
          </cell>
          <cell r="BU1306">
            <v>15.629950649293916</v>
          </cell>
          <cell r="BV1306">
            <v>29.635401891862816</v>
          </cell>
          <cell r="BW1306">
            <v>23.901518972811779</v>
          </cell>
          <cell r="BX1306">
            <v>15.713059154269443</v>
          </cell>
          <cell r="BY1306">
            <v>32.089978791354113</v>
          </cell>
        </row>
        <row r="1307">
          <cell r="A1307">
            <v>41355</v>
          </cell>
          <cell r="BF1307">
            <v>31.358387688665285</v>
          </cell>
          <cell r="BG1307">
            <v>45.468715051806292</v>
          </cell>
          <cell r="BH1307">
            <v>42.408178994289898</v>
          </cell>
          <cell r="BI1307">
            <v>30.406703917126244</v>
          </cell>
          <cell r="BJ1307">
            <v>54.409654071453552</v>
          </cell>
          <cell r="BU1307">
            <v>15.582151259079</v>
          </cell>
          <cell r="BV1307">
            <v>29.635401891862816</v>
          </cell>
          <cell r="BW1307">
            <v>23.901518972811779</v>
          </cell>
          <cell r="BX1307">
            <v>15.713059154269443</v>
          </cell>
          <cell r="BY1307">
            <v>32.089978791354113</v>
          </cell>
        </row>
        <row r="1308">
          <cell r="A1308">
            <v>41358</v>
          </cell>
          <cell r="BF1308">
            <v>31.299195028114827</v>
          </cell>
          <cell r="BG1308">
            <v>45.468715051806292</v>
          </cell>
          <cell r="BH1308">
            <v>42.408178994289898</v>
          </cell>
          <cell r="BI1308">
            <v>30.406703917126244</v>
          </cell>
          <cell r="BJ1308">
            <v>54.409654071453552</v>
          </cell>
          <cell r="BU1308">
            <v>15.550271293975257</v>
          </cell>
          <cell r="BV1308">
            <v>29.635401891862816</v>
          </cell>
          <cell r="BW1308">
            <v>23.901518972811779</v>
          </cell>
          <cell r="BX1308">
            <v>15.713059154269443</v>
          </cell>
          <cell r="BY1308">
            <v>32.089978791354113</v>
          </cell>
        </row>
        <row r="1309">
          <cell r="A1309">
            <v>41359</v>
          </cell>
          <cell r="BF1309">
            <v>31.89108612015389</v>
          </cell>
          <cell r="BG1309">
            <v>45.468715051806292</v>
          </cell>
          <cell r="BH1309">
            <v>42.408178994289898</v>
          </cell>
          <cell r="BI1309">
            <v>30.406703917126244</v>
          </cell>
          <cell r="BJ1309">
            <v>54.409654071453552</v>
          </cell>
          <cell r="BU1309">
            <v>15.869013127210728</v>
          </cell>
          <cell r="BV1309">
            <v>29.635401891862816</v>
          </cell>
          <cell r="BW1309">
            <v>23.901518972811779</v>
          </cell>
          <cell r="BX1309">
            <v>15.713059154269443</v>
          </cell>
          <cell r="BY1309">
            <v>32.089978791354113</v>
          </cell>
        </row>
        <row r="1310">
          <cell r="A1310">
            <v>41360</v>
          </cell>
          <cell r="BF1310">
            <v>31.950278780704352</v>
          </cell>
          <cell r="BG1310">
            <v>45.468715051806292</v>
          </cell>
          <cell r="BH1310">
            <v>42.408178994289898</v>
          </cell>
          <cell r="BI1310">
            <v>30.406703917126244</v>
          </cell>
          <cell r="BJ1310">
            <v>54.409654071453552</v>
          </cell>
          <cell r="BU1310">
            <v>15.900892064442436</v>
          </cell>
          <cell r="BV1310">
            <v>29.635401891862816</v>
          </cell>
          <cell r="BW1310">
            <v>23.901518972811779</v>
          </cell>
          <cell r="BX1310">
            <v>15.713059154269443</v>
          </cell>
          <cell r="BY1310">
            <v>32.089978791354113</v>
          </cell>
        </row>
        <row r="1311">
          <cell r="A1311">
            <v>41361</v>
          </cell>
          <cell r="BF1311">
            <v>31.950278780704352</v>
          </cell>
          <cell r="BG1311">
            <v>45.468715051806292</v>
          </cell>
          <cell r="BH1311">
            <v>42.408178994289898</v>
          </cell>
          <cell r="BI1311">
            <v>30.406703917126244</v>
          </cell>
          <cell r="BJ1311">
            <v>54.409654071453552</v>
          </cell>
          <cell r="BU1311">
            <v>15.900892578378453</v>
          </cell>
          <cell r="BV1311">
            <v>29.635401891862816</v>
          </cell>
          <cell r="BW1311">
            <v>23.901518972811779</v>
          </cell>
          <cell r="BX1311">
            <v>15.713059154269443</v>
          </cell>
          <cell r="BY1311">
            <v>32.089978791354113</v>
          </cell>
        </row>
        <row r="1312">
          <cell r="A1312">
            <v>41362</v>
          </cell>
          <cell r="BF1312">
            <v>31.950278780704352</v>
          </cell>
          <cell r="BG1312">
            <v>45.468715051806292</v>
          </cell>
          <cell r="BH1312">
            <v>42.408178994289898</v>
          </cell>
          <cell r="BI1312">
            <v>30.406703917126244</v>
          </cell>
          <cell r="BJ1312">
            <v>54.409654071453552</v>
          </cell>
          <cell r="BU1312">
            <v>15.900892578378453</v>
          </cell>
          <cell r="BV1312">
            <v>29.635401891862816</v>
          </cell>
          <cell r="BW1312">
            <v>23.901518972811779</v>
          </cell>
          <cell r="BX1312">
            <v>15.713059154269443</v>
          </cell>
          <cell r="BY1312">
            <v>32.089978791354113</v>
          </cell>
        </row>
        <row r="1313">
          <cell r="A1313">
            <v>41365</v>
          </cell>
          <cell r="BF1313">
            <v>31.589977285967052</v>
          </cell>
          <cell r="BG1313">
            <v>45.468715051806292</v>
          </cell>
          <cell r="BH1313">
            <v>42.408178994289898</v>
          </cell>
          <cell r="BI1313">
            <v>30.406703917126244</v>
          </cell>
          <cell r="BJ1313">
            <v>54.409654071453552</v>
          </cell>
          <cell r="BU1313">
            <v>15.650654609499535</v>
          </cell>
          <cell r="BV1313">
            <v>29.635401891862816</v>
          </cell>
          <cell r="BW1313">
            <v>23.901518972811779</v>
          </cell>
          <cell r="BX1313">
            <v>15.713059154269443</v>
          </cell>
          <cell r="BY1313">
            <v>32.089978791354113</v>
          </cell>
        </row>
        <row r="1314">
          <cell r="A1314">
            <v>41366</v>
          </cell>
          <cell r="BF1314">
            <v>31.758881188121986</v>
          </cell>
          <cell r="BG1314">
            <v>45.468715051806292</v>
          </cell>
          <cell r="BH1314">
            <v>42.408178994289898</v>
          </cell>
          <cell r="BI1314">
            <v>30.406703917126244</v>
          </cell>
          <cell r="BJ1314">
            <v>54.409654071453552</v>
          </cell>
          <cell r="BU1314">
            <v>15.650654609499535</v>
          </cell>
          <cell r="BV1314">
            <v>29.635401891862816</v>
          </cell>
          <cell r="BW1314">
            <v>23.901518972811779</v>
          </cell>
          <cell r="BX1314">
            <v>15.713059154269443</v>
          </cell>
          <cell r="BY1314">
            <v>32.089978791354113</v>
          </cell>
        </row>
        <row r="1315">
          <cell r="A1315">
            <v>41367</v>
          </cell>
          <cell r="BF1315">
            <v>31.613278392548299</v>
          </cell>
          <cell r="BG1315">
            <v>45.468715051806292</v>
          </cell>
          <cell r="BH1315">
            <v>42.408178994289898</v>
          </cell>
          <cell r="BI1315">
            <v>30.406703917126244</v>
          </cell>
          <cell r="BJ1315">
            <v>54.409654071453552</v>
          </cell>
          <cell r="BU1315">
            <v>15.650654609499535</v>
          </cell>
          <cell r="BV1315">
            <v>29.635401891862816</v>
          </cell>
          <cell r="BW1315">
            <v>23.901518972811779</v>
          </cell>
          <cell r="BX1315">
            <v>15.713059154269443</v>
          </cell>
          <cell r="BY1315">
            <v>32.089978791354113</v>
          </cell>
        </row>
        <row r="1316">
          <cell r="A1316">
            <v>41368</v>
          </cell>
          <cell r="BF1316">
            <v>31.991842166572802</v>
          </cell>
          <cell r="BG1316">
            <v>45.468715051806292</v>
          </cell>
          <cell r="BH1316">
            <v>42.408178994289898</v>
          </cell>
          <cell r="BI1316">
            <v>30.406703917126244</v>
          </cell>
          <cell r="BJ1316">
            <v>54.409654071453552</v>
          </cell>
          <cell r="BU1316">
            <v>15.650654609499535</v>
          </cell>
          <cell r="BV1316">
            <v>29.635401891862816</v>
          </cell>
          <cell r="BW1316">
            <v>23.901518972811779</v>
          </cell>
          <cell r="BX1316">
            <v>15.713059154269443</v>
          </cell>
          <cell r="BY1316">
            <v>32.089978791354113</v>
          </cell>
        </row>
        <row r="1317">
          <cell r="A1317">
            <v>41369</v>
          </cell>
          <cell r="BF1317">
            <v>31.719110139863314</v>
          </cell>
          <cell r="BG1317">
            <v>45.468715051806292</v>
          </cell>
          <cell r="BH1317">
            <v>42.408178994289898</v>
          </cell>
          <cell r="BI1317">
            <v>30.406703917126244</v>
          </cell>
          <cell r="BJ1317">
            <v>54.409654071453552</v>
          </cell>
          <cell r="BU1317">
            <v>15.37369844181703</v>
          </cell>
          <cell r="BV1317">
            <v>29.635401891862816</v>
          </cell>
          <cell r="BW1317">
            <v>23.901518972811779</v>
          </cell>
          <cell r="BX1317">
            <v>15.713059154269443</v>
          </cell>
          <cell r="BY1317">
            <v>32.089978791354113</v>
          </cell>
        </row>
        <row r="1318">
          <cell r="A1318">
            <v>41372</v>
          </cell>
          <cell r="BF1318">
            <v>32.185312354315577</v>
          </cell>
          <cell r="BG1318">
            <v>45.468715051806292</v>
          </cell>
          <cell r="BH1318">
            <v>42.408178994289898</v>
          </cell>
          <cell r="BI1318">
            <v>30.406703917126244</v>
          </cell>
          <cell r="BJ1318">
            <v>54.409654071453552</v>
          </cell>
          <cell r="BU1318">
            <v>15.37369844181703</v>
          </cell>
          <cell r="BV1318">
            <v>29.635401891862816</v>
          </cell>
          <cell r="BW1318">
            <v>23.901518972811779</v>
          </cell>
          <cell r="BX1318">
            <v>15.713059154269443</v>
          </cell>
          <cell r="BY1318">
            <v>32.089978791354113</v>
          </cell>
        </row>
        <row r="1319">
          <cell r="A1319">
            <v>41373</v>
          </cell>
          <cell r="BF1319">
            <v>32.360139277392513</v>
          </cell>
          <cell r="BG1319">
            <v>45.468715051806292</v>
          </cell>
          <cell r="BH1319">
            <v>42.408178994289898</v>
          </cell>
          <cell r="BI1319">
            <v>30.406703917126244</v>
          </cell>
          <cell r="BJ1319">
            <v>54.409654071453552</v>
          </cell>
          <cell r="BU1319">
            <v>15.37369844181703</v>
          </cell>
          <cell r="BV1319">
            <v>29.635401891862816</v>
          </cell>
          <cell r="BW1319">
            <v>23.901518972811779</v>
          </cell>
          <cell r="BX1319">
            <v>15.713059154269443</v>
          </cell>
          <cell r="BY1319">
            <v>32.089978791354113</v>
          </cell>
        </row>
        <row r="1320">
          <cell r="A1320">
            <v>41374</v>
          </cell>
          <cell r="BF1320">
            <v>33.374120046623382</v>
          </cell>
          <cell r="BG1320">
            <v>45.468715051806292</v>
          </cell>
          <cell r="BH1320">
            <v>42.408178994289898</v>
          </cell>
          <cell r="BI1320">
            <v>30.406703917126244</v>
          </cell>
          <cell r="BJ1320">
            <v>54.409654071453552</v>
          </cell>
          <cell r="BU1320">
            <v>15.37369844181703</v>
          </cell>
          <cell r="BV1320">
            <v>29.635401891862816</v>
          </cell>
          <cell r="BW1320">
            <v>23.901518972811779</v>
          </cell>
          <cell r="BX1320">
            <v>15.713059154269443</v>
          </cell>
          <cell r="BY1320">
            <v>32.089978791354113</v>
          </cell>
        </row>
        <row r="1321">
          <cell r="A1321">
            <v>41375</v>
          </cell>
          <cell r="BF1321">
            <v>33.770394522147903</v>
          </cell>
          <cell r="BG1321">
            <v>45.468715051806292</v>
          </cell>
          <cell r="BH1321">
            <v>42.408178994289898</v>
          </cell>
          <cell r="BI1321">
            <v>30.406703917126244</v>
          </cell>
          <cell r="BJ1321">
            <v>54.409654071453552</v>
          </cell>
          <cell r="BU1321">
            <v>15.37369844181703</v>
          </cell>
          <cell r="BV1321">
            <v>29.635401891862816</v>
          </cell>
          <cell r="BW1321">
            <v>23.901518972811779</v>
          </cell>
          <cell r="BX1321">
            <v>15.713059154269443</v>
          </cell>
          <cell r="BY1321">
            <v>32.089978791354113</v>
          </cell>
        </row>
        <row r="1322">
          <cell r="A1322">
            <v>41376</v>
          </cell>
          <cell r="BF1322">
            <v>33.713168186987893</v>
          </cell>
          <cell r="BG1322">
            <v>45.468715051806292</v>
          </cell>
          <cell r="BH1322">
            <v>42.408178994289898</v>
          </cell>
          <cell r="BI1322">
            <v>30.406703917126244</v>
          </cell>
          <cell r="BJ1322">
            <v>54.409654071453552</v>
          </cell>
          <cell r="BU1322">
            <v>15.374729794421677</v>
          </cell>
          <cell r="BV1322">
            <v>29.635401891862816</v>
          </cell>
          <cell r="BW1322">
            <v>23.901518972811779</v>
          </cell>
          <cell r="BX1322">
            <v>15.713059154269443</v>
          </cell>
          <cell r="BY1322">
            <v>32.089978791354113</v>
          </cell>
        </row>
        <row r="1323">
          <cell r="A1323">
            <v>41379</v>
          </cell>
          <cell r="BF1323">
            <v>32.539433468689808</v>
          </cell>
          <cell r="BG1323">
            <v>45.468715051806292</v>
          </cell>
          <cell r="BH1323">
            <v>42.408178994289898</v>
          </cell>
          <cell r="BI1323">
            <v>30.406703917126244</v>
          </cell>
          <cell r="BJ1323">
            <v>54.409654071453552</v>
          </cell>
          <cell r="BU1323">
            <v>15.436492948928976</v>
          </cell>
          <cell r="BV1323">
            <v>29.635401891862816</v>
          </cell>
          <cell r="BW1323">
            <v>23.901518972811779</v>
          </cell>
          <cell r="BX1323">
            <v>15.713059154269443</v>
          </cell>
          <cell r="BY1323">
            <v>32.089978791354113</v>
          </cell>
        </row>
        <row r="1324">
          <cell r="A1324">
            <v>41380</v>
          </cell>
          <cell r="BF1324">
            <v>33.895251968830216</v>
          </cell>
          <cell r="BG1324">
            <v>45.468715051806292</v>
          </cell>
          <cell r="BH1324">
            <v>42.408178994289898</v>
          </cell>
          <cell r="BI1324">
            <v>30.406703917126244</v>
          </cell>
          <cell r="BJ1324">
            <v>54.409654071453552</v>
          </cell>
          <cell r="BU1324">
            <v>15.428166804075904</v>
          </cell>
          <cell r="BV1324">
            <v>29.635401891862816</v>
          </cell>
          <cell r="BW1324">
            <v>23.901518972811779</v>
          </cell>
          <cell r="BX1324">
            <v>15.713059154269443</v>
          </cell>
          <cell r="BY1324">
            <v>32.089978791354113</v>
          </cell>
        </row>
        <row r="1325">
          <cell r="A1325">
            <v>41381</v>
          </cell>
          <cell r="BF1325">
            <v>33.824046334314232</v>
          </cell>
          <cell r="BG1325">
            <v>45.468715051806292</v>
          </cell>
          <cell r="BH1325">
            <v>42.408178994289898</v>
          </cell>
          <cell r="BI1325">
            <v>30.406703917126244</v>
          </cell>
          <cell r="BJ1325">
            <v>54.409654071453552</v>
          </cell>
          <cell r="BU1325">
            <v>15.428166804075904</v>
          </cell>
          <cell r="BV1325">
            <v>29.635401891862816</v>
          </cell>
          <cell r="BW1325">
            <v>23.901518972811779</v>
          </cell>
          <cell r="BX1325">
            <v>15.713059154269443</v>
          </cell>
          <cell r="BY1325">
            <v>32.089978791354113</v>
          </cell>
        </row>
        <row r="1326">
          <cell r="A1326">
            <v>41382</v>
          </cell>
          <cell r="BF1326">
            <v>33.038115542525297</v>
          </cell>
          <cell r="BG1326">
            <v>45.468715051806292</v>
          </cell>
          <cell r="BH1326">
            <v>42.408178994289898</v>
          </cell>
          <cell r="BI1326">
            <v>30.406703917126244</v>
          </cell>
          <cell r="BJ1326">
            <v>54.409654071453552</v>
          </cell>
          <cell r="BU1326">
            <v>15.428166804075904</v>
          </cell>
          <cell r="BV1326">
            <v>29.635401891862816</v>
          </cell>
          <cell r="BW1326">
            <v>23.901518972811779</v>
          </cell>
          <cell r="BX1326">
            <v>15.713059154269443</v>
          </cell>
          <cell r="BY1326">
            <v>32.089978791354113</v>
          </cell>
        </row>
        <row r="1327">
          <cell r="A1327">
            <v>41383</v>
          </cell>
          <cell r="BF1327">
            <v>32.8929217759514</v>
          </cell>
          <cell r="BG1327">
            <v>45.468715051806292</v>
          </cell>
          <cell r="BH1327">
            <v>42.408178994289898</v>
          </cell>
          <cell r="BI1327">
            <v>30.406703917126244</v>
          </cell>
          <cell r="BJ1327">
            <v>54.409654071453552</v>
          </cell>
          <cell r="BU1327">
            <v>16.864822910296628</v>
          </cell>
          <cell r="BV1327">
            <v>29.635401891862816</v>
          </cell>
          <cell r="BW1327">
            <v>23.901518972811779</v>
          </cell>
          <cell r="BX1327">
            <v>15.713059154269443</v>
          </cell>
          <cell r="BY1327">
            <v>32.089978791354113</v>
          </cell>
        </row>
        <row r="1328">
          <cell r="A1328">
            <v>41386</v>
          </cell>
          <cell r="BF1328">
            <v>32.324082968283172</v>
          </cell>
          <cell r="BG1328">
            <v>45.468715051806292</v>
          </cell>
          <cell r="BH1328">
            <v>42.408178994289898</v>
          </cell>
          <cell r="BI1328">
            <v>30.406703917126244</v>
          </cell>
          <cell r="BJ1328">
            <v>54.409654071453552</v>
          </cell>
          <cell r="BU1328">
            <v>16.564254441372899</v>
          </cell>
          <cell r="BV1328">
            <v>29.635401891862816</v>
          </cell>
          <cell r="BW1328">
            <v>23.901518972811779</v>
          </cell>
          <cell r="BX1328">
            <v>15.713059154269443</v>
          </cell>
          <cell r="BY1328">
            <v>32.089978791354113</v>
          </cell>
        </row>
        <row r="1329">
          <cell r="A1329">
            <v>41387</v>
          </cell>
          <cell r="BF1329">
            <v>35.186180236231088</v>
          </cell>
          <cell r="BG1329">
            <v>45.468715051806292</v>
          </cell>
          <cell r="BH1329">
            <v>42.408178994289898</v>
          </cell>
          <cell r="BI1329">
            <v>30.406703917126244</v>
          </cell>
          <cell r="BJ1329">
            <v>54.409654071453552</v>
          </cell>
          <cell r="BU1329">
            <v>18.167885084419805</v>
          </cell>
          <cell r="BV1329">
            <v>29.635401891862816</v>
          </cell>
          <cell r="BW1329">
            <v>23.901518972811779</v>
          </cell>
          <cell r="BX1329">
            <v>15.713059154269443</v>
          </cell>
          <cell r="BY1329">
            <v>32.089978791354113</v>
          </cell>
        </row>
        <row r="1330">
          <cell r="A1330">
            <v>41388</v>
          </cell>
          <cell r="BF1330">
            <v>35.181619575046611</v>
          </cell>
          <cell r="BG1330">
            <v>45.468715051806292</v>
          </cell>
          <cell r="BH1330">
            <v>42.408178994289898</v>
          </cell>
          <cell r="BI1330">
            <v>30.406703917126244</v>
          </cell>
          <cell r="BJ1330">
            <v>54.409654071453552</v>
          </cell>
          <cell r="BU1330">
            <v>18.122115478095271</v>
          </cell>
          <cell r="BV1330">
            <v>29.635401891862816</v>
          </cell>
          <cell r="BW1330">
            <v>23.901518972811779</v>
          </cell>
          <cell r="BX1330">
            <v>15.713059154269443</v>
          </cell>
          <cell r="BY1330">
            <v>32.089978791354113</v>
          </cell>
        </row>
        <row r="1331">
          <cell r="A1331">
            <v>41389</v>
          </cell>
          <cell r="BF1331">
            <v>35.108529565871777</v>
          </cell>
          <cell r="BG1331">
            <v>45.468715051806292</v>
          </cell>
          <cell r="BH1331">
            <v>42.408178994289898</v>
          </cell>
          <cell r="BI1331">
            <v>30.406703917126244</v>
          </cell>
          <cell r="BJ1331">
            <v>54.409654071453552</v>
          </cell>
          <cell r="BU1331">
            <v>18.086630844739005</v>
          </cell>
          <cell r="BV1331">
            <v>29.635401891862816</v>
          </cell>
          <cell r="BW1331">
            <v>23.901518972811779</v>
          </cell>
          <cell r="BX1331">
            <v>15.713059154269443</v>
          </cell>
          <cell r="BY1331">
            <v>32.089978791354113</v>
          </cell>
        </row>
        <row r="1332">
          <cell r="A1332">
            <v>41390</v>
          </cell>
          <cell r="BF1332">
            <v>35.147821482039447</v>
          </cell>
          <cell r="BG1332">
            <v>45.468715051806292</v>
          </cell>
          <cell r="BH1332">
            <v>42.408178994289898</v>
          </cell>
          <cell r="BI1332">
            <v>30.406703917126244</v>
          </cell>
          <cell r="BJ1332">
            <v>54.409654071453552</v>
          </cell>
          <cell r="BU1332">
            <v>18.122255681878851</v>
          </cell>
          <cell r="BV1332">
            <v>29.635401891862816</v>
          </cell>
          <cell r="BW1332">
            <v>23.901518972811779</v>
          </cell>
          <cell r="BX1332">
            <v>15.713059154269443</v>
          </cell>
          <cell r="BY1332">
            <v>32.089978791354113</v>
          </cell>
        </row>
        <row r="1333">
          <cell r="A1333">
            <v>41393</v>
          </cell>
          <cell r="BF1333">
            <v>36.147080838326971</v>
          </cell>
          <cell r="BG1333">
            <v>45.468715051806292</v>
          </cell>
          <cell r="BH1333">
            <v>42.408178994289898</v>
          </cell>
          <cell r="BI1333">
            <v>30.406703917126244</v>
          </cell>
          <cell r="BJ1333">
            <v>54.409654071453552</v>
          </cell>
          <cell r="BU1333">
            <v>18.651531463189293</v>
          </cell>
          <cell r="BV1333">
            <v>29.635401891862816</v>
          </cell>
          <cell r="BW1333">
            <v>23.901518972811779</v>
          </cell>
          <cell r="BX1333">
            <v>15.713059154269443</v>
          </cell>
          <cell r="BY1333">
            <v>32.089978791354113</v>
          </cell>
        </row>
        <row r="1334">
          <cell r="A1334">
            <v>41394</v>
          </cell>
          <cell r="BF1334">
            <v>36.315487275452732</v>
          </cell>
          <cell r="BG1334">
            <v>45.468715051806292</v>
          </cell>
          <cell r="BH1334">
            <v>42.408178994289898</v>
          </cell>
          <cell r="BI1334">
            <v>30.406703917126244</v>
          </cell>
          <cell r="BJ1334">
            <v>54.409654071453552</v>
          </cell>
          <cell r="BU1334">
            <v>18.740722648859041</v>
          </cell>
          <cell r="BV1334">
            <v>29.635401891862816</v>
          </cell>
          <cell r="BW1334">
            <v>23.901518972811779</v>
          </cell>
          <cell r="BX1334">
            <v>15.713059154269443</v>
          </cell>
          <cell r="BY1334">
            <v>32.089978791354113</v>
          </cell>
        </row>
        <row r="1335">
          <cell r="A1335">
            <v>41395</v>
          </cell>
          <cell r="BF1335">
            <v>35.339389783585418</v>
          </cell>
          <cell r="BG1335">
            <v>45.468715051806292</v>
          </cell>
          <cell r="BH1335">
            <v>42.408178994289898</v>
          </cell>
          <cell r="BI1335">
            <v>30.406703917126244</v>
          </cell>
          <cell r="BJ1335">
            <v>54.409654071453552</v>
          </cell>
          <cell r="BU1335">
            <v>18.222047369368845</v>
          </cell>
          <cell r="BV1335">
            <v>29.635401891862816</v>
          </cell>
          <cell r="BW1335">
            <v>23.901518972811779</v>
          </cell>
          <cell r="BX1335">
            <v>15.713059154269443</v>
          </cell>
          <cell r="BY1335">
            <v>32.089978791354113</v>
          </cell>
        </row>
        <row r="1336">
          <cell r="A1336">
            <v>41396</v>
          </cell>
          <cell r="BF1336">
            <v>35.965113008171336</v>
          </cell>
          <cell r="BG1336">
            <v>45.468715051806292</v>
          </cell>
          <cell r="BH1336">
            <v>42.408178994289898</v>
          </cell>
          <cell r="BI1336">
            <v>30.406703917126244</v>
          </cell>
          <cell r="BJ1336">
            <v>54.409654071453552</v>
          </cell>
          <cell r="BU1336">
            <v>18.553313331757398</v>
          </cell>
          <cell r="BV1336">
            <v>29.635401891862816</v>
          </cell>
          <cell r="BW1336">
            <v>23.901518972811779</v>
          </cell>
          <cell r="BX1336">
            <v>15.713059154269443</v>
          </cell>
          <cell r="BY1336">
            <v>32.089978791354113</v>
          </cell>
        </row>
        <row r="1337">
          <cell r="A1337">
            <v>41397</v>
          </cell>
          <cell r="BF1337">
            <v>35.943042090913458</v>
          </cell>
          <cell r="BG1337">
            <v>45.468715051806292</v>
          </cell>
          <cell r="BH1337">
            <v>42.408178994289898</v>
          </cell>
          <cell r="BI1337">
            <v>30.406703917126244</v>
          </cell>
          <cell r="BJ1337">
            <v>54.409654071453552</v>
          </cell>
          <cell r="BU1337">
            <v>18.519536185998927</v>
          </cell>
          <cell r="BV1337">
            <v>29.635401891862816</v>
          </cell>
          <cell r="BW1337">
            <v>23.901518972811779</v>
          </cell>
          <cell r="BX1337">
            <v>15.713059154269443</v>
          </cell>
          <cell r="BY1337">
            <v>32.089978791354113</v>
          </cell>
        </row>
        <row r="1338">
          <cell r="A1338">
            <v>41400</v>
          </cell>
          <cell r="BF1338">
            <v>36.745108511724204</v>
          </cell>
          <cell r="BG1338">
            <v>45.468715051806292</v>
          </cell>
          <cell r="BH1338">
            <v>42.408178994289898</v>
          </cell>
          <cell r="BI1338">
            <v>30.406703917126244</v>
          </cell>
          <cell r="BJ1338">
            <v>54.409654071453552</v>
          </cell>
          <cell r="BU1338">
            <v>18.906504139935759</v>
          </cell>
          <cell r="BV1338">
            <v>29.635401891862816</v>
          </cell>
          <cell r="BW1338">
            <v>23.901518972811779</v>
          </cell>
          <cell r="BX1338">
            <v>15.713059154269443</v>
          </cell>
          <cell r="BY1338">
            <v>32.089978791354113</v>
          </cell>
        </row>
        <row r="1339">
          <cell r="A1339">
            <v>41401</v>
          </cell>
          <cell r="BF1339">
            <v>36.778396042354373</v>
          </cell>
          <cell r="BG1339">
            <v>45.468715051806292</v>
          </cell>
          <cell r="BH1339">
            <v>42.408178994289898</v>
          </cell>
          <cell r="BI1339">
            <v>30.406703917126244</v>
          </cell>
          <cell r="BJ1339">
            <v>54.409654071453552</v>
          </cell>
          <cell r="BU1339">
            <v>18.924089317686281</v>
          </cell>
          <cell r="BV1339">
            <v>29.635401891862816</v>
          </cell>
          <cell r="BW1339">
            <v>23.901518972811779</v>
          </cell>
          <cell r="BX1339">
            <v>15.713059154269443</v>
          </cell>
          <cell r="BY1339">
            <v>32.089978791354113</v>
          </cell>
        </row>
        <row r="1340">
          <cell r="A1340">
            <v>41402</v>
          </cell>
          <cell r="BF1340">
            <v>37.211147810813436</v>
          </cell>
          <cell r="BG1340">
            <v>45.468715051806292</v>
          </cell>
          <cell r="BH1340">
            <v>42.408178994289898</v>
          </cell>
          <cell r="BI1340">
            <v>30.406703917126244</v>
          </cell>
          <cell r="BJ1340">
            <v>54.409654071453552</v>
          </cell>
          <cell r="BU1340">
            <v>19.152753195916961</v>
          </cell>
          <cell r="BV1340">
            <v>29.635401891862816</v>
          </cell>
          <cell r="BW1340">
            <v>23.901518972811779</v>
          </cell>
          <cell r="BX1340">
            <v>15.713059154269443</v>
          </cell>
          <cell r="BY1340">
            <v>32.089978791354113</v>
          </cell>
        </row>
        <row r="1341">
          <cell r="A1341">
            <v>41403</v>
          </cell>
          <cell r="BF1341">
            <v>37.261078551948025</v>
          </cell>
          <cell r="BG1341">
            <v>45.468715051806292</v>
          </cell>
          <cell r="BH1341">
            <v>42.408178994289898</v>
          </cell>
          <cell r="BI1341">
            <v>30.406703917126244</v>
          </cell>
          <cell r="BJ1341">
            <v>54.409654071453552</v>
          </cell>
          <cell r="BU1341">
            <v>19.179140272606155</v>
          </cell>
          <cell r="BV1341">
            <v>29.635401891862816</v>
          </cell>
          <cell r="BW1341">
            <v>23.901518972811779</v>
          </cell>
          <cell r="BX1341">
            <v>15.713059154269443</v>
          </cell>
          <cell r="BY1341">
            <v>32.089978791354113</v>
          </cell>
        </row>
        <row r="1342">
          <cell r="A1342">
            <v>41404</v>
          </cell>
          <cell r="BF1342">
            <v>38.81902583544106</v>
          </cell>
          <cell r="BG1342">
            <v>45.468715051806292</v>
          </cell>
          <cell r="BH1342">
            <v>42.408178994289898</v>
          </cell>
          <cell r="BI1342">
            <v>30.406703917126244</v>
          </cell>
          <cell r="BJ1342">
            <v>54.409654071453552</v>
          </cell>
          <cell r="BU1342">
            <v>20.006776393055983</v>
          </cell>
          <cell r="BV1342">
            <v>29.635401891862816</v>
          </cell>
          <cell r="BW1342">
            <v>23.901518972811779</v>
          </cell>
          <cell r="BX1342">
            <v>15.713059154269443</v>
          </cell>
          <cell r="BY1342">
            <v>32.089978791354113</v>
          </cell>
        </row>
        <row r="1343">
          <cell r="A1343">
            <v>41407</v>
          </cell>
          <cell r="BF1343">
            <v>38.164456477677348</v>
          </cell>
          <cell r="BG1343">
            <v>45.468715051806292</v>
          </cell>
          <cell r="BH1343">
            <v>42.408178994289898</v>
          </cell>
          <cell r="BI1343">
            <v>30.406703917126244</v>
          </cell>
          <cell r="BJ1343">
            <v>54.409654071453552</v>
          </cell>
          <cell r="BU1343">
            <v>19.660836212420488</v>
          </cell>
          <cell r="BV1343">
            <v>29.635401891862816</v>
          </cell>
          <cell r="BW1343">
            <v>23.901518972811779</v>
          </cell>
          <cell r="BX1343">
            <v>15.713059154269443</v>
          </cell>
          <cell r="BY1343">
            <v>32.089978791354113</v>
          </cell>
        </row>
        <row r="1344">
          <cell r="A1344">
            <v>41408</v>
          </cell>
          <cell r="BF1344">
            <v>39.24060724764643</v>
          </cell>
          <cell r="BG1344">
            <v>45.468715051806292</v>
          </cell>
          <cell r="BH1344">
            <v>42.408178994289898</v>
          </cell>
          <cell r="BI1344">
            <v>30.406703917126244</v>
          </cell>
          <cell r="BJ1344">
            <v>54.409654071453552</v>
          </cell>
          <cell r="BU1344">
            <v>20.301503806828542</v>
          </cell>
          <cell r="BV1344">
            <v>29.635401891862816</v>
          </cell>
          <cell r="BW1344">
            <v>23.901518972811779</v>
          </cell>
          <cell r="BX1344">
            <v>15.713059154269443</v>
          </cell>
          <cell r="BY1344">
            <v>32.089978791354113</v>
          </cell>
        </row>
        <row r="1345">
          <cell r="A1345">
            <v>41409</v>
          </cell>
          <cell r="BF1345">
            <v>39.035365088673117</v>
          </cell>
          <cell r="BG1345">
            <v>45.468715051806292</v>
          </cell>
          <cell r="BH1345">
            <v>42.408178994289898</v>
          </cell>
          <cell r="BI1345">
            <v>30.406703917126244</v>
          </cell>
          <cell r="BJ1345">
            <v>54.409654071453552</v>
          </cell>
          <cell r="BU1345">
            <v>20.19264686402239</v>
          </cell>
          <cell r="BV1345">
            <v>29.635401891862816</v>
          </cell>
          <cell r="BW1345">
            <v>23.901518972811779</v>
          </cell>
          <cell r="BX1345">
            <v>15.713059154269443</v>
          </cell>
          <cell r="BY1345">
            <v>32.089978791354113</v>
          </cell>
        </row>
        <row r="1346">
          <cell r="A1346">
            <v>41410</v>
          </cell>
          <cell r="BF1346">
            <v>38.66401110237716</v>
          </cell>
          <cell r="BG1346">
            <v>45.468715051806292</v>
          </cell>
          <cell r="BH1346">
            <v>42.408178994289898</v>
          </cell>
          <cell r="BI1346">
            <v>30.406703917126244</v>
          </cell>
          <cell r="BJ1346">
            <v>54.409654071453552</v>
          </cell>
          <cell r="BU1346">
            <v>19.980816843395491</v>
          </cell>
          <cell r="BV1346">
            <v>29.635401891862816</v>
          </cell>
          <cell r="BW1346">
            <v>23.901518972811779</v>
          </cell>
          <cell r="BX1346">
            <v>15.713059154269443</v>
          </cell>
          <cell r="BY1346">
            <v>32.089978791354113</v>
          </cell>
        </row>
        <row r="1347">
          <cell r="A1347">
            <v>41411</v>
          </cell>
          <cell r="BF1347">
            <v>39.962054549133669</v>
          </cell>
          <cell r="BG1347">
            <v>45.468715051806292</v>
          </cell>
          <cell r="BH1347">
            <v>42.408178994289898</v>
          </cell>
          <cell r="BI1347">
            <v>30.406703917126244</v>
          </cell>
          <cell r="BJ1347">
            <v>54.409654071453552</v>
          </cell>
          <cell r="BU1347">
            <v>20.672217105804808</v>
          </cell>
          <cell r="BV1347">
            <v>29.635401891862816</v>
          </cell>
          <cell r="BW1347">
            <v>23.901518972811779</v>
          </cell>
          <cell r="BX1347">
            <v>15.713059154269443</v>
          </cell>
          <cell r="BY1347">
            <v>32.089978791354113</v>
          </cell>
        </row>
        <row r="1348">
          <cell r="A1348">
            <v>41414</v>
          </cell>
          <cell r="BF1348">
            <v>40.561478151999715</v>
          </cell>
          <cell r="BG1348">
            <v>45.468715051806292</v>
          </cell>
          <cell r="BH1348">
            <v>42.408178994289898</v>
          </cell>
          <cell r="BI1348">
            <v>30.406703917126244</v>
          </cell>
          <cell r="BJ1348">
            <v>54.409654071453552</v>
          </cell>
          <cell r="BU1348">
            <v>20.989965921493884</v>
          </cell>
          <cell r="BV1348">
            <v>29.635401891862816</v>
          </cell>
          <cell r="BW1348">
            <v>23.901518972811779</v>
          </cell>
          <cell r="BX1348">
            <v>15.713059154269443</v>
          </cell>
          <cell r="BY1348">
            <v>32.089978791354113</v>
          </cell>
        </row>
        <row r="1349">
          <cell r="A1349">
            <v>41415</v>
          </cell>
          <cell r="BF1349">
            <v>40.2839638842974</v>
          </cell>
          <cell r="BG1349">
            <v>45.468715051806292</v>
          </cell>
          <cell r="BH1349">
            <v>42.408178994289898</v>
          </cell>
          <cell r="BI1349">
            <v>30.406703917126244</v>
          </cell>
          <cell r="BJ1349">
            <v>54.409654071453552</v>
          </cell>
          <cell r="BU1349">
            <v>20.842854867504428</v>
          </cell>
          <cell r="BV1349">
            <v>29.635401891862816</v>
          </cell>
          <cell r="BW1349">
            <v>23.901518972811779</v>
          </cell>
          <cell r="BX1349">
            <v>15.713059154269443</v>
          </cell>
          <cell r="BY1349">
            <v>32.089978791354113</v>
          </cell>
        </row>
        <row r="1350">
          <cell r="A1350">
            <v>41416</v>
          </cell>
          <cell r="BF1350">
            <v>39.219559665268314</v>
          </cell>
          <cell r="BG1350">
            <v>45.468715051806292</v>
          </cell>
          <cell r="BH1350">
            <v>42.408178994289898</v>
          </cell>
          <cell r="BI1350">
            <v>30.406703917126244</v>
          </cell>
          <cell r="BJ1350">
            <v>54.409654071453552</v>
          </cell>
          <cell r="BU1350">
            <v>20.286792488537483</v>
          </cell>
          <cell r="BV1350">
            <v>29.635401891862816</v>
          </cell>
          <cell r="BW1350">
            <v>23.901518972811779</v>
          </cell>
          <cell r="BX1350">
            <v>15.713059154269443</v>
          </cell>
          <cell r="BY1350">
            <v>32.089978791354113</v>
          </cell>
        </row>
        <row r="1351">
          <cell r="A1351">
            <v>41417</v>
          </cell>
          <cell r="BF1351">
            <v>39.435935272092507</v>
          </cell>
          <cell r="BG1351">
            <v>45.468715051806292</v>
          </cell>
          <cell r="BH1351">
            <v>42.408178994289898</v>
          </cell>
          <cell r="BI1351">
            <v>30.406703917126244</v>
          </cell>
          <cell r="BJ1351">
            <v>54.409654071453552</v>
          </cell>
          <cell r="BU1351">
            <v>20.401536607984163</v>
          </cell>
          <cell r="BV1351">
            <v>29.635401891862816</v>
          </cell>
          <cell r="BW1351">
            <v>23.901518972811779</v>
          </cell>
          <cell r="BX1351">
            <v>15.713059154269443</v>
          </cell>
          <cell r="BY1351">
            <v>32.089978791354113</v>
          </cell>
        </row>
        <row r="1352">
          <cell r="A1352">
            <v>41418</v>
          </cell>
          <cell r="BF1352">
            <v>39.008737158448739</v>
          </cell>
          <cell r="BG1352">
            <v>45.468715051806292</v>
          </cell>
          <cell r="BH1352">
            <v>42.408178994289898</v>
          </cell>
          <cell r="BI1352">
            <v>30.406703917126244</v>
          </cell>
          <cell r="BJ1352">
            <v>54.409654071453552</v>
          </cell>
          <cell r="BU1352">
            <v>20.174997397987358</v>
          </cell>
          <cell r="BV1352">
            <v>29.635401891862816</v>
          </cell>
          <cell r="BW1352">
            <v>23.901518972811779</v>
          </cell>
          <cell r="BX1352">
            <v>15.713059154269443</v>
          </cell>
          <cell r="BY1352">
            <v>32.089978791354113</v>
          </cell>
        </row>
        <row r="1353">
          <cell r="A1353">
            <v>41421</v>
          </cell>
          <cell r="BF1353">
            <v>39.008737158448739</v>
          </cell>
          <cell r="BG1353">
            <v>45.468715051806292</v>
          </cell>
          <cell r="BH1353">
            <v>42.408178994289898</v>
          </cell>
          <cell r="BI1353">
            <v>30.406703917126244</v>
          </cell>
          <cell r="BJ1353">
            <v>54.409654071453552</v>
          </cell>
          <cell r="BU1353">
            <v>20.174997397987358</v>
          </cell>
          <cell r="BV1353">
            <v>29.635401891862816</v>
          </cell>
          <cell r="BW1353">
            <v>23.901518972811779</v>
          </cell>
          <cell r="BX1353">
            <v>15.713059154269443</v>
          </cell>
          <cell r="BY1353">
            <v>32.089978791354113</v>
          </cell>
        </row>
        <row r="1354">
          <cell r="A1354">
            <v>41422</v>
          </cell>
          <cell r="BF1354">
            <v>39.735538027652204</v>
          </cell>
          <cell r="BG1354">
            <v>45.468715051806292</v>
          </cell>
          <cell r="BH1354">
            <v>42.408178994289898</v>
          </cell>
          <cell r="BI1354">
            <v>30.406703917126244</v>
          </cell>
          <cell r="BJ1354">
            <v>54.409654071453552</v>
          </cell>
          <cell r="BU1354">
            <v>20.560410897555304</v>
          </cell>
          <cell r="BV1354">
            <v>29.635401891862816</v>
          </cell>
          <cell r="BW1354">
            <v>23.901518972811779</v>
          </cell>
          <cell r="BX1354">
            <v>15.713059154269443</v>
          </cell>
          <cell r="BY1354">
            <v>32.089978791354113</v>
          </cell>
        </row>
        <row r="1355">
          <cell r="A1355">
            <v>41423</v>
          </cell>
          <cell r="BF1355">
            <v>39.441488926907802</v>
          </cell>
          <cell r="BG1355">
            <v>45.468715051806292</v>
          </cell>
          <cell r="BH1355">
            <v>42.408178994289898</v>
          </cell>
          <cell r="BI1355">
            <v>30.406703917126244</v>
          </cell>
          <cell r="BJ1355">
            <v>54.409654071453552</v>
          </cell>
          <cell r="BU1355">
            <v>20.404483981053151</v>
          </cell>
          <cell r="BV1355">
            <v>29.635401891862816</v>
          </cell>
          <cell r="BW1355">
            <v>23.901518972811779</v>
          </cell>
          <cell r="BX1355">
            <v>15.713059154269443</v>
          </cell>
          <cell r="BY1355">
            <v>32.089978791354113</v>
          </cell>
        </row>
        <row r="1356">
          <cell r="A1356">
            <v>41424</v>
          </cell>
          <cell r="BF1356">
            <v>39.663409866387227</v>
          </cell>
          <cell r="BG1356">
            <v>45.468715051806292</v>
          </cell>
          <cell r="BH1356">
            <v>42.408178994289898</v>
          </cell>
          <cell r="BI1356">
            <v>30.406703917126244</v>
          </cell>
          <cell r="BJ1356">
            <v>54.409654071453552</v>
          </cell>
          <cell r="BU1356">
            <v>20.522157732559183</v>
          </cell>
          <cell r="BV1356">
            <v>29.635401891862816</v>
          </cell>
          <cell r="BW1356">
            <v>23.901518972811779</v>
          </cell>
          <cell r="BX1356">
            <v>15.713059154269443</v>
          </cell>
          <cell r="BY1356">
            <v>32.089978791354113</v>
          </cell>
        </row>
        <row r="1357">
          <cell r="A1357">
            <v>41425</v>
          </cell>
          <cell r="BF1357">
            <v>39.007627622828593</v>
          </cell>
          <cell r="BG1357">
            <v>45.468715051806292</v>
          </cell>
          <cell r="BH1357">
            <v>42.408178994289898</v>
          </cell>
          <cell r="BI1357">
            <v>30.406703917126244</v>
          </cell>
          <cell r="BJ1357">
            <v>54.409654071453552</v>
          </cell>
          <cell r="BU1357">
            <v>20.177935782278123</v>
          </cell>
          <cell r="BV1357">
            <v>29.635401891862816</v>
          </cell>
          <cell r="BW1357">
            <v>23.901518972811779</v>
          </cell>
          <cell r="BX1357">
            <v>15.713059154269443</v>
          </cell>
          <cell r="BY1357">
            <v>32.089978791354113</v>
          </cell>
        </row>
        <row r="1358">
          <cell r="A1358">
            <v>41428</v>
          </cell>
          <cell r="BF1358">
            <v>38.778323964274485</v>
          </cell>
          <cell r="BG1358">
            <v>45.468715051806292</v>
          </cell>
          <cell r="BH1358">
            <v>42.408178994289898</v>
          </cell>
          <cell r="BI1358">
            <v>30.406703917126244</v>
          </cell>
          <cell r="BJ1358">
            <v>54.409654071453552</v>
          </cell>
          <cell r="BU1358">
            <v>20.059146072657299</v>
          </cell>
          <cell r="BV1358">
            <v>29.635401891862816</v>
          </cell>
          <cell r="BW1358">
            <v>23.901518972811779</v>
          </cell>
          <cell r="BX1358">
            <v>15.713059154269443</v>
          </cell>
          <cell r="BY1358">
            <v>32.089978791354113</v>
          </cell>
        </row>
        <row r="1359">
          <cell r="A1359">
            <v>41429</v>
          </cell>
          <cell r="BF1359">
            <v>38.236702091283362</v>
          </cell>
          <cell r="BG1359">
            <v>45.468715051806292</v>
          </cell>
          <cell r="BH1359">
            <v>42.408178994289898</v>
          </cell>
          <cell r="BI1359">
            <v>30.406703917126244</v>
          </cell>
          <cell r="BJ1359">
            <v>54.409654071453552</v>
          </cell>
          <cell r="BU1359">
            <v>19.784515202968826</v>
          </cell>
          <cell r="BV1359">
            <v>29.635401891862816</v>
          </cell>
          <cell r="BW1359">
            <v>23.901518972811779</v>
          </cell>
          <cell r="BX1359">
            <v>15.713059154269443</v>
          </cell>
          <cell r="BY1359">
            <v>32.089978791354113</v>
          </cell>
        </row>
        <row r="1360">
          <cell r="A1360">
            <v>41430</v>
          </cell>
          <cell r="BF1360">
            <v>37.62424904423812</v>
          </cell>
          <cell r="BG1360">
            <v>45.468715051806292</v>
          </cell>
          <cell r="BH1360">
            <v>42.408178994289898</v>
          </cell>
          <cell r="BI1360">
            <v>30.406703917126244</v>
          </cell>
          <cell r="BJ1360">
            <v>54.409654071453552</v>
          </cell>
          <cell r="BU1360">
            <v>19.465920333367905</v>
          </cell>
          <cell r="BV1360">
            <v>29.635401891862816</v>
          </cell>
          <cell r="BW1360">
            <v>23.901518972811779</v>
          </cell>
          <cell r="BX1360">
            <v>15.713059154269443</v>
          </cell>
          <cell r="BY1360">
            <v>32.089978791354113</v>
          </cell>
        </row>
        <row r="1361">
          <cell r="A1361">
            <v>41431</v>
          </cell>
          <cell r="BF1361">
            <v>37.809937738940469</v>
          </cell>
          <cell r="BG1361">
            <v>45.468715051806292</v>
          </cell>
          <cell r="BH1361">
            <v>42.408178994289898</v>
          </cell>
          <cell r="BI1361">
            <v>30.406703917126244</v>
          </cell>
          <cell r="BJ1361">
            <v>54.409654071453552</v>
          </cell>
          <cell r="BU1361">
            <v>19.564470588509483</v>
          </cell>
          <cell r="BV1361">
            <v>29.635401891862816</v>
          </cell>
          <cell r="BW1361">
            <v>23.901518972811779</v>
          </cell>
          <cell r="BX1361">
            <v>15.713059154269443</v>
          </cell>
          <cell r="BY1361">
            <v>32.089978791354113</v>
          </cell>
        </row>
        <row r="1362">
          <cell r="A1362">
            <v>41432</v>
          </cell>
          <cell r="BF1362">
            <v>38.225008738394322</v>
          </cell>
          <cell r="BG1362">
            <v>45.468715051806292</v>
          </cell>
          <cell r="BH1362">
            <v>42.408178994289898</v>
          </cell>
          <cell r="BI1362">
            <v>30.406703917126244</v>
          </cell>
          <cell r="BJ1362">
            <v>54.409654071453552</v>
          </cell>
          <cell r="BU1362">
            <v>19.784774474422335</v>
          </cell>
          <cell r="BV1362">
            <v>29.635401891862816</v>
          </cell>
          <cell r="BW1362">
            <v>23.901518972811779</v>
          </cell>
          <cell r="BX1362">
            <v>15.713059154269443</v>
          </cell>
          <cell r="BY1362">
            <v>32.089978791354113</v>
          </cell>
        </row>
        <row r="1363">
          <cell r="A1363">
            <v>41435</v>
          </cell>
          <cell r="BF1363">
            <v>38.083012561441834</v>
          </cell>
          <cell r="BG1363">
            <v>45.468715051806292</v>
          </cell>
          <cell r="BH1363">
            <v>42.408178994289898</v>
          </cell>
          <cell r="BI1363">
            <v>30.406703917126244</v>
          </cell>
          <cell r="BJ1363">
            <v>54.409654071453552</v>
          </cell>
          <cell r="BU1363">
            <v>19.709403589811121</v>
          </cell>
          <cell r="BV1363">
            <v>29.635401891862816</v>
          </cell>
          <cell r="BW1363">
            <v>23.901518972811779</v>
          </cell>
          <cell r="BX1363">
            <v>15.713059154269443</v>
          </cell>
          <cell r="BY1363">
            <v>32.089978791354113</v>
          </cell>
        </row>
        <row r="1364">
          <cell r="A1364">
            <v>41436</v>
          </cell>
          <cell r="BF1364">
            <v>37.411250682687054</v>
          </cell>
          <cell r="BG1364">
            <v>45.468715051806292</v>
          </cell>
          <cell r="BH1364">
            <v>42.408178994289898</v>
          </cell>
          <cell r="BI1364">
            <v>30.406703917126244</v>
          </cell>
          <cell r="BJ1364">
            <v>54.409654071453552</v>
          </cell>
          <cell r="BU1364">
            <v>19.352868434576202</v>
          </cell>
          <cell r="BV1364">
            <v>29.635401891862816</v>
          </cell>
          <cell r="BW1364">
            <v>23.901518972811779</v>
          </cell>
          <cell r="BX1364">
            <v>15.713059154269443</v>
          </cell>
          <cell r="BY1364">
            <v>32.089978791354113</v>
          </cell>
        </row>
        <row r="1365">
          <cell r="A1365">
            <v>41437</v>
          </cell>
          <cell r="BF1365">
            <v>36.848708902239217</v>
          </cell>
          <cell r="BG1365">
            <v>45.468715051806292</v>
          </cell>
          <cell r="BH1365">
            <v>42.408178994289898</v>
          </cell>
          <cell r="BI1365">
            <v>30.406703917126244</v>
          </cell>
          <cell r="BJ1365">
            <v>54.409654071453552</v>
          </cell>
          <cell r="BU1365">
            <v>19.054355425870597</v>
          </cell>
          <cell r="BV1365">
            <v>29.635401891862816</v>
          </cell>
          <cell r="BW1365">
            <v>23.901518972811779</v>
          </cell>
          <cell r="BX1365">
            <v>15.713059154269443</v>
          </cell>
          <cell r="BY1365">
            <v>32.089978791354113</v>
          </cell>
        </row>
        <row r="1366">
          <cell r="A1366">
            <v>41438</v>
          </cell>
          <cell r="BF1366">
            <v>38.225008738394322</v>
          </cell>
          <cell r="BG1366">
            <v>45.468715051806292</v>
          </cell>
          <cell r="BH1366">
            <v>42.408178994289898</v>
          </cell>
          <cell r="BI1366">
            <v>30.406703917126244</v>
          </cell>
          <cell r="BJ1366">
            <v>54.409654071453552</v>
          </cell>
          <cell r="BU1366">
            <v>19.784774474422335</v>
          </cell>
          <cell r="BV1366">
            <v>29.635401891862816</v>
          </cell>
          <cell r="BW1366">
            <v>23.901518972811779</v>
          </cell>
          <cell r="BX1366">
            <v>15.713059154269443</v>
          </cell>
          <cell r="BY1366">
            <v>32.089978791354113</v>
          </cell>
        </row>
        <row r="1367">
          <cell r="A1367">
            <v>41439</v>
          </cell>
          <cell r="BF1367">
            <v>37.139707372497824</v>
          </cell>
          <cell r="BG1367">
            <v>45.468715051806292</v>
          </cell>
          <cell r="BH1367">
            <v>42.408178994289898</v>
          </cell>
          <cell r="BI1367">
            <v>30.406703917126244</v>
          </cell>
          <cell r="BJ1367">
            <v>54.409654071453552</v>
          </cell>
          <cell r="BU1367">
            <v>19.205030583195732</v>
          </cell>
          <cell r="BV1367">
            <v>29.635401891862816</v>
          </cell>
          <cell r="BW1367">
            <v>23.901518972811779</v>
          </cell>
          <cell r="BX1367">
            <v>15.713059154269443</v>
          </cell>
          <cell r="BY1367">
            <v>32.089978791354113</v>
          </cell>
        </row>
        <row r="1368">
          <cell r="A1368">
            <v>41442</v>
          </cell>
          <cell r="BF1368">
            <v>38.576354364967727</v>
          </cell>
          <cell r="BG1368">
            <v>45.468715051806292</v>
          </cell>
          <cell r="BH1368">
            <v>42.408178994289898</v>
          </cell>
          <cell r="BI1368">
            <v>30.406703917126244</v>
          </cell>
          <cell r="BJ1368">
            <v>54.409654071453552</v>
          </cell>
          <cell r="BU1368">
            <v>19.967398278391567</v>
          </cell>
          <cell r="BV1368">
            <v>29.635401891862816</v>
          </cell>
          <cell r="BW1368">
            <v>23.901518972811779</v>
          </cell>
          <cell r="BX1368">
            <v>15.713059154269443</v>
          </cell>
          <cell r="BY1368">
            <v>32.089978791354113</v>
          </cell>
        </row>
        <row r="1369">
          <cell r="A1369">
            <v>41443</v>
          </cell>
          <cell r="BF1369">
            <v>39.160840245704406</v>
          </cell>
          <cell r="BG1369">
            <v>45.468715051806292</v>
          </cell>
          <cell r="BH1369">
            <v>42.408178994289898</v>
          </cell>
          <cell r="BI1369">
            <v>30.406703917126244</v>
          </cell>
          <cell r="BJ1369">
            <v>54.409654071453552</v>
          </cell>
          <cell r="BU1369">
            <v>20.277558378420583</v>
          </cell>
          <cell r="BV1369">
            <v>29.635401891862816</v>
          </cell>
          <cell r="BW1369">
            <v>23.901518972811779</v>
          </cell>
          <cell r="BX1369">
            <v>15.713059154269443</v>
          </cell>
          <cell r="BY1369">
            <v>32.089978791354113</v>
          </cell>
        </row>
        <row r="1370">
          <cell r="A1370">
            <v>41444</v>
          </cell>
          <cell r="BF1370">
            <v>38.396506135805843</v>
          </cell>
          <cell r="BG1370">
            <v>45.468715051806292</v>
          </cell>
          <cell r="BH1370">
            <v>42.408178994289898</v>
          </cell>
          <cell r="BI1370">
            <v>30.406703917126244</v>
          </cell>
          <cell r="BJ1370">
            <v>54.409654071453552</v>
          </cell>
          <cell r="BU1370">
            <v>19.848300665974858</v>
          </cell>
          <cell r="BV1370">
            <v>29.635401891862816</v>
          </cell>
          <cell r="BW1370">
            <v>23.901518972811779</v>
          </cell>
          <cell r="BX1370">
            <v>15.713059154269443</v>
          </cell>
          <cell r="BY1370">
            <v>32.089978791354113</v>
          </cell>
        </row>
        <row r="1371">
          <cell r="A1371">
            <v>41445</v>
          </cell>
          <cell r="BF1371">
            <v>37.774745023179712</v>
          </cell>
          <cell r="BG1371">
            <v>45.468715051806292</v>
          </cell>
          <cell r="BH1371">
            <v>42.408178994289898</v>
          </cell>
          <cell r="BI1371">
            <v>30.406703917126244</v>
          </cell>
          <cell r="BJ1371">
            <v>54.409654071453552</v>
          </cell>
          <cell r="BU1371">
            <v>19.518757342747545</v>
          </cell>
          <cell r="BV1371">
            <v>29.635401891862816</v>
          </cell>
          <cell r="BW1371">
            <v>23.901518972811779</v>
          </cell>
          <cell r="BX1371">
            <v>15.713059154269443</v>
          </cell>
          <cell r="BY1371">
            <v>32.089978791354113</v>
          </cell>
        </row>
        <row r="1372">
          <cell r="A1372">
            <v>41446</v>
          </cell>
          <cell r="BF1372">
            <v>38.140165257703842</v>
          </cell>
          <cell r="BG1372">
            <v>45.468715051806292</v>
          </cell>
          <cell r="BH1372">
            <v>42.408178994289898</v>
          </cell>
          <cell r="BI1372">
            <v>30.406703917126244</v>
          </cell>
          <cell r="BJ1372">
            <v>54.409654071453552</v>
          </cell>
          <cell r="BU1372">
            <v>19.71243993617983</v>
          </cell>
          <cell r="BV1372">
            <v>29.635401891862816</v>
          </cell>
          <cell r="BW1372">
            <v>23.901518972811779</v>
          </cell>
          <cell r="BX1372">
            <v>15.713059154269443</v>
          </cell>
          <cell r="BY1372">
            <v>32.089978791354113</v>
          </cell>
        </row>
        <row r="1373">
          <cell r="A1373">
            <v>41449</v>
          </cell>
          <cell r="BF1373">
            <v>39.356416143986912</v>
          </cell>
          <cell r="BG1373">
            <v>45.468715051806292</v>
          </cell>
          <cell r="BH1373">
            <v>42.408178994289898</v>
          </cell>
          <cell r="BI1373">
            <v>30.406703917126244</v>
          </cell>
          <cell r="BJ1373">
            <v>54.409654071453552</v>
          </cell>
          <cell r="BU1373">
            <v>20.357062924223428</v>
          </cell>
          <cell r="BV1373">
            <v>29.635401891862816</v>
          </cell>
          <cell r="BW1373">
            <v>23.901518972811779</v>
          </cell>
          <cell r="BX1373">
            <v>15.713059154269443</v>
          </cell>
          <cell r="BY1373">
            <v>32.089978791354113</v>
          </cell>
        </row>
        <row r="1374">
          <cell r="A1374">
            <v>41450</v>
          </cell>
          <cell r="BF1374">
            <v>40.174523588764657</v>
          </cell>
          <cell r="BG1374">
            <v>45.468715051806292</v>
          </cell>
          <cell r="BH1374">
            <v>42.408178994289898</v>
          </cell>
          <cell r="BI1374">
            <v>30.406703917126244</v>
          </cell>
          <cell r="BJ1374">
            <v>54.409654071453552</v>
          </cell>
          <cell r="BU1374">
            <v>20.790675189967263</v>
          </cell>
          <cell r="BV1374">
            <v>29.635401891862816</v>
          </cell>
          <cell r="BW1374">
            <v>23.901518972811779</v>
          </cell>
          <cell r="BX1374">
            <v>15.713059154269443</v>
          </cell>
          <cell r="BY1374">
            <v>32.089978791354113</v>
          </cell>
        </row>
        <row r="1375">
          <cell r="A1375">
            <v>41451</v>
          </cell>
          <cell r="BF1375">
            <v>40.736290155440415</v>
          </cell>
          <cell r="BG1375">
            <v>45.468715051806292</v>
          </cell>
          <cell r="BH1375">
            <v>42.408178994289898</v>
          </cell>
          <cell r="BI1375">
            <v>30.406703917126244</v>
          </cell>
          <cell r="BJ1375">
            <v>54.409654071453552</v>
          </cell>
          <cell r="BU1375">
            <v>21.088415105346275</v>
          </cell>
          <cell r="BV1375">
            <v>29.635401891862816</v>
          </cell>
          <cell r="BW1375">
            <v>23.901518972811779</v>
          </cell>
          <cell r="BX1375">
            <v>15.713059154269443</v>
          </cell>
          <cell r="BY1375">
            <v>32.089978791354113</v>
          </cell>
        </row>
        <row r="1376">
          <cell r="A1376">
            <v>41452</v>
          </cell>
          <cell r="BF1376">
            <v>40.878100354513229</v>
          </cell>
          <cell r="BG1376">
            <v>45.468715051806292</v>
          </cell>
          <cell r="BH1376">
            <v>42.408178994289898</v>
          </cell>
          <cell r="BI1376">
            <v>30.406703917126244</v>
          </cell>
          <cell r="BJ1376">
            <v>54.409654071453552</v>
          </cell>
          <cell r="BU1376">
            <v>21.163567654376365</v>
          </cell>
          <cell r="BV1376">
            <v>29.635401891862816</v>
          </cell>
          <cell r="BW1376">
            <v>23.901518972811779</v>
          </cell>
          <cell r="BX1376">
            <v>15.713059154269443</v>
          </cell>
          <cell r="BY1376">
            <v>32.089978791354113</v>
          </cell>
        </row>
        <row r="1377">
          <cell r="A1377">
            <v>41453</v>
          </cell>
          <cell r="BF1377">
            <v>40.836814793796989</v>
          </cell>
          <cell r="BG1377">
            <v>45.468715051806292</v>
          </cell>
          <cell r="BH1377">
            <v>42.408178994289898</v>
          </cell>
          <cell r="BI1377">
            <v>30.406703917126244</v>
          </cell>
          <cell r="BJ1377">
            <v>54.409654071453552</v>
          </cell>
          <cell r="BU1377">
            <v>21.06175162496352</v>
          </cell>
          <cell r="BV1377">
            <v>29.635401891862816</v>
          </cell>
          <cell r="BW1377">
            <v>23.901518972811779</v>
          </cell>
          <cell r="BX1377">
            <v>15.713059154269443</v>
          </cell>
          <cell r="BY1377">
            <v>32.089978791354113</v>
          </cell>
        </row>
        <row r="1378">
          <cell r="A1378">
            <v>41456</v>
          </cell>
          <cell r="BF1378">
            <v>41.042036658201269</v>
          </cell>
          <cell r="BG1378">
            <v>45.468715051806292</v>
          </cell>
          <cell r="BH1378">
            <v>42.408178994289898</v>
          </cell>
          <cell r="BI1378">
            <v>30.406703917126244</v>
          </cell>
          <cell r="BJ1378">
            <v>54.409654071453552</v>
          </cell>
          <cell r="BU1378">
            <v>20.762562734608583</v>
          </cell>
          <cell r="BV1378">
            <v>29.635401891862816</v>
          </cell>
          <cell r="BW1378">
            <v>23.901518972811779</v>
          </cell>
          <cell r="BX1378">
            <v>15.713059154269443</v>
          </cell>
          <cell r="BY1378">
            <v>32.089978791354113</v>
          </cell>
        </row>
        <row r="1379">
          <cell r="A1379">
            <v>41457</v>
          </cell>
          <cell r="BF1379">
            <v>39.55830218152817</v>
          </cell>
          <cell r="BG1379">
            <v>45.468715051806292</v>
          </cell>
          <cell r="BH1379">
            <v>42.408178994289898</v>
          </cell>
          <cell r="BI1379">
            <v>30.406703917126244</v>
          </cell>
          <cell r="BJ1379">
            <v>54.409654071453552</v>
          </cell>
          <cell r="BU1379">
            <v>20.805003552393764</v>
          </cell>
          <cell r="BV1379">
            <v>29.635401891862816</v>
          </cell>
          <cell r="BW1379">
            <v>23.901518972811779</v>
          </cell>
          <cell r="BX1379">
            <v>15.713059154269443</v>
          </cell>
          <cell r="BY1379">
            <v>32.089978791354113</v>
          </cell>
        </row>
        <row r="1380">
          <cell r="A1380">
            <v>41458</v>
          </cell>
          <cell r="BF1380">
            <v>39.515209264749281</v>
          </cell>
          <cell r="BG1380">
            <v>45.468715051806292</v>
          </cell>
          <cell r="BH1380">
            <v>42.408178994289898</v>
          </cell>
          <cell r="BI1380">
            <v>30.406703917126244</v>
          </cell>
          <cell r="BJ1380">
            <v>54.409654071453552</v>
          </cell>
          <cell r="BU1380">
            <v>20.805003552393764</v>
          </cell>
          <cell r="BV1380">
            <v>29.635401891862816</v>
          </cell>
          <cell r="BW1380">
            <v>23.901518972811779</v>
          </cell>
          <cell r="BX1380">
            <v>15.713059154269443</v>
          </cell>
          <cell r="BY1380">
            <v>32.089978791354113</v>
          </cell>
        </row>
        <row r="1381">
          <cell r="A1381">
            <v>41459</v>
          </cell>
          <cell r="BF1381">
            <v>39.515209264749281</v>
          </cell>
          <cell r="BG1381">
            <v>45.468715051806292</v>
          </cell>
          <cell r="BH1381">
            <v>42.408178994289898</v>
          </cell>
          <cell r="BI1381">
            <v>30.406703917126244</v>
          </cell>
          <cell r="BJ1381">
            <v>54.409654071453552</v>
          </cell>
          <cell r="BU1381">
            <v>20.805003552393764</v>
          </cell>
          <cell r="BV1381">
            <v>29.635401891862816</v>
          </cell>
          <cell r="BW1381">
            <v>23.901518972811779</v>
          </cell>
          <cell r="BX1381">
            <v>15.713059154269443</v>
          </cell>
          <cell r="BY1381">
            <v>32.089978791354113</v>
          </cell>
        </row>
        <row r="1382">
          <cell r="A1382">
            <v>41460</v>
          </cell>
          <cell r="BF1382">
            <v>40.546599370278422</v>
          </cell>
          <cell r="BG1382">
            <v>45.468715051806292</v>
          </cell>
          <cell r="BH1382">
            <v>42.408178994289898</v>
          </cell>
          <cell r="BI1382">
            <v>30.406703917126244</v>
          </cell>
          <cell r="BJ1382">
            <v>54.409654071453552</v>
          </cell>
          <cell r="BU1382">
            <v>20.805003552393764</v>
          </cell>
          <cell r="BV1382">
            <v>29.635401891862816</v>
          </cell>
          <cell r="BW1382">
            <v>23.901518972811779</v>
          </cell>
          <cell r="BX1382">
            <v>15.713059154269443</v>
          </cell>
          <cell r="BY1382">
            <v>32.089978791354113</v>
          </cell>
        </row>
        <row r="1383">
          <cell r="A1383">
            <v>41463</v>
          </cell>
          <cell r="BF1383">
            <v>40.034912913415468</v>
          </cell>
          <cell r="BG1383">
            <v>45.468715051806292</v>
          </cell>
          <cell r="BH1383">
            <v>42.408178994289898</v>
          </cell>
          <cell r="BI1383">
            <v>30.406703917126244</v>
          </cell>
          <cell r="BJ1383">
            <v>54.409654071453552</v>
          </cell>
          <cell r="BU1383">
            <v>20.805003552393764</v>
          </cell>
          <cell r="BV1383">
            <v>29.635401891862816</v>
          </cell>
          <cell r="BW1383">
            <v>23.901518972811779</v>
          </cell>
          <cell r="BX1383">
            <v>15.713059154269443</v>
          </cell>
          <cell r="BY1383">
            <v>32.089978791354113</v>
          </cell>
        </row>
        <row r="1384">
          <cell r="A1384">
            <v>41464</v>
          </cell>
          <cell r="BF1384">
            <v>39.878719633030521</v>
          </cell>
          <cell r="BG1384">
            <v>45.468715051806292</v>
          </cell>
          <cell r="BH1384">
            <v>42.408178994289898</v>
          </cell>
          <cell r="BI1384">
            <v>30.406703917126244</v>
          </cell>
          <cell r="BJ1384">
            <v>54.409654071453552</v>
          </cell>
          <cell r="BU1384">
            <v>20.805003552393764</v>
          </cell>
          <cell r="BV1384">
            <v>29.635401891862816</v>
          </cell>
          <cell r="BW1384">
            <v>23.901518972811779</v>
          </cell>
          <cell r="BX1384">
            <v>15.713059154269443</v>
          </cell>
          <cell r="BY1384">
            <v>32.089978791354113</v>
          </cell>
        </row>
        <row r="1385">
          <cell r="A1385">
            <v>41465</v>
          </cell>
          <cell r="BF1385">
            <v>40.220992319098315</v>
          </cell>
          <cell r="BG1385">
            <v>45.468715051806292</v>
          </cell>
          <cell r="BH1385">
            <v>42.408178994289898</v>
          </cell>
          <cell r="BI1385">
            <v>30.406703917126244</v>
          </cell>
          <cell r="BJ1385">
            <v>54.409654071453552</v>
          </cell>
          <cell r="BU1385">
            <v>20.963256662551935</v>
          </cell>
          <cell r="BV1385">
            <v>29.635401891862816</v>
          </cell>
          <cell r="BW1385">
            <v>23.901518972811779</v>
          </cell>
          <cell r="BX1385">
            <v>15.713059154269443</v>
          </cell>
          <cell r="BY1385">
            <v>32.089978791354113</v>
          </cell>
        </row>
        <row r="1386">
          <cell r="A1386">
            <v>41466</v>
          </cell>
          <cell r="BF1386">
            <v>40.964829537802068</v>
          </cell>
          <cell r="BG1386">
            <v>45.468715051806292</v>
          </cell>
          <cell r="BH1386">
            <v>42.408178994289898</v>
          </cell>
          <cell r="BI1386">
            <v>30.406703917126244</v>
          </cell>
          <cell r="BJ1386">
            <v>54.409654071453552</v>
          </cell>
          <cell r="BU1386">
            <v>20.963256662551935</v>
          </cell>
          <cell r="BV1386">
            <v>29.635401891862816</v>
          </cell>
          <cell r="BW1386">
            <v>23.901518972811779</v>
          </cell>
          <cell r="BX1386">
            <v>15.713059154269443</v>
          </cell>
          <cell r="BY1386">
            <v>32.089978791354113</v>
          </cell>
        </row>
        <row r="1387">
          <cell r="A1387">
            <v>41467</v>
          </cell>
          <cell r="BF1387">
            <v>40.368197152042605</v>
          </cell>
          <cell r="BG1387">
            <v>45.468715051806292</v>
          </cell>
          <cell r="BH1387">
            <v>42.408178994289898</v>
          </cell>
          <cell r="BI1387">
            <v>30.406703917126244</v>
          </cell>
          <cell r="BJ1387">
            <v>54.409654071453552</v>
          </cell>
          <cell r="BU1387">
            <v>20.963256662551935</v>
          </cell>
          <cell r="BV1387">
            <v>29.635401891862816</v>
          </cell>
          <cell r="BW1387">
            <v>23.901518972811779</v>
          </cell>
          <cell r="BX1387">
            <v>15.713059154269443</v>
          </cell>
          <cell r="BY1387">
            <v>32.089978791354113</v>
          </cell>
        </row>
        <row r="1388">
          <cell r="A1388">
            <v>41470</v>
          </cell>
          <cell r="BF1388">
            <v>40.721217042547451</v>
          </cell>
          <cell r="BG1388">
            <v>45.468715051806292</v>
          </cell>
          <cell r="BH1388">
            <v>42.408178994289898</v>
          </cell>
          <cell r="BI1388">
            <v>30.406703917126244</v>
          </cell>
          <cell r="BJ1388">
            <v>54.409654071453552</v>
          </cell>
          <cell r="BU1388">
            <v>20.926158790839963</v>
          </cell>
          <cell r="BV1388">
            <v>29.635401891862816</v>
          </cell>
          <cell r="BW1388">
            <v>23.901518972811779</v>
          </cell>
          <cell r="BX1388">
            <v>15.713059154269443</v>
          </cell>
          <cell r="BY1388">
            <v>32.089978791354113</v>
          </cell>
        </row>
        <row r="1389">
          <cell r="A1389">
            <v>41471</v>
          </cell>
          <cell r="BF1389">
            <v>39.845020181352858</v>
          </cell>
          <cell r="BG1389">
            <v>45.468715051806292</v>
          </cell>
          <cell r="BH1389">
            <v>42.408178994289898</v>
          </cell>
          <cell r="BI1389">
            <v>30.406703917126244</v>
          </cell>
          <cell r="BJ1389">
            <v>54.409654071453552</v>
          </cell>
          <cell r="BU1389">
            <v>20.932666637251472</v>
          </cell>
          <cell r="BV1389">
            <v>29.635401891862816</v>
          </cell>
          <cell r="BW1389">
            <v>23.901518972811779</v>
          </cell>
          <cell r="BX1389">
            <v>15.713059154269443</v>
          </cell>
          <cell r="BY1389">
            <v>32.089978791354113</v>
          </cell>
        </row>
        <row r="1390">
          <cell r="A1390">
            <v>41472</v>
          </cell>
          <cell r="BF1390">
            <v>40.109246212462089</v>
          </cell>
          <cell r="BG1390">
            <v>45.468715051806292</v>
          </cell>
          <cell r="BH1390">
            <v>42.408178994289898</v>
          </cell>
          <cell r="BI1390">
            <v>30.406703917126244</v>
          </cell>
          <cell r="BJ1390">
            <v>54.409654071453552</v>
          </cell>
          <cell r="BU1390">
            <v>20.932666637251472</v>
          </cell>
          <cell r="BV1390">
            <v>29.635401891862816</v>
          </cell>
          <cell r="BW1390">
            <v>23.901518972811779</v>
          </cell>
          <cell r="BX1390">
            <v>15.713059154269443</v>
          </cell>
          <cell r="BY1390">
            <v>32.089978791354113</v>
          </cell>
        </row>
        <row r="1391">
          <cell r="A1391">
            <v>41473</v>
          </cell>
          <cell r="BF1391">
            <v>40.364661966142101</v>
          </cell>
          <cell r="BG1391">
            <v>45.468715051806292</v>
          </cell>
          <cell r="BH1391">
            <v>42.408178994289898</v>
          </cell>
          <cell r="BI1391">
            <v>30.406703917126244</v>
          </cell>
          <cell r="BJ1391">
            <v>54.409654071453552</v>
          </cell>
          <cell r="BU1391">
            <v>20.911768389134206</v>
          </cell>
          <cell r="BV1391">
            <v>29.635401891862816</v>
          </cell>
          <cell r="BW1391">
            <v>23.901518972811779</v>
          </cell>
          <cell r="BX1391">
            <v>15.713059154269443</v>
          </cell>
          <cell r="BY1391">
            <v>32.089978791354113</v>
          </cell>
        </row>
        <row r="1392">
          <cell r="A1392">
            <v>41474</v>
          </cell>
          <cell r="BF1392">
            <v>40.046183258047357</v>
          </cell>
          <cell r="BG1392">
            <v>45.468715051806292</v>
          </cell>
          <cell r="BH1392">
            <v>42.408178994289898</v>
          </cell>
          <cell r="BI1392">
            <v>30.406703917126244</v>
          </cell>
          <cell r="BJ1392">
            <v>54.409654071453552</v>
          </cell>
          <cell r="BU1392">
            <v>20.618766289884697</v>
          </cell>
          <cell r="BV1392">
            <v>29.635401891862816</v>
          </cell>
          <cell r="BW1392">
            <v>23.901518972811779</v>
          </cell>
          <cell r="BX1392">
            <v>15.713059154269443</v>
          </cell>
          <cell r="BY1392">
            <v>32.089978791354113</v>
          </cell>
        </row>
        <row r="1393">
          <cell r="A1393">
            <v>41477</v>
          </cell>
          <cell r="BF1393">
            <v>40.272523149430661</v>
          </cell>
          <cell r="BG1393">
            <v>45.468715051806292</v>
          </cell>
          <cell r="BH1393">
            <v>42.408178994289898</v>
          </cell>
          <cell r="BI1393">
            <v>30.406703917126244</v>
          </cell>
          <cell r="BJ1393">
            <v>54.409654071453552</v>
          </cell>
          <cell r="BU1393">
            <v>20.738909827720935</v>
          </cell>
          <cell r="BV1393">
            <v>29.635401891862816</v>
          </cell>
          <cell r="BW1393">
            <v>23.901518972811779</v>
          </cell>
          <cell r="BX1393">
            <v>15.713059154269443</v>
          </cell>
          <cell r="BY1393">
            <v>32.089978791354113</v>
          </cell>
        </row>
        <row r="1394">
          <cell r="A1394">
            <v>41478</v>
          </cell>
          <cell r="BF1394">
            <v>39.755169129251243</v>
          </cell>
          <cell r="BG1394">
            <v>45.468715051806292</v>
          </cell>
          <cell r="BH1394">
            <v>42.408178994289898</v>
          </cell>
          <cell r="BI1394">
            <v>30.406703917126244</v>
          </cell>
          <cell r="BJ1394">
            <v>54.409654071453552</v>
          </cell>
          <cell r="BU1394">
            <v>20.464293497043403</v>
          </cell>
          <cell r="BV1394">
            <v>29.635401891862816</v>
          </cell>
          <cell r="BW1394">
            <v>23.901518972811779</v>
          </cell>
          <cell r="BX1394">
            <v>15.713059154269443</v>
          </cell>
          <cell r="BY1394">
            <v>32.089978791354113</v>
          </cell>
        </row>
        <row r="1395">
          <cell r="A1395">
            <v>41479</v>
          </cell>
          <cell r="BF1395">
            <v>43.082154952995523</v>
          </cell>
          <cell r="BG1395">
            <v>45.468715051806292</v>
          </cell>
          <cell r="BH1395">
            <v>42.408178994289898</v>
          </cell>
          <cell r="BI1395">
            <v>30.406703917126244</v>
          </cell>
          <cell r="BJ1395">
            <v>54.409654071453552</v>
          </cell>
          <cell r="BU1395">
            <v>22.438857840623065</v>
          </cell>
          <cell r="BV1395">
            <v>29.635401891862816</v>
          </cell>
          <cell r="BW1395">
            <v>23.901518972811779</v>
          </cell>
          <cell r="BX1395">
            <v>15.713059154269443</v>
          </cell>
          <cell r="BY1395">
            <v>32.089978791354113</v>
          </cell>
        </row>
        <row r="1396">
          <cell r="A1396">
            <v>41480</v>
          </cell>
          <cell r="BF1396">
            <v>42.425772025713492</v>
          </cell>
          <cell r="BG1396">
            <v>45.468715051806292</v>
          </cell>
          <cell r="BH1396">
            <v>42.408178994289898</v>
          </cell>
          <cell r="BI1396">
            <v>30.406703917126244</v>
          </cell>
          <cell r="BJ1396">
            <v>54.409654071453552</v>
          </cell>
          <cell r="BU1396">
            <v>21.859161844932679</v>
          </cell>
          <cell r="BV1396">
            <v>29.635401891862816</v>
          </cell>
          <cell r="BW1396">
            <v>23.901518972811779</v>
          </cell>
          <cell r="BX1396">
            <v>15.713059154269443</v>
          </cell>
          <cell r="BY1396">
            <v>32.089978791354113</v>
          </cell>
        </row>
        <row r="1397">
          <cell r="A1397">
            <v>41481</v>
          </cell>
          <cell r="BF1397">
            <v>42.72794013680803</v>
          </cell>
          <cell r="BG1397">
            <v>45.468715051806292</v>
          </cell>
          <cell r="BH1397">
            <v>42.408178994289898</v>
          </cell>
          <cell r="BI1397">
            <v>30.406703917126244</v>
          </cell>
          <cell r="BJ1397">
            <v>54.409654071453552</v>
          </cell>
          <cell r="BU1397">
            <v>22.155521663914577</v>
          </cell>
          <cell r="BV1397">
            <v>29.635401891862816</v>
          </cell>
          <cell r="BW1397">
            <v>23.901518972811779</v>
          </cell>
          <cell r="BX1397">
            <v>15.713059154269443</v>
          </cell>
          <cell r="BY1397">
            <v>32.089978791354113</v>
          </cell>
        </row>
        <row r="1398">
          <cell r="A1398">
            <v>41484</v>
          </cell>
          <cell r="BF1398">
            <v>42.444629298080564</v>
          </cell>
          <cell r="BG1398">
            <v>45.468715051806292</v>
          </cell>
          <cell r="BH1398">
            <v>42.408178994289898</v>
          </cell>
          <cell r="BI1398">
            <v>30.406703917126244</v>
          </cell>
          <cell r="BJ1398">
            <v>54.409654071453552</v>
          </cell>
          <cell r="BU1398">
            <v>22.004491925860375</v>
          </cell>
          <cell r="BV1398">
            <v>29.635401891862816</v>
          </cell>
          <cell r="BW1398">
            <v>23.901518972811779</v>
          </cell>
          <cell r="BX1398">
            <v>15.713059154269443</v>
          </cell>
          <cell r="BY1398">
            <v>32.089978791354113</v>
          </cell>
        </row>
        <row r="1399">
          <cell r="A1399">
            <v>41485</v>
          </cell>
          <cell r="BF1399">
            <v>41.878000800103706</v>
          </cell>
          <cell r="BG1399">
            <v>45.468715051806292</v>
          </cell>
          <cell r="BH1399">
            <v>42.408178994289898</v>
          </cell>
          <cell r="BI1399">
            <v>30.406703917126244</v>
          </cell>
          <cell r="BJ1399">
            <v>54.409654071453552</v>
          </cell>
          <cell r="BU1399">
            <v>21.702456365960298</v>
          </cell>
          <cell r="BV1399">
            <v>29.635401891862816</v>
          </cell>
          <cell r="BW1399">
            <v>23.901518972811779</v>
          </cell>
          <cell r="BX1399">
            <v>15.713059154269443</v>
          </cell>
          <cell r="BY1399">
            <v>32.089978791354113</v>
          </cell>
        </row>
        <row r="1400">
          <cell r="A1400">
            <v>41486</v>
          </cell>
          <cell r="BF1400">
            <v>41.878000800103706</v>
          </cell>
          <cell r="BG1400">
            <v>45.468715051806292</v>
          </cell>
          <cell r="BH1400">
            <v>42.408178994289898</v>
          </cell>
          <cell r="BI1400">
            <v>30.406703917126244</v>
          </cell>
          <cell r="BJ1400">
            <v>54.409654071453552</v>
          </cell>
          <cell r="BU1400">
            <v>21.702456365960298</v>
          </cell>
          <cell r="BV1400">
            <v>29.635401891862816</v>
          </cell>
          <cell r="BW1400">
            <v>23.901518972811779</v>
          </cell>
          <cell r="BX1400">
            <v>15.713059154269443</v>
          </cell>
          <cell r="BY1400">
            <v>32.089978791354113</v>
          </cell>
        </row>
        <row r="1401">
          <cell r="A1401">
            <v>41487</v>
          </cell>
          <cell r="BF1401">
            <v>41.172912592852619</v>
          </cell>
          <cell r="BG1401">
            <v>45.468715051806292</v>
          </cell>
          <cell r="BH1401">
            <v>42.408178994289898</v>
          </cell>
          <cell r="BI1401">
            <v>30.406703917126244</v>
          </cell>
          <cell r="BJ1401">
            <v>54.409654071453552</v>
          </cell>
          <cell r="BU1401">
            <v>21.295845634770888</v>
          </cell>
          <cell r="BV1401">
            <v>29.635401891862816</v>
          </cell>
          <cell r="BW1401">
            <v>23.901518972811779</v>
          </cell>
          <cell r="BX1401">
            <v>15.713059154269443</v>
          </cell>
          <cell r="BY1401">
            <v>32.089978791354113</v>
          </cell>
        </row>
        <row r="1402">
          <cell r="A1402">
            <v>41488</v>
          </cell>
          <cell r="BF1402">
            <v>40.047675286317947</v>
          </cell>
          <cell r="BG1402">
            <v>45.468715051806292</v>
          </cell>
          <cell r="BH1402">
            <v>42.408178994289898</v>
          </cell>
          <cell r="BI1402">
            <v>30.406703917126244</v>
          </cell>
          <cell r="BJ1402">
            <v>54.409654071453552</v>
          </cell>
          <cell r="BU1402">
            <v>20.697490323525845</v>
          </cell>
          <cell r="BV1402">
            <v>29.635401891862816</v>
          </cell>
          <cell r="BW1402">
            <v>23.901518972811779</v>
          </cell>
          <cell r="BX1402">
            <v>15.713059154269443</v>
          </cell>
          <cell r="BY1402">
            <v>32.089978791354113</v>
          </cell>
        </row>
        <row r="1403">
          <cell r="A1403">
            <v>41491</v>
          </cell>
          <cell r="BF1403">
            <v>40.612528372289916</v>
          </cell>
          <cell r="BG1403">
            <v>45.468715051806292</v>
          </cell>
          <cell r="BH1403">
            <v>42.408178994289898</v>
          </cell>
          <cell r="BI1403">
            <v>30.406703917126244</v>
          </cell>
          <cell r="BJ1403">
            <v>54.409654071453552</v>
          </cell>
          <cell r="BU1403">
            <v>20.998049425143385</v>
          </cell>
          <cell r="BV1403">
            <v>29.635401891862816</v>
          </cell>
          <cell r="BW1403">
            <v>23.901518972811779</v>
          </cell>
          <cell r="BX1403">
            <v>15.713059154269443</v>
          </cell>
          <cell r="BY1403">
            <v>32.089978791354113</v>
          </cell>
        </row>
        <row r="1404">
          <cell r="A1404">
            <v>41492</v>
          </cell>
          <cell r="BF1404">
            <v>40.96422498704402</v>
          </cell>
          <cell r="BG1404">
            <v>45.468715051806292</v>
          </cell>
          <cell r="BH1404">
            <v>42.408178994289898</v>
          </cell>
          <cell r="BI1404">
            <v>30.406703917126244</v>
          </cell>
          <cell r="BJ1404">
            <v>54.409654071453552</v>
          </cell>
          <cell r="BU1404">
            <v>21.123952262982183</v>
          </cell>
          <cell r="BV1404">
            <v>29.635401891862816</v>
          </cell>
          <cell r="BW1404">
            <v>23.901518972811779</v>
          </cell>
          <cell r="BX1404">
            <v>15.713059154269443</v>
          </cell>
          <cell r="BY1404">
            <v>32.089978791354113</v>
          </cell>
        </row>
        <row r="1405">
          <cell r="A1405">
            <v>41493</v>
          </cell>
          <cell r="BF1405">
            <v>40.720574390880174</v>
          </cell>
          <cell r="BG1405">
            <v>45.468715051806292</v>
          </cell>
          <cell r="BH1405">
            <v>42.408178994289898</v>
          </cell>
          <cell r="BI1405">
            <v>30.406703917126244</v>
          </cell>
          <cell r="BJ1405">
            <v>54.409654071453552</v>
          </cell>
          <cell r="BU1405">
            <v>20.994685530514793</v>
          </cell>
          <cell r="BV1405">
            <v>29.635401891862816</v>
          </cell>
          <cell r="BW1405">
            <v>23.901518972811779</v>
          </cell>
          <cell r="BX1405">
            <v>15.713059154269443</v>
          </cell>
          <cell r="BY1405">
            <v>32.089978791354113</v>
          </cell>
        </row>
        <row r="1406">
          <cell r="A1406">
            <v>41494</v>
          </cell>
          <cell r="BF1406">
            <v>40.585792638676942</v>
          </cell>
          <cell r="BG1406">
            <v>45.468715051806292</v>
          </cell>
          <cell r="BH1406">
            <v>42.408178994289898</v>
          </cell>
          <cell r="BI1406">
            <v>30.406703917126244</v>
          </cell>
          <cell r="BJ1406">
            <v>54.409654071453552</v>
          </cell>
          <cell r="BU1406">
            <v>20.923173645720244</v>
          </cell>
          <cell r="BV1406">
            <v>29.635401891862816</v>
          </cell>
          <cell r="BW1406">
            <v>23.901518972811779</v>
          </cell>
          <cell r="BX1406">
            <v>15.713059154269443</v>
          </cell>
          <cell r="BY1406">
            <v>32.089978791354113</v>
          </cell>
        </row>
        <row r="1407">
          <cell r="A1407">
            <v>41495</v>
          </cell>
          <cell r="BF1407">
            <v>40.798444983520902</v>
          </cell>
          <cell r="BG1407">
            <v>45.468715051806292</v>
          </cell>
          <cell r="BH1407">
            <v>42.408178994289898</v>
          </cell>
          <cell r="BI1407">
            <v>30.406703917126244</v>
          </cell>
          <cell r="BJ1407">
            <v>54.409654071453552</v>
          </cell>
          <cell r="BU1407">
            <v>21.038693452978414</v>
          </cell>
          <cell r="BV1407">
            <v>29.635401891862816</v>
          </cell>
          <cell r="BW1407">
            <v>23.901518972811779</v>
          </cell>
          <cell r="BX1407">
            <v>15.713059154269443</v>
          </cell>
          <cell r="BY1407">
            <v>32.089978791354113</v>
          </cell>
        </row>
        <row r="1408">
          <cell r="A1408">
            <v>41498</v>
          </cell>
          <cell r="BF1408">
            <v>40.803625261765184</v>
          </cell>
          <cell r="BG1408">
            <v>45.468715051806292</v>
          </cell>
          <cell r="BH1408">
            <v>42.408178994289898</v>
          </cell>
          <cell r="BI1408">
            <v>30.406703917126244</v>
          </cell>
          <cell r="BJ1408">
            <v>54.409654071453552</v>
          </cell>
          <cell r="BU1408">
            <v>21.041450048253513</v>
          </cell>
          <cell r="BV1408">
            <v>29.635401891862816</v>
          </cell>
          <cell r="BW1408">
            <v>23.901518972811779</v>
          </cell>
          <cell r="BX1408">
            <v>15.713059154269443</v>
          </cell>
          <cell r="BY1408">
            <v>32.089978791354113</v>
          </cell>
        </row>
        <row r="1409">
          <cell r="A1409">
            <v>41499</v>
          </cell>
          <cell r="BF1409">
            <v>41.28050424001573</v>
          </cell>
          <cell r="BG1409">
            <v>45.468715051806292</v>
          </cell>
          <cell r="BH1409">
            <v>42.408178994289898</v>
          </cell>
          <cell r="BI1409">
            <v>30.406703917126244</v>
          </cell>
          <cell r="BJ1409">
            <v>54.409654071453552</v>
          </cell>
          <cell r="BU1409">
            <v>21.294487908572854</v>
          </cell>
          <cell r="BV1409">
            <v>29.635401891862816</v>
          </cell>
          <cell r="BW1409">
            <v>23.901518972811779</v>
          </cell>
          <cell r="BX1409">
            <v>15.713059154269443</v>
          </cell>
          <cell r="BY1409">
            <v>32.089978791354113</v>
          </cell>
        </row>
        <row r="1410">
          <cell r="A1410">
            <v>41500</v>
          </cell>
          <cell r="BF1410">
            <v>41.437462895696932</v>
          </cell>
          <cell r="BG1410">
            <v>45.468715051806292</v>
          </cell>
          <cell r="BH1410">
            <v>42.408178994289898</v>
          </cell>
          <cell r="BI1410">
            <v>30.406703917126244</v>
          </cell>
          <cell r="BJ1410">
            <v>54.409654071453552</v>
          </cell>
          <cell r="BU1410">
            <v>21.451490158002692</v>
          </cell>
          <cell r="BV1410">
            <v>29.635401891862816</v>
          </cell>
          <cell r="BW1410">
            <v>23.901518972811779</v>
          </cell>
          <cell r="BX1410">
            <v>15.713059154269443</v>
          </cell>
          <cell r="BY1410">
            <v>32.089978791354113</v>
          </cell>
        </row>
        <row r="1411">
          <cell r="A1411">
            <v>41501</v>
          </cell>
          <cell r="BF1411">
            <v>40.51374831344463</v>
          </cell>
          <cell r="BG1411">
            <v>45.468715051806292</v>
          </cell>
          <cell r="BH1411">
            <v>42.408178994289898</v>
          </cell>
          <cell r="BI1411">
            <v>30.406703917126244</v>
          </cell>
          <cell r="BJ1411">
            <v>54.409654071453552</v>
          </cell>
          <cell r="BU1411">
            <v>20.959633778536311</v>
          </cell>
          <cell r="BV1411">
            <v>29.635401891862816</v>
          </cell>
          <cell r="BW1411">
            <v>23.901518972811779</v>
          </cell>
          <cell r="BX1411">
            <v>15.713059154269443</v>
          </cell>
          <cell r="BY1411">
            <v>32.089978791354113</v>
          </cell>
        </row>
        <row r="1412">
          <cell r="A1412">
            <v>41502</v>
          </cell>
          <cell r="BF1412">
            <v>39.9779251983731</v>
          </cell>
          <cell r="BG1412">
            <v>45.468715051806292</v>
          </cell>
          <cell r="BH1412">
            <v>42.408178994289898</v>
          </cell>
          <cell r="BI1412">
            <v>30.406703917126244</v>
          </cell>
          <cell r="BJ1412">
            <v>54.409654071453552</v>
          </cell>
          <cell r="BU1412">
            <v>20.67391389805811</v>
          </cell>
          <cell r="BV1412">
            <v>29.635401891862816</v>
          </cell>
          <cell r="BW1412">
            <v>23.901518972811779</v>
          </cell>
          <cell r="BX1412">
            <v>15.713059154269443</v>
          </cell>
          <cell r="BY1412">
            <v>32.089978791354113</v>
          </cell>
        </row>
        <row r="1413">
          <cell r="A1413">
            <v>41505</v>
          </cell>
          <cell r="BF1413">
            <v>40.317315153899017</v>
          </cell>
          <cell r="BG1413">
            <v>45.468715051806292</v>
          </cell>
          <cell r="BH1413">
            <v>42.408178994289898</v>
          </cell>
          <cell r="BI1413">
            <v>30.406703917126244</v>
          </cell>
          <cell r="BJ1413">
            <v>54.409654071453552</v>
          </cell>
          <cell r="BU1413">
            <v>20.854628158007053</v>
          </cell>
          <cell r="BV1413">
            <v>29.635401891862816</v>
          </cell>
          <cell r="BW1413">
            <v>23.901518972811779</v>
          </cell>
          <cell r="BX1413">
            <v>15.713059154269443</v>
          </cell>
          <cell r="BY1413">
            <v>32.089978791354113</v>
          </cell>
        </row>
        <row r="1414">
          <cell r="A1414">
            <v>41506</v>
          </cell>
          <cell r="BF1414">
            <v>40.767524050111348</v>
          </cell>
          <cell r="BG1414">
            <v>45.468715051806292</v>
          </cell>
          <cell r="BH1414">
            <v>42.408178994289898</v>
          </cell>
          <cell r="BI1414">
            <v>30.406703917126244</v>
          </cell>
          <cell r="BJ1414">
            <v>54.409654071453552</v>
          </cell>
          <cell r="BU1414">
            <v>21.089509744093188</v>
          </cell>
          <cell r="BV1414">
            <v>29.635401891862816</v>
          </cell>
          <cell r="BW1414">
            <v>23.901518972811779</v>
          </cell>
          <cell r="BX1414">
            <v>15.713059154269443</v>
          </cell>
          <cell r="BY1414">
            <v>32.089978791354113</v>
          </cell>
        </row>
        <row r="1415">
          <cell r="A1415">
            <v>41507</v>
          </cell>
          <cell r="BF1415">
            <v>40.606614298571436</v>
          </cell>
          <cell r="BG1415">
            <v>45.468715051806292</v>
          </cell>
          <cell r="BH1415">
            <v>42.408178994289898</v>
          </cell>
          <cell r="BI1415">
            <v>30.406703917126244</v>
          </cell>
          <cell r="BJ1415">
            <v>54.409654071453552</v>
          </cell>
          <cell r="BU1415">
            <v>21.003845811253907</v>
          </cell>
          <cell r="BV1415">
            <v>29.635401891862816</v>
          </cell>
          <cell r="BW1415">
            <v>23.901518972811779</v>
          </cell>
          <cell r="BX1415">
            <v>15.713059154269443</v>
          </cell>
          <cell r="BY1415">
            <v>32.089978791354113</v>
          </cell>
        </row>
        <row r="1416">
          <cell r="A1416">
            <v>41508</v>
          </cell>
          <cell r="BF1416">
            <v>41.318014855765057</v>
          </cell>
          <cell r="BG1416">
            <v>45.468715051806292</v>
          </cell>
          <cell r="BH1416">
            <v>42.408178994289898</v>
          </cell>
          <cell r="BI1416">
            <v>30.406703917126244</v>
          </cell>
          <cell r="BJ1416">
            <v>54.409654071453552</v>
          </cell>
          <cell r="BU1416">
            <v>21.366651514029833</v>
          </cell>
          <cell r="BV1416">
            <v>29.635401891862816</v>
          </cell>
          <cell r="BW1416">
            <v>23.901518972811779</v>
          </cell>
          <cell r="BX1416">
            <v>15.713059154269443</v>
          </cell>
          <cell r="BY1416">
            <v>32.089978791354113</v>
          </cell>
        </row>
        <row r="1417">
          <cell r="A1417">
            <v>41509</v>
          </cell>
          <cell r="BF1417">
            <v>41.09610232140799</v>
          </cell>
          <cell r="BG1417">
            <v>45.468715051806292</v>
          </cell>
          <cell r="BH1417">
            <v>42.408178994289898</v>
          </cell>
          <cell r="BI1417">
            <v>30.406703917126244</v>
          </cell>
          <cell r="BJ1417">
            <v>54.409654071453552</v>
          </cell>
          <cell r="BU1417">
            <v>21.250875266856251</v>
          </cell>
          <cell r="BV1417">
            <v>29.635401891862816</v>
          </cell>
          <cell r="BW1417">
            <v>23.901518972811779</v>
          </cell>
          <cell r="BX1417">
            <v>15.713059154269443</v>
          </cell>
          <cell r="BY1417">
            <v>32.089978791354113</v>
          </cell>
        </row>
        <row r="1418">
          <cell r="A1418">
            <v>41512</v>
          </cell>
          <cell r="BF1418">
            <v>41.303745121744761</v>
          </cell>
          <cell r="BG1418">
            <v>45.468715051806292</v>
          </cell>
          <cell r="BH1418">
            <v>42.408178994289898</v>
          </cell>
          <cell r="BI1418">
            <v>30.406703917126244</v>
          </cell>
          <cell r="BJ1418">
            <v>54.409654071453552</v>
          </cell>
          <cell r="BU1418">
            <v>21.226636978263297</v>
          </cell>
          <cell r="BV1418">
            <v>29.635401891862816</v>
          </cell>
          <cell r="BW1418">
            <v>23.901518972811779</v>
          </cell>
          <cell r="BX1418">
            <v>15.713059154269443</v>
          </cell>
          <cell r="BY1418">
            <v>32.089978791354113</v>
          </cell>
        </row>
        <row r="1419">
          <cell r="A1419">
            <v>41513</v>
          </cell>
          <cell r="BF1419">
            <v>39.708164738391126</v>
          </cell>
          <cell r="BG1419">
            <v>45.468715051806292</v>
          </cell>
          <cell r="BH1419">
            <v>42.408178994289898</v>
          </cell>
          <cell r="BI1419">
            <v>30.406703917126244</v>
          </cell>
          <cell r="BJ1419">
            <v>54.409654071453552</v>
          </cell>
          <cell r="BU1419">
            <v>20.383169388065348</v>
          </cell>
          <cell r="BV1419">
            <v>29.635401891862816</v>
          </cell>
          <cell r="BW1419">
            <v>23.901518972811779</v>
          </cell>
          <cell r="BX1419">
            <v>15.713059154269443</v>
          </cell>
          <cell r="BY1419">
            <v>32.089978791354113</v>
          </cell>
        </row>
        <row r="1420">
          <cell r="A1420">
            <v>41514</v>
          </cell>
          <cell r="BF1420">
            <v>39.998269038166669</v>
          </cell>
          <cell r="BG1420">
            <v>45.468715051806292</v>
          </cell>
          <cell r="BH1420">
            <v>42.408178994289898</v>
          </cell>
          <cell r="BI1420">
            <v>30.406703917126244</v>
          </cell>
          <cell r="BJ1420">
            <v>54.409654071453552</v>
          </cell>
          <cell r="BU1420">
            <v>20.536531111179638</v>
          </cell>
          <cell r="BV1420">
            <v>29.635401891862816</v>
          </cell>
          <cell r="BW1420">
            <v>23.901518972811779</v>
          </cell>
          <cell r="BX1420">
            <v>15.713059154269443</v>
          </cell>
          <cell r="BY1420">
            <v>32.089978791354113</v>
          </cell>
        </row>
        <row r="1421">
          <cell r="A1421">
            <v>41515</v>
          </cell>
          <cell r="BF1421">
            <v>40.215847003975703</v>
          </cell>
          <cell r="BG1421">
            <v>45.468715051806292</v>
          </cell>
          <cell r="BH1421">
            <v>42.408178994289898</v>
          </cell>
          <cell r="BI1421">
            <v>30.406703917126244</v>
          </cell>
          <cell r="BJ1421">
            <v>54.409654071453552</v>
          </cell>
          <cell r="BU1421">
            <v>20.536531111179638</v>
          </cell>
          <cell r="BV1421">
            <v>29.635401891862816</v>
          </cell>
          <cell r="BW1421">
            <v>23.901518972811779</v>
          </cell>
          <cell r="BX1421">
            <v>15.713059154269443</v>
          </cell>
          <cell r="BY1421">
            <v>32.089978791354113</v>
          </cell>
        </row>
        <row r="1422">
          <cell r="A1422">
            <v>41516</v>
          </cell>
          <cell r="BF1422">
            <v>40.324640131242163</v>
          </cell>
          <cell r="BG1422">
            <v>45.468715051806292</v>
          </cell>
          <cell r="BH1422">
            <v>42.408178994289898</v>
          </cell>
          <cell r="BI1422">
            <v>30.406703917126244</v>
          </cell>
          <cell r="BJ1422">
            <v>54.409654071453552</v>
          </cell>
          <cell r="BU1422">
            <v>20.709053747737684</v>
          </cell>
          <cell r="BV1422">
            <v>29.635401891862816</v>
          </cell>
          <cell r="BW1422">
            <v>23.901518972811779</v>
          </cell>
          <cell r="BX1422">
            <v>15.713059154269443</v>
          </cell>
          <cell r="BY1422">
            <v>32.089978791354113</v>
          </cell>
        </row>
        <row r="1423">
          <cell r="A1423">
            <v>41519</v>
          </cell>
          <cell r="BF1423">
            <v>39.795499488752554</v>
          </cell>
          <cell r="BG1423">
            <v>45.468715051806292</v>
          </cell>
          <cell r="BH1423">
            <v>42.408178994289898</v>
          </cell>
          <cell r="BI1423">
            <v>30.406703917126244</v>
          </cell>
          <cell r="BJ1423">
            <v>54.409654071453552</v>
          </cell>
          <cell r="BU1423">
            <v>20.423832103770067</v>
          </cell>
          <cell r="BV1423">
            <v>29.635401891862816</v>
          </cell>
          <cell r="BW1423">
            <v>23.901518972811779</v>
          </cell>
          <cell r="BX1423">
            <v>15.713059154269443</v>
          </cell>
          <cell r="BY1423">
            <v>32.089978791354113</v>
          </cell>
        </row>
        <row r="1424">
          <cell r="A1424">
            <v>41520</v>
          </cell>
          <cell r="BF1424">
            <v>39.202450408997954</v>
          </cell>
          <cell r="BG1424">
            <v>45.468715051806292</v>
          </cell>
          <cell r="BH1424">
            <v>42.408178994289898</v>
          </cell>
          <cell r="BI1424">
            <v>30.406703917126244</v>
          </cell>
          <cell r="BJ1424">
            <v>54.409654071453552</v>
          </cell>
          <cell r="BU1424">
            <v>20.110539059747008</v>
          </cell>
          <cell r="BV1424">
            <v>29.635401891862816</v>
          </cell>
          <cell r="BW1424">
            <v>23.901518972811779</v>
          </cell>
          <cell r="BX1424">
            <v>15.713059154269443</v>
          </cell>
          <cell r="BY1424">
            <v>32.089978791354113</v>
          </cell>
        </row>
        <row r="1425">
          <cell r="A1425">
            <v>41521</v>
          </cell>
          <cell r="BF1425">
            <v>39.718807770961149</v>
          </cell>
          <cell r="BG1425">
            <v>45.468715051806292</v>
          </cell>
          <cell r="BH1425">
            <v>42.408178994289898</v>
          </cell>
          <cell r="BI1425">
            <v>30.406703917126244</v>
          </cell>
          <cell r="BJ1425">
            <v>54.409654071453552</v>
          </cell>
          <cell r="BU1425">
            <v>20.383317225164145</v>
          </cell>
          <cell r="BV1425">
            <v>29.635401891862816</v>
          </cell>
          <cell r="BW1425">
            <v>23.901518972811779</v>
          </cell>
          <cell r="BX1425">
            <v>15.713059154269443</v>
          </cell>
          <cell r="BY1425">
            <v>32.089978791354113</v>
          </cell>
        </row>
        <row r="1426">
          <cell r="A1426">
            <v>41522</v>
          </cell>
          <cell r="BF1426">
            <v>40.628827198364014</v>
          </cell>
          <cell r="BG1426">
            <v>45.468715051806292</v>
          </cell>
          <cell r="BH1426">
            <v>42.408178994289898</v>
          </cell>
          <cell r="BI1426">
            <v>30.406703917126244</v>
          </cell>
          <cell r="BJ1426">
            <v>54.409654071453552</v>
          </cell>
          <cell r="BU1426">
            <v>20.86405838442348</v>
          </cell>
          <cell r="BV1426">
            <v>29.635401891862816</v>
          </cell>
          <cell r="BW1426">
            <v>23.901518972811779</v>
          </cell>
          <cell r="BX1426">
            <v>15.713059154269443</v>
          </cell>
          <cell r="BY1426">
            <v>32.089978791354113</v>
          </cell>
        </row>
        <row r="1427">
          <cell r="A1427">
            <v>41523</v>
          </cell>
          <cell r="BF1427">
            <v>40.466277462957684</v>
          </cell>
          <cell r="BG1427">
            <v>45.468715051806292</v>
          </cell>
          <cell r="BH1427">
            <v>42.408178994289898</v>
          </cell>
          <cell r="BI1427">
            <v>30.406703917126244</v>
          </cell>
          <cell r="BJ1427">
            <v>54.409654071453552</v>
          </cell>
          <cell r="BU1427">
            <v>20.774941840605216</v>
          </cell>
          <cell r="BV1427">
            <v>29.635401891862816</v>
          </cell>
          <cell r="BW1427">
            <v>23.901518972811779</v>
          </cell>
          <cell r="BX1427">
            <v>15.713059154269443</v>
          </cell>
          <cell r="BY1427">
            <v>32.089978791354113</v>
          </cell>
        </row>
        <row r="1428">
          <cell r="A1428">
            <v>41526</v>
          </cell>
          <cell r="BF1428">
            <v>40.6872151330817</v>
          </cell>
          <cell r="BG1428">
            <v>45.468715051806292</v>
          </cell>
          <cell r="BH1428">
            <v>42.408178994289898</v>
          </cell>
          <cell r="BI1428">
            <v>30.406703917126244</v>
          </cell>
          <cell r="BJ1428">
            <v>54.409654071453552</v>
          </cell>
          <cell r="BU1428">
            <v>20.893232032645887</v>
          </cell>
          <cell r="BV1428">
            <v>29.635401891862816</v>
          </cell>
          <cell r="BW1428">
            <v>23.901518972811779</v>
          </cell>
          <cell r="BX1428">
            <v>15.713059154269443</v>
          </cell>
          <cell r="BY1428">
            <v>32.089978791354113</v>
          </cell>
        </row>
        <row r="1429">
          <cell r="A1429">
            <v>41527</v>
          </cell>
          <cell r="BF1429">
            <v>41.368250336490959</v>
          </cell>
          <cell r="BG1429">
            <v>45.468715051806292</v>
          </cell>
          <cell r="BH1429">
            <v>42.408178994289898</v>
          </cell>
          <cell r="BI1429">
            <v>30.406703917126244</v>
          </cell>
          <cell r="BJ1429">
            <v>54.409654071453552</v>
          </cell>
          <cell r="BU1429">
            <v>21.29482901719696</v>
          </cell>
          <cell r="BV1429">
            <v>29.635401891862816</v>
          </cell>
          <cell r="BW1429">
            <v>23.901518972811779</v>
          </cell>
          <cell r="BX1429">
            <v>15.713059154269443</v>
          </cell>
          <cell r="BY1429">
            <v>32.089978791354113</v>
          </cell>
        </row>
        <row r="1430">
          <cell r="A1430">
            <v>41528</v>
          </cell>
          <cell r="BF1430">
            <v>42.919965737662999</v>
          </cell>
          <cell r="BG1430">
            <v>45.468715051806292</v>
          </cell>
          <cell r="BH1430">
            <v>42.408178994289898</v>
          </cell>
          <cell r="BI1430">
            <v>30.406703917126244</v>
          </cell>
          <cell r="BJ1430">
            <v>54.409654071453552</v>
          </cell>
          <cell r="BU1430">
            <v>22.115280993907589</v>
          </cell>
          <cell r="BV1430">
            <v>29.635401891862816</v>
          </cell>
          <cell r="BW1430">
            <v>23.901518972811779</v>
          </cell>
          <cell r="BX1430">
            <v>15.713059154269443</v>
          </cell>
          <cell r="BY1430">
            <v>32.089978791354113</v>
          </cell>
        </row>
        <row r="1431">
          <cell r="A1431">
            <v>41529</v>
          </cell>
          <cell r="BF1431">
            <v>42.710299156226036</v>
          </cell>
          <cell r="BG1431">
            <v>45.468715051806292</v>
          </cell>
          <cell r="BH1431">
            <v>42.408178994289898</v>
          </cell>
          <cell r="BI1431">
            <v>30.406703917126244</v>
          </cell>
          <cell r="BJ1431">
            <v>54.409654071453552</v>
          </cell>
          <cell r="BU1431">
            <v>22.001895759198568</v>
          </cell>
          <cell r="BV1431">
            <v>29.635401891862816</v>
          </cell>
          <cell r="BW1431">
            <v>23.901518972811779</v>
          </cell>
          <cell r="BX1431">
            <v>15.713059154269443</v>
          </cell>
          <cell r="BY1431">
            <v>32.089978791354113</v>
          </cell>
        </row>
        <row r="1432">
          <cell r="A1432">
            <v>41530</v>
          </cell>
          <cell r="BF1432">
            <v>43.237017642546661</v>
          </cell>
          <cell r="BG1432">
            <v>45.468715051806292</v>
          </cell>
          <cell r="BH1432">
            <v>42.408178994289898</v>
          </cell>
          <cell r="BI1432">
            <v>30.406703917126244</v>
          </cell>
          <cell r="BJ1432">
            <v>54.409654071453552</v>
          </cell>
          <cell r="BU1432">
            <v>22.280631805930234</v>
          </cell>
          <cell r="BV1432">
            <v>29.635401891862816</v>
          </cell>
          <cell r="BW1432">
            <v>23.901518972811779</v>
          </cell>
          <cell r="BX1432">
            <v>15.713059154269443</v>
          </cell>
          <cell r="BY1432">
            <v>32.089978791354113</v>
          </cell>
        </row>
        <row r="1433">
          <cell r="A1433">
            <v>41533</v>
          </cell>
          <cell r="BF1433">
            <v>43.641010994630527</v>
          </cell>
          <cell r="BG1433">
            <v>45.468715051806292</v>
          </cell>
          <cell r="BH1433">
            <v>42.408178994289898</v>
          </cell>
          <cell r="BI1433">
            <v>30.406703917126244</v>
          </cell>
          <cell r="BJ1433">
            <v>54.409654071453552</v>
          </cell>
          <cell r="BU1433">
            <v>22.49442448900761</v>
          </cell>
          <cell r="BV1433">
            <v>29.635401891862816</v>
          </cell>
          <cell r="BW1433">
            <v>23.901518972811779</v>
          </cell>
          <cell r="BX1433">
            <v>15.713059154269443</v>
          </cell>
          <cell r="BY1433">
            <v>32.089978791354113</v>
          </cell>
        </row>
        <row r="1434">
          <cell r="A1434">
            <v>41534</v>
          </cell>
          <cell r="BF1434">
            <v>43.175654819739194</v>
          </cell>
          <cell r="BG1434">
            <v>45.468715051806292</v>
          </cell>
          <cell r="BH1434">
            <v>42.408178994289898</v>
          </cell>
          <cell r="BI1434">
            <v>30.406703917126244</v>
          </cell>
          <cell r="BJ1434">
            <v>54.409654071453552</v>
          </cell>
          <cell r="BU1434">
            <v>22.248158691059555</v>
          </cell>
          <cell r="BV1434">
            <v>29.635401891862816</v>
          </cell>
          <cell r="BW1434">
            <v>23.901518972811779</v>
          </cell>
          <cell r="BX1434">
            <v>15.713059154269443</v>
          </cell>
          <cell r="BY1434">
            <v>32.089978791354113</v>
          </cell>
        </row>
        <row r="1435">
          <cell r="A1435">
            <v>41535</v>
          </cell>
          <cell r="BF1435">
            <v>42.572232165686522</v>
          </cell>
          <cell r="BG1435">
            <v>45.468715051806292</v>
          </cell>
          <cell r="BH1435">
            <v>42.408178994289898</v>
          </cell>
          <cell r="BI1435">
            <v>30.406703917126244</v>
          </cell>
          <cell r="BJ1435">
            <v>54.409654071453552</v>
          </cell>
          <cell r="BU1435">
            <v>21.928828316997322</v>
          </cell>
          <cell r="BV1435">
            <v>29.635401891862816</v>
          </cell>
          <cell r="BW1435">
            <v>23.901518972811779</v>
          </cell>
          <cell r="BX1435">
            <v>15.713059154269443</v>
          </cell>
          <cell r="BY1435">
            <v>32.089978791354113</v>
          </cell>
        </row>
        <row r="1436">
          <cell r="A1436">
            <v>41536</v>
          </cell>
          <cell r="BF1436">
            <v>41.764254154947587</v>
          </cell>
          <cell r="BG1436">
            <v>45.468715051806292</v>
          </cell>
          <cell r="BH1436">
            <v>42.408178994289898</v>
          </cell>
          <cell r="BI1436">
            <v>30.406703917126244</v>
          </cell>
          <cell r="BJ1436">
            <v>54.409654071453552</v>
          </cell>
          <cell r="BU1436">
            <v>21.501247551392193</v>
          </cell>
          <cell r="BV1436">
            <v>29.635401891862816</v>
          </cell>
          <cell r="BW1436">
            <v>23.901518972811779</v>
          </cell>
          <cell r="BX1436">
            <v>15.713059154269443</v>
          </cell>
          <cell r="BY1436">
            <v>32.089978791354113</v>
          </cell>
        </row>
        <row r="1437">
          <cell r="A1437">
            <v>41537</v>
          </cell>
          <cell r="BF1437">
            <v>41.389831262520431</v>
          </cell>
          <cell r="BG1437">
            <v>45.468715051806292</v>
          </cell>
          <cell r="BH1437">
            <v>42.408178994289898</v>
          </cell>
          <cell r="BI1437">
            <v>30.406703917126244</v>
          </cell>
          <cell r="BJ1437">
            <v>54.409654071453552</v>
          </cell>
          <cell r="BU1437">
            <v>21.303691561060432</v>
          </cell>
          <cell r="BV1437">
            <v>29.635401891862816</v>
          </cell>
          <cell r="BW1437">
            <v>23.901518972811779</v>
          </cell>
          <cell r="BX1437">
            <v>15.713059154269443</v>
          </cell>
          <cell r="BY1437">
            <v>32.089978791354113</v>
          </cell>
        </row>
        <row r="1438">
          <cell r="A1438">
            <v>41540</v>
          </cell>
          <cell r="BF1438">
            <v>41.737563169487899</v>
          </cell>
          <cell r="BG1438">
            <v>45.468715051806292</v>
          </cell>
          <cell r="BH1438">
            <v>42.408178994289898</v>
          </cell>
          <cell r="BI1438">
            <v>30.406703917126244</v>
          </cell>
          <cell r="BJ1438">
            <v>54.409654071453552</v>
          </cell>
          <cell r="BU1438">
            <v>21.4877157112082</v>
          </cell>
          <cell r="BV1438">
            <v>29.635401891862816</v>
          </cell>
          <cell r="BW1438">
            <v>23.901518972811779</v>
          </cell>
          <cell r="BX1438">
            <v>15.713059154269443</v>
          </cell>
          <cell r="BY1438">
            <v>32.089978791354113</v>
          </cell>
        </row>
        <row r="1439">
          <cell r="A1439">
            <v>41541</v>
          </cell>
          <cell r="BF1439">
            <v>41.400060596685584</v>
          </cell>
          <cell r="BG1439">
            <v>45.468715051806292</v>
          </cell>
          <cell r="BH1439">
            <v>42.408178994289898</v>
          </cell>
          <cell r="BI1439">
            <v>30.406703917126244</v>
          </cell>
          <cell r="BJ1439">
            <v>54.409654071453552</v>
          </cell>
          <cell r="BU1439">
            <v>21.309105054871619</v>
          </cell>
          <cell r="BV1439">
            <v>29.635401891862816</v>
          </cell>
          <cell r="BW1439">
            <v>23.901518972811779</v>
          </cell>
          <cell r="BX1439">
            <v>15.713059154269443</v>
          </cell>
          <cell r="BY1439">
            <v>32.089978791354113</v>
          </cell>
        </row>
        <row r="1440">
          <cell r="A1440">
            <v>41542</v>
          </cell>
          <cell r="BF1440">
            <v>41.06255802388327</v>
          </cell>
          <cell r="BG1440">
            <v>45.468715051806292</v>
          </cell>
          <cell r="BH1440">
            <v>42.408178994289898</v>
          </cell>
          <cell r="BI1440">
            <v>30.406703917126244</v>
          </cell>
          <cell r="BJ1440">
            <v>54.409654071453552</v>
          </cell>
          <cell r="BU1440">
            <v>21.130494398535042</v>
          </cell>
          <cell r="BV1440">
            <v>29.635401891862816</v>
          </cell>
          <cell r="BW1440">
            <v>23.901518972811779</v>
          </cell>
          <cell r="BX1440">
            <v>15.713059154269443</v>
          </cell>
          <cell r="BY1440">
            <v>32.089978791354113</v>
          </cell>
        </row>
        <row r="1441">
          <cell r="A1441">
            <v>41543</v>
          </cell>
          <cell r="BF1441">
            <v>42.049495475063949</v>
          </cell>
          <cell r="BG1441">
            <v>45.468715051806292</v>
          </cell>
          <cell r="BH1441">
            <v>42.408178994289898</v>
          </cell>
          <cell r="BI1441">
            <v>30.406703917126244</v>
          </cell>
          <cell r="BJ1441">
            <v>54.409654071453552</v>
          </cell>
          <cell r="BU1441">
            <v>21.652794256740208</v>
          </cell>
          <cell r="BV1441">
            <v>29.635401891862816</v>
          </cell>
          <cell r="BW1441">
            <v>23.901518972811779</v>
          </cell>
          <cell r="BX1441">
            <v>15.713059154269443</v>
          </cell>
          <cell r="BY1441">
            <v>32.089978791354113</v>
          </cell>
        </row>
        <row r="1442">
          <cell r="A1442">
            <v>41544</v>
          </cell>
          <cell r="BF1442">
            <v>41.425630352547422</v>
          </cell>
          <cell r="BG1442">
            <v>45.468715051806292</v>
          </cell>
          <cell r="BH1442">
            <v>42.408178994289898</v>
          </cell>
          <cell r="BI1442">
            <v>30.406703917126244</v>
          </cell>
          <cell r="BJ1442">
            <v>54.409654071453552</v>
          </cell>
          <cell r="BU1442">
            <v>21.322636895055616</v>
          </cell>
          <cell r="BV1442">
            <v>29.635401891862816</v>
          </cell>
          <cell r="BW1442">
            <v>23.901518972811779</v>
          </cell>
          <cell r="BX1442">
            <v>15.713059154269443</v>
          </cell>
          <cell r="BY1442">
            <v>32.089978791354113</v>
          </cell>
        </row>
        <row r="1443">
          <cell r="A1443">
            <v>41547</v>
          </cell>
          <cell r="BF1443">
            <v>41.333580663265238</v>
          </cell>
          <cell r="BG1443">
            <v>45.468715051806292</v>
          </cell>
          <cell r="BH1443">
            <v>42.408178994289898</v>
          </cell>
          <cell r="BI1443">
            <v>30.406703917126244</v>
          </cell>
          <cell r="BJ1443">
            <v>54.409654071453552</v>
          </cell>
          <cell r="BU1443">
            <v>21.27392302813082</v>
          </cell>
          <cell r="BV1443">
            <v>29.635401891862816</v>
          </cell>
          <cell r="BW1443">
            <v>23.901518972811779</v>
          </cell>
          <cell r="BX1443">
            <v>15.713059154269443</v>
          </cell>
          <cell r="BY1443">
            <v>32.089978791354113</v>
          </cell>
        </row>
        <row r="1444">
          <cell r="A1444">
            <v>41548</v>
          </cell>
          <cell r="BF1444">
            <v>40.976450608123194</v>
          </cell>
          <cell r="BG1444">
            <v>45.468715051806292</v>
          </cell>
          <cell r="BH1444">
            <v>42.408178994289898</v>
          </cell>
          <cell r="BI1444">
            <v>30.406703917126244</v>
          </cell>
          <cell r="BJ1444">
            <v>54.409654071453552</v>
          </cell>
          <cell r="BU1444">
            <v>21.084949206213437</v>
          </cell>
          <cell r="BV1444">
            <v>29.635401891862816</v>
          </cell>
          <cell r="BW1444">
            <v>23.901518972811779</v>
          </cell>
          <cell r="BX1444">
            <v>15.713059154269443</v>
          </cell>
          <cell r="BY1444">
            <v>32.089978791354113</v>
          </cell>
        </row>
        <row r="1445">
          <cell r="A1445">
            <v>41549</v>
          </cell>
          <cell r="BF1445">
            <v>40.734197432939858</v>
          </cell>
          <cell r="BG1445">
            <v>45.468715051806292</v>
          </cell>
          <cell r="BH1445">
            <v>42.408178994289898</v>
          </cell>
          <cell r="BI1445">
            <v>30.406703917126244</v>
          </cell>
          <cell r="BJ1445">
            <v>54.409654071453552</v>
          </cell>
          <cell r="BU1445">
            <v>20.956793164158533</v>
          </cell>
          <cell r="BV1445">
            <v>29.635401891862816</v>
          </cell>
          <cell r="BW1445">
            <v>23.901518972811779</v>
          </cell>
          <cell r="BX1445">
            <v>15.713059154269443</v>
          </cell>
          <cell r="BY1445">
            <v>32.089978791354113</v>
          </cell>
        </row>
        <row r="1446">
          <cell r="A1446">
            <v>41550</v>
          </cell>
          <cell r="BF1446">
            <v>39.790414096564227</v>
          </cell>
          <cell r="BG1446">
            <v>45.468715051806292</v>
          </cell>
          <cell r="BH1446">
            <v>42.408178994289898</v>
          </cell>
          <cell r="BI1446">
            <v>30.406703917126244</v>
          </cell>
          <cell r="BJ1446">
            <v>54.409654071453552</v>
          </cell>
          <cell r="BU1446">
            <v>20.457515757966682</v>
          </cell>
          <cell r="BV1446">
            <v>29.635401891862816</v>
          </cell>
          <cell r="BW1446">
            <v>23.901518972811779</v>
          </cell>
          <cell r="BX1446">
            <v>15.713059154269443</v>
          </cell>
          <cell r="BY1446">
            <v>32.089978791354113</v>
          </cell>
        </row>
        <row r="1447">
          <cell r="A1447">
            <v>41551</v>
          </cell>
          <cell r="BF1447">
            <v>40.976450608123194</v>
          </cell>
          <cell r="BG1447">
            <v>45.468715051806292</v>
          </cell>
          <cell r="BH1447">
            <v>42.408178994289898</v>
          </cell>
          <cell r="BI1447">
            <v>30.406703917126244</v>
          </cell>
          <cell r="BJ1447">
            <v>54.409654071453552</v>
          </cell>
          <cell r="BU1447">
            <v>21.084949206213437</v>
          </cell>
          <cell r="BV1447">
            <v>29.635401891862816</v>
          </cell>
          <cell r="BW1447">
            <v>23.901518972811779</v>
          </cell>
          <cell r="BX1447">
            <v>15.713059154269443</v>
          </cell>
          <cell r="BY1447">
            <v>32.089978791354113</v>
          </cell>
        </row>
        <row r="1448">
          <cell r="A1448">
            <v>41554</v>
          </cell>
          <cell r="BF1448">
            <v>39.684423916311218</v>
          </cell>
          <cell r="BG1448">
            <v>45.468715051806292</v>
          </cell>
          <cell r="BH1448">
            <v>42.408178994289898</v>
          </cell>
          <cell r="BI1448">
            <v>30.406703917126244</v>
          </cell>
          <cell r="BJ1448">
            <v>54.409654071453552</v>
          </cell>
          <cell r="BU1448">
            <v>20.40144515337035</v>
          </cell>
          <cell r="BV1448">
            <v>29.635401891862816</v>
          </cell>
          <cell r="BW1448">
            <v>23.901518972811779</v>
          </cell>
          <cell r="BX1448">
            <v>15.713059154269443</v>
          </cell>
          <cell r="BY1448">
            <v>32.089978791354113</v>
          </cell>
        </row>
        <row r="1449">
          <cell r="A1449">
            <v>41555</v>
          </cell>
          <cell r="BF1449">
            <v>38.145092523823173</v>
          </cell>
          <cell r="BG1449">
            <v>45.468715051806292</v>
          </cell>
          <cell r="BH1449">
            <v>42.408178994289898</v>
          </cell>
          <cell r="BI1449">
            <v>30.406703917126244</v>
          </cell>
          <cell r="BJ1449">
            <v>54.409654071453552</v>
          </cell>
          <cell r="BU1449">
            <v>19.587112715734232</v>
          </cell>
          <cell r="BV1449">
            <v>29.635401891862816</v>
          </cell>
          <cell r="BW1449">
            <v>23.901518972811779</v>
          </cell>
          <cell r="BX1449">
            <v>15.713059154269443</v>
          </cell>
          <cell r="BY1449">
            <v>32.089978791354113</v>
          </cell>
        </row>
        <row r="1450">
          <cell r="A1450">
            <v>41556</v>
          </cell>
          <cell r="BF1450">
            <v>38.318459626455294</v>
          </cell>
          <cell r="BG1450">
            <v>45.468715051806292</v>
          </cell>
          <cell r="BH1450">
            <v>42.408178994289898</v>
          </cell>
          <cell r="BI1450">
            <v>30.406703917126244</v>
          </cell>
          <cell r="BJ1450">
            <v>54.409654071453552</v>
          </cell>
          <cell r="BU1450">
            <v>19.676106276246845</v>
          </cell>
          <cell r="BV1450">
            <v>29.635401891862816</v>
          </cell>
          <cell r="BW1450">
            <v>23.901518972811779</v>
          </cell>
          <cell r="BX1450">
            <v>15.713059154269443</v>
          </cell>
          <cell r="BY1450">
            <v>32.089978791354113</v>
          </cell>
        </row>
        <row r="1451">
          <cell r="A1451">
            <v>41557</v>
          </cell>
          <cell r="BF1451">
            <v>39.353740191251177</v>
          </cell>
          <cell r="BG1451">
            <v>45.468715051806292</v>
          </cell>
          <cell r="BH1451">
            <v>42.408178994289898</v>
          </cell>
          <cell r="BI1451">
            <v>30.406703917126244</v>
          </cell>
          <cell r="BJ1451">
            <v>54.409654071453552</v>
          </cell>
          <cell r="BU1451">
            <v>20.223705801682009</v>
          </cell>
          <cell r="BV1451">
            <v>29.635401891862816</v>
          </cell>
          <cell r="BW1451">
            <v>23.901518972811779</v>
          </cell>
          <cell r="BX1451">
            <v>15.713059154269443</v>
          </cell>
          <cell r="BY1451">
            <v>32.089978791354113</v>
          </cell>
        </row>
        <row r="1452">
          <cell r="A1452">
            <v>41558</v>
          </cell>
          <cell r="BF1452">
            <v>40.864820686684112</v>
          </cell>
          <cell r="BG1452">
            <v>45.468715051806292</v>
          </cell>
          <cell r="BH1452">
            <v>42.408178994289898</v>
          </cell>
          <cell r="BI1452">
            <v>30.406703917126244</v>
          </cell>
          <cell r="BJ1452">
            <v>54.409654071453552</v>
          </cell>
          <cell r="BU1452">
            <v>20.99833970514705</v>
          </cell>
          <cell r="BV1452">
            <v>29.635401891862816</v>
          </cell>
          <cell r="BW1452">
            <v>23.901518972811779</v>
          </cell>
          <cell r="BX1452">
            <v>15.713059154269443</v>
          </cell>
          <cell r="BY1452">
            <v>32.089978791354113</v>
          </cell>
        </row>
        <row r="1453">
          <cell r="A1453">
            <v>41561</v>
          </cell>
          <cell r="BF1453">
            <v>40.981502133615926</v>
          </cell>
          <cell r="BG1453">
            <v>45.468715051806292</v>
          </cell>
          <cell r="BH1453">
            <v>42.408178994289898</v>
          </cell>
          <cell r="BI1453">
            <v>30.406703917126244</v>
          </cell>
          <cell r="BJ1453">
            <v>54.409654071453552</v>
          </cell>
          <cell r="BU1453">
            <v>21.063851584698384</v>
          </cell>
          <cell r="BV1453">
            <v>29.635401891862816</v>
          </cell>
          <cell r="BW1453">
            <v>23.901518972811779</v>
          </cell>
          <cell r="BX1453">
            <v>15.713059154269443</v>
          </cell>
          <cell r="BY1453">
            <v>32.089978791354113</v>
          </cell>
        </row>
        <row r="1454">
          <cell r="A1454">
            <v>41562</v>
          </cell>
          <cell r="BF1454">
            <v>40.475908181286847</v>
          </cell>
          <cell r="BG1454">
            <v>45.468715051806292</v>
          </cell>
          <cell r="BH1454">
            <v>42.408178994289898</v>
          </cell>
          <cell r="BI1454">
            <v>30.406703917126244</v>
          </cell>
          <cell r="BJ1454">
            <v>54.409654071453552</v>
          </cell>
          <cell r="BU1454">
            <v>20.805617335780074</v>
          </cell>
          <cell r="BV1454">
            <v>29.635401891862816</v>
          </cell>
          <cell r="BW1454">
            <v>23.901518972811779</v>
          </cell>
          <cell r="BX1454">
            <v>15.713059154269443</v>
          </cell>
          <cell r="BY1454">
            <v>32.089978791354113</v>
          </cell>
        </row>
        <row r="1455">
          <cell r="A1455">
            <v>41563</v>
          </cell>
          <cell r="BF1455">
            <v>41.681659463553835</v>
          </cell>
          <cell r="BG1455">
            <v>45.468715051806292</v>
          </cell>
          <cell r="BH1455">
            <v>42.408178994289898</v>
          </cell>
          <cell r="BI1455">
            <v>30.406703917126244</v>
          </cell>
          <cell r="BJ1455">
            <v>54.409654071453552</v>
          </cell>
          <cell r="BU1455">
            <v>21.443842831372827</v>
          </cell>
          <cell r="BV1455">
            <v>29.635401891862816</v>
          </cell>
          <cell r="BW1455">
            <v>23.901518972811779</v>
          </cell>
          <cell r="BX1455">
            <v>15.713059154269443</v>
          </cell>
          <cell r="BY1455">
            <v>32.089978791354113</v>
          </cell>
        </row>
        <row r="1456">
          <cell r="A1456">
            <v>41564</v>
          </cell>
          <cell r="BF1456">
            <v>41.41931774994076</v>
          </cell>
          <cell r="BG1456">
            <v>45.468715051806292</v>
          </cell>
          <cell r="BH1456">
            <v>42.408178994289898</v>
          </cell>
          <cell r="BI1456">
            <v>30.406703917126244</v>
          </cell>
          <cell r="BJ1456">
            <v>54.409654071453552</v>
          </cell>
          <cell r="BU1456">
            <v>21.305152799102228</v>
          </cell>
          <cell r="BV1456">
            <v>29.635401891862816</v>
          </cell>
          <cell r="BW1456">
            <v>23.901518972811779</v>
          </cell>
          <cell r="BX1456">
            <v>15.713059154269443</v>
          </cell>
          <cell r="BY1456">
            <v>32.089978791354113</v>
          </cell>
        </row>
        <row r="1457">
          <cell r="A1457">
            <v>41565</v>
          </cell>
          <cell r="BF1457">
            <v>41.14963956794012</v>
          </cell>
          <cell r="BG1457">
            <v>45.468715051806292</v>
          </cell>
          <cell r="BH1457">
            <v>42.408178994289898</v>
          </cell>
          <cell r="BI1457">
            <v>30.406703917126244</v>
          </cell>
          <cell r="BJ1457">
            <v>54.409654071453552</v>
          </cell>
          <cell r="BU1457">
            <v>21.126458278393322</v>
          </cell>
          <cell r="BV1457">
            <v>29.635401891862816</v>
          </cell>
          <cell r="BW1457">
            <v>23.901518972811779</v>
          </cell>
          <cell r="BX1457">
            <v>15.713059154269443</v>
          </cell>
          <cell r="BY1457">
            <v>32.089978791354113</v>
          </cell>
        </row>
        <row r="1458">
          <cell r="A1458">
            <v>41568</v>
          </cell>
          <cell r="BF1458">
            <v>41.249732603237454</v>
          </cell>
          <cell r="BG1458">
            <v>45.468715051806292</v>
          </cell>
          <cell r="BH1458">
            <v>42.408178994289898</v>
          </cell>
          <cell r="BI1458">
            <v>30.406703917126244</v>
          </cell>
          <cell r="BJ1458">
            <v>54.409654071453552</v>
          </cell>
          <cell r="BU1458">
            <v>21.192901709085632</v>
          </cell>
          <cell r="BV1458">
            <v>29.635401891862816</v>
          </cell>
          <cell r="BW1458">
            <v>23.901518972811779</v>
          </cell>
          <cell r="BX1458">
            <v>15.713059154269443</v>
          </cell>
          <cell r="BY1458">
            <v>32.089978791354113</v>
          </cell>
        </row>
        <row r="1459">
          <cell r="A1459">
            <v>41569</v>
          </cell>
          <cell r="BF1459">
            <v>44.74163034117673</v>
          </cell>
          <cell r="BG1459">
            <v>45.468715051806292</v>
          </cell>
          <cell r="BH1459">
            <v>42.408178994289898</v>
          </cell>
          <cell r="BI1459">
            <v>30.406703917126244</v>
          </cell>
          <cell r="BJ1459">
            <v>54.409654071453552</v>
          </cell>
          <cell r="BU1459">
            <v>22.911719887149143</v>
          </cell>
          <cell r="BV1459">
            <v>29.635401891862816</v>
          </cell>
          <cell r="BW1459">
            <v>23.901518972811779</v>
          </cell>
          <cell r="BX1459">
            <v>15.713059154269443</v>
          </cell>
          <cell r="BY1459">
            <v>32.089978791354113</v>
          </cell>
        </row>
        <row r="1460">
          <cell r="A1460">
            <v>41570</v>
          </cell>
          <cell r="BF1460">
            <v>45.963892845317289</v>
          </cell>
          <cell r="BG1460">
            <v>45.468715051806292</v>
          </cell>
          <cell r="BH1460">
            <v>42.408178994289898</v>
          </cell>
          <cell r="BI1460">
            <v>30.406703917126244</v>
          </cell>
          <cell r="BJ1460">
            <v>54.409654071453552</v>
          </cell>
          <cell r="BU1460">
            <v>23.553436232245911</v>
          </cell>
          <cell r="BV1460">
            <v>29.635401891862816</v>
          </cell>
          <cell r="BW1460">
            <v>23.901518972811779</v>
          </cell>
          <cell r="BX1460">
            <v>15.713059154269443</v>
          </cell>
          <cell r="BY1460">
            <v>32.089978791354113</v>
          </cell>
        </row>
        <row r="1461">
          <cell r="A1461">
            <v>41571</v>
          </cell>
          <cell r="BF1461">
            <v>46.112950314678017</v>
          </cell>
          <cell r="BG1461">
            <v>45.468715051806292</v>
          </cell>
          <cell r="BH1461">
            <v>42.408178994289898</v>
          </cell>
          <cell r="BI1461">
            <v>30.406703917126244</v>
          </cell>
          <cell r="BJ1461">
            <v>54.409654071453552</v>
          </cell>
          <cell r="BU1461">
            <v>23.631694883005057</v>
          </cell>
          <cell r="BV1461">
            <v>29.635401891862816</v>
          </cell>
          <cell r="BW1461">
            <v>23.901518972811779</v>
          </cell>
          <cell r="BX1461">
            <v>15.713059154269443</v>
          </cell>
          <cell r="BY1461">
            <v>32.089978791354113</v>
          </cell>
        </row>
        <row r="1462">
          <cell r="A1462">
            <v>41572</v>
          </cell>
          <cell r="BF1462">
            <v>46.355622029485268</v>
          </cell>
          <cell r="BG1462">
            <v>45.468715051806292</v>
          </cell>
          <cell r="BH1462">
            <v>42.408178994289898</v>
          </cell>
          <cell r="BI1462">
            <v>30.406703917126244</v>
          </cell>
          <cell r="BJ1462">
            <v>54.409654071453552</v>
          </cell>
          <cell r="BU1462">
            <v>23.756906428655565</v>
          </cell>
          <cell r="BV1462">
            <v>29.635401891862816</v>
          </cell>
          <cell r="BW1462">
            <v>23.901518972811779</v>
          </cell>
          <cell r="BX1462">
            <v>15.713059154269443</v>
          </cell>
          <cell r="BY1462">
            <v>32.089978791354113</v>
          </cell>
        </row>
        <row r="1463">
          <cell r="A1463">
            <v>41575</v>
          </cell>
          <cell r="BF1463">
            <v>46.092266526214424</v>
          </cell>
          <cell r="BG1463">
            <v>45.468715051806292</v>
          </cell>
          <cell r="BH1463">
            <v>42.408178994289898</v>
          </cell>
          <cell r="BI1463">
            <v>30.406703917126244</v>
          </cell>
          <cell r="BJ1463">
            <v>54.409654071453552</v>
          </cell>
          <cell r="BU1463">
            <v>23.618651122396301</v>
          </cell>
          <cell r="BV1463">
            <v>29.635401891862816</v>
          </cell>
          <cell r="BW1463">
            <v>23.901518972811779</v>
          </cell>
          <cell r="BX1463">
            <v>15.713059154269443</v>
          </cell>
          <cell r="BY1463">
            <v>32.089978791354113</v>
          </cell>
        </row>
        <row r="1464">
          <cell r="A1464">
            <v>41576</v>
          </cell>
          <cell r="BF1464">
            <v>46.892272985889967</v>
          </cell>
          <cell r="BG1464">
            <v>45.468715051806292</v>
          </cell>
          <cell r="BH1464">
            <v>42.408178994289898</v>
          </cell>
          <cell r="BI1464">
            <v>30.406703917126244</v>
          </cell>
          <cell r="BJ1464">
            <v>54.409654071453552</v>
          </cell>
          <cell r="BU1464">
            <v>24.03863527582438</v>
          </cell>
          <cell r="BV1464">
            <v>29.635401891862816</v>
          </cell>
          <cell r="BW1464">
            <v>23.901518972811779</v>
          </cell>
          <cell r="BX1464">
            <v>15.713059154269443</v>
          </cell>
          <cell r="BY1464">
            <v>32.089978791354113</v>
          </cell>
        </row>
        <row r="1465">
          <cell r="A1465">
            <v>41577</v>
          </cell>
          <cell r="BF1465">
            <v>46.209135023389543</v>
          </cell>
          <cell r="BG1465">
            <v>45.468715051806292</v>
          </cell>
          <cell r="BH1465">
            <v>42.408178994289898</v>
          </cell>
          <cell r="BI1465">
            <v>30.406703917126244</v>
          </cell>
          <cell r="BJ1465">
            <v>54.409654071453552</v>
          </cell>
          <cell r="BU1465">
            <v>23.890297549668077</v>
          </cell>
          <cell r="BV1465">
            <v>29.635401891862816</v>
          </cell>
          <cell r="BW1465">
            <v>23.901518972811779</v>
          </cell>
          <cell r="BX1465">
            <v>15.713059154269443</v>
          </cell>
          <cell r="BY1465">
            <v>32.089978791354113</v>
          </cell>
        </row>
        <row r="1466">
          <cell r="A1466">
            <v>41578</v>
          </cell>
          <cell r="BF1466">
            <v>46.426145635089135</v>
          </cell>
          <cell r="BG1466">
            <v>45.468715051806292</v>
          </cell>
          <cell r="BH1466">
            <v>42.408178994289898</v>
          </cell>
          <cell r="BI1466">
            <v>30.406703917126244</v>
          </cell>
          <cell r="BJ1466">
            <v>54.409654071453552</v>
          </cell>
          <cell r="BU1466">
            <v>23.890297549668077</v>
          </cell>
          <cell r="BV1466">
            <v>29.635401891862816</v>
          </cell>
          <cell r="BW1466">
            <v>23.901518972811779</v>
          </cell>
          <cell r="BX1466">
            <v>15.713059154269443</v>
          </cell>
          <cell r="BY1466">
            <v>32.089978791354113</v>
          </cell>
        </row>
        <row r="1467">
          <cell r="A1467">
            <v>41579</v>
          </cell>
          <cell r="BF1467">
            <v>46.963590954742237</v>
          </cell>
          <cell r="BG1467">
            <v>45.468715051806292</v>
          </cell>
          <cell r="BH1467">
            <v>42.408178994289898</v>
          </cell>
          <cell r="BI1467">
            <v>30.406703917126244</v>
          </cell>
          <cell r="BJ1467">
            <v>54.409654071453552</v>
          </cell>
          <cell r="BU1467">
            <v>24.533291015589217</v>
          </cell>
          <cell r="BV1467">
            <v>29.635401891862816</v>
          </cell>
          <cell r="BW1467">
            <v>23.901518972811779</v>
          </cell>
          <cell r="BX1467">
            <v>15.713059154269443</v>
          </cell>
          <cell r="BY1467">
            <v>32.089978791354113</v>
          </cell>
        </row>
        <row r="1468">
          <cell r="A1468">
            <v>41582</v>
          </cell>
          <cell r="BF1468">
            <v>47.50626891108611</v>
          </cell>
          <cell r="BG1468">
            <v>45.468715051806292</v>
          </cell>
          <cell r="BH1468">
            <v>42.408178994289898</v>
          </cell>
          <cell r="BI1468">
            <v>30.406703917126244</v>
          </cell>
          <cell r="BJ1468">
            <v>54.409654071453552</v>
          </cell>
          <cell r="BU1468">
            <v>24.820784344003691</v>
          </cell>
          <cell r="BV1468">
            <v>29.635401891862816</v>
          </cell>
          <cell r="BW1468">
            <v>23.901518972811779</v>
          </cell>
          <cell r="BX1468">
            <v>15.713059154269443</v>
          </cell>
          <cell r="BY1468">
            <v>32.089978791354113</v>
          </cell>
        </row>
        <row r="1469">
          <cell r="A1469">
            <v>41583</v>
          </cell>
          <cell r="BF1469">
            <v>46.829147517071512</v>
          </cell>
          <cell r="BG1469">
            <v>45.468715051806292</v>
          </cell>
          <cell r="BH1469">
            <v>42.408178994289898</v>
          </cell>
          <cell r="BI1469">
            <v>30.406703917126244</v>
          </cell>
          <cell r="BJ1469">
            <v>54.409654071453552</v>
          </cell>
          <cell r="BU1469">
            <v>24.475846589355559</v>
          </cell>
          <cell r="BV1469">
            <v>29.635401891862816</v>
          </cell>
          <cell r="BW1469">
            <v>23.901518972811779</v>
          </cell>
          <cell r="BX1469">
            <v>15.713059154269443</v>
          </cell>
          <cell r="BY1469">
            <v>32.089978791354113</v>
          </cell>
        </row>
        <row r="1470">
          <cell r="A1470">
            <v>41584</v>
          </cell>
          <cell r="BF1470">
            <v>46.328673697368288</v>
          </cell>
          <cell r="BG1470">
            <v>45.468715051806292</v>
          </cell>
          <cell r="BH1470">
            <v>42.408178994289898</v>
          </cell>
          <cell r="BI1470">
            <v>30.406703917126244</v>
          </cell>
          <cell r="BJ1470">
            <v>54.409654071453552</v>
          </cell>
          <cell r="BU1470">
            <v>24.210562305789082</v>
          </cell>
          <cell r="BV1470">
            <v>29.635401891862816</v>
          </cell>
          <cell r="BW1470">
            <v>23.901518972811779</v>
          </cell>
          <cell r="BX1470">
            <v>15.713059154269443</v>
          </cell>
          <cell r="BY1470">
            <v>32.089978791354113</v>
          </cell>
        </row>
        <row r="1471">
          <cell r="A1471">
            <v>41585</v>
          </cell>
          <cell r="BF1471">
            <v>45.627017536403635</v>
          </cell>
          <cell r="BG1471">
            <v>45.468715051806292</v>
          </cell>
          <cell r="BH1471">
            <v>42.408178994289898</v>
          </cell>
          <cell r="BI1471">
            <v>30.406703917126244</v>
          </cell>
          <cell r="BJ1471">
            <v>54.409654071453552</v>
          </cell>
          <cell r="BU1471">
            <v>23.838638051925237</v>
          </cell>
          <cell r="BV1471">
            <v>29.635401891862816</v>
          </cell>
          <cell r="BW1471">
            <v>23.901518972811779</v>
          </cell>
          <cell r="BX1471">
            <v>15.713059154269443</v>
          </cell>
          <cell r="BY1471">
            <v>32.089978791354113</v>
          </cell>
        </row>
        <row r="1472">
          <cell r="A1472">
            <v>41586</v>
          </cell>
          <cell r="BF1472">
            <v>47.128453715490288</v>
          </cell>
          <cell r="BG1472">
            <v>45.468715051806292</v>
          </cell>
          <cell r="BH1472">
            <v>42.408178994289898</v>
          </cell>
          <cell r="BI1472">
            <v>30.406703917126244</v>
          </cell>
          <cell r="BJ1472">
            <v>54.409654071453552</v>
          </cell>
          <cell r="BU1472">
            <v>24.634498705187738</v>
          </cell>
          <cell r="BV1472">
            <v>29.635401891862816</v>
          </cell>
          <cell r="BW1472">
            <v>23.901518972811779</v>
          </cell>
          <cell r="BX1472">
            <v>15.713059154269443</v>
          </cell>
          <cell r="BY1472">
            <v>32.089978791354113</v>
          </cell>
        </row>
        <row r="1473">
          <cell r="A1473">
            <v>41589</v>
          </cell>
          <cell r="BF1473">
            <v>47.201208815476612</v>
          </cell>
          <cell r="BG1473">
            <v>45.468715051806292</v>
          </cell>
          <cell r="BH1473">
            <v>42.408178994289898</v>
          </cell>
          <cell r="BI1473">
            <v>30.406703917126244</v>
          </cell>
          <cell r="BJ1473">
            <v>54.409654071453552</v>
          </cell>
          <cell r="BU1473">
            <v>24.673513861325226</v>
          </cell>
          <cell r="BV1473">
            <v>29.635401891862816</v>
          </cell>
          <cell r="BW1473">
            <v>23.901518972811779</v>
          </cell>
          <cell r="BX1473">
            <v>15.713059154269443</v>
          </cell>
          <cell r="BY1473">
            <v>32.089978791354113</v>
          </cell>
        </row>
        <row r="1474">
          <cell r="A1474">
            <v>41590</v>
          </cell>
          <cell r="BF1474">
            <v>47.358215643787545</v>
          </cell>
          <cell r="BG1474">
            <v>45.468715051806292</v>
          </cell>
          <cell r="BH1474">
            <v>42.408178994289898</v>
          </cell>
          <cell r="BI1474">
            <v>30.406703917126244</v>
          </cell>
          <cell r="BJ1474">
            <v>54.409654071453552</v>
          </cell>
          <cell r="BU1474">
            <v>24.756739380180125</v>
          </cell>
          <cell r="BV1474">
            <v>29.635401891862816</v>
          </cell>
          <cell r="BW1474">
            <v>23.901518972811779</v>
          </cell>
          <cell r="BX1474">
            <v>15.713059154269443</v>
          </cell>
          <cell r="BY1474">
            <v>32.089978791354113</v>
          </cell>
        </row>
        <row r="1475">
          <cell r="A1475">
            <v>41591</v>
          </cell>
          <cell r="BF1475">
            <v>46.764524512414049</v>
          </cell>
          <cell r="BG1475">
            <v>45.468715051806292</v>
          </cell>
          <cell r="BH1475">
            <v>42.408178994289898</v>
          </cell>
          <cell r="BI1475">
            <v>30.406703917126244</v>
          </cell>
          <cell r="BJ1475">
            <v>54.409654071453552</v>
          </cell>
          <cell r="BU1475">
            <v>24.442038083557154</v>
          </cell>
          <cell r="BV1475">
            <v>29.635401891862816</v>
          </cell>
          <cell r="BW1475">
            <v>23.901518972811779</v>
          </cell>
          <cell r="BX1475">
            <v>15.713059154269443</v>
          </cell>
          <cell r="BY1475">
            <v>32.089978791354113</v>
          </cell>
        </row>
        <row r="1476">
          <cell r="A1476">
            <v>41592</v>
          </cell>
          <cell r="BF1476">
            <v>46.170826021184489</v>
          </cell>
          <cell r="BG1476">
            <v>45.468715051806292</v>
          </cell>
          <cell r="BH1476">
            <v>42.408178994289898</v>
          </cell>
          <cell r="BI1476">
            <v>30.406703917126244</v>
          </cell>
          <cell r="BJ1476">
            <v>54.409654071453552</v>
          </cell>
          <cell r="BU1476">
            <v>24.127332885652649</v>
          </cell>
          <cell r="BV1476">
            <v>29.635401891862816</v>
          </cell>
          <cell r="BW1476">
            <v>23.901518972811779</v>
          </cell>
          <cell r="BX1476">
            <v>15.713059154269443</v>
          </cell>
          <cell r="BY1476">
            <v>32.089978791354113</v>
          </cell>
        </row>
        <row r="1477">
          <cell r="A1477">
            <v>41593</v>
          </cell>
          <cell r="BF1477">
            <v>45.892600290400779</v>
          </cell>
          <cell r="BG1477">
            <v>45.468715051806292</v>
          </cell>
          <cell r="BH1477">
            <v>42.408178994289898</v>
          </cell>
          <cell r="BI1477">
            <v>30.406703917126244</v>
          </cell>
          <cell r="BJ1477">
            <v>54.409654071453552</v>
          </cell>
          <cell r="BU1477">
            <v>23.970627131731963</v>
          </cell>
          <cell r="BV1477">
            <v>29.635401891862816</v>
          </cell>
          <cell r="BW1477">
            <v>23.901518972811779</v>
          </cell>
          <cell r="BX1477">
            <v>15.713059154269443</v>
          </cell>
          <cell r="BY1477">
            <v>32.089978791354113</v>
          </cell>
        </row>
        <row r="1478">
          <cell r="A1478">
            <v>41596</v>
          </cell>
          <cell r="BF1478">
            <v>45.190934661642721</v>
          </cell>
          <cell r="BG1478">
            <v>45.468715051806292</v>
          </cell>
          <cell r="BH1478">
            <v>42.408178994289898</v>
          </cell>
          <cell r="BI1478">
            <v>30.406703917126244</v>
          </cell>
          <cell r="BJ1478">
            <v>54.409654071453552</v>
          </cell>
          <cell r="BU1478">
            <v>23.598834082113591</v>
          </cell>
          <cell r="BV1478">
            <v>29.635401891862816</v>
          </cell>
          <cell r="BW1478">
            <v>23.901518972811779</v>
          </cell>
          <cell r="BX1478">
            <v>15.713059154269443</v>
          </cell>
          <cell r="BY1478">
            <v>32.089978791354113</v>
          </cell>
        </row>
        <row r="1479">
          <cell r="A1479">
            <v>41597</v>
          </cell>
          <cell r="BF1479">
            <v>44.8111056612331</v>
          </cell>
          <cell r="BG1479">
            <v>45.468715051806292</v>
          </cell>
          <cell r="BH1479">
            <v>42.408178994289898</v>
          </cell>
          <cell r="BI1479">
            <v>30.406703917126244</v>
          </cell>
          <cell r="BJ1479">
            <v>54.409654071453552</v>
          </cell>
          <cell r="BU1479">
            <v>23.40477250770498</v>
          </cell>
          <cell r="BV1479">
            <v>29.635401891862816</v>
          </cell>
          <cell r="BW1479">
            <v>23.901518972811779</v>
          </cell>
          <cell r="BX1479">
            <v>15.713059154269443</v>
          </cell>
          <cell r="BY1479">
            <v>32.089978791354113</v>
          </cell>
        </row>
        <row r="1480">
          <cell r="A1480">
            <v>41598</v>
          </cell>
          <cell r="BF1480">
            <v>45.272166687925576</v>
          </cell>
          <cell r="BG1480">
            <v>45.468715051806292</v>
          </cell>
          <cell r="BH1480">
            <v>42.408178994289898</v>
          </cell>
          <cell r="BI1480">
            <v>30.406703917126244</v>
          </cell>
          <cell r="BJ1480">
            <v>54.409654071453552</v>
          </cell>
          <cell r="BU1480">
            <v>23.649149707386922</v>
          </cell>
          <cell r="BV1480">
            <v>29.635401891862816</v>
          </cell>
          <cell r="BW1480">
            <v>23.901518972811779</v>
          </cell>
          <cell r="BX1480">
            <v>15.713059154269443</v>
          </cell>
          <cell r="BY1480">
            <v>32.089978791354113</v>
          </cell>
        </row>
        <row r="1481">
          <cell r="A1481">
            <v>41599</v>
          </cell>
          <cell r="BF1481">
            <v>48.52327137364454</v>
          </cell>
          <cell r="BG1481">
            <v>45.468715051806292</v>
          </cell>
          <cell r="BH1481">
            <v>42.408178994289898</v>
          </cell>
          <cell r="BI1481">
            <v>30.406703917126244</v>
          </cell>
          <cell r="BJ1481">
            <v>54.409654071453552</v>
          </cell>
          <cell r="BU1481">
            <v>23.7667773557305</v>
          </cell>
          <cell r="BV1481">
            <v>29.635401891862816</v>
          </cell>
          <cell r="BW1481">
            <v>23.901518972811779</v>
          </cell>
          <cell r="BX1481">
            <v>15.713059154269443</v>
          </cell>
          <cell r="BY1481">
            <v>32.089978791354113</v>
          </cell>
        </row>
        <row r="1482">
          <cell r="A1482">
            <v>41600</v>
          </cell>
          <cell r="BF1482">
            <v>49.000641529072325</v>
          </cell>
          <cell r="BG1482">
            <v>45.468715051806292</v>
          </cell>
          <cell r="BH1482">
            <v>42.408178994289898</v>
          </cell>
          <cell r="BI1482">
            <v>30.406703917126244</v>
          </cell>
          <cell r="BJ1482">
            <v>54.409654071453552</v>
          </cell>
          <cell r="BU1482">
            <v>25.734127185499197</v>
          </cell>
          <cell r="BV1482">
            <v>29.635401891862816</v>
          </cell>
          <cell r="BW1482">
            <v>23.901518972811779</v>
          </cell>
          <cell r="BX1482">
            <v>15.713059154269443</v>
          </cell>
          <cell r="BY1482">
            <v>32.089978791354113</v>
          </cell>
        </row>
        <row r="1483">
          <cell r="A1483">
            <v>41603</v>
          </cell>
          <cell r="BF1483">
            <v>48.27419894764175</v>
          </cell>
          <cell r="BG1483">
            <v>45.468715051806292</v>
          </cell>
          <cell r="BH1483">
            <v>42.408178994289898</v>
          </cell>
          <cell r="BI1483">
            <v>30.406703917126244</v>
          </cell>
          <cell r="BJ1483">
            <v>54.409654071453552</v>
          </cell>
          <cell r="BU1483">
            <v>25.347451187446829</v>
          </cell>
          <cell r="BV1483">
            <v>29.635401891862816</v>
          </cell>
          <cell r="BW1483">
            <v>23.901518972811779</v>
          </cell>
          <cell r="BX1483">
            <v>15.713059154269443</v>
          </cell>
          <cell r="BY1483">
            <v>32.089978791354113</v>
          </cell>
        </row>
        <row r="1484">
          <cell r="A1484">
            <v>41604</v>
          </cell>
          <cell r="BF1484">
            <v>48.248381248470658</v>
          </cell>
          <cell r="BG1484">
            <v>45.468715051806292</v>
          </cell>
          <cell r="BH1484">
            <v>42.408178994289898</v>
          </cell>
          <cell r="BI1484">
            <v>30.406703917126244</v>
          </cell>
          <cell r="BJ1484">
            <v>54.409654071453552</v>
          </cell>
          <cell r="BU1484">
            <v>25.360524826975716</v>
          </cell>
          <cell r="BV1484">
            <v>29.635401891862816</v>
          </cell>
          <cell r="BW1484">
            <v>23.901518972811779</v>
          </cell>
          <cell r="BX1484">
            <v>15.713059154269443</v>
          </cell>
          <cell r="BY1484">
            <v>32.089978791354113</v>
          </cell>
        </row>
        <row r="1485">
          <cell r="A1485">
            <v>41605</v>
          </cell>
          <cell r="BF1485">
            <v>48.778530311712146</v>
          </cell>
          <cell r="BG1485">
            <v>45.468715051806292</v>
          </cell>
          <cell r="BH1485">
            <v>42.408178994289898</v>
          </cell>
          <cell r="BI1485">
            <v>30.406703917126244</v>
          </cell>
          <cell r="BJ1485">
            <v>54.409654071453552</v>
          </cell>
          <cell r="BU1485">
            <v>25.643015317813955</v>
          </cell>
          <cell r="BV1485">
            <v>29.635401891862816</v>
          </cell>
          <cell r="BW1485">
            <v>23.901518972811779</v>
          </cell>
          <cell r="BX1485">
            <v>15.713059154269443</v>
          </cell>
          <cell r="BY1485">
            <v>32.089978791354113</v>
          </cell>
        </row>
        <row r="1486">
          <cell r="A1486">
            <v>41606</v>
          </cell>
          <cell r="BF1486">
            <v>48.778530311712146</v>
          </cell>
          <cell r="BG1486">
            <v>45.468715051806292</v>
          </cell>
          <cell r="BH1486">
            <v>42.408178994289898</v>
          </cell>
          <cell r="BI1486">
            <v>30.406703917126244</v>
          </cell>
          <cell r="BJ1486">
            <v>54.409654071453552</v>
          </cell>
          <cell r="BU1486">
            <v>25.643015317813955</v>
          </cell>
          <cell r="BV1486">
            <v>29.635401891862816</v>
          </cell>
          <cell r="BW1486">
            <v>23.901518972811779</v>
          </cell>
          <cell r="BX1486">
            <v>15.713059154269443</v>
          </cell>
          <cell r="BY1486">
            <v>32.089978791354113</v>
          </cell>
        </row>
        <row r="1487">
          <cell r="A1487">
            <v>41607</v>
          </cell>
          <cell r="BF1487">
            <v>48.10602961630179</v>
          </cell>
          <cell r="BG1487">
            <v>45.468715051806292</v>
          </cell>
          <cell r="BH1487">
            <v>42.408178994289898</v>
          </cell>
          <cell r="BI1487">
            <v>30.406703917126244</v>
          </cell>
          <cell r="BJ1487">
            <v>54.409654071453552</v>
          </cell>
          <cell r="BU1487">
            <v>25.284672608738948</v>
          </cell>
          <cell r="BV1487">
            <v>29.635401891862816</v>
          </cell>
          <cell r="BW1487">
            <v>23.901518972811779</v>
          </cell>
          <cell r="BX1487">
            <v>15.713059154269443</v>
          </cell>
          <cell r="BY1487">
            <v>32.089978791354113</v>
          </cell>
        </row>
        <row r="1488">
          <cell r="A1488">
            <v>41610</v>
          </cell>
          <cell r="BF1488">
            <v>47.782627850557979</v>
          </cell>
          <cell r="BG1488">
            <v>45.468715051806292</v>
          </cell>
          <cell r="BH1488">
            <v>42.408178994289898</v>
          </cell>
          <cell r="BI1488">
            <v>30.406703917126244</v>
          </cell>
          <cell r="BJ1488">
            <v>54.409654071453552</v>
          </cell>
          <cell r="BU1488">
            <v>25.100815195857123</v>
          </cell>
          <cell r="BV1488">
            <v>29.635401891862816</v>
          </cell>
          <cell r="BW1488">
            <v>23.901518972811779</v>
          </cell>
          <cell r="BX1488">
            <v>15.713059154269443</v>
          </cell>
          <cell r="BY1488">
            <v>32.089978791354113</v>
          </cell>
        </row>
        <row r="1489">
          <cell r="A1489">
            <v>41611</v>
          </cell>
          <cell r="BF1489">
            <v>47.205237263464333</v>
          </cell>
          <cell r="BG1489">
            <v>45.468715051806292</v>
          </cell>
          <cell r="BH1489">
            <v>42.408178994289898</v>
          </cell>
          <cell r="BI1489">
            <v>30.406703917126244</v>
          </cell>
          <cell r="BJ1489">
            <v>54.409654071453552</v>
          </cell>
          <cell r="BU1489">
            <v>24.793342666554178</v>
          </cell>
          <cell r="BV1489">
            <v>29.635401891862816</v>
          </cell>
          <cell r="BW1489">
            <v>23.901518972811779</v>
          </cell>
          <cell r="BX1489">
            <v>15.713059154269443</v>
          </cell>
          <cell r="BY1489">
            <v>32.089978791354113</v>
          </cell>
        </row>
        <row r="1490">
          <cell r="A1490">
            <v>41612</v>
          </cell>
          <cell r="BF1490">
            <v>47.583693837942747</v>
          </cell>
          <cell r="BG1490">
            <v>45.468715051806292</v>
          </cell>
          <cell r="BH1490">
            <v>42.408178994289898</v>
          </cell>
          <cell r="BI1490">
            <v>30.406703917126244</v>
          </cell>
          <cell r="BJ1490">
            <v>54.409654071453552</v>
          </cell>
          <cell r="BU1490">
            <v>24.994878685303533</v>
          </cell>
          <cell r="BV1490">
            <v>29.635401891862816</v>
          </cell>
          <cell r="BW1490">
            <v>23.901518972811779</v>
          </cell>
          <cell r="BX1490">
            <v>15.713059154269443</v>
          </cell>
          <cell r="BY1490">
            <v>32.089978791354113</v>
          </cell>
        </row>
        <row r="1491">
          <cell r="A1491">
            <v>41613</v>
          </cell>
          <cell r="BF1491">
            <v>47.379909752547313</v>
          </cell>
          <cell r="BG1491">
            <v>45.468715051806292</v>
          </cell>
          <cell r="BH1491">
            <v>42.408178994289898</v>
          </cell>
          <cell r="BI1491">
            <v>30.406703917126244</v>
          </cell>
          <cell r="BJ1491">
            <v>54.409654071453552</v>
          </cell>
          <cell r="BU1491">
            <v>24.994878685303533</v>
          </cell>
          <cell r="BV1491">
            <v>29.635401891862816</v>
          </cell>
          <cell r="BW1491">
            <v>23.901518972811779</v>
          </cell>
          <cell r="BX1491">
            <v>15.713059154269443</v>
          </cell>
          <cell r="BY1491">
            <v>32.089978791354113</v>
          </cell>
        </row>
        <row r="1492">
          <cell r="A1492">
            <v>41614</v>
          </cell>
          <cell r="BF1492">
            <v>48.156234837457546</v>
          </cell>
          <cell r="BG1492">
            <v>45.468715051806292</v>
          </cell>
          <cell r="BH1492">
            <v>42.408178994289898</v>
          </cell>
          <cell r="BI1492">
            <v>30.406703917126244</v>
          </cell>
          <cell r="BJ1492">
            <v>54.409654071453552</v>
          </cell>
          <cell r="BU1492">
            <v>25.299768708080958</v>
          </cell>
          <cell r="BV1492">
            <v>29.635401891862816</v>
          </cell>
          <cell r="BW1492">
            <v>23.901518972811779</v>
          </cell>
          <cell r="BX1492">
            <v>15.713059154269443</v>
          </cell>
          <cell r="BY1492">
            <v>32.089978791354113</v>
          </cell>
        </row>
        <row r="1493">
          <cell r="A1493">
            <v>41617</v>
          </cell>
          <cell r="BF1493">
            <v>49.165448811256674</v>
          </cell>
          <cell r="BG1493">
            <v>45.468715051806292</v>
          </cell>
          <cell r="BH1493">
            <v>42.408178994289898</v>
          </cell>
          <cell r="BI1493">
            <v>30.406703917126244</v>
          </cell>
          <cell r="BJ1493">
            <v>54.409654071453552</v>
          </cell>
          <cell r="BU1493">
            <v>25.837196196627055</v>
          </cell>
          <cell r="BV1493">
            <v>29.635401891862816</v>
          </cell>
          <cell r="BW1493">
            <v>23.901518972811779</v>
          </cell>
          <cell r="BX1493">
            <v>15.713059154269443</v>
          </cell>
          <cell r="BY1493">
            <v>32.089978791354113</v>
          </cell>
        </row>
        <row r="1494">
          <cell r="A1494">
            <v>41618</v>
          </cell>
          <cell r="BF1494">
            <v>48.505573022804469</v>
          </cell>
          <cell r="BG1494">
            <v>45.468715051806292</v>
          </cell>
          <cell r="BH1494">
            <v>42.408178994289898</v>
          </cell>
          <cell r="BI1494">
            <v>30.406703917126244</v>
          </cell>
          <cell r="BJ1494">
            <v>54.409654071453552</v>
          </cell>
          <cell r="BU1494">
            <v>25.485798577343964</v>
          </cell>
          <cell r="BV1494">
            <v>29.635401891862816</v>
          </cell>
          <cell r="BW1494">
            <v>23.901518972811779</v>
          </cell>
          <cell r="BX1494">
            <v>15.713059154269443</v>
          </cell>
          <cell r="BY1494">
            <v>32.089978791354113</v>
          </cell>
        </row>
        <row r="1495">
          <cell r="A1495">
            <v>41619</v>
          </cell>
          <cell r="BF1495">
            <v>48.161084425036393</v>
          </cell>
          <cell r="BG1495">
            <v>45.468715051806292</v>
          </cell>
          <cell r="BH1495">
            <v>42.408178994289898</v>
          </cell>
          <cell r="BI1495">
            <v>30.406703917126244</v>
          </cell>
          <cell r="BJ1495">
            <v>54.409654071453552</v>
          </cell>
          <cell r="BU1495">
            <v>25.302351214606482</v>
          </cell>
          <cell r="BV1495">
            <v>29.635401891862816</v>
          </cell>
          <cell r="BW1495">
            <v>23.901518972811779</v>
          </cell>
          <cell r="BX1495">
            <v>15.713059154269443</v>
          </cell>
          <cell r="BY1495">
            <v>32.089978791354113</v>
          </cell>
        </row>
        <row r="1496">
          <cell r="A1496">
            <v>41620</v>
          </cell>
          <cell r="BF1496">
            <v>49.005337214944205</v>
          </cell>
          <cell r="BG1496">
            <v>45.468715051806292</v>
          </cell>
          <cell r="BH1496">
            <v>42.408178994289898</v>
          </cell>
          <cell r="BI1496">
            <v>30.406703917126244</v>
          </cell>
          <cell r="BJ1496">
            <v>54.409654071453552</v>
          </cell>
          <cell r="BU1496">
            <v>25.302351214606482</v>
          </cell>
          <cell r="BV1496">
            <v>29.635401891862816</v>
          </cell>
          <cell r="BW1496">
            <v>23.901518972811779</v>
          </cell>
          <cell r="BX1496">
            <v>15.713059154269443</v>
          </cell>
          <cell r="BY1496">
            <v>32.089978791354113</v>
          </cell>
        </row>
        <row r="1497">
          <cell r="A1497">
            <v>41621</v>
          </cell>
          <cell r="BF1497">
            <v>49.69531720002329</v>
          </cell>
          <cell r="BG1497">
            <v>45.468715051806292</v>
          </cell>
          <cell r="BH1497">
            <v>42.408178994289898</v>
          </cell>
          <cell r="BI1497">
            <v>30.406703917126244</v>
          </cell>
          <cell r="BJ1497">
            <v>54.409654071453552</v>
          </cell>
          <cell r="BU1497">
            <v>26.121416607146141</v>
          </cell>
          <cell r="BV1497">
            <v>29.635401891862816</v>
          </cell>
          <cell r="BW1497">
            <v>23.901518972811779</v>
          </cell>
          <cell r="BX1497">
            <v>15.713059154269443</v>
          </cell>
          <cell r="BY1497">
            <v>32.089978791354113</v>
          </cell>
        </row>
        <row r="1498">
          <cell r="A1498">
            <v>41624</v>
          </cell>
          <cell r="BF1498">
            <v>49.777795028042455</v>
          </cell>
          <cell r="BG1498">
            <v>45.468715051806292</v>
          </cell>
          <cell r="BH1498">
            <v>42.408178994289898</v>
          </cell>
          <cell r="BI1498">
            <v>30.406703917126244</v>
          </cell>
          <cell r="BJ1498">
            <v>54.409654071453552</v>
          </cell>
          <cell r="BU1498">
            <v>26.108926893546887</v>
          </cell>
          <cell r="BV1498">
            <v>29.635401891862816</v>
          </cell>
          <cell r="BW1498">
            <v>23.901518972811779</v>
          </cell>
          <cell r="BX1498">
            <v>15.713059154269443</v>
          </cell>
          <cell r="BY1498">
            <v>32.089978791354113</v>
          </cell>
        </row>
        <row r="1499">
          <cell r="A1499">
            <v>41625</v>
          </cell>
          <cell r="BF1499">
            <v>49.486696811504196</v>
          </cell>
          <cell r="BG1499">
            <v>45.468715051806292</v>
          </cell>
          <cell r="BH1499">
            <v>42.408178994289898</v>
          </cell>
          <cell r="BI1499">
            <v>30.406703917126244</v>
          </cell>
          <cell r="BJ1499">
            <v>54.409654071453552</v>
          </cell>
          <cell r="BU1499">
            <v>25.954233238958558</v>
          </cell>
          <cell r="BV1499">
            <v>29.635401891862816</v>
          </cell>
          <cell r="BW1499">
            <v>23.901518972811779</v>
          </cell>
          <cell r="BX1499">
            <v>15.713059154269443</v>
          </cell>
          <cell r="BY1499">
            <v>32.089978791354113</v>
          </cell>
        </row>
        <row r="1500">
          <cell r="A1500">
            <v>41626</v>
          </cell>
          <cell r="BF1500">
            <v>50.740101266805056</v>
          </cell>
          <cell r="BG1500">
            <v>45.468715051806292</v>
          </cell>
          <cell r="BH1500">
            <v>42.408178994289898</v>
          </cell>
          <cell r="BI1500">
            <v>30.406703917126244</v>
          </cell>
          <cell r="BJ1500">
            <v>54.409654071453552</v>
          </cell>
          <cell r="BU1500">
            <v>26.629728863994256</v>
          </cell>
          <cell r="BV1500">
            <v>29.635401891862816</v>
          </cell>
          <cell r="BW1500">
            <v>23.901518972811779</v>
          </cell>
          <cell r="BX1500">
            <v>15.713059154269443</v>
          </cell>
          <cell r="BY1500">
            <v>32.089978791354113</v>
          </cell>
        </row>
        <row r="1501">
          <cell r="A1501">
            <v>41627</v>
          </cell>
          <cell r="BF1501">
            <v>50.2017576192601</v>
          </cell>
          <cell r="BG1501">
            <v>45.468715051806292</v>
          </cell>
          <cell r="BH1501">
            <v>42.408178994289898</v>
          </cell>
          <cell r="BI1501">
            <v>30.406703917126244</v>
          </cell>
          <cell r="BJ1501">
            <v>54.409654071453552</v>
          </cell>
          <cell r="BU1501">
            <v>26.629728863994256</v>
          </cell>
          <cell r="BV1501">
            <v>29.635401891862816</v>
          </cell>
          <cell r="BW1501">
            <v>23.901518972811779</v>
          </cell>
          <cell r="BX1501">
            <v>15.713059154269443</v>
          </cell>
          <cell r="BY1501">
            <v>32.089978791354113</v>
          </cell>
        </row>
        <row r="1502">
          <cell r="A1502">
            <v>41628</v>
          </cell>
          <cell r="BF1502">
            <v>50.932038834951456</v>
          </cell>
          <cell r="BG1502">
            <v>45.468715051806292</v>
          </cell>
          <cell r="BH1502">
            <v>42.408178994289898</v>
          </cell>
          <cell r="BI1502">
            <v>30.406703917126244</v>
          </cell>
          <cell r="BJ1502">
            <v>54.409654071453552</v>
          </cell>
          <cell r="BU1502">
            <v>26.729539138316813</v>
          </cell>
          <cell r="BV1502">
            <v>29.635401891862816</v>
          </cell>
          <cell r="BW1502">
            <v>23.901518972811779</v>
          </cell>
          <cell r="BX1502">
            <v>15.713059154269443</v>
          </cell>
          <cell r="BY1502">
            <v>32.089978791354113</v>
          </cell>
        </row>
        <row r="1503">
          <cell r="A1503">
            <v>41631</v>
          </cell>
          <cell r="BF1503">
            <v>52.126208737864083</v>
          </cell>
          <cell r="BG1503">
            <v>45.468715051806292</v>
          </cell>
          <cell r="BH1503">
            <v>42.408178994289898</v>
          </cell>
          <cell r="BI1503">
            <v>30.406703917126244</v>
          </cell>
          <cell r="BJ1503">
            <v>54.409654071453552</v>
          </cell>
          <cell r="BU1503">
            <v>27.364314007331906</v>
          </cell>
          <cell r="BV1503">
            <v>29.635401891862816</v>
          </cell>
          <cell r="BW1503">
            <v>23.901518972811779</v>
          </cell>
          <cell r="BX1503">
            <v>15.713059154269443</v>
          </cell>
          <cell r="BY1503">
            <v>32.089978791354113</v>
          </cell>
        </row>
        <row r="1504">
          <cell r="A1504">
            <v>41632</v>
          </cell>
          <cell r="BF1504">
            <v>52.485436893203882</v>
          </cell>
          <cell r="BG1504">
            <v>45.468715051806292</v>
          </cell>
          <cell r="BH1504">
            <v>42.408178994289898</v>
          </cell>
          <cell r="BI1504">
            <v>30.406703917126244</v>
          </cell>
          <cell r="BJ1504">
            <v>54.409654071453552</v>
          </cell>
          <cell r="BU1504">
            <v>27.555265901778572</v>
          </cell>
          <cell r="BV1504">
            <v>29.635401891862816</v>
          </cell>
          <cell r="BW1504">
            <v>23.901518972811779</v>
          </cell>
          <cell r="BX1504">
            <v>15.713059154269443</v>
          </cell>
          <cell r="BY1504">
            <v>32.089978791354113</v>
          </cell>
        </row>
        <row r="1505">
          <cell r="A1505">
            <v>41633</v>
          </cell>
          <cell r="BF1505">
            <v>52.485436893203882</v>
          </cell>
          <cell r="BG1505">
            <v>45.468715051806292</v>
          </cell>
          <cell r="BH1505">
            <v>42.408178994289898</v>
          </cell>
          <cell r="BI1505">
            <v>30.406703917126244</v>
          </cell>
          <cell r="BJ1505">
            <v>54.409654071453552</v>
          </cell>
          <cell r="BU1505">
            <v>27.555265901778572</v>
          </cell>
          <cell r="BV1505">
            <v>29.635401891862816</v>
          </cell>
          <cell r="BW1505">
            <v>23.901518972811779</v>
          </cell>
          <cell r="BX1505">
            <v>15.713059154269443</v>
          </cell>
          <cell r="BY1505">
            <v>32.089978791354113</v>
          </cell>
        </row>
        <row r="1506">
          <cell r="A1506">
            <v>41634</v>
          </cell>
          <cell r="BF1506">
            <v>52.747567961165046</v>
          </cell>
          <cell r="BG1506">
            <v>45.468715051806292</v>
          </cell>
          <cell r="BH1506">
            <v>42.408178994289898</v>
          </cell>
          <cell r="BI1506">
            <v>30.406703917126244</v>
          </cell>
          <cell r="BJ1506">
            <v>54.409654071453552</v>
          </cell>
          <cell r="BU1506">
            <v>27.694604712716604</v>
          </cell>
          <cell r="BV1506">
            <v>29.635401891862816</v>
          </cell>
          <cell r="BW1506">
            <v>23.901518972811779</v>
          </cell>
          <cell r="BX1506">
            <v>15.713059154269443</v>
          </cell>
          <cell r="BY1506">
            <v>32.089978791354113</v>
          </cell>
        </row>
        <row r="1507">
          <cell r="A1507">
            <v>41635</v>
          </cell>
          <cell r="BF1507">
            <v>53.58251941747573</v>
          </cell>
          <cell r="BG1507">
            <v>45.468715051806292</v>
          </cell>
          <cell r="BH1507">
            <v>42.408178994289898</v>
          </cell>
          <cell r="BI1507">
            <v>30.406703917126244</v>
          </cell>
          <cell r="BJ1507">
            <v>54.409654071453552</v>
          </cell>
          <cell r="BU1507">
            <v>28.138432848077301</v>
          </cell>
          <cell r="BV1507">
            <v>29.635401891862816</v>
          </cell>
          <cell r="BW1507">
            <v>23.901518972811779</v>
          </cell>
          <cell r="BX1507">
            <v>15.713059154269443</v>
          </cell>
          <cell r="BY1507">
            <v>32.089978791354113</v>
          </cell>
        </row>
        <row r="1508">
          <cell r="A1508">
            <v>41638</v>
          </cell>
          <cell r="BF1508">
            <v>53.495145631067963</v>
          </cell>
          <cell r="BG1508">
            <v>45.468715051806292</v>
          </cell>
          <cell r="BH1508">
            <v>42.408178994289898</v>
          </cell>
          <cell r="BI1508">
            <v>30.406703917126244</v>
          </cell>
          <cell r="BJ1508">
            <v>54.409654071453552</v>
          </cell>
          <cell r="BU1508">
            <v>28.09198829802871</v>
          </cell>
          <cell r="BV1508">
            <v>29.635401891862816</v>
          </cell>
          <cell r="BW1508">
            <v>23.901518972811779</v>
          </cell>
          <cell r="BX1508">
            <v>15.713059154269443</v>
          </cell>
          <cell r="BY1508">
            <v>32.089978791354113</v>
          </cell>
        </row>
        <row r="1509">
          <cell r="A1509">
            <v>41639</v>
          </cell>
          <cell r="BF1509">
            <v>53.684466019417478</v>
          </cell>
          <cell r="BG1509">
            <v>45.468715051806292</v>
          </cell>
          <cell r="BH1509">
            <v>42.408178994289898</v>
          </cell>
          <cell r="BI1509">
            <v>30.406703917126244</v>
          </cell>
          <cell r="BJ1509">
            <v>54.409654071453552</v>
          </cell>
          <cell r="BU1509">
            <v>28.192623747325612</v>
          </cell>
          <cell r="BV1509">
            <v>29.635401891862816</v>
          </cell>
          <cell r="BW1509">
            <v>23.901518972811779</v>
          </cell>
          <cell r="BX1509">
            <v>15.713059154269443</v>
          </cell>
          <cell r="BY1509">
            <v>32.089978791354113</v>
          </cell>
        </row>
        <row r="1510">
          <cell r="A1510">
            <v>41640</v>
          </cell>
          <cell r="BF1510">
            <v>52.770796882461404</v>
          </cell>
          <cell r="BG1510">
            <v>45.468715051806292</v>
          </cell>
          <cell r="BH1510">
            <v>42.408178994289898</v>
          </cell>
          <cell r="BI1510">
            <v>30.406703917126244</v>
          </cell>
          <cell r="BJ1510">
            <v>54.409654071453552</v>
          </cell>
          <cell r="BU1510">
            <v>27.832350555580746</v>
          </cell>
          <cell r="BV1510">
            <v>29.635401891862816</v>
          </cell>
          <cell r="BW1510">
            <v>23.901518972811779</v>
          </cell>
          <cell r="BX1510">
            <v>15.713059154269443</v>
          </cell>
          <cell r="BY1510">
            <v>32.089978791354113</v>
          </cell>
        </row>
        <row r="1511">
          <cell r="A1511">
            <v>41641</v>
          </cell>
          <cell r="BF1511">
            <v>52.651503101643833</v>
          </cell>
          <cell r="BG1511">
            <v>45.468715051806292</v>
          </cell>
          <cell r="BH1511">
            <v>42.408178994289898</v>
          </cell>
          <cell r="BI1511">
            <v>30.406703917126244</v>
          </cell>
          <cell r="BJ1511">
            <v>54.409654071453552</v>
          </cell>
          <cell r="BU1511">
            <v>27.768665023446506</v>
          </cell>
          <cell r="BV1511">
            <v>29.635401891862816</v>
          </cell>
          <cell r="BW1511">
            <v>23.901518972811779</v>
          </cell>
          <cell r="BX1511">
            <v>15.713059154269443</v>
          </cell>
          <cell r="BY1511">
            <v>32.089978791354113</v>
          </cell>
        </row>
        <row r="1512">
          <cell r="A1512">
            <v>41642</v>
          </cell>
          <cell r="BF1512">
            <v>51.826892151768881</v>
          </cell>
          <cell r="BG1512">
            <v>45.468715051806292</v>
          </cell>
          <cell r="BH1512">
            <v>42.408178994289898</v>
          </cell>
          <cell r="BI1512">
            <v>30.406703917126244</v>
          </cell>
          <cell r="BJ1512">
            <v>54.409654071453552</v>
          </cell>
          <cell r="BU1512">
            <v>27.327958593656287</v>
          </cell>
          <cell r="BV1512">
            <v>29.635401891862816</v>
          </cell>
          <cell r="BW1512">
            <v>23.901518972811779</v>
          </cell>
          <cell r="BX1512">
            <v>15.713059154269443</v>
          </cell>
          <cell r="BY1512">
            <v>32.089978791354113</v>
          </cell>
        </row>
        <row r="1513">
          <cell r="A1513">
            <v>41645</v>
          </cell>
          <cell r="BF1513">
            <v>51.95156372839427</v>
          </cell>
          <cell r="BG1513">
            <v>45.468715051806292</v>
          </cell>
          <cell r="BH1513">
            <v>42.408178994289898</v>
          </cell>
          <cell r="BI1513">
            <v>30.406703917126244</v>
          </cell>
          <cell r="BJ1513">
            <v>54.409654071453552</v>
          </cell>
          <cell r="BU1513">
            <v>27.37181512118465</v>
          </cell>
          <cell r="BV1513">
            <v>29.635401891862816</v>
          </cell>
          <cell r="BW1513">
            <v>23.901518972811779</v>
          </cell>
          <cell r="BX1513">
            <v>15.713059154269443</v>
          </cell>
          <cell r="BY1513">
            <v>32.089978791354113</v>
          </cell>
        </row>
        <row r="1514">
          <cell r="A1514">
            <v>41646</v>
          </cell>
          <cell r="BF1514">
            <v>53.688531598067783</v>
          </cell>
          <cell r="BG1514">
            <v>45.468715051806292</v>
          </cell>
          <cell r="BH1514">
            <v>42.408178994289898</v>
          </cell>
          <cell r="BI1514">
            <v>30.406703917126244</v>
          </cell>
          <cell r="BJ1514">
            <v>54.409654071453552</v>
          </cell>
          <cell r="BU1514">
            <v>28.298318967053952</v>
          </cell>
          <cell r="BV1514">
            <v>29.635401891862816</v>
          </cell>
          <cell r="BW1514">
            <v>23.901518972811779</v>
          </cell>
          <cell r="BX1514">
            <v>15.713059154269443</v>
          </cell>
          <cell r="BY1514">
            <v>32.089978791354113</v>
          </cell>
        </row>
        <row r="1515">
          <cell r="A1515">
            <v>41647</v>
          </cell>
          <cell r="BF1515">
            <v>54.385222729948168</v>
          </cell>
          <cell r="BG1515">
            <v>45.468715051806292</v>
          </cell>
          <cell r="BH1515">
            <v>42.408178994289898</v>
          </cell>
          <cell r="BI1515">
            <v>30.406703917126244</v>
          </cell>
          <cell r="BJ1515">
            <v>54.409654071453552</v>
          </cell>
          <cell r="BU1515">
            <v>28.669936096155794</v>
          </cell>
          <cell r="BV1515">
            <v>29.635401891862816</v>
          </cell>
          <cell r="BW1515">
            <v>23.901518972811779</v>
          </cell>
          <cell r="BX1515">
            <v>15.713059154269443</v>
          </cell>
          <cell r="BY1515">
            <v>32.089978791354113</v>
          </cell>
        </row>
        <row r="1516">
          <cell r="A1516">
            <v>41648</v>
          </cell>
          <cell r="BF1516">
            <v>55.037949660413283</v>
          </cell>
          <cell r="BG1516">
            <v>45.468715051806292</v>
          </cell>
          <cell r="BH1516">
            <v>42.408178994289898</v>
          </cell>
          <cell r="BI1516">
            <v>30.406703917126244</v>
          </cell>
          <cell r="BJ1516">
            <v>54.409654071453552</v>
          </cell>
          <cell r="BU1516">
            <v>28.784481051082221</v>
          </cell>
          <cell r="BV1516">
            <v>29.635401891862816</v>
          </cell>
          <cell r="BW1516">
            <v>23.901518972811779</v>
          </cell>
          <cell r="BX1516">
            <v>15.713059154269443</v>
          </cell>
          <cell r="BY1516">
            <v>32.089978791354113</v>
          </cell>
        </row>
        <row r="1517">
          <cell r="A1517">
            <v>41649</v>
          </cell>
          <cell r="BF1517">
            <v>55.89738491556929</v>
          </cell>
          <cell r="BG1517">
            <v>45.468715051806292</v>
          </cell>
          <cell r="BH1517">
            <v>42.408178994289898</v>
          </cell>
          <cell r="BI1517">
            <v>30.406703917126244</v>
          </cell>
          <cell r="BJ1517">
            <v>54.409654071453552</v>
          </cell>
          <cell r="BU1517">
            <v>29.44102331103009</v>
          </cell>
          <cell r="BV1517">
            <v>29.635401891862816</v>
          </cell>
          <cell r="BW1517">
            <v>23.901518972811779</v>
          </cell>
          <cell r="BX1517">
            <v>15.713059154269443</v>
          </cell>
          <cell r="BY1517">
            <v>32.089978791354113</v>
          </cell>
        </row>
        <row r="1518">
          <cell r="A1518">
            <v>41652</v>
          </cell>
          <cell r="BF1518">
            <v>54.584632411338042</v>
          </cell>
          <cell r="BG1518">
            <v>45.468715051806292</v>
          </cell>
          <cell r="BH1518">
            <v>42.408178994289898</v>
          </cell>
          <cell r="BI1518">
            <v>30.406703917126244</v>
          </cell>
          <cell r="BJ1518">
            <v>54.409654071453552</v>
          </cell>
          <cell r="BU1518">
            <v>28.741608276586046</v>
          </cell>
          <cell r="BV1518">
            <v>29.635401891862816</v>
          </cell>
          <cell r="BW1518">
            <v>23.901518972811779</v>
          </cell>
          <cell r="BX1518">
            <v>15.713059154269443</v>
          </cell>
          <cell r="BY1518">
            <v>32.089978791354113</v>
          </cell>
        </row>
        <row r="1519">
          <cell r="A1519">
            <v>41653</v>
          </cell>
          <cell r="BF1519">
            <v>58.131362079550222</v>
          </cell>
          <cell r="BG1519">
            <v>45.468715051806292</v>
          </cell>
          <cell r="BH1519">
            <v>42.408178994289898</v>
          </cell>
          <cell r="BI1519">
            <v>30.406703917126244</v>
          </cell>
          <cell r="BJ1519">
            <v>54.409654071453552</v>
          </cell>
          <cell r="BU1519">
            <v>30.676486364573577</v>
          </cell>
          <cell r="BV1519">
            <v>29.635401891862816</v>
          </cell>
          <cell r="BW1519">
            <v>23.901518972811779</v>
          </cell>
          <cell r="BX1519">
            <v>15.713059154269443</v>
          </cell>
          <cell r="BY1519">
            <v>32.089978791354113</v>
          </cell>
        </row>
        <row r="1520">
          <cell r="A1520">
            <v>41654</v>
          </cell>
          <cell r="BF1520">
            <v>58.095631715654733</v>
          </cell>
          <cell r="BG1520">
            <v>45.468715051806292</v>
          </cell>
          <cell r="BH1520">
            <v>42.408178994289898</v>
          </cell>
          <cell r="BI1520">
            <v>30.406703917126244</v>
          </cell>
          <cell r="BJ1520">
            <v>54.409654071453552</v>
          </cell>
          <cell r="BU1520">
            <v>30.587765453662481</v>
          </cell>
          <cell r="BV1520">
            <v>29.635401891862816</v>
          </cell>
          <cell r="BW1520">
            <v>23.901518972811779</v>
          </cell>
          <cell r="BX1520">
            <v>15.713059154269443</v>
          </cell>
          <cell r="BY1520">
            <v>32.089978791354113</v>
          </cell>
        </row>
        <row r="1521">
          <cell r="A1521">
            <v>41655</v>
          </cell>
          <cell r="BF1521">
            <v>60.066031394889556</v>
          </cell>
          <cell r="BG1521">
            <v>45.468715051806292</v>
          </cell>
          <cell r="BH1521">
            <v>42.408178994289898</v>
          </cell>
          <cell r="BI1521">
            <v>30.406703917126244</v>
          </cell>
          <cell r="BJ1521">
            <v>54.409654071453552</v>
          </cell>
          <cell r="BU1521">
            <v>30.587765453662481</v>
          </cell>
          <cell r="BV1521">
            <v>29.635401891862816</v>
          </cell>
          <cell r="BW1521">
            <v>23.901518972811779</v>
          </cell>
          <cell r="BX1521">
            <v>15.713059154269443</v>
          </cell>
          <cell r="BY1521">
            <v>32.089978791354113</v>
          </cell>
        </row>
        <row r="1522">
          <cell r="A1522">
            <v>41656</v>
          </cell>
          <cell r="BF1522">
            <v>65.294328930046362</v>
          </cell>
          <cell r="BG1522">
            <v>45.468715051806292</v>
          </cell>
          <cell r="BH1522">
            <v>42.408178994289898</v>
          </cell>
          <cell r="BI1522">
            <v>30.406703917126244</v>
          </cell>
          <cell r="BJ1522">
            <v>54.409654071453552</v>
          </cell>
          <cell r="BU1522">
            <v>33.991946041877085</v>
          </cell>
          <cell r="BV1522">
            <v>29.635401891862816</v>
          </cell>
          <cell r="BW1522">
            <v>23.901518972811779</v>
          </cell>
          <cell r="BX1522">
            <v>15.713059154269443</v>
          </cell>
          <cell r="BY1522">
            <v>32.089978791354113</v>
          </cell>
        </row>
        <row r="1523">
          <cell r="A1523">
            <v>41659</v>
          </cell>
          <cell r="BF1523">
            <v>65.272264992444661</v>
          </cell>
          <cell r="BG1523">
            <v>45.468715051806292</v>
          </cell>
          <cell r="BH1523">
            <v>42.408178994289898</v>
          </cell>
          <cell r="BI1523">
            <v>30.406703917126244</v>
          </cell>
          <cell r="BJ1523">
            <v>54.409654071453552</v>
          </cell>
          <cell r="BU1523">
            <v>33.991946041877085</v>
          </cell>
          <cell r="BV1523">
            <v>29.635401891862816</v>
          </cell>
          <cell r="BW1523">
            <v>23.901518972811779</v>
          </cell>
          <cell r="BX1523">
            <v>15.713059154269443</v>
          </cell>
          <cell r="BY1523">
            <v>32.089978791354113</v>
          </cell>
        </row>
        <row r="1524">
          <cell r="A1524">
            <v>41660</v>
          </cell>
          <cell r="BF1524">
            <v>67.261636810986147</v>
          </cell>
          <cell r="BG1524">
            <v>45.468715051806292</v>
          </cell>
          <cell r="BH1524">
            <v>42.408178994289898</v>
          </cell>
          <cell r="BI1524">
            <v>30.406703917126244</v>
          </cell>
          <cell r="BJ1524">
            <v>54.409654071453552</v>
          </cell>
          <cell r="BU1524">
            <v>35.141269530832417</v>
          </cell>
          <cell r="BV1524">
            <v>29.635401891862816</v>
          </cell>
          <cell r="BW1524">
            <v>23.901518972811779</v>
          </cell>
          <cell r="BX1524">
            <v>15.713059154269443</v>
          </cell>
          <cell r="BY1524">
            <v>32.089978791354113</v>
          </cell>
        </row>
        <row r="1525">
          <cell r="A1525">
            <v>41661</v>
          </cell>
          <cell r="BF1525">
            <v>68.951334354983004</v>
          </cell>
          <cell r="BG1525">
            <v>45.468715051806292</v>
          </cell>
          <cell r="BH1525">
            <v>42.408178994289898</v>
          </cell>
          <cell r="BI1525">
            <v>30.406703917126244</v>
          </cell>
          <cell r="BJ1525">
            <v>54.409654071453552</v>
          </cell>
          <cell r="BU1525">
            <v>35.626297882141522</v>
          </cell>
          <cell r="BV1525">
            <v>29.635401891862816</v>
          </cell>
          <cell r="BW1525">
            <v>23.901518972811779</v>
          </cell>
          <cell r="BX1525">
            <v>15.713059154269443</v>
          </cell>
          <cell r="BY1525">
            <v>32.089978791354113</v>
          </cell>
        </row>
        <row r="1526">
          <cell r="A1526">
            <v>41662</v>
          </cell>
          <cell r="BF1526">
            <v>68.651193812983152</v>
          </cell>
          <cell r="BG1526">
            <v>45.468715051806292</v>
          </cell>
          <cell r="BH1526">
            <v>42.408178994289898</v>
          </cell>
          <cell r="BI1526">
            <v>30.406703917126244</v>
          </cell>
          <cell r="BJ1526">
            <v>54.409654071453552</v>
          </cell>
          <cell r="BU1526">
            <v>35.626297882141522</v>
          </cell>
          <cell r="BV1526">
            <v>29.635401891862816</v>
          </cell>
          <cell r="BW1526">
            <v>23.901518972811779</v>
          </cell>
          <cell r="BX1526">
            <v>15.713059154269443</v>
          </cell>
          <cell r="BY1526">
            <v>32.089978791354113</v>
          </cell>
        </row>
        <row r="1527">
          <cell r="A1527">
            <v>41663</v>
          </cell>
          <cell r="BF1527">
            <v>66.024248264897764</v>
          </cell>
          <cell r="BG1527">
            <v>45.468715051806292</v>
          </cell>
          <cell r="BH1527">
            <v>42.408178994289898</v>
          </cell>
          <cell r="BI1527">
            <v>30.406703917126244</v>
          </cell>
          <cell r="BJ1527">
            <v>54.409654071453552</v>
          </cell>
          <cell r="BU1527">
            <v>34.108297221500059</v>
          </cell>
          <cell r="BV1527">
            <v>29.635401891862816</v>
          </cell>
          <cell r="BW1527">
            <v>23.901518972811779</v>
          </cell>
          <cell r="BX1527">
            <v>15.713059154269443</v>
          </cell>
          <cell r="BY1527">
            <v>32.089978791354113</v>
          </cell>
        </row>
        <row r="1528">
          <cell r="A1528">
            <v>41666</v>
          </cell>
          <cell r="BF1528">
            <v>66.766717564890371</v>
          </cell>
          <cell r="BG1528">
            <v>45.468715051806292</v>
          </cell>
          <cell r="BH1528">
            <v>42.408178994289898</v>
          </cell>
          <cell r="BI1528">
            <v>30.406703917126244</v>
          </cell>
          <cell r="BJ1528">
            <v>54.409654071453552</v>
          </cell>
          <cell r="BU1528">
            <v>34.379478205453523</v>
          </cell>
          <cell r="BV1528">
            <v>29.635401891862816</v>
          </cell>
          <cell r="BW1528">
            <v>23.901518972811779</v>
          </cell>
          <cell r="BX1528">
            <v>15.713059154269443</v>
          </cell>
          <cell r="BY1528">
            <v>32.089978791354113</v>
          </cell>
        </row>
        <row r="1529">
          <cell r="A1529">
            <v>41667</v>
          </cell>
          <cell r="BF1529">
            <v>68.804233081309121</v>
          </cell>
          <cell r="BG1529">
            <v>45.468715051806292</v>
          </cell>
          <cell r="BH1529">
            <v>42.408178994289898</v>
          </cell>
          <cell r="BI1529">
            <v>30.406703917126244</v>
          </cell>
          <cell r="BJ1529">
            <v>54.409654071453552</v>
          </cell>
          <cell r="BU1529">
            <v>35.438702123737571</v>
          </cell>
          <cell r="BV1529">
            <v>29.635401891862816</v>
          </cell>
          <cell r="BW1529">
            <v>23.901518972811779</v>
          </cell>
          <cell r="BX1529">
            <v>15.713059154269443</v>
          </cell>
          <cell r="BY1529">
            <v>32.089978791354113</v>
          </cell>
        </row>
        <row r="1530">
          <cell r="A1530">
            <v>41668</v>
          </cell>
          <cell r="BF1530">
            <v>69.712422986364231</v>
          </cell>
          <cell r="BG1530">
            <v>45.468715051806292</v>
          </cell>
          <cell r="BH1530">
            <v>42.408178994289898</v>
          </cell>
          <cell r="BI1530">
            <v>30.406703917126244</v>
          </cell>
          <cell r="BJ1530">
            <v>54.409654071453552</v>
          </cell>
          <cell r="BU1530">
            <v>35.759025144587248</v>
          </cell>
          <cell r="BV1530">
            <v>29.635401891862816</v>
          </cell>
          <cell r="BW1530">
            <v>23.901518972811779</v>
          </cell>
          <cell r="BX1530">
            <v>15.713059154269443</v>
          </cell>
          <cell r="BY1530">
            <v>32.089978791354113</v>
          </cell>
        </row>
        <row r="1531">
          <cell r="A1531">
            <v>41669</v>
          </cell>
          <cell r="BF1531">
            <v>71.621548357334916</v>
          </cell>
          <cell r="BG1531">
            <v>45.468715051806292</v>
          </cell>
          <cell r="BH1531">
            <v>42.408178994289898</v>
          </cell>
          <cell r="BI1531">
            <v>30.406703917126244</v>
          </cell>
          <cell r="BJ1531">
            <v>54.409654071453552</v>
          </cell>
          <cell r="BU1531">
            <v>36.618635274284969</v>
          </cell>
          <cell r="BV1531">
            <v>29.635401891862816</v>
          </cell>
          <cell r="BW1531">
            <v>23.901518972811779</v>
          </cell>
          <cell r="BX1531">
            <v>15.713059154269443</v>
          </cell>
          <cell r="BY1531">
            <v>32.089978791354113</v>
          </cell>
        </row>
        <row r="1532">
          <cell r="A1532">
            <v>41670</v>
          </cell>
          <cell r="BF1532">
            <v>72.181907905549053</v>
          </cell>
          <cell r="BG1532">
            <v>45.468715051806292</v>
          </cell>
          <cell r="BH1532">
            <v>42.408178994289898</v>
          </cell>
          <cell r="BI1532">
            <v>30.406703917126244</v>
          </cell>
          <cell r="BJ1532">
            <v>54.409654071453552</v>
          </cell>
          <cell r="BU1532">
            <v>36.907690517731723</v>
          </cell>
          <cell r="BV1532">
            <v>29.635401891862816</v>
          </cell>
          <cell r="BW1532">
            <v>23.901518972811779</v>
          </cell>
          <cell r="BX1532">
            <v>15.713059154269443</v>
          </cell>
          <cell r="BY1532">
            <v>32.089978791354113</v>
          </cell>
        </row>
        <row r="1533">
          <cell r="A1533">
            <v>41673</v>
          </cell>
          <cell r="BF1533">
            <v>70.383158875971546</v>
          </cell>
          <cell r="BG1533">
            <v>45.468715051806292</v>
          </cell>
          <cell r="BH1533">
            <v>42.408178994289898</v>
          </cell>
          <cell r="BI1533">
            <v>30.406703917126244</v>
          </cell>
          <cell r="BJ1533">
            <v>54.409654071453552</v>
          </cell>
          <cell r="BU1533">
            <v>36.06534956934459</v>
          </cell>
          <cell r="BV1533">
            <v>29.635401891862816</v>
          </cell>
          <cell r="BW1533">
            <v>23.901518972811779</v>
          </cell>
          <cell r="BX1533">
            <v>15.713059154269443</v>
          </cell>
          <cell r="BY1533">
            <v>32.089978791354113</v>
          </cell>
        </row>
        <row r="1534">
          <cell r="A1534">
            <v>41674</v>
          </cell>
          <cell r="BF1534">
            <v>70.740585188304109</v>
          </cell>
          <cell r="BG1534">
            <v>45.468715051806292</v>
          </cell>
          <cell r="BH1534">
            <v>42.408178994289898</v>
          </cell>
          <cell r="BI1534">
            <v>30.406703917126244</v>
          </cell>
          <cell r="BJ1534">
            <v>54.409654071453552</v>
          </cell>
          <cell r="BU1534">
            <v>36.205103227796727</v>
          </cell>
          <cell r="BV1534">
            <v>29.635401891862816</v>
          </cell>
          <cell r="BW1534">
            <v>23.901518972811779</v>
          </cell>
          <cell r="BX1534">
            <v>15.713059154269443</v>
          </cell>
          <cell r="BY1534">
            <v>32.089978791354113</v>
          </cell>
        </row>
        <row r="1535">
          <cell r="A1535">
            <v>41675</v>
          </cell>
          <cell r="BF1535">
            <v>70.362592748152863</v>
          </cell>
          <cell r="BG1535">
            <v>45.468715051806292</v>
          </cell>
          <cell r="BH1535">
            <v>42.408178994289898</v>
          </cell>
          <cell r="BI1535">
            <v>30.406703917126244</v>
          </cell>
          <cell r="BJ1535">
            <v>54.409654071453552</v>
          </cell>
          <cell r="BU1535">
            <v>36.009930015130813</v>
          </cell>
          <cell r="BV1535">
            <v>29.635401891862816</v>
          </cell>
          <cell r="BW1535">
            <v>23.901518972811779</v>
          </cell>
          <cell r="BX1535">
            <v>15.713059154269443</v>
          </cell>
          <cell r="BY1535">
            <v>32.089978791354113</v>
          </cell>
        </row>
        <row r="1536">
          <cell r="A1536">
            <v>41676</v>
          </cell>
          <cell r="BF1536">
            <v>70.056022408971387</v>
          </cell>
          <cell r="BG1536">
            <v>45.468715051806292</v>
          </cell>
          <cell r="BH1536">
            <v>42.408178994289898</v>
          </cell>
          <cell r="BI1536">
            <v>30.406703917126244</v>
          </cell>
          <cell r="BJ1536">
            <v>54.409654071453552</v>
          </cell>
          <cell r="BU1536">
            <v>36.009930015130813</v>
          </cell>
          <cell r="BV1536">
            <v>29.635401891862816</v>
          </cell>
          <cell r="BW1536">
            <v>23.901518972811779</v>
          </cell>
          <cell r="BX1536">
            <v>15.713059154269443</v>
          </cell>
          <cell r="BY1536">
            <v>32.089978791354113</v>
          </cell>
        </row>
        <row r="1537">
          <cell r="A1537">
            <v>41677</v>
          </cell>
          <cell r="BF1537">
            <v>73.17414420297429</v>
          </cell>
          <cell r="BG1537">
            <v>45.468715051806292</v>
          </cell>
          <cell r="BH1537">
            <v>42.408178994289898</v>
          </cell>
          <cell r="BI1537">
            <v>30.406703917126244</v>
          </cell>
          <cell r="BJ1537">
            <v>54.409654071453552</v>
          </cell>
          <cell r="BU1537">
            <v>37.244682544031143</v>
          </cell>
          <cell r="BV1537">
            <v>29.635401891862816</v>
          </cell>
          <cell r="BW1537">
            <v>23.901518972811779</v>
          </cell>
          <cell r="BX1537">
            <v>15.713059154269443</v>
          </cell>
          <cell r="BY1537">
            <v>32.089978791354113</v>
          </cell>
        </row>
        <row r="1538">
          <cell r="A1538">
            <v>41680</v>
          </cell>
          <cell r="BF1538">
            <v>75.431396324978095</v>
          </cell>
          <cell r="BG1538">
            <v>45.468715051806292</v>
          </cell>
          <cell r="BH1538">
            <v>42.408178994289898</v>
          </cell>
          <cell r="BI1538">
            <v>30.406703917126244</v>
          </cell>
          <cell r="BJ1538">
            <v>54.409654071453552</v>
          </cell>
          <cell r="BU1538">
            <v>38.403439284395994</v>
          </cell>
          <cell r="BV1538">
            <v>29.635401891862816</v>
          </cell>
          <cell r="BW1538">
            <v>23.901518972811779</v>
          </cell>
          <cell r="BX1538">
            <v>15.713059154269443</v>
          </cell>
          <cell r="BY1538">
            <v>32.089978791354113</v>
          </cell>
        </row>
        <row r="1539">
          <cell r="A1539">
            <v>41681</v>
          </cell>
          <cell r="BF1539">
            <v>75.132916705539571</v>
          </cell>
          <cell r="BG1539">
            <v>45.468715051806292</v>
          </cell>
          <cell r="BH1539">
            <v>42.408178994289898</v>
          </cell>
          <cell r="BI1539">
            <v>30.406703917126244</v>
          </cell>
          <cell r="BJ1539">
            <v>54.409654071453552</v>
          </cell>
          <cell r="BU1539">
            <v>37.843804034957138</v>
          </cell>
          <cell r="BV1539">
            <v>29.635401891862816</v>
          </cell>
          <cell r="BW1539">
            <v>23.901518972811779</v>
          </cell>
          <cell r="BX1539">
            <v>15.713059154269443</v>
          </cell>
          <cell r="BY1539">
            <v>32.089978791354113</v>
          </cell>
        </row>
        <row r="1540">
          <cell r="A1540">
            <v>41682</v>
          </cell>
          <cell r="BF1540">
            <v>74.12554332619051</v>
          </cell>
          <cell r="BG1540">
            <v>45.468715051806292</v>
          </cell>
          <cell r="BH1540">
            <v>42.408178994289898</v>
          </cell>
          <cell r="BI1540">
            <v>30.406703917126244</v>
          </cell>
          <cell r="BJ1540">
            <v>54.409654071453552</v>
          </cell>
          <cell r="BU1540">
            <v>37.332165113254703</v>
          </cell>
          <cell r="BV1540">
            <v>29.635401891862816</v>
          </cell>
          <cell r="BW1540">
            <v>23.901518972811779</v>
          </cell>
          <cell r="BX1540">
            <v>15.713059154269443</v>
          </cell>
          <cell r="BY1540">
            <v>32.089978791354113</v>
          </cell>
        </row>
        <row r="1541">
          <cell r="A1541">
            <v>41683</v>
          </cell>
          <cell r="BF1541">
            <v>76.479131334256635</v>
          </cell>
          <cell r="BG1541">
            <v>45.468715051806292</v>
          </cell>
          <cell r="BH1541">
            <v>42.408178994289898</v>
          </cell>
          <cell r="BI1541">
            <v>30.406703917126244</v>
          </cell>
          <cell r="BJ1541">
            <v>54.409654071453552</v>
          </cell>
          <cell r="BU1541">
            <v>38.436360397894525</v>
          </cell>
          <cell r="BV1541">
            <v>29.635401891862816</v>
          </cell>
          <cell r="BW1541">
            <v>23.901518972811779</v>
          </cell>
          <cell r="BX1541">
            <v>15.713059154269443</v>
          </cell>
          <cell r="BY1541">
            <v>32.089978791354113</v>
          </cell>
        </row>
        <row r="1542">
          <cell r="A1542">
            <v>41684</v>
          </cell>
          <cell r="BF1542">
            <v>76.740646362420122</v>
          </cell>
          <cell r="BG1542">
            <v>45.468715051806292</v>
          </cell>
          <cell r="BH1542">
            <v>42.408178994289898</v>
          </cell>
          <cell r="BI1542">
            <v>30.406703917126244</v>
          </cell>
          <cell r="BJ1542">
            <v>54.409654071453552</v>
          </cell>
          <cell r="BU1542">
            <v>38.568869422588804</v>
          </cell>
          <cell r="BV1542">
            <v>29.635401891862816</v>
          </cell>
          <cell r="BW1542">
            <v>23.901518972811779</v>
          </cell>
          <cell r="BX1542">
            <v>15.713059154269443</v>
          </cell>
          <cell r="BY1542">
            <v>32.089978791354113</v>
          </cell>
        </row>
        <row r="1543">
          <cell r="A1543">
            <v>41687</v>
          </cell>
          <cell r="BF1543">
            <v>76.731270107356707</v>
          </cell>
          <cell r="BG1543">
            <v>45.468715051806292</v>
          </cell>
          <cell r="BH1543">
            <v>42.408178994289898</v>
          </cell>
          <cell r="BI1543">
            <v>30.406703917126244</v>
          </cell>
          <cell r="BJ1543">
            <v>54.409654071453552</v>
          </cell>
          <cell r="BU1543">
            <v>38.568869422588804</v>
          </cell>
          <cell r="BV1543">
            <v>29.635401891862816</v>
          </cell>
          <cell r="BW1543">
            <v>23.901518972811779</v>
          </cell>
          <cell r="BX1543">
            <v>15.713059154269443</v>
          </cell>
          <cell r="BY1543">
            <v>32.089978791354113</v>
          </cell>
        </row>
        <row r="1544">
          <cell r="A1544">
            <v>41688</v>
          </cell>
          <cell r="BF1544">
            <v>79.630075307442198</v>
          </cell>
          <cell r="BG1544">
            <v>45.468715051806292</v>
          </cell>
          <cell r="BH1544">
            <v>42.408178994289898</v>
          </cell>
          <cell r="BI1544">
            <v>30.406703917126244</v>
          </cell>
          <cell r="BJ1544">
            <v>54.409654071453552</v>
          </cell>
          <cell r="BU1544">
            <v>39.992858894408684</v>
          </cell>
          <cell r="BV1544">
            <v>29.635401891862816</v>
          </cell>
          <cell r="BW1544">
            <v>23.901518972811779</v>
          </cell>
          <cell r="BX1544">
            <v>15.713059154269443</v>
          </cell>
          <cell r="BY1544">
            <v>32.089978791354113</v>
          </cell>
        </row>
        <row r="1545">
          <cell r="A1545">
            <v>41689</v>
          </cell>
          <cell r="BF1545">
            <v>79.483062670308598</v>
          </cell>
          <cell r="BG1545">
            <v>45.468715051806292</v>
          </cell>
          <cell r="BH1545">
            <v>42.408178994289898</v>
          </cell>
          <cell r="BI1545">
            <v>30.406703917126244</v>
          </cell>
          <cell r="BJ1545">
            <v>54.409654071453552</v>
          </cell>
          <cell r="BU1545">
            <v>40.517057745400848</v>
          </cell>
          <cell r="BV1545">
            <v>29.635401891862816</v>
          </cell>
          <cell r="BW1545">
            <v>23.901518972811779</v>
          </cell>
          <cell r="BX1545">
            <v>15.713059154269443</v>
          </cell>
          <cell r="BY1545">
            <v>32.089978791354113</v>
          </cell>
        </row>
        <row r="1546">
          <cell r="A1546">
            <v>41690</v>
          </cell>
          <cell r="BF1546">
            <v>81.13662903854545</v>
          </cell>
          <cell r="BG1546">
            <v>45.468715051806292</v>
          </cell>
          <cell r="BH1546">
            <v>42.408178994289898</v>
          </cell>
          <cell r="BI1546">
            <v>30.406703917126244</v>
          </cell>
          <cell r="BJ1546">
            <v>54.409654071453552</v>
          </cell>
          <cell r="BU1546">
            <v>40.517057745400848</v>
          </cell>
          <cell r="BV1546">
            <v>29.635401891862816</v>
          </cell>
          <cell r="BW1546">
            <v>23.901518972811779</v>
          </cell>
          <cell r="BX1546">
            <v>15.713059154269443</v>
          </cell>
          <cell r="BY1546">
            <v>32.089978791354113</v>
          </cell>
        </row>
        <row r="1547">
          <cell r="A1547">
            <v>41691</v>
          </cell>
          <cell r="BF1547">
            <v>81.302454021650817</v>
          </cell>
          <cell r="BG1547">
            <v>45.468715051806292</v>
          </cell>
          <cell r="BH1547">
            <v>42.408178994289898</v>
          </cell>
          <cell r="BI1547">
            <v>30.406703917126244</v>
          </cell>
          <cell r="BJ1547">
            <v>54.409654071453552</v>
          </cell>
          <cell r="BU1547">
            <v>41.458771510753643</v>
          </cell>
          <cell r="BV1547">
            <v>29.635401891862816</v>
          </cell>
          <cell r="BW1547">
            <v>23.901518972811779</v>
          </cell>
          <cell r="BX1547">
            <v>15.713059154269443</v>
          </cell>
          <cell r="BY1547">
            <v>32.089978791354113</v>
          </cell>
        </row>
        <row r="1548">
          <cell r="A1548">
            <v>41694</v>
          </cell>
          <cell r="BF1548">
            <v>83.395162024917781</v>
          </cell>
          <cell r="BG1548">
            <v>45.468715051806292</v>
          </cell>
          <cell r="BH1548">
            <v>42.408178994289898</v>
          </cell>
          <cell r="BI1548">
            <v>30.406703917126244</v>
          </cell>
          <cell r="BJ1548">
            <v>54.409654071453552</v>
          </cell>
          <cell r="BU1548">
            <v>42.533810518307583</v>
          </cell>
          <cell r="BV1548">
            <v>29.635401891862816</v>
          </cell>
          <cell r="BW1548">
            <v>23.901518972811779</v>
          </cell>
          <cell r="BX1548">
            <v>15.713059154269443</v>
          </cell>
          <cell r="BY1548">
            <v>32.089978791354113</v>
          </cell>
        </row>
        <row r="1549">
          <cell r="A1549">
            <v>41695</v>
          </cell>
          <cell r="BF1549">
            <v>83.86695451718893</v>
          </cell>
          <cell r="BG1549">
            <v>45.468715051806292</v>
          </cell>
          <cell r="BH1549">
            <v>42.408178994289898</v>
          </cell>
          <cell r="BI1549">
            <v>30.406703917126244</v>
          </cell>
          <cell r="BJ1549">
            <v>54.409654071453552</v>
          </cell>
          <cell r="BU1549">
            <v>42.776173682146386</v>
          </cell>
          <cell r="BV1549">
            <v>29.635401891862816</v>
          </cell>
          <cell r="BW1549">
            <v>23.901518972811779</v>
          </cell>
          <cell r="BX1549">
            <v>15.713059154269443</v>
          </cell>
          <cell r="BY1549">
            <v>32.089978791354113</v>
          </cell>
        </row>
        <row r="1550">
          <cell r="A1550">
            <v>41696</v>
          </cell>
          <cell r="BF1550">
            <v>82.535654199468453</v>
          </cell>
          <cell r="BG1550">
            <v>45.468715051806292</v>
          </cell>
          <cell r="BH1550">
            <v>42.408178994289898</v>
          </cell>
          <cell r="BI1550">
            <v>30.406703917126244</v>
          </cell>
          <cell r="BJ1550">
            <v>54.409654071453552</v>
          </cell>
          <cell r="BU1550">
            <v>42.092275226134284</v>
          </cell>
          <cell r="BV1550">
            <v>29.635401891862816</v>
          </cell>
          <cell r="BW1550">
            <v>23.901518972811779</v>
          </cell>
          <cell r="BX1550">
            <v>15.713059154269443</v>
          </cell>
          <cell r="BY1550">
            <v>32.089978791354113</v>
          </cell>
        </row>
        <row r="1551">
          <cell r="A1551">
            <v>41697</v>
          </cell>
          <cell r="BF1551">
            <v>83.198966416324922</v>
          </cell>
          <cell r="BG1551">
            <v>45.468715051806292</v>
          </cell>
          <cell r="BH1551">
            <v>42.408178994289898</v>
          </cell>
          <cell r="BI1551">
            <v>30.406703917126244</v>
          </cell>
          <cell r="BJ1551">
            <v>54.409654071453552</v>
          </cell>
          <cell r="BU1551">
            <v>42.433023436679925</v>
          </cell>
          <cell r="BV1551">
            <v>29.635401891862816</v>
          </cell>
          <cell r="BW1551">
            <v>23.901518972811779</v>
          </cell>
          <cell r="BX1551">
            <v>15.713059154269443</v>
          </cell>
          <cell r="BY1551">
            <v>32.089978791354113</v>
          </cell>
        </row>
        <row r="1552">
          <cell r="A1552">
            <v>41698</v>
          </cell>
          <cell r="BF1552">
            <v>80.087735821162383</v>
          </cell>
          <cell r="BG1552">
            <v>45.468715051806292</v>
          </cell>
          <cell r="BH1552">
            <v>42.408178994289898</v>
          </cell>
          <cell r="BI1552">
            <v>30.406703917126244</v>
          </cell>
          <cell r="BJ1552">
            <v>54.409654071453552</v>
          </cell>
          <cell r="BU1552">
            <v>40.830275907672188</v>
          </cell>
          <cell r="BV1552">
            <v>29.635401891862816</v>
          </cell>
          <cell r="BW1552">
            <v>23.901518972811779</v>
          </cell>
          <cell r="BX1552">
            <v>15.713059154269443</v>
          </cell>
          <cell r="BY1552">
            <v>32.089978791354113</v>
          </cell>
        </row>
        <row r="1553">
          <cell r="A1553">
            <v>41701</v>
          </cell>
          <cell r="BF1553">
            <v>79.453590063937654</v>
          </cell>
          <cell r="BG1553">
            <v>45.468715051806292</v>
          </cell>
          <cell r="BH1553">
            <v>42.408178994289898</v>
          </cell>
          <cell r="BI1553">
            <v>30.406703917126244</v>
          </cell>
          <cell r="BJ1553">
            <v>54.409654071453552</v>
          </cell>
          <cell r="BU1553">
            <v>40.498587427004061</v>
          </cell>
          <cell r="BV1553">
            <v>29.635401891862816</v>
          </cell>
          <cell r="BW1553">
            <v>23.901518972811779</v>
          </cell>
          <cell r="BX1553">
            <v>15.713059154269443</v>
          </cell>
          <cell r="BY1553">
            <v>32.089978791354113</v>
          </cell>
        </row>
        <row r="1554">
          <cell r="A1554">
            <v>41702</v>
          </cell>
          <cell r="BF1554">
            <v>82.140621555081935</v>
          </cell>
          <cell r="BG1554">
            <v>45.468715051806292</v>
          </cell>
          <cell r="BH1554">
            <v>42.408178994289898</v>
          </cell>
          <cell r="BI1554">
            <v>30.406703917126244</v>
          </cell>
          <cell r="BJ1554">
            <v>54.409654071453552</v>
          </cell>
          <cell r="BU1554">
            <v>41.878405421805802</v>
          </cell>
          <cell r="BV1554">
            <v>29.635401891862816</v>
          </cell>
          <cell r="BW1554">
            <v>23.901518972811779</v>
          </cell>
          <cell r="BX1554">
            <v>15.713059154269443</v>
          </cell>
          <cell r="BY1554">
            <v>32.089978791354113</v>
          </cell>
        </row>
        <row r="1555">
          <cell r="A1555">
            <v>41703</v>
          </cell>
          <cell r="BF1555">
            <v>81.855846255603723</v>
          </cell>
          <cell r="BG1555">
            <v>45.468715051806292</v>
          </cell>
          <cell r="BH1555">
            <v>42.408178994289898</v>
          </cell>
          <cell r="BI1555">
            <v>30.406703917126244</v>
          </cell>
          <cell r="BJ1555">
            <v>54.409654071453552</v>
          </cell>
          <cell r="BU1555">
            <v>41.732170409678076</v>
          </cell>
          <cell r="BV1555">
            <v>29.635401891862816</v>
          </cell>
          <cell r="BW1555">
            <v>23.901518972811779</v>
          </cell>
          <cell r="BX1555">
            <v>15.713059154269443</v>
          </cell>
          <cell r="BY1555">
            <v>32.089978791354113</v>
          </cell>
        </row>
        <row r="1556">
          <cell r="A1556">
            <v>41704</v>
          </cell>
          <cell r="BF1556">
            <v>78.714080987726888</v>
          </cell>
          <cell r="BG1556">
            <v>45.468715051806292</v>
          </cell>
          <cell r="BH1556">
            <v>42.408178994289898</v>
          </cell>
          <cell r="BI1556">
            <v>30.406703917126244</v>
          </cell>
          <cell r="BJ1556">
            <v>54.409654071453552</v>
          </cell>
          <cell r="BU1556">
            <v>41.732170409678076</v>
          </cell>
          <cell r="BV1556">
            <v>29.635401891862816</v>
          </cell>
          <cell r="BW1556">
            <v>23.901518972811779</v>
          </cell>
          <cell r="BX1556">
            <v>15.713059154269443</v>
          </cell>
          <cell r="BY1556">
            <v>32.089978791354113</v>
          </cell>
        </row>
        <row r="1557">
          <cell r="A1557">
            <v>41705</v>
          </cell>
          <cell r="BF1557">
            <v>77.301983977114759</v>
          </cell>
          <cell r="BG1557">
            <v>45.468715051806292</v>
          </cell>
          <cell r="BH1557">
            <v>42.408178994289898</v>
          </cell>
          <cell r="BI1557">
            <v>30.406703917126244</v>
          </cell>
          <cell r="BJ1557">
            <v>54.409654071453552</v>
          </cell>
          <cell r="BU1557">
            <v>39.687021462413931</v>
          </cell>
          <cell r="BV1557">
            <v>29.635401891862816</v>
          </cell>
          <cell r="BW1557">
            <v>23.901518972811779</v>
          </cell>
          <cell r="BX1557">
            <v>15.713059154269443</v>
          </cell>
          <cell r="BY1557">
            <v>32.089978791354113</v>
          </cell>
        </row>
        <row r="1558">
          <cell r="A1558">
            <v>41708</v>
          </cell>
          <cell r="BF1558">
            <v>76.504359209921915</v>
          </cell>
          <cell r="BG1558">
            <v>45.468715051806292</v>
          </cell>
          <cell r="BH1558">
            <v>42.408178994289898</v>
          </cell>
          <cell r="BI1558">
            <v>30.406703917126244</v>
          </cell>
          <cell r="BJ1558">
            <v>54.409654071453552</v>
          </cell>
          <cell r="BU1558">
            <v>39.259436944900557</v>
          </cell>
          <cell r="BV1558">
            <v>29.635401891862816</v>
          </cell>
          <cell r="BW1558">
            <v>23.901518972811779</v>
          </cell>
          <cell r="BX1558">
            <v>15.713059154269443</v>
          </cell>
          <cell r="BY1558">
            <v>32.089978791354113</v>
          </cell>
        </row>
        <row r="1559">
          <cell r="A1559">
            <v>41709</v>
          </cell>
          <cell r="BF1559">
            <v>76.55948553054661</v>
          </cell>
          <cell r="BG1559">
            <v>45.468715051806292</v>
          </cell>
          <cell r="BH1559">
            <v>42.408178994289898</v>
          </cell>
          <cell r="BI1559">
            <v>30.406703917126244</v>
          </cell>
          <cell r="BJ1559">
            <v>54.409654071453552</v>
          </cell>
          <cell r="BU1559">
            <v>39.218219177375822</v>
          </cell>
          <cell r="BV1559">
            <v>29.635401891862816</v>
          </cell>
          <cell r="BW1559">
            <v>23.901518972811779</v>
          </cell>
          <cell r="BX1559">
            <v>15.713059154269443</v>
          </cell>
          <cell r="BY1559">
            <v>32.089978791354113</v>
          </cell>
        </row>
        <row r="1560">
          <cell r="A1560">
            <v>41710</v>
          </cell>
          <cell r="BF1560">
            <v>77.547083141938444</v>
          </cell>
          <cell r="BG1560">
            <v>45.468715051806292</v>
          </cell>
          <cell r="BH1560">
            <v>42.408178994289898</v>
          </cell>
          <cell r="BI1560">
            <v>30.406703917126244</v>
          </cell>
          <cell r="BJ1560">
            <v>54.409654071453552</v>
          </cell>
          <cell r="BU1560">
            <v>39.728035894244208</v>
          </cell>
          <cell r="BV1560">
            <v>29.635401891862816</v>
          </cell>
          <cell r="BW1560">
            <v>23.901518972811779</v>
          </cell>
          <cell r="BX1560">
            <v>15.713059154269443</v>
          </cell>
          <cell r="BY1560">
            <v>32.089978791354113</v>
          </cell>
        </row>
        <row r="1561">
          <cell r="A1561">
            <v>41711</v>
          </cell>
          <cell r="BF1561">
            <v>73.128158015617814</v>
          </cell>
          <cell r="BG1561">
            <v>45.468715051806292</v>
          </cell>
          <cell r="BH1561">
            <v>42.408178994289898</v>
          </cell>
          <cell r="BI1561">
            <v>30.406703917126244</v>
          </cell>
          <cell r="BJ1561">
            <v>54.409654071453552</v>
          </cell>
          <cell r="BU1561">
            <v>37.446902491326171</v>
          </cell>
          <cell r="BV1561">
            <v>29.635401891862816</v>
          </cell>
          <cell r="BW1561">
            <v>23.901518972811779</v>
          </cell>
          <cell r="BX1561">
            <v>15.713059154269443</v>
          </cell>
          <cell r="BY1561">
            <v>32.089978791354113</v>
          </cell>
        </row>
        <row r="1562">
          <cell r="A1562">
            <v>41712</v>
          </cell>
          <cell r="BF1562">
            <v>75.679396292297454</v>
          </cell>
          <cell r="BG1562">
            <v>45.468715051806292</v>
          </cell>
          <cell r="BH1562">
            <v>42.408178994289898</v>
          </cell>
          <cell r="BI1562">
            <v>30.406703917126244</v>
          </cell>
          <cell r="BJ1562">
            <v>54.409654071453552</v>
          </cell>
          <cell r="BU1562">
            <v>38.748269568634782</v>
          </cell>
          <cell r="BV1562">
            <v>29.635401891862816</v>
          </cell>
          <cell r="BW1562">
            <v>23.901518972811779</v>
          </cell>
          <cell r="BX1562">
            <v>15.713059154269443</v>
          </cell>
          <cell r="BY1562">
            <v>32.089978791354113</v>
          </cell>
        </row>
        <row r="1563">
          <cell r="A1563">
            <v>41715</v>
          </cell>
          <cell r="BF1563">
            <v>73.382182812248743</v>
          </cell>
          <cell r="BG1563">
            <v>45.468715051806292</v>
          </cell>
          <cell r="BH1563">
            <v>42.408178994289898</v>
          </cell>
          <cell r="BI1563">
            <v>30.406703917126244</v>
          </cell>
          <cell r="BJ1563">
            <v>54.409654071453552</v>
          </cell>
          <cell r="BU1563">
            <v>37.562880429954021</v>
          </cell>
          <cell r="BV1563">
            <v>29.635401891862816</v>
          </cell>
          <cell r="BW1563">
            <v>23.901518972811779</v>
          </cell>
          <cell r="BX1563">
            <v>15.713059154269443</v>
          </cell>
          <cell r="BY1563">
            <v>32.089978791354113</v>
          </cell>
        </row>
        <row r="1564">
          <cell r="A1564">
            <v>41716</v>
          </cell>
          <cell r="BF1564">
            <v>74.411339045737535</v>
          </cell>
          <cell r="BG1564">
            <v>45.468715051806292</v>
          </cell>
          <cell r="BH1564">
            <v>42.408178994289898</v>
          </cell>
          <cell r="BI1564">
            <v>30.406703917126244</v>
          </cell>
          <cell r="BJ1564">
            <v>54.409654071453552</v>
          </cell>
          <cell r="BU1564">
            <v>38.093937134861285</v>
          </cell>
          <cell r="BV1564">
            <v>29.635401891862816</v>
          </cell>
          <cell r="BW1564">
            <v>23.901518972811779</v>
          </cell>
          <cell r="BX1564">
            <v>15.713059154269443</v>
          </cell>
          <cell r="BY1564">
            <v>32.089978791354113</v>
          </cell>
        </row>
        <row r="1565">
          <cell r="A1565">
            <v>41717</v>
          </cell>
          <cell r="BF1565">
            <v>74.245939675174014</v>
          </cell>
          <cell r="BG1565">
            <v>45.468715051806292</v>
          </cell>
          <cell r="BH1565">
            <v>42.408178994289898</v>
          </cell>
          <cell r="BI1565">
            <v>30.406703917126244</v>
          </cell>
          <cell r="BJ1565">
            <v>54.409654071453552</v>
          </cell>
          <cell r="BU1565">
            <v>38.008589116876266</v>
          </cell>
          <cell r="BV1565">
            <v>29.635401891862816</v>
          </cell>
          <cell r="BW1565">
            <v>23.901518972811779</v>
          </cell>
          <cell r="BX1565">
            <v>15.713059154269443</v>
          </cell>
          <cell r="BY1565">
            <v>32.089978791354113</v>
          </cell>
        </row>
        <row r="1566">
          <cell r="A1566">
            <v>41718</v>
          </cell>
          <cell r="BF1566">
            <v>74.128777193264582</v>
          </cell>
          <cell r="BG1566">
            <v>45.468715051806292</v>
          </cell>
          <cell r="BH1566">
            <v>42.408178994289898</v>
          </cell>
          <cell r="BI1566">
            <v>30.406703917126244</v>
          </cell>
          <cell r="BJ1566">
            <v>54.409654071453552</v>
          </cell>
          <cell r="BU1566">
            <v>37.948131900025267</v>
          </cell>
          <cell r="BV1566">
            <v>29.635401891862816</v>
          </cell>
          <cell r="BW1566">
            <v>23.901518972811779</v>
          </cell>
          <cell r="BX1566">
            <v>15.713059154269443</v>
          </cell>
          <cell r="BY1566">
            <v>32.089978791354113</v>
          </cell>
        </row>
        <row r="1567">
          <cell r="A1567">
            <v>41719</v>
          </cell>
          <cell r="BF1567">
            <v>70.110955411086351</v>
          </cell>
          <cell r="BG1567">
            <v>45.468715051806292</v>
          </cell>
          <cell r="BH1567">
            <v>42.408178994289898</v>
          </cell>
          <cell r="BI1567">
            <v>30.406703917126244</v>
          </cell>
          <cell r="BJ1567">
            <v>54.409654071453552</v>
          </cell>
          <cell r="BU1567">
            <v>35.874888667250893</v>
          </cell>
          <cell r="BV1567">
            <v>29.635401891862816</v>
          </cell>
          <cell r="BW1567">
            <v>23.901518972811779</v>
          </cell>
          <cell r="BX1567">
            <v>15.713059154269443</v>
          </cell>
          <cell r="BY1567">
            <v>32.089978791354113</v>
          </cell>
        </row>
        <row r="1568">
          <cell r="A1568">
            <v>41722</v>
          </cell>
          <cell r="BF1568">
            <v>69.348275941283234</v>
          </cell>
          <cell r="BG1568">
            <v>45.468715051806292</v>
          </cell>
          <cell r="BH1568">
            <v>42.408178994289898</v>
          </cell>
          <cell r="BI1568">
            <v>30.406703917126244</v>
          </cell>
          <cell r="BJ1568">
            <v>54.409654071453552</v>
          </cell>
          <cell r="BU1568">
            <v>35.481337102430601</v>
          </cell>
          <cell r="BV1568">
            <v>29.635401891862816</v>
          </cell>
          <cell r="BW1568">
            <v>23.901518972811779</v>
          </cell>
          <cell r="BX1568">
            <v>15.713059154269443</v>
          </cell>
          <cell r="BY1568">
            <v>32.089978791354113</v>
          </cell>
        </row>
        <row r="1569">
          <cell r="A1569">
            <v>41723</v>
          </cell>
          <cell r="BF1569">
            <v>67.946980312880484</v>
          </cell>
          <cell r="BG1569">
            <v>45.468715051806292</v>
          </cell>
          <cell r="BH1569">
            <v>42.408178994289898</v>
          </cell>
          <cell r="BI1569">
            <v>30.406703917126244</v>
          </cell>
          <cell r="BJ1569">
            <v>54.409654071453552</v>
          </cell>
          <cell r="BU1569">
            <v>34.75825209861361</v>
          </cell>
          <cell r="BV1569">
            <v>29.635401891862816</v>
          </cell>
          <cell r="BW1569">
            <v>23.901518972811779</v>
          </cell>
          <cell r="BX1569">
            <v>15.713059154269443</v>
          </cell>
          <cell r="BY1569">
            <v>32.089978791354113</v>
          </cell>
        </row>
        <row r="1570">
          <cell r="A1570">
            <v>41724</v>
          </cell>
          <cell r="BF1570">
            <v>64.317383014403546</v>
          </cell>
          <cell r="BG1570">
            <v>45.468715051806292</v>
          </cell>
          <cell r="BH1570">
            <v>42.408178994289898</v>
          </cell>
          <cell r="BI1570">
            <v>30.406703917126244</v>
          </cell>
          <cell r="BJ1570">
            <v>54.409654071453552</v>
          </cell>
          <cell r="BU1570">
            <v>32.885337259498009</v>
          </cell>
          <cell r="BV1570">
            <v>29.635401891862816</v>
          </cell>
          <cell r="BW1570">
            <v>23.901518972811779</v>
          </cell>
          <cell r="BX1570">
            <v>15.713059154269443</v>
          </cell>
          <cell r="BY1570">
            <v>32.089978791354113</v>
          </cell>
        </row>
        <row r="1571">
          <cell r="A1571">
            <v>41725</v>
          </cell>
          <cell r="BF1571">
            <v>65.686517654085605</v>
          </cell>
          <cell r="BG1571">
            <v>45.468715051806292</v>
          </cell>
          <cell r="BH1571">
            <v>42.408178994289898</v>
          </cell>
          <cell r="BI1571">
            <v>30.406703917126244</v>
          </cell>
          <cell r="BJ1571">
            <v>54.409654071453552</v>
          </cell>
          <cell r="BU1571">
            <v>33.591826815373466</v>
          </cell>
          <cell r="BV1571">
            <v>29.635401891862816</v>
          </cell>
          <cell r="BW1571">
            <v>23.901518972811779</v>
          </cell>
          <cell r="BX1571">
            <v>15.713059154269443</v>
          </cell>
          <cell r="BY1571">
            <v>32.089978791354113</v>
          </cell>
        </row>
        <row r="1572">
          <cell r="A1572">
            <v>41726</v>
          </cell>
          <cell r="BF1572">
            <v>65.250047092876358</v>
          </cell>
          <cell r="BG1572">
            <v>45.468715051806292</v>
          </cell>
          <cell r="BH1572">
            <v>42.408178994289898</v>
          </cell>
          <cell r="BI1572">
            <v>30.406703917126244</v>
          </cell>
          <cell r="BJ1572">
            <v>54.409654071453552</v>
          </cell>
          <cell r="BU1572">
            <v>33.366602879024128</v>
          </cell>
          <cell r="BV1572">
            <v>29.635401891862816</v>
          </cell>
          <cell r="BW1572">
            <v>23.901518972811779</v>
          </cell>
          <cell r="BX1572">
            <v>15.713059154269443</v>
          </cell>
          <cell r="BY1572">
            <v>32.089978791354113</v>
          </cell>
        </row>
        <row r="1573">
          <cell r="A1573">
            <v>41729</v>
          </cell>
          <cell r="BF1573">
            <v>68.337638338217531</v>
          </cell>
          <cell r="BG1573">
            <v>45.468715051806292</v>
          </cell>
          <cell r="BH1573">
            <v>42.408178994289898</v>
          </cell>
          <cell r="BI1573">
            <v>30.406703917126244</v>
          </cell>
          <cell r="BJ1573">
            <v>54.409654071453552</v>
          </cell>
          <cell r="BU1573">
            <v>34.87262320810725</v>
          </cell>
          <cell r="BV1573">
            <v>29.635401891862816</v>
          </cell>
          <cell r="BW1573">
            <v>23.901518972811779</v>
          </cell>
          <cell r="BX1573">
            <v>15.713059154269443</v>
          </cell>
          <cell r="BY1573">
            <v>32.089978791354113</v>
          </cell>
        </row>
        <row r="1574">
          <cell r="A1574">
            <v>41730</v>
          </cell>
          <cell r="BF1574">
            <v>70.325467753586622</v>
          </cell>
          <cell r="BG1574">
            <v>45.468715051806292</v>
          </cell>
          <cell r="BH1574">
            <v>42.408178994289898</v>
          </cell>
          <cell r="BI1574">
            <v>30.406703917126244</v>
          </cell>
          <cell r="BJ1574">
            <v>54.409654071453552</v>
          </cell>
          <cell r="BU1574">
            <v>35.987252029400203</v>
          </cell>
          <cell r="BV1574">
            <v>29.635401891862816</v>
          </cell>
          <cell r="BW1574">
            <v>23.901518972811779</v>
          </cell>
          <cell r="BX1574">
            <v>15.713059154269443</v>
          </cell>
          <cell r="BY1574">
            <v>32.089978791354113</v>
          </cell>
        </row>
        <row r="1575">
          <cell r="A1575">
            <v>41731</v>
          </cell>
          <cell r="BF1575">
            <v>70.603885611220463</v>
          </cell>
          <cell r="BG1575">
            <v>45.468715051806292</v>
          </cell>
          <cell r="BH1575">
            <v>42.408178994289898</v>
          </cell>
          <cell r="BI1575">
            <v>30.406703917126244</v>
          </cell>
          <cell r="BJ1575">
            <v>54.409654071453552</v>
          </cell>
          <cell r="BU1575">
            <v>36.115278756065713</v>
          </cell>
          <cell r="BV1575">
            <v>29.635401891862816</v>
          </cell>
          <cell r="BW1575">
            <v>23.901518972811779</v>
          </cell>
          <cell r="BX1575">
            <v>15.713059154269443</v>
          </cell>
          <cell r="BY1575">
            <v>32.089978791354113</v>
          </cell>
        </row>
        <row r="1576">
          <cell r="A1576">
            <v>41732</v>
          </cell>
          <cell r="BF1576">
            <v>66.93772800722175</v>
          </cell>
          <cell r="BG1576">
            <v>45.468715051806292</v>
          </cell>
          <cell r="BH1576">
            <v>42.408178994289898</v>
          </cell>
          <cell r="BI1576">
            <v>30.406703917126244</v>
          </cell>
          <cell r="BJ1576">
            <v>54.409654071453552</v>
          </cell>
          <cell r="BU1576">
            <v>34.224532290722649</v>
          </cell>
          <cell r="BV1576">
            <v>29.635401891862816</v>
          </cell>
          <cell r="BW1576">
            <v>23.901518972811779</v>
          </cell>
          <cell r="BX1576">
            <v>15.713059154269443</v>
          </cell>
          <cell r="BY1576">
            <v>32.089978791354113</v>
          </cell>
        </row>
        <row r="1577">
          <cell r="A1577">
            <v>41733</v>
          </cell>
          <cell r="BF1577">
            <v>62.486941490367371</v>
          </cell>
          <cell r="BG1577">
            <v>45.468715051806292</v>
          </cell>
          <cell r="BH1577">
            <v>42.408178994289898</v>
          </cell>
          <cell r="BI1577">
            <v>30.406703917126244</v>
          </cell>
          <cell r="BJ1577">
            <v>54.409654071453552</v>
          </cell>
          <cell r="BU1577">
            <v>31.92912936926604</v>
          </cell>
          <cell r="BV1577">
            <v>29.635401891862816</v>
          </cell>
          <cell r="BW1577">
            <v>23.901518972811779</v>
          </cell>
          <cell r="BX1577">
            <v>15.713059154269443</v>
          </cell>
          <cell r="BY1577">
            <v>32.089978791354113</v>
          </cell>
        </row>
        <row r="1578">
          <cell r="A1578">
            <v>41736</v>
          </cell>
          <cell r="BF1578">
            <v>63.26789534928001</v>
          </cell>
          <cell r="BG1578">
            <v>45.468715051806292</v>
          </cell>
          <cell r="BH1578">
            <v>42.408178994289898</v>
          </cell>
          <cell r="BI1578">
            <v>30.406703917126244</v>
          </cell>
          <cell r="BJ1578">
            <v>54.409654071453552</v>
          </cell>
          <cell r="BU1578">
            <v>32.264166139527362</v>
          </cell>
          <cell r="BV1578">
            <v>29.635401891862816</v>
          </cell>
          <cell r="BW1578">
            <v>23.901518972811779</v>
          </cell>
          <cell r="BX1578">
            <v>15.713059154269443</v>
          </cell>
          <cell r="BY1578">
            <v>32.089978791354113</v>
          </cell>
        </row>
        <row r="1579">
          <cell r="A1579">
            <v>41737</v>
          </cell>
          <cell r="BF1579">
            <v>63.794279716616181</v>
          </cell>
          <cell r="BG1579">
            <v>45.468715051806292</v>
          </cell>
          <cell r="BH1579">
            <v>42.408178994289898</v>
          </cell>
          <cell r="BI1579">
            <v>30.406703917126244</v>
          </cell>
          <cell r="BJ1579">
            <v>54.409654071453552</v>
          </cell>
          <cell r="BU1579">
            <v>32.612823010331972</v>
          </cell>
          <cell r="BV1579">
            <v>29.635401891862816</v>
          </cell>
          <cell r="BW1579">
            <v>23.901518972811779</v>
          </cell>
          <cell r="BX1579">
            <v>15.713059154269443</v>
          </cell>
          <cell r="BY1579">
            <v>32.089978791354113</v>
          </cell>
        </row>
        <row r="1580">
          <cell r="A1580">
            <v>41738</v>
          </cell>
          <cell r="BF1580">
            <v>65.602579000643814</v>
          </cell>
          <cell r="BG1580">
            <v>45.468715051806292</v>
          </cell>
          <cell r="BH1580">
            <v>42.408178994289898</v>
          </cell>
          <cell r="BI1580">
            <v>30.406703917126244</v>
          </cell>
          <cell r="BJ1580">
            <v>54.409654071453552</v>
          </cell>
          <cell r="BU1580">
            <v>33.545666276787685</v>
          </cell>
          <cell r="BV1580">
            <v>29.635401891862816</v>
          </cell>
          <cell r="BW1580">
            <v>23.901518972811779</v>
          </cell>
          <cell r="BX1580">
            <v>15.713059154269443</v>
          </cell>
          <cell r="BY1580">
            <v>32.089978791354113</v>
          </cell>
        </row>
        <row r="1581">
          <cell r="A1581">
            <v>41739</v>
          </cell>
          <cell r="BF1581">
            <v>61.059339505947548</v>
          </cell>
          <cell r="BG1581">
            <v>45.468715051806292</v>
          </cell>
          <cell r="BH1581">
            <v>42.408178994289898</v>
          </cell>
          <cell r="BI1581">
            <v>30.406703917126244</v>
          </cell>
          <cell r="BJ1581">
            <v>54.409654071453552</v>
          </cell>
          <cell r="BU1581">
            <v>31.201955582458659</v>
          </cell>
          <cell r="BV1581">
            <v>29.635401891862816</v>
          </cell>
          <cell r="BW1581">
            <v>23.901518972811779</v>
          </cell>
          <cell r="BX1581">
            <v>15.713059154269443</v>
          </cell>
          <cell r="BY1581">
            <v>32.089978791354113</v>
          </cell>
        </row>
        <row r="1582">
          <cell r="A1582">
            <v>41740</v>
          </cell>
          <cell r="BF1582">
            <v>60.84811218177655</v>
          </cell>
          <cell r="BG1582">
            <v>45.468715051806292</v>
          </cell>
          <cell r="BH1582">
            <v>42.408178994289898</v>
          </cell>
          <cell r="BI1582">
            <v>30.406703917126244</v>
          </cell>
          <cell r="BJ1582">
            <v>54.409654071453552</v>
          </cell>
          <cell r="BU1582">
            <v>31.024298415282523</v>
          </cell>
          <cell r="BV1582">
            <v>29.635401891862816</v>
          </cell>
          <cell r="BW1582">
            <v>23.901518972811779</v>
          </cell>
          <cell r="BX1582">
            <v>15.713059154269443</v>
          </cell>
          <cell r="BY1582">
            <v>32.089978791354113</v>
          </cell>
        </row>
        <row r="1583">
          <cell r="A1583">
            <v>41743</v>
          </cell>
          <cell r="BF1583">
            <v>59.372253346839102</v>
          </cell>
          <cell r="BG1583">
            <v>45.468715051806292</v>
          </cell>
          <cell r="BH1583">
            <v>42.408178994289898</v>
          </cell>
          <cell r="BI1583">
            <v>30.406703917126244</v>
          </cell>
          <cell r="BJ1583">
            <v>54.409654071453552</v>
          </cell>
          <cell r="BU1583">
            <v>30.25075182204445</v>
          </cell>
          <cell r="BV1583">
            <v>29.635401891862816</v>
          </cell>
          <cell r="BW1583">
            <v>23.901518972811779</v>
          </cell>
          <cell r="BX1583">
            <v>15.713059154269443</v>
          </cell>
          <cell r="BY1583">
            <v>32.089978791354113</v>
          </cell>
        </row>
        <row r="1584">
          <cell r="A1584">
            <v>41744</v>
          </cell>
          <cell r="BF1584">
            <v>58.971758353026487</v>
          </cell>
          <cell r="BG1584">
            <v>45.468715051806292</v>
          </cell>
          <cell r="BH1584">
            <v>42.408178994289898</v>
          </cell>
          <cell r="BI1584">
            <v>30.406703917126244</v>
          </cell>
          <cell r="BJ1584">
            <v>54.409654071453552</v>
          </cell>
          <cell r="BU1584">
            <v>30.044699599921067</v>
          </cell>
          <cell r="BV1584">
            <v>29.635401891862816</v>
          </cell>
          <cell r="BW1584">
            <v>23.901518972811779</v>
          </cell>
          <cell r="BX1584">
            <v>15.713059154269443</v>
          </cell>
          <cell r="BY1584">
            <v>32.089978791354113</v>
          </cell>
        </row>
        <row r="1585">
          <cell r="A1585">
            <v>41745</v>
          </cell>
          <cell r="BF1585">
            <v>61.312024305170979</v>
          </cell>
          <cell r="BG1585">
            <v>45.468715051806292</v>
          </cell>
          <cell r="BH1585">
            <v>42.408178994289898</v>
          </cell>
          <cell r="BI1585">
            <v>30.406703917126244</v>
          </cell>
          <cell r="BJ1585">
            <v>54.409654071453552</v>
          </cell>
          <cell r="BU1585">
            <v>31.230014640326861</v>
          </cell>
          <cell r="BV1585">
            <v>29.635401891862816</v>
          </cell>
          <cell r="BW1585">
            <v>23.901518972811779</v>
          </cell>
          <cell r="BX1585">
            <v>15.713059154269443</v>
          </cell>
          <cell r="BY1585">
            <v>32.089978791354113</v>
          </cell>
        </row>
        <row r="1586">
          <cell r="A1586">
            <v>41746</v>
          </cell>
          <cell r="BF1586">
            <v>60.965455159227432</v>
          </cell>
          <cell r="BG1586">
            <v>45.468715051806292</v>
          </cell>
          <cell r="BH1586">
            <v>42.408178994289898</v>
          </cell>
          <cell r="BI1586">
            <v>30.406703917126244</v>
          </cell>
          <cell r="BJ1586">
            <v>54.409654071453552</v>
          </cell>
          <cell r="BU1586">
            <v>31.051813474343781</v>
          </cell>
          <cell r="BV1586">
            <v>29.635401891862816</v>
          </cell>
          <cell r="BW1586">
            <v>23.901518972811779</v>
          </cell>
          <cell r="BX1586">
            <v>15.713059154269443</v>
          </cell>
          <cell r="BY1586">
            <v>32.089978791354113</v>
          </cell>
        </row>
        <row r="1587">
          <cell r="A1587">
            <v>41747</v>
          </cell>
          <cell r="BF1587">
            <v>60.992907801424536</v>
          </cell>
          <cell r="BG1587">
            <v>45.468715051806292</v>
          </cell>
          <cell r="BH1587">
            <v>42.408178994289898</v>
          </cell>
          <cell r="BI1587">
            <v>30.406703917126244</v>
          </cell>
          <cell r="BJ1587">
            <v>54.409654071453552</v>
          </cell>
          <cell r="BU1587">
            <v>31.052410609530991</v>
          </cell>
          <cell r="BV1587">
            <v>29.635401891862816</v>
          </cell>
          <cell r="BW1587">
            <v>23.901518972811779</v>
          </cell>
          <cell r="BX1587">
            <v>15.713059154269443</v>
          </cell>
          <cell r="BY1587">
            <v>32.089978791354113</v>
          </cell>
        </row>
        <row r="1588">
          <cell r="A1588">
            <v>41750</v>
          </cell>
          <cell r="BF1588">
            <v>63.634383566794462</v>
          </cell>
          <cell r="BG1588">
            <v>45.468715051806292</v>
          </cell>
          <cell r="BH1588">
            <v>42.408178994289898</v>
          </cell>
          <cell r="BI1588">
            <v>30.406703917126244</v>
          </cell>
          <cell r="BJ1588">
            <v>54.409654071453552</v>
          </cell>
          <cell r="BU1588">
            <v>32.473228802278086</v>
          </cell>
          <cell r="BV1588">
            <v>29.635401891862816</v>
          </cell>
          <cell r="BW1588">
            <v>23.901518972811779</v>
          </cell>
          <cell r="BX1588">
            <v>15.713059154269443</v>
          </cell>
          <cell r="BY1588">
            <v>32.089978791354113</v>
          </cell>
        </row>
        <row r="1589">
          <cell r="A1589">
            <v>41751</v>
          </cell>
          <cell r="BF1589">
            <v>66.664163919908759</v>
          </cell>
          <cell r="BG1589">
            <v>45.468715051806292</v>
          </cell>
          <cell r="BH1589">
            <v>42.408178994289898</v>
          </cell>
          <cell r="BI1589">
            <v>30.406703917126244</v>
          </cell>
          <cell r="BJ1589">
            <v>54.409654071453552</v>
          </cell>
          <cell r="BU1589">
            <v>33.866593815312378</v>
          </cell>
          <cell r="BV1589">
            <v>29.635401891862816</v>
          </cell>
          <cell r="BW1589">
            <v>23.901518972811779</v>
          </cell>
          <cell r="BX1589">
            <v>15.713059154269443</v>
          </cell>
          <cell r="BY1589">
            <v>32.089978791354113</v>
          </cell>
        </row>
        <row r="1590">
          <cell r="A1590">
            <v>41752</v>
          </cell>
          <cell r="BF1590">
            <v>66.231125916292271</v>
          </cell>
          <cell r="BG1590">
            <v>45.468715051806292</v>
          </cell>
          <cell r="BH1590">
            <v>42.408178994289898</v>
          </cell>
          <cell r="BI1590">
            <v>30.406703917126244</v>
          </cell>
          <cell r="BJ1590">
            <v>54.409654071453552</v>
          </cell>
          <cell r="BU1590">
            <v>33.846082148954309</v>
          </cell>
          <cell r="BV1590">
            <v>29.635401891862816</v>
          </cell>
          <cell r="BW1590">
            <v>23.901518972811779</v>
          </cell>
          <cell r="BX1590">
            <v>15.713059154269443</v>
          </cell>
          <cell r="BY1590">
            <v>32.089978791354113</v>
          </cell>
        </row>
        <row r="1591">
          <cell r="A1591">
            <v>41753</v>
          </cell>
          <cell r="BF1591">
            <v>65.364941327559535</v>
          </cell>
          <cell r="BG1591">
            <v>45.468715051806292</v>
          </cell>
          <cell r="BH1591">
            <v>42.408178994289898</v>
          </cell>
          <cell r="BI1591">
            <v>30.406703917126244</v>
          </cell>
          <cell r="BJ1591">
            <v>54.409654071453552</v>
          </cell>
          <cell r="BU1591">
            <v>33.401067511370293</v>
          </cell>
          <cell r="BV1591">
            <v>29.635401891862816</v>
          </cell>
          <cell r="BW1591">
            <v>23.901518972811779</v>
          </cell>
          <cell r="BX1591">
            <v>15.713059154269443</v>
          </cell>
          <cell r="BY1591">
            <v>32.089978791354113</v>
          </cell>
        </row>
        <row r="1592">
          <cell r="A1592">
            <v>41754</v>
          </cell>
          <cell r="BF1592">
            <v>59.910119811669254</v>
          </cell>
          <cell r="BG1592">
            <v>45.468715051806292</v>
          </cell>
          <cell r="BH1592">
            <v>42.408178994289898</v>
          </cell>
          <cell r="BI1592">
            <v>30.406703917126244</v>
          </cell>
          <cell r="BJ1592">
            <v>54.409654071453552</v>
          </cell>
          <cell r="BU1592">
            <v>31.065517256324185</v>
          </cell>
          <cell r="BV1592">
            <v>29.635401891862816</v>
          </cell>
          <cell r="BW1592">
            <v>23.901518972811779</v>
          </cell>
          <cell r="BX1592">
            <v>15.713059154269443</v>
          </cell>
          <cell r="BY1592">
            <v>32.089978791354113</v>
          </cell>
        </row>
        <row r="1593">
          <cell r="A1593">
            <v>41757</v>
          </cell>
          <cell r="BF1593">
            <v>57.242107365513505</v>
          </cell>
          <cell r="BG1593">
            <v>45.468715051806292</v>
          </cell>
          <cell r="BH1593">
            <v>42.408178994289898</v>
          </cell>
          <cell r="BI1593">
            <v>30.406703917126244</v>
          </cell>
          <cell r="BJ1593">
            <v>54.409654071453552</v>
          </cell>
          <cell r="BU1593">
            <v>31.065517256324185</v>
          </cell>
          <cell r="BV1593">
            <v>29.635401891862816</v>
          </cell>
          <cell r="BW1593">
            <v>23.901518972811779</v>
          </cell>
          <cell r="BX1593">
            <v>15.713059154269443</v>
          </cell>
          <cell r="BY1593">
            <v>32.089978791354113</v>
          </cell>
        </row>
        <row r="1594">
          <cell r="A1594">
            <v>41758</v>
          </cell>
          <cell r="BF1594">
            <v>57.400459363459227</v>
          </cell>
          <cell r="BG1594">
            <v>45.468715051806292</v>
          </cell>
          <cell r="BH1594">
            <v>42.408178994289898</v>
          </cell>
          <cell r="BI1594">
            <v>30.406703917126244</v>
          </cell>
          <cell r="BJ1594">
            <v>54.409654071453552</v>
          </cell>
          <cell r="BU1594">
            <v>31.065517256324185</v>
          </cell>
          <cell r="BV1594">
            <v>29.635401891862816</v>
          </cell>
          <cell r="BW1594">
            <v>23.901518972811779</v>
          </cell>
          <cell r="BX1594">
            <v>15.713059154269443</v>
          </cell>
          <cell r="BY1594">
            <v>32.089978791354113</v>
          </cell>
        </row>
        <row r="1595">
          <cell r="A1595">
            <v>41759</v>
          </cell>
          <cell r="BF1595">
            <v>58.140861948448674</v>
          </cell>
          <cell r="BG1595">
            <v>45.468715051806292</v>
          </cell>
          <cell r="BH1595">
            <v>42.408178994289898</v>
          </cell>
          <cell r="BI1595">
            <v>30.406703917126244</v>
          </cell>
          <cell r="BJ1595">
            <v>54.409654071453552</v>
          </cell>
          <cell r="BU1595">
            <v>31.071887345479698</v>
          </cell>
          <cell r="BV1595">
            <v>29.635401891862816</v>
          </cell>
          <cell r="BW1595">
            <v>23.901518972811779</v>
          </cell>
          <cell r="BX1595">
            <v>15.713059154269443</v>
          </cell>
          <cell r="BY1595">
            <v>32.089978791354113</v>
          </cell>
        </row>
        <row r="1596">
          <cell r="A1596">
            <v>41760</v>
          </cell>
          <cell r="BF1596">
            <v>59.065473253935323</v>
          </cell>
          <cell r="BG1596">
            <v>45.468715051806292</v>
          </cell>
          <cell r="BH1596">
            <v>42.408178994289898</v>
          </cell>
          <cell r="BI1596">
            <v>30.406703917126244</v>
          </cell>
          <cell r="BJ1596">
            <v>54.409654071453552</v>
          </cell>
          <cell r="BU1596">
            <v>29.993814989663935</v>
          </cell>
          <cell r="BV1596">
            <v>29.635401891862816</v>
          </cell>
          <cell r="BW1596">
            <v>23.901518972811779</v>
          </cell>
          <cell r="BX1596">
            <v>15.713059154269443</v>
          </cell>
          <cell r="BY1596">
            <v>32.089978791354113</v>
          </cell>
        </row>
        <row r="1597">
          <cell r="A1597">
            <v>41761</v>
          </cell>
          <cell r="BF1597">
            <v>58.845580379173157</v>
          </cell>
          <cell r="BG1597">
            <v>45.468715051806292</v>
          </cell>
          <cell r="BH1597">
            <v>42.408178994289898</v>
          </cell>
          <cell r="BI1597">
            <v>30.406703917126244</v>
          </cell>
          <cell r="BJ1597">
            <v>54.409654071453552</v>
          </cell>
          <cell r="BU1597">
            <v>29.993814989663935</v>
          </cell>
          <cell r="BV1597">
            <v>29.635401891862816</v>
          </cell>
          <cell r="BW1597">
            <v>23.901518972811779</v>
          </cell>
          <cell r="BX1597">
            <v>15.713059154269443</v>
          </cell>
          <cell r="BY1597">
            <v>32.089978791354113</v>
          </cell>
        </row>
        <row r="1598">
          <cell r="A1598">
            <v>41764</v>
          </cell>
          <cell r="BF1598">
            <v>59.904890513373125</v>
          </cell>
          <cell r="BG1598">
            <v>45.468715051806292</v>
          </cell>
          <cell r="BH1598">
            <v>42.408178994289898</v>
          </cell>
          <cell r="BI1598">
            <v>30.406703917126244</v>
          </cell>
          <cell r="BJ1598">
            <v>54.409654071453552</v>
          </cell>
          <cell r="BU1598">
            <v>30.421143257556636</v>
          </cell>
          <cell r="BV1598">
            <v>29.635401891862816</v>
          </cell>
          <cell r="BW1598">
            <v>23.901518972811779</v>
          </cell>
          <cell r="BX1598">
            <v>15.713059154269443</v>
          </cell>
          <cell r="BY1598">
            <v>32.089978791354113</v>
          </cell>
        </row>
        <row r="1599">
          <cell r="A1599">
            <v>41765</v>
          </cell>
          <cell r="BF1599">
            <v>59.008393423125938</v>
          </cell>
          <cell r="BG1599">
            <v>45.468715051806292</v>
          </cell>
          <cell r="BH1599">
            <v>42.408178994289898</v>
          </cell>
          <cell r="BI1599">
            <v>30.406703917126244</v>
          </cell>
          <cell r="BJ1599">
            <v>54.409654071453552</v>
          </cell>
          <cell r="BU1599">
            <v>30.036923811286908</v>
          </cell>
          <cell r="BV1599">
            <v>29.635401891862816</v>
          </cell>
          <cell r="BW1599">
            <v>23.901518972811779</v>
          </cell>
          <cell r="BX1599">
            <v>15.713059154269443</v>
          </cell>
          <cell r="BY1599">
            <v>32.089978791354113</v>
          </cell>
        </row>
        <row r="1600">
          <cell r="A1600">
            <v>41766</v>
          </cell>
          <cell r="BF1600">
            <v>59.803227395569856</v>
          </cell>
          <cell r="BG1600">
            <v>45.468715051806292</v>
          </cell>
          <cell r="BH1600">
            <v>42.408178994289898</v>
          </cell>
          <cell r="BI1600">
            <v>30.406703917126244</v>
          </cell>
          <cell r="BJ1600">
            <v>54.409654071453552</v>
          </cell>
          <cell r="BU1600">
            <v>30.489460405394706</v>
          </cell>
          <cell r="BV1600">
            <v>29.635401891862816</v>
          </cell>
          <cell r="BW1600">
            <v>23.901518972811779</v>
          </cell>
          <cell r="BX1600">
            <v>15.713059154269443</v>
          </cell>
          <cell r="BY1600">
            <v>32.089978791354113</v>
          </cell>
        </row>
        <row r="1601">
          <cell r="A1601">
            <v>41767</v>
          </cell>
          <cell r="BF1601">
            <v>59.081184551295486</v>
          </cell>
          <cell r="BG1601">
            <v>45.468715051806292</v>
          </cell>
          <cell r="BH1601">
            <v>42.408178994289898</v>
          </cell>
          <cell r="BI1601">
            <v>30.406703917126244</v>
          </cell>
          <cell r="BJ1601">
            <v>54.409654071453552</v>
          </cell>
          <cell r="BU1601">
            <v>30.11920358571691</v>
          </cell>
          <cell r="BV1601">
            <v>29.635401891862816</v>
          </cell>
          <cell r="BW1601">
            <v>23.901518972811779</v>
          </cell>
          <cell r="BX1601">
            <v>15.713059154269443</v>
          </cell>
          <cell r="BY1601">
            <v>32.089978791354113</v>
          </cell>
        </row>
        <row r="1602">
          <cell r="A1602">
            <v>41768</v>
          </cell>
          <cell r="BF1602">
            <v>60.521051964875198</v>
          </cell>
          <cell r="BG1602">
            <v>45.468715051806292</v>
          </cell>
          <cell r="BH1602">
            <v>42.408178994289898</v>
          </cell>
          <cell r="BI1602">
            <v>30.406703917126244</v>
          </cell>
          <cell r="BJ1602">
            <v>54.409654071453552</v>
          </cell>
          <cell r="BU1602">
            <v>30.857554133107872</v>
          </cell>
          <cell r="BV1602">
            <v>29.635401891862816</v>
          </cell>
          <cell r="BW1602">
            <v>23.901518972811779</v>
          </cell>
          <cell r="BX1602">
            <v>15.713059154269443</v>
          </cell>
          <cell r="BY1602">
            <v>32.089978791354113</v>
          </cell>
        </row>
        <row r="1603">
          <cell r="A1603">
            <v>41771</v>
          </cell>
          <cell r="BF1603">
            <v>62.590079945958614</v>
          </cell>
          <cell r="BG1603">
            <v>45.468715051806292</v>
          </cell>
          <cell r="BH1603">
            <v>42.408178994289898</v>
          </cell>
          <cell r="BI1603">
            <v>30.406703917126244</v>
          </cell>
          <cell r="BJ1603">
            <v>54.409654071453552</v>
          </cell>
          <cell r="BU1603">
            <v>31.918532337067756</v>
          </cell>
          <cell r="BV1603">
            <v>29.635401891862816</v>
          </cell>
          <cell r="BW1603">
            <v>23.901518972811779</v>
          </cell>
          <cell r="BX1603">
            <v>15.713059154269443</v>
          </cell>
          <cell r="BY1603">
            <v>32.089978791354113</v>
          </cell>
        </row>
        <row r="1604">
          <cell r="A1604">
            <v>41772</v>
          </cell>
          <cell r="BF1604">
            <v>62.864538058783779</v>
          </cell>
          <cell r="BG1604">
            <v>45.468715051806292</v>
          </cell>
          <cell r="BH1604">
            <v>42.408178994289898</v>
          </cell>
          <cell r="BI1604">
            <v>30.406703917126244</v>
          </cell>
          <cell r="BJ1604">
            <v>54.409654071453552</v>
          </cell>
          <cell r="BU1604">
            <v>32.059271891230274</v>
          </cell>
          <cell r="BV1604">
            <v>29.635401891862816</v>
          </cell>
          <cell r="BW1604">
            <v>23.901518972811779</v>
          </cell>
          <cell r="BX1604">
            <v>15.713059154269443</v>
          </cell>
          <cell r="BY1604">
            <v>32.089978791354113</v>
          </cell>
        </row>
        <row r="1605">
          <cell r="A1605">
            <v>41773</v>
          </cell>
          <cell r="BF1605">
            <v>61.112205832682932</v>
          </cell>
          <cell r="BG1605">
            <v>45.468715051806292</v>
          </cell>
          <cell r="BH1605">
            <v>42.408178994289898</v>
          </cell>
          <cell r="BI1605">
            <v>30.406703917126244</v>
          </cell>
          <cell r="BJ1605">
            <v>54.409654071453552</v>
          </cell>
          <cell r="BU1605">
            <v>31.160692309422998</v>
          </cell>
          <cell r="BV1605">
            <v>29.635401891862816</v>
          </cell>
          <cell r="BW1605">
            <v>23.901518972811779</v>
          </cell>
          <cell r="BX1605">
            <v>15.713059154269443</v>
          </cell>
          <cell r="BY1605">
            <v>32.089978791354113</v>
          </cell>
        </row>
        <row r="1606">
          <cell r="A1606">
            <v>41774</v>
          </cell>
          <cell r="BF1606">
            <v>61.12065082761594</v>
          </cell>
          <cell r="BG1606">
            <v>45.468715051806292</v>
          </cell>
          <cell r="BH1606">
            <v>42.408178994289898</v>
          </cell>
          <cell r="BI1606">
            <v>30.406703917126244</v>
          </cell>
          <cell r="BJ1606">
            <v>54.409654071453552</v>
          </cell>
          <cell r="BU1606">
            <v>31.165022823866686</v>
          </cell>
          <cell r="BV1606">
            <v>29.635401891862816</v>
          </cell>
          <cell r="BW1606">
            <v>23.901518972811779</v>
          </cell>
          <cell r="BX1606">
            <v>15.713059154269443</v>
          </cell>
          <cell r="BY1606">
            <v>32.089978791354113</v>
          </cell>
        </row>
        <row r="1607">
          <cell r="A1607">
            <v>41775</v>
          </cell>
          <cell r="BF1607">
            <v>60.812404290063832</v>
          </cell>
          <cell r="BG1607">
            <v>45.468715051806292</v>
          </cell>
          <cell r="BH1607">
            <v>42.408178994289898</v>
          </cell>
          <cell r="BI1607">
            <v>30.406703917126244</v>
          </cell>
          <cell r="BJ1607">
            <v>54.409654071453552</v>
          </cell>
          <cell r="BU1607">
            <v>31.006956881414983</v>
          </cell>
          <cell r="BV1607">
            <v>29.635401891862816</v>
          </cell>
          <cell r="BW1607">
            <v>23.901518972811779</v>
          </cell>
          <cell r="BX1607">
            <v>15.713059154269443</v>
          </cell>
          <cell r="BY1607">
            <v>32.089978791354113</v>
          </cell>
        </row>
        <row r="1608">
          <cell r="A1608">
            <v>41778</v>
          </cell>
          <cell r="BF1608">
            <v>64.228404740463915</v>
          </cell>
          <cell r="BG1608">
            <v>45.468715051806292</v>
          </cell>
          <cell r="BH1608">
            <v>42.408178994289898</v>
          </cell>
          <cell r="BI1608">
            <v>30.406703917126244</v>
          </cell>
          <cell r="BJ1608">
            <v>54.409654071453552</v>
          </cell>
          <cell r="BU1608">
            <v>32.758649973885298</v>
          </cell>
          <cell r="BV1608">
            <v>29.635401891862816</v>
          </cell>
          <cell r="BW1608">
            <v>23.901518972811779</v>
          </cell>
          <cell r="BX1608">
            <v>15.713059154269443</v>
          </cell>
          <cell r="BY1608">
            <v>32.089978791354113</v>
          </cell>
        </row>
        <row r="1609">
          <cell r="A1609">
            <v>41779</v>
          </cell>
          <cell r="BF1609">
            <v>62.63230069812618</v>
          </cell>
          <cell r="BG1609">
            <v>45.468715051806292</v>
          </cell>
          <cell r="BH1609">
            <v>42.408178994289898</v>
          </cell>
          <cell r="BI1609">
            <v>30.406703917126244</v>
          </cell>
          <cell r="BJ1609">
            <v>54.409654071453552</v>
          </cell>
          <cell r="BU1609">
            <v>31.940182744028956</v>
          </cell>
          <cell r="BV1609">
            <v>29.635401891862816</v>
          </cell>
          <cell r="BW1609">
            <v>23.901518972811779</v>
          </cell>
          <cell r="BX1609">
            <v>15.713059154269443</v>
          </cell>
          <cell r="BY1609">
            <v>32.089978791354113</v>
          </cell>
        </row>
        <row r="1610">
          <cell r="A1610">
            <v>41780</v>
          </cell>
          <cell r="BF1610">
            <v>65.013789269233285</v>
          </cell>
          <cell r="BG1610">
            <v>45.468715051806292</v>
          </cell>
          <cell r="BH1610">
            <v>42.408178994289898</v>
          </cell>
          <cell r="BI1610">
            <v>30.406703917126244</v>
          </cell>
          <cell r="BJ1610">
            <v>54.409654071453552</v>
          </cell>
          <cell r="BU1610">
            <v>33.161387817147933</v>
          </cell>
          <cell r="BV1610">
            <v>29.635401891862816</v>
          </cell>
          <cell r="BW1610">
            <v>23.901518972811779</v>
          </cell>
          <cell r="BX1610">
            <v>15.713059154269443</v>
          </cell>
          <cell r="BY1610">
            <v>32.089978791354113</v>
          </cell>
        </row>
        <row r="1611">
          <cell r="A1611">
            <v>41781</v>
          </cell>
          <cell r="BF1611">
            <v>66.453660905310443</v>
          </cell>
          <cell r="BG1611">
            <v>45.468715051806292</v>
          </cell>
          <cell r="BH1611">
            <v>42.408178994289898</v>
          </cell>
          <cell r="BI1611">
            <v>30.406703917126244</v>
          </cell>
          <cell r="BJ1611">
            <v>54.409654071453552</v>
          </cell>
          <cell r="BU1611">
            <v>33.899740529796119</v>
          </cell>
          <cell r="BV1611">
            <v>29.635401891862816</v>
          </cell>
          <cell r="BW1611">
            <v>23.901518972811779</v>
          </cell>
          <cell r="BX1611">
            <v>15.713059154269443</v>
          </cell>
          <cell r="BY1611">
            <v>32.089978791354113</v>
          </cell>
        </row>
        <row r="1612">
          <cell r="A1612">
            <v>41782</v>
          </cell>
          <cell r="BF1612">
            <v>67.222159666711278</v>
          </cell>
          <cell r="BG1612">
            <v>45.468715051806292</v>
          </cell>
          <cell r="BH1612">
            <v>42.408178994289898</v>
          </cell>
          <cell r="BI1612">
            <v>30.406703917126244</v>
          </cell>
          <cell r="BJ1612">
            <v>54.409654071453552</v>
          </cell>
          <cell r="BU1612">
            <v>34.293819509428616</v>
          </cell>
          <cell r="BV1612">
            <v>29.635401891862816</v>
          </cell>
          <cell r="BW1612">
            <v>23.901518972811779</v>
          </cell>
          <cell r="BX1612">
            <v>15.713059154269443</v>
          </cell>
          <cell r="BY1612">
            <v>32.089978791354113</v>
          </cell>
        </row>
        <row r="1613">
          <cell r="A1613">
            <v>41785</v>
          </cell>
          <cell r="BF1613">
            <v>67.222159666711278</v>
          </cell>
          <cell r="BG1613">
            <v>45.468715051806292</v>
          </cell>
          <cell r="BH1613">
            <v>42.408178994289898</v>
          </cell>
          <cell r="BI1613">
            <v>30.406703917126244</v>
          </cell>
          <cell r="BJ1613">
            <v>54.409654071453552</v>
          </cell>
          <cell r="BU1613">
            <v>34.293819509428616</v>
          </cell>
          <cell r="BV1613">
            <v>29.635401891862816</v>
          </cell>
          <cell r="BW1613">
            <v>23.901518972811779</v>
          </cell>
          <cell r="BX1613">
            <v>15.713059154269443</v>
          </cell>
          <cell r="BY1613">
            <v>32.089978791354113</v>
          </cell>
        </row>
        <row r="1614">
          <cell r="A1614">
            <v>41786</v>
          </cell>
          <cell r="BF1614">
            <v>67.433284540036368</v>
          </cell>
          <cell r="BG1614">
            <v>45.468715051806292</v>
          </cell>
          <cell r="BH1614">
            <v>42.408178994289898</v>
          </cell>
          <cell r="BI1614">
            <v>30.406703917126244</v>
          </cell>
          <cell r="BJ1614">
            <v>54.409654071453552</v>
          </cell>
          <cell r="BU1614">
            <v>34.402082370520723</v>
          </cell>
          <cell r="BV1614">
            <v>29.635401891862816</v>
          </cell>
          <cell r="BW1614">
            <v>23.901518972811779</v>
          </cell>
          <cell r="BX1614">
            <v>15.713059154269443</v>
          </cell>
          <cell r="BY1614">
            <v>32.089978791354113</v>
          </cell>
        </row>
        <row r="1615">
          <cell r="A1615">
            <v>41787</v>
          </cell>
          <cell r="BF1615">
            <v>66.45788762527441</v>
          </cell>
          <cell r="BG1615">
            <v>45.468715051806292</v>
          </cell>
          <cell r="BH1615">
            <v>42.408178994289898</v>
          </cell>
          <cell r="BI1615">
            <v>30.406703917126244</v>
          </cell>
          <cell r="BJ1615">
            <v>54.409654071453552</v>
          </cell>
          <cell r="BU1615">
            <v>33.901907952275174</v>
          </cell>
          <cell r="BV1615">
            <v>29.635401891862816</v>
          </cell>
          <cell r="BW1615">
            <v>23.901518972811779</v>
          </cell>
          <cell r="BX1615">
            <v>15.713059154269443</v>
          </cell>
          <cell r="BY1615">
            <v>32.089978791354113</v>
          </cell>
        </row>
        <row r="1616">
          <cell r="A1616">
            <v>41788</v>
          </cell>
          <cell r="BF1616">
            <v>67.505066996966903</v>
          </cell>
          <cell r="BG1616">
            <v>45.468715051806292</v>
          </cell>
          <cell r="BH1616">
            <v>42.408178994289898</v>
          </cell>
          <cell r="BI1616">
            <v>30.406703917126244</v>
          </cell>
          <cell r="BJ1616">
            <v>54.409654071453552</v>
          </cell>
          <cell r="BU1616">
            <v>34.438891743292039</v>
          </cell>
          <cell r="BV1616">
            <v>29.635401891862816</v>
          </cell>
          <cell r="BW1616">
            <v>23.901518972811779</v>
          </cell>
          <cell r="BX1616">
            <v>15.713059154269443</v>
          </cell>
          <cell r="BY1616">
            <v>32.089978791354113</v>
          </cell>
        </row>
        <row r="1617">
          <cell r="A1617">
            <v>41789</v>
          </cell>
          <cell r="BF1617">
            <v>66.821022407393585</v>
          </cell>
          <cell r="BG1617">
            <v>45.468715051806292</v>
          </cell>
          <cell r="BH1617">
            <v>42.408178994289898</v>
          </cell>
          <cell r="BI1617">
            <v>30.406703917126244</v>
          </cell>
          <cell r="BJ1617">
            <v>54.409654071453552</v>
          </cell>
          <cell r="BU1617">
            <v>34.088120073353608</v>
          </cell>
          <cell r="BV1617">
            <v>29.635401891862816</v>
          </cell>
          <cell r="BW1617">
            <v>23.901518972811779</v>
          </cell>
          <cell r="BX1617">
            <v>15.713059154269443</v>
          </cell>
          <cell r="BY1617">
            <v>32.089978791354113</v>
          </cell>
        </row>
        <row r="1618">
          <cell r="A1618">
            <v>41792</v>
          </cell>
          <cell r="BF1618">
            <v>65.865827639738669</v>
          </cell>
          <cell r="BG1618">
            <v>45.468715051806292</v>
          </cell>
          <cell r="BH1618">
            <v>42.408178994289898</v>
          </cell>
          <cell r="BI1618">
            <v>30.406703917126244</v>
          </cell>
          <cell r="BJ1618">
            <v>54.409654071453552</v>
          </cell>
          <cell r="BU1618">
            <v>33.606456043710992</v>
          </cell>
          <cell r="BV1618">
            <v>29.635401891862816</v>
          </cell>
          <cell r="BW1618">
            <v>23.901518972811779</v>
          </cell>
          <cell r="BX1618">
            <v>15.713059154269443</v>
          </cell>
          <cell r="BY1618">
            <v>32.089978791354113</v>
          </cell>
        </row>
        <row r="1619">
          <cell r="A1619">
            <v>41793</v>
          </cell>
          <cell r="BF1619">
            <v>66.239400782021804</v>
          </cell>
          <cell r="BG1619">
            <v>45.468715051806292</v>
          </cell>
          <cell r="BH1619">
            <v>42.408178994289898</v>
          </cell>
          <cell r="BI1619">
            <v>30.406703917126244</v>
          </cell>
          <cell r="BJ1619">
            <v>54.409654071453552</v>
          </cell>
          <cell r="BU1619">
            <v>33.798050199992865</v>
          </cell>
          <cell r="BV1619">
            <v>29.635401891862816</v>
          </cell>
          <cell r="BW1619">
            <v>23.901518972811779</v>
          </cell>
          <cell r="BX1619">
            <v>15.713059154269443</v>
          </cell>
          <cell r="BY1619">
            <v>32.089978791354113</v>
          </cell>
        </row>
        <row r="1620">
          <cell r="A1620">
            <v>41794</v>
          </cell>
          <cell r="BF1620">
            <v>66.780090047098383</v>
          </cell>
          <cell r="BG1620">
            <v>45.468715051806292</v>
          </cell>
          <cell r="BH1620">
            <v>42.408178994289898</v>
          </cell>
          <cell r="BI1620">
            <v>30.406703917126244</v>
          </cell>
          <cell r="BJ1620">
            <v>54.409654071453552</v>
          </cell>
          <cell r="BU1620">
            <v>34.085446756534722</v>
          </cell>
          <cell r="BV1620">
            <v>29.635401891862816</v>
          </cell>
          <cell r="BW1620">
            <v>23.901518972811779</v>
          </cell>
          <cell r="BX1620">
            <v>15.713059154269443</v>
          </cell>
          <cell r="BY1620">
            <v>32.089978791354113</v>
          </cell>
        </row>
        <row r="1621">
          <cell r="A1621">
            <v>41795</v>
          </cell>
          <cell r="BF1621">
            <v>68.091374981845362</v>
          </cell>
          <cell r="BG1621">
            <v>45.468715051806292</v>
          </cell>
          <cell r="BH1621">
            <v>42.408178994289898</v>
          </cell>
          <cell r="BI1621">
            <v>30.406703917126244</v>
          </cell>
          <cell r="BJ1621">
            <v>54.409654071453552</v>
          </cell>
          <cell r="BU1621">
            <v>34.758162602100498</v>
          </cell>
          <cell r="BV1621">
            <v>29.635401891862816</v>
          </cell>
          <cell r="BW1621">
            <v>23.901518972811779</v>
          </cell>
          <cell r="BX1621">
            <v>15.713059154269443</v>
          </cell>
          <cell r="BY1621">
            <v>32.089978791354113</v>
          </cell>
        </row>
        <row r="1622">
          <cell r="A1622">
            <v>41796</v>
          </cell>
          <cell r="BF1622">
            <v>70.132835201328348</v>
          </cell>
          <cell r="BG1622">
            <v>45.468715051806292</v>
          </cell>
          <cell r="BH1622">
            <v>42.408178994289898</v>
          </cell>
          <cell r="BI1622">
            <v>30.406703917126244</v>
          </cell>
          <cell r="BJ1622">
            <v>54.409654071453552</v>
          </cell>
          <cell r="BU1622">
            <v>35.797352592127069</v>
          </cell>
          <cell r="BV1622">
            <v>29.635401891862816</v>
          </cell>
          <cell r="BW1622">
            <v>23.901518972811779</v>
          </cell>
          <cell r="BX1622">
            <v>15.713059154269443</v>
          </cell>
          <cell r="BY1622">
            <v>32.089978791354113</v>
          </cell>
        </row>
        <row r="1623">
          <cell r="A1623">
            <v>41799</v>
          </cell>
          <cell r="BF1623">
            <v>71.129099211290992</v>
          </cell>
          <cell r="BG1623">
            <v>45.468715051806292</v>
          </cell>
          <cell r="BH1623">
            <v>42.408178994289898</v>
          </cell>
          <cell r="BI1623">
            <v>30.406703917126244</v>
          </cell>
          <cell r="BJ1623">
            <v>54.409654071453552</v>
          </cell>
          <cell r="BU1623">
            <v>36.308341254239792</v>
          </cell>
          <cell r="BV1623">
            <v>29.635401891862816</v>
          </cell>
          <cell r="BW1623">
            <v>23.901518972811779</v>
          </cell>
          <cell r="BX1623">
            <v>15.713059154269443</v>
          </cell>
          <cell r="BY1623">
            <v>32.089978791354113</v>
          </cell>
        </row>
        <row r="1624">
          <cell r="A1624">
            <v>41800</v>
          </cell>
          <cell r="BF1624">
            <v>72.81029472810296</v>
          </cell>
          <cell r="BG1624">
            <v>45.468715051806292</v>
          </cell>
          <cell r="BH1624">
            <v>42.408178994289898</v>
          </cell>
          <cell r="BI1624">
            <v>30.406703917126244</v>
          </cell>
          <cell r="BJ1624">
            <v>54.409654071453552</v>
          </cell>
          <cell r="BU1624">
            <v>37.170634621555003</v>
          </cell>
          <cell r="BV1624">
            <v>29.635401891862816</v>
          </cell>
          <cell r="BW1624">
            <v>23.901518972811779</v>
          </cell>
          <cell r="BX1624">
            <v>15.713059154269443</v>
          </cell>
          <cell r="BY1624">
            <v>32.089978791354113</v>
          </cell>
        </row>
        <row r="1625">
          <cell r="A1625">
            <v>41801</v>
          </cell>
          <cell r="BF1625">
            <v>73.640514736405152</v>
          </cell>
          <cell r="BG1625">
            <v>45.468715051806292</v>
          </cell>
          <cell r="BH1625">
            <v>42.408178994289898</v>
          </cell>
          <cell r="BI1625">
            <v>30.406703917126244</v>
          </cell>
          <cell r="BJ1625">
            <v>54.409654071453552</v>
          </cell>
          <cell r="BU1625">
            <v>37.596458506648936</v>
          </cell>
          <cell r="BV1625">
            <v>29.635401891862816</v>
          </cell>
          <cell r="BW1625">
            <v>23.901518972811779</v>
          </cell>
          <cell r="BX1625">
            <v>15.713059154269443</v>
          </cell>
          <cell r="BY1625">
            <v>32.089978791354113</v>
          </cell>
        </row>
        <row r="1626">
          <cell r="A1626">
            <v>41802</v>
          </cell>
          <cell r="BF1626">
            <v>71.403071814030724</v>
          </cell>
          <cell r="BG1626">
            <v>45.468715051806292</v>
          </cell>
          <cell r="BH1626">
            <v>42.408178994289898</v>
          </cell>
          <cell r="BI1626">
            <v>30.406703917126244</v>
          </cell>
          <cell r="BJ1626">
            <v>54.409654071453552</v>
          </cell>
          <cell r="BU1626">
            <v>36.448863136320789</v>
          </cell>
          <cell r="BV1626">
            <v>29.635401891862816</v>
          </cell>
          <cell r="BW1626">
            <v>23.901518972811779</v>
          </cell>
          <cell r="BX1626">
            <v>15.713059154269443</v>
          </cell>
          <cell r="BY1626">
            <v>32.089978791354113</v>
          </cell>
        </row>
        <row r="1627">
          <cell r="A1627">
            <v>41803</v>
          </cell>
          <cell r="BF1627">
            <v>70.788709007887093</v>
          </cell>
          <cell r="BG1627">
            <v>45.468715051806292</v>
          </cell>
          <cell r="BH1627">
            <v>42.408178994289898</v>
          </cell>
          <cell r="BI1627">
            <v>30.406703917126244</v>
          </cell>
          <cell r="BJ1627">
            <v>54.409654071453552</v>
          </cell>
          <cell r="BU1627">
            <v>36.133753461351269</v>
          </cell>
          <cell r="BV1627">
            <v>29.635401891862816</v>
          </cell>
          <cell r="BW1627">
            <v>23.901518972811779</v>
          </cell>
          <cell r="BX1627">
            <v>15.713059154269443</v>
          </cell>
          <cell r="BY1627">
            <v>32.089978791354113</v>
          </cell>
        </row>
        <row r="1628">
          <cell r="A1628">
            <v>41806</v>
          </cell>
          <cell r="BF1628">
            <v>70.307242418456383</v>
          </cell>
          <cell r="BG1628">
            <v>45.468715051806292</v>
          </cell>
          <cell r="BH1628">
            <v>42.408178994289898</v>
          </cell>
          <cell r="BI1628">
            <v>30.406703917126244</v>
          </cell>
          <cell r="BJ1628">
            <v>54.409654071453552</v>
          </cell>
          <cell r="BU1628">
            <v>35.888902598302842</v>
          </cell>
          <cell r="BV1628">
            <v>29.635401891862816</v>
          </cell>
          <cell r="BW1628">
            <v>23.901518972811779</v>
          </cell>
          <cell r="BX1628">
            <v>15.713059154269443</v>
          </cell>
          <cell r="BY1628">
            <v>32.089978791354113</v>
          </cell>
        </row>
        <row r="1629">
          <cell r="A1629">
            <v>41807</v>
          </cell>
          <cell r="BF1629">
            <v>70.502336933511543</v>
          </cell>
          <cell r="BG1629">
            <v>45.468715051806292</v>
          </cell>
          <cell r="BH1629">
            <v>42.408178994289898</v>
          </cell>
          <cell r="BI1629">
            <v>30.406703917126244</v>
          </cell>
          <cell r="BJ1629">
            <v>54.409654071453552</v>
          </cell>
          <cell r="BU1629">
            <v>35.988973340419342</v>
          </cell>
          <cell r="BV1629">
            <v>29.635401891862816</v>
          </cell>
          <cell r="BW1629">
            <v>23.901518972811779</v>
          </cell>
          <cell r="BX1629">
            <v>15.713059154269443</v>
          </cell>
          <cell r="BY1629">
            <v>32.089978791354113</v>
          </cell>
        </row>
        <row r="1630">
          <cell r="A1630">
            <v>41808</v>
          </cell>
          <cell r="BF1630">
            <v>70.983836555783398</v>
          </cell>
          <cell r="BG1630">
            <v>45.468715051806292</v>
          </cell>
          <cell r="BH1630">
            <v>42.408178994289898</v>
          </cell>
          <cell r="BI1630">
            <v>30.406703917126244</v>
          </cell>
          <cell r="BJ1630">
            <v>54.409654071453552</v>
          </cell>
          <cell r="BU1630">
            <v>36.235951193773822</v>
          </cell>
          <cell r="BV1630">
            <v>29.635401891862816</v>
          </cell>
          <cell r="BW1630">
            <v>23.901518972811779</v>
          </cell>
          <cell r="BX1630">
            <v>15.713059154269443</v>
          </cell>
          <cell r="BY1630">
            <v>32.089978791354113</v>
          </cell>
        </row>
        <row r="1631">
          <cell r="A1631">
            <v>41809</v>
          </cell>
          <cell r="BF1631">
            <v>71.685331695127715</v>
          </cell>
          <cell r="BG1631">
            <v>45.468715051806292</v>
          </cell>
          <cell r="BH1631">
            <v>42.408178994289898</v>
          </cell>
          <cell r="BI1631">
            <v>30.406703917126244</v>
          </cell>
          <cell r="BJ1631">
            <v>54.409654071453552</v>
          </cell>
          <cell r="BU1631">
            <v>36.595772376678191</v>
          </cell>
          <cell r="BV1631">
            <v>29.635401891862816</v>
          </cell>
          <cell r="BW1631">
            <v>23.901518972811779</v>
          </cell>
          <cell r="BX1631">
            <v>15.713059154269443</v>
          </cell>
          <cell r="BY1631">
            <v>32.089978791354113</v>
          </cell>
        </row>
        <row r="1632">
          <cell r="A1632">
            <v>41810</v>
          </cell>
          <cell r="BF1632">
            <v>72.648326788812611</v>
          </cell>
          <cell r="BG1632">
            <v>45.468715051806292</v>
          </cell>
          <cell r="BH1632">
            <v>42.408178994289898</v>
          </cell>
          <cell r="BI1632">
            <v>30.406703917126244</v>
          </cell>
          <cell r="BJ1632">
            <v>54.409654071453552</v>
          </cell>
          <cell r="BU1632">
            <v>37.089725954267735</v>
          </cell>
          <cell r="BV1632">
            <v>29.635401891862816</v>
          </cell>
          <cell r="BW1632">
            <v>23.901518972811779</v>
          </cell>
          <cell r="BX1632">
            <v>15.713059154269443</v>
          </cell>
          <cell r="BY1632">
            <v>32.089978791354113</v>
          </cell>
        </row>
        <row r="1633">
          <cell r="A1633">
            <v>41813</v>
          </cell>
          <cell r="BF1633">
            <v>70.84270735615199</v>
          </cell>
          <cell r="BG1633">
            <v>45.468715051806292</v>
          </cell>
          <cell r="BH1633">
            <v>42.408178994289898</v>
          </cell>
          <cell r="BI1633">
            <v>30.406703917126244</v>
          </cell>
          <cell r="BJ1633">
            <v>54.409654071453552</v>
          </cell>
          <cell r="BU1633">
            <v>36.163561133307851</v>
          </cell>
          <cell r="BV1633">
            <v>29.635401891862816</v>
          </cell>
          <cell r="BW1633">
            <v>23.901518972811779</v>
          </cell>
          <cell r="BX1633">
            <v>15.713059154269443</v>
          </cell>
          <cell r="BY1633">
            <v>32.089978791354113</v>
          </cell>
        </row>
        <row r="1634">
          <cell r="A1634">
            <v>41814</v>
          </cell>
          <cell r="BF1634">
            <v>70.045742464115833</v>
          </cell>
          <cell r="BG1634">
            <v>45.468715051806292</v>
          </cell>
          <cell r="BH1634">
            <v>42.408178994289898</v>
          </cell>
          <cell r="BI1634">
            <v>30.406703917126244</v>
          </cell>
          <cell r="BJ1634">
            <v>54.409654071453552</v>
          </cell>
          <cell r="BU1634">
            <v>35.754770203617674</v>
          </cell>
          <cell r="BV1634">
            <v>29.635401891862816</v>
          </cell>
          <cell r="BW1634">
            <v>23.901518972811779</v>
          </cell>
          <cell r="BX1634">
            <v>15.713059154269443</v>
          </cell>
          <cell r="BY1634">
            <v>32.089978791354113</v>
          </cell>
        </row>
        <row r="1635">
          <cell r="A1635">
            <v>41815</v>
          </cell>
          <cell r="BF1635">
            <v>70.837475124378116</v>
          </cell>
          <cell r="BG1635">
            <v>45.468715051806292</v>
          </cell>
          <cell r="BH1635">
            <v>42.408178994289898</v>
          </cell>
          <cell r="BI1635">
            <v>30.406703917126244</v>
          </cell>
          <cell r="BJ1635">
            <v>54.409654071453552</v>
          </cell>
          <cell r="BU1635">
            <v>36.183672451774804</v>
          </cell>
          <cell r="BV1635">
            <v>29.635401891862816</v>
          </cell>
          <cell r="BW1635">
            <v>23.901518972811779</v>
          </cell>
          <cell r="BX1635">
            <v>15.713059154269443</v>
          </cell>
          <cell r="BY1635">
            <v>32.089978791354113</v>
          </cell>
        </row>
        <row r="1636">
          <cell r="A1636">
            <v>41816</v>
          </cell>
          <cell r="BF1636">
            <v>70.887230514096188</v>
          </cell>
          <cell r="BG1636">
            <v>45.468715051806292</v>
          </cell>
          <cell r="BH1636">
            <v>42.408178994289898</v>
          </cell>
          <cell r="BI1636">
            <v>30.406703917126244</v>
          </cell>
          <cell r="BJ1636">
            <v>54.409654071453552</v>
          </cell>
          <cell r="BU1636">
            <v>36.209209658844671</v>
          </cell>
          <cell r="BV1636">
            <v>29.635401891862816</v>
          </cell>
          <cell r="BW1636">
            <v>23.901518972811779</v>
          </cell>
          <cell r="BX1636">
            <v>15.713059154269443</v>
          </cell>
          <cell r="BY1636">
            <v>32.089978791354113</v>
          </cell>
        </row>
        <row r="1637">
          <cell r="A1637">
            <v>41817</v>
          </cell>
          <cell r="BF1637">
            <v>71.600331674958539</v>
          </cell>
          <cell r="BG1637">
            <v>45.468715051806292</v>
          </cell>
          <cell r="BH1637">
            <v>42.408178994289898</v>
          </cell>
          <cell r="BI1637">
            <v>30.406703917126244</v>
          </cell>
          <cell r="BJ1637">
            <v>54.409654071453552</v>
          </cell>
          <cell r="BU1637">
            <v>36.575212459946094</v>
          </cell>
          <cell r="BV1637">
            <v>29.635401891862816</v>
          </cell>
          <cell r="BW1637">
            <v>23.901518972811779</v>
          </cell>
          <cell r="BX1637">
            <v>15.713059154269443</v>
          </cell>
          <cell r="BY1637">
            <v>32.089978791354113</v>
          </cell>
        </row>
        <row r="1638">
          <cell r="A1638">
            <v>41820</v>
          </cell>
          <cell r="BF1638">
            <v>74.021558872305135</v>
          </cell>
          <cell r="BG1638">
            <v>45.468715051806292</v>
          </cell>
          <cell r="BH1638">
            <v>42.408178994289898</v>
          </cell>
          <cell r="BI1638">
            <v>30.406703917126244</v>
          </cell>
          <cell r="BJ1638">
            <v>54.409654071453552</v>
          </cell>
          <cell r="BU1638">
            <v>37.817919645081126</v>
          </cell>
          <cell r="BV1638">
            <v>29.635401891862816</v>
          </cell>
          <cell r="BW1638">
            <v>23.901518972811779</v>
          </cell>
          <cell r="BX1638">
            <v>15.713059154269443</v>
          </cell>
          <cell r="BY1638">
            <v>32.089978791354113</v>
          </cell>
        </row>
        <row r="1639">
          <cell r="A1639">
            <v>41821</v>
          </cell>
          <cell r="BF1639">
            <v>74.480228291894562</v>
          </cell>
          <cell r="BG1639">
            <v>45.468715051806292</v>
          </cell>
          <cell r="BH1639">
            <v>42.408178994289898</v>
          </cell>
          <cell r="BI1639">
            <v>30.406703917126244</v>
          </cell>
          <cell r="BJ1639">
            <v>54.409654071453552</v>
          </cell>
          <cell r="BU1639">
            <v>38.058990757148017</v>
          </cell>
          <cell r="BV1639">
            <v>29.635401891862816</v>
          </cell>
          <cell r="BW1639">
            <v>23.901518972811779</v>
          </cell>
          <cell r="BX1639">
            <v>15.713059154269443</v>
          </cell>
          <cell r="BY1639">
            <v>32.089978791354113</v>
          </cell>
        </row>
        <row r="1640">
          <cell r="A1640">
            <v>41822</v>
          </cell>
          <cell r="BF1640">
            <v>73.567060741955629</v>
          </cell>
          <cell r="BG1640">
            <v>45.468715051806292</v>
          </cell>
          <cell r="BH1640">
            <v>42.408178994289898</v>
          </cell>
          <cell r="BI1640">
            <v>30.406703917126244</v>
          </cell>
          <cell r="BJ1640">
            <v>54.409654071453552</v>
          </cell>
          <cell r="BU1640">
            <v>37.590269019291767</v>
          </cell>
          <cell r="BV1640">
            <v>29.635401891862816</v>
          </cell>
          <cell r="BW1640">
            <v>23.901518972811779</v>
          </cell>
          <cell r="BX1640">
            <v>15.713059154269443</v>
          </cell>
          <cell r="BY1640">
            <v>32.089978791354113</v>
          </cell>
        </row>
        <row r="1641">
          <cell r="A1641">
            <v>41823</v>
          </cell>
          <cell r="BF1641">
            <v>74.545450468820789</v>
          </cell>
          <cell r="BG1641">
            <v>45.468715051806292</v>
          </cell>
          <cell r="BH1641">
            <v>42.408178994289898</v>
          </cell>
          <cell r="BI1641">
            <v>30.406703917126244</v>
          </cell>
          <cell r="BJ1641">
            <v>54.409654071453552</v>
          </cell>
          <cell r="BU1641">
            <v>38.092468788772848</v>
          </cell>
          <cell r="BV1641">
            <v>29.635401891862816</v>
          </cell>
          <cell r="BW1641">
            <v>23.901518972811779</v>
          </cell>
          <cell r="BX1641">
            <v>15.713059154269443</v>
          </cell>
          <cell r="BY1641">
            <v>32.089978791354113</v>
          </cell>
        </row>
        <row r="1642">
          <cell r="A1642">
            <v>41824</v>
          </cell>
          <cell r="BF1642">
            <v>74.545450468820789</v>
          </cell>
          <cell r="BG1642">
            <v>45.468715051806292</v>
          </cell>
          <cell r="BH1642">
            <v>42.408178994289898</v>
          </cell>
          <cell r="BI1642">
            <v>30.406703917126244</v>
          </cell>
          <cell r="BJ1642">
            <v>54.409654071453552</v>
          </cell>
          <cell r="BU1642">
            <v>38.092468788772848</v>
          </cell>
          <cell r="BV1642">
            <v>29.635401891862816</v>
          </cell>
          <cell r="BW1642">
            <v>23.901518972811779</v>
          </cell>
          <cell r="BX1642">
            <v>15.713059154269443</v>
          </cell>
          <cell r="BY1642">
            <v>32.089978791354113</v>
          </cell>
        </row>
        <row r="1643">
          <cell r="A1643">
            <v>41827</v>
          </cell>
          <cell r="BF1643">
            <v>72.573659642152393</v>
          </cell>
          <cell r="BG1643">
            <v>45.468715051806292</v>
          </cell>
          <cell r="BH1643">
            <v>42.408178994289898</v>
          </cell>
          <cell r="BI1643">
            <v>30.406703917126244</v>
          </cell>
          <cell r="BJ1643">
            <v>54.409654071453552</v>
          </cell>
          <cell r="BU1643">
            <v>37.083882141786333</v>
          </cell>
          <cell r="BV1643">
            <v>29.635401891862816</v>
          </cell>
          <cell r="BW1643">
            <v>23.901518972811779</v>
          </cell>
          <cell r="BX1643">
            <v>15.713059154269443</v>
          </cell>
          <cell r="BY1643">
            <v>32.089978791354113</v>
          </cell>
        </row>
        <row r="1644">
          <cell r="A1644">
            <v>41828</v>
          </cell>
          <cell r="BF1644">
            <v>69.679513892905717</v>
          </cell>
          <cell r="BG1644">
            <v>45.468715051806292</v>
          </cell>
          <cell r="BH1644">
            <v>42.408178994289898</v>
          </cell>
          <cell r="BI1644">
            <v>30.406703917126244</v>
          </cell>
          <cell r="BJ1644">
            <v>54.409654071453552</v>
          </cell>
          <cell r="BU1644">
            <v>35.598199540894896</v>
          </cell>
          <cell r="BV1644">
            <v>29.635401891862816</v>
          </cell>
          <cell r="BW1644">
            <v>23.901518972811779</v>
          </cell>
          <cell r="BX1644">
            <v>15.713059154269443</v>
          </cell>
          <cell r="BY1644">
            <v>32.089978791354113</v>
          </cell>
        </row>
        <row r="1645">
          <cell r="A1645">
            <v>41829</v>
          </cell>
          <cell r="BF1645">
            <v>71.42823174058843</v>
          </cell>
          <cell r="BG1645">
            <v>45.468715051806292</v>
          </cell>
          <cell r="BH1645">
            <v>42.408178994289898</v>
          </cell>
          <cell r="BI1645">
            <v>30.406703917126244</v>
          </cell>
          <cell r="BJ1645">
            <v>54.409654071453552</v>
          </cell>
          <cell r="BU1645">
            <v>36.495887461707724</v>
          </cell>
          <cell r="BV1645">
            <v>29.635401891862816</v>
          </cell>
          <cell r="BW1645">
            <v>23.901518972811779</v>
          </cell>
          <cell r="BX1645">
            <v>15.713059154269443</v>
          </cell>
          <cell r="BY1645">
            <v>32.089978791354113</v>
          </cell>
        </row>
        <row r="1646">
          <cell r="A1646">
            <v>41830</v>
          </cell>
          <cell r="BF1646">
            <v>70.946899921410193</v>
          </cell>
          <cell r="BG1646">
            <v>45.468715051806292</v>
          </cell>
          <cell r="BH1646">
            <v>42.408178994289898</v>
          </cell>
          <cell r="BI1646">
            <v>30.406703917126244</v>
          </cell>
          <cell r="BJ1646">
            <v>54.409654071453552</v>
          </cell>
          <cell r="BU1646">
            <v>36.230192325048847</v>
          </cell>
          <cell r="BV1646">
            <v>29.635401891862816</v>
          </cell>
          <cell r="BW1646">
            <v>23.901518972811779</v>
          </cell>
          <cell r="BX1646">
            <v>15.713059154269443</v>
          </cell>
          <cell r="BY1646">
            <v>32.089978791354113</v>
          </cell>
        </row>
        <row r="1647">
          <cell r="A1647">
            <v>41831</v>
          </cell>
          <cell r="BF1647">
            <v>71.673719027720992</v>
          </cell>
          <cell r="BG1647">
            <v>45.468715051806292</v>
          </cell>
          <cell r="BH1647">
            <v>42.408178994289898</v>
          </cell>
          <cell r="BI1647">
            <v>30.406703917126244</v>
          </cell>
          <cell r="BJ1647">
            <v>54.409654071453552</v>
          </cell>
          <cell r="BU1647">
            <v>36.784611634395851</v>
          </cell>
          <cell r="BV1647">
            <v>29.635401891862816</v>
          </cell>
          <cell r="BW1647">
            <v>23.901518972811779</v>
          </cell>
          <cell r="BX1647">
            <v>15.713059154269443</v>
          </cell>
          <cell r="BY1647">
            <v>32.089978791354113</v>
          </cell>
        </row>
        <row r="1648">
          <cell r="A1648">
            <v>41834</v>
          </cell>
          <cell r="BF1648">
            <v>72.156571206761981</v>
          </cell>
          <cell r="BG1648">
            <v>45.468715051806292</v>
          </cell>
          <cell r="BH1648">
            <v>42.408178994289898</v>
          </cell>
          <cell r="BI1648">
            <v>30.406703917126244</v>
          </cell>
          <cell r="BJ1648">
            <v>54.409654071453552</v>
          </cell>
          <cell r="BU1648">
            <v>37.033575194369391</v>
          </cell>
          <cell r="BV1648">
            <v>29.635401891862816</v>
          </cell>
          <cell r="BW1648">
            <v>23.901518972811779</v>
          </cell>
          <cell r="BX1648">
            <v>15.713059154269443</v>
          </cell>
          <cell r="BY1648">
            <v>32.089978791354113</v>
          </cell>
        </row>
        <row r="1649">
          <cell r="A1649">
            <v>41835</v>
          </cell>
          <cell r="BF1649">
            <v>69.685487465018142</v>
          </cell>
          <cell r="BG1649">
            <v>45.468715051806292</v>
          </cell>
          <cell r="BH1649">
            <v>42.408178994289898</v>
          </cell>
          <cell r="BI1649">
            <v>30.406703917126244</v>
          </cell>
          <cell r="BJ1649">
            <v>54.409654071453552</v>
          </cell>
          <cell r="BU1649">
            <v>35.759458949188179</v>
          </cell>
          <cell r="BV1649">
            <v>29.635401891862816</v>
          </cell>
          <cell r="BW1649">
            <v>23.901518972811779</v>
          </cell>
          <cell r="BX1649">
            <v>15.713059154269443</v>
          </cell>
          <cell r="BY1649">
            <v>32.089978791354113</v>
          </cell>
        </row>
        <row r="1650">
          <cell r="A1650">
            <v>41836</v>
          </cell>
          <cell r="BF1650">
            <v>69.390536216196494</v>
          </cell>
          <cell r="BG1650">
            <v>45.468715051806292</v>
          </cell>
          <cell r="BH1650">
            <v>42.408178994289898</v>
          </cell>
          <cell r="BI1650">
            <v>30.406703917126244</v>
          </cell>
          <cell r="BJ1650">
            <v>54.409654071453552</v>
          </cell>
          <cell r="BU1650">
            <v>35.575106327777796</v>
          </cell>
          <cell r="BV1650">
            <v>29.635401891862816</v>
          </cell>
          <cell r="BW1650">
            <v>23.901518972811779</v>
          </cell>
          <cell r="BX1650">
            <v>15.713059154269443</v>
          </cell>
          <cell r="BY1650">
            <v>32.089978791354113</v>
          </cell>
        </row>
        <row r="1651">
          <cell r="A1651">
            <v>41837</v>
          </cell>
          <cell r="BF1651">
            <v>67.315310290817507</v>
          </cell>
          <cell r="BG1651">
            <v>45.468715051806292</v>
          </cell>
          <cell r="BH1651">
            <v>42.408178994289898</v>
          </cell>
          <cell r="BI1651">
            <v>30.406703917126244</v>
          </cell>
          <cell r="BJ1651">
            <v>54.409654071453552</v>
          </cell>
          <cell r="BU1651">
            <v>34.545075392581303</v>
          </cell>
          <cell r="BV1651">
            <v>29.635401891862816</v>
          </cell>
          <cell r="BW1651">
            <v>23.901518972811779</v>
          </cell>
          <cell r="BX1651">
            <v>15.713059154269443</v>
          </cell>
          <cell r="BY1651">
            <v>32.089978791354113</v>
          </cell>
        </row>
        <row r="1652">
          <cell r="A1652">
            <v>41838</v>
          </cell>
          <cell r="BF1652">
            <v>70.511734401065411</v>
          </cell>
          <cell r="BG1652">
            <v>45.468715051806292</v>
          </cell>
          <cell r="BH1652">
            <v>42.408178994289898</v>
          </cell>
          <cell r="BI1652">
            <v>30.406703917126244</v>
          </cell>
          <cell r="BJ1652">
            <v>54.409654071453552</v>
          </cell>
          <cell r="BU1652">
            <v>36.043548039043777</v>
          </cell>
          <cell r="BV1652">
            <v>29.635401891862816</v>
          </cell>
          <cell r="BW1652">
            <v>23.901518972811779</v>
          </cell>
          <cell r="BX1652">
            <v>15.713059154269443</v>
          </cell>
          <cell r="BY1652">
            <v>32.089978791354113</v>
          </cell>
        </row>
        <row r="1653">
          <cell r="A1653">
            <v>41841</v>
          </cell>
          <cell r="BF1653">
            <v>71.257165621229817</v>
          </cell>
          <cell r="BG1653">
            <v>45.468715051806292</v>
          </cell>
          <cell r="BH1653">
            <v>42.408178994289898</v>
          </cell>
          <cell r="BI1653">
            <v>30.406703917126244</v>
          </cell>
          <cell r="BJ1653">
            <v>54.409654071453552</v>
          </cell>
          <cell r="BU1653">
            <v>36.426389646669939</v>
          </cell>
          <cell r="BV1653">
            <v>29.635401891862816</v>
          </cell>
          <cell r="BW1653">
            <v>23.901518972811779</v>
          </cell>
          <cell r="BX1653">
            <v>15.713059154269443</v>
          </cell>
          <cell r="BY1653">
            <v>32.089978791354113</v>
          </cell>
        </row>
        <row r="1654">
          <cell r="A1654">
            <v>41842</v>
          </cell>
          <cell r="BF1654">
            <v>71.427317475007285</v>
          </cell>
          <cell r="BG1654">
            <v>45.468715051806292</v>
          </cell>
          <cell r="BH1654">
            <v>42.408178994289898</v>
          </cell>
          <cell r="BI1654">
            <v>30.406703917126244</v>
          </cell>
          <cell r="BJ1654">
            <v>54.409654071453552</v>
          </cell>
          <cell r="BU1654">
            <v>36.513776930001548</v>
          </cell>
          <cell r="BV1654">
            <v>29.635401891862816</v>
          </cell>
          <cell r="BW1654">
            <v>23.901518972811779</v>
          </cell>
          <cell r="BX1654">
            <v>15.713059154269443</v>
          </cell>
          <cell r="BY1654">
            <v>32.089978791354113</v>
          </cell>
        </row>
        <row r="1655">
          <cell r="A1655">
            <v>41843</v>
          </cell>
          <cell r="BF1655">
            <v>73.181502062760558</v>
          </cell>
          <cell r="BG1655">
            <v>45.468715051806292</v>
          </cell>
          <cell r="BH1655">
            <v>42.408178994289898</v>
          </cell>
          <cell r="BI1655">
            <v>30.406703917126244</v>
          </cell>
          <cell r="BJ1655">
            <v>54.409654071453552</v>
          </cell>
          <cell r="BU1655">
            <v>37.414698208158342</v>
          </cell>
          <cell r="BV1655">
            <v>29.635401891862816</v>
          </cell>
          <cell r="BW1655">
            <v>23.901518972811779</v>
          </cell>
          <cell r="BX1655">
            <v>15.713059154269443</v>
          </cell>
          <cell r="BY1655">
            <v>32.089978791354113</v>
          </cell>
        </row>
        <row r="1656">
          <cell r="A1656">
            <v>41844</v>
          </cell>
          <cell r="BF1656">
            <v>66.419661715912113</v>
          </cell>
          <cell r="BG1656">
            <v>45.468715051806292</v>
          </cell>
          <cell r="BH1656">
            <v>42.408178994289898</v>
          </cell>
          <cell r="BI1656">
            <v>30.406703917126244</v>
          </cell>
          <cell r="BJ1656">
            <v>54.409654071453552</v>
          </cell>
          <cell r="BU1656">
            <v>34.995103901994092</v>
          </cell>
          <cell r="BV1656">
            <v>29.635401891862816</v>
          </cell>
          <cell r="BW1656">
            <v>23.901518972811779</v>
          </cell>
          <cell r="BX1656">
            <v>15.713059154269443</v>
          </cell>
          <cell r="BY1656">
            <v>32.089978791354113</v>
          </cell>
        </row>
        <row r="1657">
          <cell r="A1657">
            <v>41845</v>
          </cell>
          <cell r="BF1657">
            <v>66.121975579116437</v>
          </cell>
          <cell r="BG1657">
            <v>45.468715051806292</v>
          </cell>
          <cell r="BH1657">
            <v>42.408178994289898</v>
          </cell>
          <cell r="BI1657">
            <v>30.406703917126244</v>
          </cell>
          <cell r="BJ1657">
            <v>54.409654071453552</v>
          </cell>
          <cell r="BU1657">
            <v>34.731421323198511</v>
          </cell>
          <cell r="BV1657">
            <v>29.635401891862816</v>
          </cell>
          <cell r="BW1657">
            <v>23.901518972811779</v>
          </cell>
          <cell r="BX1657">
            <v>15.713059154269443</v>
          </cell>
          <cell r="BY1657">
            <v>32.089978791354113</v>
          </cell>
        </row>
        <row r="1658">
          <cell r="A1658">
            <v>41848</v>
          </cell>
          <cell r="BF1658">
            <v>64.001537609293393</v>
          </cell>
          <cell r="BG1658">
            <v>45.468715051806292</v>
          </cell>
          <cell r="BH1658">
            <v>42.408178994289898</v>
          </cell>
          <cell r="BI1658">
            <v>30.406703917126244</v>
          </cell>
          <cell r="BJ1658">
            <v>54.409654071453552</v>
          </cell>
          <cell r="BU1658">
            <v>37.343946360981924</v>
          </cell>
          <cell r="BV1658">
            <v>29.635401891862816</v>
          </cell>
          <cell r="BW1658">
            <v>23.901518972811779</v>
          </cell>
          <cell r="BX1658">
            <v>15.713059154269443</v>
          </cell>
          <cell r="BY1658">
            <v>32.089978791354113</v>
          </cell>
        </row>
        <row r="1659">
          <cell r="A1659">
            <v>41849</v>
          </cell>
          <cell r="BF1659">
            <v>64.252029191460622</v>
          </cell>
          <cell r="BG1659">
            <v>45.468715051806292</v>
          </cell>
          <cell r="BH1659">
            <v>42.408178994289898</v>
          </cell>
          <cell r="BI1659">
            <v>30.406703917126244</v>
          </cell>
          <cell r="BJ1659">
            <v>54.409654071453552</v>
          </cell>
          <cell r="BU1659">
            <v>37.488164030564498</v>
          </cell>
          <cell r="BV1659">
            <v>29.635401891862816</v>
          </cell>
          <cell r="BW1659">
            <v>23.901518972811779</v>
          </cell>
          <cell r="BX1659">
            <v>15.713059154269443</v>
          </cell>
          <cell r="BY1659">
            <v>32.089978791354113</v>
          </cell>
        </row>
        <row r="1660">
          <cell r="A1660">
            <v>41850</v>
          </cell>
          <cell r="BF1660">
            <v>63.600761097334974</v>
          </cell>
          <cell r="BG1660">
            <v>45.468715051806292</v>
          </cell>
          <cell r="BH1660">
            <v>42.408178994289898</v>
          </cell>
          <cell r="BI1660">
            <v>30.406703917126244</v>
          </cell>
          <cell r="BJ1660">
            <v>54.409654071453552</v>
          </cell>
          <cell r="BU1660">
            <v>37.113203858267845</v>
          </cell>
          <cell r="BV1660">
            <v>29.635401891862816</v>
          </cell>
          <cell r="BW1660">
            <v>23.901518972811779</v>
          </cell>
          <cell r="BX1660">
            <v>15.713059154269443</v>
          </cell>
          <cell r="BY1660">
            <v>32.089978791354113</v>
          </cell>
        </row>
        <row r="1661">
          <cell r="A1661">
            <v>41851</v>
          </cell>
          <cell r="BF1661">
            <v>61.623831017130541</v>
          </cell>
          <cell r="BG1661">
            <v>45.468715051806292</v>
          </cell>
          <cell r="BH1661">
            <v>42.408178994289898</v>
          </cell>
          <cell r="BI1661">
            <v>30.406703917126244</v>
          </cell>
          <cell r="BJ1661">
            <v>54.409654071453552</v>
          </cell>
          <cell r="BU1661">
            <v>35.975008927212485</v>
          </cell>
          <cell r="BV1661">
            <v>29.635401891862816</v>
          </cell>
          <cell r="BW1661">
            <v>23.901518972811779</v>
          </cell>
          <cell r="BX1661">
            <v>15.713059154269443</v>
          </cell>
          <cell r="BY1661">
            <v>32.089978791354113</v>
          </cell>
        </row>
        <row r="1662">
          <cell r="A1662">
            <v>41852</v>
          </cell>
          <cell r="BF1662">
            <v>60.976256898544527</v>
          </cell>
          <cell r="BG1662">
            <v>45.468715051806292</v>
          </cell>
          <cell r="BH1662">
            <v>42.408178994289898</v>
          </cell>
          <cell r="BI1662">
            <v>30.406703917126244</v>
          </cell>
          <cell r="BJ1662">
            <v>54.409654071453552</v>
          </cell>
          <cell r="BU1662">
            <v>35.554143255465007</v>
          </cell>
          <cell r="BV1662">
            <v>29.635401891862816</v>
          </cell>
          <cell r="BW1662">
            <v>23.901518972811779</v>
          </cell>
          <cell r="BX1662">
            <v>15.713059154269443</v>
          </cell>
          <cell r="BY1662">
            <v>32.089978791354113</v>
          </cell>
        </row>
        <row r="1663">
          <cell r="A1663">
            <v>41855</v>
          </cell>
          <cell r="BF1663">
            <v>61.280559436325539</v>
          </cell>
          <cell r="BG1663">
            <v>45.468715051806292</v>
          </cell>
          <cell r="BH1663">
            <v>42.408178994289898</v>
          </cell>
          <cell r="BI1663">
            <v>30.406703917126244</v>
          </cell>
          <cell r="BJ1663">
            <v>54.409654071453552</v>
          </cell>
          <cell r="BU1663">
            <v>35.708715979787179</v>
          </cell>
          <cell r="BV1663">
            <v>29.635401891862816</v>
          </cell>
          <cell r="BW1663">
            <v>23.901518972811779</v>
          </cell>
          <cell r="BX1663">
            <v>15.713059154269443</v>
          </cell>
          <cell r="BY1663">
            <v>32.089978791354113</v>
          </cell>
        </row>
        <row r="1664">
          <cell r="A1664">
            <v>41856</v>
          </cell>
          <cell r="BF1664">
            <v>60.547284546032486</v>
          </cell>
          <cell r="BG1664">
            <v>45.468715051806292</v>
          </cell>
          <cell r="BH1664">
            <v>42.408178994289898</v>
          </cell>
          <cell r="BI1664">
            <v>30.406703917126244</v>
          </cell>
          <cell r="BJ1664">
            <v>54.409654071453552</v>
          </cell>
          <cell r="BU1664">
            <v>35.202238396803374</v>
          </cell>
          <cell r="BV1664">
            <v>29.635401891862816</v>
          </cell>
          <cell r="BW1664">
            <v>23.901518972811779</v>
          </cell>
          <cell r="BX1664">
            <v>15.713059154269443</v>
          </cell>
          <cell r="BY1664">
            <v>32.089978791354113</v>
          </cell>
        </row>
        <row r="1665">
          <cell r="A1665">
            <v>41857</v>
          </cell>
          <cell r="BF1665">
            <v>60.368035783315413</v>
          </cell>
          <cell r="BG1665">
            <v>45.468715051806292</v>
          </cell>
          <cell r="BH1665">
            <v>42.408178994289898</v>
          </cell>
          <cell r="BI1665">
            <v>30.406703917126244</v>
          </cell>
          <cell r="BJ1665">
            <v>54.409654071453552</v>
          </cell>
          <cell r="BU1665">
            <v>35.099460473010062</v>
          </cell>
          <cell r="BV1665">
            <v>29.635401891862816</v>
          </cell>
          <cell r="BW1665">
            <v>23.901518972811779</v>
          </cell>
          <cell r="BX1665">
            <v>15.713059154269443</v>
          </cell>
          <cell r="BY1665">
            <v>32.089978791354113</v>
          </cell>
        </row>
        <row r="1666">
          <cell r="A1666">
            <v>41858</v>
          </cell>
          <cell r="BF1666">
            <v>60.321807254185266</v>
          </cell>
          <cell r="BG1666">
            <v>45.468715051806292</v>
          </cell>
          <cell r="BH1666">
            <v>42.408178994289898</v>
          </cell>
          <cell r="BI1666">
            <v>30.406703917126244</v>
          </cell>
          <cell r="BJ1666">
            <v>54.409654071453552</v>
          </cell>
          <cell r="BU1666">
            <v>35.072953889801354</v>
          </cell>
          <cell r="BV1666">
            <v>29.635401891862816</v>
          </cell>
          <cell r="BW1666">
            <v>23.901518972811779</v>
          </cell>
          <cell r="BX1666">
            <v>15.713059154269443</v>
          </cell>
          <cell r="BY1666">
            <v>32.089978791354113</v>
          </cell>
        </row>
        <row r="1667">
          <cell r="A1667">
            <v>41859</v>
          </cell>
          <cell r="BF1667">
            <v>63.455752134145754</v>
          </cell>
          <cell r="BG1667">
            <v>45.468715051806292</v>
          </cell>
          <cell r="BH1667">
            <v>42.408178994289898</v>
          </cell>
          <cell r="BI1667">
            <v>30.406703917126244</v>
          </cell>
          <cell r="BJ1667">
            <v>54.409654071453552</v>
          </cell>
          <cell r="BU1667">
            <v>36.869899894686547</v>
          </cell>
          <cell r="BV1667">
            <v>29.635401891862816</v>
          </cell>
          <cell r="BW1667">
            <v>23.901518972811779</v>
          </cell>
          <cell r="BX1667">
            <v>15.713059154269443</v>
          </cell>
          <cell r="BY1667">
            <v>32.089978791354113</v>
          </cell>
        </row>
        <row r="1668">
          <cell r="A1668">
            <v>41862</v>
          </cell>
          <cell r="BF1668">
            <v>62.229872158450881</v>
          </cell>
          <cell r="BG1668">
            <v>45.468715051806292</v>
          </cell>
          <cell r="BH1668">
            <v>42.408178994289898</v>
          </cell>
          <cell r="BI1668">
            <v>30.406703917126244</v>
          </cell>
          <cell r="BJ1668">
            <v>54.409654071453552</v>
          </cell>
          <cell r="BU1668">
            <v>36.226785905180073</v>
          </cell>
          <cell r="BV1668">
            <v>29.635401891862816</v>
          </cell>
          <cell r="BW1668">
            <v>23.901518972811779</v>
          </cell>
          <cell r="BX1668">
            <v>15.713059154269443</v>
          </cell>
          <cell r="BY1668">
            <v>32.089978791354113</v>
          </cell>
        </row>
        <row r="1669">
          <cell r="A1669">
            <v>41863</v>
          </cell>
          <cell r="BF1669">
            <v>61.767337468349083</v>
          </cell>
          <cell r="BG1669">
            <v>45.468715051806292</v>
          </cell>
          <cell r="BH1669">
            <v>42.408178994289898</v>
          </cell>
          <cell r="BI1669">
            <v>30.406703917126244</v>
          </cell>
          <cell r="BJ1669">
            <v>54.409654071453552</v>
          </cell>
          <cell r="BU1669">
            <v>35.96114032219122</v>
          </cell>
          <cell r="BV1669">
            <v>29.635401891862816</v>
          </cell>
          <cell r="BW1669">
            <v>23.901518972811779</v>
          </cell>
          <cell r="BX1669">
            <v>15.713059154269443</v>
          </cell>
          <cell r="BY1669">
            <v>32.089978791354113</v>
          </cell>
        </row>
        <row r="1670">
          <cell r="A1670">
            <v>41864</v>
          </cell>
          <cell r="BF1670">
            <v>62.984330689562107</v>
          </cell>
          <cell r="BG1670">
            <v>45.468715051806292</v>
          </cell>
          <cell r="BH1670">
            <v>42.408178994289898</v>
          </cell>
          <cell r="BI1670">
            <v>30.406703917126244</v>
          </cell>
          <cell r="BJ1670">
            <v>54.409654071453552</v>
          </cell>
          <cell r="BU1670">
            <v>36.660090867222692</v>
          </cell>
          <cell r="BV1670">
            <v>29.635401891862816</v>
          </cell>
          <cell r="BW1670">
            <v>23.901518972811779</v>
          </cell>
          <cell r="BX1670">
            <v>15.713059154269443</v>
          </cell>
          <cell r="BY1670">
            <v>32.089978791354113</v>
          </cell>
        </row>
        <row r="1671">
          <cell r="A1671">
            <v>41865</v>
          </cell>
          <cell r="BF1671">
            <v>63.697092855741033</v>
          </cell>
          <cell r="BG1671">
            <v>45.468715051806292</v>
          </cell>
          <cell r="BH1671">
            <v>42.408178994289898</v>
          </cell>
          <cell r="BI1671">
            <v>30.406703917126244</v>
          </cell>
          <cell r="BJ1671">
            <v>54.409654071453552</v>
          </cell>
          <cell r="BU1671">
            <v>37.0694485331857</v>
          </cell>
          <cell r="BV1671">
            <v>29.635401891862816</v>
          </cell>
          <cell r="BW1671">
            <v>23.901518972811779</v>
          </cell>
          <cell r="BX1671">
            <v>15.713059154269443</v>
          </cell>
          <cell r="BY1671">
            <v>32.089978791354113</v>
          </cell>
        </row>
        <row r="1672">
          <cell r="A1672">
            <v>41866</v>
          </cell>
          <cell r="BF1672">
            <v>63.909403861033667</v>
          </cell>
          <cell r="BG1672">
            <v>45.468715051806292</v>
          </cell>
          <cell r="BH1672">
            <v>42.408178994289898</v>
          </cell>
          <cell r="BI1672">
            <v>30.406703917126244</v>
          </cell>
          <cell r="BJ1672">
            <v>54.409654071453552</v>
          </cell>
          <cell r="BU1672">
            <v>37.191384210623212</v>
          </cell>
          <cell r="BV1672">
            <v>29.635401891862816</v>
          </cell>
          <cell r="BW1672">
            <v>23.901518972811779</v>
          </cell>
          <cell r="BX1672">
            <v>15.713059154269443</v>
          </cell>
          <cell r="BY1672">
            <v>32.089978791354113</v>
          </cell>
        </row>
        <row r="1673">
          <cell r="A1673">
            <v>41869</v>
          </cell>
          <cell r="BF1673">
            <v>65.315964271097357</v>
          </cell>
          <cell r="BG1673">
            <v>45.468715051806292</v>
          </cell>
          <cell r="BH1673">
            <v>42.408178994289898</v>
          </cell>
          <cell r="BI1673">
            <v>30.406703917126244</v>
          </cell>
          <cell r="BJ1673">
            <v>54.409654071453552</v>
          </cell>
          <cell r="BU1673">
            <v>37.999208073646685</v>
          </cell>
          <cell r="BV1673">
            <v>29.635401891862816</v>
          </cell>
          <cell r="BW1673">
            <v>23.901518972811779</v>
          </cell>
          <cell r="BX1673">
            <v>15.713059154269443</v>
          </cell>
          <cell r="BY1673">
            <v>32.089978791354113</v>
          </cell>
        </row>
        <row r="1674">
          <cell r="A1674">
            <v>41870</v>
          </cell>
          <cell r="BF1674">
            <v>64.594715425598835</v>
          </cell>
          <cell r="BG1674">
            <v>45.468715051806292</v>
          </cell>
          <cell r="BH1674">
            <v>42.408178994289898</v>
          </cell>
          <cell r="BI1674">
            <v>30.406703917126244</v>
          </cell>
          <cell r="BJ1674">
            <v>54.409654071453552</v>
          </cell>
          <cell r="BU1674">
            <v>37.609449390408948</v>
          </cell>
          <cell r="BV1674">
            <v>29.635401891862816</v>
          </cell>
          <cell r="BW1674">
            <v>23.901518972811779</v>
          </cell>
          <cell r="BX1674">
            <v>15.713059154269443</v>
          </cell>
          <cell r="BY1674">
            <v>32.089978791354113</v>
          </cell>
        </row>
        <row r="1675">
          <cell r="A1675">
            <v>41871</v>
          </cell>
          <cell r="BF1675">
            <v>65.49034456645866</v>
          </cell>
          <cell r="BG1675">
            <v>45.468715051806292</v>
          </cell>
          <cell r="BH1675">
            <v>42.408178994289898</v>
          </cell>
          <cell r="BI1675">
            <v>30.406703917126244</v>
          </cell>
          <cell r="BJ1675">
            <v>54.409654071453552</v>
          </cell>
          <cell r="BU1675">
            <v>38.14727282482081</v>
          </cell>
          <cell r="BV1675">
            <v>29.635401891862816</v>
          </cell>
          <cell r="BW1675">
            <v>23.901518972811779</v>
          </cell>
          <cell r="BX1675">
            <v>15.713059154269443</v>
          </cell>
          <cell r="BY1675">
            <v>32.089978791354113</v>
          </cell>
        </row>
        <row r="1676">
          <cell r="A1676">
            <v>41872</v>
          </cell>
          <cell r="BF1676">
            <v>65.160923892471502</v>
          </cell>
          <cell r="BG1676">
            <v>45.468715051806292</v>
          </cell>
          <cell r="BH1676">
            <v>42.408178994289898</v>
          </cell>
          <cell r="BI1676">
            <v>30.406703917126244</v>
          </cell>
          <cell r="BJ1676">
            <v>54.409654071453552</v>
          </cell>
          <cell r="BU1676">
            <v>37.957837040230395</v>
          </cell>
          <cell r="BV1676">
            <v>29.635401891862816</v>
          </cell>
          <cell r="BW1676">
            <v>23.901518972811779</v>
          </cell>
          <cell r="BX1676">
            <v>15.713059154269443</v>
          </cell>
          <cell r="BY1676">
            <v>32.089978791354113</v>
          </cell>
        </row>
        <row r="1677">
          <cell r="A1677">
            <v>41873</v>
          </cell>
          <cell r="BF1677">
            <v>65.126845891714197</v>
          </cell>
          <cell r="BG1677">
            <v>45.468715051806292</v>
          </cell>
          <cell r="BH1677">
            <v>42.408178994289898</v>
          </cell>
          <cell r="BI1677">
            <v>30.406703917126244</v>
          </cell>
          <cell r="BJ1677">
            <v>54.409654071453552</v>
          </cell>
          <cell r="BU1677">
            <v>37.938240234927939</v>
          </cell>
          <cell r="BV1677">
            <v>29.635401891862816</v>
          </cell>
          <cell r="BW1677">
            <v>23.901518972811779</v>
          </cell>
          <cell r="BX1677">
            <v>15.713059154269443</v>
          </cell>
          <cell r="BY1677">
            <v>32.089978791354113</v>
          </cell>
        </row>
        <row r="1678">
          <cell r="A1678">
            <v>41876</v>
          </cell>
          <cell r="BF1678">
            <v>67.364630821665202</v>
          </cell>
          <cell r="BG1678">
            <v>45.468715051806292</v>
          </cell>
          <cell r="BH1678">
            <v>42.408178994289898</v>
          </cell>
          <cell r="BI1678">
            <v>30.406703917126244</v>
          </cell>
          <cell r="BJ1678">
            <v>54.409654071453552</v>
          </cell>
          <cell r="BU1678">
            <v>39.225094939033092</v>
          </cell>
          <cell r="BV1678">
            <v>29.635401891862816</v>
          </cell>
          <cell r="BW1678">
            <v>23.901518972811779</v>
          </cell>
          <cell r="BX1678">
            <v>15.713059154269443</v>
          </cell>
          <cell r="BY1678">
            <v>32.089978791354113</v>
          </cell>
        </row>
        <row r="1679">
          <cell r="A1679">
            <v>41877</v>
          </cell>
          <cell r="BF1679">
            <v>67.947747065512289</v>
          </cell>
          <cell r="BG1679">
            <v>45.468715051806292</v>
          </cell>
          <cell r="BH1679">
            <v>42.408178994289898</v>
          </cell>
          <cell r="BI1679">
            <v>30.406703917126244</v>
          </cell>
          <cell r="BJ1679">
            <v>54.409654071453552</v>
          </cell>
          <cell r="BU1679">
            <v>39.560420229409047</v>
          </cell>
          <cell r="BV1679">
            <v>29.635401891862816</v>
          </cell>
          <cell r="BW1679">
            <v>23.901518972811779</v>
          </cell>
          <cell r="BX1679">
            <v>15.713059154269443</v>
          </cell>
          <cell r="BY1679">
            <v>32.089978791354113</v>
          </cell>
        </row>
        <row r="1680">
          <cell r="A1680">
            <v>41878</v>
          </cell>
          <cell r="BF1680">
            <v>68.133279060968576</v>
          </cell>
          <cell r="BG1680">
            <v>45.468715051806292</v>
          </cell>
          <cell r="BH1680">
            <v>42.408178994289898</v>
          </cell>
          <cell r="BI1680">
            <v>30.406703917126244</v>
          </cell>
          <cell r="BJ1680">
            <v>54.409654071453552</v>
          </cell>
          <cell r="BU1680">
            <v>39.667111769744054</v>
          </cell>
          <cell r="BV1680">
            <v>29.635401891862816</v>
          </cell>
          <cell r="BW1680">
            <v>23.901518972811779</v>
          </cell>
          <cell r="BX1680">
            <v>15.713059154269443</v>
          </cell>
          <cell r="BY1680">
            <v>32.089978791354113</v>
          </cell>
        </row>
        <row r="1681">
          <cell r="A1681">
            <v>41879</v>
          </cell>
          <cell r="BF1681">
            <v>67.80216794302288</v>
          </cell>
          <cell r="BG1681">
            <v>45.468715051806292</v>
          </cell>
          <cell r="BH1681">
            <v>42.408178994289898</v>
          </cell>
          <cell r="BI1681">
            <v>30.406703917126244</v>
          </cell>
          <cell r="BJ1681">
            <v>54.409654071453552</v>
          </cell>
          <cell r="BU1681">
            <v>39.479853407965024</v>
          </cell>
          <cell r="BV1681">
            <v>29.635401891862816</v>
          </cell>
          <cell r="BW1681">
            <v>23.901518972811779</v>
          </cell>
          <cell r="BX1681">
            <v>15.713059154269443</v>
          </cell>
          <cell r="BY1681">
            <v>32.089978791354113</v>
          </cell>
        </row>
        <row r="1682">
          <cell r="A1682">
            <v>41880</v>
          </cell>
          <cell r="BF1682">
            <v>67.908179826450194</v>
          </cell>
          <cell r="BG1682">
            <v>45.468715051806292</v>
          </cell>
          <cell r="BH1682">
            <v>42.408178994289898</v>
          </cell>
          <cell r="BI1682">
            <v>30.406703917126244</v>
          </cell>
          <cell r="BJ1682">
            <v>54.409654071453552</v>
          </cell>
          <cell r="BU1682">
            <v>39.540821246683777</v>
          </cell>
          <cell r="BV1682">
            <v>29.635401891862816</v>
          </cell>
          <cell r="BW1682">
            <v>23.901518972811779</v>
          </cell>
          <cell r="BX1682">
            <v>15.713059154269443</v>
          </cell>
          <cell r="BY1682">
            <v>32.089978791354113</v>
          </cell>
        </row>
        <row r="1683">
          <cell r="A1683">
            <v>41883</v>
          </cell>
          <cell r="BF1683">
            <v>66.809263379034391</v>
          </cell>
          <cell r="BG1683">
            <v>45.468715051806292</v>
          </cell>
          <cell r="BH1683">
            <v>42.408178994289898</v>
          </cell>
          <cell r="BI1683">
            <v>30.406703917126244</v>
          </cell>
          <cell r="BJ1683">
            <v>54.409654071453552</v>
          </cell>
          <cell r="BU1683">
            <v>38.805670962924566</v>
          </cell>
          <cell r="BV1683">
            <v>29.635401891862816</v>
          </cell>
          <cell r="BW1683">
            <v>23.901518972811779</v>
          </cell>
          <cell r="BX1683">
            <v>15.713059154269443</v>
          </cell>
          <cell r="BY1683">
            <v>32.089978791354113</v>
          </cell>
        </row>
        <row r="1684">
          <cell r="A1684">
            <v>41884</v>
          </cell>
          <cell r="BF1684">
            <v>66.947087291395647</v>
          </cell>
          <cell r="BG1684">
            <v>45.468715051806292</v>
          </cell>
          <cell r="BH1684">
            <v>42.408178994289898</v>
          </cell>
          <cell r="BI1684">
            <v>30.406703917126244</v>
          </cell>
          <cell r="BJ1684">
            <v>54.409654071453552</v>
          </cell>
          <cell r="BU1684">
            <v>38.884739871078509</v>
          </cell>
          <cell r="BV1684">
            <v>29.635401891862816</v>
          </cell>
          <cell r="BW1684">
            <v>23.901518972811779</v>
          </cell>
          <cell r="BX1684">
            <v>15.713059154269443</v>
          </cell>
          <cell r="BY1684">
            <v>32.089978791354113</v>
          </cell>
        </row>
        <row r="1685">
          <cell r="A1685">
            <v>41885</v>
          </cell>
          <cell r="BF1685">
            <v>66.220737654617025</v>
          </cell>
          <cell r="BG1685">
            <v>45.468715051806292</v>
          </cell>
          <cell r="BH1685">
            <v>42.408178994289898</v>
          </cell>
          <cell r="BI1685">
            <v>30.406703917126244</v>
          </cell>
          <cell r="BJ1685">
            <v>54.409654071453552</v>
          </cell>
          <cell r="BU1685">
            <v>38.468036617382175</v>
          </cell>
          <cell r="BV1685">
            <v>29.635401891862816</v>
          </cell>
          <cell r="BW1685">
            <v>23.901518972811779</v>
          </cell>
          <cell r="BX1685">
            <v>15.713059154269443</v>
          </cell>
          <cell r="BY1685">
            <v>32.089978791354113</v>
          </cell>
        </row>
        <row r="1686">
          <cell r="A1686">
            <v>41886</v>
          </cell>
          <cell r="BF1686">
            <v>66.004695198549541</v>
          </cell>
          <cell r="BG1686">
            <v>45.468715051806292</v>
          </cell>
          <cell r="BH1686">
            <v>42.408178994289898</v>
          </cell>
          <cell r="BI1686">
            <v>30.406703917126244</v>
          </cell>
          <cell r="BJ1686">
            <v>54.409654071453552</v>
          </cell>
          <cell r="BU1686">
            <v>38.34409411115454</v>
          </cell>
          <cell r="BV1686">
            <v>29.635401891862816</v>
          </cell>
          <cell r="BW1686">
            <v>23.901518972811779</v>
          </cell>
          <cell r="BX1686">
            <v>15.713059154269443</v>
          </cell>
          <cell r="BY1686">
            <v>32.089978791354113</v>
          </cell>
        </row>
        <row r="1687">
          <cell r="A1687">
            <v>41887</v>
          </cell>
          <cell r="BF1687">
            <v>66.554966024387966</v>
          </cell>
          <cell r="BG1687">
            <v>45.468715051806292</v>
          </cell>
          <cell r="BH1687">
            <v>42.408178994289898</v>
          </cell>
          <cell r="BI1687">
            <v>30.406703917126244</v>
          </cell>
          <cell r="BJ1687">
            <v>54.409654071453552</v>
          </cell>
          <cell r="BU1687">
            <v>38.67531977434907</v>
          </cell>
          <cell r="BV1687">
            <v>29.635401891862816</v>
          </cell>
          <cell r="BW1687">
            <v>23.901518972811779</v>
          </cell>
          <cell r="BX1687">
            <v>15.713059154269443</v>
          </cell>
          <cell r="BY1687">
            <v>32.089978791354113</v>
          </cell>
        </row>
        <row r="1688">
          <cell r="A1688">
            <v>41890</v>
          </cell>
          <cell r="BF1688">
            <v>66.879461816832134</v>
          </cell>
          <cell r="BG1688">
            <v>45.468715051806292</v>
          </cell>
          <cell r="BH1688">
            <v>42.408178994289898</v>
          </cell>
          <cell r="BI1688">
            <v>30.406703917126244</v>
          </cell>
          <cell r="BJ1688">
            <v>54.409654071453552</v>
          </cell>
          <cell r="BU1688">
            <v>38.954373624073277</v>
          </cell>
          <cell r="BV1688">
            <v>29.635401891862816</v>
          </cell>
          <cell r="BW1688">
            <v>23.901518972811779</v>
          </cell>
          <cell r="BX1688">
            <v>15.713059154269443</v>
          </cell>
          <cell r="BY1688">
            <v>32.089978791354113</v>
          </cell>
        </row>
        <row r="1689">
          <cell r="A1689">
            <v>41891</v>
          </cell>
          <cell r="BF1689">
            <v>65.008815069128701</v>
          </cell>
          <cell r="BG1689">
            <v>45.468715051806292</v>
          </cell>
          <cell r="BH1689">
            <v>42.408178994289898</v>
          </cell>
          <cell r="BI1689">
            <v>30.406703917126244</v>
          </cell>
          <cell r="BJ1689">
            <v>54.409654071453552</v>
          </cell>
          <cell r="BU1689">
            <v>37.878150025658108</v>
          </cell>
          <cell r="BV1689">
            <v>29.635401891862816</v>
          </cell>
          <cell r="BW1689">
            <v>23.901518972811779</v>
          </cell>
          <cell r="BX1689">
            <v>15.713059154269443</v>
          </cell>
          <cell r="BY1689">
            <v>32.089978791354113</v>
          </cell>
        </row>
        <row r="1690">
          <cell r="A1690">
            <v>41892</v>
          </cell>
          <cell r="BF1690">
            <v>66.118585877331341</v>
          </cell>
          <cell r="BG1690">
            <v>45.468715051806292</v>
          </cell>
          <cell r="BH1690">
            <v>42.408178994289898</v>
          </cell>
          <cell r="BI1690">
            <v>30.406703917126244</v>
          </cell>
          <cell r="BJ1690">
            <v>54.409654071453552</v>
          </cell>
          <cell r="BU1690">
            <v>38.516625212962317</v>
          </cell>
          <cell r="BV1690">
            <v>29.635401891862816</v>
          </cell>
          <cell r="BW1690">
            <v>23.901518972811779</v>
          </cell>
          <cell r="BX1690">
            <v>15.713059154269443</v>
          </cell>
          <cell r="BY1690">
            <v>32.089978791354113</v>
          </cell>
        </row>
        <row r="1691">
          <cell r="A1691">
            <v>41893</v>
          </cell>
          <cell r="BF1691">
            <v>65.747425071912389</v>
          </cell>
          <cell r="BG1691">
            <v>45.468715051806292</v>
          </cell>
          <cell r="BH1691">
            <v>42.408178994289898</v>
          </cell>
          <cell r="BI1691">
            <v>30.406703917126244</v>
          </cell>
          <cell r="BJ1691">
            <v>54.409654071453552</v>
          </cell>
          <cell r="BU1691">
            <v>38.303088361021111</v>
          </cell>
          <cell r="BV1691">
            <v>29.635401891862816</v>
          </cell>
          <cell r="BW1691">
            <v>23.901518972811779</v>
          </cell>
          <cell r="BX1691">
            <v>15.713059154269443</v>
          </cell>
          <cell r="BY1691">
            <v>32.089978791354113</v>
          </cell>
        </row>
        <row r="1692">
          <cell r="A1692">
            <v>41894</v>
          </cell>
          <cell r="BF1692">
            <v>64.118029136123226</v>
          </cell>
          <cell r="BG1692">
            <v>45.468715051806292</v>
          </cell>
          <cell r="BH1692">
            <v>42.408178994289898</v>
          </cell>
          <cell r="BI1692">
            <v>30.406703917126244</v>
          </cell>
          <cell r="BJ1692">
            <v>54.409654071453552</v>
          </cell>
          <cell r="BU1692">
            <v>37.365661580999209</v>
          </cell>
          <cell r="BV1692">
            <v>29.635401891862816</v>
          </cell>
          <cell r="BW1692">
            <v>23.901518972811779</v>
          </cell>
          <cell r="BX1692">
            <v>15.713059154269443</v>
          </cell>
          <cell r="BY1692">
            <v>32.089978791354113</v>
          </cell>
        </row>
        <row r="1693">
          <cell r="A1693">
            <v>41897</v>
          </cell>
          <cell r="BF1693">
            <v>62.392131390925108</v>
          </cell>
          <cell r="BG1693">
            <v>45.468715051806292</v>
          </cell>
          <cell r="BH1693">
            <v>42.408178994289898</v>
          </cell>
          <cell r="BI1693">
            <v>30.406703917126244</v>
          </cell>
          <cell r="BJ1693">
            <v>54.409654071453552</v>
          </cell>
          <cell r="BU1693">
            <v>36.372715219472589</v>
          </cell>
          <cell r="BV1693">
            <v>29.635401891862816</v>
          </cell>
          <cell r="BW1693">
            <v>23.901518972811779</v>
          </cell>
          <cell r="BX1693">
            <v>15.713059154269443</v>
          </cell>
          <cell r="BY1693">
            <v>32.089978791354113</v>
          </cell>
        </row>
        <row r="1694">
          <cell r="A1694">
            <v>41898</v>
          </cell>
          <cell r="BF1694">
            <v>64.218238841978277</v>
          </cell>
          <cell r="BG1694">
            <v>45.468715051806292</v>
          </cell>
          <cell r="BH1694">
            <v>42.408178994289898</v>
          </cell>
          <cell r="BI1694">
            <v>30.406703917126244</v>
          </cell>
          <cell r="BJ1694">
            <v>54.409654071453552</v>
          </cell>
          <cell r="BU1694">
            <v>37.423314395654813</v>
          </cell>
          <cell r="BV1694">
            <v>29.635401891862816</v>
          </cell>
          <cell r="BW1694">
            <v>23.901518972811779</v>
          </cell>
          <cell r="BX1694">
            <v>15.713059154269443</v>
          </cell>
          <cell r="BY1694">
            <v>32.089978791354113</v>
          </cell>
        </row>
        <row r="1695">
          <cell r="A1695">
            <v>41899</v>
          </cell>
          <cell r="BF1695">
            <v>65.695462559153754</v>
          </cell>
          <cell r="BG1695">
            <v>45.468715051806292</v>
          </cell>
          <cell r="BH1695">
            <v>42.408178994289898</v>
          </cell>
          <cell r="BI1695">
            <v>30.406703917126244</v>
          </cell>
          <cell r="BJ1695">
            <v>54.409654071453552</v>
          </cell>
          <cell r="BU1695">
            <v>38.273193201749343</v>
          </cell>
          <cell r="BV1695">
            <v>29.635401891862816</v>
          </cell>
          <cell r="BW1695">
            <v>23.901518972811779</v>
          </cell>
          <cell r="BX1695">
            <v>15.713059154269443</v>
          </cell>
          <cell r="BY1695">
            <v>32.089978791354113</v>
          </cell>
        </row>
        <row r="1696">
          <cell r="A1696">
            <v>41900</v>
          </cell>
          <cell r="BF1696">
            <v>66.036930500139178</v>
          </cell>
          <cell r="BG1696">
            <v>45.468715051806292</v>
          </cell>
          <cell r="BH1696">
            <v>42.408178994289898</v>
          </cell>
          <cell r="BI1696">
            <v>30.406703917126244</v>
          </cell>
          <cell r="BJ1696">
            <v>54.409654071453552</v>
          </cell>
          <cell r="BU1696">
            <v>38.469647105535252</v>
          </cell>
          <cell r="BV1696">
            <v>29.635401891862816</v>
          </cell>
          <cell r="BW1696">
            <v>23.901518972811779</v>
          </cell>
          <cell r="BX1696">
            <v>15.713059154269443</v>
          </cell>
          <cell r="BY1696">
            <v>32.089978791354113</v>
          </cell>
        </row>
        <row r="1697">
          <cell r="A1697">
            <v>41901</v>
          </cell>
          <cell r="BF1697">
            <v>63.936160341467932</v>
          </cell>
          <cell r="BG1697">
            <v>45.468715051806292</v>
          </cell>
          <cell r="BH1697">
            <v>42.408178994289898</v>
          </cell>
          <cell r="BI1697">
            <v>30.406703917126244</v>
          </cell>
          <cell r="BJ1697">
            <v>54.409654071453552</v>
          </cell>
          <cell r="BU1697">
            <v>37.261028523548013</v>
          </cell>
          <cell r="BV1697">
            <v>29.635401891862816</v>
          </cell>
          <cell r="BW1697">
            <v>23.901518972811779</v>
          </cell>
          <cell r="BX1697">
            <v>15.713059154269443</v>
          </cell>
          <cell r="BY1697">
            <v>32.089978791354113</v>
          </cell>
        </row>
        <row r="1698">
          <cell r="A1698">
            <v>41904</v>
          </cell>
          <cell r="BF1698">
            <v>63.271778788159963</v>
          </cell>
          <cell r="BG1698">
            <v>45.468715051806292</v>
          </cell>
          <cell r="BH1698">
            <v>42.408178994289898</v>
          </cell>
          <cell r="BI1698">
            <v>30.406703917126244</v>
          </cell>
          <cell r="BJ1698">
            <v>54.409654071453552</v>
          </cell>
          <cell r="BU1698">
            <v>36.878795423204728</v>
          </cell>
          <cell r="BV1698">
            <v>29.635401891862816</v>
          </cell>
          <cell r="BW1698">
            <v>23.901518972811779</v>
          </cell>
          <cell r="BX1698">
            <v>15.713059154269443</v>
          </cell>
          <cell r="BY1698">
            <v>32.089978791354113</v>
          </cell>
        </row>
        <row r="1699">
          <cell r="A1699">
            <v>41905</v>
          </cell>
          <cell r="BF1699">
            <v>62.084064210819335</v>
          </cell>
          <cell r="BG1699">
            <v>45.468715051806292</v>
          </cell>
          <cell r="BH1699">
            <v>42.408178994289898</v>
          </cell>
          <cell r="BI1699">
            <v>30.406703917126244</v>
          </cell>
          <cell r="BJ1699">
            <v>54.409654071453552</v>
          </cell>
          <cell r="BU1699">
            <v>36.195477496992865</v>
          </cell>
          <cell r="BV1699">
            <v>29.635401891862816</v>
          </cell>
          <cell r="BW1699">
            <v>23.901518972811779</v>
          </cell>
          <cell r="BX1699">
            <v>15.713059154269443</v>
          </cell>
          <cell r="BY1699">
            <v>32.089978791354113</v>
          </cell>
        </row>
        <row r="1700">
          <cell r="A1700">
            <v>41906</v>
          </cell>
          <cell r="BF1700">
            <v>62.592558225851342</v>
          </cell>
          <cell r="BG1700">
            <v>45.468715051806292</v>
          </cell>
          <cell r="BH1700">
            <v>42.408178994289898</v>
          </cell>
          <cell r="BI1700">
            <v>30.406703917126244</v>
          </cell>
          <cell r="BJ1700">
            <v>54.409654071453552</v>
          </cell>
          <cell r="BU1700">
            <v>36.488025119520834</v>
          </cell>
          <cell r="BV1700">
            <v>29.635401891862816</v>
          </cell>
          <cell r="BW1700">
            <v>23.901518972811779</v>
          </cell>
          <cell r="BX1700">
            <v>15.713059154269443</v>
          </cell>
          <cell r="BY1700">
            <v>32.089978791354113</v>
          </cell>
        </row>
        <row r="1701">
          <cell r="A1701">
            <v>41907</v>
          </cell>
          <cell r="BF1701">
            <v>60.831022041410229</v>
          </cell>
          <cell r="BG1701">
            <v>45.468715051806292</v>
          </cell>
          <cell r="BH1701">
            <v>42.408178994289898</v>
          </cell>
          <cell r="BI1701">
            <v>30.406703917126244</v>
          </cell>
          <cell r="BJ1701">
            <v>54.409654071453552</v>
          </cell>
          <cell r="BU1701">
            <v>35.47158756891217</v>
          </cell>
          <cell r="BV1701">
            <v>29.635401891862816</v>
          </cell>
          <cell r="BW1701">
            <v>23.901518972811779</v>
          </cell>
          <cell r="BX1701">
            <v>15.713059154269443</v>
          </cell>
          <cell r="BY1701">
            <v>32.089978791354113</v>
          </cell>
        </row>
        <row r="1702">
          <cell r="A1702">
            <v>41908</v>
          </cell>
          <cell r="BF1702">
            <v>61.410082330494944</v>
          </cell>
          <cell r="BG1702">
            <v>45.468715051806292</v>
          </cell>
          <cell r="BH1702">
            <v>42.408178994289898</v>
          </cell>
          <cell r="BI1702">
            <v>30.406703917126244</v>
          </cell>
          <cell r="BJ1702">
            <v>54.409654071453552</v>
          </cell>
          <cell r="BU1702">
            <v>35.804705057940453</v>
          </cell>
          <cell r="BV1702">
            <v>29.635401891862816</v>
          </cell>
          <cell r="BW1702">
            <v>23.901518972811779</v>
          </cell>
          <cell r="BX1702">
            <v>15.713059154269443</v>
          </cell>
          <cell r="BY1702">
            <v>32.089978791354113</v>
          </cell>
        </row>
        <row r="1703">
          <cell r="A1703">
            <v>41911</v>
          </cell>
          <cell r="BF1703">
            <v>61.328419982034276</v>
          </cell>
          <cell r="BG1703">
            <v>45.468715051806292</v>
          </cell>
          <cell r="BH1703">
            <v>42.408178994289898</v>
          </cell>
          <cell r="BI1703">
            <v>30.406703917126244</v>
          </cell>
          <cell r="BJ1703">
            <v>54.409654071453552</v>
          </cell>
          <cell r="BU1703">
            <v>35.757726950513387</v>
          </cell>
          <cell r="BV1703">
            <v>29.635401891862816</v>
          </cell>
          <cell r="BW1703">
            <v>23.901518972811779</v>
          </cell>
          <cell r="BX1703">
            <v>15.713059154269443</v>
          </cell>
          <cell r="BY1703">
            <v>32.089978791354113</v>
          </cell>
        </row>
        <row r="1704">
          <cell r="A1704">
            <v>41912</v>
          </cell>
          <cell r="BF1704">
            <v>60.845873453055276</v>
          </cell>
          <cell r="BG1704">
            <v>45.468715051806292</v>
          </cell>
          <cell r="BH1704">
            <v>42.408178994289898</v>
          </cell>
          <cell r="BI1704">
            <v>30.406703917126244</v>
          </cell>
          <cell r="BJ1704">
            <v>54.409654071453552</v>
          </cell>
          <cell r="BU1704">
            <v>35.480131178358334</v>
          </cell>
          <cell r="BV1704">
            <v>29.635401891862816</v>
          </cell>
          <cell r="BW1704">
            <v>23.901518972811779</v>
          </cell>
          <cell r="BX1704">
            <v>15.713059154269443</v>
          </cell>
          <cell r="BY1704">
            <v>32.089978791354113</v>
          </cell>
        </row>
        <row r="1705">
          <cell r="A1705">
            <v>41913</v>
          </cell>
          <cell r="BF1705">
            <v>57.90311899693495</v>
          </cell>
          <cell r="BG1705">
            <v>45.468715051806292</v>
          </cell>
          <cell r="BH1705">
            <v>42.408178994289898</v>
          </cell>
          <cell r="BI1705">
            <v>30.406703917126244</v>
          </cell>
          <cell r="BJ1705">
            <v>54.409654071453552</v>
          </cell>
          <cell r="BU1705">
            <v>33.766423396273197</v>
          </cell>
          <cell r="BV1705">
            <v>29.635401891862816</v>
          </cell>
          <cell r="BW1705">
            <v>23.901518972811779</v>
          </cell>
          <cell r="BX1705">
            <v>15.713059154269443</v>
          </cell>
          <cell r="BY1705">
            <v>32.089978791354113</v>
          </cell>
        </row>
        <row r="1706">
          <cell r="A1706">
            <v>41914</v>
          </cell>
          <cell r="BF1706">
            <v>58.209600534158803</v>
          </cell>
          <cell r="BG1706">
            <v>45.468715051806292</v>
          </cell>
          <cell r="BH1706">
            <v>42.408178994289898</v>
          </cell>
          <cell r="BI1706">
            <v>30.406703917126244</v>
          </cell>
          <cell r="BJ1706">
            <v>54.409654071453552</v>
          </cell>
          <cell r="BU1706">
            <v>33.942667627541738</v>
          </cell>
          <cell r="BV1706">
            <v>29.635401891862816</v>
          </cell>
          <cell r="BW1706">
            <v>23.901518972811779</v>
          </cell>
          <cell r="BX1706">
            <v>15.713059154269443</v>
          </cell>
          <cell r="BY1706">
            <v>32.089978791354113</v>
          </cell>
        </row>
        <row r="1707">
          <cell r="A1707">
            <v>41915</v>
          </cell>
          <cell r="BF1707">
            <v>59.580394064709836</v>
          </cell>
          <cell r="BG1707">
            <v>45.468715051806292</v>
          </cell>
          <cell r="BH1707">
            <v>42.408178994289898</v>
          </cell>
          <cell r="BI1707">
            <v>30.406703917126244</v>
          </cell>
          <cell r="BJ1707">
            <v>54.409654071453552</v>
          </cell>
          <cell r="BU1707">
            <v>34.816296008578917</v>
          </cell>
          <cell r="BV1707">
            <v>29.635401891862816</v>
          </cell>
          <cell r="BW1707">
            <v>23.901518972811779</v>
          </cell>
          <cell r="BX1707">
            <v>15.713059154269443</v>
          </cell>
          <cell r="BY1707">
            <v>32.089978791354113</v>
          </cell>
        </row>
        <row r="1708">
          <cell r="A1708">
            <v>41918</v>
          </cell>
          <cell r="BF1708">
            <v>59.518835894475473</v>
          </cell>
          <cell r="BG1708">
            <v>45.468715051806292</v>
          </cell>
          <cell r="BH1708">
            <v>42.408178994289898</v>
          </cell>
          <cell r="BI1708">
            <v>30.406703917126244</v>
          </cell>
          <cell r="BJ1708">
            <v>54.409654071453552</v>
          </cell>
          <cell r="BU1708">
            <v>34.732279210834584</v>
          </cell>
          <cell r="BV1708">
            <v>29.635401891862816</v>
          </cell>
          <cell r="BW1708">
            <v>23.901518972811779</v>
          </cell>
          <cell r="BX1708">
            <v>15.713059154269443</v>
          </cell>
          <cell r="BY1708">
            <v>32.089978791354113</v>
          </cell>
        </row>
        <row r="1709">
          <cell r="A1709">
            <v>41919</v>
          </cell>
          <cell r="BF1709">
            <v>57.639712549423315</v>
          </cell>
          <cell r="BG1709">
            <v>45.468715051806292</v>
          </cell>
          <cell r="BH1709">
            <v>42.408178994289898</v>
          </cell>
          <cell r="BI1709">
            <v>30.406703917126244</v>
          </cell>
          <cell r="BJ1709">
            <v>54.409654071453552</v>
          </cell>
          <cell r="BU1709">
            <v>33.561992357912068</v>
          </cell>
          <cell r="BV1709">
            <v>29.635401891862816</v>
          </cell>
          <cell r="BW1709">
            <v>23.901518972811779</v>
          </cell>
          <cell r="BX1709">
            <v>15.713059154269443</v>
          </cell>
          <cell r="BY1709">
            <v>32.089978791354113</v>
          </cell>
        </row>
        <row r="1710">
          <cell r="A1710">
            <v>41920</v>
          </cell>
          <cell r="BF1710">
            <v>59.584510215666299</v>
          </cell>
          <cell r="BG1710">
            <v>45.468715051806292</v>
          </cell>
          <cell r="BH1710">
            <v>42.408178994289898</v>
          </cell>
          <cell r="BI1710">
            <v>30.406703917126244</v>
          </cell>
          <cell r="BJ1710">
            <v>54.409654071453552</v>
          </cell>
          <cell r="BU1710">
            <v>34.67859840680223</v>
          </cell>
          <cell r="BV1710">
            <v>29.635401891862816</v>
          </cell>
          <cell r="BW1710">
            <v>23.901518972811779</v>
          </cell>
          <cell r="BX1710">
            <v>15.713059154269443</v>
          </cell>
          <cell r="BY1710">
            <v>32.089978791354113</v>
          </cell>
        </row>
        <row r="1711">
          <cell r="A1711">
            <v>41921</v>
          </cell>
          <cell r="BF1711">
            <v>58.092164435749389</v>
          </cell>
          <cell r="BG1711">
            <v>45.468715051806292</v>
          </cell>
          <cell r="BH1711">
            <v>42.408178994289898</v>
          </cell>
          <cell r="BI1711">
            <v>30.406703917126244</v>
          </cell>
          <cell r="BJ1711">
            <v>54.409654071453552</v>
          </cell>
          <cell r="BU1711">
            <v>33.821767717515129</v>
          </cell>
          <cell r="BV1711">
            <v>29.635401891862816</v>
          </cell>
          <cell r="BW1711">
            <v>23.901518972811779</v>
          </cell>
          <cell r="BX1711">
            <v>15.713059154269443</v>
          </cell>
          <cell r="BY1711">
            <v>32.089978791354113</v>
          </cell>
        </row>
        <row r="1712">
          <cell r="A1712">
            <v>41922</v>
          </cell>
          <cell r="BF1712">
            <v>56.158102766803488</v>
          </cell>
          <cell r="BG1712">
            <v>45.468715051806292</v>
          </cell>
          <cell r="BH1712">
            <v>42.408178994289898</v>
          </cell>
          <cell r="BI1712">
            <v>30.406703917126244</v>
          </cell>
          <cell r="BJ1712">
            <v>54.409654071453552</v>
          </cell>
          <cell r="BU1712">
            <v>33.821767717515129</v>
          </cell>
          <cell r="BV1712">
            <v>29.635401891862816</v>
          </cell>
          <cell r="BW1712">
            <v>23.901518972811779</v>
          </cell>
          <cell r="BX1712">
            <v>15.713059154269443</v>
          </cell>
          <cell r="BY1712">
            <v>32.089978791354113</v>
          </cell>
        </row>
        <row r="1713">
          <cell r="A1713">
            <v>41925</v>
          </cell>
          <cell r="BF1713">
            <v>54.735174217092208</v>
          </cell>
          <cell r="BG1713">
            <v>45.468715051806292</v>
          </cell>
          <cell r="BH1713">
            <v>42.408178994289898</v>
          </cell>
          <cell r="BI1713">
            <v>30.406703917126244</v>
          </cell>
          <cell r="BJ1713">
            <v>54.409654071453552</v>
          </cell>
          <cell r="BU1713">
            <v>31.896510540149077</v>
          </cell>
          <cell r="BV1713">
            <v>29.635401891862816</v>
          </cell>
          <cell r="BW1713">
            <v>23.901518972811779</v>
          </cell>
          <cell r="BX1713">
            <v>15.713059154269443</v>
          </cell>
          <cell r="BY1713">
            <v>32.089978791354113</v>
          </cell>
        </row>
        <row r="1714">
          <cell r="A1714">
            <v>41926</v>
          </cell>
          <cell r="BF1714">
            <v>54.406810580728539</v>
          </cell>
          <cell r="BG1714">
            <v>45.468715051806292</v>
          </cell>
          <cell r="BH1714">
            <v>42.408178994289898</v>
          </cell>
          <cell r="BI1714">
            <v>30.406703917126244</v>
          </cell>
          <cell r="BJ1714">
            <v>54.409654071453552</v>
          </cell>
          <cell r="BU1714">
            <v>31.707967523649891</v>
          </cell>
          <cell r="BV1714">
            <v>29.635401891862816</v>
          </cell>
          <cell r="BW1714">
            <v>23.901518972811779</v>
          </cell>
          <cell r="BX1714">
            <v>15.713059154269443</v>
          </cell>
          <cell r="BY1714">
            <v>32.089978791354113</v>
          </cell>
        </row>
        <row r="1715">
          <cell r="A1715">
            <v>41927</v>
          </cell>
          <cell r="BF1715">
            <v>56.037701429010838</v>
          </cell>
          <cell r="BG1715">
            <v>45.468715051806292</v>
          </cell>
          <cell r="BH1715">
            <v>42.408178994289898</v>
          </cell>
          <cell r="BI1715">
            <v>30.406703917126244</v>
          </cell>
          <cell r="BJ1715">
            <v>54.409654071453552</v>
          </cell>
          <cell r="BU1715">
            <v>32.644408243826064</v>
          </cell>
          <cell r="BV1715">
            <v>29.635401891862816</v>
          </cell>
          <cell r="BW1715">
            <v>23.901518972811779</v>
          </cell>
          <cell r="BX1715">
            <v>15.713059154269443</v>
          </cell>
          <cell r="BY1715">
            <v>32.089978791354113</v>
          </cell>
        </row>
        <row r="1716">
          <cell r="A1716">
            <v>41928</v>
          </cell>
          <cell r="BF1716">
            <v>58.460322286414517</v>
          </cell>
          <cell r="BG1716">
            <v>45.468715051806292</v>
          </cell>
          <cell r="BH1716">
            <v>42.408178994289898</v>
          </cell>
          <cell r="BI1716">
            <v>30.406703917126244</v>
          </cell>
          <cell r="BJ1716">
            <v>54.409654071453552</v>
          </cell>
          <cell r="BU1716">
            <v>34.032213017578492</v>
          </cell>
          <cell r="BV1716">
            <v>29.635401891862816</v>
          </cell>
          <cell r="BW1716">
            <v>23.901518972811779</v>
          </cell>
          <cell r="BX1716">
            <v>15.713059154269443</v>
          </cell>
          <cell r="BY1716">
            <v>32.089978791354113</v>
          </cell>
        </row>
        <row r="1717">
          <cell r="A1717">
            <v>41929</v>
          </cell>
          <cell r="BF1717">
            <v>60.167828519312209</v>
          </cell>
          <cell r="BG1717">
            <v>45.468715051806292</v>
          </cell>
          <cell r="BH1717">
            <v>42.408178994289898</v>
          </cell>
          <cell r="BI1717">
            <v>30.406703917126244</v>
          </cell>
          <cell r="BJ1717">
            <v>54.409654071453552</v>
          </cell>
          <cell r="BU1717">
            <v>34.032213017578492</v>
          </cell>
          <cell r="BV1717">
            <v>29.635401891862816</v>
          </cell>
          <cell r="BW1717">
            <v>23.901518972811779</v>
          </cell>
          <cell r="BX1717">
            <v>15.713059154269443</v>
          </cell>
          <cell r="BY1717">
            <v>32.089978791354113</v>
          </cell>
        </row>
        <row r="1718">
          <cell r="A1718">
            <v>41932</v>
          </cell>
          <cell r="BF1718">
            <v>59.968129054061933</v>
          </cell>
          <cell r="BG1718">
            <v>45.468715051806292</v>
          </cell>
          <cell r="BH1718">
            <v>42.408178994289898</v>
          </cell>
          <cell r="BI1718">
            <v>30.406703917126244</v>
          </cell>
          <cell r="BJ1718">
            <v>54.409654071453552</v>
          </cell>
          <cell r="BU1718">
            <v>34.419515351659435</v>
          </cell>
          <cell r="BV1718">
            <v>29.635401891862816</v>
          </cell>
          <cell r="BW1718">
            <v>23.901518972811779</v>
          </cell>
          <cell r="BX1718">
            <v>15.713059154269443</v>
          </cell>
          <cell r="BY1718">
            <v>32.089978791354113</v>
          </cell>
        </row>
        <row r="1719">
          <cell r="A1719">
            <v>41933</v>
          </cell>
          <cell r="BF1719">
            <v>59.241976514379552</v>
          </cell>
          <cell r="BG1719">
            <v>45.468715051806292</v>
          </cell>
          <cell r="BH1719">
            <v>42.408178994289898</v>
          </cell>
          <cell r="BI1719">
            <v>30.406703917126244</v>
          </cell>
          <cell r="BJ1719">
            <v>54.409654071453552</v>
          </cell>
          <cell r="BU1719">
            <v>35.136539291582871</v>
          </cell>
          <cell r="BV1719">
            <v>29.635401891862816</v>
          </cell>
          <cell r="BW1719">
            <v>23.901518972811779</v>
          </cell>
          <cell r="BX1719">
            <v>15.713059154269443</v>
          </cell>
          <cell r="BY1719">
            <v>32.089978791354113</v>
          </cell>
        </row>
        <row r="1720">
          <cell r="A1720">
            <v>41934</v>
          </cell>
          <cell r="BF1720">
            <v>60.980800385383631</v>
          </cell>
          <cell r="BG1720">
            <v>45.468715051806292</v>
          </cell>
          <cell r="BH1720">
            <v>42.408178994289898</v>
          </cell>
          <cell r="BI1720">
            <v>30.406703917126244</v>
          </cell>
          <cell r="BJ1720">
            <v>54.409654071453552</v>
          </cell>
          <cell r="BU1720">
            <v>35.82040089189578</v>
          </cell>
          <cell r="BV1720">
            <v>29.635401891862816</v>
          </cell>
          <cell r="BW1720">
            <v>23.901518972811779</v>
          </cell>
          <cell r="BX1720">
            <v>15.713059154269443</v>
          </cell>
          <cell r="BY1720">
            <v>32.089978791354113</v>
          </cell>
        </row>
        <row r="1721">
          <cell r="A1721">
            <v>41935</v>
          </cell>
          <cell r="BF1721">
            <v>60.605006500542522</v>
          </cell>
          <cell r="BG1721">
            <v>45.468715051806292</v>
          </cell>
          <cell r="BH1721">
            <v>42.408178994289898</v>
          </cell>
          <cell r="BI1721">
            <v>30.406703917126244</v>
          </cell>
          <cell r="BJ1721">
            <v>54.409654071453552</v>
          </cell>
          <cell r="BU1721">
            <v>36.018016419869134</v>
          </cell>
          <cell r="BV1721">
            <v>29.635401891862816</v>
          </cell>
          <cell r="BW1721">
            <v>23.901518972811779</v>
          </cell>
          <cell r="BX1721">
            <v>15.713059154269443</v>
          </cell>
          <cell r="BY1721">
            <v>32.089978791354113</v>
          </cell>
        </row>
        <row r="1722">
          <cell r="A1722">
            <v>41936</v>
          </cell>
          <cell r="BF1722">
            <v>61.392631066390933</v>
          </cell>
          <cell r="BG1722">
            <v>45.468715051806292</v>
          </cell>
          <cell r="BH1722">
            <v>42.408178994289898</v>
          </cell>
          <cell r="BI1722">
            <v>30.406703917126244</v>
          </cell>
          <cell r="BJ1722">
            <v>54.409654071453552</v>
          </cell>
          <cell r="BU1722">
            <v>36.359192170874302</v>
          </cell>
          <cell r="BV1722">
            <v>29.635401891862816</v>
          </cell>
          <cell r="BW1722">
            <v>23.901518972811779</v>
          </cell>
          <cell r="BX1722">
            <v>15.713059154269443</v>
          </cell>
          <cell r="BY1722">
            <v>32.089978791354113</v>
          </cell>
        </row>
        <row r="1723">
          <cell r="A1723">
            <v>41939</v>
          </cell>
          <cell r="BF1723">
            <v>62.056650359496992</v>
          </cell>
          <cell r="BG1723">
            <v>45.468715051806292</v>
          </cell>
          <cell r="BH1723">
            <v>42.408178994289898</v>
          </cell>
          <cell r="BI1723">
            <v>30.406703917126244</v>
          </cell>
          <cell r="BJ1723">
            <v>54.409654071453552</v>
          </cell>
          <cell r="BU1723">
            <v>36.723305764846415</v>
          </cell>
          <cell r="BV1723">
            <v>29.635401891862816</v>
          </cell>
          <cell r="BW1723">
            <v>23.901518972811779</v>
          </cell>
          <cell r="BX1723">
            <v>15.713059154269443</v>
          </cell>
          <cell r="BY1723">
            <v>32.089978791354113</v>
          </cell>
        </row>
        <row r="1724">
          <cell r="A1724">
            <v>41940</v>
          </cell>
          <cell r="BF1724">
            <v>61.842561241117046</v>
          </cell>
          <cell r="BG1724">
            <v>45.468715051806292</v>
          </cell>
          <cell r="BH1724">
            <v>42.408178994289898</v>
          </cell>
          <cell r="BI1724">
            <v>30.406703917126244</v>
          </cell>
          <cell r="BJ1724">
            <v>54.409654071453552</v>
          </cell>
          <cell r="BU1724">
            <v>36.596659350560586</v>
          </cell>
          <cell r="BV1724">
            <v>29.635401891862816</v>
          </cell>
          <cell r="BW1724">
            <v>23.901518972811779</v>
          </cell>
          <cell r="BX1724">
            <v>15.713059154269443</v>
          </cell>
          <cell r="BY1724">
            <v>32.089978791354113</v>
          </cell>
        </row>
        <row r="1725">
          <cell r="A1725">
            <v>41941</v>
          </cell>
          <cell r="BF1725">
            <v>61.268409907141752</v>
          </cell>
          <cell r="BG1725">
            <v>45.468715051806292</v>
          </cell>
          <cell r="BH1725">
            <v>42.408178994289898</v>
          </cell>
          <cell r="BI1725">
            <v>30.406703917126244</v>
          </cell>
          <cell r="BJ1725">
            <v>54.409654071453552</v>
          </cell>
          <cell r="BU1725">
            <v>36.257014775181695</v>
          </cell>
          <cell r="BV1725">
            <v>29.635401891862816</v>
          </cell>
          <cell r="BW1725">
            <v>23.901518972811779</v>
          </cell>
          <cell r="BX1725">
            <v>15.713059154269443</v>
          </cell>
          <cell r="BY1725">
            <v>32.089978791354113</v>
          </cell>
        </row>
        <row r="1726">
          <cell r="A1726">
            <v>41942</v>
          </cell>
          <cell r="BF1726">
            <v>62.741086783408647</v>
          </cell>
          <cell r="BG1726">
            <v>45.468715051806292</v>
          </cell>
          <cell r="BH1726">
            <v>42.408178994289898</v>
          </cell>
          <cell r="BI1726">
            <v>30.406703917126244</v>
          </cell>
          <cell r="BJ1726">
            <v>54.409654071453552</v>
          </cell>
          <cell r="BU1726">
            <v>37.820436950225549</v>
          </cell>
          <cell r="BV1726">
            <v>29.635401891862816</v>
          </cell>
          <cell r="BW1726">
            <v>23.901518972811779</v>
          </cell>
          <cell r="BX1726">
            <v>15.713059154269443</v>
          </cell>
          <cell r="BY1726">
            <v>32.089978791354113</v>
          </cell>
        </row>
        <row r="1727">
          <cell r="A1727">
            <v>41943</v>
          </cell>
          <cell r="BF1727">
            <v>62.468606479877835</v>
          </cell>
          <cell r="BG1727">
            <v>45.468715051806292</v>
          </cell>
          <cell r="BH1727">
            <v>42.408178994289898</v>
          </cell>
          <cell r="BI1727">
            <v>30.406703917126244</v>
          </cell>
          <cell r="BJ1727">
            <v>54.409654071453552</v>
          </cell>
          <cell r="BU1727">
            <v>37.820436950225549</v>
          </cell>
          <cell r="BV1727">
            <v>29.635401891862816</v>
          </cell>
          <cell r="BW1727">
            <v>23.901518972811779</v>
          </cell>
          <cell r="BX1727">
            <v>15.713059154269443</v>
          </cell>
          <cell r="BY1727">
            <v>32.089978791354113</v>
          </cell>
        </row>
        <row r="1728">
          <cell r="A1728">
            <v>41946</v>
          </cell>
          <cell r="BF1728">
            <v>62.373765977205998</v>
          </cell>
          <cell r="BG1728">
            <v>45.468715051806292</v>
          </cell>
          <cell r="BH1728">
            <v>42.408178994289898</v>
          </cell>
          <cell r="BI1728">
            <v>30.406703917126244</v>
          </cell>
          <cell r="BJ1728">
            <v>54.409654071453552</v>
          </cell>
          <cell r="BU1728">
            <v>37.578332881182284</v>
          </cell>
          <cell r="BV1728">
            <v>29.635401891862816</v>
          </cell>
          <cell r="BW1728">
            <v>23.901518972811779</v>
          </cell>
          <cell r="BX1728">
            <v>15.713059154269443</v>
          </cell>
          <cell r="BY1728">
            <v>32.089978791354113</v>
          </cell>
        </row>
        <row r="1729">
          <cell r="A1729">
            <v>41947</v>
          </cell>
          <cell r="BF1729">
            <v>61.436538549502004</v>
          </cell>
          <cell r="BG1729">
            <v>45.468715051806292</v>
          </cell>
          <cell r="BH1729">
            <v>42.408178994289898</v>
          </cell>
          <cell r="BI1729">
            <v>30.406703917126244</v>
          </cell>
          <cell r="BJ1729">
            <v>54.409654071453552</v>
          </cell>
          <cell r="BU1729">
            <v>37.01387621763827</v>
          </cell>
          <cell r="BV1729">
            <v>29.635401891862816</v>
          </cell>
          <cell r="BW1729">
            <v>23.901518972811779</v>
          </cell>
          <cell r="BX1729">
            <v>15.713059154269443</v>
          </cell>
          <cell r="BY1729">
            <v>32.089978791354113</v>
          </cell>
        </row>
        <row r="1730">
          <cell r="A1730">
            <v>41948</v>
          </cell>
          <cell r="BF1730">
            <v>59.818861541504127</v>
          </cell>
          <cell r="BG1730">
            <v>45.468715051806292</v>
          </cell>
          <cell r="BH1730">
            <v>42.408178994289898</v>
          </cell>
          <cell r="BI1730">
            <v>30.406703917126244</v>
          </cell>
          <cell r="BJ1730">
            <v>54.409654071453552</v>
          </cell>
          <cell r="BU1730">
            <v>36.039610484865946</v>
          </cell>
          <cell r="BV1730">
            <v>29.635401891862816</v>
          </cell>
          <cell r="BW1730">
            <v>23.901518972811779</v>
          </cell>
          <cell r="BX1730">
            <v>15.713059154269443</v>
          </cell>
          <cell r="BY1730">
            <v>32.089978791354113</v>
          </cell>
        </row>
        <row r="1731">
          <cell r="A1731">
            <v>41949</v>
          </cell>
          <cell r="BF1731">
            <v>60.824901892741885</v>
          </cell>
          <cell r="BG1731">
            <v>45.468715051806292</v>
          </cell>
          <cell r="BH1731">
            <v>42.408178994289898</v>
          </cell>
          <cell r="BI1731">
            <v>30.406703917126244</v>
          </cell>
          <cell r="BJ1731">
            <v>54.409654071453552</v>
          </cell>
          <cell r="BU1731">
            <v>36.571975817452859</v>
          </cell>
          <cell r="BV1731">
            <v>29.635401891862816</v>
          </cell>
          <cell r="BW1731">
            <v>23.901518972811779</v>
          </cell>
          <cell r="BX1731">
            <v>15.713059154269443</v>
          </cell>
          <cell r="BY1731">
            <v>32.089978791354113</v>
          </cell>
        </row>
        <row r="1732">
          <cell r="A1732">
            <v>41950</v>
          </cell>
          <cell r="BF1732">
            <v>59.697269014127826</v>
          </cell>
          <cell r="BG1732">
            <v>45.468715051806292</v>
          </cell>
          <cell r="BH1732">
            <v>42.408178994289898</v>
          </cell>
          <cell r="BI1732">
            <v>30.406703917126244</v>
          </cell>
          <cell r="BJ1732">
            <v>54.409654071453552</v>
          </cell>
          <cell r="BU1732">
            <v>36.571975817452859</v>
          </cell>
          <cell r="BV1732">
            <v>29.635401891862816</v>
          </cell>
          <cell r="BW1732">
            <v>23.901518972811779</v>
          </cell>
          <cell r="BX1732">
            <v>15.713059154269443</v>
          </cell>
          <cell r="BY1732">
            <v>32.089978791354113</v>
          </cell>
        </row>
        <row r="1733">
          <cell r="A1733">
            <v>41953</v>
          </cell>
          <cell r="BF1733">
            <v>60.312344696874355</v>
          </cell>
          <cell r="BG1733">
            <v>45.468715051806292</v>
          </cell>
          <cell r="BH1733">
            <v>42.408178994289898</v>
          </cell>
          <cell r="BI1733">
            <v>30.406703917126244</v>
          </cell>
          <cell r="BJ1733">
            <v>54.409654071453552</v>
          </cell>
          <cell r="BU1733">
            <v>36.26390121785748</v>
          </cell>
          <cell r="BV1733">
            <v>29.635401891862816</v>
          </cell>
          <cell r="BW1733">
            <v>23.901518972811779</v>
          </cell>
          <cell r="BX1733">
            <v>15.713059154269443</v>
          </cell>
          <cell r="BY1733">
            <v>32.089978791354113</v>
          </cell>
        </row>
        <row r="1734">
          <cell r="A1734">
            <v>41954</v>
          </cell>
          <cell r="BF1734">
            <v>60.238660935962415</v>
          </cell>
          <cell r="BG1734">
            <v>45.468715051806292</v>
          </cell>
          <cell r="BH1734">
            <v>42.408178994289898</v>
          </cell>
          <cell r="BI1734">
            <v>30.406703917126244</v>
          </cell>
          <cell r="BJ1734">
            <v>54.409654071453552</v>
          </cell>
          <cell r="BU1734">
            <v>36.219613291899847</v>
          </cell>
          <cell r="BV1734">
            <v>29.635401891862816</v>
          </cell>
          <cell r="BW1734">
            <v>23.901518972811779</v>
          </cell>
          <cell r="BX1734">
            <v>15.713059154269443</v>
          </cell>
          <cell r="BY1734">
            <v>32.089978791354113</v>
          </cell>
        </row>
        <row r="1735">
          <cell r="A1735">
            <v>41955</v>
          </cell>
          <cell r="BF1735">
            <v>59.879868656403396</v>
          </cell>
          <cell r="BG1735">
            <v>45.468715051806292</v>
          </cell>
          <cell r="BH1735">
            <v>42.408178994289898</v>
          </cell>
          <cell r="BI1735">
            <v>30.406703917126244</v>
          </cell>
          <cell r="BJ1735">
            <v>54.409654071453552</v>
          </cell>
          <cell r="BU1735">
            <v>36.003959724348285</v>
          </cell>
          <cell r="BV1735">
            <v>29.635401891862816</v>
          </cell>
          <cell r="BW1735">
            <v>23.901518972811779</v>
          </cell>
          <cell r="BX1735">
            <v>15.713059154269443</v>
          </cell>
          <cell r="BY1735">
            <v>32.089978791354113</v>
          </cell>
        </row>
        <row r="1736">
          <cell r="A1736">
            <v>41956</v>
          </cell>
          <cell r="BF1736">
            <v>59.264796177159369</v>
          </cell>
          <cell r="BG1736">
            <v>45.468715051806292</v>
          </cell>
          <cell r="BH1736">
            <v>42.408178994289898</v>
          </cell>
          <cell r="BI1736">
            <v>30.406703917126244</v>
          </cell>
          <cell r="BJ1736">
            <v>54.409654071453552</v>
          </cell>
          <cell r="BU1736">
            <v>35.634267894259885</v>
          </cell>
          <cell r="BV1736">
            <v>29.635401891862816</v>
          </cell>
          <cell r="BW1736">
            <v>23.901518972811779</v>
          </cell>
          <cell r="BX1736">
            <v>15.713059154269443</v>
          </cell>
          <cell r="BY1736">
            <v>32.089978791354113</v>
          </cell>
        </row>
        <row r="1737">
          <cell r="A1737">
            <v>41957</v>
          </cell>
          <cell r="BF1737">
            <v>57.823220053931166</v>
          </cell>
          <cell r="BG1737">
            <v>45.468715051806292</v>
          </cell>
          <cell r="BH1737">
            <v>42.408178994289898</v>
          </cell>
          <cell r="BI1737">
            <v>30.406703917126244</v>
          </cell>
          <cell r="BJ1737">
            <v>54.409654071453552</v>
          </cell>
          <cell r="BU1737">
            <v>34.767802667490194</v>
          </cell>
          <cell r="BV1737">
            <v>29.635401891862816</v>
          </cell>
          <cell r="BW1737">
            <v>23.901518972811779</v>
          </cell>
          <cell r="BX1737">
            <v>15.713059154269443</v>
          </cell>
          <cell r="BY1737">
            <v>32.089978791354113</v>
          </cell>
        </row>
        <row r="1738">
          <cell r="A1738">
            <v>41960</v>
          </cell>
          <cell r="BF1738">
            <v>58.595267358984763</v>
          </cell>
          <cell r="BG1738">
            <v>45.468715051806292</v>
          </cell>
          <cell r="BH1738">
            <v>42.408178994289898</v>
          </cell>
          <cell r="BI1738">
            <v>30.406703917126244</v>
          </cell>
          <cell r="BJ1738">
            <v>54.409654071453552</v>
          </cell>
          <cell r="BU1738">
            <v>35.23184485886069</v>
          </cell>
          <cell r="BV1738">
            <v>29.635401891862816</v>
          </cell>
          <cell r="BW1738">
            <v>23.901518972811779</v>
          </cell>
          <cell r="BX1738">
            <v>15.713059154269443</v>
          </cell>
          <cell r="BY1738">
            <v>32.089978791354113</v>
          </cell>
        </row>
        <row r="1739">
          <cell r="A1739">
            <v>41961</v>
          </cell>
          <cell r="BF1739">
            <v>60.818498091252252</v>
          </cell>
          <cell r="BG1739">
            <v>45.468715051806292</v>
          </cell>
          <cell r="BH1739">
            <v>42.408178994289898</v>
          </cell>
          <cell r="BI1739">
            <v>30.406703917126244</v>
          </cell>
          <cell r="BJ1739">
            <v>54.409654071453552</v>
          </cell>
          <cell r="BU1739">
            <v>36.568126786367721</v>
          </cell>
          <cell r="BV1739">
            <v>29.635401891862816</v>
          </cell>
          <cell r="BW1739">
            <v>23.901518972811779</v>
          </cell>
          <cell r="BX1739">
            <v>15.713059154269443</v>
          </cell>
          <cell r="BY1739">
            <v>32.089978791354113</v>
          </cell>
        </row>
        <row r="1740">
          <cell r="A1740">
            <v>41962</v>
          </cell>
          <cell r="BF1740">
            <v>60.876157932678886</v>
          </cell>
          <cell r="BG1740">
            <v>45.468715051806292</v>
          </cell>
          <cell r="BH1740">
            <v>42.408178994289898</v>
          </cell>
          <cell r="BI1740">
            <v>30.406703917126244</v>
          </cell>
          <cell r="BJ1740">
            <v>54.409654071453552</v>
          </cell>
          <cell r="BU1740">
            <v>36.602783469960222</v>
          </cell>
          <cell r="BV1740">
            <v>29.635401891862816</v>
          </cell>
          <cell r="BW1740">
            <v>23.901518972811779</v>
          </cell>
          <cell r="BX1740">
            <v>15.713059154269443</v>
          </cell>
          <cell r="BY1740">
            <v>32.089978791354113</v>
          </cell>
        </row>
        <row r="1741">
          <cell r="A1741">
            <v>41963</v>
          </cell>
          <cell r="BF1741">
            <v>59.668437491663262</v>
          </cell>
          <cell r="BG1741">
            <v>45.468715051806292</v>
          </cell>
          <cell r="BH1741">
            <v>42.408178994289898</v>
          </cell>
          <cell r="BI1741">
            <v>30.406703917126244</v>
          </cell>
          <cell r="BJ1741">
            <v>54.409654071453552</v>
          </cell>
          <cell r="BU1741">
            <v>35.978091215215194</v>
          </cell>
          <cell r="BV1741">
            <v>29.635401891862816</v>
          </cell>
          <cell r="BW1741">
            <v>23.901518972811779</v>
          </cell>
          <cell r="BX1741">
            <v>15.713059154269443</v>
          </cell>
          <cell r="BY1741">
            <v>32.089978791354113</v>
          </cell>
        </row>
        <row r="1742">
          <cell r="A1742">
            <v>41964</v>
          </cell>
          <cell r="BF1742">
            <v>59.530690087835062</v>
          </cell>
          <cell r="BG1742">
            <v>45.468715051806292</v>
          </cell>
          <cell r="BH1742">
            <v>42.408178994289898</v>
          </cell>
          <cell r="BI1742">
            <v>30.406703917126244</v>
          </cell>
          <cell r="BJ1742">
            <v>54.409654071453552</v>
          </cell>
          <cell r="BU1742">
            <v>35.978091215215194</v>
          </cell>
          <cell r="BV1742">
            <v>29.635401891862816</v>
          </cell>
          <cell r="BW1742">
            <v>23.901518972811779</v>
          </cell>
          <cell r="BX1742">
            <v>15.713059154269443</v>
          </cell>
          <cell r="BY1742">
            <v>32.089978791354113</v>
          </cell>
        </row>
        <row r="1743">
          <cell r="A1743">
            <v>41967</v>
          </cell>
          <cell r="BF1743">
            <v>61.238156918236463</v>
          </cell>
          <cell r="BG1743">
            <v>45.468715051806292</v>
          </cell>
          <cell r="BH1743">
            <v>42.408178994289898</v>
          </cell>
          <cell r="BI1743">
            <v>30.406703917126244</v>
          </cell>
          <cell r="BJ1743">
            <v>54.409654071453552</v>
          </cell>
          <cell r="BU1743">
            <v>36.924239188831997</v>
          </cell>
          <cell r="BV1743">
            <v>29.635401891862816</v>
          </cell>
          <cell r="BW1743">
            <v>23.901518972811779</v>
          </cell>
          <cell r="BX1743">
            <v>15.713059154269443</v>
          </cell>
          <cell r="BY1743">
            <v>32.089978791354113</v>
          </cell>
        </row>
        <row r="1744">
          <cell r="A1744">
            <v>41968</v>
          </cell>
          <cell r="BF1744">
            <v>60.613473931504245</v>
          </cell>
          <cell r="BG1744">
            <v>45.468715051806292</v>
          </cell>
          <cell r="BH1744">
            <v>42.408178994289898</v>
          </cell>
          <cell r="BI1744">
            <v>30.406703917126244</v>
          </cell>
          <cell r="BJ1744">
            <v>54.409654071453552</v>
          </cell>
          <cell r="BU1744">
            <v>36.547711682040635</v>
          </cell>
          <cell r="BV1744">
            <v>29.635401891862816</v>
          </cell>
          <cell r="BW1744">
            <v>23.901518972811779</v>
          </cell>
          <cell r="BX1744">
            <v>15.713059154269443</v>
          </cell>
          <cell r="BY1744">
            <v>32.089978791354113</v>
          </cell>
        </row>
        <row r="1745">
          <cell r="A1745">
            <v>41969</v>
          </cell>
          <cell r="BF1745">
            <v>61.47521289944261</v>
          </cell>
          <cell r="BG1745">
            <v>45.468715051806292</v>
          </cell>
          <cell r="BH1745">
            <v>42.408178994289898</v>
          </cell>
          <cell r="BI1745">
            <v>30.406703917126244</v>
          </cell>
          <cell r="BJ1745">
            <v>54.409654071453552</v>
          </cell>
          <cell r="BU1745">
            <v>37.067124619473297</v>
          </cell>
          <cell r="BV1745">
            <v>29.635401891862816</v>
          </cell>
          <cell r="BW1745">
            <v>23.901518972811779</v>
          </cell>
          <cell r="BX1745">
            <v>15.713059154269443</v>
          </cell>
          <cell r="BY1745">
            <v>32.089978791354113</v>
          </cell>
        </row>
        <row r="1746">
          <cell r="A1746">
            <v>41970</v>
          </cell>
          <cell r="BF1746">
            <v>61.47521289944261</v>
          </cell>
          <cell r="BG1746">
            <v>45.468715051806292</v>
          </cell>
          <cell r="BH1746">
            <v>42.408178994289898</v>
          </cell>
          <cell r="BI1746">
            <v>30.406703917126244</v>
          </cell>
          <cell r="BJ1746">
            <v>54.409654071453552</v>
          </cell>
          <cell r="BU1746">
            <v>37.067124619473297</v>
          </cell>
          <cell r="BV1746">
            <v>29.635401891862816</v>
          </cell>
          <cell r="BW1746">
            <v>23.901518972811779</v>
          </cell>
          <cell r="BX1746">
            <v>15.713059154269443</v>
          </cell>
          <cell r="BY1746">
            <v>32.089978791354113</v>
          </cell>
        </row>
        <row r="1747">
          <cell r="A1747">
            <v>41971</v>
          </cell>
          <cell r="BF1747">
            <v>61.151659147340276</v>
          </cell>
          <cell r="BG1747">
            <v>45.468715051806292</v>
          </cell>
          <cell r="BH1747">
            <v>42.408178994289898</v>
          </cell>
          <cell r="BI1747">
            <v>30.406703917126244</v>
          </cell>
          <cell r="BJ1747">
            <v>54.409654071453552</v>
          </cell>
          <cell r="BU1747">
            <v>36.872102680058283</v>
          </cell>
          <cell r="BV1747">
            <v>29.635401891862816</v>
          </cell>
          <cell r="BW1747">
            <v>23.901518972811779</v>
          </cell>
          <cell r="BX1747">
            <v>15.713059154269443</v>
          </cell>
          <cell r="BY1747">
            <v>32.089978791354113</v>
          </cell>
        </row>
        <row r="1748">
          <cell r="A1748">
            <v>41974</v>
          </cell>
          <cell r="BF1748">
            <v>59.91469510268562</v>
          </cell>
          <cell r="BG1748">
            <v>45.468715051806292</v>
          </cell>
          <cell r="BH1748">
            <v>42.408178994289898</v>
          </cell>
          <cell r="BI1748">
            <v>30.406703917126244</v>
          </cell>
          <cell r="BJ1748">
            <v>54.409654071453552</v>
          </cell>
          <cell r="BU1748">
            <v>36.090728309724277</v>
          </cell>
          <cell r="BV1748">
            <v>29.635401891862816</v>
          </cell>
          <cell r="BW1748">
            <v>23.901518972811779</v>
          </cell>
          <cell r="BX1748">
            <v>15.713059154269443</v>
          </cell>
          <cell r="BY1748">
            <v>32.089978791354113</v>
          </cell>
        </row>
        <row r="1749">
          <cell r="A1749">
            <v>41975</v>
          </cell>
          <cell r="BF1749">
            <v>59.453396524486564</v>
          </cell>
          <cell r="BG1749">
            <v>45.468715051806292</v>
          </cell>
          <cell r="BH1749">
            <v>42.408178994289898</v>
          </cell>
          <cell r="BI1749">
            <v>30.406703917126244</v>
          </cell>
          <cell r="BJ1749">
            <v>54.409654071453552</v>
          </cell>
          <cell r="BU1749">
            <v>35.812954838960351</v>
          </cell>
          <cell r="BV1749">
            <v>29.635401891862816</v>
          </cell>
          <cell r="BW1749">
            <v>23.901518972811779</v>
          </cell>
          <cell r="BX1749">
            <v>15.713059154269443</v>
          </cell>
          <cell r="BY1749">
            <v>32.089978791354113</v>
          </cell>
        </row>
        <row r="1750">
          <cell r="A1750">
            <v>41976</v>
          </cell>
          <cell r="BF1750">
            <v>60.426540284360186</v>
          </cell>
          <cell r="BG1750">
            <v>45.468715051806292</v>
          </cell>
          <cell r="BH1750">
            <v>42.408178994289898</v>
          </cell>
          <cell r="BI1750">
            <v>30.406703917126244</v>
          </cell>
          <cell r="BJ1750">
            <v>54.409654071453552</v>
          </cell>
          <cell r="BU1750">
            <v>36.398938695203043</v>
          </cell>
          <cell r="BV1750">
            <v>29.635401891862816</v>
          </cell>
          <cell r="BW1750">
            <v>23.901518972811779</v>
          </cell>
          <cell r="BX1750">
            <v>15.713059154269443</v>
          </cell>
          <cell r="BY1750">
            <v>32.089978791354113</v>
          </cell>
        </row>
        <row r="1751">
          <cell r="A1751">
            <v>41977</v>
          </cell>
          <cell r="BF1751">
            <v>60.293842022116898</v>
          </cell>
          <cell r="BG1751">
            <v>45.468715051806292</v>
          </cell>
          <cell r="BH1751">
            <v>42.408178994289898</v>
          </cell>
          <cell r="BI1751">
            <v>30.406703917126244</v>
          </cell>
          <cell r="BJ1751">
            <v>54.409654071453552</v>
          </cell>
          <cell r="BU1751">
            <v>36.319033708260385</v>
          </cell>
          <cell r="BV1751">
            <v>29.635401891862816</v>
          </cell>
          <cell r="BW1751">
            <v>23.901518972811779</v>
          </cell>
          <cell r="BX1751">
            <v>15.713059154269443</v>
          </cell>
          <cell r="BY1751">
            <v>32.089978791354113</v>
          </cell>
        </row>
        <row r="1752">
          <cell r="A1752">
            <v>41978</v>
          </cell>
          <cell r="BF1752">
            <v>60</v>
          </cell>
          <cell r="BG1752">
            <v>45.468715051806292</v>
          </cell>
          <cell r="BH1752">
            <v>42.408178994289898</v>
          </cell>
          <cell r="BI1752">
            <v>30.406703917126244</v>
          </cell>
          <cell r="BJ1752">
            <v>54.409654071453552</v>
          </cell>
          <cell r="BU1752">
            <v>36.318644424735218</v>
          </cell>
          <cell r="BV1752">
            <v>29.635401891862816</v>
          </cell>
          <cell r="BW1752">
            <v>23.901518972811779</v>
          </cell>
          <cell r="BX1752">
            <v>15.713059154269443</v>
          </cell>
          <cell r="BY1752">
            <v>32.089978791354113</v>
          </cell>
        </row>
        <row r="1753">
          <cell r="A1753">
            <v>41981</v>
          </cell>
          <cell r="BF1753">
            <v>59.996840442338069</v>
          </cell>
          <cell r="BG1753">
            <v>45.468715051806292</v>
          </cell>
          <cell r="BH1753">
            <v>42.408178994289898</v>
          </cell>
          <cell r="BI1753">
            <v>30.406703917126244</v>
          </cell>
          <cell r="BJ1753">
            <v>54.409654071453552</v>
          </cell>
          <cell r="BU1753">
            <v>36.139805210235572</v>
          </cell>
          <cell r="BV1753">
            <v>29.635401891862816</v>
          </cell>
          <cell r="BW1753">
            <v>23.901518972811779</v>
          </cell>
          <cell r="BX1753">
            <v>15.713059154269443</v>
          </cell>
          <cell r="BY1753">
            <v>32.089978791354113</v>
          </cell>
        </row>
        <row r="1754">
          <cell r="A1754">
            <v>41982</v>
          </cell>
          <cell r="BF1754">
            <v>59.181674565560819</v>
          </cell>
          <cell r="BG1754">
            <v>45.468715051806292</v>
          </cell>
          <cell r="BH1754">
            <v>42.408178994289898</v>
          </cell>
          <cell r="BI1754">
            <v>30.406703917126244</v>
          </cell>
          <cell r="BJ1754">
            <v>54.409654071453552</v>
          </cell>
          <cell r="BU1754">
            <v>35.648953864601935</v>
          </cell>
          <cell r="BV1754">
            <v>29.635401891862816</v>
          </cell>
          <cell r="BW1754">
            <v>23.901518972811779</v>
          </cell>
          <cell r="BX1754">
            <v>15.713059154269443</v>
          </cell>
          <cell r="BY1754">
            <v>32.089978791354113</v>
          </cell>
        </row>
        <row r="1755">
          <cell r="A1755">
            <v>41983</v>
          </cell>
          <cell r="BF1755">
            <v>58.091630331753549</v>
          </cell>
          <cell r="BG1755">
            <v>45.468715051806292</v>
          </cell>
          <cell r="BH1755">
            <v>42.408178994289898</v>
          </cell>
          <cell r="BI1755">
            <v>30.406703917126244</v>
          </cell>
          <cell r="BJ1755">
            <v>54.409654071453552</v>
          </cell>
          <cell r="BU1755">
            <v>34.992584781686197</v>
          </cell>
          <cell r="BV1755">
            <v>29.635401891862816</v>
          </cell>
          <cell r="BW1755">
            <v>23.901518972811779</v>
          </cell>
          <cell r="BX1755">
            <v>15.713059154269443</v>
          </cell>
          <cell r="BY1755">
            <v>32.089978791354113</v>
          </cell>
        </row>
        <row r="1756">
          <cell r="A1756">
            <v>41984</v>
          </cell>
          <cell r="BF1756">
            <v>59.030018957345966</v>
          </cell>
          <cell r="BG1756">
            <v>45.468715051806292</v>
          </cell>
          <cell r="BH1756">
            <v>42.408178994289898</v>
          </cell>
          <cell r="BI1756">
            <v>30.406703917126244</v>
          </cell>
          <cell r="BJ1756">
            <v>54.409654071453552</v>
          </cell>
          <cell r="BU1756">
            <v>35.557634586543529</v>
          </cell>
          <cell r="BV1756">
            <v>29.635401891862816</v>
          </cell>
          <cell r="BW1756">
            <v>23.901518972811779</v>
          </cell>
          <cell r="BX1756">
            <v>15.713059154269443</v>
          </cell>
          <cell r="BY1756">
            <v>32.089978791354113</v>
          </cell>
        </row>
        <row r="1757">
          <cell r="A1757">
            <v>41985</v>
          </cell>
          <cell r="BF1757">
            <v>58.230644549763035</v>
          </cell>
          <cell r="BG1757">
            <v>45.468715051806292</v>
          </cell>
          <cell r="BH1757">
            <v>42.408178994289898</v>
          </cell>
          <cell r="BI1757">
            <v>30.406703917126244</v>
          </cell>
          <cell r="BJ1757">
            <v>54.409654071453552</v>
          </cell>
          <cell r="BU1757">
            <v>35.557634586543529</v>
          </cell>
          <cell r="BV1757">
            <v>29.635401891862816</v>
          </cell>
          <cell r="BW1757">
            <v>23.901518972811779</v>
          </cell>
          <cell r="BX1757">
            <v>15.713059154269443</v>
          </cell>
          <cell r="BY1757">
            <v>32.089978791354113</v>
          </cell>
        </row>
        <row r="1758">
          <cell r="A1758">
            <v>41988</v>
          </cell>
          <cell r="BF1758">
            <v>56.339496732934798</v>
          </cell>
          <cell r="BG1758">
            <v>45.468715051806292</v>
          </cell>
          <cell r="BH1758">
            <v>42.408178994289898</v>
          </cell>
          <cell r="BI1758">
            <v>30.406703917126244</v>
          </cell>
          <cell r="BJ1758">
            <v>54.409654071453552</v>
          </cell>
          <cell r="BU1758">
            <v>33.936681728670628</v>
          </cell>
          <cell r="BV1758">
            <v>29.635401891862816</v>
          </cell>
          <cell r="BW1758">
            <v>23.901518972811779</v>
          </cell>
          <cell r="BX1758">
            <v>15.713059154269443</v>
          </cell>
          <cell r="BY1758">
            <v>32.089978791354113</v>
          </cell>
        </row>
        <row r="1759">
          <cell r="A1759">
            <v>41989</v>
          </cell>
          <cell r="BF1759">
            <v>55.350530187176929</v>
          </cell>
          <cell r="BG1759">
            <v>45.468715051806292</v>
          </cell>
          <cell r="BH1759">
            <v>42.408178994289898</v>
          </cell>
          <cell r="BI1759">
            <v>30.406703917126244</v>
          </cell>
          <cell r="BJ1759">
            <v>54.409654071453552</v>
          </cell>
          <cell r="BU1759">
            <v>33.341191530285634</v>
          </cell>
          <cell r="BV1759">
            <v>29.635401891862816</v>
          </cell>
          <cell r="BW1759">
            <v>23.901518972811779</v>
          </cell>
          <cell r="BX1759">
            <v>15.713059154269443</v>
          </cell>
          <cell r="BY1759">
            <v>32.089978791354113</v>
          </cell>
        </row>
        <row r="1760">
          <cell r="A1760">
            <v>41990</v>
          </cell>
          <cell r="BF1760">
            <v>57.255794775223393</v>
          </cell>
          <cell r="BG1760">
            <v>45.468715051806292</v>
          </cell>
          <cell r="BH1760">
            <v>42.408178994289898</v>
          </cell>
          <cell r="BI1760">
            <v>30.406703917126244</v>
          </cell>
          <cell r="BJ1760">
            <v>54.409654071453552</v>
          </cell>
          <cell r="BU1760">
            <v>34.488415763884205</v>
          </cell>
          <cell r="BV1760">
            <v>29.635401891862816</v>
          </cell>
          <cell r="BW1760">
            <v>23.901518972811779</v>
          </cell>
          <cell r="BX1760">
            <v>15.713059154269443</v>
          </cell>
          <cell r="BY1760">
            <v>32.089978791354113</v>
          </cell>
        </row>
        <row r="1761">
          <cell r="A1761">
            <v>41991</v>
          </cell>
          <cell r="BF1761">
            <v>59.250237266687755</v>
          </cell>
          <cell r="BG1761">
            <v>45.468715051806292</v>
          </cell>
          <cell r="BH1761">
            <v>42.408178994289898</v>
          </cell>
          <cell r="BI1761">
            <v>30.406703917126244</v>
          </cell>
          <cell r="BJ1761">
            <v>54.409654071453552</v>
          </cell>
          <cell r="BU1761">
            <v>35.73103231929818</v>
          </cell>
          <cell r="BV1761">
            <v>29.635401891862816</v>
          </cell>
          <cell r="BW1761">
            <v>23.901518972811779</v>
          </cell>
          <cell r="BX1761">
            <v>15.713059154269443</v>
          </cell>
          <cell r="BY1761">
            <v>32.089978791354113</v>
          </cell>
        </row>
        <row r="1762">
          <cell r="A1762">
            <v>41992</v>
          </cell>
          <cell r="BF1762">
            <v>60.098073394495415</v>
          </cell>
          <cell r="BG1762">
            <v>45.468715051806292</v>
          </cell>
          <cell r="BH1762">
            <v>42.408178994289898</v>
          </cell>
          <cell r="BI1762">
            <v>30.406703917126244</v>
          </cell>
          <cell r="BJ1762">
            <v>54.409654071453552</v>
          </cell>
          <cell r="BU1762">
            <v>36.242139315832624</v>
          </cell>
          <cell r="BV1762">
            <v>29.635401891862816</v>
          </cell>
          <cell r="BW1762">
            <v>23.901518972811779</v>
          </cell>
          <cell r="BX1762">
            <v>15.713059154269443</v>
          </cell>
          <cell r="BY1762">
            <v>32.089978791354113</v>
          </cell>
        </row>
        <row r="1763">
          <cell r="A1763">
            <v>41995</v>
          </cell>
          <cell r="BF1763">
            <v>59.927238215754507</v>
          </cell>
          <cell r="BG1763">
            <v>45.468715051806292</v>
          </cell>
          <cell r="BH1763">
            <v>42.408178994289898</v>
          </cell>
          <cell r="BI1763">
            <v>30.406703917126244</v>
          </cell>
          <cell r="BJ1763">
            <v>54.409654071453552</v>
          </cell>
          <cell r="BU1763">
            <v>36.139153547421849</v>
          </cell>
          <cell r="BV1763">
            <v>29.635401891862816</v>
          </cell>
          <cell r="BW1763">
            <v>23.901518972811779</v>
          </cell>
          <cell r="BX1763">
            <v>15.713059154269443</v>
          </cell>
          <cell r="BY1763">
            <v>32.089978791354113</v>
          </cell>
        </row>
        <row r="1764">
          <cell r="A1764">
            <v>41996</v>
          </cell>
          <cell r="BF1764">
            <v>58.051249604555522</v>
          </cell>
          <cell r="BG1764">
            <v>45.468715051806292</v>
          </cell>
          <cell r="BH1764">
            <v>42.408178994289898</v>
          </cell>
          <cell r="BI1764">
            <v>30.406703917126244</v>
          </cell>
          <cell r="BJ1764">
            <v>54.409654071453552</v>
          </cell>
          <cell r="BU1764">
            <v>35.008238181639925</v>
          </cell>
          <cell r="BV1764">
            <v>29.635401891862816</v>
          </cell>
          <cell r="BW1764">
            <v>23.901518972811779</v>
          </cell>
          <cell r="BX1764">
            <v>15.713059154269443</v>
          </cell>
          <cell r="BY1764">
            <v>32.089978791354113</v>
          </cell>
        </row>
        <row r="1765">
          <cell r="A1765">
            <v>41997</v>
          </cell>
          <cell r="BF1765">
            <v>58.911739955710217</v>
          </cell>
          <cell r="BG1765">
            <v>45.468715051806292</v>
          </cell>
          <cell r="BH1765">
            <v>42.408178994289898</v>
          </cell>
          <cell r="BI1765">
            <v>30.406703917126244</v>
          </cell>
          <cell r="BJ1765">
            <v>54.409654071453552</v>
          </cell>
          <cell r="BU1765">
            <v>35.526973612344896</v>
          </cell>
          <cell r="BV1765">
            <v>29.635401891862816</v>
          </cell>
          <cell r="BW1765">
            <v>23.901518972811779</v>
          </cell>
          <cell r="BX1765">
            <v>15.713059154269443</v>
          </cell>
          <cell r="BY1765">
            <v>32.089978791354113</v>
          </cell>
        </row>
        <row r="1766">
          <cell r="A1766">
            <v>41998</v>
          </cell>
          <cell r="BF1766">
            <v>58.911739955710217</v>
          </cell>
          <cell r="BG1766">
            <v>45.468715051806292</v>
          </cell>
          <cell r="BH1766">
            <v>42.408178994289898</v>
          </cell>
          <cell r="BI1766">
            <v>30.406703917126244</v>
          </cell>
          <cell r="BJ1766">
            <v>54.409654071453552</v>
          </cell>
          <cell r="BU1766">
            <v>35.526973612344896</v>
          </cell>
          <cell r="BV1766">
            <v>29.635401891862816</v>
          </cell>
          <cell r="BW1766">
            <v>23.901518972811779</v>
          </cell>
          <cell r="BX1766">
            <v>15.713059154269443</v>
          </cell>
          <cell r="BY1766">
            <v>32.089978791354113</v>
          </cell>
        </row>
        <row r="1767">
          <cell r="A1767">
            <v>41999</v>
          </cell>
          <cell r="BF1767">
            <v>59.538120847832957</v>
          </cell>
          <cell r="BG1767">
            <v>45.468715051806292</v>
          </cell>
          <cell r="BH1767">
            <v>42.408178994289898</v>
          </cell>
          <cell r="BI1767">
            <v>30.406703917126244</v>
          </cell>
          <cell r="BJ1767">
            <v>54.409654071453552</v>
          </cell>
          <cell r="BU1767">
            <v>35.904579196677872</v>
          </cell>
          <cell r="BV1767">
            <v>29.635401891862816</v>
          </cell>
          <cell r="BW1767">
            <v>23.901518972811779</v>
          </cell>
          <cell r="BX1767">
            <v>15.713059154269443</v>
          </cell>
          <cell r="BY1767">
            <v>32.089978791354113</v>
          </cell>
        </row>
        <row r="1768">
          <cell r="A1768">
            <v>42002</v>
          </cell>
          <cell r="BF1768">
            <v>59.958873774122111</v>
          </cell>
          <cell r="BG1768">
            <v>45.468715051806292</v>
          </cell>
          <cell r="BH1768">
            <v>42.408178994289898</v>
          </cell>
          <cell r="BI1768">
            <v>30.406703917126244</v>
          </cell>
          <cell r="BJ1768">
            <v>54.409654071453552</v>
          </cell>
          <cell r="BU1768">
            <v>36.158224632848189</v>
          </cell>
          <cell r="BV1768">
            <v>29.635401891862816</v>
          </cell>
          <cell r="BW1768">
            <v>23.901518972811779</v>
          </cell>
          <cell r="BX1768">
            <v>15.713059154269443</v>
          </cell>
          <cell r="BY1768">
            <v>32.089978791354113</v>
          </cell>
        </row>
        <row r="1769">
          <cell r="A1769">
            <v>42003</v>
          </cell>
          <cell r="BF1769">
            <v>58.933881683011705</v>
          </cell>
          <cell r="BG1769">
            <v>45.468715051806292</v>
          </cell>
          <cell r="BH1769">
            <v>42.408178994289898</v>
          </cell>
          <cell r="BI1769">
            <v>30.406703917126244</v>
          </cell>
          <cell r="BJ1769">
            <v>54.409654071453552</v>
          </cell>
          <cell r="BU1769">
            <v>35.540321465034793</v>
          </cell>
          <cell r="BV1769">
            <v>29.635401891862816</v>
          </cell>
          <cell r="BW1769">
            <v>23.901518972811779</v>
          </cell>
          <cell r="BX1769">
            <v>15.713059154269443</v>
          </cell>
          <cell r="BY1769">
            <v>32.089978791354113</v>
          </cell>
        </row>
        <row r="1770">
          <cell r="A1770">
            <v>42004</v>
          </cell>
          <cell r="BF1770">
            <v>58.392916798481487</v>
          </cell>
          <cell r="BG1770">
            <v>45.468715051806292</v>
          </cell>
          <cell r="BH1770">
            <v>42.408178994289898</v>
          </cell>
          <cell r="BI1770">
            <v>30.406703917126244</v>
          </cell>
          <cell r="BJ1770">
            <v>54.409654071453552</v>
          </cell>
          <cell r="BU1770">
            <v>35.540321465034793</v>
          </cell>
          <cell r="BV1770">
            <v>29.635401891862816</v>
          </cell>
          <cell r="BW1770">
            <v>23.901518972811779</v>
          </cell>
          <cell r="BX1770">
            <v>15.713059154269443</v>
          </cell>
          <cell r="BY1770">
            <v>32.089978791354113</v>
          </cell>
        </row>
        <row r="1771">
          <cell r="A1771">
            <v>42005</v>
          </cell>
          <cell r="BF1771">
            <v>57.260004394758205</v>
          </cell>
          <cell r="BG1771">
            <v>45.468715051806292</v>
          </cell>
          <cell r="BH1771">
            <v>42.408178994289898</v>
          </cell>
          <cell r="BI1771">
            <v>30.406703917126244</v>
          </cell>
          <cell r="BJ1771">
            <v>54.409654071453552</v>
          </cell>
          <cell r="BU1771">
            <v>34.55894136783153</v>
          </cell>
          <cell r="BV1771">
            <v>29.635401891862816</v>
          </cell>
          <cell r="BW1771">
            <v>23.901518972811779</v>
          </cell>
          <cell r="BX1771">
            <v>15.713059154269443</v>
          </cell>
          <cell r="BY1771">
            <v>32.089978791354113</v>
          </cell>
        </row>
        <row r="1772">
          <cell r="A1772">
            <v>42006</v>
          </cell>
          <cell r="BF1772">
            <v>57.520584243527054</v>
          </cell>
          <cell r="BG1772">
            <v>45.468715051806292</v>
          </cell>
          <cell r="BH1772">
            <v>42.408178994289898</v>
          </cell>
          <cell r="BI1772">
            <v>30.406703917126244</v>
          </cell>
          <cell r="BJ1772">
            <v>54.409654071453552</v>
          </cell>
          <cell r="BU1772">
            <v>34.71615566371436</v>
          </cell>
          <cell r="BV1772">
            <v>29.635401891862816</v>
          </cell>
          <cell r="BW1772">
            <v>23.901518972811779</v>
          </cell>
          <cell r="BX1772">
            <v>15.713059154269443</v>
          </cell>
          <cell r="BY1772">
            <v>32.089978791354113</v>
          </cell>
        </row>
        <row r="1773">
          <cell r="A1773">
            <v>42009</v>
          </cell>
          <cell r="BF1773">
            <v>59.138568285689679</v>
          </cell>
          <cell r="BG1773">
            <v>45.468715051806292</v>
          </cell>
          <cell r="BH1773">
            <v>42.408178994289898</v>
          </cell>
          <cell r="BI1773">
            <v>30.406703917126244</v>
          </cell>
          <cell r="BJ1773">
            <v>54.409654071453552</v>
          </cell>
          <cell r="BU1773">
            <v>35.63714310345717</v>
          </cell>
          <cell r="BV1773">
            <v>29.635401891862816</v>
          </cell>
          <cell r="BW1773">
            <v>23.901518972811779</v>
          </cell>
          <cell r="BX1773">
            <v>15.713059154269443</v>
          </cell>
          <cell r="BY1773">
            <v>32.089978791354113</v>
          </cell>
        </row>
        <row r="1774">
          <cell r="A1774">
            <v>42010</v>
          </cell>
          <cell r="BF1774">
            <v>58.43051195350008</v>
          </cell>
          <cell r="BG1774">
            <v>45.468715051806292</v>
          </cell>
          <cell r="BH1774">
            <v>42.408178994289898</v>
          </cell>
          <cell r="BI1774">
            <v>30.406703917126244</v>
          </cell>
          <cell r="BJ1774">
            <v>54.409654071453552</v>
          </cell>
          <cell r="BU1774">
            <v>35.186977094351192</v>
          </cell>
          <cell r="BV1774">
            <v>29.635401891862816</v>
          </cell>
          <cell r="BW1774">
            <v>23.901518972811779</v>
          </cell>
          <cell r="BX1774">
            <v>15.713059154269443</v>
          </cell>
          <cell r="BY1774">
            <v>32.089978791354113</v>
          </cell>
        </row>
        <row r="1775">
          <cell r="A1775">
            <v>42011</v>
          </cell>
          <cell r="BF1775">
            <v>60.501280360059162</v>
          </cell>
          <cell r="BG1775">
            <v>45.468715051806292</v>
          </cell>
          <cell r="BH1775">
            <v>42.408178994289898</v>
          </cell>
          <cell r="BI1775">
            <v>30.406703917126244</v>
          </cell>
          <cell r="BJ1775">
            <v>54.409654071453552</v>
          </cell>
          <cell r="BU1775">
            <v>36.564606653443391</v>
          </cell>
          <cell r="BV1775">
            <v>29.635401891862816</v>
          </cell>
          <cell r="BW1775">
            <v>23.901518972811779</v>
          </cell>
          <cell r="BX1775">
            <v>15.713059154269443</v>
          </cell>
          <cell r="BY1775">
            <v>32.089978791354113</v>
          </cell>
        </row>
        <row r="1776">
          <cell r="A1776">
            <v>42012</v>
          </cell>
          <cell r="BF1776">
            <v>61.092320832449559</v>
          </cell>
          <cell r="BG1776">
            <v>45.468715051806292</v>
          </cell>
          <cell r="BH1776">
            <v>42.408178994289898</v>
          </cell>
          <cell r="BI1776">
            <v>30.406703917126244</v>
          </cell>
          <cell r="BJ1776">
            <v>54.409654071453552</v>
          </cell>
          <cell r="BU1776">
            <v>36.920902627892659</v>
          </cell>
          <cell r="BV1776">
            <v>29.635401891862816</v>
          </cell>
          <cell r="BW1776">
            <v>23.901518972811779</v>
          </cell>
          <cell r="BX1776">
            <v>15.713059154269443</v>
          </cell>
          <cell r="BY1776">
            <v>32.089978791354113</v>
          </cell>
        </row>
        <row r="1777">
          <cell r="A1777">
            <v>42013</v>
          </cell>
          <cell r="BF1777">
            <v>60.465319095778838</v>
          </cell>
          <cell r="BG1777">
            <v>45.468715051806292</v>
          </cell>
          <cell r="BH1777">
            <v>42.408178994289898</v>
          </cell>
          <cell r="BI1777">
            <v>30.406703917126244</v>
          </cell>
          <cell r="BJ1777">
            <v>54.409654071453552</v>
          </cell>
          <cell r="BU1777">
            <v>36.542105743461782</v>
          </cell>
          <cell r="BV1777">
            <v>29.635401891862816</v>
          </cell>
          <cell r="BW1777">
            <v>23.901518972811779</v>
          </cell>
          <cell r="BX1777">
            <v>15.713059154269443</v>
          </cell>
          <cell r="BY1777">
            <v>32.089978791354113</v>
          </cell>
        </row>
        <row r="1778">
          <cell r="A1778">
            <v>42016</v>
          </cell>
          <cell r="BF1778">
            <v>58.819012680180037</v>
          </cell>
          <cell r="BG1778">
            <v>45.468715051806292</v>
          </cell>
          <cell r="BH1778">
            <v>42.408178994289898</v>
          </cell>
          <cell r="BI1778">
            <v>30.406703917126244</v>
          </cell>
          <cell r="BJ1778">
            <v>54.409654071453552</v>
          </cell>
          <cell r="BU1778">
            <v>35.541842024582259</v>
          </cell>
          <cell r="BV1778">
            <v>29.635401891862816</v>
          </cell>
          <cell r="BW1778">
            <v>23.901518972811779</v>
          </cell>
          <cell r="BX1778">
            <v>15.713059154269443</v>
          </cell>
          <cell r="BY1778">
            <v>32.089978791354113</v>
          </cell>
        </row>
        <row r="1779">
          <cell r="A1779">
            <v>42017</v>
          </cell>
          <cell r="BF1779">
            <v>57.244329896913271</v>
          </cell>
          <cell r="BG1779">
            <v>45.468715051806292</v>
          </cell>
          <cell r="BH1779">
            <v>42.408178994289898</v>
          </cell>
          <cell r="BI1779">
            <v>30.406703917126244</v>
          </cell>
          <cell r="BJ1779">
            <v>54.409654071453552</v>
          </cell>
          <cell r="BU1779">
            <v>35.507702395949316</v>
          </cell>
          <cell r="BV1779">
            <v>29.635401891862816</v>
          </cell>
          <cell r="BW1779">
            <v>23.901518972811779</v>
          </cell>
          <cell r="BX1779">
            <v>15.713059154269443</v>
          </cell>
          <cell r="BY1779">
            <v>32.089978791354113</v>
          </cell>
        </row>
        <row r="1780">
          <cell r="A1780">
            <v>42018</v>
          </cell>
          <cell r="BF1780">
            <v>56.416572077190985</v>
          </cell>
          <cell r="BG1780">
            <v>45.468715051806292</v>
          </cell>
          <cell r="BH1780">
            <v>42.408178994289898</v>
          </cell>
          <cell r="BI1780">
            <v>30.406703917126244</v>
          </cell>
          <cell r="BJ1780">
            <v>54.409654071453552</v>
          </cell>
          <cell r="BU1780">
            <v>34.07183773203397</v>
          </cell>
          <cell r="BV1780">
            <v>29.635401891862816</v>
          </cell>
          <cell r="BW1780">
            <v>23.901518972811779</v>
          </cell>
          <cell r="BX1780">
            <v>15.713059154269443</v>
          </cell>
          <cell r="BY1780">
            <v>32.089978791354113</v>
          </cell>
        </row>
        <row r="1781">
          <cell r="A1781">
            <v>42019</v>
          </cell>
          <cell r="BF1781">
            <v>55.882934458830171</v>
          </cell>
          <cell r="BG1781">
            <v>45.468715051806292</v>
          </cell>
          <cell r="BH1781">
            <v>42.408178994289898</v>
          </cell>
          <cell r="BI1781">
            <v>30.406703917126244</v>
          </cell>
          <cell r="BJ1781">
            <v>54.409654071453552</v>
          </cell>
          <cell r="BU1781">
            <v>33.743481941140352</v>
          </cell>
          <cell r="BV1781">
            <v>29.635401891862816</v>
          </cell>
          <cell r="BW1781">
            <v>23.901518972811779</v>
          </cell>
          <cell r="BX1781">
            <v>15.713059154269443</v>
          </cell>
          <cell r="BY1781">
            <v>32.089978791354113</v>
          </cell>
        </row>
        <row r="1782">
          <cell r="A1782">
            <v>42020</v>
          </cell>
          <cell r="BF1782">
            <v>56.74916696681845</v>
          </cell>
          <cell r="BG1782">
            <v>45.468715051806292</v>
          </cell>
          <cell r="BH1782">
            <v>42.408178994289898</v>
          </cell>
          <cell r="BI1782">
            <v>30.406703917126244</v>
          </cell>
          <cell r="BJ1782">
            <v>54.409654071453552</v>
          </cell>
          <cell r="BU1782">
            <v>33.719588121739235</v>
          </cell>
          <cell r="BV1782">
            <v>29.635401891862816</v>
          </cell>
          <cell r="BW1782">
            <v>23.901518972811779</v>
          </cell>
          <cell r="BX1782">
            <v>15.713059154269443</v>
          </cell>
          <cell r="BY1782">
            <v>32.089978791354113</v>
          </cell>
        </row>
        <row r="1783">
          <cell r="A1783">
            <v>42023</v>
          </cell>
          <cell r="BF1783">
            <v>56.74916696681845</v>
          </cell>
          <cell r="BG1783">
            <v>45.468715051806292</v>
          </cell>
          <cell r="BH1783">
            <v>42.408178994289898</v>
          </cell>
          <cell r="BI1783">
            <v>30.406703917126244</v>
          </cell>
          <cell r="BJ1783">
            <v>54.409654071453552</v>
          </cell>
          <cell r="BU1783">
            <v>34.261778248508755</v>
          </cell>
          <cell r="BV1783">
            <v>29.635401891862816</v>
          </cell>
          <cell r="BW1783">
            <v>23.901518972811779</v>
          </cell>
          <cell r="BX1783">
            <v>15.713059154269443</v>
          </cell>
          <cell r="BY1783">
            <v>32.089978791354113</v>
          </cell>
        </row>
        <row r="1784">
          <cell r="A1784">
            <v>42024</v>
          </cell>
          <cell r="BF1784">
            <v>60.734756881920489</v>
          </cell>
          <cell r="BG1784">
            <v>45.468715051806292</v>
          </cell>
          <cell r="BH1784">
            <v>42.408178994289898</v>
          </cell>
          <cell r="BI1784">
            <v>30.406703917126244</v>
          </cell>
          <cell r="BJ1784">
            <v>54.409654071453552</v>
          </cell>
          <cell r="BU1784">
            <v>34.261778248508755</v>
          </cell>
          <cell r="BV1784">
            <v>29.635401891862816</v>
          </cell>
          <cell r="BW1784">
            <v>23.901518972811779</v>
          </cell>
          <cell r="BX1784">
            <v>15.713059154269443</v>
          </cell>
          <cell r="BY1784">
            <v>32.089978791354113</v>
          </cell>
        </row>
        <row r="1785">
          <cell r="A1785">
            <v>42025</v>
          </cell>
          <cell r="BF1785">
            <v>59.21207831235251</v>
          </cell>
          <cell r="BG1785">
            <v>45.468715051806292</v>
          </cell>
          <cell r="BH1785">
            <v>42.408178994289898</v>
          </cell>
          <cell r="BI1785">
            <v>30.406703917126244</v>
          </cell>
          <cell r="BJ1785">
            <v>54.409654071453552</v>
          </cell>
          <cell r="BU1785">
            <v>35.743019316487334</v>
          </cell>
          <cell r="BV1785">
            <v>29.635401891862816</v>
          </cell>
          <cell r="BW1785">
            <v>23.901518972811779</v>
          </cell>
          <cell r="BX1785">
            <v>15.713059154269443</v>
          </cell>
          <cell r="BY1785">
            <v>32.089978791354113</v>
          </cell>
        </row>
        <row r="1786">
          <cell r="A1786">
            <v>42026</v>
          </cell>
          <cell r="BF1786">
            <v>60.000340401132952</v>
          </cell>
          <cell r="BG1786">
            <v>45.468715051806292</v>
          </cell>
          <cell r="BH1786">
            <v>42.408178994289898</v>
          </cell>
          <cell r="BI1786">
            <v>30.406703917126244</v>
          </cell>
          <cell r="BJ1786">
            <v>54.409654071453552</v>
          </cell>
          <cell r="BU1786">
            <v>36.004599787856385</v>
          </cell>
          <cell r="BV1786">
            <v>29.635401891862816</v>
          </cell>
          <cell r="BW1786">
            <v>23.901518972811779</v>
          </cell>
          <cell r="BX1786">
            <v>15.713059154269443</v>
          </cell>
          <cell r="BY1786">
            <v>32.089978791354113</v>
          </cell>
        </row>
        <row r="1787">
          <cell r="A1787">
            <v>42027</v>
          </cell>
          <cell r="BF1787">
            <v>60.573664774130165</v>
          </cell>
          <cell r="BG1787">
            <v>45.468715051806292</v>
          </cell>
          <cell r="BH1787">
            <v>42.408178994289898</v>
          </cell>
          <cell r="BI1787">
            <v>30.406703917126244</v>
          </cell>
          <cell r="BJ1787">
            <v>54.409654071453552</v>
          </cell>
          <cell r="BU1787">
            <v>36.246923879089877</v>
          </cell>
          <cell r="BV1787">
            <v>29.635401891862816</v>
          </cell>
          <cell r="BW1787">
            <v>23.901518972811779</v>
          </cell>
          <cell r="BX1787">
            <v>15.713059154269443</v>
          </cell>
          <cell r="BY1787">
            <v>32.089978791354113</v>
          </cell>
        </row>
        <row r="1788">
          <cell r="A1788">
            <v>42030</v>
          </cell>
          <cell r="BF1788">
            <v>61.964217773958602</v>
          </cell>
          <cell r="BG1788">
            <v>45.468715051806292</v>
          </cell>
          <cell r="BH1788">
            <v>42.408178994289898</v>
          </cell>
          <cell r="BI1788">
            <v>30.406703917126244</v>
          </cell>
          <cell r="BJ1788">
            <v>54.409654071453552</v>
          </cell>
          <cell r="BU1788">
            <v>37.035610324381075</v>
          </cell>
          <cell r="BV1788">
            <v>29.635401891862816</v>
          </cell>
          <cell r="BW1788">
            <v>23.901518972811779</v>
          </cell>
          <cell r="BX1788">
            <v>15.713059154269443</v>
          </cell>
          <cell r="BY1788">
            <v>32.089978791354113</v>
          </cell>
        </row>
        <row r="1789">
          <cell r="A1789">
            <v>42031</v>
          </cell>
          <cell r="BF1789">
            <v>62.357560656092993</v>
          </cell>
          <cell r="BG1789">
            <v>45.468715051806292</v>
          </cell>
          <cell r="BH1789">
            <v>42.408178994289898</v>
          </cell>
          <cell r="BI1789">
            <v>30.406703917126244</v>
          </cell>
          <cell r="BJ1789">
            <v>54.409654071453552</v>
          </cell>
          <cell r="BU1789">
            <v>37.205795560489101</v>
          </cell>
          <cell r="BV1789">
            <v>29.635401891862816</v>
          </cell>
          <cell r="BW1789">
            <v>23.901518972811779</v>
          </cell>
          <cell r="BX1789">
            <v>15.713059154269443</v>
          </cell>
          <cell r="BY1789">
            <v>32.089978791354113</v>
          </cell>
        </row>
        <row r="1790">
          <cell r="A1790">
            <v>42032</v>
          </cell>
          <cell r="BF1790">
            <v>60.448124476821235</v>
          </cell>
          <cell r="BG1790">
            <v>45.468715051806292</v>
          </cell>
          <cell r="BH1790">
            <v>42.408178994289898</v>
          </cell>
          <cell r="BI1790">
            <v>30.406703917126244</v>
          </cell>
          <cell r="BJ1790">
            <v>54.409654071453552</v>
          </cell>
          <cell r="BU1790">
            <v>36.205814401564915</v>
          </cell>
          <cell r="BV1790">
            <v>29.635401891862816</v>
          </cell>
          <cell r="BW1790">
            <v>23.901518972811779</v>
          </cell>
          <cell r="BX1790">
            <v>15.713059154269443</v>
          </cell>
          <cell r="BY1790">
            <v>32.089978791354113</v>
          </cell>
        </row>
        <row r="1791">
          <cell r="A1791">
            <v>42033</v>
          </cell>
          <cell r="BF1791">
            <v>61.101911878829114</v>
          </cell>
          <cell r="BG1791">
            <v>45.468715051806292</v>
          </cell>
          <cell r="BH1791">
            <v>42.408178994289898</v>
          </cell>
          <cell r="BI1791">
            <v>30.406703917126244</v>
          </cell>
          <cell r="BJ1791">
            <v>54.409654071453552</v>
          </cell>
          <cell r="BU1791">
            <v>36.598065648927289</v>
          </cell>
          <cell r="BV1791">
            <v>29.635401891862816</v>
          </cell>
          <cell r="BW1791">
            <v>23.901518972811779</v>
          </cell>
          <cell r="BX1791">
            <v>15.713059154269443</v>
          </cell>
          <cell r="BY1791">
            <v>32.089978791354113</v>
          </cell>
        </row>
        <row r="1792">
          <cell r="A1792">
            <v>42034</v>
          </cell>
          <cell r="BF1792">
            <v>59.587873206478235</v>
          </cell>
          <cell r="BG1792">
            <v>45.468715051806292</v>
          </cell>
          <cell r="BH1792">
            <v>42.408178994289898</v>
          </cell>
          <cell r="BI1792">
            <v>30.406703917126244</v>
          </cell>
          <cell r="BJ1792">
            <v>54.409654071453552</v>
          </cell>
          <cell r="BU1792">
            <v>36.554211373843984</v>
          </cell>
          <cell r="BV1792">
            <v>29.635401891862816</v>
          </cell>
          <cell r="BW1792">
            <v>23.901518972811779</v>
          </cell>
          <cell r="BX1792">
            <v>15.713059154269443</v>
          </cell>
          <cell r="BY1792">
            <v>32.089978791354113</v>
          </cell>
        </row>
        <row r="1793">
          <cell r="A1793">
            <v>42037</v>
          </cell>
          <cell r="BF1793">
            <v>58.432434594654026</v>
          </cell>
          <cell r="BG1793">
            <v>45.468715051806292</v>
          </cell>
          <cell r="BH1793">
            <v>42.408178994289898</v>
          </cell>
          <cell r="BI1793">
            <v>30.406703917126244</v>
          </cell>
          <cell r="BJ1793">
            <v>54.409654071453552</v>
          </cell>
          <cell r="BU1793">
            <v>34.99908279840826</v>
          </cell>
          <cell r="BV1793">
            <v>29.635401891862816</v>
          </cell>
          <cell r="BW1793">
            <v>23.901518972811779</v>
          </cell>
          <cell r="BX1793">
            <v>15.713059154269443</v>
          </cell>
          <cell r="BY1793">
            <v>32.089978791354113</v>
          </cell>
        </row>
        <row r="1794">
          <cell r="A1794">
            <v>42038</v>
          </cell>
          <cell r="BF1794">
            <v>57.924617962640518</v>
          </cell>
          <cell r="BG1794">
            <v>45.468715051806292</v>
          </cell>
          <cell r="BH1794">
            <v>42.408178994289898</v>
          </cell>
          <cell r="BI1794">
            <v>30.406703917126244</v>
          </cell>
          <cell r="BJ1794">
            <v>54.409654071453552</v>
          </cell>
          <cell r="BU1794">
            <v>34.787007110959543</v>
          </cell>
          <cell r="BV1794">
            <v>29.635401891862816</v>
          </cell>
          <cell r="BW1794">
            <v>23.901518972811779</v>
          </cell>
          <cell r="BX1794">
            <v>15.713059154269443</v>
          </cell>
          <cell r="BY1794">
            <v>32.089978791354113</v>
          </cell>
        </row>
        <row r="1795">
          <cell r="A1795">
            <v>42039</v>
          </cell>
          <cell r="BF1795">
            <v>57.633494235056261</v>
          </cell>
          <cell r="BG1795">
            <v>45.468715051806292</v>
          </cell>
          <cell r="BH1795">
            <v>42.408178994289898</v>
          </cell>
          <cell r="BI1795">
            <v>30.406703917126244</v>
          </cell>
          <cell r="BJ1795">
            <v>54.409654071453552</v>
          </cell>
          <cell r="BU1795">
            <v>34.611868362195274</v>
          </cell>
          <cell r="BV1795">
            <v>29.635401891862816</v>
          </cell>
          <cell r="BW1795">
            <v>23.901518972811779</v>
          </cell>
          <cell r="BX1795">
            <v>15.713059154269443</v>
          </cell>
          <cell r="BY1795">
            <v>32.089978791354113</v>
          </cell>
        </row>
        <row r="1796">
          <cell r="A1796">
            <v>42040</v>
          </cell>
          <cell r="BF1796">
            <v>58.44944157861115</v>
          </cell>
          <cell r="BG1796">
            <v>45.468715051806292</v>
          </cell>
          <cell r="BH1796">
            <v>42.408178994289898</v>
          </cell>
          <cell r="BI1796">
            <v>30.406703917126244</v>
          </cell>
          <cell r="BJ1796">
            <v>54.409654071453552</v>
          </cell>
          <cell r="BU1796">
            <v>34.648545144410214</v>
          </cell>
          <cell r="BV1796">
            <v>29.635401891862816</v>
          </cell>
          <cell r="BW1796">
            <v>23.901518972811779</v>
          </cell>
          <cell r="BX1796">
            <v>15.713059154269443</v>
          </cell>
          <cell r="BY1796">
            <v>32.089978791354113</v>
          </cell>
        </row>
        <row r="1797">
          <cell r="A1797">
            <v>42041</v>
          </cell>
          <cell r="BF1797">
            <v>57.887514398764338</v>
          </cell>
          <cell r="BG1797">
            <v>45.468715051806292</v>
          </cell>
          <cell r="BH1797">
            <v>42.408178994289898</v>
          </cell>
          <cell r="BI1797">
            <v>30.406703917126244</v>
          </cell>
          <cell r="BJ1797">
            <v>54.409654071453552</v>
          </cell>
          <cell r="BU1797">
            <v>35.09679705536071</v>
          </cell>
          <cell r="BV1797">
            <v>29.635401891862816</v>
          </cell>
          <cell r="BW1797">
            <v>23.901518972811779</v>
          </cell>
          <cell r="BX1797">
            <v>15.713059154269443</v>
          </cell>
          <cell r="BY1797">
            <v>32.089978791354113</v>
          </cell>
        </row>
        <row r="1798">
          <cell r="A1798">
            <v>42044</v>
          </cell>
          <cell r="BF1798">
            <v>57.77633395102557</v>
          </cell>
          <cell r="BG1798">
            <v>45.468715051806292</v>
          </cell>
          <cell r="BH1798">
            <v>42.408178994289898</v>
          </cell>
          <cell r="BI1798">
            <v>30.406703917126244</v>
          </cell>
          <cell r="BJ1798">
            <v>54.409654071453552</v>
          </cell>
          <cell r="BU1798">
            <v>34.691926169066363</v>
          </cell>
          <cell r="BV1798">
            <v>29.635401891862816</v>
          </cell>
          <cell r="BW1798">
            <v>23.901518972811779</v>
          </cell>
          <cell r="BX1798">
            <v>15.713059154269443</v>
          </cell>
          <cell r="BY1798">
            <v>32.089978791354113</v>
          </cell>
        </row>
        <row r="1799">
          <cell r="A1799">
            <v>42045</v>
          </cell>
          <cell r="BF1799">
            <v>58.299193669561205</v>
          </cell>
          <cell r="BG1799">
            <v>45.468715051806292</v>
          </cell>
          <cell r="BH1799">
            <v>42.408178994289898</v>
          </cell>
          <cell r="BI1799">
            <v>30.406703917126244</v>
          </cell>
          <cell r="BJ1799">
            <v>54.409654071453552</v>
          </cell>
          <cell r="BU1799">
            <v>35.006423686217467</v>
          </cell>
          <cell r="BV1799">
            <v>29.635401891862816</v>
          </cell>
          <cell r="BW1799">
            <v>23.901518972811779</v>
          </cell>
          <cell r="BX1799">
            <v>15.713059154269443</v>
          </cell>
          <cell r="BY1799">
            <v>32.089978791354113</v>
          </cell>
        </row>
        <row r="1800">
          <cell r="A1800">
            <v>42046</v>
          </cell>
          <cell r="BF1800">
            <v>58.798016727607035</v>
          </cell>
          <cell r="BG1800">
            <v>45.468715051806292</v>
          </cell>
          <cell r="BH1800">
            <v>42.408178994289898</v>
          </cell>
          <cell r="BI1800">
            <v>30.406703917126244</v>
          </cell>
          <cell r="BJ1800">
            <v>54.409654071453552</v>
          </cell>
          <cell r="BU1800">
            <v>35.30646327177304</v>
          </cell>
          <cell r="BV1800">
            <v>29.635401891862816</v>
          </cell>
          <cell r="BW1800">
            <v>23.901518972811779</v>
          </cell>
          <cell r="BX1800">
            <v>15.713059154269443</v>
          </cell>
          <cell r="BY1800">
            <v>32.089978791354113</v>
          </cell>
        </row>
        <row r="1801">
          <cell r="A1801">
            <v>42047</v>
          </cell>
          <cell r="BF1801">
            <v>59.116542294792922</v>
          </cell>
          <cell r="BG1801">
            <v>45.468715051806292</v>
          </cell>
          <cell r="BH1801">
            <v>42.408178994289898</v>
          </cell>
          <cell r="BI1801">
            <v>30.406703917126244</v>
          </cell>
          <cell r="BJ1801">
            <v>54.409654071453552</v>
          </cell>
          <cell r="BU1801">
            <v>35.49805481435672</v>
          </cell>
          <cell r="BV1801">
            <v>29.635401891862816</v>
          </cell>
          <cell r="BW1801">
            <v>23.901518972811779</v>
          </cell>
          <cell r="BX1801">
            <v>15.713059154269443</v>
          </cell>
          <cell r="BY1801">
            <v>32.089978791354113</v>
          </cell>
        </row>
        <row r="1802">
          <cell r="A1802">
            <v>42048</v>
          </cell>
          <cell r="BF1802">
            <v>59.660439725553744</v>
          </cell>
          <cell r="BG1802">
            <v>45.468715051806292</v>
          </cell>
          <cell r="BH1802">
            <v>42.408178994289898</v>
          </cell>
          <cell r="BI1802">
            <v>30.406703917126244</v>
          </cell>
          <cell r="BJ1802">
            <v>54.409654071453552</v>
          </cell>
          <cell r="BU1802">
            <v>35.49805481435672</v>
          </cell>
          <cell r="BV1802">
            <v>29.635401891862816</v>
          </cell>
          <cell r="BW1802">
            <v>23.901518972811779</v>
          </cell>
          <cell r="BX1802">
            <v>15.713059154269443</v>
          </cell>
          <cell r="BY1802">
            <v>32.089978791354113</v>
          </cell>
        </row>
        <row r="1803">
          <cell r="A1803">
            <v>42051</v>
          </cell>
          <cell r="BF1803">
            <v>59.587324612967087</v>
          </cell>
          <cell r="BG1803">
            <v>45.468715051806292</v>
          </cell>
          <cell r="BH1803">
            <v>42.408178994289898</v>
          </cell>
          <cell r="BI1803">
            <v>30.406703917126244</v>
          </cell>
          <cell r="BJ1803">
            <v>54.409654071453552</v>
          </cell>
          <cell r="BU1803">
            <v>36.241688462454526</v>
          </cell>
          <cell r="BV1803">
            <v>29.635401891862816</v>
          </cell>
          <cell r="BW1803">
            <v>23.901518972811779</v>
          </cell>
          <cell r="BX1803">
            <v>15.713059154269443</v>
          </cell>
          <cell r="BY1803">
            <v>32.089978791354113</v>
          </cell>
        </row>
        <row r="1804">
          <cell r="A1804">
            <v>42052</v>
          </cell>
          <cell r="BF1804">
            <v>59.683368431590011</v>
          </cell>
          <cell r="BG1804">
            <v>45.468715051806292</v>
          </cell>
          <cell r="BH1804">
            <v>42.408178994289898</v>
          </cell>
          <cell r="BI1804">
            <v>30.406703917126244</v>
          </cell>
          <cell r="BJ1804">
            <v>54.409654071453552</v>
          </cell>
          <cell r="BU1804">
            <v>36.300200415917793</v>
          </cell>
          <cell r="BV1804">
            <v>29.635401891862816</v>
          </cell>
          <cell r="BW1804">
            <v>23.901518972811779</v>
          </cell>
          <cell r="BX1804">
            <v>15.713059154269443</v>
          </cell>
          <cell r="BY1804">
            <v>32.089978791354113</v>
          </cell>
        </row>
        <row r="1805">
          <cell r="A1805">
            <v>42053</v>
          </cell>
          <cell r="BF1805">
            <v>59.68627293854334</v>
          </cell>
          <cell r="BG1805">
            <v>45.468715051806292</v>
          </cell>
          <cell r="BH1805">
            <v>42.408178994289898</v>
          </cell>
          <cell r="BI1805">
            <v>30.406703917126244</v>
          </cell>
          <cell r="BJ1805">
            <v>54.409654071453552</v>
          </cell>
          <cell r="BU1805">
            <v>36.277919260049394</v>
          </cell>
          <cell r="BV1805">
            <v>29.635401891862816</v>
          </cell>
          <cell r="BW1805">
            <v>23.901518972811779</v>
          </cell>
          <cell r="BX1805">
            <v>15.713059154269443</v>
          </cell>
          <cell r="BY1805">
            <v>32.089978791354113</v>
          </cell>
        </row>
        <row r="1806">
          <cell r="A1806">
            <v>42054</v>
          </cell>
          <cell r="BF1806">
            <v>60.805369127523491</v>
          </cell>
          <cell r="BG1806">
            <v>45.468715051806292</v>
          </cell>
          <cell r="BH1806">
            <v>42.408178994289898</v>
          </cell>
          <cell r="BI1806">
            <v>30.406703917126244</v>
          </cell>
          <cell r="BJ1806">
            <v>54.409654071453552</v>
          </cell>
          <cell r="BU1806">
            <v>36.901930757129279</v>
          </cell>
          <cell r="BV1806">
            <v>29.635401891862816</v>
          </cell>
          <cell r="BW1806">
            <v>23.901518972811779</v>
          </cell>
          <cell r="BX1806">
            <v>15.713059154269443</v>
          </cell>
          <cell r="BY1806">
            <v>32.089978791354113</v>
          </cell>
        </row>
        <row r="1807">
          <cell r="A1807">
            <v>42055</v>
          </cell>
          <cell r="BF1807">
            <v>61.044275267962263</v>
          </cell>
          <cell r="BG1807">
            <v>45.468715051806292</v>
          </cell>
          <cell r="BH1807">
            <v>42.408178994289898</v>
          </cell>
          <cell r="BI1807">
            <v>30.406703917126244</v>
          </cell>
          <cell r="BJ1807">
            <v>54.409654071453552</v>
          </cell>
          <cell r="BU1807">
            <v>36.901930757129279</v>
          </cell>
          <cell r="BV1807">
            <v>29.635401891862816</v>
          </cell>
          <cell r="BW1807">
            <v>23.901518972811779</v>
          </cell>
          <cell r="BX1807">
            <v>15.713059154269443</v>
          </cell>
          <cell r="BY1807">
            <v>32.089978791354113</v>
          </cell>
        </row>
        <row r="1808">
          <cell r="A1808">
            <v>42058</v>
          </cell>
          <cell r="BF1808">
            <v>60.387659020341232</v>
          </cell>
          <cell r="BG1808">
            <v>45.468715051806292</v>
          </cell>
          <cell r="BH1808">
            <v>42.408178994289898</v>
          </cell>
          <cell r="BI1808">
            <v>30.406703917126244</v>
          </cell>
          <cell r="BJ1808">
            <v>54.409654071453552</v>
          </cell>
          <cell r="BU1808">
            <v>36.64801524011164</v>
          </cell>
          <cell r="BV1808">
            <v>29.635401891862816</v>
          </cell>
          <cell r="BW1808">
            <v>23.901518972811779</v>
          </cell>
          <cell r="BX1808">
            <v>15.713059154269443</v>
          </cell>
          <cell r="BY1808">
            <v>32.089978791354113</v>
          </cell>
        </row>
        <row r="1809">
          <cell r="A1809">
            <v>42059</v>
          </cell>
          <cell r="BF1809">
            <v>60.012020434745679</v>
          </cell>
          <cell r="BG1809">
            <v>45.468715051806292</v>
          </cell>
          <cell r="BH1809">
            <v>42.408178994289898</v>
          </cell>
          <cell r="BI1809">
            <v>30.406703917126244</v>
          </cell>
          <cell r="BJ1809">
            <v>54.409654071453552</v>
          </cell>
          <cell r="BU1809">
            <v>36.419673947829587</v>
          </cell>
          <cell r="BV1809">
            <v>29.635401891862816</v>
          </cell>
          <cell r="BW1809">
            <v>23.901518972811779</v>
          </cell>
          <cell r="BX1809">
            <v>15.713059154269443</v>
          </cell>
          <cell r="BY1809">
            <v>32.089978791354113</v>
          </cell>
        </row>
        <row r="1810">
          <cell r="A1810">
            <v>42060</v>
          </cell>
          <cell r="BF1810">
            <v>58.966245617556346</v>
          </cell>
          <cell r="BG1810">
            <v>45.468715051806292</v>
          </cell>
          <cell r="BH1810">
            <v>42.408178994289898</v>
          </cell>
          <cell r="BI1810">
            <v>30.406703917126244</v>
          </cell>
          <cell r="BJ1810">
            <v>54.409654071453552</v>
          </cell>
          <cell r="BU1810">
            <v>35.783973616846694</v>
          </cell>
          <cell r="BV1810">
            <v>29.635401891862816</v>
          </cell>
          <cell r="BW1810">
            <v>23.901518972811779</v>
          </cell>
          <cell r="BX1810">
            <v>15.713059154269443</v>
          </cell>
          <cell r="BY1810">
            <v>32.089978791354113</v>
          </cell>
        </row>
        <row r="1811">
          <cell r="A1811">
            <v>42061</v>
          </cell>
          <cell r="BF1811">
            <v>59.639389962943582</v>
          </cell>
          <cell r="BG1811">
            <v>45.468715051806292</v>
          </cell>
          <cell r="BH1811">
            <v>42.408178994289898</v>
          </cell>
          <cell r="BI1811">
            <v>30.406703917126244</v>
          </cell>
          <cell r="BJ1811">
            <v>54.409654071453552</v>
          </cell>
          <cell r="BU1811">
            <v>35.783973616846694</v>
          </cell>
          <cell r="BV1811">
            <v>29.635401891862816</v>
          </cell>
          <cell r="BW1811">
            <v>23.901518972811779</v>
          </cell>
          <cell r="BX1811">
            <v>15.713059154269443</v>
          </cell>
          <cell r="BY1811">
            <v>32.089978791354113</v>
          </cell>
        </row>
        <row r="1812">
          <cell r="A1812">
            <v>42062</v>
          </cell>
          <cell r="BF1812">
            <v>58.737857357514251</v>
          </cell>
          <cell r="BG1812">
            <v>45.468715051806292</v>
          </cell>
          <cell r="BH1812">
            <v>42.408178994289898</v>
          </cell>
          <cell r="BI1812">
            <v>30.406703917126244</v>
          </cell>
          <cell r="BJ1812">
            <v>54.409654071453552</v>
          </cell>
          <cell r="BU1812">
            <v>36.193161212616133</v>
          </cell>
          <cell r="BV1812">
            <v>29.635401891862816</v>
          </cell>
          <cell r="BW1812">
            <v>23.901518972811779</v>
          </cell>
          <cell r="BX1812">
            <v>15.713059154269443</v>
          </cell>
          <cell r="BY1812">
            <v>32.089978791354113</v>
          </cell>
        </row>
        <row r="1813">
          <cell r="A1813">
            <v>42065</v>
          </cell>
          <cell r="BF1813">
            <v>57.320927484861905</v>
          </cell>
          <cell r="BG1813">
            <v>45.468715051806292</v>
          </cell>
          <cell r="BH1813">
            <v>42.408178994289898</v>
          </cell>
          <cell r="BI1813">
            <v>30.406703917126244</v>
          </cell>
          <cell r="BJ1813">
            <v>54.409654071453552</v>
          </cell>
          <cell r="BU1813">
            <v>34.807456571712549</v>
          </cell>
          <cell r="BV1813">
            <v>29.635401891862816</v>
          </cell>
          <cell r="BW1813">
            <v>23.901518972811779</v>
          </cell>
          <cell r="BX1813">
            <v>15.713059154269443</v>
          </cell>
          <cell r="BY1813">
            <v>32.089978791354113</v>
          </cell>
        </row>
        <row r="1814">
          <cell r="A1814">
            <v>42066</v>
          </cell>
          <cell r="BF1814">
            <v>57.90282085364052</v>
          </cell>
          <cell r="BG1814">
            <v>45.468715051806292</v>
          </cell>
          <cell r="BH1814">
            <v>42.408178994289898</v>
          </cell>
          <cell r="BI1814">
            <v>30.406703917126244</v>
          </cell>
          <cell r="BJ1814">
            <v>54.409654071453552</v>
          </cell>
          <cell r="BU1814">
            <v>35.161404832136526</v>
          </cell>
          <cell r="BV1814">
            <v>29.635401891862816</v>
          </cell>
          <cell r="BW1814">
            <v>23.901518972811779</v>
          </cell>
          <cell r="BX1814">
            <v>15.713059154269443</v>
          </cell>
          <cell r="BY1814">
            <v>32.089978791354113</v>
          </cell>
        </row>
        <row r="1815">
          <cell r="A1815">
            <v>42067</v>
          </cell>
          <cell r="BF1815">
            <v>56.913306749372317</v>
          </cell>
          <cell r="BG1815">
            <v>45.468715051806292</v>
          </cell>
          <cell r="BH1815">
            <v>42.408178994289898</v>
          </cell>
          <cell r="BI1815">
            <v>30.406703917126244</v>
          </cell>
          <cell r="BJ1815">
            <v>54.409654071453552</v>
          </cell>
          <cell r="BU1815">
            <v>34.559513120248042</v>
          </cell>
          <cell r="BV1815">
            <v>29.635401891862816</v>
          </cell>
          <cell r="BW1815">
            <v>23.901518972811779</v>
          </cell>
          <cell r="BX1815">
            <v>15.713059154269443</v>
          </cell>
          <cell r="BY1815">
            <v>32.089978791354113</v>
          </cell>
        </row>
        <row r="1816">
          <cell r="A1816">
            <v>42068</v>
          </cell>
          <cell r="BF1816">
            <v>59.113870920100418</v>
          </cell>
          <cell r="BG1816">
            <v>45.468715051806292</v>
          </cell>
          <cell r="BH1816">
            <v>42.408178994289898</v>
          </cell>
          <cell r="BI1816">
            <v>30.406703917126244</v>
          </cell>
          <cell r="BJ1816">
            <v>54.409654071453552</v>
          </cell>
          <cell r="BU1816">
            <v>35.89805021651263</v>
          </cell>
          <cell r="BV1816">
            <v>29.635401891862816</v>
          </cell>
          <cell r="BW1816">
            <v>23.901518972811779</v>
          </cell>
          <cell r="BX1816">
            <v>15.713059154269443</v>
          </cell>
          <cell r="BY1816">
            <v>32.089978791354113</v>
          </cell>
        </row>
        <row r="1817">
          <cell r="A1817">
            <v>42069</v>
          </cell>
          <cell r="BF1817">
            <v>57.049180327868839</v>
          </cell>
          <cell r="BG1817">
            <v>45.468715051806292</v>
          </cell>
          <cell r="BH1817">
            <v>42.408178994289898</v>
          </cell>
          <cell r="BI1817">
            <v>30.406703917126244</v>
          </cell>
          <cell r="BJ1817">
            <v>54.409654071453552</v>
          </cell>
          <cell r="BU1817">
            <v>35.900741560183945</v>
          </cell>
          <cell r="BV1817">
            <v>29.635401891862816</v>
          </cell>
          <cell r="BW1817">
            <v>23.901518972811779</v>
          </cell>
          <cell r="BX1817">
            <v>15.713059154269443</v>
          </cell>
          <cell r="BY1817">
            <v>32.089978791354113</v>
          </cell>
        </row>
        <row r="1818">
          <cell r="A1818">
            <v>42072</v>
          </cell>
          <cell r="BF1818">
            <v>57.026780314582119</v>
          </cell>
          <cell r="BG1818">
            <v>45.468715051806292</v>
          </cell>
          <cell r="BH1818">
            <v>42.408178994289898</v>
          </cell>
          <cell r="BI1818">
            <v>30.406703917126244</v>
          </cell>
          <cell r="BJ1818">
            <v>54.409654071453552</v>
          </cell>
          <cell r="BU1818">
            <v>34.632182136892496</v>
          </cell>
          <cell r="BV1818">
            <v>29.635401891862816</v>
          </cell>
          <cell r="BW1818">
            <v>23.901518972811779</v>
          </cell>
          <cell r="BX1818">
            <v>15.713059154269443</v>
          </cell>
          <cell r="BY1818">
            <v>32.089978791354113</v>
          </cell>
        </row>
        <row r="1819">
          <cell r="A1819">
            <v>42073</v>
          </cell>
          <cell r="BF1819">
            <v>57.026428465967811</v>
          </cell>
          <cell r="BG1819">
            <v>45.468715051806292</v>
          </cell>
          <cell r="BH1819">
            <v>42.408178994289898</v>
          </cell>
          <cell r="BI1819">
            <v>30.406703917126244</v>
          </cell>
          <cell r="BJ1819">
            <v>54.409654071453552</v>
          </cell>
          <cell r="BU1819">
            <v>34.69254436119958</v>
          </cell>
          <cell r="BV1819">
            <v>29.635401891862816</v>
          </cell>
          <cell r="BW1819">
            <v>23.901518972811779</v>
          </cell>
          <cell r="BX1819">
            <v>15.713059154269443</v>
          </cell>
          <cell r="BY1819">
            <v>32.089978791354113</v>
          </cell>
        </row>
        <row r="1820">
          <cell r="A1820">
            <v>42074</v>
          </cell>
          <cell r="BF1820">
            <v>56.174519415325548</v>
          </cell>
          <cell r="BG1820">
            <v>45.468715051806292</v>
          </cell>
          <cell r="BH1820">
            <v>42.408178994289898</v>
          </cell>
          <cell r="BI1820">
            <v>30.406703917126244</v>
          </cell>
          <cell r="BJ1820">
            <v>54.409654071453552</v>
          </cell>
          <cell r="BU1820">
            <v>34.173392881000353</v>
          </cell>
          <cell r="BV1820">
            <v>29.635401891862816</v>
          </cell>
          <cell r="BW1820">
            <v>23.901518972811779</v>
          </cell>
          <cell r="BX1820">
            <v>15.713059154269443</v>
          </cell>
          <cell r="BY1820">
            <v>32.089978791354113</v>
          </cell>
        </row>
        <row r="1821">
          <cell r="A1821">
            <v>42075</v>
          </cell>
          <cell r="BF1821">
            <v>55.547027904916575</v>
          </cell>
          <cell r="BG1821">
            <v>45.468715051806292</v>
          </cell>
          <cell r="BH1821">
            <v>42.408178994289898</v>
          </cell>
          <cell r="BI1821">
            <v>30.406703917126244</v>
          </cell>
          <cell r="BJ1821">
            <v>54.409654071453552</v>
          </cell>
          <cell r="BU1821">
            <v>33.791000950552295</v>
          </cell>
          <cell r="BV1821">
            <v>29.635401891862816</v>
          </cell>
          <cell r="BW1821">
            <v>23.901518972811779</v>
          </cell>
          <cell r="BX1821">
            <v>15.713059154269443</v>
          </cell>
          <cell r="BY1821">
            <v>32.089978791354113</v>
          </cell>
        </row>
        <row r="1822">
          <cell r="A1822">
            <v>42076</v>
          </cell>
          <cell r="BF1822">
            <v>55.576556917171118</v>
          </cell>
          <cell r="BG1822">
            <v>45.468715051806292</v>
          </cell>
          <cell r="BH1822">
            <v>42.408178994289898</v>
          </cell>
          <cell r="BI1822">
            <v>30.406703917126244</v>
          </cell>
          <cell r="BJ1822">
            <v>54.409654071453552</v>
          </cell>
          <cell r="BU1822">
            <v>33.791000950552295</v>
          </cell>
          <cell r="BV1822">
            <v>29.635401891862816</v>
          </cell>
          <cell r="BW1822">
            <v>23.901518972811779</v>
          </cell>
          <cell r="BX1822">
            <v>15.713059154269443</v>
          </cell>
          <cell r="BY1822">
            <v>32.089978791354113</v>
          </cell>
        </row>
        <row r="1823">
          <cell r="A1823">
            <v>42079</v>
          </cell>
          <cell r="BF1823">
            <v>58.089818927027473</v>
          </cell>
          <cell r="BG1823">
            <v>45.468715051806292</v>
          </cell>
          <cell r="BH1823">
            <v>42.408178994289898</v>
          </cell>
          <cell r="BI1823">
            <v>30.406703917126244</v>
          </cell>
          <cell r="BJ1823">
            <v>54.409654071453552</v>
          </cell>
          <cell r="BU1823">
            <v>35.34036307815596</v>
          </cell>
          <cell r="BV1823">
            <v>29.635401891862816</v>
          </cell>
          <cell r="BW1823">
            <v>23.901518972811779</v>
          </cell>
          <cell r="BX1823">
            <v>15.713059154269443</v>
          </cell>
          <cell r="BY1823">
            <v>32.089978791354113</v>
          </cell>
        </row>
        <row r="1824">
          <cell r="A1824">
            <v>42080</v>
          </cell>
          <cell r="BF1824">
            <v>57.434268030521366</v>
          </cell>
          <cell r="BG1824">
            <v>45.468715051806292</v>
          </cell>
          <cell r="BH1824">
            <v>42.408178994289898</v>
          </cell>
          <cell r="BI1824">
            <v>30.406703917126244</v>
          </cell>
          <cell r="BJ1824">
            <v>54.409654071453552</v>
          </cell>
          <cell r="BU1824">
            <v>34.940874179561135</v>
          </cell>
          <cell r="BV1824">
            <v>29.635401891862816</v>
          </cell>
          <cell r="BW1824">
            <v>23.901518972811779</v>
          </cell>
          <cell r="BX1824">
            <v>15.713059154269443</v>
          </cell>
          <cell r="BY1824">
            <v>32.089978791354113</v>
          </cell>
        </row>
        <row r="1825">
          <cell r="A1825">
            <v>42081</v>
          </cell>
          <cell r="BF1825">
            <v>57.608490231745058</v>
          </cell>
          <cell r="BG1825">
            <v>45.468715051806292</v>
          </cell>
          <cell r="BH1825">
            <v>42.408178994289898</v>
          </cell>
          <cell r="BI1825">
            <v>30.406703917126244</v>
          </cell>
          <cell r="BJ1825">
            <v>54.409654071453552</v>
          </cell>
          <cell r="BU1825">
            <v>35.047044174367898</v>
          </cell>
          <cell r="BV1825">
            <v>29.635401891862816</v>
          </cell>
          <cell r="BW1825">
            <v>23.901518972811779</v>
          </cell>
          <cell r="BX1825">
            <v>15.713059154269443</v>
          </cell>
          <cell r="BY1825">
            <v>32.089978791354113</v>
          </cell>
        </row>
        <row r="1826">
          <cell r="A1826">
            <v>42082</v>
          </cell>
          <cell r="BF1826">
            <v>59.002267841534568</v>
          </cell>
          <cell r="BG1826">
            <v>45.468715051806292</v>
          </cell>
          <cell r="BH1826">
            <v>42.408178994289898</v>
          </cell>
          <cell r="BI1826">
            <v>30.406703917126244</v>
          </cell>
          <cell r="BJ1826">
            <v>54.409654071453552</v>
          </cell>
          <cell r="BU1826">
            <v>35.896404132821935</v>
          </cell>
          <cell r="BV1826">
            <v>29.635401891862816</v>
          </cell>
          <cell r="BW1826">
            <v>23.901518972811779</v>
          </cell>
          <cell r="BX1826">
            <v>15.713059154269443</v>
          </cell>
          <cell r="BY1826">
            <v>32.089978791354113</v>
          </cell>
        </row>
        <row r="1827">
          <cell r="A1827">
            <v>42083</v>
          </cell>
          <cell r="BF1827">
            <v>57.887046142487996</v>
          </cell>
          <cell r="BG1827">
            <v>45.468715051806292</v>
          </cell>
          <cell r="BH1827">
            <v>42.408178994289898</v>
          </cell>
          <cell r="BI1827">
            <v>30.406703917126244</v>
          </cell>
          <cell r="BJ1827">
            <v>54.409654071453552</v>
          </cell>
          <cell r="BU1827">
            <v>35.905469071391671</v>
          </cell>
          <cell r="BV1827">
            <v>29.635401891862816</v>
          </cell>
          <cell r="BW1827">
            <v>23.901518972811779</v>
          </cell>
          <cell r="BX1827">
            <v>15.713059154269443</v>
          </cell>
          <cell r="BY1827">
            <v>32.089978791354113</v>
          </cell>
        </row>
        <row r="1828">
          <cell r="A1828">
            <v>42086</v>
          </cell>
          <cell r="BF1828">
            <v>56.729423403469909</v>
          </cell>
          <cell r="BG1828">
            <v>45.468715051806292</v>
          </cell>
          <cell r="BH1828">
            <v>42.408178994289898</v>
          </cell>
          <cell r="BI1828">
            <v>30.406703917126244</v>
          </cell>
          <cell r="BJ1828">
            <v>54.409654071453552</v>
          </cell>
          <cell r="BU1828">
            <v>34.517712610224706</v>
          </cell>
          <cell r="BV1828">
            <v>29.635401891862816</v>
          </cell>
          <cell r="BW1828">
            <v>23.901518972811779</v>
          </cell>
          <cell r="BX1828">
            <v>15.713059154269443</v>
          </cell>
          <cell r="BY1828">
            <v>32.089978791354113</v>
          </cell>
        </row>
        <row r="1829">
          <cell r="A1829">
            <v>42087</v>
          </cell>
          <cell r="BF1829">
            <v>56.37800221483942</v>
          </cell>
          <cell r="BG1829">
            <v>45.468715051806292</v>
          </cell>
          <cell r="BH1829">
            <v>42.408178994289898</v>
          </cell>
          <cell r="BI1829">
            <v>30.406703917126244</v>
          </cell>
          <cell r="BJ1829">
            <v>54.409654071453552</v>
          </cell>
          <cell r="BU1829">
            <v>34.303519052413513</v>
          </cell>
          <cell r="BV1829">
            <v>29.635401891862816</v>
          </cell>
          <cell r="BW1829">
            <v>23.901518972811779</v>
          </cell>
          <cell r="BX1829">
            <v>15.713059154269443</v>
          </cell>
          <cell r="BY1829">
            <v>32.089978791354113</v>
          </cell>
        </row>
        <row r="1830">
          <cell r="A1830">
            <v>42088</v>
          </cell>
          <cell r="BF1830">
            <v>54.124769287559978</v>
          </cell>
          <cell r="BG1830">
            <v>45.468715051806292</v>
          </cell>
          <cell r="BH1830">
            <v>42.408178994289898</v>
          </cell>
          <cell r="BI1830">
            <v>30.406703917126244</v>
          </cell>
          <cell r="BJ1830">
            <v>54.409654071453552</v>
          </cell>
          <cell r="BU1830">
            <v>32.930158558266491</v>
          </cell>
          <cell r="BV1830">
            <v>29.635401891862816</v>
          </cell>
          <cell r="BW1830">
            <v>23.901518972811779</v>
          </cell>
          <cell r="BX1830">
            <v>15.713059154269443</v>
          </cell>
          <cell r="BY1830">
            <v>32.089978791354113</v>
          </cell>
        </row>
        <row r="1831">
          <cell r="A1831">
            <v>42089</v>
          </cell>
          <cell r="BF1831">
            <v>54.446659283868584</v>
          </cell>
          <cell r="BG1831">
            <v>45.468715051806292</v>
          </cell>
          <cell r="BH1831">
            <v>42.408178994289898</v>
          </cell>
          <cell r="BI1831">
            <v>30.406703917126244</v>
          </cell>
          <cell r="BJ1831">
            <v>54.409654071453552</v>
          </cell>
          <cell r="BU1831">
            <v>33.12635265743809</v>
          </cell>
          <cell r="BV1831">
            <v>29.635401891862816</v>
          </cell>
          <cell r="BW1831">
            <v>23.901518972811779</v>
          </cell>
          <cell r="BX1831">
            <v>15.713059154269443</v>
          </cell>
          <cell r="BY1831">
            <v>32.089978791354113</v>
          </cell>
        </row>
        <row r="1832">
          <cell r="A1832">
            <v>42090</v>
          </cell>
          <cell r="BF1832">
            <v>55.273532668881494</v>
          </cell>
          <cell r="BG1832">
            <v>45.468715051806292</v>
          </cell>
          <cell r="BH1832">
            <v>42.408178994289898</v>
          </cell>
          <cell r="BI1832">
            <v>30.406703917126244</v>
          </cell>
          <cell r="BJ1832">
            <v>54.409654071453552</v>
          </cell>
          <cell r="BU1832">
            <v>33.12635265743809</v>
          </cell>
          <cell r="BV1832">
            <v>29.635401891862816</v>
          </cell>
          <cell r="BW1832">
            <v>23.901518972811779</v>
          </cell>
          <cell r="BX1832">
            <v>15.713059154269443</v>
          </cell>
          <cell r="BY1832">
            <v>32.089978791354113</v>
          </cell>
        </row>
        <row r="1833">
          <cell r="A1833">
            <v>42093</v>
          </cell>
          <cell r="BF1833">
            <v>55.406423034330004</v>
          </cell>
          <cell r="BG1833">
            <v>45.468715051806292</v>
          </cell>
          <cell r="BH1833">
            <v>42.408178994289898</v>
          </cell>
          <cell r="BI1833">
            <v>30.406703917126244</v>
          </cell>
          <cell r="BJ1833">
            <v>54.409654071453552</v>
          </cell>
          <cell r="BU1833">
            <v>33.711335063224958</v>
          </cell>
          <cell r="BV1833">
            <v>29.635401891862816</v>
          </cell>
          <cell r="BW1833">
            <v>23.901518972811779</v>
          </cell>
          <cell r="BX1833">
            <v>15.713059154269443</v>
          </cell>
          <cell r="BY1833">
            <v>32.089978791354113</v>
          </cell>
        </row>
        <row r="1834">
          <cell r="A1834">
            <v>42094</v>
          </cell>
          <cell r="BF1834">
            <v>54.826076940797051</v>
          </cell>
          <cell r="BG1834">
            <v>45.468715051806292</v>
          </cell>
          <cell r="BH1834">
            <v>42.408178994289898</v>
          </cell>
          <cell r="BI1834">
            <v>30.406703917126244</v>
          </cell>
          <cell r="BJ1834">
            <v>54.409654071453552</v>
          </cell>
          <cell r="BU1834">
            <v>33.355697306248842</v>
          </cell>
          <cell r="BV1834">
            <v>29.635401891862816</v>
          </cell>
          <cell r="BW1834">
            <v>23.901518972811779</v>
          </cell>
          <cell r="BX1834">
            <v>15.713059154269443</v>
          </cell>
          <cell r="BY1834">
            <v>32.089978791354113</v>
          </cell>
        </row>
        <row r="1835">
          <cell r="A1835">
            <v>42095</v>
          </cell>
          <cell r="BF1835">
            <v>52.90486841290771</v>
          </cell>
          <cell r="BG1835">
            <v>45.468715051806292</v>
          </cell>
          <cell r="BH1835">
            <v>42.408178994289898</v>
          </cell>
          <cell r="BI1835">
            <v>30.406703917126244</v>
          </cell>
          <cell r="BJ1835">
            <v>54.409654071453552</v>
          </cell>
          <cell r="BU1835">
            <v>32.204498299880989</v>
          </cell>
          <cell r="BV1835">
            <v>29.635401891862816</v>
          </cell>
          <cell r="BW1835">
            <v>23.901518972811779</v>
          </cell>
          <cell r="BX1835">
            <v>15.713059154269443</v>
          </cell>
          <cell r="BY1835">
            <v>32.089978791354113</v>
          </cell>
        </row>
        <row r="1836">
          <cell r="A1836">
            <v>42096</v>
          </cell>
          <cell r="BF1836">
            <v>53.137146352421802</v>
          </cell>
          <cell r="BG1836">
            <v>45.468715051806292</v>
          </cell>
          <cell r="BH1836">
            <v>42.408178994289898</v>
          </cell>
          <cell r="BI1836">
            <v>30.406703917126244</v>
          </cell>
          <cell r="BJ1836">
            <v>54.409654071453552</v>
          </cell>
          <cell r="BU1836">
            <v>32.346147507813896</v>
          </cell>
          <cell r="BV1836">
            <v>29.635401891862816</v>
          </cell>
          <cell r="BW1836">
            <v>23.901518972811779</v>
          </cell>
          <cell r="BX1836">
            <v>15.713059154269443</v>
          </cell>
          <cell r="BY1836">
            <v>32.089978791354113</v>
          </cell>
        </row>
        <row r="1837">
          <cell r="A1837">
            <v>42097</v>
          </cell>
          <cell r="BF1837">
            <v>53.137146352421802</v>
          </cell>
          <cell r="BG1837">
            <v>45.468715051806292</v>
          </cell>
          <cell r="BH1837">
            <v>42.408178994289898</v>
          </cell>
          <cell r="BI1837">
            <v>30.406703917126244</v>
          </cell>
          <cell r="BJ1837">
            <v>54.409654071453552</v>
          </cell>
          <cell r="BU1837">
            <v>32.346147507813896</v>
          </cell>
          <cell r="BV1837">
            <v>29.635401891862816</v>
          </cell>
          <cell r="BW1837">
            <v>23.901518972811779</v>
          </cell>
          <cell r="BX1837">
            <v>15.713059154269443</v>
          </cell>
          <cell r="BY1837">
            <v>32.089978791354113</v>
          </cell>
        </row>
        <row r="1838">
          <cell r="A1838">
            <v>42100</v>
          </cell>
          <cell r="BF1838">
            <v>53.073269120590027</v>
          </cell>
          <cell r="BG1838">
            <v>45.468715051806292</v>
          </cell>
          <cell r="BH1838">
            <v>42.408178994289898</v>
          </cell>
          <cell r="BI1838">
            <v>30.406703917126244</v>
          </cell>
          <cell r="BJ1838">
            <v>54.409654071453552</v>
          </cell>
          <cell r="BU1838">
            <v>32.307193488707107</v>
          </cell>
          <cell r="BV1838">
            <v>29.635401891862816</v>
          </cell>
          <cell r="BW1838">
            <v>23.901518972811779</v>
          </cell>
          <cell r="BX1838">
            <v>15.713059154269443</v>
          </cell>
          <cell r="BY1838">
            <v>32.089978791354113</v>
          </cell>
        </row>
        <row r="1839">
          <cell r="A1839">
            <v>42101</v>
          </cell>
          <cell r="BF1839">
            <v>53.070722245028101</v>
          </cell>
          <cell r="BG1839">
            <v>45.468715051806292</v>
          </cell>
          <cell r="BH1839">
            <v>42.408178994289898</v>
          </cell>
          <cell r="BI1839">
            <v>30.406703917126244</v>
          </cell>
          <cell r="BJ1839">
            <v>54.409654071453552</v>
          </cell>
          <cell r="BU1839">
            <v>32.308326236842937</v>
          </cell>
          <cell r="BV1839">
            <v>29.635401891862816</v>
          </cell>
          <cell r="BW1839">
            <v>23.901518972811779</v>
          </cell>
          <cell r="BX1839">
            <v>15.713059154269443</v>
          </cell>
          <cell r="BY1839">
            <v>32.089978791354113</v>
          </cell>
        </row>
        <row r="1840">
          <cell r="A1840">
            <v>42102</v>
          </cell>
          <cell r="BF1840">
            <v>53.80952671312965</v>
          </cell>
          <cell r="BG1840">
            <v>45.468715051806292</v>
          </cell>
          <cell r="BH1840">
            <v>42.408178994289898</v>
          </cell>
          <cell r="BI1840">
            <v>30.406703917126244</v>
          </cell>
          <cell r="BJ1840">
            <v>54.409654071453552</v>
          </cell>
          <cell r="BU1840">
            <v>32.76169980434873</v>
          </cell>
          <cell r="BV1840">
            <v>29.635401891862816</v>
          </cell>
          <cell r="BW1840">
            <v>23.901518972811779</v>
          </cell>
          <cell r="BX1840">
            <v>15.713059154269443</v>
          </cell>
          <cell r="BY1840">
            <v>32.089978791354113</v>
          </cell>
        </row>
        <row r="1841">
          <cell r="A1841">
            <v>42103</v>
          </cell>
          <cell r="BF1841">
            <v>54.10569105691598</v>
          </cell>
          <cell r="BG1841">
            <v>45.468715051806292</v>
          </cell>
          <cell r="BH1841">
            <v>42.408178994289898</v>
          </cell>
          <cell r="BI1841">
            <v>30.406703917126244</v>
          </cell>
          <cell r="BJ1841">
            <v>54.409654071453552</v>
          </cell>
          <cell r="BU1841">
            <v>32.942340835151818</v>
          </cell>
          <cell r="BV1841">
            <v>29.635401891862816</v>
          </cell>
          <cell r="BW1841">
            <v>23.901518972811779</v>
          </cell>
          <cell r="BX1841">
            <v>15.713059154269443</v>
          </cell>
          <cell r="BY1841">
            <v>32.089978791354113</v>
          </cell>
        </row>
        <row r="1842">
          <cell r="A1842">
            <v>42104</v>
          </cell>
          <cell r="BF1842">
            <v>54.665894828593494</v>
          </cell>
          <cell r="BG1842">
            <v>45.468715051806292</v>
          </cell>
          <cell r="BH1842">
            <v>42.408178994289898</v>
          </cell>
          <cell r="BI1842">
            <v>30.406703917126244</v>
          </cell>
          <cell r="BJ1842">
            <v>54.409654071453552</v>
          </cell>
          <cell r="BU1842">
            <v>33.35119130001349</v>
          </cell>
          <cell r="BV1842">
            <v>29.635401891862816</v>
          </cell>
          <cell r="BW1842">
            <v>23.901518972811779</v>
          </cell>
          <cell r="BX1842">
            <v>15.713059154269443</v>
          </cell>
          <cell r="BY1842">
            <v>32.089978791354113</v>
          </cell>
        </row>
        <row r="1843">
          <cell r="A1843">
            <v>42107</v>
          </cell>
          <cell r="BF1843">
            <v>55.316815722993269</v>
          </cell>
          <cell r="BG1843">
            <v>45.468715051806292</v>
          </cell>
          <cell r="BH1843">
            <v>42.408178994289898</v>
          </cell>
          <cell r="BI1843">
            <v>30.406703917126244</v>
          </cell>
          <cell r="BJ1843">
            <v>54.409654071453552</v>
          </cell>
          <cell r="BU1843">
            <v>33.738272199684673</v>
          </cell>
          <cell r="BV1843">
            <v>29.635401891862816</v>
          </cell>
          <cell r="BW1843">
            <v>23.901518972811779</v>
          </cell>
          <cell r="BX1843">
            <v>15.713059154269443</v>
          </cell>
          <cell r="BY1843">
            <v>32.089978791354113</v>
          </cell>
        </row>
        <row r="1844">
          <cell r="A1844">
            <v>42108</v>
          </cell>
          <cell r="BF1844">
            <v>54.683264682182255</v>
          </cell>
          <cell r="BG1844">
            <v>45.468715051806292</v>
          </cell>
          <cell r="BH1844">
            <v>42.408178994289898</v>
          </cell>
          <cell r="BI1844">
            <v>30.406703917126244</v>
          </cell>
          <cell r="BJ1844">
            <v>54.409654071453552</v>
          </cell>
          <cell r="BU1844">
            <v>33.351194851198116</v>
          </cell>
          <cell r="BV1844">
            <v>29.635401891862816</v>
          </cell>
          <cell r="BW1844">
            <v>23.901518972811779</v>
          </cell>
          <cell r="BX1844">
            <v>15.713059154269443</v>
          </cell>
          <cell r="BY1844">
            <v>32.089978791354113</v>
          </cell>
        </row>
        <row r="1845">
          <cell r="A1845">
            <v>42109</v>
          </cell>
          <cell r="BF1845">
            <v>55.3516931583979</v>
          </cell>
          <cell r="BG1845">
            <v>45.468715051806292</v>
          </cell>
          <cell r="BH1845">
            <v>42.408178994289898</v>
          </cell>
          <cell r="BI1845">
            <v>30.406703917126244</v>
          </cell>
          <cell r="BJ1845">
            <v>54.409654071453552</v>
          </cell>
          <cell r="BU1845">
            <v>33.759581083024443</v>
          </cell>
          <cell r="BV1845">
            <v>29.635401891862816</v>
          </cell>
          <cell r="BW1845">
            <v>23.901518972811779</v>
          </cell>
          <cell r="BX1845">
            <v>15.713059154269443</v>
          </cell>
          <cell r="BY1845">
            <v>32.089978791354113</v>
          </cell>
        </row>
        <row r="1846">
          <cell r="A1846">
            <v>42110</v>
          </cell>
          <cell r="BF1846">
            <v>56.095683114533564</v>
          </cell>
          <cell r="BG1846">
            <v>45.468715051806292</v>
          </cell>
          <cell r="BH1846">
            <v>42.408178994289898</v>
          </cell>
          <cell r="BI1846">
            <v>30.406703917126244</v>
          </cell>
          <cell r="BJ1846">
            <v>54.409654071453552</v>
          </cell>
          <cell r="BU1846">
            <v>34.214132714970276</v>
          </cell>
          <cell r="BV1846">
            <v>29.635401891862816</v>
          </cell>
          <cell r="BW1846">
            <v>23.901518972811779</v>
          </cell>
          <cell r="BX1846">
            <v>15.713059154269443</v>
          </cell>
          <cell r="BY1846">
            <v>32.089978791354113</v>
          </cell>
        </row>
        <row r="1847">
          <cell r="A1847">
            <v>42111</v>
          </cell>
          <cell r="BF1847">
            <v>55.555127912028745</v>
          </cell>
          <cell r="BG1847">
            <v>45.468715051806292</v>
          </cell>
          <cell r="BH1847">
            <v>42.408178994289898</v>
          </cell>
          <cell r="BI1847">
            <v>30.406703917126244</v>
          </cell>
          <cell r="BJ1847">
            <v>54.409654071453552</v>
          </cell>
          <cell r="BU1847">
            <v>33.906788418744256</v>
          </cell>
          <cell r="BV1847">
            <v>29.635401891862816</v>
          </cell>
          <cell r="BW1847">
            <v>23.901518972811779</v>
          </cell>
          <cell r="BX1847">
            <v>15.713059154269443</v>
          </cell>
          <cell r="BY1847">
            <v>32.089978791354113</v>
          </cell>
        </row>
        <row r="1848">
          <cell r="A1848">
            <v>42114</v>
          </cell>
          <cell r="BF1848">
            <v>56.172652833354462</v>
          </cell>
          <cell r="BG1848">
            <v>45.468715051806292</v>
          </cell>
          <cell r="BH1848">
            <v>42.408178994289898</v>
          </cell>
          <cell r="BI1848">
            <v>30.406703917126244</v>
          </cell>
          <cell r="BJ1848">
            <v>54.409654071453552</v>
          </cell>
          <cell r="BU1848">
            <v>34.242540416374581</v>
          </cell>
          <cell r="BV1848">
            <v>29.635401891862816</v>
          </cell>
          <cell r="BW1848">
            <v>23.901518972811779</v>
          </cell>
          <cell r="BX1848">
            <v>15.713059154269443</v>
          </cell>
          <cell r="BY1848">
            <v>32.089978791354113</v>
          </cell>
        </row>
        <row r="1849">
          <cell r="A1849">
            <v>42115</v>
          </cell>
          <cell r="BF1849">
            <v>57.764763619787978</v>
          </cell>
          <cell r="BG1849">
            <v>45.468715051806292</v>
          </cell>
          <cell r="BH1849">
            <v>42.408178994289898</v>
          </cell>
          <cell r="BI1849">
            <v>30.406703917126244</v>
          </cell>
          <cell r="BJ1849">
            <v>54.409654071453552</v>
          </cell>
          <cell r="BU1849">
            <v>35.300423109766612</v>
          </cell>
          <cell r="BV1849">
            <v>29.635401891862816</v>
          </cell>
          <cell r="BW1849">
            <v>23.901518972811779</v>
          </cell>
          <cell r="BX1849">
            <v>15.713059154269443</v>
          </cell>
          <cell r="BY1849">
            <v>32.089978791354113</v>
          </cell>
        </row>
        <row r="1850">
          <cell r="A1850">
            <v>42116</v>
          </cell>
          <cell r="BF1850">
            <v>52.137937089162435</v>
          </cell>
          <cell r="BG1850">
            <v>45.468715051806292</v>
          </cell>
          <cell r="BH1850">
            <v>42.408178994289898</v>
          </cell>
          <cell r="BI1850">
            <v>30.406703917126244</v>
          </cell>
          <cell r="BJ1850">
            <v>54.409654071453552</v>
          </cell>
          <cell r="BU1850">
            <v>32.447301855698498</v>
          </cell>
          <cell r="BV1850">
            <v>29.635401891862816</v>
          </cell>
          <cell r="BW1850">
            <v>23.901518972811779</v>
          </cell>
          <cell r="BX1850">
            <v>15.713059154269443</v>
          </cell>
          <cell r="BY1850">
            <v>32.089978791354113</v>
          </cell>
        </row>
        <row r="1851">
          <cell r="A1851">
            <v>42117</v>
          </cell>
          <cell r="BF1851">
            <v>52.840282070890638</v>
          </cell>
          <cell r="BG1851">
            <v>45.468715051806292</v>
          </cell>
          <cell r="BH1851">
            <v>42.408178994289898</v>
          </cell>
          <cell r="BI1851">
            <v>30.406703917126244</v>
          </cell>
          <cell r="BJ1851">
            <v>54.409654071453552</v>
          </cell>
          <cell r="BU1851">
            <v>32.793610679311314</v>
          </cell>
          <cell r="BV1851">
            <v>29.635401891862816</v>
          </cell>
          <cell r="BW1851">
            <v>23.901518972811779</v>
          </cell>
          <cell r="BX1851">
            <v>15.713059154269443</v>
          </cell>
          <cell r="BY1851">
            <v>32.089978791354113</v>
          </cell>
        </row>
        <row r="1852">
          <cell r="A1852">
            <v>42118</v>
          </cell>
          <cell r="BF1852">
            <v>51.91401971522972</v>
          </cell>
          <cell r="BG1852">
            <v>45.468715051806292</v>
          </cell>
          <cell r="BH1852">
            <v>42.408178994289898</v>
          </cell>
          <cell r="BI1852">
            <v>30.406703917126244</v>
          </cell>
          <cell r="BJ1852">
            <v>54.409654071453552</v>
          </cell>
          <cell r="BU1852">
            <v>32.240739177905148</v>
          </cell>
          <cell r="BV1852">
            <v>29.635401891862816</v>
          </cell>
          <cell r="BW1852">
            <v>23.901518972811779</v>
          </cell>
          <cell r="BX1852">
            <v>15.713059154269443</v>
          </cell>
          <cell r="BY1852">
            <v>32.089978791354113</v>
          </cell>
        </row>
        <row r="1853">
          <cell r="A1853">
            <v>42121</v>
          </cell>
          <cell r="BF1853">
            <v>50.303945783137557</v>
          </cell>
          <cell r="BG1853">
            <v>45.468715051806292</v>
          </cell>
          <cell r="BH1853">
            <v>42.408178994289898</v>
          </cell>
          <cell r="BI1853">
            <v>30.406703917126244</v>
          </cell>
          <cell r="BJ1853">
            <v>54.409654071453552</v>
          </cell>
          <cell r="BU1853">
            <v>31.217851504163601</v>
          </cell>
          <cell r="BV1853">
            <v>29.635401891862816</v>
          </cell>
          <cell r="BW1853">
            <v>23.901518972811779</v>
          </cell>
          <cell r="BX1853">
            <v>15.713059154269443</v>
          </cell>
          <cell r="BY1853">
            <v>32.089978791354113</v>
          </cell>
        </row>
        <row r="1854">
          <cell r="A1854">
            <v>42122</v>
          </cell>
          <cell r="BF1854">
            <v>50.487406900333632</v>
          </cell>
          <cell r="BG1854">
            <v>45.468715051806292</v>
          </cell>
          <cell r="BH1854">
            <v>42.408178994289898</v>
          </cell>
          <cell r="BI1854">
            <v>30.406703917126244</v>
          </cell>
          <cell r="BJ1854">
            <v>54.409654071453552</v>
          </cell>
          <cell r="BU1854">
            <v>31.331982828525636</v>
          </cell>
          <cell r="BV1854">
            <v>29.635401891862816</v>
          </cell>
          <cell r="BW1854">
            <v>23.901518972811779</v>
          </cell>
          <cell r="BX1854">
            <v>15.713059154269443</v>
          </cell>
          <cell r="BY1854">
            <v>32.089978791354113</v>
          </cell>
        </row>
        <row r="1855">
          <cell r="A1855">
            <v>42123</v>
          </cell>
          <cell r="BF1855">
            <v>51.021338683207723</v>
          </cell>
          <cell r="BG1855">
            <v>45.468715051806292</v>
          </cell>
          <cell r="BH1855">
            <v>42.408178994289898</v>
          </cell>
          <cell r="BI1855">
            <v>30.406703917126244</v>
          </cell>
          <cell r="BJ1855">
            <v>54.409654071453552</v>
          </cell>
          <cell r="BU1855">
            <v>31.693127264121866</v>
          </cell>
          <cell r="BV1855">
            <v>29.635401891862816</v>
          </cell>
          <cell r="BW1855">
            <v>23.901518972811779</v>
          </cell>
          <cell r="BX1855">
            <v>15.713059154269443</v>
          </cell>
          <cell r="BY1855">
            <v>32.089978791354113</v>
          </cell>
        </row>
        <row r="1856">
          <cell r="A1856">
            <v>42124</v>
          </cell>
          <cell r="BF1856">
            <v>50.405799744670368</v>
          </cell>
          <cell r="BG1856">
            <v>45.468715051806292</v>
          </cell>
          <cell r="BH1856">
            <v>42.408178994289898</v>
          </cell>
          <cell r="BI1856">
            <v>30.406703917126244</v>
          </cell>
          <cell r="BJ1856">
            <v>54.409654071453552</v>
          </cell>
          <cell r="BU1856">
            <v>31.309838987136608</v>
          </cell>
          <cell r="BV1856">
            <v>29.635401891862816</v>
          </cell>
          <cell r="BW1856">
            <v>23.901518972811779</v>
          </cell>
          <cell r="BX1856">
            <v>15.713059154269443</v>
          </cell>
          <cell r="BY1856">
            <v>32.089978791354113</v>
          </cell>
        </row>
        <row r="1857">
          <cell r="A1857">
            <v>42125</v>
          </cell>
          <cell r="BF1857">
            <v>51.521329142349344</v>
          </cell>
          <cell r="BG1857">
            <v>45.468715051806292</v>
          </cell>
          <cell r="BH1857">
            <v>42.408178994289898</v>
          </cell>
          <cell r="BI1857">
            <v>30.406703917126244</v>
          </cell>
          <cell r="BJ1857">
            <v>54.409654071453552</v>
          </cell>
          <cell r="BU1857">
            <v>31.982012850997791</v>
          </cell>
          <cell r="BV1857">
            <v>29.635401891862816</v>
          </cell>
          <cell r="BW1857">
            <v>23.901518972811779</v>
          </cell>
          <cell r="BX1857">
            <v>15.713059154269443</v>
          </cell>
          <cell r="BY1857">
            <v>32.089978791354113</v>
          </cell>
        </row>
        <row r="1858">
          <cell r="A1858">
            <v>42128</v>
          </cell>
          <cell r="BF1858">
            <v>51.251862434763837</v>
          </cell>
          <cell r="BG1858">
            <v>45.468715051806292</v>
          </cell>
          <cell r="BH1858">
            <v>42.408178994289898</v>
          </cell>
          <cell r="BI1858">
            <v>30.406703917126244</v>
          </cell>
          <cell r="BJ1858">
            <v>54.409654071453552</v>
          </cell>
          <cell r="BU1858">
            <v>31.736682577201304</v>
          </cell>
          <cell r="BV1858">
            <v>29.635401891862816</v>
          </cell>
          <cell r="BW1858">
            <v>23.901518972811779</v>
          </cell>
          <cell r="BX1858">
            <v>15.713059154269443</v>
          </cell>
          <cell r="BY1858">
            <v>32.089978791354113</v>
          </cell>
        </row>
        <row r="1859">
          <cell r="A1859">
            <v>42129</v>
          </cell>
          <cell r="BF1859">
            <v>50.546524385964815</v>
          </cell>
          <cell r="BG1859">
            <v>45.468715051806292</v>
          </cell>
          <cell r="BH1859">
            <v>42.408178994289898</v>
          </cell>
          <cell r="BI1859">
            <v>30.406703917126244</v>
          </cell>
          <cell r="BJ1859">
            <v>54.409654071453552</v>
          </cell>
          <cell r="BU1859">
            <v>31.298870324161065</v>
          </cell>
          <cell r="BV1859">
            <v>29.635401891862816</v>
          </cell>
          <cell r="BW1859">
            <v>23.901518972811779</v>
          </cell>
          <cell r="BX1859">
            <v>15.713059154269443</v>
          </cell>
          <cell r="BY1859">
            <v>32.089978791354113</v>
          </cell>
        </row>
        <row r="1860">
          <cell r="A1860">
            <v>42130</v>
          </cell>
          <cell r="BF1860">
            <v>50.954596227752937</v>
          </cell>
          <cell r="BG1860">
            <v>45.468715051806292</v>
          </cell>
          <cell r="BH1860">
            <v>42.408178994289898</v>
          </cell>
          <cell r="BI1860">
            <v>30.406703917126244</v>
          </cell>
          <cell r="BJ1860">
            <v>54.409654071453552</v>
          </cell>
          <cell r="BU1860">
            <v>31.552165680564627</v>
          </cell>
          <cell r="BV1860">
            <v>29.635401891862816</v>
          </cell>
          <cell r="BW1860">
            <v>23.901518972811779</v>
          </cell>
          <cell r="BX1860">
            <v>15.713059154269443</v>
          </cell>
          <cell r="BY1860">
            <v>32.089978791354113</v>
          </cell>
        </row>
        <row r="1861">
          <cell r="A1861">
            <v>42131</v>
          </cell>
          <cell r="BF1861">
            <v>51.568051159083886</v>
          </cell>
          <cell r="BG1861">
            <v>45.468715051806292</v>
          </cell>
          <cell r="BH1861">
            <v>42.408178994289898</v>
          </cell>
          <cell r="BI1861">
            <v>30.406703917126244</v>
          </cell>
          <cell r="BJ1861">
            <v>54.409654071453552</v>
          </cell>
          <cell r="BU1861">
            <v>31.93294491979886</v>
          </cell>
          <cell r="BV1861">
            <v>29.635401891862816</v>
          </cell>
          <cell r="BW1861">
            <v>23.901518972811779</v>
          </cell>
          <cell r="BX1861">
            <v>15.713059154269443</v>
          </cell>
          <cell r="BY1861">
            <v>32.089978791354113</v>
          </cell>
        </row>
        <row r="1862">
          <cell r="A1862">
            <v>42132</v>
          </cell>
          <cell r="BF1862">
            <v>52.814565070807951</v>
          </cell>
          <cell r="BG1862">
            <v>45.468715051806292</v>
          </cell>
          <cell r="BH1862">
            <v>42.408178994289898</v>
          </cell>
          <cell r="BI1862">
            <v>30.406703917126244</v>
          </cell>
          <cell r="BJ1862">
            <v>54.409654071453552</v>
          </cell>
          <cell r="BU1862">
            <v>32.769986592039572</v>
          </cell>
          <cell r="BV1862">
            <v>29.635401891862816</v>
          </cell>
          <cell r="BW1862">
            <v>23.901518972811779</v>
          </cell>
          <cell r="BX1862">
            <v>15.713059154269443</v>
          </cell>
          <cell r="BY1862">
            <v>32.089978791354113</v>
          </cell>
        </row>
        <row r="1863">
          <cell r="A1863">
            <v>42135</v>
          </cell>
          <cell r="BF1863">
            <v>53.281186783552435</v>
          </cell>
          <cell r="BG1863">
            <v>45.468715051806292</v>
          </cell>
          <cell r="BH1863">
            <v>42.408178994289898</v>
          </cell>
          <cell r="BI1863">
            <v>30.406703917126244</v>
          </cell>
          <cell r="BJ1863">
            <v>54.409654071453552</v>
          </cell>
          <cell r="BU1863">
            <v>33.060183985817197</v>
          </cell>
          <cell r="BV1863">
            <v>29.635401891862816</v>
          </cell>
          <cell r="BW1863">
            <v>23.901518972811779</v>
          </cell>
          <cell r="BX1863">
            <v>15.713059154269443</v>
          </cell>
          <cell r="BY1863">
            <v>32.089978791354113</v>
          </cell>
        </row>
        <row r="1864">
          <cell r="A1864">
            <v>42136</v>
          </cell>
          <cell r="BF1864">
            <v>53.12744706676213</v>
          </cell>
          <cell r="BG1864">
            <v>45.468715051806292</v>
          </cell>
          <cell r="BH1864">
            <v>42.408178994289898</v>
          </cell>
          <cell r="BI1864">
            <v>30.406703917126244</v>
          </cell>
          <cell r="BJ1864">
            <v>54.409654071453552</v>
          </cell>
          <cell r="BU1864">
            <v>32.964571493054592</v>
          </cell>
          <cell r="BV1864">
            <v>29.635401891862816</v>
          </cell>
          <cell r="BW1864">
            <v>23.901518972811779</v>
          </cell>
          <cell r="BX1864">
            <v>15.713059154269443</v>
          </cell>
          <cell r="BY1864">
            <v>32.089978791354113</v>
          </cell>
        </row>
        <row r="1865">
          <cell r="A1865">
            <v>42137</v>
          </cell>
          <cell r="BF1865">
            <v>53.467296021583472</v>
          </cell>
          <cell r="BG1865">
            <v>45.468715051806292</v>
          </cell>
          <cell r="BH1865">
            <v>42.408178994289898</v>
          </cell>
          <cell r="BI1865">
            <v>30.406703917126244</v>
          </cell>
          <cell r="BJ1865">
            <v>54.409654071453552</v>
          </cell>
          <cell r="BU1865">
            <v>33.175927455011745</v>
          </cell>
          <cell r="BV1865">
            <v>29.635401891862816</v>
          </cell>
          <cell r="BW1865">
            <v>23.901518972811779</v>
          </cell>
          <cell r="BX1865">
            <v>15.713059154269443</v>
          </cell>
          <cell r="BY1865">
            <v>32.089978791354113</v>
          </cell>
        </row>
        <row r="1866">
          <cell r="A1866">
            <v>42138</v>
          </cell>
          <cell r="BF1866">
            <v>53.653405259614509</v>
          </cell>
          <cell r="BG1866">
            <v>45.468715051806292</v>
          </cell>
          <cell r="BH1866">
            <v>42.408178994289898</v>
          </cell>
          <cell r="BI1866">
            <v>30.406703917126244</v>
          </cell>
          <cell r="BJ1866">
            <v>54.409654071453552</v>
          </cell>
          <cell r="BU1866">
            <v>33.291670924206286</v>
          </cell>
          <cell r="BV1866">
            <v>29.635401891862816</v>
          </cell>
          <cell r="BW1866">
            <v>23.901518972811779</v>
          </cell>
          <cell r="BX1866">
            <v>15.713059154269443</v>
          </cell>
          <cell r="BY1866">
            <v>32.089978791354113</v>
          </cell>
        </row>
        <row r="1867">
          <cell r="A1867">
            <v>42139</v>
          </cell>
          <cell r="BF1867">
            <v>53.693866486856592</v>
          </cell>
          <cell r="BG1867">
            <v>45.468715051806292</v>
          </cell>
          <cell r="BH1867">
            <v>42.408178994289898</v>
          </cell>
          <cell r="BI1867">
            <v>30.406703917126244</v>
          </cell>
          <cell r="BJ1867">
            <v>54.409654071453552</v>
          </cell>
          <cell r="BU1867">
            <v>33.316832547944237</v>
          </cell>
          <cell r="BV1867">
            <v>29.635401891862816</v>
          </cell>
          <cell r="BW1867">
            <v>23.901518972811779</v>
          </cell>
          <cell r="BX1867">
            <v>15.713059154269443</v>
          </cell>
          <cell r="BY1867">
            <v>32.089978791354113</v>
          </cell>
        </row>
        <row r="1868">
          <cell r="A1868">
            <v>42142</v>
          </cell>
          <cell r="BF1868">
            <v>54.154553307888293</v>
          </cell>
          <cell r="BG1868">
            <v>45.468715051806292</v>
          </cell>
          <cell r="BH1868">
            <v>42.408178994289898</v>
          </cell>
          <cell r="BI1868">
            <v>30.406703917126244</v>
          </cell>
          <cell r="BJ1868">
            <v>54.409654071453552</v>
          </cell>
          <cell r="BU1868">
            <v>33.655152109209283</v>
          </cell>
          <cell r="BV1868">
            <v>29.635401891862816</v>
          </cell>
          <cell r="BW1868">
            <v>23.901518972811779</v>
          </cell>
          <cell r="BX1868">
            <v>15.713059154269443</v>
          </cell>
          <cell r="BY1868">
            <v>32.089978791354113</v>
          </cell>
        </row>
        <row r="1869">
          <cell r="A1869">
            <v>42143</v>
          </cell>
          <cell r="BF1869">
            <v>54.526805168641857</v>
          </cell>
          <cell r="BG1869">
            <v>45.468715051806292</v>
          </cell>
          <cell r="BH1869">
            <v>42.408178994289898</v>
          </cell>
          <cell r="BI1869">
            <v>30.406703917126244</v>
          </cell>
          <cell r="BJ1869">
            <v>54.409654071453552</v>
          </cell>
          <cell r="BU1869">
            <v>33.887016808179787</v>
          </cell>
          <cell r="BV1869">
            <v>29.635401891862816</v>
          </cell>
          <cell r="BW1869">
            <v>23.901518972811779</v>
          </cell>
          <cell r="BX1869">
            <v>15.713059154269443</v>
          </cell>
          <cell r="BY1869">
            <v>32.089978791354113</v>
          </cell>
        </row>
        <row r="1870">
          <cell r="A1870">
            <v>42144</v>
          </cell>
          <cell r="BF1870">
            <v>54.478379054544078</v>
          </cell>
          <cell r="BG1870">
            <v>45.468715051806292</v>
          </cell>
          <cell r="BH1870">
            <v>42.408178994289898</v>
          </cell>
          <cell r="BI1870">
            <v>30.406703917126244</v>
          </cell>
          <cell r="BJ1870">
            <v>54.409654071453552</v>
          </cell>
          <cell r="BU1870">
            <v>33.808369167557359</v>
          </cell>
          <cell r="BV1870">
            <v>29.635401891862816</v>
          </cell>
          <cell r="BW1870">
            <v>23.901518972811779</v>
          </cell>
          <cell r="BX1870">
            <v>15.713059154269443</v>
          </cell>
          <cell r="BY1870">
            <v>32.089978791354113</v>
          </cell>
        </row>
        <row r="1871">
          <cell r="A1871">
            <v>42145</v>
          </cell>
          <cell r="BF1871">
            <v>54.812116305746805</v>
          </cell>
          <cell r="BG1871">
            <v>45.468715051806292</v>
          </cell>
          <cell r="BH1871">
            <v>42.408178994289898</v>
          </cell>
          <cell r="BI1871">
            <v>30.406703917126244</v>
          </cell>
          <cell r="BJ1871">
            <v>54.409654071453552</v>
          </cell>
          <cell r="BU1871">
            <v>34.001302244184515</v>
          </cell>
          <cell r="BV1871">
            <v>29.635401891862816</v>
          </cell>
          <cell r="BW1871">
            <v>23.901518972811779</v>
          </cell>
          <cell r="BX1871">
            <v>15.713059154269443</v>
          </cell>
          <cell r="BY1871">
            <v>32.089978791354113</v>
          </cell>
        </row>
        <row r="1872">
          <cell r="A1872">
            <v>42146</v>
          </cell>
          <cell r="BF1872">
            <v>55.319436011609369</v>
          </cell>
          <cell r="BG1872">
            <v>45.468715051806292</v>
          </cell>
          <cell r="BH1872">
            <v>42.408178994289898</v>
          </cell>
          <cell r="BI1872">
            <v>30.406703917126244</v>
          </cell>
          <cell r="BJ1872">
            <v>54.409654071453552</v>
          </cell>
          <cell r="BU1872">
            <v>34.316708625160913</v>
          </cell>
          <cell r="BV1872">
            <v>29.635401891862816</v>
          </cell>
          <cell r="BW1872">
            <v>23.901518972811779</v>
          </cell>
          <cell r="BX1872">
            <v>15.713059154269443</v>
          </cell>
          <cell r="BY1872">
            <v>32.089978791354113</v>
          </cell>
        </row>
        <row r="1873">
          <cell r="A1873">
            <v>42149</v>
          </cell>
          <cell r="BF1873">
            <v>55.319436011609369</v>
          </cell>
          <cell r="BG1873">
            <v>45.468715051806292</v>
          </cell>
          <cell r="BH1873">
            <v>42.408178994289898</v>
          </cell>
          <cell r="BI1873">
            <v>30.406703917126244</v>
          </cell>
          <cell r="BJ1873">
            <v>54.409654071453552</v>
          </cell>
          <cell r="BU1873">
            <v>34.316708625160913</v>
          </cell>
          <cell r="BV1873">
            <v>29.635401891862816</v>
          </cell>
          <cell r="BW1873">
            <v>23.901518972811779</v>
          </cell>
          <cell r="BX1873">
            <v>15.713059154269443</v>
          </cell>
          <cell r="BY1873">
            <v>32.089978791354113</v>
          </cell>
        </row>
        <row r="1874">
          <cell r="A1874">
            <v>42150</v>
          </cell>
          <cell r="BF1874">
            <v>55.343722593273</v>
          </cell>
          <cell r="BG1874">
            <v>45.468715051806292</v>
          </cell>
          <cell r="BH1874">
            <v>42.408178994289898</v>
          </cell>
          <cell r="BI1874">
            <v>30.406703917126244</v>
          </cell>
          <cell r="BJ1874">
            <v>54.409654071453552</v>
          </cell>
          <cell r="BU1874">
            <v>34.331807866803402</v>
          </cell>
          <cell r="BV1874">
            <v>29.635401891862816</v>
          </cell>
          <cell r="BW1874">
            <v>23.901518972811779</v>
          </cell>
          <cell r="BX1874">
            <v>15.713059154269443</v>
          </cell>
          <cell r="BY1874">
            <v>32.089978791354113</v>
          </cell>
        </row>
        <row r="1875">
          <cell r="A1875">
            <v>42151</v>
          </cell>
          <cell r="BF1875">
            <v>56.525672266078899</v>
          </cell>
          <cell r="BG1875">
            <v>45.468715051806292</v>
          </cell>
          <cell r="BH1875">
            <v>42.408178994289898</v>
          </cell>
          <cell r="BI1875">
            <v>30.406703917126244</v>
          </cell>
          <cell r="BJ1875">
            <v>54.409654071453552</v>
          </cell>
          <cell r="BU1875">
            <v>35.066639304431298</v>
          </cell>
          <cell r="BV1875">
            <v>29.635401891862816</v>
          </cell>
          <cell r="BW1875">
            <v>23.901518972811779</v>
          </cell>
          <cell r="BX1875">
            <v>15.713059154269443</v>
          </cell>
          <cell r="BY1875">
            <v>32.089978791354113</v>
          </cell>
        </row>
        <row r="1876">
          <cell r="A1876">
            <v>42152</v>
          </cell>
          <cell r="BF1876">
            <v>56.296296296302181</v>
          </cell>
          <cell r="BG1876">
            <v>45.468715051806292</v>
          </cell>
          <cell r="BH1876">
            <v>42.408178994289898</v>
          </cell>
          <cell r="BI1876">
            <v>30.406703917126244</v>
          </cell>
          <cell r="BJ1876">
            <v>54.409654071453552</v>
          </cell>
          <cell r="BU1876">
            <v>34.924033677892069</v>
          </cell>
          <cell r="BV1876">
            <v>29.635401891862816</v>
          </cell>
          <cell r="BW1876">
            <v>23.901518972811779</v>
          </cell>
          <cell r="BX1876">
            <v>15.713059154269443</v>
          </cell>
          <cell r="BY1876">
            <v>32.089978791354113</v>
          </cell>
        </row>
        <row r="1877">
          <cell r="A1877">
            <v>42153</v>
          </cell>
          <cell r="BF1877">
            <v>55.610877690082042</v>
          </cell>
          <cell r="BG1877">
            <v>45.468715051806292</v>
          </cell>
          <cell r="BH1877">
            <v>42.408178994289898</v>
          </cell>
          <cell r="BI1877">
            <v>30.406703917126244</v>
          </cell>
          <cell r="BJ1877">
            <v>54.409654071453552</v>
          </cell>
          <cell r="BU1877">
            <v>34.497901202564279</v>
          </cell>
          <cell r="BV1877">
            <v>29.635401891862816</v>
          </cell>
          <cell r="BW1877">
            <v>23.901518972811779</v>
          </cell>
          <cell r="BX1877">
            <v>15.713059154269443</v>
          </cell>
          <cell r="BY1877">
            <v>32.089978791354113</v>
          </cell>
        </row>
        <row r="1878">
          <cell r="A1878">
            <v>42156</v>
          </cell>
          <cell r="BF1878">
            <v>54.616512029775357</v>
          </cell>
          <cell r="BG1878">
            <v>45.468715051806292</v>
          </cell>
          <cell r="BH1878">
            <v>42.408178994289898</v>
          </cell>
          <cell r="BI1878">
            <v>30.406703917126244</v>
          </cell>
          <cell r="BJ1878">
            <v>54.409654071453552</v>
          </cell>
          <cell r="BU1878">
            <v>33.857184344970243</v>
          </cell>
          <cell r="BV1878">
            <v>29.635401891862816</v>
          </cell>
          <cell r="BW1878">
            <v>23.901518972811779</v>
          </cell>
          <cell r="BX1878">
            <v>15.713059154269443</v>
          </cell>
          <cell r="BY1878">
            <v>32.089978791354113</v>
          </cell>
        </row>
        <row r="1879">
          <cell r="A1879">
            <v>42157</v>
          </cell>
          <cell r="BF1879">
            <v>54.550049182506982</v>
          </cell>
          <cell r="BG1879">
            <v>45.468715051806292</v>
          </cell>
          <cell r="BH1879">
            <v>42.408178994289898</v>
          </cell>
          <cell r="BI1879">
            <v>30.406703917126244</v>
          </cell>
          <cell r="BJ1879">
            <v>54.409654071453552</v>
          </cell>
          <cell r="BU1879">
            <v>33.815892468548959</v>
          </cell>
          <cell r="BV1879">
            <v>29.635401891862816</v>
          </cell>
          <cell r="BW1879">
            <v>23.901518972811779</v>
          </cell>
          <cell r="BX1879">
            <v>15.713059154269443</v>
          </cell>
          <cell r="BY1879">
            <v>32.089978791354113</v>
          </cell>
        </row>
        <row r="1880">
          <cell r="A1880">
            <v>42158</v>
          </cell>
          <cell r="BF1880">
            <v>55.539016349860432</v>
          </cell>
          <cell r="BG1880">
            <v>45.468715051806292</v>
          </cell>
          <cell r="BH1880">
            <v>42.408178994289898</v>
          </cell>
          <cell r="BI1880">
            <v>30.406703917126244</v>
          </cell>
          <cell r="BJ1880">
            <v>54.409654071453552</v>
          </cell>
          <cell r="BU1880">
            <v>34.430315589697727</v>
          </cell>
          <cell r="BV1880">
            <v>29.635401891862816</v>
          </cell>
          <cell r="BW1880">
            <v>23.901518972811779</v>
          </cell>
          <cell r="BX1880">
            <v>15.713059154269443</v>
          </cell>
          <cell r="BY1880">
            <v>32.089978791354113</v>
          </cell>
        </row>
        <row r="1881">
          <cell r="A1881">
            <v>42159</v>
          </cell>
          <cell r="BF1881">
            <v>55.286457530240604</v>
          </cell>
          <cell r="BG1881">
            <v>45.468715051806292</v>
          </cell>
          <cell r="BH1881">
            <v>42.408178994289898</v>
          </cell>
          <cell r="BI1881">
            <v>30.406703917126244</v>
          </cell>
          <cell r="BJ1881">
            <v>54.409654071453552</v>
          </cell>
          <cell r="BU1881">
            <v>34.273406459296829</v>
          </cell>
          <cell r="BV1881">
            <v>29.635401891862816</v>
          </cell>
          <cell r="BW1881">
            <v>23.901518972811779</v>
          </cell>
          <cell r="BX1881">
            <v>15.713059154269443</v>
          </cell>
          <cell r="BY1881">
            <v>32.089978791354113</v>
          </cell>
        </row>
        <row r="1882">
          <cell r="A1882">
            <v>42160</v>
          </cell>
          <cell r="BF1882">
            <v>55.884623155655994</v>
          </cell>
          <cell r="BG1882">
            <v>45.468715051806292</v>
          </cell>
          <cell r="BH1882">
            <v>42.408178994289898</v>
          </cell>
          <cell r="BI1882">
            <v>30.406703917126244</v>
          </cell>
          <cell r="BJ1882">
            <v>54.409654071453552</v>
          </cell>
          <cell r="BU1882">
            <v>34.645031695413365</v>
          </cell>
          <cell r="BV1882">
            <v>29.635401891862816</v>
          </cell>
          <cell r="BW1882">
            <v>23.901518972811779</v>
          </cell>
          <cell r="BX1882">
            <v>15.713059154269443</v>
          </cell>
          <cell r="BY1882">
            <v>32.089978791354113</v>
          </cell>
        </row>
        <row r="1883">
          <cell r="A1883">
            <v>42163</v>
          </cell>
          <cell r="BF1883">
            <v>56.004256280739071</v>
          </cell>
          <cell r="BG1883">
            <v>45.468715051806292</v>
          </cell>
          <cell r="BH1883">
            <v>42.408178994289898</v>
          </cell>
          <cell r="BI1883">
            <v>30.406703917126244</v>
          </cell>
          <cell r="BJ1883">
            <v>54.409654071453552</v>
          </cell>
          <cell r="BU1883">
            <v>34.717289490659716</v>
          </cell>
          <cell r="BV1883">
            <v>29.635401891862816</v>
          </cell>
          <cell r="BW1883">
            <v>23.901518972811779</v>
          </cell>
          <cell r="BX1883">
            <v>15.713059154269443</v>
          </cell>
          <cell r="BY1883">
            <v>32.089978791354113</v>
          </cell>
        </row>
        <row r="1884">
          <cell r="A1884">
            <v>42164</v>
          </cell>
          <cell r="BF1884">
            <v>57.31490097035757</v>
          </cell>
          <cell r="BG1884">
            <v>45.468715051806292</v>
          </cell>
          <cell r="BH1884">
            <v>42.408178994289898</v>
          </cell>
          <cell r="BI1884">
            <v>30.406703917126244</v>
          </cell>
          <cell r="BJ1884">
            <v>54.409654071453552</v>
          </cell>
          <cell r="BU1884">
            <v>35.531515112206307</v>
          </cell>
          <cell r="BV1884">
            <v>29.635401891862816</v>
          </cell>
          <cell r="BW1884">
            <v>23.901518972811779</v>
          </cell>
          <cell r="BX1884">
            <v>15.713059154269443</v>
          </cell>
          <cell r="BY1884">
            <v>32.089978791354113</v>
          </cell>
        </row>
        <row r="1885">
          <cell r="A1885">
            <v>42165</v>
          </cell>
          <cell r="BF1885">
            <v>57.277681775887281</v>
          </cell>
          <cell r="BG1885">
            <v>45.468715051806292</v>
          </cell>
          <cell r="BH1885">
            <v>42.408178994289898</v>
          </cell>
          <cell r="BI1885">
            <v>30.406703917126244</v>
          </cell>
          <cell r="BJ1885">
            <v>54.409654071453552</v>
          </cell>
          <cell r="BU1885">
            <v>35.508393039541545</v>
          </cell>
          <cell r="BV1885">
            <v>29.635401891862816</v>
          </cell>
          <cell r="BW1885">
            <v>23.901518972811779</v>
          </cell>
          <cell r="BX1885">
            <v>15.713059154269443</v>
          </cell>
          <cell r="BY1885">
            <v>32.089978791354113</v>
          </cell>
        </row>
        <row r="1886">
          <cell r="A1886">
            <v>42166</v>
          </cell>
          <cell r="BF1886">
            <v>57.905091054100758</v>
          </cell>
          <cell r="BG1886">
            <v>45.468715051806292</v>
          </cell>
          <cell r="BH1886">
            <v>42.408178994289898</v>
          </cell>
          <cell r="BI1886">
            <v>30.406703917126244</v>
          </cell>
          <cell r="BJ1886">
            <v>54.409654071453552</v>
          </cell>
          <cell r="BU1886">
            <v>35.898165121604585</v>
          </cell>
          <cell r="BV1886">
            <v>29.635401891862816</v>
          </cell>
          <cell r="BW1886">
            <v>23.901518972811779</v>
          </cell>
          <cell r="BX1886">
            <v>15.713059154269443</v>
          </cell>
          <cell r="BY1886">
            <v>32.089978791354113</v>
          </cell>
        </row>
        <row r="1887">
          <cell r="A1887">
            <v>42167</v>
          </cell>
          <cell r="BF1887">
            <v>57.229831184367946</v>
          </cell>
          <cell r="BG1887">
            <v>45.468715051806292</v>
          </cell>
          <cell r="BH1887">
            <v>42.408178994289898</v>
          </cell>
          <cell r="BI1887">
            <v>30.406703917126244</v>
          </cell>
          <cell r="BJ1887">
            <v>54.409654071453552</v>
          </cell>
          <cell r="BU1887">
            <v>35.478666311977769</v>
          </cell>
          <cell r="BV1887">
            <v>29.635401891862816</v>
          </cell>
          <cell r="BW1887">
            <v>23.901518972811779</v>
          </cell>
          <cell r="BX1887">
            <v>15.713059154269443</v>
          </cell>
          <cell r="BY1887">
            <v>32.089978791354113</v>
          </cell>
        </row>
        <row r="1888">
          <cell r="A1888">
            <v>42170</v>
          </cell>
          <cell r="BF1888">
            <v>57.176660906553238</v>
          </cell>
          <cell r="BG1888">
            <v>45.468715051806292</v>
          </cell>
          <cell r="BH1888">
            <v>42.408178994289898</v>
          </cell>
          <cell r="BI1888">
            <v>30.406703917126244</v>
          </cell>
          <cell r="BJ1888">
            <v>54.409654071453552</v>
          </cell>
          <cell r="BU1888">
            <v>35.445634779599544</v>
          </cell>
          <cell r="BV1888">
            <v>29.635401891862816</v>
          </cell>
          <cell r="BW1888">
            <v>23.901518972811779</v>
          </cell>
          <cell r="BX1888">
            <v>15.713059154269443</v>
          </cell>
          <cell r="BY1888">
            <v>32.089978791354113</v>
          </cell>
        </row>
        <row r="1889">
          <cell r="A1889">
            <v>42171</v>
          </cell>
          <cell r="BF1889">
            <v>57.407951615047189</v>
          </cell>
          <cell r="BG1889">
            <v>45.468715051806292</v>
          </cell>
          <cell r="BH1889">
            <v>42.408178994289898</v>
          </cell>
          <cell r="BI1889">
            <v>30.406703917126244</v>
          </cell>
          <cell r="BJ1889">
            <v>54.409654071453552</v>
          </cell>
          <cell r="BU1889">
            <v>35.589321945444816</v>
          </cell>
          <cell r="BV1889">
            <v>29.635401891862816</v>
          </cell>
          <cell r="BW1889">
            <v>23.901518972811779</v>
          </cell>
          <cell r="BX1889">
            <v>15.713059154269443</v>
          </cell>
          <cell r="BY1889">
            <v>32.089978791354113</v>
          </cell>
        </row>
        <row r="1890">
          <cell r="A1890">
            <v>42172</v>
          </cell>
          <cell r="BF1890">
            <v>57.256413664761403</v>
          </cell>
          <cell r="BG1890">
            <v>45.468715051806292</v>
          </cell>
          <cell r="BH1890">
            <v>42.408178994289898</v>
          </cell>
          <cell r="BI1890">
            <v>30.406703917126244</v>
          </cell>
          <cell r="BJ1890">
            <v>54.409654071453552</v>
          </cell>
          <cell r="BU1890">
            <v>35.49518042659026</v>
          </cell>
          <cell r="BV1890">
            <v>29.635401891862816</v>
          </cell>
          <cell r="BW1890">
            <v>23.901518972811779</v>
          </cell>
          <cell r="BX1890">
            <v>15.713059154269443</v>
          </cell>
          <cell r="BY1890">
            <v>32.089978791354113</v>
          </cell>
        </row>
        <row r="1891">
          <cell r="A1891">
            <v>42173</v>
          </cell>
          <cell r="BF1891">
            <v>58.160311046125223</v>
          </cell>
          <cell r="BG1891">
            <v>45.468715051806292</v>
          </cell>
          <cell r="BH1891">
            <v>42.408178994289898</v>
          </cell>
          <cell r="BI1891">
            <v>30.406703917126244</v>
          </cell>
          <cell r="BJ1891">
            <v>54.409654071453552</v>
          </cell>
          <cell r="BU1891">
            <v>36.056718128596678</v>
          </cell>
          <cell r="BV1891">
            <v>29.635401891862816</v>
          </cell>
          <cell r="BW1891">
            <v>23.901518972811779</v>
          </cell>
          <cell r="BX1891">
            <v>15.713059154269443</v>
          </cell>
          <cell r="BY1891">
            <v>32.089978791354113</v>
          </cell>
        </row>
        <row r="1892">
          <cell r="A1892">
            <v>42174</v>
          </cell>
          <cell r="BF1892">
            <v>57.979529443041343</v>
          </cell>
          <cell r="BG1892">
            <v>45.468715051806292</v>
          </cell>
          <cell r="BH1892">
            <v>42.408178994289898</v>
          </cell>
          <cell r="BI1892">
            <v>30.406703917126244</v>
          </cell>
          <cell r="BJ1892">
            <v>54.409654071453552</v>
          </cell>
          <cell r="BU1892">
            <v>35.944409266934102</v>
          </cell>
          <cell r="BV1892">
            <v>29.635401891862816</v>
          </cell>
          <cell r="BW1892">
            <v>23.901518972811779</v>
          </cell>
          <cell r="BX1892">
            <v>15.713059154269443</v>
          </cell>
          <cell r="BY1892">
            <v>32.089978791354113</v>
          </cell>
        </row>
        <row r="1893">
          <cell r="A1893">
            <v>42177</v>
          </cell>
          <cell r="BF1893">
            <v>58.474418604651156</v>
          </cell>
          <cell r="BG1893">
            <v>45.468715051806292</v>
          </cell>
          <cell r="BH1893">
            <v>42.408178994289898</v>
          </cell>
          <cell r="BI1893">
            <v>30.406703917126244</v>
          </cell>
          <cell r="BJ1893">
            <v>54.409654071453552</v>
          </cell>
          <cell r="BU1893">
            <v>36.169254469659336</v>
          </cell>
          <cell r="BV1893">
            <v>29.635401891862816</v>
          </cell>
          <cell r="BW1893">
            <v>23.901518972811779</v>
          </cell>
          <cell r="BX1893">
            <v>15.713059154269443</v>
          </cell>
          <cell r="BY1893">
            <v>32.089978791354113</v>
          </cell>
        </row>
        <row r="1894">
          <cell r="A1894">
            <v>42178</v>
          </cell>
          <cell r="BF1894">
            <v>58.671096345514947</v>
          </cell>
          <cell r="BG1894">
            <v>45.468715051806292</v>
          </cell>
          <cell r="BH1894">
            <v>42.408178994289898</v>
          </cell>
          <cell r="BI1894">
            <v>30.406703917126244</v>
          </cell>
          <cell r="BJ1894">
            <v>54.409654071453552</v>
          </cell>
          <cell r="BU1894">
            <v>36.291160192540403</v>
          </cell>
          <cell r="BV1894">
            <v>29.635401891862816</v>
          </cell>
          <cell r="BW1894">
            <v>23.901518972811779</v>
          </cell>
          <cell r="BX1894">
            <v>15.713059154269443</v>
          </cell>
          <cell r="BY1894">
            <v>32.089978791354113</v>
          </cell>
        </row>
        <row r="1895">
          <cell r="A1895">
            <v>42179</v>
          </cell>
          <cell r="BF1895">
            <v>58.516943521594676</v>
          </cell>
          <cell r="BG1895">
            <v>45.468715051806292</v>
          </cell>
          <cell r="BH1895">
            <v>42.408178994289898</v>
          </cell>
          <cell r="BI1895">
            <v>30.406703917126244</v>
          </cell>
          <cell r="BJ1895">
            <v>54.409654071453552</v>
          </cell>
          <cell r="BU1895">
            <v>36.195612463795783</v>
          </cell>
          <cell r="BV1895">
            <v>29.635401891862816</v>
          </cell>
          <cell r="BW1895">
            <v>23.901518972811779</v>
          </cell>
          <cell r="BX1895">
            <v>15.713059154269443</v>
          </cell>
          <cell r="BY1895">
            <v>32.089978791354113</v>
          </cell>
        </row>
        <row r="1896">
          <cell r="A1896">
            <v>42180</v>
          </cell>
          <cell r="BF1896">
            <v>58.205980066445179</v>
          </cell>
          <cell r="BG1896">
            <v>45.468715051806292</v>
          </cell>
          <cell r="BH1896">
            <v>42.408178994289898</v>
          </cell>
          <cell r="BI1896">
            <v>30.406703917126244</v>
          </cell>
          <cell r="BJ1896">
            <v>54.409654071453552</v>
          </cell>
          <cell r="BU1896">
            <v>36.002869631673022</v>
          </cell>
          <cell r="BV1896">
            <v>29.635401891862816</v>
          </cell>
          <cell r="BW1896">
            <v>23.901518972811779</v>
          </cell>
          <cell r="BX1896">
            <v>15.713059154269443</v>
          </cell>
          <cell r="BY1896">
            <v>32.089978791354113</v>
          </cell>
        </row>
        <row r="1897">
          <cell r="A1897">
            <v>42181</v>
          </cell>
          <cell r="BF1897">
            <v>57.956146179401991</v>
          </cell>
          <cell r="BG1897">
            <v>45.468715051806292</v>
          </cell>
          <cell r="BH1897">
            <v>42.408178994289898</v>
          </cell>
          <cell r="BI1897">
            <v>30.406703917126244</v>
          </cell>
          <cell r="BJ1897">
            <v>54.409654071453552</v>
          </cell>
          <cell r="BU1897">
            <v>35.978159012170103</v>
          </cell>
          <cell r="BV1897">
            <v>29.635401891862816</v>
          </cell>
          <cell r="BW1897">
            <v>23.901518972811779</v>
          </cell>
          <cell r="BX1897">
            <v>15.713059154269443</v>
          </cell>
          <cell r="BY1897">
            <v>32.089978791354113</v>
          </cell>
        </row>
        <row r="1898">
          <cell r="A1898">
            <v>42184</v>
          </cell>
          <cell r="BF1898">
            <v>56.866093080423873</v>
          </cell>
          <cell r="BG1898">
            <v>45.468715051806292</v>
          </cell>
          <cell r="BH1898">
            <v>42.408178994289898</v>
          </cell>
          <cell r="BI1898">
            <v>30.406703917126244</v>
          </cell>
          <cell r="BJ1898">
            <v>54.409654071453552</v>
          </cell>
          <cell r="BU1898">
            <v>35.175887565642022</v>
          </cell>
          <cell r="BV1898">
            <v>29.635401891862816</v>
          </cell>
          <cell r="BW1898">
            <v>23.901518972811779</v>
          </cell>
          <cell r="BX1898">
            <v>15.713059154269443</v>
          </cell>
          <cell r="BY1898">
            <v>32.089978791354113</v>
          </cell>
        </row>
        <row r="1899">
          <cell r="A1899">
            <v>42185</v>
          </cell>
          <cell r="BF1899">
            <v>58.0300993256486</v>
          </cell>
          <cell r="BG1899">
            <v>45.468715051806292</v>
          </cell>
          <cell r="BH1899">
            <v>42.408178994289898</v>
          </cell>
          <cell r="BI1899">
            <v>30.406703917126244</v>
          </cell>
          <cell r="BJ1899">
            <v>54.409654071453552</v>
          </cell>
          <cell r="BU1899">
            <v>35.897439302501866</v>
          </cell>
          <cell r="BV1899">
            <v>29.635401891862816</v>
          </cell>
          <cell r="BW1899">
            <v>23.901518972811779</v>
          </cell>
          <cell r="BX1899">
            <v>15.713059154269443</v>
          </cell>
          <cell r="BY1899">
            <v>32.089978791354113</v>
          </cell>
        </row>
        <row r="1900">
          <cell r="A1900">
            <v>42186</v>
          </cell>
          <cell r="BF1900">
            <v>57.621306410206124</v>
          </cell>
          <cell r="BG1900">
            <v>45.468715051806292</v>
          </cell>
          <cell r="BH1900">
            <v>42.408178994289898</v>
          </cell>
          <cell r="BI1900">
            <v>30.406703917126244</v>
          </cell>
          <cell r="BJ1900">
            <v>54.409654071453552</v>
          </cell>
          <cell r="BU1900">
            <v>35.727284998490603</v>
          </cell>
          <cell r="BV1900">
            <v>29.635401891862816</v>
          </cell>
          <cell r="BW1900">
            <v>23.901518972811779</v>
          </cell>
          <cell r="BX1900">
            <v>15.713059154269443</v>
          </cell>
          <cell r="BY1900">
            <v>32.089978791354113</v>
          </cell>
        </row>
        <row r="1901">
          <cell r="A1901">
            <v>42187</v>
          </cell>
          <cell r="BF1901">
            <v>57.462033160717446</v>
          </cell>
          <cell r="BG1901">
            <v>45.468715051806292</v>
          </cell>
          <cell r="BH1901">
            <v>42.408178994289898</v>
          </cell>
          <cell r="BI1901">
            <v>30.406703917126244</v>
          </cell>
          <cell r="BJ1901">
            <v>54.409654071453552</v>
          </cell>
          <cell r="BU1901">
            <v>35.628325065701496</v>
          </cell>
          <cell r="BV1901">
            <v>29.635401891862816</v>
          </cell>
          <cell r="BW1901">
            <v>23.901518972811779</v>
          </cell>
          <cell r="BX1901">
            <v>15.713059154269443</v>
          </cell>
          <cell r="BY1901">
            <v>32.089978791354113</v>
          </cell>
        </row>
        <row r="1902">
          <cell r="A1902">
            <v>42188</v>
          </cell>
          <cell r="BF1902">
            <v>57.462033160717446</v>
          </cell>
          <cell r="BG1902">
            <v>45.468715051806292</v>
          </cell>
          <cell r="BH1902">
            <v>42.408178994289898</v>
          </cell>
          <cell r="BI1902">
            <v>30.406703917126244</v>
          </cell>
          <cell r="BJ1902">
            <v>54.409654071453552</v>
          </cell>
          <cell r="BU1902">
            <v>35.628325065701496</v>
          </cell>
          <cell r="BV1902">
            <v>29.635401891862816</v>
          </cell>
          <cell r="BW1902">
            <v>23.901518972811779</v>
          </cell>
          <cell r="BX1902">
            <v>15.713059154269443</v>
          </cell>
          <cell r="BY1902">
            <v>32.089978791354113</v>
          </cell>
        </row>
        <row r="1903">
          <cell r="A1903">
            <v>42191</v>
          </cell>
          <cell r="BF1903">
            <v>57.574400005575562</v>
          </cell>
          <cell r="BG1903">
            <v>45.468715051806292</v>
          </cell>
          <cell r="BH1903">
            <v>42.408178994289898</v>
          </cell>
          <cell r="BI1903">
            <v>30.406703917126244</v>
          </cell>
          <cell r="BJ1903">
            <v>54.409654071453552</v>
          </cell>
          <cell r="BU1903">
            <v>35.699706000828058</v>
          </cell>
          <cell r="BV1903">
            <v>29.635401891862816</v>
          </cell>
          <cell r="BW1903">
            <v>23.901518972811779</v>
          </cell>
          <cell r="BX1903">
            <v>15.713059154269443</v>
          </cell>
          <cell r="BY1903">
            <v>32.089978791354113</v>
          </cell>
        </row>
        <row r="1904">
          <cell r="A1904">
            <v>42192</v>
          </cell>
          <cell r="BF1904">
            <v>57.903384268198693</v>
          </cell>
          <cell r="BG1904">
            <v>45.468715051806292</v>
          </cell>
          <cell r="BH1904">
            <v>42.408178994289898</v>
          </cell>
          <cell r="BI1904">
            <v>30.406703917126244</v>
          </cell>
          <cell r="BJ1904">
            <v>54.409654071453552</v>
          </cell>
          <cell r="BU1904">
            <v>35.904116664620858</v>
          </cell>
          <cell r="BV1904">
            <v>29.635401891862816</v>
          </cell>
          <cell r="BW1904">
            <v>23.901518972811779</v>
          </cell>
          <cell r="BX1904">
            <v>15.713059154269443</v>
          </cell>
          <cell r="BY1904">
            <v>32.089978791354113</v>
          </cell>
        </row>
        <row r="1905">
          <cell r="A1905">
            <v>42193</v>
          </cell>
          <cell r="BF1905">
            <v>55.833985904468925</v>
          </cell>
          <cell r="BG1905">
            <v>45.468715051806292</v>
          </cell>
          <cell r="BH1905">
            <v>42.408178994289898</v>
          </cell>
          <cell r="BI1905">
            <v>30.406703917126244</v>
          </cell>
          <cell r="BJ1905">
            <v>54.409654071453552</v>
          </cell>
          <cell r="BU1905">
            <v>34.64817681869819</v>
          </cell>
          <cell r="BV1905">
            <v>29.635401891862816</v>
          </cell>
          <cell r="BW1905">
            <v>23.901518972811779</v>
          </cell>
          <cell r="BX1905">
            <v>15.713059154269443</v>
          </cell>
          <cell r="BY1905">
            <v>32.089978791354113</v>
          </cell>
        </row>
        <row r="1906">
          <cell r="A1906">
            <v>42194</v>
          </cell>
          <cell r="BF1906">
            <v>56.657970258288742</v>
          </cell>
          <cell r="BG1906">
            <v>45.468715051806292</v>
          </cell>
          <cell r="BH1906">
            <v>42.408178994289898</v>
          </cell>
          <cell r="BI1906">
            <v>30.406703917126244</v>
          </cell>
          <cell r="BJ1906">
            <v>54.409654071453552</v>
          </cell>
          <cell r="BU1906">
            <v>35.075322942324838</v>
          </cell>
          <cell r="BV1906">
            <v>29.635401891862816</v>
          </cell>
          <cell r="BW1906">
            <v>23.901518972811779</v>
          </cell>
          <cell r="BX1906">
            <v>15.713059154269443</v>
          </cell>
          <cell r="BY1906">
            <v>32.089978791354113</v>
          </cell>
        </row>
        <row r="1907">
          <cell r="A1907">
            <v>42195</v>
          </cell>
          <cell r="BF1907">
            <v>57.237871674496873</v>
          </cell>
          <cell r="BG1907">
            <v>45.468715051806292</v>
          </cell>
          <cell r="BH1907">
            <v>42.408178994289898</v>
          </cell>
          <cell r="BI1907">
            <v>30.406703917126244</v>
          </cell>
          <cell r="BJ1907">
            <v>54.409654071453552</v>
          </cell>
          <cell r="BU1907">
            <v>35.350387054258505</v>
          </cell>
          <cell r="BV1907">
            <v>29.635401891862816</v>
          </cell>
          <cell r="BW1907">
            <v>23.901518972811779</v>
          </cell>
          <cell r="BX1907">
            <v>15.713059154269443</v>
          </cell>
          <cell r="BY1907">
            <v>32.089978791354113</v>
          </cell>
        </row>
        <row r="1908">
          <cell r="A1908">
            <v>42198</v>
          </cell>
          <cell r="BF1908">
            <v>57.760081509690785</v>
          </cell>
          <cell r="BG1908">
            <v>45.468715051806292</v>
          </cell>
          <cell r="BH1908">
            <v>42.408178994289898</v>
          </cell>
          <cell r="BI1908">
            <v>30.406703917126244</v>
          </cell>
          <cell r="BJ1908">
            <v>54.409654071453552</v>
          </cell>
          <cell r="BU1908">
            <v>35.676456145230077</v>
          </cell>
          <cell r="BV1908">
            <v>29.635401891862816</v>
          </cell>
          <cell r="BW1908">
            <v>23.901518972811779</v>
          </cell>
          <cell r="BX1908">
            <v>15.713059154269443</v>
          </cell>
          <cell r="BY1908">
            <v>32.089978791354113</v>
          </cell>
        </row>
        <row r="1909">
          <cell r="A1909">
            <v>42199</v>
          </cell>
          <cell r="BF1909">
            <v>59.791735625567128</v>
          </cell>
          <cell r="BG1909">
            <v>45.468715051806292</v>
          </cell>
          <cell r="BH1909">
            <v>42.408178994289898</v>
          </cell>
          <cell r="BI1909">
            <v>30.406703917126244</v>
          </cell>
          <cell r="BJ1909">
            <v>54.409654071453552</v>
          </cell>
          <cell r="BU1909">
            <v>36.93391277068126</v>
          </cell>
          <cell r="BV1909">
            <v>29.635401891862816</v>
          </cell>
          <cell r="BW1909">
            <v>23.901518972811779</v>
          </cell>
          <cell r="BX1909">
            <v>15.713059154269443</v>
          </cell>
          <cell r="BY1909">
            <v>32.089978791354113</v>
          </cell>
        </row>
        <row r="1910">
          <cell r="A1910">
            <v>42200</v>
          </cell>
          <cell r="BF1910">
            <v>59.707006150850511</v>
          </cell>
          <cell r="BG1910">
            <v>45.468715051806292</v>
          </cell>
          <cell r="BH1910">
            <v>42.408178994289898</v>
          </cell>
          <cell r="BI1910">
            <v>30.406703917126244</v>
          </cell>
          <cell r="BJ1910">
            <v>54.409654071453552</v>
          </cell>
          <cell r="BU1910">
            <v>36.875802180995841</v>
          </cell>
          <cell r="BV1910">
            <v>29.635401891862816</v>
          </cell>
          <cell r="BW1910">
            <v>23.901518972811779</v>
          </cell>
          <cell r="BX1910">
            <v>15.713059154269443</v>
          </cell>
          <cell r="BY1910">
            <v>32.089978791354113</v>
          </cell>
        </row>
        <row r="1911">
          <cell r="A1911">
            <v>42201</v>
          </cell>
          <cell r="BF1911">
            <v>60.168197810179862</v>
          </cell>
          <cell r="BG1911">
            <v>45.468715051806292</v>
          </cell>
          <cell r="BH1911">
            <v>42.408178994289898</v>
          </cell>
          <cell r="BI1911">
            <v>30.406703917126244</v>
          </cell>
          <cell r="BJ1911">
            <v>54.409654071453552</v>
          </cell>
          <cell r="BU1911">
            <v>37.162902743476479</v>
          </cell>
          <cell r="BV1911">
            <v>29.635401891862816</v>
          </cell>
          <cell r="BW1911">
            <v>23.901518972811779</v>
          </cell>
          <cell r="BX1911">
            <v>15.713059154269443</v>
          </cell>
          <cell r="BY1911">
            <v>32.089978791354113</v>
          </cell>
        </row>
        <row r="1912">
          <cell r="A1912">
            <v>42202</v>
          </cell>
          <cell r="BF1912">
            <v>62.513471232406474</v>
          </cell>
          <cell r="BG1912">
            <v>45.468715051806292</v>
          </cell>
          <cell r="BH1912">
            <v>42.408178994289898</v>
          </cell>
          <cell r="BI1912">
            <v>30.406703917126244</v>
          </cell>
          <cell r="BJ1912">
            <v>54.409654071453552</v>
          </cell>
          <cell r="BU1912">
            <v>38.59840394295513</v>
          </cell>
          <cell r="BV1912">
            <v>29.635401891862816</v>
          </cell>
          <cell r="BW1912">
            <v>23.901518972811779</v>
          </cell>
          <cell r="BX1912">
            <v>15.713059154269443</v>
          </cell>
          <cell r="BY1912">
            <v>32.089978791354113</v>
          </cell>
        </row>
        <row r="1913">
          <cell r="A1913">
            <v>42205</v>
          </cell>
          <cell r="BF1913">
            <v>62.588336071350739</v>
          </cell>
          <cell r="BG1913">
            <v>45.468715051806292</v>
          </cell>
          <cell r="BH1913">
            <v>42.408178994289898</v>
          </cell>
          <cell r="BI1913">
            <v>30.406703917126244</v>
          </cell>
          <cell r="BJ1913">
            <v>54.409654071453552</v>
          </cell>
          <cell r="BU1913">
            <v>38.640341593095911</v>
          </cell>
          <cell r="BV1913">
            <v>29.635401891862816</v>
          </cell>
          <cell r="BW1913">
            <v>23.901518972811779</v>
          </cell>
          <cell r="BX1913">
            <v>15.713059154269443</v>
          </cell>
          <cell r="BY1913">
            <v>32.089978791354113</v>
          </cell>
        </row>
        <row r="1914">
          <cell r="A1914">
            <v>42206</v>
          </cell>
          <cell r="BF1914">
            <v>61.941641242280816</v>
          </cell>
          <cell r="BG1914">
            <v>45.468715051806292</v>
          </cell>
          <cell r="BH1914">
            <v>42.408178994289898</v>
          </cell>
          <cell r="BI1914">
            <v>30.406703917126244</v>
          </cell>
          <cell r="BJ1914">
            <v>54.409654071453552</v>
          </cell>
          <cell r="BU1914">
            <v>38.240334702108498</v>
          </cell>
          <cell r="BV1914">
            <v>29.635401891862816</v>
          </cell>
          <cell r="BW1914">
            <v>23.901518972811779</v>
          </cell>
          <cell r="BX1914">
            <v>15.713059154269443</v>
          </cell>
          <cell r="BY1914">
            <v>32.089978791354113</v>
          </cell>
        </row>
        <row r="1915">
          <cell r="A1915">
            <v>42207</v>
          </cell>
          <cell r="BF1915">
            <v>56.712359950982844</v>
          </cell>
          <cell r="BG1915">
            <v>45.468715051806292</v>
          </cell>
          <cell r="BH1915">
            <v>42.408178994289898</v>
          </cell>
          <cell r="BI1915">
            <v>30.406703917126244</v>
          </cell>
          <cell r="BJ1915">
            <v>54.409654071453552</v>
          </cell>
          <cell r="BU1915">
            <v>35.038245311933643</v>
          </cell>
          <cell r="BV1915">
            <v>29.635401891862816</v>
          </cell>
          <cell r="BW1915">
            <v>23.901518972811779</v>
          </cell>
          <cell r="BX1915">
            <v>15.713059154269443</v>
          </cell>
          <cell r="BY1915">
            <v>32.089978791354113</v>
          </cell>
        </row>
        <row r="1916">
          <cell r="A1916">
            <v>42208</v>
          </cell>
          <cell r="BF1916">
            <v>57.222249395755824</v>
          </cell>
          <cell r="BG1916">
            <v>45.468715051806292</v>
          </cell>
          <cell r="BH1916">
            <v>42.408178994289898</v>
          </cell>
          <cell r="BI1916">
            <v>30.406703917126244</v>
          </cell>
          <cell r="BJ1916">
            <v>54.409654071453552</v>
          </cell>
          <cell r="BU1916">
            <v>35.413834332118533</v>
          </cell>
          <cell r="BV1916">
            <v>29.635401891862816</v>
          </cell>
          <cell r="BW1916">
            <v>23.901518972811779</v>
          </cell>
          <cell r="BX1916">
            <v>15.713059154269443</v>
          </cell>
          <cell r="BY1916">
            <v>32.089978791354113</v>
          </cell>
        </row>
        <row r="1917">
          <cell r="A1917">
            <v>42209</v>
          </cell>
          <cell r="BF1917">
            <v>57.47460347031722</v>
          </cell>
          <cell r="BG1917">
            <v>45.468715051806292</v>
          </cell>
          <cell r="BH1917">
            <v>42.408178994289898</v>
          </cell>
          <cell r="BI1917">
            <v>30.406703917126244</v>
          </cell>
          <cell r="BJ1917">
            <v>54.409654071453552</v>
          </cell>
          <cell r="BU1917">
            <v>35.603973310940951</v>
          </cell>
          <cell r="BV1917">
            <v>29.635401891862816</v>
          </cell>
          <cell r="BW1917">
            <v>23.901518972811779</v>
          </cell>
          <cell r="BX1917">
            <v>15.713059154269443</v>
          </cell>
          <cell r="BY1917">
            <v>32.089978791354113</v>
          </cell>
        </row>
        <row r="1918">
          <cell r="A1918">
            <v>42212</v>
          </cell>
          <cell r="BF1918">
            <v>56.481166554709432</v>
          </cell>
          <cell r="BG1918">
            <v>45.468715051806292</v>
          </cell>
          <cell r="BH1918">
            <v>42.408178994289898</v>
          </cell>
          <cell r="BI1918">
            <v>30.406703917126244</v>
          </cell>
          <cell r="BJ1918">
            <v>54.409654071453552</v>
          </cell>
          <cell r="BU1918">
            <v>34.985959494083133</v>
          </cell>
          <cell r="BV1918">
            <v>29.635401891862816</v>
          </cell>
          <cell r="BW1918">
            <v>23.901518972811779</v>
          </cell>
          <cell r="BX1918">
            <v>15.713059154269443</v>
          </cell>
          <cell r="BY1918">
            <v>32.089978791354113</v>
          </cell>
        </row>
        <row r="1919">
          <cell r="A1919">
            <v>42213</v>
          </cell>
          <cell r="BF1919">
            <v>56.624143680752226</v>
          </cell>
          <cell r="BG1919">
            <v>45.468715051806292</v>
          </cell>
          <cell r="BH1919">
            <v>42.408178994289898</v>
          </cell>
          <cell r="BI1919">
            <v>30.406703917126244</v>
          </cell>
          <cell r="BJ1919">
            <v>54.409654071453552</v>
          </cell>
          <cell r="BU1919">
            <v>35.07470844624013</v>
          </cell>
          <cell r="BV1919">
            <v>29.635401891862816</v>
          </cell>
          <cell r="BW1919">
            <v>23.901518972811779</v>
          </cell>
          <cell r="BX1919">
            <v>15.713059154269443</v>
          </cell>
          <cell r="BY1919">
            <v>32.089978791354113</v>
          </cell>
        </row>
        <row r="1920">
          <cell r="A1920">
            <v>42214</v>
          </cell>
          <cell r="BF1920">
            <v>56.460369881830474</v>
          </cell>
          <cell r="BG1920">
            <v>45.468715051806292</v>
          </cell>
          <cell r="BH1920">
            <v>42.408178994289898</v>
          </cell>
          <cell r="BI1920">
            <v>30.406703917126244</v>
          </cell>
          <cell r="BJ1920">
            <v>54.409654071453552</v>
          </cell>
          <cell r="BU1920">
            <v>34.973050555587569</v>
          </cell>
          <cell r="BV1920">
            <v>29.635401891862816</v>
          </cell>
          <cell r="BW1920">
            <v>23.901518972811779</v>
          </cell>
          <cell r="BX1920">
            <v>15.713059154269443</v>
          </cell>
          <cell r="BY1920">
            <v>32.089978791354113</v>
          </cell>
        </row>
        <row r="1921">
          <cell r="A1921">
            <v>42215</v>
          </cell>
          <cell r="BF1921">
            <v>56.854273097243301</v>
          </cell>
          <cell r="BG1921">
            <v>45.468715051806292</v>
          </cell>
          <cell r="BH1921">
            <v>42.408178994289898</v>
          </cell>
          <cell r="BI1921">
            <v>30.406703917126244</v>
          </cell>
          <cell r="BJ1921">
            <v>54.409654071453552</v>
          </cell>
          <cell r="BU1921">
            <v>35.244136650377101</v>
          </cell>
          <cell r="BV1921">
            <v>29.635401891862816</v>
          </cell>
          <cell r="BW1921">
            <v>23.901518972811779</v>
          </cell>
          <cell r="BX1921">
            <v>15.713059154269443</v>
          </cell>
          <cell r="BY1921">
            <v>32.089978791354113</v>
          </cell>
        </row>
        <row r="1922">
          <cell r="A1922">
            <v>42216</v>
          </cell>
          <cell r="BF1922">
            <v>56.965973677380113</v>
          </cell>
          <cell r="BG1922">
            <v>45.468715051806292</v>
          </cell>
          <cell r="BH1922">
            <v>42.408178994289898</v>
          </cell>
          <cell r="BI1922">
            <v>30.406703917126244</v>
          </cell>
          <cell r="BJ1922">
            <v>54.409654071453552</v>
          </cell>
          <cell r="BU1922">
            <v>35.313520581173449</v>
          </cell>
          <cell r="BV1922">
            <v>29.635401891862816</v>
          </cell>
          <cell r="BW1922">
            <v>23.901518972811779</v>
          </cell>
          <cell r="BX1922">
            <v>15.713059154269443</v>
          </cell>
          <cell r="BY1922">
            <v>32.089978791354113</v>
          </cell>
        </row>
        <row r="1923">
          <cell r="A1923">
            <v>42219</v>
          </cell>
          <cell r="BF1923">
            <v>55.488221235922232</v>
          </cell>
          <cell r="BG1923">
            <v>45.468715051806292</v>
          </cell>
          <cell r="BH1923">
            <v>42.408178994289898</v>
          </cell>
          <cell r="BI1923">
            <v>30.406703917126244</v>
          </cell>
          <cell r="BJ1923">
            <v>54.409654071453552</v>
          </cell>
          <cell r="BU1923">
            <v>34.516167036747561</v>
          </cell>
          <cell r="BV1923">
            <v>29.635401891862816</v>
          </cell>
          <cell r="BW1923">
            <v>23.901518972811779</v>
          </cell>
          <cell r="BX1923">
            <v>15.713059154269443</v>
          </cell>
          <cell r="BY1923">
            <v>32.089978791354113</v>
          </cell>
        </row>
        <row r="1924">
          <cell r="A1924">
            <v>42220</v>
          </cell>
          <cell r="BF1924">
            <v>54.876237623767857</v>
          </cell>
          <cell r="BG1924">
            <v>45.468715051806292</v>
          </cell>
          <cell r="BH1924">
            <v>42.408178994289898</v>
          </cell>
          <cell r="BI1924">
            <v>30.406703917126244</v>
          </cell>
          <cell r="BJ1924">
            <v>54.409654071453552</v>
          </cell>
          <cell r="BU1924">
            <v>33.978254071241373</v>
          </cell>
          <cell r="BV1924">
            <v>29.635401891862816</v>
          </cell>
          <cell r="BW1924">
            <v>23.901518972811779</v>
          </cell>
          <cell r="BX1924">
            <v>15.713059154269443</v>
          </cell>
          <cell r="BY1924">
            <v>32.089978791354113</v>
          </cell>
        </row>
        <row r="1925">
          <cell r="A1925">
            <v>42221</v>
          </cell>
          <cell r="BF1925">
            <v>55.273133321958404</v>
          </cell>
          <cell r="BG1925">
            <v>45.468715051806292</v>
          </cell>
          <cell r="BH1925">
            <v>42.408178994289898</v>
          </cell>
          <cell r="BI1925">
            <v>30.406703917126244</v>
          </cell>
          <cell r="BJ1925">
            <v>54.409654071453552</v>
          </cell>
          <cell r="BU1925">
            <v>34.225652935307046</v>
          </cell>
          <cell r="BV1925">
            <v>29.635401891862816</v>
          </cell>
          <cell r="BW1925">
            <v>23.901518972811779</v>
          </cell>
          <cell r="BX1925">
            <v>15.713059154269443</v>
          </cell>
          <cell r="BY1925">
            <v>32.089978791354113</v>
          </cell>
        </row>
        <row r="1926">
          <cell r="A1926">
            <v>42222</v>
          </cell>
          <cell r="BF1926">
            <v>53.685560771599761</v>
          </cell>
          <cell r="BG1926">
            <v>45.468715051806292</v>
          </cell>
          <cell r="BH1926">
            <v>42.408178994289898</v>
          </cell>
          <cell r="BI1926">
            <v>30.406703917126244</v>
          </cell>
          <cell r="BJ1926">
            <v>54.409654071453552</v>
          </cell>
          <cell r="BU1926">
            <v>33.236054286780366</v>
          </cell>
          <cell r="BV1926">
            <v>29.635401891862816</v>
          </cell>
          <cell r="BW1926">
            <v>23.901518972811779</v>
          </cell>
          <cell r="BX1926">
            <v>15.713059154269443</v>
          </cell>
          <cell r="BY1926">
            <v>32.089978791354113</v>
          </cell>
        </row>
        <row r="1927">
          <cell r="A1927">
            <v>42223</v>
          </cell>
          <cell r="BF1927">
            <v>53.900648685563596</v>
          </cell>
          <cell r="BG1927">
            <v>45.468715051806292</v>
          </cell>
          <cell r="BH1927">
            <v>42.408178994289898</v>
          </cell>
          <cell r="BI1927">
            <v>30.406703917126244</v>
          </cell>
          <cell r="BJ1927">
            <v>54.409654071453552</v>
          </cell>
          <cell r="BU1927">
            <v>33.370127778755482</v>
          </cell>
          <cell r="BV1927">
            <v>29.635401891862816</v>
          </cell>
          <cell r="BW1927">
            <v>23.901518972811779</v>
          </cell>
          <cell r="BX1927">
            <v>15.713059154269443</v>
          </cell>
          <cell r="BY1927">
            <v>32.089978791354113</v>
          </cell>
        </row>
        <row r="1928">
          <cell r="A1928">
            <v>42226</v>
          </cell>
          <cell r="BF1928">
            <v>54.219276086379388</v>
          </cell>
          <cell r="BG1928">
            <v>45.468715051806292</v>
          </cell>
          <cell r="BH1928">
            <v>42.408178994289898</v>
          </cell>
          <cell r="BI1928">
            <v>30.406703917126244</v>
          </cell>
          <cell r="BJ1928">
            <v>54.409654071453552</v>
          </cell>
          <cell r="BU1928">
            <v>33.572838139049452</v>
          </cell>
          <cell r="BV1928">
            <v>29.635401891862816</v>
          </cell>
          <cell r="BW1928">
            <v>23.901518972811779</v>
          </cell>
          <cell r="BX1928">
            <v>15.713059154269443</v>
          </cell>
          <cell r="BY1928">
            <v>32.089978791354113</v>
          </cell>
        </row>
        <row r="1929">
          <cell r="A1929">
            <v>42227</v>
          </cell>
          <cell r="BF1929">
            <v>53.401318456259467</v>
          </cell>
          <cell r="BG1929">
            <v>45.468715051806292</v>
          </cell>
          <cell r="BH1929">
            <v>42.408178994289898</v>
          </cell>
          <cell r="BI1929">
            <v>30.406703917126244</v>
          </cell>
          <cell r="BJ1929">
            <v>54.409654071453552</v>
          </cell>
          <cell r="BU1929">
            <v>33.065266566511902</v>
          </cell>
          <cell r="BV1929">
            <v>29.635401891862816</v>
          </cell>
          <cell r="BW1929">
            <v>23.901518972811779</v>
          </cell>
          <cell r="BX1929">
            <v>15.713059154269443</v>
          </cell>
          <cell r="BY1929">
            <v>32.089978791354113</v>
          </cell>
        </row>
        <row r="1930">
          <cell r="A1930">
            <v>42228</v>
          </cell>
          <cell r="BF1930">
            <v>53.101154929582769</v>
          </cell>
          <cell r="BG1930">
            <v>45.468715051806292</v>
          </cell>
          <cell r="BH1930">
            <v>42.408178994289898</v>
          </cell>
          <cell r="BI1930">
            <v>30.406703917126244</v>
          </cell>
          <cell r="BJ1930">
            <v>54.409654071453552</v>
          </cell>
          <cell r="BU1930">
            <v>32.885521502470539</v>
          </cell>
          <cell r="BV1930">
            <v>29.635401891862816</v>
          </cell>
          <cell r="BW1930">
            <v>23.901518972811779</v>
          </cell>
          <cell r="BX1930">
            <v>15.713059154269443</v>
          </cell>
          <cell r="BY1930">
            <v>32.089978791354113</v>
          </cell>
        </row>
        <row r="1931">
          <cell r="A1931">
            <v>42229</v>
          </cell>
          <cell r="BF1931">
            <v>53.480153649173083</v>
          </cell>
          <cell r="BG1931">
            <v>45.468715051806292</v>
          </cell>
          <cell r="BH1931">
            <v>42.408178994289898</v>
          </cell>
          <cell r="BI1931">
            <v>30.406703917126244</v>
          </cell>
          <cell r="BJ1931">
            <v>54.409654071453552</v>
          </cell>
          <cell r="BU1931">
            <v>33.12186658397215</v>
          </cell>
          <cell r="BV1931">
            <v>29.635401891862816</v>
          </cell>
          <cell r="BW1931">
            <v>23.901518972811779</v>
          </cell>
          <cell r="BX1931">
            <v>15.713059154269443</v>
          </cell>
          <cell r="BY1931">
            <v>32.089978791354113</v>
          </cell>
        </row>
        <row r="1932">
          <cell r="A1932">
            <v>42230</v>
          </cell>
          <cell r="BF1932">
            <v>53.282973111400977</v>
          </cell>
          <cell r="BG1932">
            <v>45.468715051806292</v>
          </cell>
          <cell r="BH1932">
            <v>42.408178994289898</v>
          </cell>
          <cell r="BI1932">
            <v>30.406703917126244</v>
          </cell>
          <cell r="BJ1932">
            <v>54.409654071453552</v>
          </cell>
          <cell r="BU1932">
            <v>32.998904030640418</v>
          </cell>
          <cell r="BV1932">
            <v>29.635401891862816</v>
          </cell>
          <cell r="BW1932">
            <v>23.901518972811779</v>
          </cell>
          <cell r="BX1932">
            <v>15.713059154269443</v>
          </cell>
          <cell r="BY1932">
            <v>32.089978791354113</v>
          </cell>
        </row>
        <row r="1933">
          <cell r="A1933">
            <v>42233</v>
          </cell>
          <cell r="BF1933">
            <v>53.289762911705949</v>
          </cell>
          <cell r="BG1933">
            <v>45.468715051806292</v>
          </cell>
          <cell r="BH1933">
            <v>42.408178994289898</v>
          </cell>
          <cell r="BI1933">
            <v>30.406703917126244</v>
          </cell>
          <cell r="BJ1933">
            <v>54.409654071453552</v>
          </cell>
          <cell r="BU1933">
            <v>33.01087740487425</v>
          </cell>
          <cell r="BV1933">
            <v>29.635401891862816</v>
          </cell>
          <cell r="BW1933">
            <v>23.901518972811779</v>
          </cell>
          <cell r="BX1933">
            <v>15.713059154269443</v>
          </cell>
          <cell r="BY1933">
            <v>32.089978791354113</v>
          </cell>
        </row>
        <row r="1934">
          <cell r="A1934">
            <v>42234</v>
          </cell>
          <cell r="BF1934">
            <v>53.056516724342089</v>
          </cell>
          <cell r="BG1934">
            <v>45.468715051806292</v>
          </cell>
          <cell r="BH1934">
            <v>42.408178994289898</v>
          </cell>
          <cell r="BI1934">
            <v>30.406703917126244</v>
          </cell>
          <cell r="BJ1934">
            <v>54.409654071453552</v>
          </cell>
          <cell r="BU1934">
            <v>32.865389158972661</v>
          </cell>
          <cell r="BV1934">
            <v>29.635401891862816</v>
          </cell>
          <cell r="BW1934">
            <v>23.901518972811779</v>
          </cell>
          <cell r="BX1934">
            <v>15.713059154269443</v>
          </cell>
          <cell r="BY1934">
            <v>32.089978791354113</v>
          </cell>
        </row>
        <row r="1935">
          <cell r="A1935">
            <v>42235</v>
          </cell>
          <cell r="BF1935">
            <v>52.684208998206856</v>
          </cell>
          <cell r="BG1935">
            <v>45.468715051806292</v>
          </cell>
          <cell r="BH1935">
            <v>42.408178994289898</v>
          </cell>
          <cell r="BI1935">
            <v>30.406703917126244</v>
          </cell>
          <cell r="BJ1935">
            <v>54.409654071453552</v>
          </cell>
          <cell r="BU1935">
            <v>32.564597019682026</v>
          </cell>
          <cell r="BV1935">
            <v>29.635401891862816</v>
          </cell>
          <cell r="BW1935">
            <v>23.901518972811779</v>
          </cell>
          <cell r="BX1935">
            <v>15.713059154269443</v>
          </cell>
          <cell r="BY1935">
            <v>32.089978791354113</v>
          </cell>
        </row>
        <row r="1936">
          <cell r="A1936">
            <v>42236</v>
          </cell>
          <cell r="BF1936">
            <v>51.346929294970096</v>
          </cell>
          <cell r="BG1936">
            <v>45.468715051806292</v>
          </cell>
          <cell r="BH1936">
            <v>42.408178994289898</v>
          </cell>
          <cell r="BI1936">
            <v>30.406703917126244</v>
          </cell>
          <cell r="BJ1936">
            <v>54.409654071453552</v>
          </cell>
          <cell r="BU1936">
            <v>31.732218897312968</v>
          </cell>
          <cell r="BV1936">
            <v>29.635401891862816</v>
          </cell>
          <cell r="BW1936">
            <v>23.901518972811779</v>
          </cell>
          <cell r="BX1936">
            <v>15.713059154269443</v>
          </cell>
          <cell r="BY1936">
            <v>32.089978791354113</v>
          </cell>
        </row>
        <row r="1937">
          <cell r="A1937">
            <v>42237</v>
          </cell>
          <cell r="BF1937">
            <v>51.260468296022893</v>
          </cell>
          <cell r="BG1937">
            <v>45.468715051806292</v>
          </cell>
          <cell r="BH1937">
            <v>42.408178994289898</v>
          </cell>
          <cell r="BI1937">
            <v>30.406703917126244</v>
          </cell>
          <cell r="BJ1937">
            <v>54.409654071453552</v>
          </cell>
          <cell r="BU1937">
            <v>31.655678380313514</v>
          </cell>
          <cell r="BV1937">
            <v>29.635401891862816</v>
          </cell>
          <cell r="BW1937">
            <v>23.901518972811779</v>
          </cell>
          <cell r="BX1937">
            <v>15.713059154269443</v>
          </cell>
          <cell r="BY1937">
            <v>32.089978791354113</v>
          </cell>
        </row>
        <row r="1938">
          <cell r="A1938">
            <v>42240</v>
          </cell>
          <cell r="BF1938">
            <v>49.161628962219567</v>
          </cell>
          <cell r="BG1938">
            <v>45.468715051806292</v>
          </cell>
          <cell r="BH1938">
            <v>42.408178994289898</v>
          </cell>
          <cell r="BI1938">
            <v>30.406703917126244</v>
          </cell>
          <cell r="BJ1938">
            <v>54.409654071453552</v>
          </cell>
          <cell r="BU1938">
            <v>30.351301997708596</v>
          </cell>
          <cell r="BV1938">
            <v>29.635401891862816</v>
          </cell>
          <cell r="BW1938">
            <v>23.901518972811779</v>
          </cell>
          <cell r="BX1938">
            <v>15.713059154269443</v>
          </cell>
          <cell r="BY1938">
            <v>32.089978791354113</v>
          </cell>
        </row>
        <row r="1939">
          <cell r="A1939">
            <v>42241</v>
          </cell>
          <cell r="BF1939">
            <v>48.615585494287231</v>
          </cell>
          <cell r="BG1939">
            <v>45.468715051806292</v>
          </cell>
          <cell r="BH1939">
            <v>42.408178994289898</v>
          </cell>
          <cell r="BI1939">
            <v>30.406703917126244</v>
          </cell>
          <cell r="BJ1939">
            <v>54.409654071453552</v>
          </cell>
          <cell r="BU1939">
            <v>30.011651858929412</v>
          </cell>
          <cell r="BV1939">
            <v>29.635401891862816</v>
          </cell>
          <cell r="BW1939">
            <v>23.901518972811779</v>
          </cell>
          <cell r="BX1939">
            <v>15.713059154269443</v>
          </cell>
          <cell r="BY1939">
            <v>32.089978791354113</v>
          </cell>
        </row>
        <row r="1940">
          <cell r="A1940">
            <v>42242</v>
          </cell>
          <cell r="BF1940">
            <v>50.169110320776269</v>
          </cell>
          <cell r="BG1940">
            <v>45.468715051806292</v>
          </cell>
          <cell r="BH1940">
            <v>42.408178994289898</v>
          </cell>
          <cell r="BI1940">
            <v>30.406703917126244</v>
          </cell>
          <cell r="BJ1940">
            <v>54.409654071453552</v>
          </cell>
          <cell r="BU1940">
            <v>30.977975886047517</v>
          </cell>
          <cell r="BV1940">
            <v>29.635401891862816</v>
          </cell>
          <cell r="BW1940">
            <v>23.901518972811779</v>
          </cell>
          <cell r="BX1940">
            <v>15.713059154269443</v>
          </cell>
          <cell r="BY1940">
            <v>32.089978791354113</v>
          </cell>
        </row>
        <row r="1941">
          <cell r="A1941">
            <v>42243</v>
          </cell>
          <cell r="BF1941">
            <v>51.717605429405886</v>
          </cell>
          <cell r="BG1941">
            <v>45.468715051806292</v>
          </cell>
          <cell r="BH1941">
            <v>42.408178994289898</v>
          </cell>
          <cell r="BI1941">
            <v>30.406703917126244</v>
          </cell>
          <cell r="BJ1941">
            <v>54.409654071453552</v>
          </cell>
          <cell r="BU1941">
            <v>31.97300420163452</v>
          </cell>
          <cell r="BV1941">
            <v>29.635401891862816</v>
          </cell>
          <cell r="BW1941">
            <v>23.901518972811779</v>
          </cell>
          <cell r="BX1941">
            <v>15.713059154269443</v>
          </cell>
          <cell r="BY1941">
            <v>32.089978791354113</v>
          </cell>
        </row>
        <row r="1942">
          <cell r="A1942">
            <v>42244</v>
          </cell>
          <cell r="BF1942">
            <v>51.656137954589418</v>
          </cell>
          <cell r="BG1942">
            <v>45.468715051806292</v>
          </cell>
          <cell r="BH1942">
            <v>42.408178994289898</v>
          </cell>
          <cell r="BI1942">
            <v>30.406703917126244</v>
          </cell>
          <cell r="BJ1942">
            <v>54.409654071453552</v>
          </cell>
          <cell r="BU1942">
            <v>31.934732348540688</v>
          </cell>
          <cell r="BV1942">
            <v>29.635401891862816</v>
          </cell>
          <cell r="BW1942">
            <v>23.901518972811779</v>
          </cell>
          <cell r="BX1942">
            <v>15.713059154269443</v>
          </cell>
          <cell r="BY1942">
            <v>32.089978791354113</v>
          </cell>
        </row>
        <row r="1943">
          <cell r="A1943">
            <v>42247</v>
          </cell>
          <cell r="BF1943">
            <v>50.60867594332074</v>
          </cell>
          <cell r="BG1943">
            <v>45.468715051806292</v>
          </cell>
          <cell r="BH1943">
            <v>42.408178994289898</v>
          </cell>
          <cell r="BI1943">
            <v>30.406703917126244</v>
          </cell>
          <cell r="BJ1943">
            <v>54.409654071453552</v>
          </cell>
          <cell r="BU1943">
            <v>31.282544954535279</v>
          </cell>
          <cell r="BV1943">
            <v>29.635401891862816</v>
          </cell>
          <cell r="BW1943">
            <v>23.901518972811779</v>
          </cell>
          <cell r="BX1943">
            <v>15.713059154269443</v>
          </cell>
          <cell r="BY1943">
            <v>32.089978791354113</v>
          </cell>
        </row>
        <row r="1944">
          <cell r="A1944">
            <v>42248</v>
          </cell>
          <cell r="BF1944">
            <v>48.770204545454547</v>
          </cell>
          <cell r="BG1944">
            <v>45.468715051806292</v>
          </cell>
          <cell r="BH1944">
            <v>42.408178994289898</v>
          </cell>
          <cell r="BI1944">
            <v>30.406703917126244</v>
          </cell>
          <cell r="BJ1944">
            <v>54.409654071453552</v>
          </cell>
          <cell r="BU1944">
            <v>30.113026946608816</v>
          </cell>
          <cell r="BV1944">
            <v>29.635401891862816</v>
          </cell>
          <cell r="BW1944">
            <v>23.901518972811779</v>
          </cell>
          <cell r="BX1944">
            <v>15.713059154269443</v>
          </cell>
          <cell r="BY1944">
            <v>32.089978791354113</v>
          </cell>
        </row>
        <row r="1945">
          <cell r="A1945">
            <v>42249</v>
          </cell>
          <cell r="BF1945">
            <v>50.027780303030298</v>
          </cell>
          <cell r="BG1945">
            <v>45.468715051806292</v>
          </cell>
          <cell r="BH1945">
            <v>42.408178994289898</v>
          </cell>
          <cell r="BI1945">
            <v>30.406703917126244</v>
          </cell>
          <cell r="BJ1945">
            <v>54.409654071453552</v>
          </cell>
          <cell r="BU1945">
            <v>30.895311067959494</v>
          </cell>
          <cell r="BV1945">
            <v>29.635401891862816</v>
          </cell>
          <cell r="BW1945">
            <v>23.901518972811779</v>
          </cell>
          <cell r="BX1945">
            <v>15.713059154269443</v>
          </cell>
          <cell r="BY1945">
            <v>32.089978791354113</v>
          </cell>
        </row>
        <row r="1946">
          <cell r="A1946">
            <v>42250</v>
          </cell>
          <cell r="BF1946">
            <v>49.356060606060602</v>
          </cell>
          <cell r="BG1946">
            <v>45.468715051806292</v>
          </cell>
          <cell r="BH1946">
            <v>42.408178994289898</v>
          </cell>
          <cell r="BI1946">
            <v>30.406703917126244</v>
          </cell>
          <cell r="BJ1946">
            <v>54.409654071453552</v>
          </cell>
          <cell r="BU1946">
            <v>30.47746295839443</v>
          </cell>
          <cell r="BV1946">
            <v>29.635401891862816</v>
          </cell>
          <cell r="BW1946">
            <v>23.901518972811779</v>
          </cell>
          <cell r="BX1946">
            <v>15.713059154269443</v>
          </cell>
          <cell r="BY1946">
            <v>32.089978791354113</v>
          </cell>
        </row>
        <row r="1947">
          <cell r="A1947">
            <v>42251</v>
          </cell>
          <cell r="BF1947">
            <v>48.777780303030305</v>
          </cell>
          <cell r="BG1947">
            <v>45.468715051806292</v>
          </cell>
          <cell r="BH1947">
            <v>42.408178994289898</v>
          </cell>
          <cell r="BI1947">
            <v>30.406703917126244</v>
          </cell>
          <cell r="BJ1947">
            <v>54.409654071453552</v>
          </cell>
          <cell r="BU1947">
            <v>30.117736359853414</v>
          </cell>
          <cell r="BV1947">
            <v>29.635401891862816</v>
          </cell>
          <cell r="BW1947">
            <v>23.901518972811779</v>
          </cell>
          <cell r="BX1947">
            <v>15.713059154269443</v>
          </cell>
          <cell r="BY1947">
            <v>32.089978791354113</v>
          </cell>
        </row>
        <row r="1948">
          <cell r="A1948">
            <v>42254</v>
          </cell>
          <cell r="BF1948">
            <v>48.777780303030305</v>
          </cell>
          <cell r="BG1948">
            <v>45.468715051806292</v>
          </cell>
          <cell r="BH1948">
            <v>42.408178994289898</v>
          </cell>
          <cell r="BI1948">
            <v>30.406703917126244</v>
          </cell>
          <cell r="BJ1948">
            <v>54.409654071453552</v>
          </cell>
          <cell r="BU1948">
            <v>30.117739501556713</v>
          </cell>
          <cell r="BV1948">
            <v>29.635401891862816</v>
          </cell>
          <cell r="BW1948">
            <v>23.901518972811779</v>
          </cell>
          <cell r="BX1948">
            <v>15.713059154269443</v>
          </cell>
          <cell r="BY1948">
            <v>32.089978791354113</v>
          </cell>
        </row>
        <row r="1949">
          <cell r="A1949">
            <v>42255</v>
          </cell>
          <cell r="BF1949">
            <v>50.106060606060602</v>
          </cell>
          <cell r="BG1949">
            <v>45.468715051806292</v>
          </cell>
          <cell r="BH1949">
            <v>42.408178994289898</v>
          </cell>
          <cell r="BI1949">
            <v>30.406703917126244</v>
          </cell>
          <cell r="BJ1949">
            <v>54.409654071453552</v>
          </cell>
          <cell r="BU1949">
            <v>30.944005898236099</v>
          </cell>
          <cell r="BV1949">
            <v>29.635401891862816</v>
          </cell>
          <cell r="BW1949">
            <v>23.901518972811779</v>
          </cell>
          <cell r="BX1949">
            <v>15.713059154269443</v>
          </cell>
          <cell r="BY1949">
            <v>32.089978791354113</v>
          </cell>
        </row>
        <row r="1950">
          <cell r="A1950">
            <v>42256</v>
          </cell>
          <cell r="BF1950">
            <v>49.681820707070713</v>
          </cell>
          <cell r="BG1950">
            <v>45.468715051806292</v>
          </cell>
          <cell r="BH1950">
            <v>42.408178994289898</v>
          </cell>
          <cell r="BI1950">
            <v>30.406703917126244</v>
          </cell>
          <cell r="BJ1950">
            <v>54.409654071453552</v>
          </cell>
          <cell r="BU1950">
            <v>30.680104392005592</v>
          </cell>
          <cell r="BV1950">
            <v>29.635401891862816</v>
          </cell>
          <cell r="BW1950">
            <v>23.901518972811779</v>
          </cell>
          <cell r="BX1950">
            <v>15.713059154269443</v>
          </cell>
          <cell r="BY1950">
            <v>32.089978791354113</v>
          </cell>
        </row>
        <row r="1951">
          <cell r="A1951">
            <v>42257</v>
          </cell>
          <cell r="BF1951">
            <v>50.492424242424242</v>
          </cell>
          <cell r="BG1951">
            <v>45.468715051806292</v>
          </cell>
          <cell r="BH1951">
            <v>42.408178994289898</v>
          </cell>
          <cell r="BI1951">
            <v>30.406703917126244</v>
          </cell>
          <cell r="BJ1951">
            <v>54.409654071453552</v>
          </cell>
          <cell r="BU1951">
            <v>31.184346200578783</v>
          </cell>
          <cell r="BV1951">
            <v>29.635401891862816</v>
          </cell>
          <cell r="BW1951">
            <v>23.901518972811779</v>
          </cell>
          <cell r="BX1951">
            <v>15.713059154269443</v>
          </cell>
          <cell r="BY1951">
            <v>32.089978791354113</v>
          </cell>
        </row>
        <row r="1952">
          <cell r="A1952">
            <v>42258</v>
          </cell>
          <cell r="BF1952">
            <v>52.123739898989896</v>
          </cell>
          <cell r="BG1952">
            <v>45.468715051806292</v>
          </cell>
          <cell r="BH1952">
            <v>42.408178994289898</v>
          </cell>
          <cell r="BI1952">
            <v>30.406703917126244</v>
          </cell>
          <cell r="BJ1952">
            <v>54.409654071453552</v>
          </cell>
          <cell r="BU1952">
            <v>32.199114795174005</v>
          </cell>
          <cell r="BV1952">
            <v>29.635401891862816</v>
          </cell>
          <cell r="BW1952">
            <v>23.901518972811779</v>
          </cell>
          <cell r="BX1952">
            <v>15.713059154269443</v>
          </cell>
          <cell r="BY1952">
            <v>32.089978791354113</v>
          </cell>
        </row>
        <row r="1953">
          <cell r="A1953">
            <v>42261</v>
          </cell>
          <cell r="BF1953">
            <v>52.091026548672566</v>
          </cell>
          <cell r="BG1953">
            <v>45.468715051806292</v>
          </cell>
          <cell r="BH1953">
            <v>42.408178994289898</v>
          </cell>
          <cell r="BI1953">
            <v>30.406703917126244</v>
          </cell>
          <cell r="BJ1953">
            <v>54.409654071453552</v>
          </cell>
          <cell r="BU1953">
            <v>32.137854722554664</v>
          </cell>
          <cell r="BV1953">
            <v>29.635401891862816</v>
          </cell>
          <cell r="BW1953">
            <v>23.901518972811779</v>
          </cell>
          <cell r="BX1953">
            <v>15.713059154269443</v>
          </cell>
          <cell r="BY1953">
            <v>32.089978791354113</v>
          </cell>
        </row>
        <row r="1954">
          <cell r="A1954">
            <v>42262</v>
          </cell>
          <cell r="BF1954">
            <v>52.012644753476614</v>
          </cell>
          <cell r="BG1954">
            <v>45.468715051806292</v>
          </cell>
          <cell r="BH1954">
            <v>42.408178994289898</v>
          </cell>
          <cell r="BI1954">
            <v>30.406703917126244</v>
          </cell>
          <cell r="BJ1954">
            <v>54.409654071453552</v>
          </cell>
          <cell r="BU1954">
            <v>32.089158321426403</v>
          </cell>
          <cell r="BV1954">
            <v>29.635401891862816</v>
          </cell>
          <cell r="BW1954">
            <v>23.901518972811779</v>
          </cell>
          <cell r="BX1954">
            <v>15.713059154269443</v>
          </cell>
          <cell r="BY1954">
            <v>32.089978791354113</v>
          </cell>
        </row>
        <row r="1955">
          <cell r="A1955">
            <v>42263</v>
          </cell>
          <cell r="BF1955">
            <v>51.906447534766116</v>
          </cell>
          <cell r="BG1955">
            <v>45.468715051806292</v>
          </cell>
          <cell r="BH1955">
            <v>42.408178994289898</v>
          </cell>
          <cell r="BI1955">
            <v>30.406703917126244</v>
          </cell>
          <cell r="BJ1955">
            <v>54.409654071453552</v>
          </cell>
          <cell r="BU1955">
            <v>32.023180981304208</v>
          </cell>
          <cell r="BV1955">
            <v>29.635401891862816</v>
          </cell>
          <cell r="BW1955">
            <v>23.901518972811779</v>
          </cell>
          <cell r="BX1955">
            <v>15.713059154269443</v>
          </cell>
          <cell r="BY1955">
            <v>32.089978791354113</v>
          </cell>
        </row>
        <row r="1956">
          <cell r="A1956">
            <v>42264</v>
          </cell>
          <cell r="BF1956">
            <v>53.112515802781289</v>
          </cell>
          <cell r="BG1956">
            <v>45.468715051806292</v>
          </cell>
          <cell r="BH1956">
            <v>42.408178994289898</v>
          </cell>
          <cell r="BI1956">
            <v>30.406703917126244</v>
          </cell>
          <cell r="BJ1956">
            <v>54.409654071453552</v>
          </cell>
          <cell r="BU1956">
            <v>32.772477218019624</v>
          </cell>
          <cell r="BV1956">
            <v>29.635401891862816</v>
          </cell>
          <cell r="BW1956">
            <v>23.901518972811779</v>
          </cell>
          <cell r="BX1956">
            <v>15.713059154269443</v>
          </cell>
          <cell r="BY1956">
            <v>32.089978791354113</v>
          </cell>
        </row>
        <row r="1957">
          <cell r="A1957">
            <v>42265</v>
          </cell>
          <cell r="BF1957">
            <v>52.8141618204804</v>
          </cell>
          <cell r="BG1957">
            <v>45.468715051806292</v>
          </cell>
          <cell r="BH1957">
            <v>42.408178994289898</v>
          </cell>
          <cell r="BI1957">
            <v>30.406703917126244</v>
          </cell>
          <cell r="BJ1957">
            <v>54.409654071453552</v>
          </cell>
          <cell r="BU1957">
            <v>32.587115152550744</v>
          </cell>
          <cell r="BV1957">
            <v>29.635401891862816</v>
          </cell>
          <cell r="BW1957">
            <v>23.901518972811779</v>
          </cell>
          <cell r="BX1957">
            <v>15.713059154269443</v>
          </cell>
          <cell r="BY1957">
            <v>32.089978791354113</v>
          </cell>
        </row>
        <row r="1958">
          <cell r="A1958">
            <v>42268</v>
          </cell>
          <cell r="BF1958">
            <v>50.616943109987361</v>
          </cell>
          <cell r="BG1958">
            <v>45.468715051806292</v>
          </cell>
          <cell r="BH1958">
            <v>42.408178994289898</v>
          </cell>
          <cell r="BI1958">
            <v>30.406703917126244</v>
          </cell>
          <cell r="BJ1958">
            <v>54.409654071453552</v>
          </cell>
          <cell r="BU1958">
            <v>31.222048211013597</v>
          </cell>
          <cell r="BV1958">
            <v>29.635401891862816</v>
          </cell>
          <cell r="BW1958">
            <v>23.901518972811779</v>
          </cell>
          <cell r="BX1958">
            <v>15.713059154269443</v>
          </cell>
          <cell r="BY1958">
            <v>32.089978791354113</v>
          </cell>
        </row>
        <row r="1959">
          <cell r="A1959">
            <v>42269</v>
          </cell>
          <cell r="BF1959">
            <v>48.821744627054365</v>
          </cell>
          <cell r="BG1959">
            <v>45.468715051806292</v>
          </cell>
          <cell r="BH1959">
            <v>42.408178994289898</v>
          </cell>
          <cell r="BI1959">
            <v>30.406703917126244</v>
          </cell>
          <cell r="BJ1959">
            <v>54.409654071453552</v>
          </cell>
          <cell r="BU1959">
            <v>30.106741969159977</v>
          </cell>
          <cell r="BV1959">
            <v>29.635401891862816</v>
          </cell>
          <cell r="BW1959">
            <v>23.901518972811779</v>
          </cell>
          <cell r="BX1959">
            <v>15.713059154269443</v>
          </cell>
          <cell r="BY1959">
            <v>32.089978791354113</v>
          </cell>
        </row>
        <row r="1960">
          <cell r="A1960">
            <v>42270</v>
          </cell>
          <cell r="BF1960">
            <v>48.022756005056891</v>
          </cell>
          <cell r="BG1960">
            <v>45.468715051806292</v>
          </cell>
          <cell r="BH1960">
            <v>42.408178994289898</v>
          </cell>
          <cell r="BI1960">
            <v>30.406703917126244</v>
          </cell>
          <cell r="BJ1960">
            <v>54.409654071453552</v>
          </cell>
          <cell r="BU1960">
            <v>29.605306982339076</v>
          </cell>
          <cell r="BV1960">
            <v>29.635401891862816</v>
          </cell>
          <cell r="BW1960">
            <v>23.901518972811779</v>
          </cell>
          <cell r="BX1960">
            <v>15.713059154269443</v>
          </cell>
          <cell r="BY1960">
            <v>32.089978791354113</v>
          </cell>
        </row>
        <row r="1961">
          <cell r="A1961">
            <v>42271</v>
          </cell>
          <cell r="BF1961">
            <v>47.605562579013906</v>
          </cell>
          <cell r="BG1961">
            <v>45.468715051806292</v>
          </cell>
          <cell r="BH1961">
            <v>42.408178994289898</v>
          </cell>
          <cell r="BI1961">
            <v>30.406703917126244</v>
          </cell>
          <cell r="BJ1961">
            <v>54.409654071453552</v>
          </cell>
          <cell r="BU1961">
            <v>29.346160628558945</v>
          </cell>
          <cell r="BV1961">
            <v>29.635401891862816</v>
          </cell>
          <cell r="BW1961">
            <v>23.901518972811779</v>
          </cell>
          <cell r="BX1961">
            <v>15.713059154269443</v>
          </cell>
          <cell r="BY1961">
            <v>32.089978791354113</v>
          </cell>
        </row>
        <row r="1962">
          <cell r="A1962">
            <v>42272</v>
          </cell>
          <cell r="BF1962">
            <v>44.384323640960808</v>
          </cell>
          <cell r="BG1962">
            <v>45.468715051806292</v>
          </cell>
          <cell r="BH1962">
            <v>42.408178994289898</v>
          </cell>
          <cell r="BI1962">
            <v>30.406703917126244</v>
          </cell>
          <cell r="BJ1962">
            <v>54.409654071453552</v>
          </cell>
          <cell r="BU1962">
            <v>27.345236660583865</v>
          </cell>
          <cell r="BV1962">
            <v>29.635401891862816</v>
          </cell>
          <cell r="BW1962">
            <v>23.901518972811779</v>
          </cell>
          <cell r="BX1962">
            <v>15.713059154269443</v>
          </cell>
          <cell r="BY1962">
            <v>32.089978791354113</v>
          </cell>
        </row>
        <row r="1963">
          <cell r="A1963">
            <v>42275</v>
          </cell>
          <cell r="BF1963">
            <v>42.353982300884951</v>
          </cell>
          <cell r="BG1963">
            <v>45.468715051806292</v>
          </cell>
          <cell r="BH1963">
            <v>42.408178994289898</v>
          </cell>
          <cell r="BI1963">
            <v>30.406703917126244</v>
          </cell>
          <cell r="BJ1963">
            <v>54.409654071453552</v>
          </cell>
          <cell r="BU1963">
            <v>26.08405773885389</v>
          </cell>
          <cell r="BV1963">
            <v>29.635401891862816</v>
          </cell>
          <cell r="BW1963">
            <v>23.901518972811779</v>
          </cell>
          <cell r="BX1963">
            <v>15.713059154269443</v>
          </cell>
          <cell r="BY1963">
            <v>32.089978791354113</v>
          </cell>
        </row>
        <row r="1964">
          <cell r="A1964">
            <v>42276</v>
          </cell>
          <cell r="BF1964">
            <v>42.938055625790135</v>
          </cell>
          <cell r="BG1964">
            <v>45.468715051806292</v>
          </cell>
          <cell r="BH1964">
            <v>42.408178994289898</v>
          </cell>
          <cell r="BI1964">
            <v>30.406703917126244</v>
          </cell>
          <cell r="BJ1964">
            <v>54.409654071453552</v>
          </cell>
          <cell r="BU1964">
            <v>26.446864204730037</v>
          </cell>
          <cell r="BV1964">
            <v>29.635401891862816</v>
          </cell>
          <cell r="BW1964">
            <v>23.901518972811779</v>
          </cell>
          <cell r="BX1964">
            <v>15.713059154269443</v>
          </cell>
          <cell r="BY1964">
            <v>32.089978791354113</v>
          </cell>
        </row>
        <row r="1965">
          <cell r="A1965">
            <v>42277</v>
          </cell>
          <cell r="BF1965">
            <v>44.455122629582803</v>
          </cell>
          <cell r="BG1965">
            <v>45.468715051806292</v>
          </cell>
          <cell r="BH1965">
            <v>42.408178994289898</v>
          </cell>
          <cell r="BI1965">
            <v>30.406703917126244</v>
          </cell>
          <cell r="BJ1965">
            <v>54.409654071453552</v>
          </cell>
          <cell r="BU1965">
            <v>27.416256014239895</v>
          </cell>
          <cell r="BV1965">
            <v>29.635401891862816</v>
          </cell>
          <cell r="BW1965">
            <v>23.901518972811779</v>
          </cell>
          <cell r="BX1965">
            <v>15.713059154269443</v>
          </cell>
          <cell r="BY1965">
            <v>32.089978791354113</v>
          </cell>
        </row>
        <row r="1966">
          <cell r="A1966">
            <v>42278</v>
          </cell>
          <cell r="BF1966">
            <v>39.208532716592849</v>
          </cell>
          <cell r="BG1966">
            <v>45.468715051806292</v>
          </cell>
          <cell r="BH1966">
            <v>42.408178994289898</v>
          </cell>
          <cell r="BI1966">
            <v>30.406703917126244</v>
          </cell>
          <cell r="BJ1966">
            <v>54.409654071453552</v>
          </cell>
          <cell r="BU1966">
            <v>24.114162733752455</v>
          </cell>
          <cell r="BV1966">
            <v>29.635401891862816</v>
          </cell>
          <cell r="BW1966">
            <v>23.901518972811779</v>
          </cell>
          <cell r="BX1966">
            <v>15.713059154269443</v>
          </cell>
          <cell r="BY1966">
            <v>32.089978791354113</v>
          </cell>
        </row>
        <row r="1967">
          <cell r="A1967">
            <v>42279</v>
          </cell>
          <cell r="BF1967">
            <v>41.006727933501409</v>
          </cell>
          <cell r="BG1967">
            <v>45.468715051806292</v>
          </cell>
          <cell r="BH1967">
            <v>42.408178994289898</v>
          </cell>
          <cell r="BI1967">
            <v>30.406703917126244</v>
          </cell>
          <cell r="BJ1967">
            <v>54.409654071453552</v>
          </cell>
          <cell r="BU1967">
            <v>25.32849134169367</v>
          </cell>
          <cell r="BV1967">
            <v>29.635401891862816</v>
          </cell>
          <cell r="BW1967">
            <v>23.901518972811779</v>
          </cell>
          <cell r="BX1967">
            <v>15.713059154269443</v>
          </cell>
          <cell r="BY1967">
            <v>32.089978791354113</v>
          </cell>
        </row>
        <row r="1968">
          <cell r="A1968">
            <v>42282</v>
          </cell>
          <cell r="BF1968">
            <v>41.034036597928306</v>
          </cell>
          <cell r="BG1968">
            <v>45.468715051806292</v>
          </cell>
          <cell r="BH1968">
            <v>42.408178994289898</v>
          </cell>
          <cell r="BI1968">
            <v>30.406703917126244</v>
          </cell>
          <cell r="BJ1968">
            <v>54.409654071453552</v>
          </cell>
          <cell r="BU1968">
            <v>25.259775276791718</v>
          </cell>
          <cell r="BV1968">
            <v>29.635401891862816</v>
          </cell>
          <cell r="BW1968">
            <v>23.901518972811779</v>
          </cell>
          <cell r="BX1968">
            <v>15.713059154269443</v>
          </cell>
          <cell r="BY1968">
            <v>32.089978791354113</v>
          </cell>
        </row>
        <row r="1969">
          <cell r="A1969">
            <v>42283</v>
          </cell>
          <cell r="BF1969">
            <v>37.786032047686305</v>
          </cell>
          <cell r="BG1969">
            <v>45.468715051806292</v>
          </cell>
          <cell r="BH1969">
            <v>42.408178994289898</v>
          </cell>
          <cell r="BI1969">
            <v>30.406703917126244</v>
          </cell>
          <cell r="BJ1969">
            <v>54.409654071453552</v>
          </cell>
          <cell r="BU1969">
            <v>23.253067241266319</v>
          </cell>
          <cell r="BV1969">
            <v>29.635401891862816</v>
          </cell>
          <cell r="BW1969">
            <v>23.901518972811779</v>
          </cell>
          <cell r="BX1969">
            <v>15.713059154269443</v>
          </cell>
          <cell r="BY1969">
            <v>32.089978791354113</v>
          </cell>
        </row>
        <row r="1970">
          <cell r="A1970">
            <v>42284</v>
          </cell>
          <cell r="BF1970">
            <v>38.215862610748552</v>
          </cell>
          <cell r="BG1970">
            <v>45.468715051806292</v>
          </cell>
          <cell r="BH1970">
            <v>42.408178994289898</v>
          </cell>
          <cell r="BI1970">
            <v>30.406703917126244</v>
          </cell>
          <cell r="BJ1970">
            <v>54.409654071453552</v>
          </cell>
          <cell r="BU1970">
            <v>23.501612021510912</v>
          </cell>
          <cell r="BV1970">
            <v>29.635401891862816</v>
          </cell>
          <cell r="BW1970">
            <v>23.901518972811779</v>
          </cell>
          <cell r="BX1970">
            <v>15.713059154269443</v>
          </cell>
          <cell r="BY1970">
            <v>32.089978791354113</v>
          </cell>
        </row>
        <row r="1971">
          <cell r="A1971">
            <v>42285</v>
          </cell>
          <cell r="BF1971">
            <v>36.757299349717556</v>
          </cell>
          <cell r="BG1971">
            <v>45.468715051806292</v>
          </cell>
          <cell r="BH1971">
            <v>42.408178994289898</v>
          </cell>
          <cell r="BI1971">
            <v>30.406703917126244</v>
          </cell>
          <cell r="BJ1971">
            <v>54.409654071453552</v>
          </cell>
          <cell r="BU1971">
            <v>22.595755246725641</v>
          </cell>
          <cell r="BV1971">
            <v>29.635401891862816</v>
          </cell>
          <cell r="BW1971">
            <v>23.901518972811779</v>
          </cell>
          <cell r="BX1971">
            <v>15.713059154269443</v>
          </cell>
          <cell r="BY1971">
            <v>32.089978791354113</v>
          </cell>
        </row>
        <row r="1972">
          <cell r="A1972">
            <v>42286</v>
          </cell>
          <cell r="BF1972">
            <v>38.695066556107129</v>
          </cell>
          <cell r="BG1972">
            <v>45.468715051806292</v>
          </cell>
          <cell r="BH1972">
            <v>42.408178994289898</v>
          </cell>
          <cell r="BI1972">
            <v>30.406703917126244</v>
          </cell>
          <cell r="BJ1972">
            <v>54.409654071453552</v>
          </cell>
          <cell r="BU1972">
            <v>23.799226908711663</v>
          </cell>
          <cell r="BV1972">
            <v>29.635401891862816</v>
          </cell>
          <cell r="BW1972">
            <v>23.901518972811779</v>
          </cell>
          <cell r="BX1972">
            <v>15.713059154269443</v>
          </cell>
          <cell r="BY1972">
            <v>32.089978791354113</v>
          </cell>
        </row>
        <row r="1973">
          <cell r="A1973">
            <v>42289</v>
          </cell>
          <cell r="BF1973">
            <v>38.388690263172954</v>
          </cell>
          <cell r="BG1973">
            <v>45.468715051806292</v>
          </cell>
          <cell r="BH1973">
            <v>42.408178994289898</v>
          </cell>
          <cell r="BI1973">
            <v>30.406703917126244</v>
          </cell>
          <cell r="BJ1973">
            <v>54.409654071453552</v>
          </cell>
          <cell r="BU1973">
            <v>23.60894853820626</v>
          </cell>
          <cell r="BV1973">
            <v>29.635401891862816</v>
          </cell>
          <cell r="BW1973">
            <v>23.901518972811779</v>
          </cell>
          <cell r="BX1973">
            <v>15.713059154269443</v>
          </cell>
          <cell r="BY1973">
            <v>32.089978791354113</v>
          </cell>
        </row>
        <row r="1974">
          <cell r="A1974">
            <v>42290</v>
          </cell>
          <cell r="BF1974">
            <v>38.082311351637991</v>
          </cell>
          <cell r="BG1974">
            <v>45.468715051806292</v>
          </cell>
          <cell r="BH1974">
            <v>42.408178994289898</v>
          </cell>
          <cell r="BI1974">
            <v>30.406703917126244</v>
          </cell>
          <cell r="BJ1974">
            <v>54.409654071453552</v>
          </cell>
          <cell r="BU1974">
            <v>23.418400950901354</v>
          </cell>
          <cell r="BV1974">
            <v>29.635401891862816</v>
          </cell>
          <cell r="BW1974">
            <v>23.901518972811779</v>
          </cell>
          <cell r="BX1974">
            <v>15.713059154269443</v>
          </cell>
          <cell r="BY1974">
            <v>32.089978791354113</v>
          </cell>
        </row>
        <row r="1975">
          <cell r="A1975">
            <v>42291</v>
          </cell>
          <cell r="BF1975">
            <v>37.849255880944469</v>
          </cell>
          <cell r="BG1975">
            <v>45.468715051806292</v>
          </cell>
          <cell r="BH1975">
            <v>42.408178994289898</v>
          </cell>
          <cell r="BI1975">
            <v>30.406703917126244</v>
          </cell>
          <cell r="BJ1975">
            <v>54.409654071453552</v>
          </cell>
          <cell r="BU1975">
            <v>23.273660938321086</v>
          </cell>
          <cell r="BV1975">
            <v>29.635401891862816</v>
          </cell>
          <cell r="BW1975">
            <v>23.901518972811779</v>
          </cell>
          <cell r="BX1975">
            <v>15.713059154269443</v>
          </cell>
          <cell r="BY1975">
            <v>32.089978791354113</v>
          </cell>
        </row>
        <row r="1976">
          <cell r="A1976">
            <v>42292</v>
          </cell>
          <cell r="BF1976">
            <v>39.760834460790157</v>
          </cell>
          <cell r="BG1976">
            <v>45.468715051806292</v>
          </cell>
          <cell r="BH1976">
            <v>42.408178994289898</v>
          </cell>
          <cell r="BI1976">
            <v>30.406703917126244</v>
          </cell>
          <cell r="BJ1976">
            <v>54.409654071453552</v>
          </cell>
          <cell r="BU1976">
            <v>24.4608542999345</v>
          </cell>
          <cell r="BV1976">
            <v>29.635401891862816</v>
          </cell>
          <cell r="BW1976">
            <v>23.901518972811779</v>
          </cell>
          <cell r="BX1976">
            <v>15.713059154269443</v>
          </cell>
          <cell r="BY1976">
            <v>32.089978791354113</v>
          </cell>
        </row>
        <row r="1977">
          <cell r="A1977">
            <v>42293</v>
          </cell>
          <cell r="BF1977">
            <v>39.336623750712867</v>
          </cell>
          <cell r="BG1977">
            <v>45.468715051806292</v>
          </cell>
          <cell r="BH1977">
            <v>42.408178994289898</v>
          </cell>
          <cell r="BI1977">
            <v>30.406703917126244</v>
          </cell>
          <cell r="BJ1977">
            <v>54.409654071453552</v>
          </cell>
          <cell r="BU1977">
            <v>24.19630101804562</v>
          </cell>
          <cell r="BV1977">
            <v>29.635401891862816</v>
          </cell>
          <cell r="BW1977">
            <v>23.901518972811779</v>
          </cell>
          <cell r="BX1977">
            <v>15.713059154269443</v>
          </cell>
          <cell r="BY1977">
            <v>32.089978791354113</v>
          </cell>
        </row>
        <row r="1978">
          <cell r="A1978">
            <v>42296</v>
          </cell>
          <cell r="BF1978">
            <v>38.622782326091297</v>
          </cell>
          <cell r="BG1978">
            <v>45.468715051806292</v>
          </cell>
          <cell r="BH1978">
            <v>42.408178994289898</v>
          </cell>
          <cell r="BI1978">
            <v>30.406703917126244</v>
          </cell>
          <cell r="BJ1978">
            <v>54.409654071453552</v>
          </cell>
          <cell r="BU1978">
            <v>23.750718675831287</v>
          </cell>
          <cell r="BV1978">
            <v>29.635401891862816</v>
          </cell>
          <cell r="BW1978">
            <v>23.901518972811779</v>
          </cell>
          <cell r="BX1978">
            <v>15.713059154269443</v>
          </cell>
          <cell r="BY1978">
            <v>32.089978791354113</v>
          </cell>
        </row>
        <row r="1979">
          <cell r="A1979">
            <v>42297</v>
          </cell>
          <cell r="BF1979">
            <v>38.353827915297394</v>
          </cell>
          <cell r="BG1979">
            <v>45.468715051806292</v>
          </cell>
          <cell r="BH1979">
            <v>42.408178994289898</v>
          </cell>
          <cell r="BI1979">
            <v>30.406703917126244</v>
          </cell>
          <cell r="BJ1979">
            <v>54.409654071453552</v>
          </cell>
          <cell r="BU1979">
            <v>23.671561391975178</v>
          </cell>
          <cell r="BV1979">
            <v>29.635401891862816</v>
          </cell>
          <cell r="BW1979">
            <v>23.901518972811779</v>
          </cell>
          <cell r="BX1979">
            <v>15.713059154269443</v>
          </cell>
          <cell r="BY1979">
            <v>32.089978791354113</v>
          </cell>
        </row>
        <row r="1980">
          <cell r="A1980">
            <v>42298</v>
          </cell>
          <cell r="BF1980">
            <v>37.783368525094509</v>
          </cell>
          <cell r="BG1980">
            <v>45.468715051806292</v>
          </cell>
          <cell r="BH1980">
            <v>42.408178994289898</v>
          </cell>
          <cell r="BI1980">
            <v>30.406703917126244</v>
          </cell>
          <cell r="BJ1980">
            <v>54.409654071453552</v>
          </cell>
          <cell r="BU1980">
            <v>23.22277584791598</v>
          </cell>
          <cell r="BV1980">
            <v>29.635401891862816</v>
          </cell>
          <cell r="BW1980">
            <v>23.901518972811779</v>
          </cell>
          <cell r="BX1980">
            <v>15.713059154269443</v>
          </cell>
          <cell r="BY1980">
            <v>32.089978791354113</v>
          </cell>
        </row>
        <row r="1981">
          <cell r="A1981">
            <v>42299</v>
          </cell>
          <cell r="BF1981">
            <v>38.298219147314782</v>
          </cell>
          <cell r="BG1981">
            <v>45.468715051806292</v>
          </cell>
          <cell r="BH1981">
            <v>42.408178994289898</v>
          </cell>
          <cell r="BI1981">
            <v>30.406703917126244</v>
          </cell>
          <cell r="BJ1981">
            <v>54.409654071453552</v>
          </cell>
          <cell r="BU1981">
            <v>23.542482800886987</v>
          </cell>
          <cell r="BV1981">
            <v>29.635401891862816</v>
          </cell>
          <cell r="BW1981">
            <v>23.901518972811779</v>
          </cell>
          <cell r="BX1981">
            <v>15.713059154269443</v>
          </cell>
          <cell r="BY1981">
            <v>32.089978791354113</v>
          </cell>
        </row>
        <row r="1982">
          <cell r="A1982">
            <v>42300</v>
          </cell>
          <cell r="BF1982">
            <v>39.740329754260429</v>
          </cell>
          <cell r="BG1982">
            <v>45.468715051806292</v>
          </cell>
          <cell r="BH1982">
            <v>42.408178994289898</v>
          </cell>
          <cell r="BI1982">
            <v>30.406703917126244</v>
          </cell>
          <cell r="BJ1982">
            <v>54.409654071453552</v>
          </cell>
          <cell r="BU1982">
            <v>24.437990678502995</v>
          </cell>
          <cell r="BV1982">
            <v>29.635401891862816</v>
          </cell>
          <cell r="BW1982">
            <v>23.901518972811779</v>
          </cell>
          <cell r="BX1982">
            <v>15.713059154269443</v>
          </cell>
          <cell r="BY1982">
            <v>32.089978791354113</v>
          </cell>
        </row>
        <row r="1983">
          <cell r="A1983">
            <v>42303</v>
          </cell>
          <cell r="BF1983">
            <v>39.818164166442656</v>
          </cell>
          <cell r="BG1983">
            <v>45.468715051806292</v>
          </cell>
          <cell r="BH1983">
            <v>42.408178994289898</v>
          </cell>
          <cell r="BI1983">
            <v>30.406703917126244</v>
          </cell>
          <cell r="BJ1983">
            <v>54.409654071453552</v>
          </cell>
          <cell r="BU1983">
            <v>24.370623768811399</v>
          </cell>
          <cell r="BV1983">
            <v>29.635401891862816</v>
          </cell>
          <cell r="BW1983">
            <v>23.901518972811779</v>
          </cell>
          <cell r="BX1983">
            <v>15.713059154269443</v>
          </cell>
          <cell r="BY1983">
            <v>32.089978791354113</v>
          </cell>
        </row>
        <row r="1984">
          <cell r="A1984">
            <v>42304</v>
          </cell>
          <cell r="BF1984">
            <v>39.109213483149723</v>
          </cell>
          <cell r="BG1984">
            <v>45.468715051806292</v>
          </cell>
          <cell r="BH1984">
            <v>42.408178994289898</v>
          </cell>
          <cell r="BI1984">
            <v>30.406703917126244</v>
          </cell>
          <cell r="BJ1984">
            <v>54.409654071453552</v>
          </cell>
          <cell r="BU1984">
            <v>23.927918681264583</v>
          </cell>
          <cell r="BV1984">
            <v>29.635401891862816</v>
          </cell>
          <cell r="BW1984">
            <v>23.901518972811779</v>
          </cell>
          <cell r="BX1984">
            <v>15.713059154269443</v>
          </cell>
          <cell r="BY1984">
            <v>32.089978791354113</v>
          </cell>
        </row>
        <row r="1985">
          <cell r="A1985">
            <v>42305</v>
          </cell>
          <cell r="BF1985">
            <v>39.629665617981239</v>
          </cell>
          <cell r="BG1985">
            <v>45.468715051806292</v>
          </cell>
          <cell r="BH1985">
            <v>42.408178994289898</v>
          </cell>
          <cell r="BI1985">
            <v>30.406703917126244</v>
          </cell>
          <cell r="BJ1985">
            <v>54.409654071453552</v>
          </cell>
          <cell r="BU1985">
            <v>24.250917225874929</v>
          </cell>
          <cell r="BV1985">
            <v>29.635401891862816</v>
          </cell>
          <cell r="BW1985">
            <v>23.901518972811779</v>
          </cell>
          <cell r="BX1985">
            <v>15.713059154269443</v>
          </cell>
          <cell r="BY1985">
            <v>32.089978791354113</v>
          </cell>
        </row>
        <row r="1986">
          <cell r="A1986">
            <v>42306</v>
          </cell>
          <cell r="BF1986">
            <v>39.295283595509289</v>
          </cell>
          <cell r="BG1986">
            <v>45.468715051806292</v>
          </cell>
          <cell r="BH1986">
            <v>42.408178994289898</v>
          </cell>
          <cell r="BI1986">
            <v>30.406703917126244</v>
          </cell>
          <cell r="BJ1986">
            <v>54.409654071453552</v>
          </cell>
          <cell r="BU1986">
            <v>24.043395920121679</v>
          </cell>
          <cell r="BV1986">
            <v>29.635401891862816</v>
          </cell>
          <cell r="BW1986">
            <v>23.901518972811779</v>
          </cell>
          <cell r="BX1986">
            <v>15.713059154269443</v>
          </cell>
          <cell r="BY1986">
            <v>32.089978791354113</v>
          </cell>
        </row>
        <row r="1987">
          <cell r="A1987">
            <v>42307</v>
          </cell>
          <cell r="BF1987">
            <v>38.637303370790129</v>
          </cell>
          <cell r="BG1987">
            <v>45.468715051806292</v>
          </cell>
          <cell r="BH1987">
            <v>42.408178994289898</v>
          </cell>
          <cell r="BI1987">
            <v>30.406703917126244</v>
          </cell>
          <cell r="BJ1987">
            <v>54.409654071453552</v>
          </cell>
          <cell r="BU1987">
            <v>24.043395920121679</v>
          </cell>
          <cell r="BV1987">
            <v>29.635401891862816</v>
          </cell>
          <cell r="BW1987">
            <v>23.901518972811779</v>
          </cell>
          <cell r="BX1987">
            <v>15.713059154269443</v>
          </cell>
          <cell r="BY1987">
            <v>32.089978791354113</v>
          </cell>
        </row>
        <row r="1988">
          <cell r="A1988">
            <v>42310</v>
          </cell>
          <cell r="BF1988">
            <v>39.701368391083477</v>
          </cell>
          <cell r="BG1988">
            <v>45.468715051806292</v>
          </cell>
          <cell r="BH1988">
            <v>42.408178994289898</v>
          </cell>
          <cell r="BI1988">
            <v>30.406703917126244</v>
          </cell>
          <cell r="BJ1988">
            <v>54.409654071453552</v>
          </cell>
          <cell r="BU1988">
            <v>24.317216245192792</v>
          </cell>
          <cell r="BV1988">
            <v>29.635401891862816</v>
          </cell>
          <cell r="BW1988">
            <v>23.901518972811779</v>
          </cell>
          <cell r="BX1988">
            <v>15.713059154269443</v>
          </cell>
          <cell r="BY1988">
            <v>32.089978791354113</v>
          </cell>
        </row>
        <row r="1989">
          <cell r="A1989">
            <v>42311</v>
          </cell>
          <cell r="BF1989">
            <v>40.969336877139739</v>
          </cell>
          <cell r="BG1989">
            <v>45.468715051806292</v>
          </cell>
          <cell r="BH1989">
            <v>42.408178994289898</v>
          </cell>
          <cell r="BI1989">
            <v>30.406703917126244</v>
          </cell>
          <cell r="BJ1989">
            <v>54.409654071453552</v>
          </cell>
          <cell r="BU1989">
            <v>25.227905210693734</v>
          </cell>
          <cell r="BV1989">
            <v>29.635401891862816</v>
          </cell>
          <cell r="BW1989">
            <v>23.901518972811779</v>
          </cell>
          <cell r="BX1989">
            <v>15.713059154269443</v>
          </cell>
          <cell r="BY1989">
            <v>32.089978791354113</v>
          </cell>
        </row>
        <row r="1990">
          <cell r="A1990">
            <v>42312</v>
          </cell>
          <cell r="BF1990">
            <v>42.631049963151561</v>
          </cell>
          <cell r="BG1990">
            <v>45.468715051806292</v>
          </cell>
          <cell r="BH1990">
            <v>42.408178994289898</v>
          </cell>
          <cell r="BI1990">
            <v>30.406703917126244</v>
          </cell>
          <cell r="BJ1990">
            <v>54.409654071453552</v>
          </cell>
          <cell r="BU1990">
            <v>26.264918023417273</v>
          </cell>
          <cell r="BV1990">
            <v>29.635401891862816</v>
          </cell>
          <cell r="BW1990">
            <v>23.901518972811779</v>
          </cell>
          <cell r="BX1990">
            <v>15.713059154269443</v>
          </cell>
          <cell r="BY1990">
            <v>32.089978791354113</v>
          </cell>
        </row>
        <row r="1991">
          <cell r="A1991">
            <v>42313</v>
          </cell>
          <cell r="BF1991">
            <v>41.47588948697161</v>
          </cell>
          <cell r="BG1991">
            <v>45.468715051806292</v>
          </cell>
          <cell r="BH1991">
            <v>42.408178994289898</v>
          </cell>
          <cell r="BI1991">
            <v>30.406703917126244</v>
          </cell>
          <cell r="BJ1991">
            <v>54.409654071453552</v>
          </cell>
          <cell r="BU1991">
            <v>25.544025695713767</v>
          </cell>
          <cell r="BV1991">
            <v>29.635401891862816</v>
          </cell>
          <cell r="BW1991">
            <v>23.901518972811779</v>
          </cell>
          <cell r="BX1991">
            <v>15.713059154269443</v>
          </cell>
          <cell r="BY1991">
            <v>32.089978791354113</v>
          </cell>
        </row>
        <row r="1992">
          <cell r="A1992">
            <v>42314</v>
          </cell>
          <cell r="BF1992">
            <v>41.768029839416194</v>
          </cell>
          <cell r="BG1992">
            <v>45.468715051806292</v>
          </cell>
          <cell r="BH1992">
            <v>42.408178994289898</v>
          </cell>
          <cell r="BI1992">
            <v>30.406703917126244</v>
          </cell>
          <cell r="BJ1992">
            <v>54.409654071453552</v>
          </cell>
          <cell r="BU1992">
            <v>25.563489057579183</v>
          </cell>
          <cell r="BV1992">
            <v>29.635401891862816</v>
          </cell>
          <cell r="BW1992">
            <v>23.901518972811779</v>
          </cell>
          <cell r="BX1992">
            <v>15.713059154269443</v>
          </cell>
          <cell r="BY1992">
            <v>32.089978791354113</v>
          </cell>
        </row>
        <row r="1993">
          <cell r="A1993">
            <v>42317</v>
          </cell>
          <cell r="BF1993">
            <v>41.438499126483755</v>
          </cell>
          <cell r="BG1993">
            <v>45.468715051806292</v>
          </cell>
          <cell r="BH1993">
            <v>42.408178994289898</v>
          </cell>
          <cell r="BI1993">
            <v>30.406703917126244</v>
          </cell>
          <cell r="BJ1993">
            <v>54.409654071453552</v>
          </cell>
          <cell r="BU1993">
            <v>25.540056433084729</v>
          </cell>
          <cell r="BV1993">
            <v>29.635401891862816</v>
          </cell>
          <cell r="BW1993">
            <v>23.901518972811779</v>
          </cell>
          <cell r="BX1993">
            <v>15.713059154269443</v>
          </cell>
          <cell r="BY1993">
            <v>32.089978791354113</v>
          </cell>
        </row>
        <row r="1994">
          <cell r="A1994">
            <v>42318</v>
          </cell>
          <cell r="BF1994">
            <v>41.087393568339792</v>
          </cell>
          <cell r="BG1994">
            <v>45.468715051806292</v>
          </cell>
          <cell r="BH1994">
            <v>42.408178994289898</v>
          </cell>
          <cell r="BI1994">
            <v>30.406703917126244</v>
          </cell>
          <cell r="BJ1994">
            <v>54.409654071453552</v>
          </cell>
          <cell r="BU1994">
            <v>25.320778355452532</v>
          </cell>
          <cell r="BV1994">
            <v>29.635401891862816</v>
          </cell>
          <cell r="BW1994">
            <v>23.901518972811779</v>
          </cell>
          <cell r="BX1994">
            <v>15.713059154269443</v>
          </cell>
          <cell r="BY1994">
            <v>32.089978791354113</v>
          </cell>
        </row>
        <row r="1995">
          <cell r="A1995">
            <v>42319</v>
          </cell>
          <cell r="BF1995">
            <v>41.534856274991185</v>
          </cell>
          <cell r="BG1995">
            <v>45.468715051806292</v>
          </cell>
          <cell r="BH1995">
            <v>42.408178994289898</v>
          </cell>
          <cell r="BI1995">
            <v>30.406703917126244</v>
          </cell>
          <cell r="BJ1995">
            <v>54.409654071453552</v>
          </cell>
          <cell r="BU1995">
            <v>25.60031605747221</v>
          </cell>
          <cell r="BV1995">
            <v>29.635401891862816</v>
          </cell>
          <cell r="BW1995">
            <v>23.901518972811779</v>
          </cell>
          <cell r="BX1995">
            <v>15.713059154269443</v>
          </cell>
          <cell r="BY1995">
            <v>32.089978791354113</v>
          </cell>
        </row>
        <row r="1996">
          <cell r="A1996">
            <v>42320</v>
          </cell>
          <cell r="BF1996">
            <v>41.647421437030815</v>
          </cell>
          <cell r="BG1996">
            <v>45.468715051806292</v>
          </cell>
          <cell r="BH1996">
            <v>42.408178994289898</v>
          </cell>
          <cell r="BI1996">
            <v>30.406703917126244</v>
          </cell>
          <cell r="BJ1996">
            <v>54.409654071453552</v>
          </cell>
          <cell r="BU1996">
            <v>25.670617278712474</v>
          </cell>
          <cell r="BV1996">
            <v>29.635401891862816</v>
          </cell>
          <cell r="BW1996">
            <v>23.901518972811779</v>
          </cell>
          <cell r="BX1996">
            <v>15.713059154269443</v>
          </cell>
          <cell r="BY1996">
            <v>32.089978791354113</v>
          </cell>
        </row>
        <row r="1997">
          <cell r="A1997">
            <v>42321</v>
          </cell>
          <cell r="BF1997">
            <v>44.397293011417432</v>
          </cell>
          <cell r="BG1997">
            <v>45.468715051806292</v>
          </cell>
          <cell r="BH1997">
            <v>42.408178994289898</v>
          </cell>
          <cell r="BI1997">
            <v>30.406703917126244</v>
          </cell>
          <cell r="BJ1997">
            <v>54.409654071453552</v>
          </cell>
          <cell r="BU1997">
            <v>25.659725441739958</v>
          </cell>
          <cell r="BV1997">
            <v>29.635401891862816</v>
          </cell>
          <cell r="BW1997">
            <v>23.901518972811779</v>
          </cell>
          <cell r="BX1997">
            <v>15.713059154269443</v>
          </cell>
          <cell r="BY1997">
            <v>32.089978791354113</v>
          </cell>
        </row>
        <row r="1998">
          <cell r="A1998">
            <v>42324</v>
          </cell>
          <cell r="BF1998">
            <v>45.587761438091718</v>
          </cell>
          <cell r="BG1998">
            <v>45.468715051806292</v>
          </cell>
          <cell r="BH1998">
            <v>42.408178994289898</v>
          </cell>
          <cell r="BI1998">
            <v>30.406703917126244</v>
          </cell>
          <cell r="BJ1998">
            <v>54.409654071453552</v>
          </cell>
          <cell r="BU1998">
            <v>28.122630767143303</v>
          </cell>
          <cell r="BV1998">
            <v>29.635401891862816</v>
          </cell>
          <cell r="BW1998">
            <v>23.901518972811779</v>
          </cell>
          <cell r="BX1998">
            <v>15.713059154269443</v>
          </cell>
          <cell r="BY1998">
            <v>32.089978791354113</v>
          </cell>
        </row>
        <row r="1999">
          <cell r="A1999">
            <v>42325</v>
          </cell>
          <cell r="BF1999">
            <v>46.490884659169389</v>
          </cell>
          <cell r="BG1999">
            <v>45.468715051806292</v>
          </cell>
          <cell r="BH1999">
            <v>42.408178994289898</v>
          </cell>
          <cell r="BI1999">
            <v>30.406703917126244</v>
          </cell>
          <cell r="BJ1999">
            <v>54.409654071453552</v>
          </cell>
          <cell r="BU1999">
            <v>28.68985585005229</v>
          </cell>
          <cell r="BV1999">
            <v>29.635401891862816</v>
          </cell>
          <cell r="BW1999">
            <v>23.901518972811779</v>
          </cell>
          <cell r="BX1999">
            <v>15.713059154269443</v>
          </cell>
          <cell r="BY1999">
            <v>32.089978791354113</v>
          </cell>
        </row>
        <row r="2000">
          <cell r="A2000">
            <v>42326</v>
          </cell>
          <cell r="BF2000">
            <v>47.281454809875811</v>
          </cell>
          <cell r="BG2000">
            <v>45.468715051806292</v>
          </cell>
          <cell r="BH2000">
            <v>42.408178994289898</v>
          </cell>
          <cell r="BI2000">
            <v>30.406703917126244</v>
          </cell>
          <cell r="BJ2000">
            <v>54.409654071453552</v>
          </cell>
          <cell r="BU2000">
            <v>29.183498450045555</v>
          </cell>
          <cell r="BV2000">
            <v>29.635401891862816</v>
          </cell>
          <cell r="BW2000">
            <v>23.901518972811779</v>
          </cell>
          <cell r="BX2000">
            <v>15.713059154269443</v>
          </cell>
          <cell r="BY2000">
            <v>32.089978791354113</v>
          </cell>
        </row>
        <row r="2001">
          <cell r="A2001">
            <v>42327</v>
          </cell>
          <cell r="BF2001">
            <v>46.573607307980303</v>
          </cell>
          <cell r="BG2001">
            <v>45.468715051806292</v>
          </cell>
          <cell r="BH2001">
            <v>42.408178994289898</v>
          </cell>
          <cell r="BI2001">
            <v>30.406703917126244</v>
          </cell>
          <cell r="BJ2001">
            <v>54.409654071453552</v>
          </cell>
          <cell r="BU2001">
            <v>28.736458135219138</v>
          </cell>
          <cell r="BV2001">
            <v>29.635401891862816</v>
          </cell>
          <cell r="BW2001">
            <v>23.901518972811779</v>
          </cell>
          <cell r="BX2001">
            <v>15.713059154269443</v>
          </cell>
          <cell r="BY2001">
            <v>32.089978791354113</v>
          </cell>
        </row>
        <row r="2002">
          <cell r="A2002">
            <v>42328</v>
          </cell>
          <cell r="BF2002">
            <v>46.726375270815062</v>
          </cell>
          <cell r="BG2002">
            <v>45.468715051806292</v>
          </cell>
          <cell r="BH2002">
            <v>42.408178994289898</v>
          </cell>
          <cell r="BI2002">
            <v>30.406703917126244</v>
          </cell>
          <cell r="BJ2002">
            <v>54.409654071453552</v>
          </cell>
          <cell r="BU2002">
            <v>28.736458135219138</v>
          </cell>
          <cell r="BV2002">
            <v>29.635401891862816</v>
          </cell>
          <cell r="BW2002">
            <v>23.901518972811779</v>
          </cell>
          <cell r="BX2002">
            <v>15.713059154269443</v>
          </cell>
          <cell r="BY2002">
            <v>32.089978791354113</v>
          </cell>
        </row>
        <row r="2003">
          <cell r="A2003">
            <v>42331</v>
          </cell>
          <cell r="BF2003">
            <v>46.80156684206019</v>
          </cell>
          <cell r="BG2003">
            <v>45.468715051806292</v>
          </cell>
          <cell r="BH2003">
            <v>42.408178994289898</v>
          </cell>
          <cell r="BI2003">
            <v>30.406703917126244</v>
          </cell>
          <cell r="BJ2003">
            <v>54.409654071453552</v>
          </cell>
          <cell r="BU2003">
            <v>28.878682928147828</v>
          </cell>
          <cell r="BV2003">
            <v>29.635401891862816</v>
          </cell>
          <cell r="BW2003">
            <v>23.901518972811779</v>
          </cell>
          <cell r="BX2003">
            <v>15.713059154269443</v>
          </cell>
          <cell r="BY2003">
            <v>32.089978791354113</v>
          </cell>
        </row>
        <row r="2004">
          <cell r="A2004">
            <v>42332</v>
          </cell>
          <cell r="BF2004">
            <v>47.260622849743186</v>
          </cell>
          <cell r="BG2004">
            <v>45.468715051806292</v>
          </cell>
          <cell r="BH2004">
            <v>42.408178994289898</v>
          </cell>
          <cell r="BI2004">
            <v>30.406703917126244</v>
          </cell>
          <cell r="BJ2004">
            <v>54.409654071453552</v>
          </cell>
          <cell r="BU2004">
            <v>29.171502527212795</v>
          </cell>
          <cell r="BV2004">
            <v>29.635401891862816</v>
          </cell>
          <cell r="BW2004">
            <v>23.901518972811779</v>
          </cell>
          <cell r="BX2004">
            <v>15.713059154269443</v>
          </cell>
          <cell r="BY2004">
            <v>32.089978791354113</v>
          </cell>
        </row>
        <row r="2005">
          <cell r="A2005">
            <v>42333</v>
          </cell>
          <cell r="BF2005">
            <v>48.378538045668414</v>
          </cell>
          <cell r="BG2005">
            <v>45.468715051806292</v>
          </cell>
          <cell r="BH2005">
            <v>42.408178994289898</v>
          </cell>
          <cell r="BI2005">
            <v>30.406703917126244</v>
          </cell>
          <cell r="BJ2005">
            <v>54.409654071453552</v>
          </cell>
          <cell r="BU2005">
            <v>29.869570845526638</v>
          </cell>
          <cell r="BV2005">
            <v>29.635401891862816</v>
          </cell>
          <cell r="BW2005">
            <v>23.901518972811779</v>
          </cell>
          <cell r="BX2005">
            <v>15.713059154269443</v>
          </cell>
          <cell r="BY2005">
            <v>32.089978791354113</v>
          </cell>
        </row>
        <row r="2006">
          <cell r="A2006">
            <v>42334</v>
          </cell>
          <cell r="BF2006">
            <v>48.378538045668414</v>
          </cell>
          <cell r="BG2006">
            <v>45.468715051806292</v>
          </cell>
          <cell r="BH2006">
            <v>42.408178994289898</v>
          </cell>
          <cell r="BI2006">
            <v>30.406703917126244</v>
          </cell>
          <cell r="BJ2006">
            <v>54.409654071453552</v>
          </cell>
          <cell r="BU2006">
            <v>29.869570845526638</v>
          </cell>
          <cell r="BV2006">
            <v>29.635401891862816</v>
          </cell>
          <cell r="BW2006">
            <v>23.901518972811779</v>
          </cell>
          <cell r="BX2006">
            <v>15.713059154269443</v>
          </cell>
          <cell r="BY2006">
            <v>32.089978791354113</v>
          </cell>
        </row>
        <row r="2007">
          <cell r="A2007">
            <v>42335</v>
          </cell>
          <cell r="BF2007">
            <v>49.745766498373968</v>
          </cell>
          <cell r="BG2007">
            <v>45.468715051806292</v>
          </cell>
          <cell r="BH2007">
            <v>42.408178994289898</v>
          </cell>
          <cell r="BI2007">
            <v>30.406703917126244</v>
          </cell>
          <cell r="BJ2007">
            <v>54.409654071453552</v>
          </cell>
          <cell r="BU2007">
            <v>29.869570845526638</v>
          </cell>
          <cell r="BV2007">
            <v>29.635401891862816</v>
          </cell>
          <cell r="BW2007">
            <v>23.901518972811779</v>
          </cell>
          <cell r="BX2007">
            <v>15.713059154269443</v>
          </cell>
          <cell r="BY2007">
            <v>32.089978791354113</v>
          </cell>
        </row>
        <row r="2008">
          <cell r="A2008">
            <v>42338</v>
          </cell>
          <cell r="BF2008">
            <v>49.300746168629942</v>
          </cell>
          <cell r="BG2008">
            <v>45.468715051806292</v>
          </cell>
          <cell r="BH2008">
            <v>42.408178994289898</v>
          </cell>
          <cell r="BI2008">
            <v>30.406703917126244</v>
          </cell>
          <cell r="BJ2008">
            <v>54.409654071453552</v>
          </cell>
          <cell r="BU2008">
            <v>30.445432302529472</v>
          </cell>
          <cell r="BV2008">
            <v>29.635401891862816</v>
          </cell>
          <cell r="BW2008">
            <v>23.901518972811779</v>
          </cell>
          <cell r="BX2008">
            <v>15.713059154269443</v>
          </cell>
          <cell r="BY2008">
            <v>32.089978791354113</v>
          </cell>
        </row>
        <row r="2009">
          <cell r="A2009">
            <v>42339</v>
          </cell>
          <cell r="BF2009">
            <v>49.724067391881135</v>
          </cell>
          <cell r="BG2009">
            <v>45.468715051806292</v>
          </cell>
          <cell r="BH2009">
            <v>42.408178994289898</v>
          </cell>
          <cell r="BI2009">
            <v>30.406703917126244</v>
          </cell>
          <cell r="BJ2009">
            <v>54.409654071453552</v>
          </cell>
          <cell r="BU2009">
            <v>30.716852160676503</v>
          </cell>
          <cell r="BV2009">
            <v>29.635401891862816</v>
          </cell>
          <cell r="BW2009">
            <v>23.901518972811779</v>
          </cell>
          <cell r="BX2009">
            <v>15.713059154269443</v>
          </cell>
          <cell r="BY2009">
            <v>32.089978791354113</v>
          </cell>
        </row>
        <row r="2010">
          <cell r="A2010">
            <v>42340</v>
          </cell>
          <cell r="BF2010">
            <v>48.182544441496418</v>
          </cell>
          <cell r="BG2010">
            <v>45.468715051806292</v>
          </cell>
          <cell r="BH2010">
            <v>42.408178994289898</v>
          </cell>
          <cell r="BI2010">
            <v>30.406703917126244</v>
          </cell>
          <cell r="BJ2010">
            <v>54.409654071453552</v>
          </cell>
          <cell r="BU2010">
            <v>29.754154987364053</v>
          </cell>
          <cell r="BV2010">
            <v>29.635401891862816</v>
          </cell>
          <cell r="BW2010">
            <v>23.901518972811779</v>
          </cell>
          <cell r="BX2010">
            <v>15.713059154269443</v>
          </cell>
          <cell r="BY2010">
            <v>32.089978791354113</v>
          </cell>
        </row>
        <row r="2011">
          <cell r="A2011">
            <v>42341</v>
          </cell>
          <cell r="BF2011">
            <v>46.203236932873438</v>
          </cell>
          <cell r="BG2011">
            <v>45.468715051806292</v>
          </cell>
          <cell r="BH2011">
            <v>42.408178994289898</v>
          </cell>
          <cell r="BI2011">
            <v>30.406703917126244</v>
          </cell>
          <cell r="BJ2011">
            <v>54.409654071453552</v>
          </cell>
          <cell r="BU2011">
            <v>28.518056787728497</v>
          </cell>
          <cell r="BV2011">
            <v>29.635401891862816</v>
          </cell>
          <cell r="BW2011">
            <v>23.901518972811779</v>
          </cell>
          <cell r="BX2011">
            <v>15.713059154269443</v>
          </cell>
          <cell r="BY2011">
            <v>32.089978791354113</v>
          </cell>
        </row>
        <row r="2012">
          <cell r="A2012">
            <v>42342</v>
          </cell>
          <cell r="BF2012">
            <v>47.447601485805251</v>
          </cell>
          <cell r="BG2012">
            <v>45.468715051806292</v>
          </cell>
          <cell r="BH2012">
            <v>42.408178994289898</v>
          </cell>
          <cell r="BI2012">
            <v>30.406703917126244</v>
          </cell>
          <cell r="BJ2012">
            <v>54.409654071453552</v>
          </cell>
          <cell r="BU2012">
            <v>28.518056787728497</v>
          </cell>
          <cell r="BV2012">
            <v>29.635401891862816</v>
          </cell>
          <cell r="BW2012">
            <v>23.901518972811779</v>
          </cell>
          <cell r="BX2012">
            <v>15.713059154269443</v>
          </cell>
          <cell r="BY2012">
            <v>32.089978791354113</v>
          </cell>
        </row>
        <row r="2013">
          <cell r="A2013">
            <v>42345</v>
          </cell>
          <cell r="BF2013">
            <v>46.720615547890688</v>
          </cell>
          <cell r="BG2013">
            <v>45.468715051806292</v>
          </cell>
          <cell r="BH2013">
            <v>42.408178994289898</v>
          </cell>
          <cell r="BI2013">
            <v>30.406703917126244</v>
          </cell>
          <cell r="BJ2013">
            <v>54.409654071453552</v>
          </cell>
          <cell r="BU2013">
            <v>28.841165133332506</v>
          </cell>
          <cell r="BV2013">
            <v>29.635401891862816</v>
          </cell>
          <cell r="BW2013">
            <v>23.901518972811779</v>
          </cell>
          <cell r="BX2013">
            <v>15.713059154269443</v>
          </cell>
          <cell r="BY2013">
            <v>32.089978791354113</v>
          </cell>
        </row>
        <row r="2014">
          <cell r="A2014">
            <v>42346</v>
          </cell>
          <cell r="BF2014">
            <v>48.219689572830994</v>
          </cell>
          <cell r="BG2014">
            <v>45.468715051806292</v>
          </cell>
          <cell r="BH2014">
            <v>42.408178994289898</v>
          </cell>
          <cell r="BI2014">
            <v>30.406703917126244</v>
          </cell>
          <cell r="BJ2014">
            <v>54.409654071453552</v>
          </cell>
          <cell r="BU2014">
            <v>29.777352509612548</v>
          </cell>
          <cell r="BV2014">
            <v>29.635401891862816</v>
          </cell>
          <cell r="BW2014">
            <v>23.901518972811779</v>
          </cell>
          <cell r="BX2014">
            <v>15.713059154269443</v>
          </cell>
          <cell r="BY2014">
            <v>32.089978791354113</v>
          </cell>
        </row>
        <row r="2015">
          <cell r="A2015">
            <v>42347</v>
          </cell>
          <cell r="BF2015">
            <v>47.452907933138761</v>
          </cell>
          <cell r="BG2015">
            <v>45.468715051806292</v>
          </cell>
          <cell r="BH2015">
            <v>42.408178994289898</v>
          </cell>
          <cell r="BI2015">
            <v>30.406703917126244</v>
          </cell>
          <cell r="BJ2015">
            <v>54.409654071453552</v>
          </cell>
          <cell r="BU2015">
            <v>29.777352509612548</v>
          </cell>
          <cell r="BV2015">
            <v>29.635401891862816</v>
          </cell>
          <cell r="BW2015">
            <v>23.901518972811779</v>
          </cell>
          <cell r="BX2015">
            <v>15.713059154269443</v>
          </cell>
          <cell r="BY2015">
            <v>32.089978791354113</v>
          </cell>
        </row>
        <row r="2016">
          <cell r="A2016">
            <v>42348</v>
          </cell>
          <cell r="BF2016">
            <v>48.461130273282038</v>
          </cell>
          <cell r="BG2016">
            <v>45.468715051806292</v>
          </cell>
          <cell r="BH2016">
            <v>42.408178994289898</v>
          </cell>
          <cell r="BI2016">
            <v>30.406703917126244</v>
          </cell>
          <cell r="BJ2016">
            <v>54.409654071453552</v>
          </cell>
          <cell r="BU2016">
            <v>29.777352509612548</v>
          </cell>
          <cell r="BV2016">
            <v>29.635401891862816</v>
          </cell>
          <cell r="BW2016">
            <v>23.901518972811779</v>
          </cell>
          <cell r="BX2016">
            <v>15.713059154269443</v>
          </cell>
          <cell r="BY2016">
            <v>32.089978791354113</v>
          </cell>
        </row>
        <row r="2017">
          <cell r="A2017">
            <v>42349</v>
          </cell>
          <cell r="BF2017">
            <v>46.383658795436453</v>
          </cell>
          <cell r="BG2017">
            <v>45.468715051806292</v>
          </cell>
          <cell r="BH2017">
            <v>42.408178994289898</v>
          </cell>
          <cell r="BI2017">
            <v>30.406703917126244</v>
          </cell>
          <cell r="BJ2017">
            <v>54.409654071453552</v>
          </cell>
          <cell r="BU2017">
            <v>28.630732124187052</v>
          </cell>
          <cell r="BV2017">
            <v>29.635401891862816</v>
          </cell>
          <cell r="BW2017">
            <v>23.901518972811779</v>
          </cell>
          <cell r="BX2017">
            <v>15.713059154269443</v>
          </cell>
          <cell r="BY2017">
            <v>32.089978791354113</v>
          </cell>
        </row>
        <row r="2018">
          <cell r="A2018">
            <v>42352</v>
          </cell>
          <cell r="BF2018">
            <v>46.341207216768375</v>
          </cell>
          <cell r="BG2018">
            <v>45.468715051806292</v>
          </cell>
          <cell r="BH2018">
            <v>42.408178994289898</v>
          </cell>
          <cell r="BI2018">
            <v>30.406703917126244</v>
          </cell>
          <cell r="BJ2018">
            <v>54.409654071453552</v>
          </cell>
          <cell r="BU2018">
            <v>28.604220670188774</v>
          </cell>
          <cell r="BV2018">
            <v>29.635401891862816</v>
          </cell>
          <cell r="BW2018">
            <v>23.901518972811779</v>
          </cell>
          <cell r="BX2018">
            <v>15.713059154269443</v>
          </cell>
          <cell r="BY2018">
            <v>32.089978791354113</v>
          </cell>
        </row>
        <row r="2019">
          <cell r="A2019">
            <v>42353</v>
          </cell>
          <cell r="BF2019">
            <v>49.424250464314142</v>
          </cell>
          <cell r="BG2019">
            <v>45.468715051806292</v>
          </cell>
          <cell r="BH2019">
            <v>42.408178994289898</v>
          </cell>
          <cell r="BI2019">
            <v>30.406703917126244</v>
          </cell>
          <cell r="BJ2019">
            <v>54.409654071453552</v>
          </cell>
          <cell r="BU2019">
            <v>30.529613359847794</v>
          </cell>
          <cell r="BV2019">
            <v>29.635401891862816</v>
          </cell>
          <cell r="BW2019">
            <v>23.901518972811779</v>
          </cell>
          <cell r="BX2019">
            <v>15.713059154269443</v>
          </cell>
          <cell r="BY2019">
            <v>32.089978791354113</v>
          </cell>
        </row>
        <row r="2020">
          <cell r="A2020">
            <v>42354</v>
          </cell>
          <cell r="BF2020">
            <v>49.594056778986463</v>
          </cell>
          <cell r="BG2020">
            <v>45.468715051806292</v>
          </cell>
          <cell r="BH2020">
            <v>42.408178994289898</v>
          </cell>
          <cell r="BI2020">
            <v>30.406703917126244</v>
          </cell>
          <cell r="BJ2020">
            <v>54.409654071453552</v>
          </cell>
          <cell r="BU2020">
            <v>30.6356591758409</v>
          </cell>
          <cell r="BV2020">
            <v>29.635401891862816</v>
          </cell>
          <cell r="BW2020">
            <v>23.901518972811779</v>
          </cell>
          <cell r="BX2020">
            <v>15.713059154269443</v>
          </cell>
          <cell r="BY2020">
            <v>32.089978791354113</v>
          </cell>
        </row>
        <row r="2021">
          <cell r="A2021">
            <v>42355</v>
          </cell>
          <cell r="BF2021">
            <v>48.089678959936322</v>
          </cell>
          <cell r="BG2021">
            <v>45.468715051806292</v>
          </cell>
          <cell r="BH2021">
            <v>42.408178994289898</v>
          </cell>
          <cell r="BI2021">
            <v>30.406703917126244</v>
          </cell>
          <cell r="BJ2021">
            <v>54.409654071453552</v>
          </cell>
          <cell r="BU2021">
            <v>29.696159524776949</v>
          </cell>
          <cell r="BV2021">
            <v>29.635401891862816</v>
          </cell>
          <cell r="BW2021">
            <v>23.901518972811779</v>
          </cell>
          <cell r="BX2021">
            <v>15.713059154269443</v>
          </cell>
          <cell r="BY2021">
            <v>32.089978791354113</v>
          </cell>
        </row>
        <row r="2022">
          <cell r="A2022">
            <v>42356</v>
          </cell>
          <cell r="BF2022">
            <v>48.272754046166092</v>
          </cell>
          <cell r="BG2022">
            <v>45.468715051806292</v>
          </cell>
          <cell r="BH2022">
            <v>42.408178994289898</v>
          </cell>
          <cell r="BI2022">
            <v>30.406703917126244</v>
          </cell>
          <cell r="BJ2022">
            <v>54.409654071453552</v>
          </cell>
          <cell r="BU2022">
            <v>29.810491827110393</v>
          </cell>
          <cell r="BV2022">
            <v>29.635401891862816</v>
          </cell>
          <cell r="BW2022">
            <v>23.901518972811779</v>
          </cell>
          <cell r="BX2022">
            <v>15.713059154269443</v>
          </cell>
          <cell r="BY2022">
            <v>32.089978791354113</v>
          </cell>
        </row>
        <row r="2023">
          <cell r="A2023">
            <v>42359</v>
          </cell>
          <cell r="BF2023">
            <v>49.571647267642859</v>
          </cell>
          <cell r="BG2023">
            <v>45.468715051806292</v>
          </cell>
          <cell r="BH2023">
            <v>42.408178994289898</v>
          </cell>
          <cell r="BI2023">
            <v>30.406703917126244</v>
          </cell>
          <cell r="BJ2023">
            <v>54.409654071453552</v>
          </cell>
          <cell r="BU2023">
            <v>30.62472575418008</v>
          </cell>
          <cell r="BV2023">
            <v>29.635401891862816</v>
          </cell>
          <cell r="BW2023">
            <v>23.901518972811779</v>
          </cell>
          <cell r="BX2023">
            <v>15.713059154269443</v>
          </cell>
          <cell r="BY2023">
            <v>32.089978791354113</v>
          </cell>
        </row>
        <row r="2024">
          <cell r="A2024">
            <v>42360</v>
          </cell>
          <cell r="BF2024">
            <v>49.608791512009532</v>
          </cell>
          <cell r="BG2024">
            <v>45.468715051806292</v>
          </cell>
          <cell r="BH2024">
            <v>42.408178994289898</v>
          </cell>
          <cell r="BI2024">
            <v>30.406703917126244</v>
          </cell>
          <cell r="BJ2024">
            <v>54.409654071453552</v>
          </cell>
          <cell r="BU2024">
            <v>30.647925035654616</v>
          </cell>
          <cell r="BV2024">
            <v>29.635401891862816</v>
          </cell>
          <cell r="BW2024">
            <v>23.901518972811779</v>
          </cell>
          <cell r="BX2024">
            <v>15.713059154269443</v>
          </cell>
          <cell r="BY2024">
            <v>32.089978791354113</v>
          </cell>
        </row>
        <row r="2025">
          <cell r="A2025">
            <v>42361</v>
          </cell>
          <cell r="BF2025">
            <v>49.176329034329243</v>
          </cell>
          <cell r="BG2025">
            <v>45.468715051806292</v>
          </cell>
          <cell r="BH2025">
            <v>42.408178994289898</v>
          </cell>
          <cell r="BI2025">
            <v>30.406703917126244</v>
          </cell>
          <cell r="BJ2025">
            <v>54.409654071453552</v>
          </cell>
          <cell r="BU2025">
            <v>30.377820772721158</v>
          </cell>
          <cell r="BV2025">
            <v>29.635401891862816</v>
          </cell>
          <cell r="BW2025">
            <v>23.901518972811779</v>
          </cell>
          <cell r="BX2025">
            <v>15.713059154269443</v>
          </cell>
          <cell r="BY2025">
            <v>32.089978791354113</v>
          </cell>
        </row>
        <row r="2026">
          <cell r="A2026">
            <v>42362</v>
          </cell>
          <cell r="BF2026">
            <v>50.14472989501445</v>
          </cell>
          <cell r="BG2026">
            <v>45.468715051806292</v>
          </cell>
          <cell r="BH2026">
            <v>42.408178994289898</v>
          </cell>
          <cell r="BI2026">
            <v>30.406703917126244</v>
          </cell>
          <cell r="BJ2026">
            <v>54.409654071453552</v>
          </cell>
          <cell r="BU2026">
            <v>30.982657525501541</v>
          </cell>
          <cell r="BV2026">
            <v>29.635401891862816</v>
          </cell>
          <cell r="BW2026">
            <v>23.901518972811779</v>
          </cell>
          <cell r="BX2026">
            <v>15.713059154269443</v>
          </cell>
          <cell r="BY2026">
            <v>32.089978791354113</v>
          </cell>
        </row>
        <row r="2027">
          <cell r="A2027">
            <v>42363</v>
          </cell>
          <cell r="BF2027">
            <v>50.14472989501445</v>
          </cell>
          <cell r="BG2027">
            <v>45.468715051806292</v>
          </cell>
          <cell r="BH2027">
            <v>42.408178994289898</v>
          </cell>
          <cell r="BI2027">
            <v>30.406703917126244</v>
          </cell>
          <cell r="BJ2027">
            <v>54.409654071453552</v>
          </cell>
          <cell r="BU2027">
            <v>30.982657525501541</v>
          </cell>
          <cell r="BV2027">
            <v>29.635401891862816</v>
          </cell>
          <cell r="BW2027">
            <v>23.901518972811779</v>
          </cell>
          <cell r="BX2027">
            <v>15.713059154269443</v>
          </cell>
          <cell r="BY2027">
            <v>32.089978791354113</v>
          </cell>
        </row>
        <row r="2028">
          <cell r="A2028">
            <v>42366</v>
          </cell>
          <cell r="BF2028">
            <v>49.895332825695327</v>
          </cell>
          <cell r="BG2028">
            <v>45.468715051806292</v>
          </cell>
          <cell r="BH2028">
            <v>42.408178994289898</v>
          </cell>
          <cell r="BI2028">
            <v>30.406703917126244</v>
          </cell>
          <cell r="BJ2028">
            <v>54.409654071453552</v>
          </cell>
          <cell r="BU2028">
            <v>30.826890921315346</v>
          </cell>
          <cell r="BV2028">
            <v>29.635401891862816</v>
          </cell>
          <cell r="BW2028">
            <v>23.901518972811779</v>
          </cell>
          <cell r="BX2028">
            <v>15.713059154269443</v>
          </cell>
          <cell r="BY2028">
            <v>32.089978791354113</v>
          </cell>
        </row>
        <row r="2029">
          <cell r="A2029">
            <v>42367</v>
          </cell>
          <cell r="BF2029">
            <v>51.51906693658151</v>
          </cell>
          <cell r="BG2029">
            <v>45.468715051806292</v>
          </cell>
          <cell r="BH2029">
            <v>42.408178994289898</v>
          </cell>
          <cell r="BI2029">
            <v>30.406703917126244</v>
          </cell>
          <cell r="BJ2029">
            <v>54.409654071453552</v>
          </cell>
          <cell r="BU2029">
            <v>31.841030940059493</v>
          </cell>
          <cell r="BV2029">
            <v>29.635401891862816</v>
          </cell>
          <cell r="BW2029">
            <v>23.901518972811779</v>
          </cell>
          <cell r="BX2029">
            <v>15.713059154269443</v>
          </cell>
          <cell r="BY2029">
            <v>32.089978791354113</v>
          </cell>
        </row>
        <row r="2030">
          <cell r="A2030">
            <v>42368</v>
          </cell>
          <cell r="BF2030">
            <v>50.693936732739203</v>
          </cell>
          <cell r="BG2030">
            <v>45.468715051806292</v>
          </cell>
          <cell r="BH2030">
            <v>42.408178994289898</v>
          </cell>
          <cell r="BI2030">
            <v>30.406703917126244</v>
          </cell>
          <cell r="BJ2030">
            <v>54.409654071453552</v>
          </cell>
          <cell r="BU2030">
            <v>31.325677130109476</v>
          </cell>
          <cell r="BV2030">
            <v>29.635401891862816</v>
          </cell>
          <cell r="BW2030">
            <v>23.901518972811779</v>
          </cell>
          <cell r="BX2030">
            <v>15.713059154269443</v>
          </cell>
          <cell r="BY2030">
            <v>32.089978791354113</v>
          </cell>
        </row>
        <row r="2031">
          <cell r="A2031">
            <v>42369</v>
          </cell>
          <cell r="BF2031">
            <v>50.926088260030937</v>
          </cell>
          <cell r="BG2031">
            <v>45.468715051806292</v>
          </cell>
          <cell r="BH2031">
            <v>42.408178994289898</v>
          </cell>
          <cell r="BI2031">
            <v>30.406703917126244</v>
          </cell>
          <cell r="BJ2031">
            <v>54.409654071453552</v>
          </cell>
          <cell r="BU2031">
            <v>31.470672639325347</v>
          </cell>
          <cell r="BV2031">
            <v>29.635401891862816</v>
          </cell>
          <cell r="BW2031">
            <v>23.901518972811779</v>
          </cell>
          <cell r="BX2031">
            <v>15.713059154269443</v>
          </cell>
          <cell r="BY2031">
            <v>32.089978791354113</v>
          </cell>
        </row>
        <row r="2032">
          <cell r="A2032">
            <v>42370</v>
          </cell>
          <cell r="BF2032">
            <v>50.095045172408547</v>
          </cell>
          <cell r="BG2032">
            <v>45.468715051806292</v>
          </cell>
          <cell r="BH2032">
            <v>42.408178994289898</v>
          </cell>
          <cell r="BI2032">
            <v>30.406703917126244</v>
          </cell>
          <cell r="BJ2032">
            <v>54.409654071453552</v>
          </cell>
          <cell r="BU2032">
            <v>30.992488984356026</v>
          </cell>
          <cell r="BV2032">
            <v>29.635401891862816</v>
          </cell>
          <cell r="BW2032">
            <v>23.901518972811779</v>
          </cell>
          <cell r="BX2032">
            <v>15.713059154269443</v>
          </cell>
          <cell r="BY2032">
            <v>32.089978791354113</v>
          </cell>
        </row>
        <row r="2033">
          <cell r="A2033">
            <v>42373</v>
          </cell>
          <cell r="BF2033">
            <v>47.311622161233686</v>
          </cell>
          <cell r="BG2033">
            <v>45.468715051806292</v>
          </cell>
          <cell r="BH2033">
            <v>42.408178994289898</v>
          </cell>
          <cell r="BI2033">
            <v>30.406703917126244</v>
          </cell>
          <cell r="BJ2033">
            <v>54.409654071453552</v>
          </cell>
          <cell r="BU2033">
            <v>29.252052432386186</v>
          </cell>
          <cell r="BV2033">
            <v>29.635401891862816</v>
          </cell>
          <cell r="BW2033">
            <v>23.901518972811779</v>
          </cell>
          <cell r="BX2033">
            <v>15.713059154269443</v>
          </cell>
          <cell r="BY2033">
            <v>32.089978791354113</v>
          </cell>
        </row>
        <row r="2034">
          <cell r="A2034">
            <v>42374</v>
          </cell>
          <cell r="BF2034">
            <v>46.512866024477127</v>
          </cell>
          <cell r="BG2034">
            <v>45.468715051806292</v>
          </cell>
          <cell r="BH2034">
            <v>42.408178994289898</v>
          </cell>
          <cell r="BI2034">
            <v>30.406703917126244</v>
          </cell>
          <cell r="BJ2034">
            <v>54.409654071453552</v>
          </cell>
          <cell r="BU2034">
            <v>28.753651196493195</v>
          </cell>
          <cell r="BV2034">
            <v>29.635401891862816</v>
          </cell>
          <cell r="BW2034">
            <v>23.901518972811779</v>
          </cell>
          <cell r="BX2034">
            <v>15.713059154269443</v>
          </cell>
          <cell r="BY2034">
            <v>32.089978791354113</v>
          </cell>
        </row>
        <row r="2035">
          <cell r="A2035">
            <v>42375</v>
          </cell>
          <cell r="BF2035">
            <v>46.374611145347117</v>
          </cell>
          <cell r="BG2035">
            <v>45.468715051806292</v>
          </cell>
          <cell r="BH2035">
            <v>42.408178994289898</v>
          </cell>
          <cell r="BI2035">
            <v>30.406703917126244</v>
          </cell>
          <cell r="BJ2035">
            <v>54.409654071453552</v>
          </cell>
          <cell r="BU2035">
            <v>28.626295192428241</v>
          </cell>
          <cell r="BV2035">
            <v>29.635401891862816</v>
          </cell>
          <cell r="BW2035">
            <v>23.901518972811779</v>
          </cell>
          <cell r="BX2035">
            <v>15.713059154269443</v>
          </cell>
          <cell r="BY2035">
            <v>32.089978791354113</v>
          </cell>
        </row>
        <row r="2036">
          <cell r="A2036">
            <v>42376</v>
          </cell>
          <cell r="BF2036">
            <v>43.783151762836297</v>
          </cell>
          <cell r="BG2036">
            <v>45.468715051806292</v>
          </cell>
          <cell r="BH2036">
            <v>42.408178994289898</v>
          </cell>
          <cell r="BI2036">
            <v>30.406703917126244</v>
          </cell>
          <cell r="BJ2036">
            <v>54.409654071453552</v>
          </cell>
          <cell r="BU2036">
            <v>26.942430498199329</v>
          </cell>
          <cell r="BV2036">
            <v>29.635401891862816</v>
          </cell>
          <cell r="BW2036">
            <v>23.901518972811779</v>
          </cell>
          <cell r="BX2036">
            <v>15.713059154269443</v>
          </cell>
          <cell r="BY2036">
            <v>32.089978791354113</v>
          </cell>
        </row>
        <row r="2037">
          <cell r="A2037">
            <v>42377</v>
          </cell>
          <cell r="BF2037">
            <v>43.117474037043465</v>
          </cell>
          <cell r="BG2037">
            <v>45.468715051806292</v>
          </cell>
          <cell r="BH2037">
            <v>42.408178994289898</v>
          </cell>
          <cell r="BI2037">
            <v>30.406703917126244</v>
          </cell>
          <cell r="BJ2037">
            <v>54.409654071453552</v>
          </cell>
          <cell r="BU2037">
            <v>26.942430498199329</v>
          </cell>
          <cell r="BV2037">
            <v>29.635401891862816</v>
          </cell>
          <cell r="BW2037">
            <v>23.901518972811779</v>
          </cell>
          <cell r="BX2037">
            <v>15.713059154269443</v>
          </cell>
          <cell r="BY2037">
            <v>32.089978791354113</v>
          </cell>
        </row>
        <row r="2038">
          <cell r="A2038">
            <v>42380</v>
          </cell>
          <cell r="BF2038">
            <v>43.76396966550908</v>
          </cell>
          <cell r="BG2038">
            <v>45.468715051806292</v>
          </cell>
          <cell r="BH2038">
            <v>42.408178994289898</v>
          </cell>
          <cell r="BI2038">
            <v>30.406703917126244</v>
          </cell>
          <cell r="BJ2038">
            <v>54.409654071453552</v>
          </cell>
          <cell r="BU2038">
            <v>26.875362189710213</v>
          </cell>
          <cell r="BV2038">
            <v>29.635401891862816</v>
          </cell>
          <cell r="BW2038">
            <v>23.901518972811779</v>
          </cell>
          <cell r="BX2038">
            <v>15.713059154269443</v>
          </cell>
          <cell r="BY2038">
            <v>32.089978791354113</v>
          </cell>
        </row>
        <row r="2039">
          <cell r="A2039">
            <v>42381</v>
          </cell>
          <cell r="BF2039">
            <v>44.532271196888679</v>
          </cell>
          <cell r="BG2039">
            <v>45.468715051806292</v>
          </cell>
          <cell r="BH2039">
            <v>42.408178994289898</v>
          </cell>
          <cell r="BI2039">
            <v>30.406703917126244</v>
          </cell>
          <cell r="BJ2039">
            <v>54.409654071453552</v>
          </cell>
          <cell r="BU2039">
            <v>27.356450214877079</v>
          </cell>
          <cell r="BV2039">
            <v>29.635401891862816</v>
          </cell>
          <cell r="BW2039">
            <v>23.901518972811779</v>
          </cell>
          <cell r="BX2039">
            <v>15.713059154269443</v>
          </cell>
          <cell r="BY2039">
            <v>32.089978791354113</v>
          </cell>
        </row>
        <row r="2040">
          <cell r="A2040">
            <v>42382</v>
          </cell>
          <cell r="BF2040">
            <v>43.436395484457613</v>
          </cell>
          <cell r="BG2040">
            <v>45.468715051806292</v>
          </cell>
          <cell r="BH2040">
            <v>42.408178994289898</v>
          </cell>
          <cell r="BI2040">
            <v>30.406703917126244</v>
          </cell>
          <cell r="BJ2040">
            <v>54.409654071453552</v>
          </cell>
          <cell r="BU2040">
            <v>26.675044990435268</v>
          </cell>
          <cell r="BV2040">
            <v>29.635401891862816</v>
          </cell>
          <cell r="BW2040">
            <v>23.901518972811779</v>
          </cell>
          <cell r="BX2040">
            <v>15.713059154269443</v>
          </cell>
          <cell r="BY2040">
            <v>32.089978791354113</v>
          </cell>
        </row>
        <row r="2041">
          <cell r="A2041">
            <v>42383</v>
          </cell>
          <cell r="BF2041">
            <v>46.240787800106069</v>
          </cell>
          <cell r="BG2041">
            <v>45.468715051806292</v>
          </cell>
          <cell r="BH2041">
            <v>42.408178994289898</v>
          </cell>
          <cell r="BI2041">
            <v>30.406703917126244</v>
          </cell>
          <cell r="BJ2041">
            <v>54.409654071453552</v>
          </cell>
          <cell r="BU2041">
            <v>26.675044990435268</v>
          </cell>
          <cell r="BV2041">
            <v>29.635401891862816</v>
          </cell>
          <cell r="BW2041">
            <v>23.901518972811779</v>
          </cell>
          <cell r="BX2041">
            <v>15.713059154269443</v>
          </cell>
          <cell r="BY2041">
            <v>32.089978791354113</v>
          </cell>
        </row>
        <row r="2042">
          <cell r="A2042">
            <v>42384</v>
          </cell>
          <cell r="BF2042">
            <v>45.173210161667562</v>
          </cell>
          <cell r="BG2042">
            <v>45.468715051806292</v>
          </cell>
          <cell r="BH2042">
            <v>42.408178994289898</v>
          </cell>
          <cell r="BI2042">
            <v>30.406703917126244</v>
          </cell>
          <cell r="BJ2042">
            <v>54.409654071453552</v>
          </cell>
          <cell r="BU2042">
            <v>28.418789790681064</v>
          </cell>
          <cell r="BV2042">
            <v>29.635401891862816</v>
          </cell>
          <cell r="BW2042">
            <v>23.901518972811779</v>
          </cell>
          <cell r="BX2042">
            <v>15.713059154269443</v>
          </cell>
          <cell r="BY2042">
            <v>32.089978791354113</v>
          </cell>
        </row>
        <row r="2043">
          <cell r="A2043">
            <v>42387</v>
          </cell>
          <cell r="BF2043">
            <v>45.178953796396321</v>
          </cell>
          <cell r="BG2043">
            <v>45.468715051806292</v>
          </cell>
          <cell r="BH2043">
            <v>42.408178994289898</v>
          </cell>
          <cell r="BI2043">
            <v>30.406703917126244</v>
          </cell>
          <cell r="BJ2043">
            <v>54.409654071453552</v>
          </cell>
          <cell r="BU2043">
            <v>27.768588604472768</v>
          </cell>
          <cell r="BV2043">
            <v>29.635401891862816</v>
          </cell>
          <cell r="BW2043">
            <v>23.901518972811779</v>
          </cell>
          <cell r="BX2043">
            <v>15.713059154269443</v>
          </cell>
          <cell r="BY2043">
            <v>32.089978791354113</v>
          </cell>
        </row>
        <row r="2044">
          <cell r="A2044">
            <v>42388</v>
          </cell>
          <cell r="BF2044">
            <v>44.858777392501345</v>
          </cell>
          <cell r="BG2044">
            <v>45.468715051806292</v>
          </cell>
          <cell r="BH2044">
            <v>42.408178994289898</v>
          </cell>
          <cell r="BI2044">
            <v>30.406703917126244</v>
          </cell>
          <cell r="BJ2044">
            <v>54.409654071453552</v>
          </cell>
          <cell r="BU2044">
            <v>27.687719400463255</v>
          </cell>
          <cell r="BV2044">
            <v>29.635401891862816</v>
          </cell>
          <cell r="BW2044">
            <v>23.901518972811779</v>
          </cell>
          <cell r="BX2044">
            <v>15.713059154269443</v>
          </cell>
          <cell r="BY2044">
            <v>32.089978791354113</v>
          </cell>
        </row>
        <row r="2045">
          <cell r="A2045">
            <v>42389</v>
          </cell>
          <cell r="BF2045">
            <v>45.480822532807565</v>
          </cell>
          <cell r="BG2045">
            <v>45.468715051806292</v>
          </cell>
          <cell r="BH2045">
            <v>42.408178994289898</v>
          </cell>
          <cell r="BI2045">
            <v>30.406703917126244</v>
          </cell>
          <cell r="BJ2045">
            <v>54.409654071453552</v>
          </cell>
          <cell r="BU2045">
            <v>28.291117080815674</v>
          </cell>
          <cell r="BV2045">
            <v>29.635401891862816</v>
          </cell>
          <cell r="BW2045">
            <v>23.901518972811779</v>
          </cell>
          <cell r="BX2045">
            <v>15.713059154269443</v>
          </cell>
          <cell r="BY2045">
            <v>32.089978791354113</v>
          </cell>
        </row>
        <row r="2046">
          <cell r="A2046">
            <v>42390</v>
          </cell>
          <cell r="BF2046">
            <v>44.923551893903209</v>
          </cell>
          <cell r="BG2046">
            <v>45.468715051806292</v>
          </cell>
          <cell r="BH2046">
            <v>42.408178994289898</v>
          </cell>
          <cell r="BI2046">
            <v>30.406703917126244</v>
          </cell>
          <cell r="BJ2046">
            <v>54.409654071453552</v>
          </cell>
          <cell r="BU2046">
            <v>27.910405360788275</v>
          </cell>
          <cell r="BV2046">
            <v>29.635401891862816</v>
          </cell>
          <cell r="BW2046">
            <v>23.901518972811779</v>
          </cell>
          <cell r="BX2046">
            <v>15.713059154269443</v>
          </cell>
          <cell r="BY2046">
            <v>32.089978791354113</v>
          </cell>
        </row>
        <row r="2047">
          <cell r="A2047">
            <v>42391</v>
          </cell>
          <cell r="BF2047">
            <v>47.266580314870289</v>
          </cell>
          <cell r="BG2047">
            <v>45.468715051806292</v>
          </cell>
          <cell r="BH2047">
            <v>42.408178994289898</v>
          </cell>
          <cell r="BI2047">
            <v>30.406703917126244</v>
          </cell>
          <cell r="BJ2047">
            <v>54.409654071453552</v>
          </cell>
          <cell r="BU2047">
            <v>28.774929516191289</v>
          </cell>
          <cell r="BV2047">
            <v>29.635401891862816</v>
          </cell>
          <cell r="BW2047">
            <v>23.901518972811779</v>
          </cell>
          <cell r="BX2047">
            <v>15.713059154269443</v>
          </cell>
          <cell r="BY2047">
            <v>32.089978791354113</v>
          </cell>
        </row>
        <row r="2048">
          <cell r="A2048">
            <v>42394</v>
          </cell>
          <cell r="BF2048">
            <v>46.970630344536076</v>
          </cell>
          <cell r="BG2048">
            <v>45.468715051806292</v>
          </cell>
          <cell r="BH2048">
            <v>42.408178994289898</v>
          </cell>
          <cell r="BI2048">
            <v>30.406703917126244</v>
          </cell>
          <cell r="BJ2048">
            <v>54.409654071453552</v>
          </cell>
          <cell r="BU2048">
            <v>29.984418501081443</v>
          </cell>
          <cell r="BV2048">
            <v>29.635401891862816</v>
          </cell>
          <cell r="BW2048">
            <v>23.901518972811779</v>
          </cell>
          <cell r="BX2048">
            <v>15.713059154269443</v>
          </cell>
          <cell r="BY2048">
            <v>32.089978791354113</v>
          </cell>
        </row>
        <row r="2049">
          <cell r="A2049">
            <v>42395</v>
          </cell>
          <cell r="BF2049">
            <v>46.615228450122693</v>
          </cell>
          <cell r="BG2049">
            <v>45.468715051806292</v>
          </cell>
          <cell r="BH2049">
            <v>42.408178994289898</v>
          </cell>
          <cell r="BI2049">
            <v>30.406703917126244</v>
          </cell>
          <cell r="BJ2049">
            <v>54.409654071453552</v>
          </cell>
          <cell r="BU2049">
            <v>29.709699145583109</v>
          </cell>
          <cell r="BV2049">
            <v>29.635401891862816</v>
          </cell>
          <cell r="BW2049">
            <v>23.901518972811779</v>
          </cell>
          <cell r="BX2049">
            <v>15.713059154269443</v>
          </cell>
          <cell r="BY2049">
            <v>32.089978791354113</v>
          </cell>
        </row>
        <row r="2050">
          <cell r="A2050">
            <v>42396</v>
          </cell>
          <cell r="BF2050">
            <v>43.789736291896631</v>
          </cell>
          <cell r="BG2050">
            <v>45.468715051806292</v>
          </cell>
          <cell r="BH2050">
            <v>42.408178994289898</v>
          </cell>
          <cell r="BI2050">
            <v>30.406703917126244</v>
          </cell>
          <cell r="BJ2050">
            <v>54.409654071453552</v>
          </cell>
          <cell r="BU2050">
            <v>27.887510002784026</v>
          </cell>
          <cell r="BV2050">
            <v>29.635401891862816</v>
          </cell>
          <cell r="BW2050">
            <v>23.901518972811779</v>
          </cell>
          <cell r="BX2050">
            <v>15.713059154269443</v>
          </cell>
          <cell r="BY2050">
            <v>32.089978791354113</v>
          </cell>
        </row>
        <row r="2051">
          <cell r="A2051">
            <v>42397</v>
          </cell>
          <cell r="BF2051">
            <v>41.698580761437135</v>
          </cell>
          <cell r="BG2051">
            <v>45.468715051806292</v>
          </cell>
          <cell r="BH2051">
            <v>42.408178994289898</v>
          </cell>
          <cell r="BI2051">
            <v>30.406703917126244</v>
          </cell>
          <cell r="BJ2051">
            <v>54.409654071453552</v>
          </cell>
          <cell r="BU2051">
            <v>27.989846510438824</v>
          </cell>
          <cell r="BV2051">
            <v>29.635401891862816</v>
          </cell>
          <cell r="BW2051">
            <v>23.901518972811779</v>
          </cell>
          <cell r="BX2051">
            <v>15.713059154269443</v>
          </cell>
          <cell r="BY2051">
            <v>32.089978791354113</v>
          </cell>
        </row>
        <row r="2052">
          <cell r="A2052">
            <v>42398</v>
          </cell>
          <cell r="BF2052">
            <v>42.698806037400288</v>
          </cell>
          <cell r="BG2052">
            <v>45.468715051806292</v>
          </cell>
          <cell r="BH2052">
            <v>42.408178994289898</v>
          </cell>
          <cell r="BI2052">
            <v>30.406703917126244</v>
          </cell>
          <cell r="BJ2052">
            <v>54.409654071453552</v>
          </cell>
          <cell r="BU2052">
            <v>26.56409117205941</v>
          </cell>
          <cell r="BV2052">
            <v>29.635401891862816</v>
          </cell>
          <cell r="BW2052">
            <v>23.901518972811779</v>
          </cell>
          <cell r="BX2052">
            <v>15.713059154269443</v>
          </cell>
          <cell r="BY2052">
            <v>32.089978791354113</v>
          </cell>
        </row>
        <row r="2053">
          <cell r="A2053">
            <v>42401</v>
          </cell>
          <cell r="BF2053">
            <v>42.251707874681493</v>
          </cell>
          <cell r="BG2053">
            <v>45.468715051806292</v>
          </cell>
          <cell r="BH2053">
            <v>42.408178994289898</v>
          </cell>
          <cell r="BI2053">
            <v>30.406703917126244</v>
          </cell>
          <cell r="BJ2053">
            <v>54.409654071453552</v>
          </cell>
          <cell r="BU2053">
            <v>26.941624028595463</v>
          </cell>
          <cell r="BV2053">
            <v>29.635401891862816</v>
          </cell>
          <cell r="BW2053">
            <v>23.901518972811779</v>
          </cell>
          <cell r="BX2053">
            <v>15.713059154269443</v>
          </cell>
          <cell r="BY2053">
            <v>32.089978791354113</v>
          </cell>
        </row>
        <row r="2054">
          <cell r="A2054">
            <v>42402</v>
          </cell>
          <cell r="BF2054">
            <v>41.113937028287083</v>
          </cell>
          <cell r="BG2054">
            <v>45.468715051806292</v>
          </cell>
          <cell r="BH2054">
            <v>42.408178994289898</v>
          </cell>
          <cell r="BI2054">
            <v>30.406703917126244</v>
          </cell>
          <cell r="BJ2054">
            <v>54.409654071453552</v>
          </cell>
          <cell r="BU2054">
            <v>26.206743730417475</v>
          </cell>
          <cell r="BV2054">
            <v>29.635401891862816</v>
          </cell>
          <cell r="BW2054">
            <v>23.901518972811779</v>
          </cell>
          <cell r="BX2054">
            <v>15.713059154269443</v>
          </cell>
          <cell r="BY2054">
            <v>32.089978791354113</v>
          </cell>
        </row>
        <row r="2055">
          <cell r="A2055">
            <v>42403</v>
          </cell>
          <cell r="BF2055">
            <v>39.99880729734641</v>
          </cell>
          <cell r="BG2055">
            <v>45.468715051806292</v>
          </cell>
          <cell r="BH2055">
            <v>42.408178994289898</v>
          </cell>
          <cell r="BI2055">
            <v>30.406703917126244</v>
          </cell>
          <cell r="BJ2055">
            <v>54.409654071453552</v>
          </cell>
          <cell r="BU2055">
            <v>25.930373406702937</v>
          </cell>
          <cell r="BV2055">
            <v>29.635401891862816</v>
          </cell>
          <cell r="BW2055">
            <v>23.901518972811779</v>
          </cell>
          <cell r="BX2055">
            <v>15.713059154269443</v>
          </cell>
          <cell r="BY2055">
            <v>32.089978791354113</v>
          </cell>
        </row>
        <row r="2056">
          <cell r="A2056">
            <v>42404</v>
          </cell>
          <cell r="BF2056">
            <v>38.430064863130511</v>
          </cell>
          <cell r="BG2056">
            <v>45.468715051806292</v>
          </cell>
          <cell r="BH2056">
            <v>42.408178994289898</v>
          </cell>
          <cell r="BI2056">
            <v>30.406703917126244</v>
          </cell>
          <cell r="BJ2056">
            <v>54.409654071453552</v>
          </cell>
          <cell r="BU2056">
            <v>24.862544715828307</v>
          </cell>
          <cell r="BV2056">
            <v>29.635401891862816</v>
          </cell>
          <cell r="BW2056">
            <v>23.901518972811779</v>
          </cell>
          <cell r="BX2056">
            <v>15.713059154269443</v>
          </cell>
          <cell r="BY2056">
            <v>32.089978791354113</v>
          </cell>
        </row>
        <row r="2057">
          <cell r="A2057">
            <v>42405</v>
          </cell>
          <cell r="BF2057">
            <v>36.472903802336326</v>
          </cell>
          <cell r="BG2057">
            <v>45.468715051806292</v>
          </cell>
          <cell r="BH2057">
            <v>42.408178994289898</v>
          </cell>
          <cell r="BI2057">
            <v>30.406703917126244</v>
          </cell>
          <cell r="BJ2057">
            <v>54.409654071453552</v>
          </cell>
          <cell r="BU2057">
            <v>24.872986855126431</v>
          </cell>
          <cell r="BV2057">
            <v>29.635401891862816</v>
          </cell>
          <cell r="BW2057">
            <v>23.901518972811779</v>
          </cell>
          <cell r="BX2057">
            <v>15.713059154269443</v>
          </cell>
          <cell r="BY2057">
            <v>32.089978791354113</v>
          </cell>
        </row>
        <row r="2058">
          <cell r="A2058">
            <v>42408</v>
          </cell>
          <cell r="BF2058">
            <v>36.286064028453126</v>
          </cell>
          <cell r="BG2058">
            <v>45.468715051806292</v>
          </cell>
          <cell r="BH2058">
            <v>42.408178994289898</v>
          </cell>
          <cell r="BI2058">
            <v>30.406703917126244</v>
          </cell>
          <cell r="BJ2058">
            <v>54.409654071453552</v>
          </cell>
          <cell r="BU2058">
            <v>23.465805170658445</v>
          </cell>
          <cell r="BV2058">
            <v>29.635401891862816</v>
          </cell>
          <cell r="BW2058">
            <v>23.901518972811779</v>
          </cell>
          <cell r="BX2058">
            <v>15.713059154269443</v>
          </cell>
          <cell r="BY2058">
            <v>32.089978791354113</v>
          </cell>
        </row>
        <row r="2059">
          <cell r="A2059">
            <v>42409</v>
          </cell>
          <cell r="BF2059">
            <v>37.458714586227984</v>
          </cell>
          <cell r="BG2059">
            <v>45.468715051806292</v>
          </cell>
          <cell r="BH2059">
            <v>42.408178994289898</v>
          </cell>
          <cell r="BI2059">
            <v>30.406703917126244</v>
          </cell>
          <cell r="BJ2059">
            <v>54.409654071453552</v>
          </cell>
          <cell r="BU2059">
            <v>24.189599849045234</v>
          </cell>
          <cell r="BV2059">
            <v>29.635401891862816</v>
          </cell>
          <cell r="BW2059">
            <v>23.901518972811779</v>
          </cell>
          <cell r="BX2059">
            <v>15.713059154269443</v>
          </cell>
          <cell r="BY2059">
            <v>32.089978791354113</v>
          </cell>
        </row>
        <row r="2060">
          <cell r="A2060">
            <v>42410</v>
          </cell>
          <cell r="BF2060">
            <v>37.246564919665715</v>
          </cell>
          <cell r="BG2060">
            <v>45.468715051806292</v>
          </cell>
          <cell r="BH2060">
            <v>42.408178994289898</v>
          </cell>
          <cell r="BI2060">
            <v>30.406703917126244</v>
          </cell>
          <cell r="BJ2060">
            <v>54.409654071453552</v>
          </cell>
          <cell r="BU2060">
            <v>24.050812556326928</v>
          </cell>
          <cell r="BV2060">
            <v>29.635401891862816</v>
          </cell>
          <cell r="BW2060">
            <v>23.901518972811779</v>
          </cell>
          <cell r="BX2060">
            <v>15.713059154269443</v>
          </cell>
          <cell r="BY2060">
            <v>32.089978791354113</v>
          </cell>
        </row>
        <row r="2061">
          <cell r="A2061">
            <v>42411</v>
          </cell>
          <cell r="BF2061">
            <v>37.182117889275887</v>
          </cell>
          <cell r="BG2061">
            <v>45.468715051806292</v>
          </cell>
          <cell r="BH2061">
            <v>42.408178994289898</v>
          </cell>
          <cell r="BI2061">
            <v>30.406703917126244</v>
          </cell>
          <cell r="BJ2061">
            <v>54.409654071453552</v>
          </cell>
          <cell r="BU2061">
            <v>24.008651618643274</v>
          </cell>
          <cell r="BV2061">
            <v>29.635401891862816</v>
          </cell>
          <cell r="BW2061">
            <v>23.901518972811779</v>
          </cell>
          <cell r="BX2061">
            <v>15.713059154269443</v>
          </cell>
          <cell r="BY2061">
            <v>32.089978791354113</v>
          </cell>
        </row>
        <row r="2062">
          <cell r="A2062">
            <v>42412</v>
          </cell>
          <cell r="BF2062">
            <v>38.326100344631151</v>
          </cell>
          <cell r="BG2062">
            <v>45.468715051806292</v>
          </cell>
          <cell r="BH2062">
            <v>42.408178994289898</v>
          </cell>
          <cell r="BI2062">
            <v>30.406703917126244</v>
          </cell>
          <cell r="BJ2062">
            <v>54.409654071453552</v>
          </cell>
          <cell r="BU2062">
            <v>24.008651618643274</v>
          </cell>
          <cell r="BV2062">
            <v>29.635401891862816</v>
          </cell>
          <cell r="BW2062">
            <v>23.901518972811779</v>
          </cell>
          <cell r="BX2062">
            <v>15.713059154269443</v>
          </cell>
          <cell r="BY2062">
            <v>32.089978791354113</v>
          </cell>
        </row>
        <row r="2063">
          <cell r="A2063">
            <v>42415</v>
          </cell>
          <cell r="BF2063">
            <v>38.323956275108529</v>
          </cell>
          <cell r="BG2063">
            <v>45.468715051806292</v>
          </cell>
          <cell r="BH2063">
            <v>42.408178994289898</v>
          </cell>
          <cell r="BI2063">
            <v>30.406703917126244</v>
          </cell>
          <cell r="BJ2063">
            <v>54.409654071453552</v>
          </cell>
          <cell r="BU2063">
            <v>24.757039445354298</v>
          </cell>
          <cell r="BV2063">
            <v>29.635401891862816</v>
          </cell>
          <cell r="BW2063">
            <v>23.901518972811779</v>
          </cell>
          <cell r="BX2063">
            <v>15.713059154269443</v>
          </cell>
          <cell r="BY2063">
            <v>32.089978791354113</v>
          </cell>
        </row>
        <row r="2064">
          <cell r="A2064">
            <v>42416</v>
          </cell>
          <cell r="BF2064">
            <v>40.033115267589849</v>
          </cell>
          <cell r="BG2064">
            <v>45.468715051806292</v>
          </cell>
          <cell r="BH2064">
            <v>42.408178994289898</v>
          </cell>
          <cell r="BI2064">
            <v>30.406703917126244</v>
          </cell>
          <cell r="BJ2064">
            <v>54.409654071453552</v>
          </cell>
          <cell r="BU2064">
            <v>25.993935899215963</v>
          </cell>
          <cell r="BV2064">
            <v>29.635401891862816</v>
          </cell>
          <cell r="BW2064">
            <v>23.901518972811779</v>
          </cell>
          <cell r="BX2064">
            <v>15.713059154269443</v>
          </cell>
          <cell r="BY2064">
            <v>32.089978791354113</v>
          </cell>
        </row>
        <row r="2065">
          <cell r="A2065">
            <v>42417</v>
          </cell>
          <cell r="BF2065">
            <v>41.783607481658414</v>
          </cell>
          <cell r="BG2065">
            <v>45.468715051806292</v>
          </cell>
          <cell r="BH2065">
            <v>42.408178994289898</v>
          </cell>
          <cell r="BI2065">
            <v>30.406703917126244</v>
          </cell>
          <cell r="BJ2065">
            <v>54.409654071453552</v>
          </cell>
          <cell r="BU2065">
            <v>27.144415280936688</v>
          </cell>
          <cell r="BV2065">
            <v>29.635401891862816</v>
          </cell>
          <cell r="BW2065">
            <v>23.901518972811779</v>
          </cell>
          <cell r="BX2065">
            <v>15.713059154269443</v>
          </cell>
          <cell r="BY2065">
            <v>32.089978791354113</v>
          </cell>
        </row>
        <row r="2066">
          <cell r="A2066">
            <v>42418</v>
          </cell>
          <cell r="BF2066">
            <v>40.315019688567148</v>
          </cell>
          <cell r="BG2066">
            <v>45.468715051806292</v>
          </cell>
          <cell r="BH2066">
            <v>42.408178994289898</v>
          </cell>
          <cell r="BI2066">
            <v>30.406703917126244</v>
          </cell>
          <cell r="BJ2066">
            <v>54.409654071453552</v>
          </cell>
          <cell r="BU2066">
            <v>26.179212486763017</v>
          </cell>
          <cell r="BV2066">
            <v>29.635401891862816</v>
          </cell>
          <cell r="BW2066">
            <v>23.901518972811779</v>
          </cell>
          <cell r="BX2066">
            <v>15.713059154269443</v>
          </cell>
          <cell r="BY2066">
            <v>32.089978791354113</v>
          </cell>
        </row>
        <row r="2067">
          <cell r="A2067">
            <v>42419</v>
          </cell>
          <cell r="BF2067">
            <v>40.623769464833515</v>
          </cell>
          <cell r="BG2067">
            <v>45.468715051806292</v>
          </cell>
          <cell r="BH2067">
            <v>42.408178994289898</v>
          </cell>
          <cell r="BI2067">
            <v>30.406703917126244</v>
          </cell>
          <cell r="BJ2067">
            <v>54.409654071453552</v>
          </cell>
          <cell r="BU2067">
            <v>26.38213269906133</v>
          </cell>
          <cell r="BV2067">
            <v>29.635401891862816</v>
          </cell>
          <cell r="BW2067">
            <v>23.901518972811779</v>
          </cell>
          <cell r="BX2067">
            <v>15.713059154269443</v>
          </cell>
          <cell r="BY2067">
            <v>32.089978791354113</v>
          </cell>
        </row>
        <row r="2068">
          <cell r="A2068">
            <v>42422</v>
          </cell>
          <cell r="BF2068">
            <v>41.058707714341352</v>
          </cell>
          <cell r="BG2068">
            <v>45.468715051806292</v>
          </cell>
          <cell r="BH2068">
            <v>42.408178994289898</v>
          </cell>
          <cell r="BI2068">
            <v>30.406703917126244</v>
          </cell>
          <cell r="BJ2068">
            <v>54.409654071453552</v>
          </cell>
          <cell r="BU2068">
            <v>26.73498560592591</v>
          </cell>
          <cell r="BV2068">
            <v>29.635401891862816</v>
          </cell>
          <cell r="BW2068">
            <v>23.901518972811779</v>
          </cell>
          <cell r="BX2068">
            <v>15.713059154269443</v>
          </cell>
          <cell r="BY2068">
            <v>32.089978791354113</v>
          </cell>
        </row>
        <row r="2069">
          <cell r="A2069">
            <v>42423</v>
          </cell>
          <cell r="BF2069">
            <v>40.255954000362387</v>
          </cell>
          <cell r="BG2069">
            <v>45.468715051806292</v>
          </cell>
          <cell r="BH2069">
            <v>42.408178994289898</v>
          </cell>
          <cell r="BI2069">
            <v>30.406703917126244</v>
          </cell>
          <cell r="BJ2069">
            <v>54.409654071453552</v>
          </cell>
          <cell r="BU2069">
            <v>26.206064760461441</v>
          </cell>
          <cell r="BV2069">
            <v>29.635401891862816</v>
          </cell>
          <cell r="BW2069">
            <v>23.901518972811779</v>
          </cell>
          <cell r="BX2069">
            <v>15.713059154269443</v>
          </cell>
          <cell r="BY2069">
            <v>32.089978791354113</v>
          </cell>
        </row>
        <row r="2070">
          <cell r="A2070">
            <v>42424</v>
          </cell>
          <cell r="BF2070">
            <v>40.116341507074374</v>
          </cell>
          <cell r="BG2070">
            <v>45.468715051806292</v>
          </cell>
          <cell r="BH2070">
            <v>42.408178994289898</v>
          </cell>
          <cell r="BI2070">
            <v>30.406703917126244</v>
          </cell>
          <cell r="BJ2070">
            <v>54.409654071453552</v>
          </cell>
          <cell r="BU2070">
            <v>26.114076449848366</v>
          </cell>
          <cell r="BV2070">
            <v>29.635401891862816</v>
          </cell>
          <cell r="BW2070">
            <v>23.901518972811779</v>
          </cell>
          <cell r="BX2070">
            <v>15.713059154269443</v>
          </cell>
          <cell r="BY2070">
            <v>32.089978791354113</v>
          </cell>
        </row>
        <row r="2071">
          <cell r="A2071">
            <v>42425</v>
          </cell>
          <cell r="BF2071">
            <v>40.91641310184805</v>
          </cell>
          <cell r="BG2071">
            <v>45.468715051806292</v>
          </cell>
          <cell r="BH2071">
            <v>42.408178994289898</v>
          </cell>
          <cell r="BI2071">
            <v>30.406703917126244</v>
          </cell>
          <cell r="BJ2071">
            <v>54.409654071453552</v>
          </cell>
          <cell r="BU2071">
            <v>26.641230092330158</v>
          </cell>
          <cell r="BV2071">
            <v>29.635401891862816</v>
          </cell>
          <cell r="BW2071">
            <v>23.901518972811779</v>
          </cell>
          <cell r="BX2071">
            <v>15.713059154269443</v>
          </cell>
          <cell r="BY2071">
            <v>32.089978791354113</v>
          </cell>
        </row>
        <row r="2072">
          <cell r="A2072">
            <v>42426</v>
          </cell>
          <cell r="BF2072">
            <v>41.697691068556566</v>
          </cell>
          <cell r="BG2072">
            <v>45.468715051806292</v>
          </cell>
          <cell r="BH2072">
            <v>42.408178994289898</v>
          </cell>
          <cell r="BI2072">
            <v>30.406703917126244</v>
          </cell>
          <cell r="BJ2072">
            <v>54.409654071453552</v>
          </cell>
          <cell r="BU2072">
            <v>26.641230092330158</v>
          </cell>
          <cell r="BV2072">
            <v>29.635401891862816</v>
          </cell>
          <cell r="BW2072">
            <v>23.901518972811779</v>
          </cell>
          <cell r="BX2072">
            <v>15.713059154269443</v>
          </cell>
          <cell r="BY2072">
            <v>32.089978791354113</v>
          </cell>
        </row>
        <row r="2073">
          <cell r="A2073">
            <v>42429</v>
          </cell>
          <cell r="BF2073">
            <v>40.337202054273313</v>
          </cell>
          <cell r="BG2073">
            <v>45.468715051806292</v>
          </cell>
          <cell r="BH2073">
            <v>42.408178994289898</v>
          </cell>
          <cell r="BI2073">
            <v>30.406703917126244</v>
          </cell>
          <cell r="BJ2073">
            <v>54.409654071453552</v>
          </cell>
          <cell r="BU2073">
            <v>26.259133919100549</v>
          </cell>
          <cell r="BV2073">
            <v>29.635401891862816</v>
          </cell>
          <cell r="BW2073">
            <v>23.901518972811779</v>
          </cell>
          <cell r="BX2073">
            <v>15.713059154269443</v>
          </cell>
          <cell r="BY2073">
            <v>32.089978791354113</v>
          </cell>
        </row>
        <row r="2074">
          <cell r="A2074">
            <v>42430</v>
          </cell>
          <cell r="BF2074">
            <v>42.160462705197233</v>
          </cell>
          <cell r="BG2074">
            <v>45.468715051806292</v>
          </cell>
          <cell r="BH2074">
            <v>42.408178994289898</v>
          </cell>
          <cell r="BI2074">
            <v>30.406703917126244</v>
          </cell>
          <cell r="BJ2074">
            <v>54.409654071453552</v>
          </cell>
          <cell r="BU2074">
            <v>27.481063778334534</v>
          </cell>
          <cell r="BV2074">
            <v>29.635401891862816</v>
          </cell>
          <cell r="BW2074">
            <v>23.901518972811779</v>
          </cell>
          <cell r="BX2074">
            <v>15.713059154269443</v>
          </cell>
          <cell r="BY2074">
            <v>32.089978791354113</v>
          </cell>
        </row>
        <row r="2075">
          <cell r="A2075">
            <v>42431</v>
          </cell>
          <cell r="BF2075">
            <v>41.549901180220708</v>
          </cell>
          <cell r="BG2075">
            <v>45.468715051806292</v>
          </cell>
          <cell r="BH2075">
            <v>42.408178994289898</v>
          </cell>
          <cell r="BI2075">
            <v>30.406703917126244</v>
          </cell>
          <cell r="BJ2075">
            <v>54.409654071453552</v>
          </cell>
          <cell r="BU2075">
            <v>27.190813251843345</v>
          </cell>
          <cell r="BV2075">
            <v>29.635401891862816</v>
          </cell>
          <cell r="BW2075">
            <v>23.901518972811779</v>
          </cell>
          <cell r="BX2075">
            <v>15.713059154269443</v>
          </cell>
          <cell r="BY2075">
            <v>32.089978791354113</v>
          </cell>
        </row>
        <row r="2076">
          <cell r="A2076">
            <v>42432</v>
          </cell>
          <cell r="BF2076">
            <v>41.615979267339377</v>
          </cell>
          <cell r="BG2076">
            <v>45.468715051806292</v>
          </cell>
          <cell r="BH2076">
            <v>42.408178994289898</v>
          </cell>
          <cell r="BI2076">
            <v>30.406703917126244</v>
          </cell>
          <cell r="BJ2076">
            <v>54.409654071453552</v>
          </cell>
          <cell r="BU2076">
            <v>27.167482514439588</v>
          </cell>
          <cell r="BV2076">
            <v>29.635401891862816</v>
          </cell>
          <cell r="BW2076">
            <v>23.901518972811779</v>
          </cell>
          <cell r="BX2076">
            <v>15.713059154269443</v>
          </cell>
          <cell r="BY2076">
            <v>32.089978791354113</v>
          </cell>
        </row>
        <row r="2077">
          <cell r="A2077">
            <v>42433</v>
          </cell>
          <cell r="BF2077">
            <v>41.263213530655378</v>
          </cell>
          <cell r="BG2077">
            <v>45.468715051806292</v>
          </cell>
          <cell r="BH2077">
            <v>42.408178994289898</v>
          </cell>
          <cell r="BI2077">
            <v>30.406703917126244</v>
          </cell>
          <cell r="BJ2077">
            <v>54.409654071453552</v>
          </cell>
          <cell r="BU2077">
            <v>27.153434453746609</v>
          </cell>
          <cell r="BV2077">
            <v>29.635401891862816</v>
          </cell>
          <cell r="BW2077">
            <v>23.901518972811779</v>
          </cell>
          <cell r="BX2077">
            <v>15.713059154269443</v>
          </cell>
          <cell r="BY2077">
            <v>32.089978791354113</v>
          </cell>
        </row>
        <row r="2078">
          <cell r="A2078">
            <v>42436</v>
          </cell>
          <cell r="BF2078">
            <v>42.711360053699721</v>
          </cell>
          <cell r="BG2078">
            <v>45.468715051806292</v>
          </cell>
          <cell r="BH2078">
            <v>42.408178994289898</v>
          </cell>
          <cell r="BI2078">
            <v>30.406703917126244</v>
          </cell>
          <cell r="BJ2078">
            <v>54.409654071453552</v>
          </cell>
          <cell r="BU2078">
            <v>27.840408092132975</v>
          </cell>
          <cell r="BV2078">
            <v>29.635401891862816</v>
          </cell>
          <cell r="BW2078">
            <v>23.901518972811779</v>
          </cell>
          <cell r="BX2078">
            <v>15.713059154269443</v>
          </cell>
          <cell r="BY2078">
            <v>32.089978791354113</v>
          </cell>
        </row>
        <row r="2079">
          <cell r="A2079">
            <v>42437</v>
          </cell>
          <cell r="BF2079">
            <v>39.754175800507667</v>
          </cell>
          <cell r="BG2079">
            <v>45.468715051806292</v>
          </cell>
          <cell r="BH2079">
            <v>42.408178994289898</v>
          </cell>
          <cell r="BI2079">
            <v>30.406703917126244</v>
          </cell>
          <cell r="BJ2079">
            <v>54.409654071453552</v>
          </cell>
          <cell r="BU2079">
            <v>25.888419921561177</v>
          </cell>
          <cell r="BV2079">
            <v>29.635401891862816</v>
          </cell>
          <cell r="BW2079">
            <v>23.901518972811779</v>
          </cell>
          <cell r="BX2079">
            <v>15.713059154269443</v>
          </cell>
          <cell r="BY2079">
            <v>32.089978791354113</v>
          </cell>
        </row>
        <row r="2080">
          <cell r="A2080">
            <v>42438</v>
          </cell>
          <cell r="BF2080">
            <v>40.430732641870911</v>
          </cell>
          <cell r="BG2080">
            <v>45.468715051806292</v>
          </cell>
          <cell r="BH2080">
            <v>42.408178994289898</v>
          </cell>
          <cell r="BI2080">
            <v>30.406703917126244</v>
          </cell>
          <cell r="BJ2080">
            <v>54.409654071453552</v>
          </cell>
          <cell r="BU2080">
            <v>26.336731771281425</v>
          </cell>
          <cell r="BV2080">
            <v>29.635401891862816</v>
          </cell>
          <cell r="BW2080">
            <v>23.901518972811779</v>
          </cell>
          <cell r="BX2080">
            <v>15.713059154269443</v>
          </cell>
          <cell r="BY2080">
            <v>32.089978791354113</v>
          </cell>
        </row>
        <row r="2081">
          <cell r="A2081">
            <v>42439</v>
          </cell>
          <cell r="BF2081">
            <v>40.9750941401863</v>
          </cell>
          <cell r="BG2081">
            <v>45.468715051806292</v>
          </cell>
          <cell r="BH2081">
            <v>42.408178994289898</v>
          </cell>
          <cell r="BI2081">
            <v>30.406703917126244</v>
          </cell>
          <cell r="BJ2081">
            <v>54.409654071453552</v>
          </cell>
          <cell r="BU2081">
            <v>26.336731771281425</v>
          </cell>
          <cell r="BV2081">
            <v>29.635401891862816</v>
          </cell>
          <cell r="BW2081">
            <v>23.901518972811779</v>
          </cell>
          <cell r="BX2081">
            <v>15.713059154269443</v>
          </cell>
          <cell r="BY2081">
            <v>32.089978791354113</v>
          </cell>
        </row>
        <row r="2082">
          <cell r="A2082">
            <v>42440</v>
          </cell>
          <cell r="BF2082">
            <v>41.907907775649072</v>
          </cell>
          <cell r="BG2082">
            <v>45.468715051806292</v>
          </cell>
          <cell r="BH2082">
            <v>42.408178994289898</v>
          </cell>
          <cell r="BI2082">
            <v>30.406703917126244</v>
          </cell>
          <cell r="BJ2082">
            <v>54.409654071453552</v>
          </cell>
          <cell r="BU2082">
            <v>26.696079012691424</v>
          </cell>
          <cell r="BV2082">
            <v>29.635401891862816</v>
          </cell>
          <cell r="BW2082">
            <v>23.901518972811779</v>
          </cell>
          <cell r="BX2082">
            <v>15.713059154269443</v>
          </cell>
          <cell r="BY2082">
            <v>32.089978791354113</v>
          </cell>
        </row>
        <row r="2083">
          <cell r="A2083">
            <v>42443</v>
          </cell>
          <cell r="BF2083">
            <v>40.895680613659771</v>
          </cell>
          <cell r="BG2083">
            <v>45.468715051806292</v>
          </cell>
          <cell r="BH2083">
            <v>42.408178994289898</v>
          </cell>
          <cell r="BI2083">
            <v>30.406703917126244</v>
          </cell>
          <cell r="BJ2083">
            <v>54.409654071453552</v>
          </cell>
          <cell r="BU2083">
            <v>26.645493038644592</v>
          </cell>
          <cell r="BV2083">
            <v>29.635401891862816</v>
          </cell>
          <cell r="BW2083">
            <v>23.901518972811779</v>
          </cell>
          <cell r="BX2083">
            <v>15.713059154269443</v>
          </cell>
          <cell r="BY2083">
            <v>32.089978791354113</v>
          </cell>
        </row>
        <row r="2084">
          <cell r="A2084">
            <v>42444</v>
          </cell>
          <cell r="BF2084">
            <v>39.632059741405961</v>
          </cell>
          <cell r="BG2084">
            <v>45.468715051806292</v>
          </cell>
          <cell r="BH2084">
            <v>42.408178994289898</v>
          </cell>
          <cell r="BI2084">
            <v>30.406703917126244</v>
          </cell>
          <cell r="BJ2084">
            <v>54.409654071453552</v>
          </cell>
          <cell r="BU2084">
            <v>25.812395172286724</v>
          </cell>
          <cell r="BV2084">
            <v>29.635401891862816</v>
          </cell>
          <cell r="BW2084">
            <v>23.901518972811779</v>
          </cell>
          <cell r="BX2084">
            <v>15.713059154269443</v>
          </cell>
          <cell r="BY2084">
            <v>32.089978791354113</v>
          </cell>
        </row>
        <row r="2085">
          <cell r="A2085">
            <v>42445</v>
          </cell>
          <cell r="BF2085">
            <v>39.425945548858309</v>
          </cell>
          <cell r="BG2085">
            <v>45.468715051806292</v>
          </cell>
          <cell r="BH2085">
            <v>42.408178994289898</v>
          </cell>
          <cell r="BI2085">
            <v>30.406703917126244</v>
          </cell>
          <cell r="BJ2085">
            <v>54.409654071453552</v>
          </cell>
          <cell r="BU2085">
            <v>25.67631861436001</v>
          </cell>
          <cell r="BV2085">
            <v>29.635401891862816</v>
          </cell>
          <cell r="BW2085">
            <v>23.901518972811779</v>
          </cell>
          <cell r="BX2085">
            <v>15.713059154269443</v>
          </cell>
          <cell r="BY2085">
            <v>32.089978791354113</v>
          </cell>
        </row>
        <row r="2086">
          <cell r="A2086">
            <v>42446</v>
          </cell>
          <cell r="BF2086">
            <v>38.902735241034691</v>
          </cell>
          <cell r="BG2086">
            <v>45.468715051806292</v>
          </cell>
          <cell r="BH2086">
            <v>42.408178994289898</v>
          </cell>
          <cell r="BI2086">
            <v>30.406703917126244</v>
          </cell>
          <cell r="BJ2086">
            <v>54.409654071453552</v>
          </cell>
          <cell r="BU2086">
            <v>25.330895250348071</v>
          </cell>
          <cell r="BV2086">
            <v>29.635401891862816</v>
          </cell>
          <cell r="BW2086">
            <v>23.901518972811779</v>
          </cell>
          <cell r="BX2086">
            <v>15.713059154269443</v>
          </cell>
          <cell r="BY2086">
            <v>32.089978791354113</v>
          </cell>
        </row>
        <row r="2087">
          <cell r="A2087">
            <v>42447</v>
          </cell>
          <cell r="BF2087">
            <v>39.664711240182172</v>
          </cell>
          <cell r="BG2087">
            <v>45.468715051806292</v>
          </cell>
          <cell r="BH2087">
            <v>42.408178994289898</v>
          </cell>
          <cell r="BI2087">
            <v>30.406703917126244</v>
          </cell>
          <cell r="BJ2087">
            <v>54.409654071453552</v>
          </cell>
          <cell r="BU2087">
            <v>25.388505030408329</v>
          </cell>
          <cell r="BV2087">
            <v>29.635401891862816</v>
          </cell>
          <cell r="BW2087">
            <v>23.901518972811779</v>
          </cell>
          <cell r="BX2087">
            <v>15.713059154269443</v>
          </cell>
          <cell r="BY2087">
            <v>32.089978791354113</v>
          </cell>
        </row>
        <row r="2088">
          <cell r="A2088">
            <v>42450</v>
          </cell>
          <cell r="BF2088">
            <v>40.955958420979336</v>
          </cell>
          <cell r="BG2088">
            <v>45.468715051806292</v>
          </cell>
          <cell r="BH2088">
            <v>42.408178994289898</v>
          </cell>
          <cell r="BI2088">
            <v>30.406703917126244</v>
          </cell>
          <cell r="BJ2088">
            <v>54.409654071453552</v>
          </cell>
          <cell r="BU2088">
            <v>26.771599312123403</v>
          </cell>
          <cell r="BV2088">
            <v>29.635401891862816</v>
          </cell>
          <cell r="BW2088">
            <v>23.901518972811779</v>
          </cell>
          <cell r="BX2088">
            <v>15.713059154269443</v>
          </cell>
          <cell r="BY2088">
            <v>32.089978791354113</v>
          </cell>
        </row>
        <row r="2089">
          <cell r="A2089">
            <v>42451</v>
          </cell>
          <cell r="BF2089">
            <v>41.280691390814148</v>
          </cell>
          <cell r="BG2089">
            <v>45.468715051806292</v>
          </cell>
          <cell r="BH2089">
            <v>42.408178994289898</v>
          </cell>
          <cell r="BI2089">
            <v>30.406703917126244</v>
          </cell>
          <cell r="BJ2089">
            <v>54.409654071453552</v>
          </cell>
          <cell r="BU2089">
            <v>27.027208326848889</v>
          </cell>
          <cell r="BV2089">
            <v>29.635401891862816</v>
          </cell>
          <cell r="BW2089">
            <v>23.901518972811779</v>
          </cell>
          <cell r="BX2089">
            <v>15.713059154269443</v>
          </cell>
          <cell r="BY2089">
            <v>32.089978791354113</v>
          </cell>
        </row>
        <row r="2090">
          <cell r="A2090">
            <v>42452</v>
          </cell>
          <cell r="BF2090">
            <v>40.27458745874587</v>
          </cell>
          <cell r="BG2090">
            <v>45.468715051806292</v>
          </cell>
          <cell r="BH2090">
            <v>42.408178994289898</v>
          </cell>
          <cell r="BI2090">
            <v>30.406703917126244</v>
          </cell>
          <cell r="BJ2090">
            <v>54.409654071453552</v>
          </cell>
          <cell r="BU2090">
            <v>26.359319582181762</v>
          </cell>
          <cell r="BV2090">
            <v>29.635401891862816</v>
          </cell>
          <cell r="BW2090">
            <v>23.901518972811779</v>
          </cell>
          <cell r="BX2090">
            <v>15.713059154269443</v>
          </cell>
          <cell r="BY2090">
            <v>32.089978791354113</v>
          </cell>
        </row>
        <row r="2091">
          <cell r="A2091">
            <v>42453</v>
          </cell>
          <cell r="BF2091">
            <v>41.013861386138615</v>
          </cell>
          <cell r="BG2091">
            <v>45.468715051806292</v>
          </cell>
          <cell r="BH2091">
            <v>42.408178994289898</v>
          </cell>
          <cell r="BI2091">
            <v>30.406703917126244</v>
          </cell>
          <cell r="BJ2091">
            <v>54.409654071453552</v>
          </cell>
          <cell r="BU2091">
            <v>26.359319582181762</v>
          </cell>
          <cell r="BV2091">
            <v>29.635401891862816</v>
          </cell>
          <cell r="BW2091">
            <v>23.901518972811779</v>
          </cell>
          <cell r="BX2091">
            <v>15.713059154269443</v>
          </cell>
          <cell r="BY2091">
            <v>32.089978791354113</v>
          </cell>
        </row>
        <row r="2092">
          <cell r="A2092">
            <v>42454</v>
          </cell>
          <cell r="BF2092">
            <v>41.013861386138615</v>
          </cell>
          <cell r="BG2092">
            <v>45.468715051806292</v>
          </cell>
          <cell r="BH2092">
            <v>42.408178994289898</v>
          </cell>
          <cell r="BI2092">
            <v>30.406703917126244</v>
          </cell>
          <cell r="BJ2092">
            <v>54.409654071453552</v>
          </cell>
          <cell r="BU2092">
            <v>26.359319582181762</v>
          </cell>
          <cell r="BV2092">
            <v>29.635401891862816</v>
          </cell>
          <cell r="BW2092">
            <v>23.901518972811779</v>
          </cell>
          <cell r="BX2092">
            <v>15.713059154269443</v>
          </cell>
          <cell r="BY2092">
            <v>32.089978791354113</v>
          </cell>
        </row>
        <row r="2093">
          <cell r="A2093">
            <v>42457</v>
          </cell>
          <cell r="BF2093">
            <v>40.165146249781358</v>
          </cell>
          <cell r="BG2093">
            <v>45.468715051806292</v>
          </cell>
          <cell r="BH2093">
            <v>42.408178994289898</v>
          </cell>
          <cell r="BI2093">
            <v>30.406703917126244</v>
          </cell>
          <cell r="BJ2093">
            <v>54.409654071453552</v>
          </cell>
          <cell r="BU2093">
            <v>26.287631085981985</v>
          </cell>
          <cell r="BV2093">
            <v>29.635401891862816</v>
          </cell>
          <cell r="BW2093">
            <v>23.901518972811779</v>
          </cell>
          <cell r="BX2093">
            <v>15.713059154269443</v>
          </cell>
          <cell r="BY2093">
            <v>32.089978791354113</v>
          </cell>
        </row>
        <row r="2094">
          <cell r="A2094">
            <v>42458</v>
          </cell>
          <cell r="BF2094">
            <v>41.485239052305381</v>
          </cell>
          <cell r="BG2094">
            <v>45.468715051806292</v>
          </cell>
          <cell r="BH2094">
            <v>42.408178994289898</v>
          </cell>
          <cell r="BI2094">
            <v>30.406703917126244</v>
          </cell>
          <cell r="BJ2094">
            <v>54.409654071453552</v>
          </cell>
          <cell r="BU2094">
            <v>27.161902363327485</v>
          </cell>
          <cell r="BV2094">
            <v>29.635401891862816</v>
          </cell>
          <cell r="BW2094">
            <v>23.901518972811779</v>
          </cell>
          <cell r="BX2094">
            <v>15.713059154269443</v>
          </cell>
          <cell r="BY2094">
            <v>32.089978791354113</v>
          </cell>
        </row>
        <row r="2095">
          <cell r="A2095">
            <v>42459</v>
          </cell>
          <cell r="BF2095">
            <v>41.564441980271219</v>
          </cell>
          <cell r="BG2095">
            <v>45.468715051806292</v>
          </cell>
          <cell r="BH2095">
            <v>42.408178994289898</v>
          </cell>
          <cell r="BI2095">
            <v>30.406703917126244</v>
          </cell>
          <cell r="BJ2095">
            <v>54.409654071453552</v>
          </cell>
          <cell r="BU2095">
            <v>27.214356891425663</v>
          </cell>
          <cell r="BV2095">
            <v>29.635401891862816</v>
          </cell>
          <cell r="BW2095">
            <v>23.901518972811779</v>
          </cell>
          <cell r="BX2095">
            <v>15.713059154269443</v>
          </cell>
          <cell r="BY2095">
            <v>32.089978791354113</v>
          </cell>
        </row>
        <row r="2096">
          <cell r="A2096">
            <v>42460</v>
          </cell>
          <cell r="BF2096">
            <v>42.79849778892482</v>
          </cell>
          <cell r="BG2096">
            <v>45.468715051806292</v>
          </cell>
          <cell r="BH2096">
            <v>42.408178994289898</v>
          </cell>
          <cell r="BI2096">
            <v>30.406703917126244</v>
          </cell>
          <cell r="BJ2096">
            <v>54.409654071453552</v>
          </cell>
          <cell r="BU2096">
            <v>28.032676555563601</v>
          </cell>
          <cell r="BV2096">
            <v>29.635401891862816</v>
          </cell>
          <cell r="BW2096">
            <v>23.901518972811779</v>
          </cell>
          <cell r="BX2096">
            <v>15.713059154269443</v>
          </cell>
          <cell r="BY2096">
            <v>32.089978791354113</v>
          </cell>
        </row>
        <row r="2097">
          <cell r="A2097">
            <v>42461</v>
          </cell>
          <cell r="BF2097">
            <v>43.374060306736858</v>
          </cell>
          <cell r="BG2097">
            <v>45.468715051806292</v>
          </cell>
          <cell r="BH2097">
            <v>42.408178994289898</v>
          </cell>
          <cell r="BI2097">
            <v>30.406703917126244</v>
          </cell>
          <cell r="BJ2097">
            <v>54.409654071453552</v>
          </cell>
          <cell r="BU2097">
            <v>28.433851906504156</v>
          </cell>
          <cell r="BV2097">
            <v>29.635401891862816</v>
          </cell>
          <cell r="BW2097">
            <v>23.901518972811779</v>
          </cell>
          <cell r="BX2097">
            <v>15.713059154269443</v>
          </cell>
          <cell r="BY2097">
            <v>32.089978791354113</v>
          </cell>
        </row>
        <row r="2098">
          <cell r="A2098">
            <v>42464</v>
          </cell>
          <cell r="BF2098">
            <v>43.562114997743073</v>
          </cell>
          <cell r="BG2098">
            <v>45.468715051806292</v>
          </cell>
          <cell r="BH2098">
            <v>42.408178994289898</v>
          </cell>
          <cell r="BI2098">
            <v>30.406703917126244</v>
          </cell>
          <cell r="BJ2098">
            <v>54.409654071453552</v>
          </cell>
          <cell r="BU2098">
            <v>28.56131916015898</v>
          </cell>
          <cell r="BV2098">
            <v>29.635401891862816</v>
          </cell>
          <cell r="BW2098">
            <v>23.901518972811779</v>
          </cell>
          <cell r="BX2098">
            <v>15.713059154269443</v>
          </cell>
          <cell r="BY2098">
            <v>32.089978791354113</v>
          </cell>
        </row>
        <row r="2099">
          <cell r="A2099">
            <v>42465</v>
          </cell>
          <cell r="BF2099">
            <v>42.560916118113198</v>
          </cell>
          <cell r="BG2099">
            <v>45.468715051806292</v>
          </cell>
          <cell r="BH2099">
            <v>42.408178994289898</v>
          </cell>
          <cell r="BI2099">
            <v>30.406703917126244</v>
          </cell>
          <cell r="BJ2099">
            <v>54.409654071453552</v>
          </cell>
          <cell r="BU2099">
            <v>27.894698151622904</v>
          </cell>
          <cell r="BV2099">
            <v>29.635401891862816</v>
          </cell>
          <cell r="BW2099">
            <v>23.901518972811779</v>
          </cell>
          <cell r="BX2099">
            <v>15.713059154269443</v>
          </cell>
          <cell r="BY2099">
            <v>32.089978791354113</v>
          </cell>
        </row>
        <row r="2100">
          <cell r="A2100">
            <v>42466</v>
          </cell>
          <cell r="BF2100">
            <v>45.283413936561992</v>
          </cell>
          <cell r="BG2100">
            <v>45.468715051806292</v>
          </cell>
          <cell r="BH2100">
            <v>42.408178994289898</v>
          </cell>
          <cell r="BI2100">
            <v>30.406703917126244</v>
          </cell>
          <cell r="BJ2100">
            <v>54.409654071453552</v>
          </cell>
          <cell r="BU2100">
            <v>29.691299138504437</v>
          </cell>
          <cell r="BV2100">
            <v>29.635401891862816</v>
          </cell>
          <cell r="BW2100">
            <v>23.901518972811779</v>
          </cell>
          <cell r="BX2100">
            <v>15.713059154269443</v>
          </cell>
          <cell r="BY2100">
            <v>32.089978791354113</v>
          </cell>
        </row>
        <row r="2101">
          <cell r="A2101">
            <v>42467</v>
          </cell>
          <cell r="BF2101">
            <v>43.736352054086538</v>
          </cell>
          <cell r="BG2101">
            <v>45.468715051806292</v>
          </cell>
          <cell r="BH2101">
            <v>42.408178994289898</v>
          </cell>
          <cell r="BI2101">
            <v>30.406703917126244</v>
          </cell>
          <cell r="BJ2101">
            <v>54.409654071453552</v>
          </cell>
          <cell r="BU2101">
            <v>28.666393517901476</v>
          </cell>
          <cell r="BV2101">
            <v>29.635401891862816</v>
          </cell>
          <cell r="BW2101">
            <v>23.901518972811779</v>
          </cell>
          <cell r="BX2101">
            <v>15.713059154269443</v>
          </cell>
          <cell r="BY2101">
            <v>32.089978791354113</v>
          </cell>
        </row>
        <row r="2102">
          <cell r="A2102">
            <v>42468</v>
          </cell>
          <cell r="BF2102">
            <v>43.808690440467828</v>
          </cell>
          <cell r="BG2102">
            <v>45.468715051806292</v>
          </cell>
          <cell r="BH2102">
            <v>42.408178994289898</v>
          </cell>
          <cell r="BI2102">
            <v>30.406703917126244</v>
          </cell>
          <cell r="BJ2102">
            <v>54.409654071453552</v>
          </cell>
          <cell r="BU2102">
            <v>28.711958281746</v>
          </cell>
          <cell r="BV2102">
            <v>29.635401891862816</v>
          </cell>
          <cell r="BW2102">
            <v>23.901518972811779</v>
          </cell>
          <cell r="BX2102">
            <v>15.713059154269443</v>
          </cell>
          <cell r="BY2102">
            <v>32.089978791354113</v>
          </cell>
        </row>
        <row r="2103">
          <cell r="A2103">
            <v>42471</v>
          </cell>
          <cell r="BF2103">
            <v>44.183808805559252</v>
          </cell>
          <cell r="BG2103">
            <v>45.468715051806292</v>
          </cell>
          <cell r="BH2103">
            <v>42.408178994289898</v>
          </cell>
          <cell r="BI2103">
            <v>30.406703917126244</v>
          </cell>
          <cell r="BJ2103">
            <v>54.409654071453552</v>
          </cell>
          <cell r="BU2103">
            <v>28.988222402385237</v>
          </cell>
          <cell r="BV2103">
            <v>29.635401891862816</v>
          </cell>
          <cell r="BW2103">
            <v>23.901518972811779</v>
          </cell>
          <cell r="BX2103">
            <v>15.713059154269443</v>
          </cell>
          <cell r="BY2103">
            <v>32.089978791354113</v>
          </cell>
        </row>
        <row r="2104">
          <cell r="A2104">
            <v>42472</v>
          </cell>
          <cell r="BF2104">
            <v>44.584300314674316</v>
          </cell>
          <cell r="BG2104">
            <v>45.468715051806292</v>
          </cell>
          <cell r="BH2104">
            <v>42.408178994289898</v>
          </cell>
          <cell r="BI2104">
            <v>30.406703917126244</v>
          </cell>
          <cell r="BJ2104">
            <v>54.409654071453552</v>
          </cell>
          <cell r="BU2104">
            <v>29.253773772021404</v>
          </cell>
          <cell r="BV2104">
            <v>29.635401891862816</v>
          </cell>
          <cell r="BW2104">
            <v>23.901518972811779</v>
          </cell>
          <cell r="BX2104">
            <v>15.713059154269443</v>
          </cell>
          <cell r="BY2104">
            <v>32.089978791354113</v>
          </cell>
        </row>
        <row r="2105">
          <cell r="A2105">
            <v>42473</v>
          </cell>
          <cell r="BF2105">
            <v>45.252646087435934</v>
          </cell>
          <cell r="BG2105">
            <v>45.468715051806292</v>
          </cell>
          <cell r="BH2105">
            <v>42.408178994289898</v>
          </cell>
          <cell r="BI2105">
            <v>30.406703917126244</v>
          </cell>
          <cell r="BJ2105">
            <v>54.409654071453552</v>
          </cell>
          <cell r="BU2105">
            <v>29.696929572601437</v>
          </cell>
          <cell r="BV2105">
            <v>29.635401891862816</v>
          </cell>
          <cell r="BW2105">
            <v>23.901518972811779</v>
          </cell>
          <cell r="BX2105">
            <v>15.713059154269443</v>
          </cell>
          <cell r="BY2105">
            <v>32.089978791354113</v>
          </cell>
        </row>
        <row r="2106">
          <cell r="A2106">
            <v>42474</v>
          </cell>
          <cell r="BF2106">
            <v>44.896366993477038</v>
          </cell>
          <cell r="BG2106">
            <v>45.468715051806292</v>
          </cell>
          <cell r="BH2106">
            <v>42.408178994289898</v>
          </cell>
          <cell r="BI2106">
            <v>30.406703917126244</v>
          </cell>
          <cell r="BJ2106">
            <v>54.409654071453552</v>
          </cell>
          <cell r="BU2106">
            <v>29.460521150363451</v>
          </cell>
          <cell r="BV2106">
            <v>29.635401891862816</v>
          </cell>
          <cell r="BW2106">
            <v>23.901518972811779</v>
          </cell>
          <cell r="BX2106">
            <v>15.713059154269443</v>
          </cell>
          <cell r="BY2106">
            <v>32.089978791354113</v>
          </cell>
        </row>
        <row r="2107">
          <cell r="A2107">
            <v>42475</v>
          </cell>
          <cell r="BF2107">
            <v>45.15642472629375</v>
          </cell>
          <cell r="BG2107">
            <v>45.468715051806292</v>
          </cell>
          <cell r="BH2107">
            <v>42.408178994289898</v>
          </cell>
          <cell r="BI2107">
            <v>30.406703917126244</v>
          </cell>
          <cell r="BJ2107">
            <v>54.409654071453552</v>
          </cell>
          <cell r="BU2107">
            <v>29.632954974151502</v>
          </cell>
          <cell r="BV2107">
            <v>29.635401891862816</v>
          </cell>
          <cell r="BW2107">
            <v>23.901518972811779</v>
          </cell>
          <cell r="BX2107">
            <v>15.713059154269443</v>
          </cell>
          <cell r="BY2107">
            <v>32.089978791354113</v>
          </cell>
        </row>
        <row r="2108">
          <cell r="A2108">
            <v>42478</v>
          </cell>
          <cell r="BF2108">
            <v>46.324086547218116</v>
          </cell>
          <cell r="BG2108">
            <v>45.468715051806292</v>
          </cell>
          <cell r="BH2108">
            <v>42.408178994289898</v>
          </cell>
          <cell r="BI2108">
            <v>30.406703917126244</v>
          </cell>
          <cell r="BJ2108">
            <v>54.409654071453552</v>
          </cell>
          <cell r="BU2108">
            <v>30.428208493130327</v>
          </cell>
          <cell r="BV2108">
            <v>29.635401891862816</v>
          </cell>
          <cell r="BW2108">
            <v>23.901518972811779</v>
          </cell>
          <cell r="BX2108">
            <v>15.713059154269443</v>
          </cell>
          <cell r="BY2108">
            <v>32.089978791354113</v>
          </cell>
        </row>
        <row r="2109">
          <cell r="A2109">
            <v>42479</v>
          </cell>
          <cell r="BF2109">
            <v>36.70932286573359</v>
          </cell>
          <cell r="BG2109">
            <v>45.468715051806292</v>
          </cell>
          <cell r="BH2109">
            <v>42.408178994289898</v>
          </cell>
          <cell r="BI2109">
            <v>30.406703917126244</v>
          </cell>
          <cell r="BJ2109">
            <v>54.409654071453552</v>
          </cell>
          <cell r="BU2109">
            <v>24.004417076339241</v>
          </cell>
          <cell r="BV2109">
            <v>29.635401891862816</v>
          </cell>
          <cell r="BW2109">
            <v>23.901518972811779</v>
          </cell>
          <cell r="BX2109">
            <v>15.713059154269443</v>
          </cell>
          <cell r="BY2109">
            <v>32.089978791354113</v>
          </cell>
        </row>
        <row r="2110">
          <cell r="A2110">
            <v>42480</v>
          </cell>
          <cell r="BF2110">
            <v>37.545087483180062</v>
          </cell>
          <cell r="BG2110">
            <v>45.468715051806292</v>
          </cell>
          <cell r="BH2110">
            <v>42.408178994289898</v>
          </cell>
          <cell r="BI2110">
            <v>30.406703917126244</v>
          </cell>
          <cell r="BJ2110">
            <v>54.409654071453552</v>
          </cell>
          <cell r="BU2110">
            <v>24.606300200485727</v>
          </cell>
          <cell r="BV2110">
            <v>29.635401891862816</v>
          </cell>
          <cell r="BW2110">
            <v>23.901518972811779</v>
          </cell>
          <cell r="BX2110">
            <v>15.713059154269443</v>
          </cell>
          <cell r="BY2110">
            <v>32.089978791354113</v>
          </cell>
        </row>
        <row r="2111">
          <cell r="A2111">
            <v>42481</v>
          </cell>
          <cell r="BF2111">
            <v>39.01749663526634</v>
          </cell>
          <cell r="BG2111">
            <v>45.468715051806292</v>
          </cell>
          <cell r="BH2111">
            <v>42.408178994289898</v>
          </cell>
          <cell r="BI2111">
            <v>30.406703917126244</v>
          </cell>
          <cell r="BJ2111">
            <v>54.409654071453552</v>
          </cell>
          <cell r="BU2111">
            <v>25.583824457462441</v>
          </cell>
          <cell r="BV2111">
            <v>29.635401891862816</v>
          </cell>
          <cell r="BW2111">
            <v>23.901518972811779</v>
          </cell>
          <cell r="BX2111">
            <v>15.713059154269443</v>
          </cell>
          <cell r="BY2111">
            <v>32.089978791354113</v>
          </cell>
        </row>
        <row r="2112">
          <cell r="A2112">
            <v>42482</v>
          </cell>
          <cell r="BF2112">
            <v>38.651413189775056</v>
          </cell>
          <cell r="BG2112">
            <v>45.468715051806292</v>
          </cell>
          <cell r="BH2112">
            <v>42.408178994289898</v>
          </cell>
          <cell r="BI2112">
            <v>30.406703917126244</v>
          </cell>
          <cell r="BJ2112">
            <v>54.409654071453552</v>
          </cell>
          <cell r="BU2112">
            <v>25.340321845152083</v>
          </cell>
          <cell r="BV2112">
            <v>29.635401891862816</v>
          </cell>
          <cell r="BW2112">
            <v>23.901518972811779</v>
          </cell>
          <cell r="BX2112">
            <v>15.713059154269443</v>
          </cell>
          <cell r="BY2112">
            <v>32.089978791354113</v>
          </cell>
        </row>
        <row r="2113">
          <cell r="A2113">
            <v>42485</v>
          </cell>
          <cell r="BF2113">
            <v>38.511442799465485</v>
          </cell>
          <cell r="BG2113">
            <v>45.468715051806292</v>
          </cell>
          <cell r="BH2113">
            <v>42.408178994289898</v>
          </cell>
          <cell r="BI2113">
            <v>30.406703917126244</v>
          </cell>
          <cell r="BJ2113">
            <v>54.409654071453552</v>
          </cell>
          <cell r="BU2113">
            <v>25.247397974155195</v>
          </cell>
          <cell r="BV2113">
            <v>29.635401891862816</v>
          </cell>
          <cell r="BW2113">
            <v>23.901518972811779</v>
          </cell>
          <cell r="BX2113">
            <v>15.713059154269443</v>
          </cell>
          <cell r="BY2113">
            <v>32.089978791354113</v>
          </cell>
        </row>
        <row r="2114">
          <cell r="A2114">
            <v>42486</v>
          </cell>
          <cell r="BF2114">
            <v>37.472411843879925</v>
          </cell>
          <cell r="BG2114">
            <v>45.468715051806292</v>
          </cell>
          <cell r="BH2114">
            <v>42.408178994289898</v>
          </cell>
          <cell r="BI2114">
            <v>30.406703917126244</v>
          </cell>
          <cell r="BJ2114">
            <v>54.409654071453552</v>
          </cell>
          <cell r="BU2114">
            <v>24.557603666480084</v>
          </cell>
          <cell r="BV2114">
            <v>29.635401891862816</v>
          </cell>
          <cell r="BW2114">
            <v>23.901518972811779</v>
          </cell>
          <cell r="BX2114">
            <v>15.713059154269443</v>
          </cell>
          <cell r="BY2114">
            <v>32.089978791354113</v>
          </cell>
        </row>
        <row r="2115">
          <cell r="A2115">
            <v>42487</v>
          </cell>
          <cell r="BF2115">
            <v>37.305518169586499</v>
          </cell>
          <cell r="BG2115">
            <v>45.468715051806292</v>
          </cell>
          <cell r="BH2115">
            <v>42.408178994289898</v>
          </cell>
          <cell r="BI2115">
            <v>30.406703917126244</v>
          </cell>
          <cell r="BJ2115">
            <v>54.409654071453552</v>
          </cell>
          <cell r="BU2115">
            <v>24.446805902567732</v>
          </cell>
          <cell r="BV2115">
            <v>29.635401891862816</v>
          </cell>
          <cell r="BW2115">
            <v>23.901518972811779</v>
          </cell>
          <cell r="BX2115">
            <v>15.713059154269443</v>
          </cell>
          <cell r="BY2115">
            <v>32.089978791354113</v>
          </cell>
        </row>
        <row r="2116">
          <cell r="A2116">
            <v>42488</v>
          </cell>
          <cell r="BF2116">
            <v>36.541049798119396</v>
          </cell>
          <cell r="BG2116">
            <v>45.468715051806292</v>
          </cell>
          <cell r="BH2116">
            <v>42.408178994289898</v>
          </cell>
          <cell r="BI2116">
            <v>30.406703917126244</v>
          </cell>
          <cell r="BJ2116">
            <v>54.409654071453552</v>
          </cell>
          <cell r="BU2116">
            <v>23.939288847179821</v>
          </cell>
          <cell r="BV2116">
            <v>29.635401891862816</v>
          </cell>
          <cell r="BW2116">
            <v>23.901518972811779</v>
          </cell>
          <cell r="BX2116">
            <v>15.713059154269443</v>
          </cell>
          <cell r="BY2116">
            <v>32.089978791354113</v>
          </cell>
        </row>
        <row r="2117">
          <cell r="A2117">
            <v>42489</v>
          </cell>
          <cell r="BF2117">
            <v>36.336476446840777</v>
          </cell>
          <cell r="BG2117">
            <v>45.468715051806292</v>
          </cell>
          <cell r="BH2117">
            <v>42.408178994289898</v>
          </cell>
          <cell r="BI2117">
            <v>30.406703917126244</v>
          </cell>
          <cell r="BJ2117">
            <v>54.409654071453552</v>
          </cell>
          <cell r="BU2117">
            <v>23.803476210938889</v>
          </cell>
          <cell r="BV2117">
            <v>29.635401891862816</v>
          </cell>
          <cell r="BW2117">
            <v>23.901518972811779</v>
          </cell>
          <cell r="BX2117">
            <v>15.713059154269443</v>
          </cell>
          <cell r="BY2117">
            <v>32.089978791354113</v>
          </cell>
        </row>
        <row r="2118">
          <cell r="A2118">
            <v>42492</v>
          </cell>
          <cell r="BF2118">
            <v>36.045114736016792</v>
          </cell>
          <cell r="BG2118">
            <v>45.468715051806292</v>
          </cell>
          <cell r="BH2118">
            <v>42.408178994289898</v>
          </cell>
          <cell r="BI2118">
            <v>30.406703917126244</v>
          </cell>
          <cell r="BJ2118">
            <v>54.409654071453552</v>
          </cell>
          <cell r="BU2118">
            <v>23.641446751445923</v>
          </cell>
          <cell r="BV2118">
            <v>29.635401891862816</v>
          </cell>
          <cell r="BW2118">
            <v>23.901518972811779</v>
          </cell>
          <cell r="BX2118">
            <v>15.713059154269443</v>
          </cell>
          <cell r="BY2118">
            <v>32.089978791354113</v>
          </cell>
        </row>
        <row r="2119">
          <cell r="A2119">
            <v>42493</v>
          </cell>
          <cell r="BF2119">
            <v>35.770482772160392</v>
          </cell>
          <cell r="BG2119">
            <v>45.468715051806292</v>
          </cell>
          <cell r="BH2119">
            <v>42.408178994289898</v>
          </cell>
          <cell r="BI2119">
            <v>30.406703917126244</v>
          </cell>
          <cell r="BJ2119">
            <v>54.409654071453552</v>
          </cell>
          <cell r="BU2119">
            <v>23.56776817399626</v>
          </cell>
          <cell r="BV2119">
            <v>29.635401891862816</v>
          </cell>
          <cell r="BW2119">
            <v>23.901518972811779</v>
          </cell>
          <cell r="BX2119">
            <v>15.713059154269443</v>
          </cell>
          <cell r="BY2119">
            <v>32.089978791354113</v>
          </cell>
        </row>
        <row r="2120">
          <cell r="A2120">
            <v>42494</v>
          </cell>
          <cell r="BF2120">
            <v>36.677330818796577</v>
          </cell>
          <cell r="BG2120">
            <v>45.468715051806292</v>
          </cell>
          <cell r="BH2120">
            <v>42.408178994289898</v>
          </cell>
          <cell r="BI2120">
            <v>30.406703917126244</v>
          </cell>
          <cell r="BJ2120">
            <v>54.409654071453552</v>
          </cell>
          <cell r="BU2120">
            <v>24.095786145207519</v>
          </cell>
          <cell r="BV2120">
            <v>29.635401891862816</v>
          </cell>
          <cell r="BW2120">
            <v>23.901518972811779</v>
          </cell>
          <cell r="BX2120">
            <v>15.713059154269443</v>
          </cell>
          <cell r="BY2120">
            <v>32.089978791354113</v>
          </cell>
        </row>
        <row r="2121">
          <cell r="A2121">
            <v>42495</v>
          </cell>
          <cell r="BF2121">
            <v>37.78392347101088</v>
          </cell>
          <cell r="BG2121">
            <v>45.468715051806292</v>
          </cell>
          <cell r="BH2121">
            <v>42.408178994289898</v>
          </cell>
          <cell r="BI2121">
            <v>30.406703917126244</v>
          </cell>
          <cell r="BJ2121">
            <v>54.409654071453552</v>
          </cell>
          <cell r="BU2121">
            <v>24.807690067151604</v>
          </cell>
          <cell r="BV2121">
            <v>29.635401891862816</v>
          </cell>
          <cell r="BW2121">
            <v>23.901518972811779</v>
          </cell>
          <cell r="BX2121">
            <v>15.713059154269443</v>
          </cell>
          <cell r="BY2121">
            <v>32.089978791354113</v>
          </cell>
        </row>
        <row r="2122">
          <cell r="A2122">
            <v>42496</v>
          </cell>
          <cell r="BF2122">
            <v>38.276286893053822</v>
          </cell>
          <cell r="BG2122">
            <v>45.468715051806292</v>
          </cell>
          <cell r="BH2122">
            <v>42.408178994289898</v>
          </cell>
          <cell r="BI2122">
            <v>30.406703917126244</v>
          </cell>
          <cell r="BJ2122">
            <v>54.409654071453552</v>
          </cell>
          <cell r="BU2122">
            <v>25.135567038278257</v>
          </cell>
          <cell r="BV2122">
            <v>29.635401891862816</v>
          </cell>
          <cell r="BW2122">
            <v>23.901518972811779</v>
          </cell>
          <cell r="BX2122">
            <v>15.713059154269443</v>
          </cell>
          <cell r="BY2122">
            <v>32.089978791354113</v>
          </cell>
        </row>
        <row r="2123">
          <cell r="A2123">
            <v>42499</v>
          </cell>
          <cell r="BF2123">
            <v>38.763581392883388</v>
          </cell>
          <cell r="BG2123">
            <v>45.468715051806292</v>
          </cell>
          <cell r="BH2123">
            <v>42.408178994289898</v>
          </cell>
          <cell r="BI2123">
            <v>30.406703917126244</v>
          </cell>
          <cell r="BJ2123">
            <v>54.409654071453552</v>
          </cell>
          <cell r="BU2123">
            <v>25.554189463544141</v>
          </cell>
          <cell r="BV2123">
            <v>29.635401891862816</v>
          </cell>
          <cell r="BW2123">
            <v>23.901518972811779</v>
          </cell>
          <cell r="BX2123">
            <v>15.713059154269443</v>
          </cell>
          <cell r="BY2123">
            <v>32.089978791354113</v>
          </cell>
        </row>
        <row r="2124">
          <cell r="A2124">
            <v>42500</v>
          </cell>
          <cell r="BF2124">
            <v>39.058902131486057</v>
          </cell>
          <cell r="BG2124">
            <v>45.468715051806292</v>
          </cell>
          <cell r="BH2124">
            <v>42.408178994289898</v>
          </cell>
          <cell r="BI2124">
            <v>30.406703917126244</v>
          </cell>
          <cell r="BJ2124">
            <v>54.409654071453552</v>
          </cell>
          <cell r="BU2124">
            <v>25.75158990205021</v>
          </cell>
          <cell r="BV2124">
            <v>29.635401891862816</v>
          </cell>
          <cell r="BW2124">
            <v>23.901518972811779</v>
          </cell>
          <cell r="BX2124">
            <v>15.713059154269443</v>
          </cell>
          <cell r="BY2124">
            <v>32.089978791354113</v>
          </cell>
        </row>
        <row r="2125">
          <cell r="A2125">
            <v>42501</v>
          </cell>
          <cell r="BF2125">
            <v>37.970593255160843</v>
          </cell>
          <cell r="BG2125">
            <v>45.468715051806292</v>
          </cell>
          <cell r="BH2125">
            <v>42.408178994289898</v>
          </cell>
          <cell r="BI2125">
            <v>30.406703917126244</v>
          </cell>
          <cell r="BJ2125">
            <v>54.409654071453552</v>
          </cell>
          <cell r="BU2125">
            <v>25.123239531232965</v>
          </cell>
          <cell r="BV2125">
            <v>29.635401891862816</v>
          </cell>
          <cell r="BW2125">
            <v>23.901518972811779</v>
          </cell>
          <cell r="BX2125">
            <v>15.713059154269443</v>
          </cell>
          <cell r="BY2125">
            <v>32.089978791354113</v>
          </cell>
        </row>
        <row r="2126">
          <cell r="A2126">
            <v>42502</v>
          </cell>
          <cell r="BF2126">
            <v>37.484434407723064</v>
          </cell>
          <cell r="BG2126">
            <v>45.468715051806292</v>
          </cell>
          <cell r="BH2126">
            <v>42.408178994289898</v>
          </cell>
          <cell r="BI2126">
            <v>30.406703917126244</v>
          </cell>
          <cell r="BJ2126">
            <v>54.409654071453552</v>
          </cell>
          <cell r="BU2126">
            <v>25.089119849697493</v>
          </cell>
          <cell r="BV2126">
            <v>29.635401891862816</v>
          </cell>
          <cell r="BW2126">
            <v>23.901518972811779</v>
          </cell>
          <cell r="BX2126">
            <v>15.713059154269443</v>
          </cell>
          <cell r="BY2126">
            <v>32.089978791354113</v>
          </cell>
        </row>
        <row r="2127">
          <cell r="A2127">
            <v>42503</v>
          </cell>
          <cell r="BF2127">
            <v>37.478957093003288</v>
          </cell>
          <cell r="BG2127">
            <v>45.468715051806292</v>
          </cell>
          <cell r="BH2127">
            <v>42.408178994289898</v>
          </cell>
          <cell r="BI2127">
            <v>30.406703917126244</v>
          </cell>
          <cell r="BJ2127">
            <v>54.409654071453552</v>
          </cell>
          <cell r="BU2127">
            <v>25.085415683650993</v>
          </cell>
          <cell r="BV2127">
            <v>29.635401891862816</v>
          </cell>
          <cell r="BW2127">
            <v>23.901518972811779</v>
          </cell>
          <cell r="BX2127">
            <v>15.713059154269443</v>
          </cell>
          <cell r="BY2127">
            <v>32.089978791354113</v>
          </cell>
        </row>
        <row r="2128">
          <cell r="A2128">
            <v>42506</v>
          </cell>
          <cell r="BF2128">
            <v>38.428395409215774</v>
          </cell>
          <cell r="BG2128">
            <v>45.468715051806292</v>
          </cell>
          <cell r="BH2128">
            <v>42.408178994289898</v>
          </cell>
          <cell r="BI2128">
            <v>30.406703917126244</v>
          </cell>
          <cell r="BJ2128">
            <v>54.409654071453552</v>
          </cell>
          <cell r="BU2128">
            <v>25.729618474345234</v>
          </cell>
          <cell r="BV2128">
            <v>29.635401891862816</v>
          </cell>
          <cell r="BW2128">
            <v>23.901518972811779</v>
          </cell>
          <cell r="BX2128">
            <v>15.713059154269443</v>
          </cell>
          <cell r="BY2128">
            <v>32.089978791354113</v>
          </cell>
        </row>
        <row r="2129">
          <cell r="A2129">
            <v>42507</v>
          </cell>
          <cell r="BF2129">
            <v>37.982256518666865</v>
          </cell>
          <cell r="BG2129">
            <v>45.468715051806292</v>
          </cell>
          <cell r="BH2129">
            <v>42.408178994289898</v>
          </cell>
          <cell r="BI2129">
            <v>30.406703917126244</v>
          </cell>
          <cell r="BJ2129">
            <v>54.409654071453552</v>
          </cell>
          <cell r="BU2129">
            <v>25.427881662045326</v>
          </cell>
          <cell r="BV2129">
            <v>29.635401891862816</v>
          </cell>
          <cell r="BW2129">
            <v>23.901518972811779</v>
          </cell>
          <cell r="BX2129">
            <v>15.713059154269443</v>
          </cell>
          <cell r="BY2129">
            <v>32.089978791354113</v>
          </cell>
        </row>
        <row r="2130">
          <cell r="A2130">
            <v>42508</v>
          </cell>
          <cell r="BF2130">
            <v>38.381865300814297</v>
          </cell>
          <cell r="BG2130">
            <v>45.468715051806292</v>
          </cell>
          <cell r="BH2130">
            <v>42.408178994289898</v>
          </cell>
          <cell r="BI2130">
            <v>30.406703917126244</v>
          </cell>
          <cell r="BJ2130">
            <v>54.409654071453552</v>
          </cell>
          <cell r="BU2130">
            <v>25.698148797788328</v>
          </cell>
          <cell r="BV2130">
            <v>29.635401891862816</v>
          </cell>
          <cell r="BW2130">
            <v>23.901518972811779</v>
          </cell>
          <cell r="BX2130">
            <v>15.713059154269443</v>
          </cell>
          <cell r="BY2130">
            <v>32.089978791354113</v>
          </cell>
        </row>
        <row r="2131">
          <cell r="A2131">
            <v>42509</v>
          </cell>
          <cell r="BF2131">
            <v>37.86248709332498</v>
          </cell>
          <cell r="BG2131">
            <v>45.468715051806292</v>
          </cell>
          <cell r="BH2131">
            <v>42.408178994289898</v>
          </cell>
          <cell r="BI2131">
            <v>30.406703917126244</v>
          </cell>
          <cell r="BJ2131">
            <v>54.409654071453552</v>
          </cell>
          <cell r="BU2131">
            <v>25.290894159993126</v>
          </cell>
          <cell r="BV2131">
            <v>29.635401891862816</v>
          </cell>
          <cell r="BW2131">
            <v>23.901518972811779</v>
          </cell>
          <cell r="BX2131">
            <v>15.713059154269443</v>
          </cell>
          <cell r="BY2131">
            <v>32.089978791354113</v>
          </cell>
        </row>
        <row r="2132">
          <cell r="A2132">
            <v>42510</v>
          </cell>
          <cell r="BF2132">
            <v>38.600764634513311</v>
          </cell>
          <cell r="BG2132">
            <v>45.468715051806292</v>
          </cell>
          <cell r="BH2132">
            <v>42.408178994289898</v>
          </cell>
          <cell r="BI2132">
            <v>30.406703917126244</v>
          </cell>
          <cell r="BJ2132">
            <v>54.409654071453552</v>
          </cell>
          <cell r="BU2132">
            <v>25.749981206234992</v>
          </cell>
          <cell r="BV2132">
            <v>29.635401891862816</v>
          </cell>
          <cell r="BW2132">
            <v>23.901518972811779</v>
          </cell>
          <cell r="BX2132">
            <v>15.713059154269443</v>
          </cell>
          <cell r="BY2132">
            <v>32.089978791354113</v>
          </cell>
        </row>
        <row r="2133">
          <cell r="A2133">
            <v>42513</v>
          </cell>
          <cell r="BF2133">
            <v>38.412006257784455</v>
          </cell>
          <cell r="BG2133">
            <v>45.468715051806292</v>
          </cell>
          <cell r="BH2133">
            <v>42.408178994289898</v>
          </cell>
          <cell r="BI2133">
            <v>30.406703917126244</v>
          </cell>
          <cell r="BJ2133">
            <v>54.409654071453552</v>
          </cell>
          <cell r="BU2133">
            <v>25.624104351164824</v>
          </cell>
          <cell r="BV2133">
            <v>29.635401891862816</v>
          </cell>
          <cell r="BW2133">
            <v>23.901518972811779</v>
          </cell>
          <cell r="BX2133">
            <v>15.713059154269443</v>
          </cell>
          <cell r="BY2133">
            <v>32.089978791354113</v>
          </cell>
        </row>
        <row r="2134">
          <cell r="A2134">
            <v>42514</v>
          </cell>
          <cell r="BF2134">
            <v>39.414676848459877</v>
          </cell>
          <cell r="BG2134">
            <v>45.468715051806292</v>
          </cell>
          <cell r="BH2134">
            <v>42.408178994289898</v>
          </cell>
          <cell r="BI2134">
            <v>30.406703917126244</v>
          </cell>
          <cell r="BJ2134">
            <v>54.409654071453552</v>
          </cell>
          <cell r="BU2134">
            <v>26.299774967258518</v>
          </cell>
          <cell r="BV2134">
            <v>29.635401891862816</v>
          </cell>
          <cell r="BW2134">
            <v>23.901518972811779</v>
          </cell>
          <cell r="BX2134">
            <v>15.713059154269443</v>
          </cell>
          <cell r="BY2134">
            <v>32.089978791354113</v>
          </cell>
        </row>
        <row r="2135">
          <cell r="A2135">
            <v>42515</v>
          </cell>
          <cell r="BF2135">
            <v>39.433908947192528</v>
          </cell>
          <cell r="BG2135">
            <v>45.468715051806292</v>
          </cell>
          <cell r="BH2135">
            <v>42.408178994289898</v>
          </cell>
          <cell r="BI2135">
            <v>30.406703917126244</v>
          </cell>
          <cell r="BJ2135">
            <v>54.409654071453552</v>
          </cell>
          <cell r="BU2135">
            <v>26.312734920527628</v>
          </cell>
          <cell r="BV2135">
            <v>29.635401891862816</v>
          </cell>
          <cell r="BW2135">
            <v>23.901518972811779</v>
          </cell>
          <cell r="BX2135">
            <v>15.713059154269443</v>
          </cell>
          <cell r="BY2135">
            <v>32.089978791354113</v>
          </cell>
        </row>
        <row r="2136">
          <cell r="A2136">
            <v>42516</v>
          </cell>
          <cell r="BF2136">
            <v>39.315783039807485</v>
          </cell>
          <cell r="BG2136">
            <v>45.468715051806292</v>
          </cell>
          <cell r="BH2136">
            <v>42.408178994289898</v>
          </cell>
          <cell r="BI2136">
            <v>30.406703917126244</v>
          </cell>
          <cell r="BJ2136">
            <v>54.409654071453552</v>
          </cell>
          <cell r="BU2136">
            <v>26.233133299255666</v>
          </cell>
          <cell r="BV2136">
            <v>29.635401891862816</v>
          </cell>
          <cell r="BW2136">
            <v>23.901518972811779</v>
          </cell>
          <cell r="BX2136">
            <v>15.713059154269443</v>
          </cell>
          <cell r="BY2136">
            <v>32.089978791354113</v>
          </cell>
        </row>
        <row r="2137">
          <cell r="A2137">
            <v>42517</v>
          </cell>
          <cell r="BF2137">
            <v>39.566336297794535</v>
          </cell>
          <cell r="BG2137">
            <v>45.468715051806292</v>
          </cell>
          <cell r="BH2137">
            <v>42.408178994289898</v>
          </cell>
          <cell r="BI2137">
            <v>30.406703917126244</v>
          </cell>
          <cell r="BJ2137">
            <v>54.409654071453552</v>
          </cell>
          <cell r="BU2137">
            <v>26.191400244772474</v>
          </cell>
          <cell r="BV2137">
            <v>29.635401891862816</v>
          </cell>
          <cell r="BW2137">
            <v>23.901518972811779</v>
          </cell>
          <cell r="BX2137">
            <v>15.713059154269443</v>
          </cell>
          <cell r="BY2137">
            <v>32.089978791354113</v>
          </cell>
        </row>
        <row r="2138">
          <cell r="A2138">
            <v>42520</v>
          </cell>
          <cell r="BF2138">
            <v>39.565257113418333</v>
          </cell>
          <cell r="BG2138">
            <v>45.468715051806292</v>
          </cell>
          <cell r="BH2138">
            <v>42.408178994289898</v>
          </cell>
          <cell r="BI2138">
            <v>30.406703917126244</v>
          </cell>
          <cell r="BJ2138">
            <v>54.409654071453552</v>
          </cell>
          <cell r="BU2138">
            <v>26.191402083513115</v>
          </cell>
          <cell r="BV2138">
            <v>29.635401891862816</v>
          </cell>
          <cell r="BW2138">
            <v>23.901518972811779</v>
          </cell>
          <cell r="BX2138">
            <v>15.713059154269443</v>
          </cell>
          <cell r="BY2138">
            <v>32.089978791354113</v>
          </cell>
        </row>
        <row r="2139">
          <cell r="A2139">
            <v>42521</v>
          </cell>
          <cell r="BF2139">
            <v>39.834801425380149</v>
          </cell>
          <cell r="BG2139">
            <v>45.468715051806292</v>
          </cell>
          <cell r="BH2139">
            <v>42.408178994289898</v>
          </cell>
          <cell r="BI2139">
            <v>30.406703917126244</v>
          </cell>
          <cell r="BJ2139">
            <v>54.409654071453552</v>
          </cell>
          <cell r="BU2139">
            <v>26.371598666042665</v>
          </cell>
          <cell r="BV2139">
            <v>29.635401891862816</v>
          </cell>
          <cell r="BW2139">
            <v>23.901518972811779</v>
          </cell>
          <cell r="BX2139">
            <v>15.713059154269443</v>
          </cell>
          <cell r="BY2139">
            <v>32.089978791354113</v>
          </cell>
        </row>
        <row r="2140">
          <cell r="A2140">
            <v>42522</v>
          </cell>
          <cell r="BF2140">
            <v>39.529110622126595</v>
          </cell>
          <cell r="BG2140">
            <v>45.468715051806292</v>
          </cell>
          <cell r="BH2140">
            <v>42.408178994289898</v>
          </cell>
          <cell r="BI2140">
            <v>30.406703917126244</v>
          </cell>
          <cell r="BJ2140">
            <v>54.409654071453552</v>
          </cell>
          <cell r="BU2140">
            <v>26.197185147728838</v>
          </cell>
          <cell r="BV2140">
            <v>29.635401891862816</v>
          </cell>
          <cell r="BW2140">
            <v>23.901518972811779</v>
          </cell>
          <cell r="BX2140">
            <v>15.713059154269443</v>
          </cell>
          <cell r="BY2140">
            <v>32.089978791354113</v>
          </cell>
        </row>
        <row r="2141">
          <cell r="A2141">
            <v>42523</v>
          </cell>
          <cell r="BF2141">
            <v>39.887039153559662</v>
          </cell>
          <cell r="BG2141">
            <v>45.468715051806292</v>
          </cell>
          <cell r="BH2141">
            <v>42.408178994289898</v>
          </cell>
          <cell r="BI2141">
            <v>30.406703917126244</v>
          </cell>
          <cell r="BJ2141">
            <v>54.409654071453552</v>
          </cell>
          <cell r="BU2141">
            <v>26.43670896284171</v>
          </cell>
          <cell r="BV2141">
            <v>29.635401891862816</v>
          </cell>
          <cell r="BW2141">
            <v>23.901518972811779</v>
          </cell>
          <cell r="BX2141">
            <v>15.713059154269443</v>
          </cell>
          <cell r="BY2141">
            <v>32.089978791354113</v>
          </cell>
        </row>
        <row r="2142">
          <cell r="A2142">
            <v>42524</v>
          </cell>
          <cell r="BF2142">
            <v>39.468474576271184</v>
          </cell>
          <cell r="BG2142">
            <v>45.468715051806292</v>
          </cell>
          <cell r="BH2142">
            <v>42.408178994289898</v>
          </cell>
          <cell r="BI2142">
            <v>30.406703917126244</v>
          </cell>
          <cell r="BJ2142">
            <v>54.409654071453552</v>
          </cell>
          <cell r="BU2142">
            <v>26.153635693082975</v>
          </cell>
          <cell r="BV2142">
            <v>29.635401891862816</v>
          </cell>
          <cell r="BW2142">
            <v>23.901518972811779</v>
          </cell>
          <cell r="BX2142">
            <v>15.713059154269443</v>
          </cell>
          <cell r="BY2142">
            <v>32.089978791354113</v>
          </cell>
        </row>
        <row r="2143">
          <cell r="A2143">
            <v>42527</v>
          </cell>
          <cell r="BF2143">
            <v>40.027121355932202</v>
          </cell>
          <cell r="BG2143">
            <v>45.468715051806292</v>
          </cell>
          <cell r="BH2143">
            <v>42.408178994289898</v>
          </cell>
          <cell r="BI2143">
            <v>30.406703917126244</v>
          </cell>
          <cell r="BJ2143">
            <v>54.409654071453552</v>
          </cell>
          <cell r="BU2143">
            <v>26.527436993353927</v>
          </cell>
          <cell r="BV2143">
            <v>29.635401891862816</v>
          </cell>
          <cell r="BW2143">
            <v>23.901518972811779</v>
          </cell>
          <cell r="BX2143">
            <v>15.713059154269443</v>
          </cell>
          <cell r="BY2143">
            <v>32.089978791354113</v>
          </cell>
        </row>
        <row r="2144">
          <cell r="A2144">
            <v>42528</v>
          </cell>
          <cell r="BF2144">
            <v>39.30847457627118</v>
          </cell>
          <cell r="BG2144">
            <v>45.468715051806292</v>
          </cell>
          <cell r="BH2144">
            <v>42.408178994289898</v>
          </cell>
          <cell r="BI2144">
            <v>30.406703917126244</v>
          </cell>
          <cell r="BJ2144">
            <v>54.409654071453552</v>
          </cell>
          <cell r="BU2144">
            <v>26.046576617078561</v>
          </cell>
          <cell r="BV2144">
            <v>29.635401891862816</v>
          </cell>
          <cell r="BW2144">
            <v>23.901518972811779</v>
          </cell>
          <cell r="BX2144">
            <v>15.713059154269443</v>
          </cell>
          <cell r="BY2144">
            <v>32.089978791354113</v>
          </cell>
        </row>
        <row r="2145">
          <cell r="A2145">
            <v>42529</v>
          </cell>
          <cell r="BF2145">
            <v>39.392542372881351</v>
          </cell>
          <cell r="BG2145">
            <v>45.468715051806292</v>
          </cell>
          <cell r="BH2145">
            <v>42.408178994289898</v>
          </cell>
          <cell r="BI2145">
            <v>30.406703917126244</v>
          </cell>
          <cell r="BJ2145">
            <v>54.409654071453552</v>
          </cell>
          <cell r="BU2145">
            <v>26.102827995996133</v>
          </cell>
          <cell r="BV2145">
            <v>29.635401891862816</v>
          </cell>
          <cell r="BW2145">
            <v>23.901518972811779</v>
          </cell>
          <cell r="BX2145">
            <v>15.713059154269443</v>
          </cell>
          <cell r="BY2145">
            <v>32.089978791354113</v>
          </cell>
        </row>
        <row r="2146">
          <cell r="A2146">
            <v>42530</v>
          </cell>
          <cell r="BF2146">
            <v>38.893559322033894</v>
          </cell>
          <cell r="BG2146">
            <v>45.468715051806292</v>
          </cell>
          <cell r="BH2146">
            <v>42.408178994289898</v>
          </cell>
          <cell r="BI2146">
            <v>30.406703917126244</v>
          </cell>
          <cell r="BJ2146">
            <v>54.409654071453552</v>
          </cell>
          <cell r="BU2146">
            <v>25.768948843711165</v>
          </cell>
          <cell r="BV2146">
            <v>29.635401891862816</v>
          </cell>
          <cell r="BW2146">
            <v>23.901518972811779</v>
          </cell>
          <cell r="BX2146">
            <v>15.713059154269443</v>
          </cell>
          <cell r="BY2146">
            <v>32.089978791354113</v>
          </cell>
        </row>
        <row r="2147">
          <cell r="A2147">
            <v>42531</v>
          </cell>
          <cell r="BF2147">
            <v>38.40542372881356</v>
          </cell>
          <cell r="BG2147">
            <v>45.468715051806292</v>
          </cell>
          <cell r="BH2147">
            <v>42.408178994289898</v>
          </cell>
          <cell r="BI2147">
            <v>30.406703917126244</v>
          </cell>
          <cell r="BJ2147">
            <v>54.409654071453552</v>
          </cell>
          <cell r="BU2147">
            <v>25.442327933867183</v>
          </cell>
          <cell r="BV2147">
            <v>29.635401891862816</v>
          </cell>
          <cell r="BW2147">
            <v>23.901518972811779</v>
          </cell>
          <cell r="BX2147">
            <v>15.713059154269443</v>
          </cell>
          <cell r="BY2147">
            <v>32.089978791354113</v>
          </cell>
        </row>
        <row r="2148">
          <cell r="A2148">
            <v>42534</v>
          </cell>
          <cell r="BF2148">
            <v>37.887460338983054</v>
          </cell>
          <cell r="BG2148">
            <v>45.468715051806292</v>
          </cell>
          <cell r="BH2148">
            <v>42.408178994289898</v>
          </cell>
          <cell r="BI2148">
            <v>30.406703917126244</v>
          </cell>
          <cell r="BJ2148">
            <v>54.409654071453552</v>
          </cell>
          <cell r="BU2148">
            <v>25.095748671871117</v>
          </cell>
          <cell r="BV2148">
            <v>29.635401891862816</v>
          </cell>
          <cell r="BW2148">
            <v>23.901518972811779</v>
          </cell>
          <cell r="BX2148">
            <v>15.713059154269443</v>
          </cell>
          <cell r="BY2148">
            <v>32.089978791354113</v>
          </cell>
        </row>
        <row r="2149">
          <cell r="A2149">
            <v>42535</v>
          </cell>
          <cell r="BF2149">
            <v>37.361358644067799</v>
          </cell>
          <cell r="BG2149">
            <v>45.468715051806292</v>
          </cell>
          <cell r="BH2149">
            <v>42.408178994289898</v>
          </cell>
          <cell r="BI2149">
            <v>30.406703917126244</v>
          </cell>
          <cell r="BJ2149">
            <v>54.409654071453552</v>
          </cell>
          <cell r="BU2149">
            <v>24.743723913483713</v>
          </cell>
          <cell r="BV2149">
            <v>29.635401891862816</v>
          </cell>
          <cell r="BW2149">
            <v>23.901518972811779</v>
          </cell>
          <cell r="BX2149">
            <v>15.713059154269443</v>
          </cell>
          <cell r="BY2149">
            <v>32.089978791354113</v>
          </cell>
        </row>
        <row r="2150">
          <cell r="A2150">
            <v>42536</v>
          </cell>
          <cell r="BF2150">
            <v>37.079322033898301</v>
          </cell>
          <cell r="BG2150">
            <v>45.468715051806292</v>
          </cell>
          <cell r="BH2150">
            <v>42.408178994289898</v>
          </cell>
          <cell r="BI2150">
            <v>30.406703917126244</v>
          </cell>
          <cell r="BJ2150">
            <v>54.409654071453552</v>
          </cell>
          <cell r="BU2150">
            <v>24.555007795457684</v>
          </cell>
          <cell r="BV2150">
            <v>29.635401891862816</v>
          </cell>
          <cell r="BW2150">
            <v>23.901518972811779</v>
          </cell>
          <cell r="BX2150">
            <v>15.713059154269443</v>
          </cell>
          <cell r="BY2150">
            <v>32.089978791354113</v>
          </cell>
        </row>
        <row r="2151">
          <cell r="A2151">
            <v>42537</v>
          </cell>
          <cell r="BF2151">
            <v>36.9735593220339</v>
          </cell>
          <cell r="BG2151">
            <v>45.468715051806292</v>
          </cell>
          <cell r="BH2151">
            <v>42.408178994289898</v>
          </cell>
          <cell r="BI2151">
            <v>30.406703917126244</v>
          </cell>
          <cell r="BJ2151">
            <v>54.409654071453552</v>
          </cell>
          <cell r="BU2151">
            <v>24.484239931658152</v>
          </cell>
          <cell r="BV2151">
            <v>29.635401891862816</v>
          </cell>
          <cell r="BW2151">
            <v>23.901518972811779</v>
          </cell>
          <cell r="BX2151">
            <v>15.713059154269443</v>
          </cell>
          <cell r="BY2151">
            <v>32.089978791354113</v>
          </cell>
        </row>
        <row r="2152">
          <cell r="A2152">
            <v>42538</v>
          </cell>
          <cell r="BF2152">
            <v>37.16610440677966</v>
          </cell>
          <cell r="BG2152">
            <v>45.468715051806292</v>
          </cell>
          <cell r="BH2152">
            <v>42.408178994289898</v>
          </cell>
          <cell r="BI2152">
            <v>30.406703917126244</v>
          </cell>
          <cell r="BJ2152">
            <v>54.409654071453552</v>
          </cell>
          <cell r="BU2152">
            <v>24.613071920424897</v>
          </cell>
          <cell r="BV2152">
            <v>29.635401891862816</v>
          </cell>
          <cell r="BW2152">
            <v>23.901518972811779</v>
          </cell>
          <cell r="BX2152">
            <v>15.713059154269443</v>
          </cell>
          <cell r="BY2152">
            <v>32.089978791354113</v>
          </cell>
        </row>
        <row r="2153">
          <cell r="A2153">
            <v>42541</v>
          </cell>
          <cell r="BF2153">
            <v>37.997550907493192</v>
          </cell>
          <cell r="BG2153">
            <v>45.468715051806292</v>
          </cell>
          <cell r="BH2153">
            <v>42.408178994289898</v>
          </cell>
          <cell r="BI2153">
            <v>30.406703917126244</v>
          </cell>
          <cell r="BJ2153">
            <v>54.409654071453552</v>
          </cell>
          <cell r="BU2153">
            <v>25.166516535670645</v>
          </cell>
          <cell r="BV2153">
            <v>29.635401891862816</v>
          </cell>
          <cell r="BW2153">
            <v>23.901518972811779</v>
          </cell>
          <cell r="BX2153">
            <v>15.713059154269443</v>
          </cell>
          <cell r="BY2153">
            <v>32.089978791354113</v>
          </cell>
        </row>
        <row r="2154">
          <cell r="A2154">
            <v>42542</v>
          </cell>
          <cell r="BF2154">
            <v>37.712772709027192</v>
          </cell>
          <cell r="BG2154">
            <v>45.468715051806292</v>
          </cell>
          <cell r="BH2154">
            <v>42.408178994289898</v>
          </cell>
          <cell r="BI2154">
            <v>30.406703917126244</v>
          </cell>
          <cell r="BJ2154">
            <v>54.409654071453552</v>
          </cell>
          <cell r="BU2154">
            <v>24.975987671594986</v>
          </cell>
          <cell r="BV2154">
            <v>29.635401891862816</v>
          </cell>
          <cell r="BW2154">
            <v>23.901518972811779</v>
          </cell>
          <cell r="BX2154">
            <v>15.713059154269443</v>
          </cell>
          <cell r="BY2154">
            <v>32.089978791354113</v>
          </cell>
        </row>
        <row r="2155">
          <cell r="A2155">
            <v>42543</v>
          </cell>
          <cell r="BF2155">
            <v>38.212639001898559</v>
          </cell>
          <cell r="BG2155">
            <v>45.468715051806292</v>
          </cell>
          <cell r="BH2155">
            <v>42.408178994289898</v>
          </cell>
          <cell r="BI2155">
            <v>30.406703917126244</v>
          </cell>
          <cell r="BJ2155">
            <v>54.409654071453552</v>
          </cell>
          <cell r="BU2155">
            <v>25.24480924891169</v>
          </cell>
          <cell r="BV2155">
            <v>29.635401891862816</v>
          </cell>
          <cell r="BW2155">
            <v>23.901518972811779</v>
          </cell>
          <cell r="BX2155">
            <v>15.713059154269443</v>
          </cell>
          <cell r="BY2155">
            <v>32.089978791354113</v>
          </cell>
        </row>
        <row r="2156">
          <cell r="A2156">
            <v>42544</v>
          </cell>
          <cell r="BF2156">
            <v>39.758611337130453</v>
          </cell>
          <cell r="BG2156">
            <v>45.468715051806292</v>
          </cell>
          <cell r="BH2156">
            <v>42.408178994289898</v>
          </cell>
          <cell r="BI2156">
            <v>30.406703917126244</v>
          </cell>
          <cell r="BJ2156">
            <v>54.409654071453552</v>
          </cell>
          <cell r="BU2156">
            <v>26.276450262477923</v>
          </cell>
          <cell r="BV2156">
            <v>29.635401891862816</v>
          </cell>
          <cell r="BW2156">
            <v>23.901518972811779</v>
          </cell>
          <cell r="BX2156">
            <v>15.713059154269443</v>
          </cell>
          <cell r="BY2156">
            <v>32.089978791354113</v>
          </cell>
        </row>
        <row r="2157">
          <cell r="A2157">
            <v>42545</v>
          </cell>
          <cell r="BF2157">
            <v>37.67561974505017</v>
          </cell>
          <cell r="BG2157">
            <v>45.468715051806292</v>
          </cell>
          <cell r="BH2157">
            <v>42.408178994289898</v>
          </cell>
          <cell r="BI2157">
            <v>30.406703917126244</v>
          </cell>
          <cell r="BJ2157">
            <v>54.409654071453552</v>
          </cell>
          <cell r="BU2157">
            <v>24.886451548832579</v>
          </cell>
          <cell r="BV2157">
            <v>29.635401891862816</v>
          </cell>
          <cell r="BW2157">
            <v>23.901518972811779</v>
          </cell>
          <cell r="BX2157">
            <v>15.713059154269443</v>
          </cell>
          <cell r="BY2157">
            <v>32.089978791354113</v>
          </cell>
        </row>
        <row r="2158">
          <cell r="A2158">
            <v>42548</v>
          </cell>
          <cell r="BF2158">
            <v>36.74731474449387</v>
          </cell>
          <cell r="BG2158">
            <v>45.468715051806292</v>
          </cell>
          <cell r="BH2158">
            <v>42.408178994289898</v>
          </cell>
          <cell r="BI2158">
            <v>30.406703917126244</v>
          </cell>
          <cell r="BJ2158">
            <v>54.409654071453552</v>
          </cell>
          <cell r="BU2158">
            <v>24.265655234281294</v>
          </cell>
          <cell r="BV2158">
            <v>29.635401891862816</v>
          </cell>
          <cell r="BW2158">
            <v>23.901518972811779</v>
          </cell>
          <cell r="BX2158">
            <v>15.713059154269443</v>
          </cell>
          <cell r="BY2158">
            <v>32.089978791354113</v>
          </cell>
        </row>
        <row r="2159">
          <cell r="A2159">
            <v>42549</v>
          </cell>
          <cell r="BF2159">
            <v>36.662593346911059</v>
          </cell>
          <cell r="BG2159">
            <v>45.468715051806292</v>
          </cell>
          <cell r="BH2159">
            <v>42.408178994289898</v>
          </cell>
          <cell r="BI2159">
            <v>30.406703917126244</v>
          </cell>
          <cell r="BJ2159">
            <v>54.409654071453552</v>
          </cell>
          <cell r="BU2159">
            <v>24.220540418121466</v>
          </cell>
          <cell r="BV2159">
            <v>29.635401891862816</v>
          </cell>
          <cell r="BW2159">
            <v>23.901518972811779</v>
          </cell>
          <cell r="BX2159">
            <v>15.713059154269443</v>
          </cell>
          <cell r="BY2159">
            <v>32.089978791354113</v>
          </cell>
        </row>
        <row r="2160">
          <cell r="A2160">
            <v>42550</v>
          </cell>
          <cell r="BF2160">
            <v>37.360491513917168</v>
          </cell>
          <cell r="BG2160">
            <v>45.468715051806292</v>
          </cell>
          <cell r="BH2160">
            <v>42.408178994289898</v>
          </cell>
          <cell r="BI2160">
            <v>30.406703917126244</v>
          </cell>
          <cell r="BJ2160">
            <v>54.409654071453552</v>
          </cell>
          <cell r="BU2160">
            <v>24.686454128934862</v>
          </cell>
          <cell r="BV2160">
            <v>29.635401891862816</v>
          </cell>
          <cell r="BW2160">
            <v>23.901518972811779</v>
          </cell>
          <cell r="BX2160">
            <v>15.713059154269443</v>
          </cell>
          <cell r="BY2160">
            <v>32.089978791354113</v>
          </cell>
        </row>
        <row r="2161">
          <cell r="A2161">
            <v>42551</v>
          </cell>
          <cell r="BF2161">
            <v>38.120844534962657</v>
          </cell>
          <cell r="BG2161">
            <v>45.468715051806292</v>
          </cell>
          <cell r="BH2161">
            <v>42.408178994289898</v>
          </cell>
          <cell r="BI2161">
            <v>30.406703917126244</v>
          </cell>
          <cell r="BJ2161">
            <v>54.409654071453552</v>
          </cell>
          <cell r="BU2161">
            <v>25.194062422395792</v>
          </cell>
          <cell r="BV2161">
            <v>29.635401891862816</v>
          </cell>
          <cell r="BW2161">
            <v>23.901518972811779</v>
          </cell>
          <cell r="BX2161">
            <v>15.713059154269443</v>
          </cell>
          <cell r="BY2161">
            <v>32.089978791354113</v>
          </cell>
        </row>
        <row r="2162">
          <cell r="A2162">
            <v>42552</v>
          </cell>
          <cell r="BF2162">
            <v>37.694694314862659</v>
          </cell>
          <cell r="BG2162">
            <v>45.468715051806292</v>
          </cell>
          <cell r="BH2162">
            <v>42.408178994289898</v>
          </cell>
          <cell r="BI2162">
            <v>30.406703917126244</v>
          </cell>
          <cell r="BJ2162">
            <v>54.409654071453552</v>
          </cell>
          <cell r="BU2162">
            <v>24.932580872864552</v>
          </cell>
          <cell r="BV2162">
            <v>29.635401891862816</v>
          </cell>
          <cell r="BW2162">
            <v>23.901518972811779</v>
          </cell>
          <cell r="BX2162">
            <v>15.713059154269443</v>
          </cell>
          <cell r="BY2162">
            <v>32.089978791354113</v>
          </cell>
        </row>
        <row r="2163">
          <cell r="A2163">
            <v>42555</v>
          </cell>
          <cell r="BF2163">
            <v>37.693179890546169</v>
          </cell>
          <cell r="BG2163">
            <v>45.468715051806292</v>
          </cell>
          <cell r="BH2163">
            <v>42.408178994289898</v>
          </cell>
          <cell r="BI2163">
            <v>30.406703917126244</v>
          </cell>
          <cell r="BJ2163">
            <v>54.409654071453552</v>
          </cell>
          <cell r="BU2163">
            <v>24.932580872864552</v>
          </cell>
          <cell r="BV2163">
            <v>29.635401891862816</v>
          </cell>
          <cell r="BW2163">
            <v>23.901518972811779</v>
          </cell>
          <cell r="BX2163">
            <v>15.713059154269443</v>
          </cell>
          <cell r="BY2163">
            <v>32.089978791354113</v>
          </cell>
        </row>
        <row r="2164">
          <cell r="A2164">
            <v>42556</v>
          </cell>
          <cell r="BF2164">
            <v>37.168639714097829</v>
          </cell>
          <cell r="BG2164">
            <v>45.468715051806292</v>
          </cell>
          <cell r="BH2164">
            <v>42.408178994289898</v>
          </cell>
          <cell r="BI2164">
            <v>30.406703917126244</v>
          </cell>
          <cell r="BJ2164">
            <v>54.409654071453552</v>
          </cell>
          <cell r="BU2164">
            <v>24.579539077243979</v>
          </cell>
          <cell r="BV2164">
            <v>29.635401891862816</v>
          </cell>
          <cell r="BW2164">
            <v>23.901518972811779</v>
          </cell>
          <cell r="BX2164">
            <v>15.713059154269443</v>
          </cell>
          <cell r="BY2164">
            <v>32.089978791354113</v>
          </cell>
        </row>
        <row r="2165">
          <cell r="A2165">
            <v>42557</v>
          </cell>
          <cell r="BF2165">
            <v>37.736877373244631</v>
          </cell>
          <cell r="BG2165">
            <v>45.468715051806292</v>
          </cell>
          <cell r="BH2165">
            <v>42.408178994289898</v>
          </cell>
          <cell r="BI2165">
            <v>30.406703917126244</v>
          </cell>
          <cell r="BJ2165">
            <v>54.409654071453552</v>
          </cell>
          <cell r="BU2165">
            <v>24.959167819696336</v>
          </cell>
          <cell r="BV2165">
            <v>29.635401891862816</v>
          </cell>
          <cell r="BW2165">
            <v>23.901518972811779</v>
          </cell>
          <cell r="BX2165">
            <v>15.713059154269443</v>
          </cell>
          <cell r="BY2165">
            <v>32.089978791354113</v>
          </cell>
        </row>
        <row r="2166">
          <cell r="A2166">
            <v>42558</v>
          </cell>
          <cell r="BF2166">
            <v>37.541210632123331</v>
          </cell>
          <cell r="BG2166">
            <v>45.468715051806292</v>
          </cell>
          <cell r="BH2166">
            <v>42.408178994289898</v>
          </cell>
          <cell r="BI2166">
            <v>30.406703917126244</v>
          </cell>
          <cell r="BJ2166">
            <v>54.409654071453552</v>
          </cell>
          <cell r="BU2166">
            <v>24.828446601776424</v>
          </cell>
          <cell r="BV2166">
            <v>29.635401891862816</v>
          </cell>
          <cell r="BW2166">
            <v>23.901518972811779</v>
          </cell>
          <cell r="BX2166">
            <v>15.713059154269443</v>
          </cell>
          <cell r="BY2166">
            <v>32.089978791354113</v>
          </cell>
        </row>
        <row r="2167">
          <cell r="A2167">
            <v>42559</v>
          </cell>
          <cell r="BF2167">
            <v>37.860174223814226</v>
          </cell>
          <cell r="BG2167">
            <v>45.468715051806292</v>
          </cell>
          <cell r="BH2167">
            <v>42.408178994289898</v>
          </cell>
          <cell r="BI2167">
            <v>30.406703917126244</v>
          </cell>
          <cell r="BJ2167">
            <v>54.409654071453552</v>
          </cell>
          <cell r="BU2167">
            <v>25.041540094002041</v>
          </cell>
          <cell r="BV2167">
            <v>29.635401891862816</v>
          </cell>
          <cell r="BW2167">
            <v>23.901518972811779</v>
          </cell>
          <cell r="BX2167">
            <v>15.713059154269443</v>
          </cell>
          <cell r="BY2167">
            <v>32.089978791354113</v>
          </cell>
        </row>
        <row r="2168">
          <cell r="A2168">
            <v>42562</v>
          </cell>
          <cell r="BF2168">
            <v>37.428300841631092</v>
          </cell>
          <cell r="BG2168">
            <v>45.468715051806292</v>
          </cell>
          <cell r="BH2168">
            <v>42.408178994289898</v>
          </cell>
          <cell r="BI2168">
            <v>30.406703917126244</v>
          </cell>
          <cell r="BJ2168">
            <v>54.409654071453552</v>
          </cell>
          <cell r="BU2168">
            <v>24.753237133932085</v>
          </cell>
          <cell r="BV2168">
            <v>29.635401891862816</v>
          </cell>
          <cell r="BW2168">
            <v>23.901518972811779</v>
          </cell>
          <cell r="BX2168">
            <v>15.713059154269443</v>
          </cell>
          <cell r="BY2168">
            <v>32.089978791354113</v>
          </cell>
        </row>
        <row r="2169">
          <cell r="A2169">
            <v>42563</v>
          </cell>
          <cell r="BF2169">
            <v>39.930856024875197</v>
          </cell>
          <cell r="BG2169">
            <v>45.468715051806292</v>
          </cell>
          <cell r="BH2169">
            <v>42.408178994289898</v>
          </cell>
          <cell r="BI2169">
            <v>30.406703917126244</v>
          </cell>
          <cell r="BJ2169">
            <v>54.409654071453552</v>
          </cell>
          <cell r="BU2169">
            <v>26.425281279547331</v>
          </cell>
          <cell r="BV2169">
            <v>29.635401891862816</v>
          </cell>
          <cell r="BW2169">
            <v>23.901518972811779</v>
          </cell>
          <cell r="BX2169">
            <v>15.713059154269443</v>
          </cell>
          <cell r="BY2169">
            <v>32.089978791354113</v>
          </cell>
        </row>
        <row r="2170">
          <cell r="A2170">
            <v>42564</v>
          </cell>
          <cell r="BF2170">
            <v>39.11819400863947</v>
          </cell>
          <cell r="BG2170">
            <v>45.468715051806292</v>
          </cell>
          <cell r="BH2170">
            <v>42.408178994289898</v>
          </cell>
          <cell r="BI2170">
            <v>30.406703917126244</v>
          </cell>
          <cell r="BJ2170">
            <v>54.409654071453552</v>
          </cell>
          <cell r="BU2170">
            <v>25.86483968276896</v>
          </cell>
          <cell r="BV2170">
            <v>29.635401891862816</v>
          </cell>
          <cell r="BW2170">
            <v>23.901518972811779</v>
          </cell>
          <cell r="BX2170">
            <v>15.713059154269443</v>
          </cell>
          <cell r="BY2170">
            <v>32.089978791354113</v>
          </cell>
        </row>
        <row r="2171">
          <cell r="A2171">
            <v>42565</v>
          </cell>
          <cell r="BF2171">
            <v>39.48472033221217</v>
          </cell>
          <cell r="BG2171">
            <v>45.468715051806292</v>
          </cell>
          <cell r="BH2171">
            <v>42.408178994289898</v>
          </cell>
          <cell r="BI2171">
            <v>30.406703917126244</v>
          </cell>
          <cell r="BJ2171">
            <v>54.409654071453552</v>
          </cell>
          <cell r="BU2171">
            <v>26.071128034025516</v>
          </cell>
          <cell r="BV2171">
            <v>29.635401891862816</v>
          </cell>
          <cell r="BW2171">
            <v>23.901518972811779</v>
          </cell>
          <cell r="BX2171">
            <v>15.713059154269443</v>
          </cell>
          <cell r="BY2171">
            <v>32.089978791354113</v>
          </cell>
        </row>
        <row r="2172">
          <cell r="A2172">
            <v>42566</v>
          </cell>
          <cell r="BF2172">
            <v>39.899834991619258</v>
          </cell>
          <cell r="BG2172">
            <v>45.468715051806292</v>
          </cell>
          <cell r="BH2172">
            <v>42.408178994289898</v>
          </cell>
          <cell r="BI2172">
            <v>30.406703917126244</v>
          </cell>
          <cell r="BJ2172">
            <v>54.409654071453552</v>
          </cell>
          <cell r="BU2172">
            <v>26.3357349835284</v>
          </cell>
          <cell r="BV2172">
            <v>29.635401891862816</v>
          </cell>
          <cell r="BW2172">
            <v>23.901518972811779</v>
          </cell>
          <cell r="BX2172">
            <v>15.713059154269443</v>
          </cell>
          <cell r="BY2172">
            <v>32.089978791354113</v>
          </cell>
        </row>
        <row r="2173">
          <cell r="A2173">
            <v>42569</v>
          </cell>
          <cell r="BF2173">
            <v>40.128299477238677</v>
          </cell>
          <cell r="BG2173">
            <v>45.468715051806292</v>
          </cell>
          <cell r="BH2173">
            <v>42.408178994289898</v>
          </cell>
          <cell r="BI2173">
            <v>30.406703917126244</v>
          </cell>
          <cell r="BJ2173">
            <v>54.409654071453552</v>
          </cell>
          <cell r="BU2173">
            <v>26.489492036908096</v>
          </cell>
          <cell r="BV2173">
            <v>29.635401891862816</v>
          </cell>
          <cell r="BW2173">
            <v>23.901518972811779</v>
          </cell>
          <cell r="BX2173">
            <v>15.713059154269443</v>
          </cell>
          <cell r="BY2173">
            <v>32.089978791354113</v>
          </cell>
        </row>
        <row r="2174">
          <cell r="A2174">
            <v>42570</v>
          </cell>
          <cell r="BF2174">
            <v>39.889517733373467</v>
          </cell>
          <cell r="BG2174">
            <v>45.468715051806292</v>
          </cell>
          <cell r="BH2174">
            <v>42.408178994289898</v>
          </cell>
          <cell r="BI2174">
            <v>30.406703917126244</v>
          </cell>
          <cell r="BJ2174">
            <v>54.409654071453552</v>
          </cell>
          <cell r="BU2174">
            <v>26.330369577514535</v>
          </cell>
          <cell r="BV2174">
            <v>29.635401891862816</v>
          </cell>
          <cell r="BW2174">
            <v>23.901518972811779</v>
          </cell>
          <cell r="BX2174">
            <v>15.713059154269443</v>
          </cell>
          <cell r="BY2174">
            <v>32.089978791354113</v>
          </cell>
        </row>
        <row r="2175">
          <cell r="A2175">
            <v>42571</v>
          </cell>
          <cell r="BF2175">
            <v>40.95577796810008</v>
          </cell>
          <cell r="BG2175">
            <v>45.468715051806292</v>
          </cell>
          <cell r="BH2175">
            <v>42.408178994289898</v>
          </cell>
          <cell r="BI2175">
            <v>30.406703917126244</v>
          </cell>
          <cell r="BJ2175">
            <v>54.409654071453552</v>
          </cell>
          <cell r="BU2175">
            <v>27.029427808578031</v>
          </cell>
          <cell r="BV2175">
            <v>29.635401891862816</v>
          </cell>
          <cell r="BW2175">
            <v>23.901518972811779</v>
          </cell>
          <cell r="BX2175">
            <v>15.713059154269443</v>
          </cell>
          <cell r="BY2175">
            <v>32.089978791354113</v>
          </cell>
        </row>
        <row r="2176">
          <cell r="A2176">
            <v>42572</v>
          </cell>
          <cell r="BF2176">
            <v>40.612220750725619</v>
          </cell>
          <cell r="BG2176">
            <v>45.468715051806292</v>
          </cell>
          <cell r="BH2176">
            <v>42.408178994289898</v>
          </cell>
          <cell r="BI2176">
            <v>30.406703917126244</v>
          </cell>
          <cell r="BJ2176">
            <v>54.409654071453552</v>
          </cell>
          <cell r="BU2176">
            <v>26.800580101222202</v>
          </cell>
          <cell r="BV2176">
            <v>29.635401891862816</v>
          </cell>
          <cell r="BW2176">
            <v>23.901518972811779</v>
          </cell>
          <cell r="BX2176">
            <v>15.713059154269443</v>
          </cell>
          <cell r="BY2176">
            <v>32.089978791354113</v>
          </cell>
        </row>
        <row r="2177">
          <cell r="A2177">
            <v>42573</v>
          </cell>
          <cell r="BF2177">
            <v>40.464598508885032</v>
          </cell>
          <cell r="BG2177">
            <v>45.468715051806292</v>
          </cell>
          <cell r="BH2177">
            <v>42.408178994289898</v>
          </cell>
          <cell r="BI2177">
            <v>30.406703917126244</v>
          </cell>
          <cell r="BJ2177">
            <v>54.409654071453552</v>
          </cell>
          <cell r="BU2177">
            <v>26.70224710196775</v>
          </cell>
          <cell r="BV2177">
            <v>29.635401891862816</v>
          </cell>
          <cell r="BW2177">
            <v>23.901518972811779</v>
          </cell>
          <cell r="BX2177">
            <v>15.713059154269443</v>
          </cell>
          <cell r="BY2177">
            <v>32.089978791354113</v>
          </cell>
        </row>
        <row r="2178">
          <cell r="A2178">
            <v>42576</v>
          </cell>
          <cell r="BF2178">
            <v>40.393495138519093</v>
          </cell>
          <cell r="BG2178">
            <v>45.468715051806292</v>
          </cell>
          <cell r="BH2178">
            <v>42.408178994289898</v>
          </cell>
          <cell r="BI2178">
            <v>30.406703917126244</v>
          </cell>
          <cell r="BJ2178">
            <v>54.409654071453552</v>
          </cell>
          <cell r="BU2178">
            <v>26.631042222334564</v>
          </cell>
          <cell r="BV2178">
            <v>29.635401891862816</v>
          </cell>
          <cell r="BW2178">
            <v>23.901518972811779</v>
          </cell>
          <cell r="BX2178">
            <v>15.713059154269443</v>
          </cell>
          <cell r="BY2178">
            <v>32.089978791354113</v>
          </cell>
        </row>
        <row r="2179">
          <cell r="A2179">
            <v>42577</v>
          </cell>
          <cell r="BF2179">
            <v>40.1803816154505</v>
          </cell>
          <cell r="BG2179">
            <v>45.468715051806292</v>
          </cell>
          <cell r="BH2179">
            <v>42.408178994289898</v>
          </cell>
          <cell r="BI2179">
            <v>30.406703917126244</v>
          </cell>
          <cell r="BJ2179">
            <v>54.409654071453552</v>
          </cell>
          <cell r="BU2179">
            <v>26.450341768718417</v>
          </cell>
          <cell r="BV2179">
            <v>29.635401891862816</v>
          </cell>
          <cell r="BW2179">
            <v>23.901518972811779</v>
          </cell>
          <cell r="BX2179">
            <v>15.713059154269443</v>
          </cell>
          <cell r="BY2179">
            <v>32.089978791354113</v>
          </cell>
        </row>
        <row r="2180">
          <cell r="A2180">
            <v>42578</v>
          </cell>
          <cell r="BF2180">
            <v>42.344635748054579</v>
          </cell>
          <cell r="BG2180">
            <v>45.468715051806292</v>
          </cell>
          <cell r="BH2180">
            <v>42.408178994289898</v>
          </cell>
          <cell r="BI2180">
            <v>30.406703917126244</v>
          </cell>
          <cell r="BJ2180">
            <v>54.409654071453552</v>
          </cell>
          <cell r="BU2180">
            <v>27.961248562109724</v>
          </cell>
          <cell r="BV2180">
            <v>29.635401891862816</v>
          </cell>
          <cell r="BW2180">
            <v>23.901518972811779</v>
          </cell>
          <cell r="BX2180">
            <v>15.713059154269443</v>
          </cell>
          <cell r="BY2180">
            <v>32.089978791354113</v>
          </cell>
        </row>
        <row r="2181">
          <cell r="A2181">
            <v>42579</v>
          </cell>
          <cell r="BF2181">
            <v>43.395988613402992</v>
          </cell>
          <cell r="BG2181">
            <v>45.468715051806292</v>
          </cell>
          <cell r="BH2181">
            <v>42.408178994289898</v>
          </cell>
          <cell r="BI2181">
            <v>30.406703917126244</v>
          </cell>
          <cell r="BJ2181">
            <v>54.409654071453552</v>
          </cell>
          <cell r="BU2181">
            <v>28.690869707449679</v>
          </cell>
          <cell r="BV2181">
            <v>29.635401891862816</v>
          </cell>
          <cell r="BW2181">
            <v>23.901518972811779</v>
          </cell>
          <cell r="BX2181">
            <v>15.713059154269443</v>
          </cell>
          <cell r="BY2181">
            <v>32.089978791354113</v>
          </cell>
        </row>
        <row r="2182">
          <cell r="A2182">
            <v>42580</v>
          </cell>
          <cell r="BF2182">
            <v>43.377737890875345</v>
          </cell>
          <cell r="BG2182">
            <v>45.468715051806292</v>
          </cell>
          <cell r="BH2182">
            <v>42.408178994289898</v>
          </cell>
          <cell r="BI2182">
            <v>30.406703917126244</v>
          </cell>
          <cell r="BJ2182">
            <v>54.409654071453552</v>
          </cell>
          <cell r="BU2182">
            <v>28.678623620168544</v>
          </cell>
          <cell r="BV2182">
            <v>29.635401891862816</v>
          </cell>
          <cell r="BW2182">
            <v>23.901518972811779</v>
          </cell>
          <cell r="BX2182">
            <v>15.713059154269443</v>
          </cell>
          <cell r="BY2182">
            <v>32.089978791354113</v>
          </cell>
        </row>
        <row r="2183">
          <cell r="A2183">
            <v>42583</v>
          </cell>
          <cell r="BF2183">
            <v>43.968775684957969</v>
          </cell>
          <cell r="BG2183">
            <v>45.468715051806292</v>
          </cell>
          <cell r="BH2183">
            <v>42.408178994289898</v>
          </cell>
          <cell r="BI2183">
            <v>30.406703917126244</v>
          </cell>
          <cell r="BJ2183">
            <v>54.409654071453552</v>
          </cell>
          <cell r="BU2183">
            <v>29.095307202840051</v>
          </cell>
          <cell r="BV2183">
            <v>29.635401891862816</v>
          </cell>
          <cell r="BW2183">
            <v>23.901518972811779</v>
          </cell>
          <cell r="BX2183">
            <v>15.713059154269443</v>
          </cell>
          <cell r="BY2183">
            <v>32.089978791354113</v>
          </cell>
        </row>
        <row r="2184">
          <cell r="A2184">
            <v>42584</v>
          </cell>
          <cell r="BF2184">
            <v>42.863525943582196</v>
          </cell>
          <cell r="BG2184">
            <v>45.468715051806292</v>
          </cell>
          <cell r="BH2184">
            <v>42.408178994289898</v>
          </cell>
          <cell r="BI2184">
            <v>30.406703917126244</v>
          </cell>
          <cell r="BJ2184">
            <v>54.409654071453552</v>
          </cell>
          <cell r="BU2184">
            <v>28.992453591676131</v>
          </cell>
          <cell r="BV2184">
            <v>29.635401891862816</v>
          </cell>
          <cell r="BW2184">
            <v>23.901518972811779</v>
          </cell>
          <cell r="BX2184">
            <v>15.713059154269443</v>
          </cell>
          <cell r="BY2184">
            <v>32.089978791354113</v>
          </cell>
        </row>
        <row r="2185">
          <cell r="A2185">
            <v>42585</v>
          </cell>
          <cell r="BF2185">
            <v>42.383329652668948</v>
          </cell>
          <cell r="BG2185">
            <v>45.468715051806292</v>
          </cell>
          <cell r="BH2185">
            <v>42.408178994289898</v>
          </cell>
          <cell r="BI2185">
            <v>30.406703917126244</v>
          </cell>
          <cell r="BJ2185">
            <v>54.409654071453552</v>
          </cell>
          <cell r="BU2185">
            <v>28.992453591676131</v>
          </cell>
          <cell r="BV2185">
            <v>29.635401891862816</v>
          </cell>
          <cell r="BW2185">
            <v>23.901518972811779</v>
          </cell>
          <cell r="BX2185">
            <v>15.713059154269443</v>
          </cell>
          <cell r="BY2185">
            <v>32.089978791354113</v>
          </cell>
        </row>
        <row r="2186">
          <cell r="A2186">
            <v>42586</v>
          </cell>
          <cell r="BF2186">
            <v>42.539972061161556</v>
          </cell>
          <cell r="BG2186">
            <v>45.468715051806292</v>
          </cell>
          <cell r="BH2186">
            <v>42.408178994289898</v>
          </cell>
          <cell r="BI2186">
            <v>30.406703917126244</v>
          </cell>
          <cell r="BJ2186">
            <v>54.409654071453552</v>
          </cell>
          <cell r="BU2186">
            <v>28.992453591676131</v>
          </cell>
          <cell r="BV2186">
            <v>29.635401891862816</v>
          </cell>
          <cell r="BW2186">
            <v>23.901518972811779</v>
          </cell>
          <cell r="BX2186">
            <v>15.713059154269443</v>
          </cell>
          <cell r="BY2186">
            <v>32.089978791354113</v>
          </cell>
        </row>
        <row r="2187">
          <cell r="A2187">
            <v>42587</v>
          </cell>
          <cell r="BF2187">
            <v>42.763377518480375</v>
          </cell>
          <cell r="BG2187">
            <v>45.468715051806292</v>
          </cell>
          <cell r="BH2187">
            <v>42.408178994289898</v>
          </cell>
          <cell r="BI2187">
            <v>30.406703917126244</v>
          </cell>
          <cell r="BJ2187">
            <v>54.409654071453552</v>
          </cell>
          <cell r="BU2187">
            <v>28.992453591676131</v>
          </cell>
          <cell r="BV2187">
            <v>29.635401891862816</v>
          </cell>
          <cell r="BW2187">
            <v>23.901518972811779</v>
          </cell>
          <cell r="BX2187">
            <v>15.713059154269443</v>
          </cell>
          <cell r="BY2187">
            <v>32.089978791354113</v>
          </cell>
        </row>
        <row r="2188">
          <cell r="A2188">
            <v>42590</v>
          </cell>
          <cell r="BF2188">
            <v>42.715422988561144</v>
          </cell>
          <cell r="BG2188">
            <v>45.468715051806292</v>
          </cell>
          <cell r="BH2188">
            <v>42.408178994289898</v>
          </cell>
          <cell r="BI2188">
            <v>30.406703917126244</v>
          </cell>
          <cell r="BJ2188">
            <v>54.409654071453552</v>
          </cell>
          <cell r="BU2188">
            <v>28.251833925557701</v>
          </cell>
          <cell r="BV2188">
            <v>29.635401891862816</v>
          </cell>
          <cell r="BW2188">
            <v>23.901518972811779</v>
          </cell>
          <cell r="BX2188">
            <v>15.713059154269443</v>
          </cell>
          <cell r="BY2188">
            <v>32.089978791354113</v>
          </cell>
        </row>
        <row r="2189">
          <cell r="A2189">
            <v>42591</v>
          </cell>
          <cell r="BF2189">
            <v>42.480759363780543</v>
          </cell>
          <cell r="BG2189">
            <v>45.468715051806292</v>
          </cell>
          <cell r="BH2189">
            <v>42.408178994289898</v>
          </cell>
          <cell r="BI2189">
            <v>30.406703917126244</v>
          </cell>
          <cell r="BJ2189">
            <v>54.409654071453552</v>
          </cell>
          <cell r="BU2189">
            <v>28.102488516507748</v>
          </cell>
          <cell r="BV2189">
            <v>29.635401891862816</v>
          </cell>
          <cell r="BW2189">
            <v>23.901518972811779</v>
          </cell>
          <cell r="BX2189">
            <v>15.713059154269443</v>
          </cell>
          <cell r="BY2189">
            <v>32.089978791354113</v>
          </cell>
        </row>
        <row r="2190">
          <cell r="A2190">
            <v>42592</v>
          </cell>
          <cell r="BF2190">
            <v>42.580810672143812</v>
          </cell>
          <cell r="BG2190">
            <v>45.468715051806292</v>
          </cell>
          <cell r="BH2190">
            <v>42.408178994289898</v>
          </cell>
          <cell r="BI2190">
            <v>30.406703917126244</v>
          </cell>
          <cell r="BJ2190">
            <v>54.409654071453552</v>
          </cell>
          <cell r="BU2190">
            <v>28.169435688987928</v>
          </cell>
          <cell r="BV2190">
            <v>29.635401891862816</v>
          </cell>
          <cell r="BW2190">
            <v>23.901518972811779</v>
          </cell>
          <cell r="BX2190">
            <v>15.713059154269443</v>
          </cell>
          <cell r="BY2190">
            <v>32.089978791354113</v>
          </cell>
        </row>
        <row r="2191">
          <cell r="A2191">
            <v>42593</v>
          </cell>
          <cell r="BF2191">
            <v>43.104158542846797</v>
          </cell>
          <cell r="BG2191">
            <v>45.468715051806292</v>
          </cell>
          <cell r="BH2191">
            <v>42.408178994289898</v>
          </cell>
          <cell r="BI2191">
            <v>30.406703917126244</v>
          </cell>
          <cell r="BJ2191">
            <v>54.409654071453552</v>
          </cell>
          <cell r="BU2191">
            <v>28.519622615478422</v>
          </cell>
          <cell r="BV2191">
            <v>29.635401891862816</v>
          </cell>
          <cell r="BW2191">
            <v>23.901518972811779</v>
          </cell>
          <cell r="BX2191">
            <v>15.713059154269443</v>
          </cell>
          <cell r="BY2191">
            <v>32.089978791354113</v>
          </cell>
        </row>
        <row r="2192">
          <cell r="A2192">
            <v>42594</v>
          </cell>
          <cell r="BF2192">
            <v>42.839920472041229</v>
          </cell>
          <cell r="BG2192">
            <v>45.468715051806292</v>
          </cell>
          <cell r="BH2192">
            <v>42.408178994289898</v>
          </cell>
          <cell r="BI2192">
            <v>30.406703917126244</v>
          </cell>
          <cell r="BJ2192">
            <v>54.409654071453552</v>
          </cell>
          <cell r="BU2192">
            <v>28.342813416364098</v>
          </cell>
          <cell r="BV2192">
            <v>29.635401891862816</v>
          </cell>
          <cell r="BW2192">
            <v>23.901518972811779</v>
          </cell>
          <cell r="BX2192">
            <v>15.713059154269443</v>
          </cell>
          <cell r="BY2192">
            <v>32.089978791354113</v>
          </cell>
        </row>
        <row r="2193">
          <cell r="A2193">
            <v>42597</v>
          </cell>
          <cell r="BF2193">
            <v>44.477781208125862</v>
          </cell>
          <cell r="BG2193">
            <v>45.468715051806292</v>
          </cell>
          <cell r="BH2193">
            <v>42.408178994289898</v>
          </cell>
          <cell r="BI2193">
            <v>30.406703917126244</v>
          </cell>
          <cell r="BJ2193">
            <v>54.409654071453552</v>
          </cell>
          <cell r="BU2193">
            <v>29.43628390020703</v>
          </cell>
          <cell r="BV2193">
            <v>29.635401891862816</v>
          </cell>
          <cell r="BW2193">
            <v>23.901518972811779</v>
          </cell>
          <cell r="BX2193">
            <v>15.713059154269443</v>
          </cell>
          <cell r="BY2193">
            <v>32.089978791354113</v>
          </cell>
        </row>
        <row r="2194">
          <cell r="A2194">
            <v>42598</v>
          </cell>
          <cell r="BF2194">
            <v>43.504833870434403</v>
          </cell>
          <cell r="BG2194">
            <v>45.468715051806292</v>
          </cell>
          <cell r="BH2194">
            <v>42.408178994289898</v>
          </cell>
          <cell r="BI2194">
            <v>30.406703917126244</v>
          </cell>
          <cell r="BJ2194">
            <v>54.409654071453552</v>
          </cell>
          <cell r="BU2194">
            <v>28.83135116368048</v>
          </cell>
          <cell r="BV2194">
            <v>29.635401891862816</v>
          </cell>
          <cell r="BW2194">
            <v>23.901518972811779</v>
          </cell>
          <cell r="BX2194">
            <v>15.713059154269443</v>
          </cell>
          <cell r="BY2194">
            <v>32.089978791354113</v>
          </cell>
        </row>
        <row r="2195">
          <cell r="A2195">
            <v>42599</v>
          </cell>
          <cell r="BF2195">
            <v>43.376614495632062</v>
          </cell>
          <cell r="BG2195">
            <v>45.468715051806292</v>
          </cell>
          <cell r="BH2195">
            <v>42.408178994289898</v>
          </cell>
          <cell r="BI2195">
            <v>30.406703917126244</v>
          </cell>
          <cell r="BJ2195">
            <v>54.409654071453552</v>
          </cell>
          <cell r="BU2195">
            <v>28.74542630940881</v>
          </cell>
          <cell r="BV2195">
            <v>29.635401891862816</v>
          </cell>
          <cell r="BW2195">
            <v>23.901518972811779</v>
          </cell>
          <cell r="BX2195">
            <v>15.713059154269443</v>
          </cell>
          <cell r="BY2195">
            <v>32.089978791354113</v>
          </cell>
        </row>
        <row r="2196">
          <cell r="A2196">
            <v>42600</v>
          </cell>
          <cell r="BF2196">
            <v>44.195773834150827</v>
          </cell>
          <cell r="BG2196">
            <v>45.468715051806292</v>
          </cell>
          <cell r="BH2196">
            <v>42.408178994289898</v>
          </cell>
          <cell r="BI2196">
            <v>30.406703917126244</v>
          </cell>
          <cell r="BJ2196">
            <v>54.409654071453552</v>
          </cell>
          <cell r="BU2196">
            <v>29.298782370918378</v>
          </cell>
          <cell r="BV2196">
            <v>29.635401891862816</v>
          </cell>
          <cell r="BW2196">
            <v>23.901518972811779</v>
          </cell>
          <cell r="BX2196">
            <v>15.713059154269443</v>
          </cell>
          <cell r="BY2196">
            <v>32.089978791354113</v>
          </cell>
        </row>
        <row r="2197">
          <cell r="A2197">
            <v>42601</v>
          </cell>
          <cell r="BF2197">
            <v>44.010425568283317</v>
          </cell>
          <cell r="BG2197">
            <v>45.468715051806292</v>
          </cell>
          <cell r="BH2197">
            <v>42.408178994289898</v>
          </cell>
          <cell r="BI2197">
            <v>30.406703917126244</v>
          </cell>
          <cell r="BJ2197">
            <v>54.409654071453552</v>
          </cell>
          <cell r="BU2197">
            <v>29.198122497542499</v>
          </cell>
          <cell r="BV2197">
            <v>29.635401891862816</v>
          </cell>
          <cell r="BW2197">
            <v>23.901518972811779</v>
          </cell>
          <cell r="BX2197">
            <v>15.713059154269443</v>
          </cell>
          <cell r="BY2197">
            <v>32.089978791354113</v>
          </cell>
        </row>
        <row r="2198">
          <cell r="A2198">
            <v>42604</v>
          </cell>
          <cell r="BF2198">
            <v>44.543667749107165</v>
          </cell>
          <cell r="BG2198">
            <v>45.468715051806292</v>
          </cell>
          <cell r="BH2198">
            <v>42.408178994289898</v>
          </cell>
          <cell r="BI2198">
            <v>30.406703917126244</v>
          </cell>
          <cell r="BJ2198">
            <v>54.409654071453552</v>
          </cell>
          <cell r="BU2198">
            <v>29.555810426463559</v>
          </cell>
          <cell r="BV2198">
            <v>29.635401891862816</v>
          </cell>
          <cell r="BW2198">
            <v>23.901518972811779</v>
          </cell>
          <cell r="BX2198">
            <v>15.713059154269443</v>
          </cell>
          <cell r="BY2198">
            <v>32.089978791354113</v>
          </cell>
        </row>
        <row r="2199">
          <cell r="A2199">
            <v>42605</v>
          </cell>
          <cell r="BF2199">
            <v>44.297555973342313</v>
          </cell>
          <cell r="BG2199">
            <v>45.468715051806292</v>
          </cell>
          <cell r="BH2199">
            <v>42.408178994289898</v>
          </cell>
          <cell r="BI2199">
            <v>30.406703917126244</v>
          </cell>
          <cell r="BJ2199">
            <v>54.409654071453552</v>
          </cell>
          <cell r="BU2199">
            <v>29.390723690038453</v>
          </cell>
          <cell r="BV2199">
            <v>29.635401891862816</v>
          </cell>
          <cell r="BW2199">
            <v>23.901518972811779</v>
          </cell>
          <cell r="BX2199">
            <v>15.713059154269443</v>
          </cell>
          <cell r="BY2199">
            <v>32.089978791354113</v>
          </cell>
        </row>
        <row r="2200">
          <cell r="A2200">
            <v>42606</v>
          </cell>
          <cell r="BF2200">
            <v>43.464365065805055</v>
          </cell>
          <cell r="BG2200">
            <v>45.468715051806292</v>
          </cell>
          <cell r="BH2200">
            <v>42.408178994289898</v>
          </cell>
          <cell r="BI2200">
            <v>30.406703917126244</v>
          </cell>
          <cell r="BJ2200">
            <v>54.409654071453552</v>
          </cell>
          <cell r="BU2200">
            <v>28.831836301099305</v>
          </cell>
          <cell r="BV2200">
            <v>29.635401891862816</v>
          </cell>
          <cell r="BW2200">
            <v>23.901518972811779</v>
          </cell>
          <cell r="BX2200">
            <v>15.713059154269443</v>
          </cell>
          <cell r="BY2200">
            <v>32.089978791354113</v>
          </cell>
        </row>
        <row r="2201">
          <cell r="A2201">
            <v>42607</v>
          </cell>
          <cell r="BF2201">
            <v>43.448983079819754</v>
          </cell>
          <cell r="BG2201">
            <v>45.468715051806292</v>
          </cell>
          <cell r="BH2201">
            <v>42.408178994289898</v>
          </cell>
          <cell r="BI2201">
            <v>30.406703917126244</v>
          </cell>
          <cell r="BJ2201">
            <v>54.409654071453552</v>
          </cell>
          <cell r="BU2201">
            <v>28.821518380072739</v>
          </cell>
          <cell r="BV2201">
            <v>29.635401891862816</v>
          </cell>
          <cell r="BW2201">
            <v>23.901518972811779</v>
          </cell>
          <cell r="BX2201">
            <v>15.713059154269443</v>
          </cell>
          <cell r="BY2201">
            <v>32.089978791354113</v>
          </cell>
        </row>
        <row r="2202">
          <cell r="A2202">
            <v>42608</v>
          </cell>
          <cell r="BF2202">
            <v>44.148866005815385</v>
          </cell>
          <cell r="BG2202">
            <v>45.468715051806292</v>
          </cell>
          <cell r="BH2202">
            <v>42.408178994289898</v>
          </cell>
          <cell r="BI2202">
            <v>30.406703917126244</v>
          </cell>
          <cell r="BJ2202">
            <v>54.409654071453552</v>
          </cell>
          <cell r="BU2202">
            <v>29.290985506435128</v>
          </cell>
          <cell r="BV2202">
            <v>29.635401891862816</v>
          </cell>
          <cell r="BW2202">
            <v>23.901518972811779</v>
          </cell>
          <cell r="BX2202">
            <v>15.713059154269443</v>
          </cell>
          <cell r="BY2202">
            <v>32.089978791354113</v>
          </cell>
        </row>
        <row r="2203">
          <cell r="A2203">
            <v>42611</v>
          </cell>
          <cell r="BF2203">
            <v>43.689967526922835</v>
          </cell>
          <cell r="BG2203">
            <v>45.468715051806292</v>
          </cell>
          <cell r="BH2203">
            <v>42.408178994289898</v>
          </cell>
          <cell r="BI2203">
            <v>30.406703917126244</v>
          </cell>
          <cell r="BJ2203">
            <v>54.409654071453552</v>
          </cell>
          <cell r="BU2203">
            <v>28.98316580948898</v>
          </cell>
          <cell r="BV2203">
            <v>29.635401891862816</v>
          </cell>
          <cell r="BW2203">
            <v>23.901518972811779</v>
          </cell>
          <cell r="BX2203">
            <v>15.713059154269443</v>
          </cell>
          <cell r="BY2203">
            <v>32.089978791354113</v>
          </cell>
        </row>
        <row r="2204">
          <cell r="A2204">
            <v>42612</v>
          </cell>
          <cell r="BF2204">
            <v>43.323366091270778</v>
          </cell>
          <cell r="BG2204">
            <v>45.468715051806292</v>
          </cell>
          <cell r="BH2204">
            <v>42.408178994289898</v>
          </cell>
          <cell r="BI2204">
            <v>30.406703917126244</v>
          </cell>
          <cell r="BJ2204">
            <v>54.409654071453552</v>
          </cell>
          <cell r="BU2204">
            <v>28.737257078009268</v>
          </cell>
          <cell r="BV2204">
            <v>29.635401891862816</v>
          </cell>
          <cell r="BW2204">
            <v>23.901518972811779</v>
          </cell>
          <cell r="BX2204">
            <v>15.713059154269443</v>
          </cell>
          <cell r="BY2204">
            <v>32.089978791354113</v>
          </cell>
        </row>
        <row r="2205">
          <cell r="A2205">
            <v>42613</v>
          </cell>
          <cell r="BF2205">
            <v>43.156725346098995</v>
          </cell>
          <cell r="BG2205">
            <v>45.468715051806292</v>
          </cell>
          <cell r="BH2205">
            <v>42.408178994289898</v>
          </cell>
          <cell r="BI2205">
            <v>30.406703917126244</v>
          </cell>
          <cell r="BJ2205">
            <v>54.409654071453552</v>
          </cell>
          <cell r="BU2205">
            <v>28.625477880567935</v>
          </cell>
          <cell r="BV2205">
            <v>29.635401891862816</v>
          </cell>
          <cell r="BW2205">
            <v>23.901518972811779</v>
          </cell>
          <cell r="BX2205">
            <v>15.713059154269443</v>
          </cell>
          <cell r="BY2205">
            <v>32.089978791354113</v>
          </cell>
        </row>
        <row r="2206">
          <cell r="A2206">
            <v>42614</v>
          </cell>
          <cell r="BF2206">
            <v>42.705852546237651</v>
          </cell>
          <cell r="BG2206">
            <v>45.468715051806292</v>
          </cell>
          <cell r="BH2206">
            <v>42.408178994289898</v>
          </cell>
          <cell r="BI2206">
            <v>30.406703917126244</v>
          </cell>
          <cell r="BJ2206">
            <v>54.409654071453552</v>
          </cell>
          <cell r="BU2206">
            <v>28.33991575129831</v>
          </cell>
          <cell r="BV2206">
            <v>29.635401891862816</v>
          </cell>
          <cell r="BW2206">
            <v>23.901518972811779</v>
          </cell>
          <cell r="BX2206">
            <v>15.713059154269443</v>
          </cell>
          <cell r="BY2206">
            <v>32.089978791354113</v>
          </cell>
        </row>
        <row r="2207">
          <cell r="A2207">
            <v>42615</v>
          </cell>
          <cell r="BF2207">
            <v>42.538636939447684</v>
          </cell>
          <cell r="BG2207">
            <v>45.468715051806292</v>
          </cell>
          <cell r="BH2207">
            <v>42.408178994289898</v>
          </cell>
          <cell r="BI2207">
            <v>30.406703917126244</v>
          </cell>
          <cell r="BJ2207">
            <v>54.409654071453552</v>
          </cell>
          <cell r="BU2207">
            <v>28.227699154194831</v>
          </cell>
          <cell r="BV2207">
            <v>29.635401891862816</v>
          </cell>
          <cell r="BW2207">
            <v>23.901518972811779</v>
          </cell>
          <cell r="BX2207">
            <v>15.713059154269443</v>
          </cell>
          <cell r="BY2207">
            <v>32.089978791354113</v>
          </cell>
        </row>
        <row r="2208">
          <cell r="A2208">
            <v>42618</v>
          </cell>
          <cell r="BF2208">
            <v>42.540307511442691</v>
          </cell>
          <cell r="BG2208">
            <v>45.468715051806292</v>
          </cell>
          <cell r="BH2208">
            <v>42.408178994289898</v>
          </cell>
          <cell r="BI2208">
            <v>30.406703917126244</v>
          </cell>
          <cell r="BJ2208">
            <v>54.409654071453552</v>
          </cell>
          <cell r="BU2208">
            <v>28.227699154194831</v>
          </cell>
          <cell r="BV2208">
            <v>29.635401891862816</v>
          </cell>
          <cell r="BW2208">
            <v>23.901518972811779</v>
          </cell>
          <cell r="BX2208">
            <v>15.713059154269443</v>
          </cell>
          <cell r="BY2208">
            <v>32.089978791354113</v>
          </cell>
        </row>
        <row r="2209">
          <cell r="A2209">
            <v>42619</v>
          </cell>
          <cell r="BF2209">
            <v>43.117984111359839</v>
          </cell>
          <cell r="BG2209">
            <v>45.468715051806292</v>
          </cell>
          <cell r="BH2209">
            <v>42.408178994289898</v>
          </cell>
          <cell r="BI2209">
            <v>30.406703917126244</v>
          </cell>
          <cell r="BJ2209">
            <v>54.409654071453552</v>
          </cell>
          <cell r="BU2209">
            <v>28.615356489643229</v>
          </cell>
          <cell r="BV2209">
            <v>29.635401891862816</v>
          </cell>
          <cell r="BW2209">
            <v>23.901518972811779</v>
          </cell>
          <cell r="BX2209">
            <v>15.713059154269443</v>
          </cell>
          <cell r="BY2209">
            <v>32.089978791354113</v>
          </cell>
        </row>
        <row r="2210">
          <cell r="A2210">
            <v>42620</v>
          </cell>
          <cell r="BF2210">
            <v>42.965966487156194</v>
          </cell>
          <cell r="BG2210">
            <v>45.468715051806292</v>
          </cell>
          <cell r="BH2210">
            <v>42.408178994289898</v>
          </cell>
          <cell r="BI2210">
            <v>30.406703917126244</v>
          </cell>
          <cell r="BJ2210">
            <v>54.409654071453552</v>
          </cell>
          <cell r="BU2210">
            <v>28.513343101618805</v>
          </cell>
          <cell r="BV2210">
            <v>29.635401891862816</v>
          </cell>
          <cell r="BW2210">
            <v>23.901518972811779</v>
          </cell>
          <cell r="BX2210">
            <v>15.713059154269443</v>
          </cell>
          <cell r="BY2210">
            <v>32.089978791354113</v>
          </cell>
        </row>
        <row r="2211">
          <cell r="A2211">
            <v>42621</v>
          </cell>
          <cell r="BF2211">
            <v>43.090116282752426</v>
          </cell>
          <cell r="BG2211">
            <v>45.468715051806292</v>
          </cell>
          <cell r="BH2211">
            <v>42.408178994289898</v>
          </cell>
          <cell r="BI2211">
            <v>30.406703917126244</v>
          </cell>
          <cell r="BJ2211">
            <v>54.409654071453552</v>
          </cell>
          <cell r="BU2211">
            <v>28.596655423710789</v>
          </cell>
          <cell r="BV2211">
            <v>29.635401891862816</v>
          </cell>
          <cell r="BW2211">
            <v>23.901518972811779</v>
          </cell>
          <cell r="BX2211">
            <v>15.713059154269443</v>
          </cell>
          <cell r="BY2211">
            <v>32.089978791354113</v>
          </cell>
        </row>
        <row r="2212">
          <cell r="A2212">
            <v>42622</v>
          </cell>
          <cell r="BF2212">
            <v>41.773838454228702</v>
          </cell>
          <cell r="BG2212">
            <v>45.468715051806292</v>
          </cell>
          <cell r="BH2212">
            <v>42.408178994289898</v>
          </cell>
          <cell r="BI2212">
            <v>30.406703917126244</v>
          </cell>
          <cell r="BJ2212">
            <v>54.409654071453552</v>
          </cell>
          <cell r="BU2212">
            <v>27.709124155710494</v>
          </cell>
          <cell r="BV2212">
            <v>29.635401891862816</v>
          </cell>
          <cell r="BW2212">
            <v>23.901518972811779</v>
          </cell>
          <cell r="BX2212">
            <v>15.713059154269443</v>
          </cell>
          <cell r="BY2212">
            <v>32.089978791354113</v>
          </cell>
        </row>
        <row r="2213">
          <cell r="A2213">
            <v>42625</v>
          </cell>
          <cell r="BF2213">
            <v>43.258792524548632</v>
          </cell>
          <cell r="BG2213">
            <v>45.468715051806292</v>
          </cell>
          <cell r="BH2213">
            <v>42.408178994289898</v>
          </cell>
          <cell r="BI2213">
            <v>30.406703917126244</v>
          </cell>
          <cell r="BJ2213">
            <v>54.409654071453552</v>
          </cell>
          <cell r="BU2213">
            <v>28.705471517871747</v>
          </cell>
          <cell r="BV2213">
            <v>29.635401891862816</v>
          </cell>
          <cell r="BW2213">
            <v>23.901518972811779</v>
          </cell>
          <cell r="BX2213">
            <v>15.713059154269443</v>
          </cell>
          <cell r="BY2213">
            <v>32.089978791354113</v>
          </cell>
        </row>
        <row r="2214">
          <cell r="A2214">
            <v>42626</v>
          </cell>
          <cell r="BF2214">
            <v>43.116883116883123</v>
          </cell>
          <cell r="BG2214">
            <v>45.468715051806292</v>
          </cell>
          <cell r="BH2214">
            <v>42.408178994289898</v>
          </cell>
          <cell r="BI2214">
            <v>30.406703917126244</v>
          </cell>
          <cell r="BJ2214">
            <v>54.409654071453552</v>
          </cell>
          <cell r="BU2214">
            <v>28.610255735229437</v>
          </cell>
          <cell r="BV2214">
            <v>29.635401891862816</v>
          </cell>
          <cell r="BW2214">
            <v>23.901518972811779</v>
          </cell>
          <cell r="BX2214">
            <v>15.713059154269443</v>
          </cell>
          <cell r="BY2214">
            <v>32.089978791354113</v>
          </cell>
        </row>
        <row r="2215">
          <cell r="A2215">
            <v>42627</v>
          </cell>
          <cell r="BF2215">
            <v>43.529933481153002</v>
          </cell>
          <cell r="BG2215">
            <v>45.468715051806292</v>
          </cell>
          <cell r="BH2215">
            <v>42.408178994289898</v>
          </cell>
          <cell r="BI2215">
            <v>30.406703917126244</v>
          </cell>
          <cell r="BJ2215">
            <v>54.409654071453552</v>
          </cell>
          <cell r="BU2215">
            <v>28.887396725045615</v>
          </cell>
          <cell r="BV2215">
            <v>29.635401891862816</v>
          </cell>
          <cell r="BW2215">
            <v>23.901518972811779</v>
          </cell>
          <cell r="BX2215">
            <v>15.713059154269443</v>
          </cell>
          <cell r="BY2215">
            <v>32.089978791354113</v>
          </cell>
        </row>
        <row r="2216">
          <cell r="A2216">
            <v>42628</v>
          </cell>
          <cell r="BF2216">
            <v>44.330696230598676</v>
          </cell>
          <cell r="BG2216">
            <v>45.468715051806292</v>
          </cell>
          <cell r="BH2216">
            <v>42.408178994289898</v>
          </cell>
          <cell r="BI2216">
            <v>30.406703917126244</v>
          </cell>
          <cell r="BJ2216">
            <v>54.409654071453552</v>
          </cell>
          <cell r="BU2216">
            <v>29.424677890216806</v>
          </cell>
          <cell r="BV2216">
            <v>29.635401891862816</v>
          </cell>
          <cell r="BW2216">
            <v>23.901518972811779</v>
          </cell>
          <cell r="BX2216">
            <v>15.713059154269443</v>
          </cell>
          <cell r="BY2216">
            <v>32.089978791354113</v>
          </cell>
        </row>
        <row r="2217">
          <cell r="A2217">
            <v>42629</v>
          </cell>
          <cell r="BF2217">
            <v>43.831488121634472</v>
          </cell>
          <cell r="BG2217">
            <v>45.468715051806292</v>
          </cell>
          <cell r="BH2217">
            <v>42.408178994289898</v>
          </cell>
          <cell r="BI2217">
            <v>30.406703917126244</v>
          </cell>
          <cell r="BJ2217">
            <v>54.409654071453552</v>
          </cell>
          <cell r="BU2217">
            <v>29.089728350377616</v>
          </cell>
          <cell r="BV2217">
            <v>29.635401891862816</v>
          </cell>
          <cell r="BW2217">
            <v>23.901518972811779</v>
          </cell>
          <cell r="BX2217">
            <v>15.713059154269443</v>
          </cell>
          <cell r="BY2217">
            <v>32.089978791354113</v>
          </cell>
        </row>
        <row r="2218">
          <cell r="A2218">
            <v>42632</v>
          </cell>
          <cell r="BF2218">
            <v>43.87709851124486</v>
          </cell>
          <cell r="BG2218">
            <v>45.468715051806292</v>
          </cell>
          <cell r="BH2218">
            <v>42.408178994289898</v>
          </cell>
          <cell r="BI2218">
            <v>30.406703917126244</v>
          </cell>
          <cell r="BJ2218">
            <v>54.409654071453552</v>
          </cell>
          <cell r="BU2218">
            <v>29.120331176608911</v>
          </cell>
          <cell r="BV2218">
            <v>29.635401891862816</v>
          </cell>
          <cell r="BW2218">
            <v>23.901518972811779</v>
          </cell>
          <cell r="BX2218">
            <v>15.713059154269443</v>
          </cell>
          <cell r="BY2218">
            <v>32.089978791354113</v>
          </cell>
        </row>
        <row r="2219">
          <cell r="A2219">
            <v>42633</v>
          </cell>
          <cell r="BF2219">
            <v>44.548624643649035</v>
          </cell>
          <cell r="BG2219">
            <v>45.468715051806292</v>
          </cell>
          <cell r="BH2219">
            <v>42.408178994289898</v>
          </cell>
          <cell r="BI2219">
            <v>30.406703917126244</v>
          </cell>
          <cell r="BJ2219">
            <v>54.409654071453552</v>
          </cell>
          <cell r="BU2219">
            <v>29.570899516745587</v>
          </cell>
          <cell r="BV2219">
            <v>29.635401891862816</v>
          </cell>
          <cell r="BW2219">
            <v>23.901518972811779</v>
          </cell>
          <cell r="BX2219">
            <v>15.713059154269443</v>
          </cell>
          <cell r="BY2219">
            <v>32.089978791354113</v>
          </cell>
        </row>
        <row r="2220">
          <cell r="A2220">
            <v>42634</v>
          </cell>
          <cell r="BF2220">
            <v>45.220145707950586</v>
          </cell>
          <cell r="BG2220">
            <v>45.468715051806292</v>
          </cell>
          <cell r="BH2220">
            <v>42.408178994289898</v>
          </cell>
          <cell r="BI2220">
            <v>30.406703917126244</v>
          </cell>
          <cell r="BJ2220">
            <v>54.409654071453552</v>
          </cell>
          <cell r="BU2220">
            <v>30.021464456379324</v>
          </cell>
          <cell r="BV2220">
            <v>29.635401891862816</v>
          </cell>
          <cell r="BW2220">
            <v>23.901518972811779</v>
          </cell>
          <cell r="BX2220">
            <v>15.713059154269443</v>
          </cell>
          <cell r="BY2220">
            <v>32.089978791354113</v>
          </cell>
        </row>
        <row r="2221">
          <cell r="A2221">
            <v>42635</v>
          </cell>
          <cell r="BF2221">
            <v>45.445676274944574</v>
          </cell>
          <cell r="BG2221">
            <v>45.468715051806292</v>
          </cell>
          <cell r="BH2221">
            <v>42.408178994289898</v>
          </cell>
          <cell r="BI2221">
            <v>30.406703917126244</v>
          </cell>
          <cell r="BJ2221">
            <v>54.409654071453552</v>
          </cell>
          <cell r="BU2221">
            <v>30.172786837321901</v>
          </cell>
          <cell r="BV2221">
            <v>29.635401891862816</v>
          </cell>
          <cell r="BW2221">
            <v>23.901518972811779</v>
          </cell>
          <cell r="BX2221">
            <v>15.713059154269443</v>
          </cell>
          <cell r="BY2221">
            <v>32.089978791354113</v>
          </cell>
        </row>
        <row r="2222">
          <cell r="A2222">
            <v>42636</v>
          </cell>
          <cell r="BF2222">
            <v>45.443144757681345</v>
          </cell>
          <cell r="BG2222">
            <v>45.468715051806292</v>
          </cell>
          <cell r="BH2222">
            <v>42.408178994289898</v>
          </cell>
          <cell r="BI2222">
            <v>30.406703917126244</v>
          </cell>
          <cell r="BJ2222">
            <v>54.409654071453552</v>
          </cell>
          <cell r="BU2222">
            <v>30.171088286102105</v>
          </cell>
          <cell r="BV2222">
            <v>29.635401891862816</v>
          </cell>
          <cell r="BW2222">
            <v>23.901518972811779</v>
          </cell>
          <cell r="BX2222">
            <v>15.713059154269443</v>
          </cell>
          <cell r="BY2222">
            <v>32.089978791354113</v>
          </cell>
        </row>
        <row r="2223">
          <cell r="A2223">
            <v>42639</v>
          </cell>
          <cell r="BF2223">
            <v>45.225216344630986</v>
          </cell>
          <cell r="BG2223">
            <v>45.468715051806292</v>
          </cell>
          <cell r="BH2223">
            <v>42.408178994289898</v>
          </cell>
          <cell r="BI2223">
            <v>30.406703917126244</v>
          </cell>
          <cell r="BJ2223">
            <v>54.409654071453552</v>
          </cell>
          <cell r="BU2223">
            <v>30.02486665957332</v>
          </cell>
          <cell r="BV2223">
            <v>29.635401891862816</v>
          </cell>
          <cell r="BW2223">
            <v>23.901518972811779</v>
          </cell>
          <cell r="BX2223">
            <v>15.713059154269443</v>
          </cell>
          <cell r="BY2223">
            <v>32.089978791354113</v>
          </cell>
        </row>
        <row r="2224">
          <cell r="A2224">
            <v>42640</v>
          </cell>
          <cell r="BF2224">
            <v>45.701617991764337</v>
          </cell>
          <cell r="BG2224">
            <v>45.468715051806292</v>
          </cell>
          <cell r="BH2224">
            <v>42.408178994289898</v>
          </cell>
          <cell r="BI2224">
            <v>30.406703917126244</v>
          </cell>
          <cell r="BJ2224">
            <v>54.409654071453552</v>
          </cell>
          <cell r="BU2224">
            <v>30.344513936171126</v>
          </cell>
          <cell r="BV2224">
            <v>29.635401891862816</v>
          </cell>
          <cell r="BW2224">
            <v>23.901518972811779</v>
          </cell>
          <cell r="BX2224">
            <v>15.713059154269443</v>
          </cell>
          <cell r="BY2224">
            <v>32.089978791354113</v>
          </cell>
        </row>
        <row r="2225">
          <cell r="A2225">
            <v>42641</v>
          </cell>
          <cell r="BF2225">
            <v>45.861260690528987</v>
          </cell>
          <cell r="BG2225">
            <v>45.468715051806292</v>
          </cell>
          <cell r="BH2225">
            <v>42.408178994289898</v>
          </cell>
          <cell r="BI2225">
            <v>30.406703917126244</v>
          </cell>
          <cell r="BJ2225">
            <v>54.409654071453552</v>
          </cell>
          <cell r="BU2225">
            <v>30.451628078609343</v>
          </cell>
          <cell r="BV2225">
            <v>29.635401891862816</v>
          </cell>
          <cell r="BW2225">
            <v>23.901518972811779</v>
          </cell>
          <cell r="BX2225">
            <v>15.713059154269443</v>
          </cell>
          <cell r="BY2225">
            <v>32.089978791354113</v>
          </cell>
        </row>
        <row r="2226">
          <cell r="A2226">
            <v>42642</v>
          </cell>
          <cell r="BF2226">
            <v>44.741210009502694</v>
          </cell>
          <cell r="BG2226">
            <v>45.468715051806292</v>
          </cell>
          <cell r="BH2226">
            <v>42.408178994289898</v>
          </cell>
          <cell r="BI2226">
            <v>30.406703917126244</v>
          </cell>
          <cell r="BJ2226">
            <v>54.409654071453552</v>
          </cell>
          <cell r="BU2226">
            <v>29.700116928310251</v>
          </cell>
          <cell r="BV2226">
            <v>29.635401891862816</v>
          </cell>
          <cell r="BW2226">
            <v>23.901518972811779</v>
          </cell>
          <cell r="BX2226">
            <v>15.713059154269443</v>
          </cell>
          <cell r="BY2226">
            <v>32.089978791354113</v>
          </cell>
        </row>
        <row r="2227">
          <cell r="A2227">
            <v>42643</v>
          </cell>
          <cell r="BF2227">
            <v>46.033578713968964</v>
          </cell>
          <cell r="BG2227">
            <v>45.468715051806292</v>
          </cell>
          <cell r="BH2227">
            <v>42.408178994289898</v>
          </cell>
          <cell r="BI2227">
            <v>30.406703917126244</v>
          </cell>
          <cell r="BJ2227">
            <v>54.409654071453552</v>
          </cell>
          <cell r="BU2227">
            <v>30.567246878906829</v>
          </cell>
          <cell r="BV2227">
            <v>29.635401891862816</v>
          </cell>
          <cell r="BW2227">
            <v>23.901518972811779</v>
          </cell>
          <cell r="BX2227">
            <v>15.713059154269443</v>
          </cell>
          <cell r="BY2227">
            <v>32.089978791354113</v>
          </cell>
        </row>
        <row r="2228">
          <cell r="A2228">
            <v>42646</v>
          </cell>
          <cell r="BF2228">
            <v>45.643080776460103</v>
          </cell>
          <cell r="BG2228">
            <v>45.468715051806292</v>
          </cell>
          <cell r="BH2228">
            <v>42.408178994289898</v>
          </cell>
          <cell r="BI2228">
            <v>30.406703917126244</v>
          </cell>
          <cell r="BJ2228">
            <v>54.409654071453552</v>
          </cell>
          <cell r="BU2228">
            <v>30.322050231408426</v>
          </cell>
          <cell r="BV2228">
            <v>29.635401891862816</v>
          </cell>
          <cell r="BW2228">
            <v>23.901518972811779</v>
          </cell>
          <cell r="BX2228">
            <v>15.713059154269443</v>
          </cell>
          <cell r="BY2228">
            <v>32.089978791354113</v>
          </cell>
        </row>
        <row r="2229">
          <cell r="A2229">
            <v>42647</v>
          </cell>
          <cell r="BF2229">
            <v>45.390108954293517</v>
          </cell>
          <cell r="BG2229">
            <v>45.468715051806292</v>
          </cell>
          <cell r="BH2229">
            <v>42.408178994289898</v>
          </cell>
          <cell r="BI2229">
            <v>30.406703917126244</v>
          </cell>
          <cell r="BJ2229">
            <v>54.409654071453552</v>
          </cell>
          <cell r="BU2229">
            <v>30.152242394182249</v>
          </cell>
          <cell r="BV2229">
            <v>29.635401891862816</v>
          </cell>
          <cell r="BW2229">
            <v>23.901518972811779</v>
          </cell>
          <cell r="BX2229">
            <v>15.713059154269443</v>
          </cell>
          <cell r="BY2229">
            <v>32.089978791354113</v>
          </cell>
        </row>
        <row r="2230">
          <cell r="A2230">
            <v>42648</v>
          </cell>
          <cell r="BF2230">
            <v>46.630807090932777</v>
          </cell>
          <cell r="BG2230">
            <v>45.468715051806292</v>
          </cell>
          <cell r="BH2230">
            <v>42.408178994289898</v>
          </cell>
          <cell r="BI2230">
            <v>30.406703917126244</v>
          </cell>
          <cell r="BJ2230">
            <v>54.409654071453552</v>
          </cell>
          <cell r="BU2230">
            <v>30.9844754818279</v>
          </cell>
          <cell r="BV2230">
            <v>29.635401891862816</v>
          </cell>
          <cell r="BW2230">
            <v>23.901518972811779</v>
          </cell>
          <cell r="BX2230">
            <v>15.713059154269443</v>
          </cell>
          <cell r="BY2230">
            <v>32.089978791354113</v>
          </cell>
        </row>
        <row r="2231">
          <cell r="A2231">
            <v>42649</v>
          </cell>
          <cell r="BF2231">
            <v>46.320218914573779</v>
          </cell>
          <cell r="BG2231">
            <v>45.468715051806292</v>
          </cell>
          <cell r="BH2231">
            <v>42.408178994289898</v>
          </cell>
          <cell r="BI2231">
            <v>30.406703917126244</v>
          </cell>
          <cell r="BJ2231">
            <v>54.409654071453552</v>
          </cell>
          <cell r="BU2231">
            <v>30.775996469005531</v>
          </cell>
          <cell r="BV2231">
            <v>29.635401891862816</v>
          </cell>
          <cell r="BW2231">
            <v>23.901518972811779</v>
          </cell>
          <cell r="BX2231">
            <v>15.713059154269443</v>
          </cell>
          <cell r="BY2231">
            <v>32.089978791354113</v>
          </cell>
        </row>
        <row r="2232">
          <cell r="A2232">
            <v>42650</v>
          </cell>
          <cell r="BF2232">
            <v>46.161797730322235</v>
          </cell>
          <cell r="BG2232">
            <v>45.468715051806292</v>
          </cell>
          <cell r="BH2232">
            <v>42.408178994289898</v>
          </cell>
          <cell r="BI2232">
            <v>30.406703917126244</v>
          </cell>
          <cell r="BJ2232">
            <v>54.409654071453552</v>
          </cell>
          <cell r="BU2232">
            <v>30.702021726383183</v>
          </cell>
          <cell r="BV2232">
            <v>29.635401891862816</v>
          </cell>
          <cell r="BW2232">
            <v>23.901518972811779</v>
          </cell>
          <cell r="BX2232">
            <v>15.713059154269443</v>
          </cell>
          <cell r="BY2232">
            <v>32.089978791354113</v>
          </cell>
        </row>
        <row r="2233">
          <cell r="A2233">
            <v>42653</v>
          </cell>
          <cell r="BF2233">
            <v>46.251874408094189</v>
          </cell>
          <cell r="BG2233">
            <v>45.468715051806292</v>
          </cell>
          <cell r="BH2233">
            <v>42.408178994289898</v>
          </cell>
          <cell r="BI2233">
            <v>30.406703917126244</v>
          </cell>
          <cell r="BJ2233">
            <v>54.409654071453552</v>
          </cell>
          <cell r="BU2233">
            <v>30.762547891396128</v>
          </cell>
          <cell r="BV2233">
            <v>29.635401891862816</v>
          </cell>
          <cell r="BW2233">
            <v>23.901518972811779</v>
          </cell>
          <cell r="BX2233">
            <v>15.713059154269443</v>
          </cell>
          <cell r="BY2233">
            <v>32.089978791354113</v>
          </cell>
        </row>
        <row r="2234">
          <cell r="A2234">
            <v>42654</v>
          </cell>
          <cell r="BF2234">
            <v>36.084961528246417</v>
          </cell>
          <cell r="BG2234">
            <v>45.468715051806292</v>
          </cell>
          <cell r="BH2234">
            <v>42.408178994289898</v>
          </cell>
          <cell r="BI2234">
            <v>30.406703917126244</v>
          </cell>
          <cell r="BJ2234">
            <v>54.409654071453552</v>
          </cell>
          <cell r="BU2234">
            <v>23.629843488537407</v>
          </cell>
          <cell r="BV2234">
            <v>29.635401891862816</v>
          </cell>
          <cell r="BW2234">
            <v>23.901518972811779</v>
          </cell>
          <cell r="BX2234">
            <v>15.713059154269443</v>
          </cell>
          <cell r="BY2234">
            <v>32.089978791354113</v>
          </cell>
        </row>
        <row r="2235">
          <cell r="A2235">
            <v>42655</v>
          </cell>
          <cell r="BF2235">
            <v>35.545602021336414</v>
          </cell>
          <cell r="BG2235">
            <v>45.468715051806292</v>
          </cell>
          <cell r="BH2235">
            <v>42.408178994289898</v>
          </cell>
          <cell r="BI2235">
            <v>30.406703917126244</v>
          </cell>
          <cell r="BJ2235">
            <v>54.409654071453552</v>
          </cell>
          <cell r="BU2235">
            <v>23.305680503272885</v>
          </cell>
          <cell r="BV2235">
            <v>29.635401891862816</v>
          </cell>
          <cell r="BW2235">
            <v>23.901518972811779</v>
          </cell>
          <cell r="BX2235">
            <v>15.713059154269443</v>
          </cell>
          <cell r="BY2235">
            <v>32.089978791354113</v>
          </cell>
        </row>
        <row r="2236">
          <cell r="A2236">
            <v>42656</v>
          </cell>
          <cell r="BF2236">
            <v>35.804011082880855</v>
          </cell>
          <cell r="BG2236">
            <v>45.468715051806292</v>
          </cell>
          <cell r="BH2236">
            <v>42.408178994289898</v>
          </cell>
          <cell r="BI2236">
            <v>30.406703917126244</v>
          </cell>
          <cell r="BJ2236">
            <v>54.409654071453552</v>
          </cell>
          <cell r="BU2236">
            <v>23.305680503272885</v>
          </cell>
          <cell r="BV2236">
            <v>29.635401891862816</v>
          </cell>
          <cell r="BW2236">
            <v>23.901518972811779</v>
          </cell>
          <cell r="BX2236">
            <v>15.713059154269443</v>
          </cell>
          <cell r="BY2236">
            <v>32.089978791354113</v>
          </cell>
        </row>
        <row r="2237">
          <cell r="A2237">
            <v>42657</v>
          </cell>
          <cell r="BF2237">
            <v>36.217303822941005</v>
          </cell>
          <cell r="BG2237">
            <v>45.468715051806292</v>
          </cell>
          <cell r="BH2237">
            <v>42.408178994289898</v>
          </cell>
          <cell r="BI2237">
            <v>30.406703917126244</v>
          </cell>
          <cell r="BJ2237">
            <v>54.409654071453552</v>
          </cell>
          <cell r="BU2237">
            <v>23.810771156420643</v>
          </cell>
          <cell r="BV2237">
            <v>29.635401891862816</v>
          </cell>
          <cell r="BW2237">
            <v>23.901518972811779</v>
          </cell>
          <cell r="BX2237">
            <v>15.713059154269443</v>
          </cell>
          <cell r="BY2237">
            <v>32.089978791354113</v>
          </cell>
        </row>
        <row r="2238">
          <cell r="A2238">
            <v>42660</v>
          </cell>
          <cell r="BF2238">
            <v>37.064998687782307</v>
          </cell>
          <cell r="BG2238">
            <v>45.468715051806292</v>
          </cell>
          <cell r="BH2238">
            <v>42.408178994289898</v>
          </cell>
          <cell r="BI2238">
            <v>30.406703917126244</v>
          </cell>
          <cell r="BJ2238">
            <v>54.409654071453552</v>
          </cell>
          <cell r="BU2238">
            <v>24.375775402798421</v>
          </cell>
          <cell r="BV2238">
            <v>29.635401891862816</v>
          </cell>
          <cell r="BW2238">
            <v>23.901518972811779</v>
          </cell>
          <cell r="BX2238">
            <v>15.713059154269443</v>
          </cell>
          <cell r="BY2238">
            <v>32.089978791354113</v>
          </cell>
        </row>
        <row r="2239">
          <cell r="A2239">
            <v>42661</v>
          </cell>
          <cell r="BF2239">
            <v>38.112153792322694</v>
          </cell>
          <cell r="BG2239">
            <v>45.468715051806292</v>
          </cell>
          <cell r="BH2239">
            <v>42.408178994289898</v>
          </cell>
          <cell r="BI2239">
            <v>30.406703917126244</v>
          </cell>
          <cell r="BJ2239">
            <v>54.409654071453552</v>
          </cell>
          <cell r="BU2239">
            <v>25.073723574033657</v>
          </cell>
          <cell r="BV2239">
            <v>29.635401891862816</v>
          </cell>
          <cell r="BW2239">
            <v>23.901518972811779</v>
          </cell>
          <cell r="BX2239">
            <v>15.713059154269443</v>
          </cell>
          <cell r="BY2239">
            <v>32.089978791354113</v>
          </cell>
        </row>
        <row r="2240">
          <cell r="A2240">
            <v>42662</v>
          </cell>
          <cell r="BF2240">
            <v>38.505820138224223</v>
          </cell>
          <cell r="BG2240">
            <v>45.468715051806292</v>
          </cell>
          <cell r="BH2240">
            <v>42.408178994289898</v>
          </cell>
          <cell r="BI2240">
            <v>30.406703917126244</v>
          </cell>
          <cell r="BJ2240">
            <v>54.409654071453552</v>
          </cell>
          <cell r="BU2240">
            <v>25.336109446964514</v>
          </cell>
          <cell r="BV2240">
            <v>29.635401891862816</v>
          </cell>
          <cell r="BW2240">
            <v>23.901518972811779</v>
          </cell>
          <cell r="BX2240">
            <v>15.713059154269443</v>
          </cell>
          <cell r="BY2240">
            <v>32.089978791354113</v>
          </cell>
        </row>
        <row r="2241">
          <cell r="A2241">
            <v>42663</v>
          </cell>
          <cell r="BF2241">
            <v>37.484912081186245</v>
          </cell>
          <cell r="BG2241">
            <v>45.468715051806292</v>
          </cell>
          <cell r="BH2241">
            <v>42.408178994289898</v>
          </cell>
          <cell r="BI2241">
            <v>30.406703917126244</v>
          </cell>
          <cell r="BJ2241">
            <v>54.409654071453552</v>
          </cell>
          <cell r="BU2241">
            <v>24.655655416497154</v>
          </cell>
          <cell r="BV2241">
            <v>29.635401891862816</v>
          </cell>
          <cell r="BW2241">
            <v>23.901518972811779</v>
          </cell>
          <cell r="BX2241">
            <v>15.713059154269443</v>
          </cell>
          <cell r="BY2241">
            <v>32.089978791354113</v>
          </cell>
        </row>
        <row r="2242">
          <cell r="A2242">
            <v>42664</v>
          </cell>
          <cell r="BF2242">
            <v>37.214594523667195</v>
          </cell>
          <cell r="BG2242">
            <v>45.468715051806292</v>
          </cell>
          <cell r="BH2242">
            <v>42.408178994289898</v>
          </cell>
          <cell r="BI2242">
            <v>30.406703917126244</v>
          </cell>
          <cell r="BJ2242">
            <v>54.409654071453552</v>
          </cell>
          <cell r="BU2242">
            <v>24.475483783751301</v>
          </cell>
          <cell r="BV2242">
            <v>29.635401891862816</v>
          </cell>
          <cell r="BW2242">
            <v>23.901518972811779</v>
          </cell>
          <cell r="BX2242">
            <v>15.713059154269443</v>
          </cell>
          <cell r="BY2242">
            <v>32.089978791354113</v>
          </cell>
        </row>
        <row r="2243">
          <cell r="A2243">
            <v>42667</v>
          </cell>
          <cell r="BF2243">
            <v>37.337943312049681</v>
          </cell>
          <cell r="BG2243">
            <v>45.468715051806292</v>
          </cell>
          <cell r="BH2243">
            <v>42.408178994289898</v>
          </cell>
          <cell r="BI2243">
            <v>30.406703917126244</v>
          </cell>
          <cell r="BJ2243">
            <v>54.409654071453552</v>
          </cell>
          <cell r="BU2243">
            <v>24.557698023936307</v>
          </cell>
          <cell r="BV2243">
            <v>29.635401891862816</v>
          </cell>
          <cell r="BW2243">
            <v>23.901518972811779</v>
          </cell>
          <cell r="BX2243">
            <v>15.713059154269443</v>
          </cell>
          <cell r="BY2243">
            <v>32.089978791354113</v>
          </cell>
        </row>
        <row r="2244">
          <cell r="A2244">
            <v>42668</v>
          </cell>
          <cell r="BF2244">
            <v>36.264543784449195</v>
          </cell>
          <cell r="BG2244">
            <v>45.468715051806292</v>
          </cell>
          <cell r="BH2244">
            <v>42.408178994289898</v>
          </cell>
          <cell r="BI2244">
            <v>30.406703917126244</v>
          </cell>
          <cell r="BJ2244">
            <v>54.409654071453552</v>
          </cell>
          <cell r="BU2244">
            <v>23.842257461172345</v>
          </cell>
          <cell r="BV2244">
            <v>29.635401891862816</v>
          </cell>
          <cell r="BW2244">
            <v>23.901518972811779</v>
          </cell>
          <cell r="BX2244">
            <v>15.713059154269443</v>
          </cell>
          <cell r="BY2244">
            <v>32.089978791354113</v>
          </cell>
        </row>
        <row r="2245">
          <cell r="A2245">
            <v>42669</v>
          </cell>
          <cell r="BF2245">
            <v>36.729070072612998</v>
          </cell>
          <cell r="BG2245">
            <v>45.468715051806292</v>
          </cell>
          <cell r="BH2245">
            <v>42.408178994289898</v>
          </cell>
          <cell r="BI2245">
            <v>30.406703917126244</v>
          </cell>
          <cell r="BJ2245">
            <v>54.409654071453552</v>
          </cell>
          <cell r="BU2245">
            <v>24.151872791230758</v>
          </cell>
          <cell r="BV2245">
            <v>29.635401891862816</v>
          </cell>
          <cell r="BW2245">
            <v>23.901518972811779</v>
          </cell>
          <cell r="BX2245">
            <v>15.713059154269443</v>
          </cell>
          <cell r="BY2245">
            <v>32.089978791354113</v>
          </cell>
        </row>
        <row r="2246">
          <cell r="A2246">
            <v>42670</v>
          </cell>
          <cell r="BF2246">
            <v>36.555856880416322</v>
          </cell>
          <cell r="BG2246">
            <v>45.468715051806292</v>
          </cell>
          <cell r="BH2246">
            <v>42.408178994289898</v>
          </cell>
          <cell r="BI2246">
            <v>30.406703917126244</v>
          </cell>
          <cell r="BJ2246">
            <v>54.409654071453552</v>
          </cell>
          <cell r="BU2246">
            <v>24.036423007141178</v>
          </cell>
          <cell r="BV2246">
            <v>29.635401891862816</v>
          </cell>
          <cell r="BW2246">
            <v>23.901518972811779</v>
          </cell>
          <cell r="BX2246">
            <v>15.713059154269443</v>
          </cell>
          <cell r="BY2246">
            <v>32.089978791354113</v>
          </cell>
        </row>
        <row r="2247">
          <cell r="A2247">
            <v>42671</v>
          </cell>
          <cell r="BF2247">
            <v>36.379352407514389</v>
          </cell>
          <cell r="BG2247">
            <v>45.468715051806292</v>
          </cell>
          <cell r="BH2247">
            <v>42.408178994289898</v>
          </cell>
          <cell r="BI2247">
            <v>30.406703917126244</v>
          </cell>
          <cell r="BJ2247">
            <v>54.409654071453552</v>
          </cell>
          <cell r="BU2247">
            <v>23.920974972290754</v>
          </cell>
          <cell r="BV2247">
            <v>29.635401891862816</v>
          </cell>
          <cell r="BW2247">
            <v>23.901518972811779</v>
          </cell>
          <cell r="BX2247">
            <v>15.713059154269443</v>
          </cell>
          <cell r="BY2247">
            <v>32.089978791354113</v>
          </cell>
        </row>
        <row r="2248">
          <cell r="A2248">
            <v>42674</v>
          </cell>
          <cell r="BF2248">
            <v>35.725922812520963</v>
          </cell>
          <cell r="BG2248">
            <v>45.468715051806292</v>
          </cell>
          <cell r="BH2248">
            <v>42.408178994289898</v>
          </cell>
          <cell r="BI2248">
            <v>30.406703917126244</v>
          </cell>
          <cell r="BJ2248">
            <v>54.409654071453552</v>
          </cell>
          <cell r="BU2248">
            <v>23.43290796301061</v>
          </cell>
          <cell r="BV2248">
            <v>29.635401891862816</v>
          </cell>
          <cell r="BW2248">
            <v>23.901518972811779</v>
          </cell>
          <cell r="BX2248">
            <v>15.713059154269443</v>
          </cell>
          <cell r="BY2248">
            <v>32.089978791354113</v>
          </cell>
        </row>
        <row r="2249">
          <cell r="A2249">
            <v>42675</v>
          </cell>
          <cell r="BF2249">
            <v>36.339993856503959</v>
          </cell>
          <cell r="BG2249">
            <v>45.468715051806292</v>
          </cell>
          <cell r="BH2249">
            <v>42.408178994289898</v>
          </cell>
          <cell r="BI2249">
            <v>30.406703917126244</v>
          </cell>
          <cell r="BJ2249">
            <v>54.409654071453552</v>
          </cell>
          <cell r="BU2249">
            <v>23.904923212273587</v>
          </cell>
          <cell r="BV2249">
            <v>29.635401891862816</v>
          </cell>
          <cell r="BW2249">
            <v>23.901518972811779</v>
          </cell>
          <cell r="BX2249">
            <v>15.713059154269443</v>
          </cell>
          <cell r="BY2249">
            <v>32.089978791354113</v>
          </cell>
        </row>
        <row r="2250">
          <cell r="A2250">
            <v>42676</v>
          </cell>
          <cell r="BF2250">
            <v>36.361039958905508</v>
          </cell>
          <cell r="BG2250">
            <v>45.468715051806292</v>
          </cell>
          <cell r="BH2250">
            <v>42.408178994289898</v>
          </cell>
          <cell r="BI2250">
            <v>30.406703917126244</v>
          </cell>
          <cell r="BJ2250">
            <v>54.409654071453552</v>
          </cell>
          <cell r="BU2250">
            <v>23.829862286067101</v>
          </cell>
          <cell r="BV2250">
            <v>29.635401891862816</v>
          </cell>
          <cell r="BW2250">
            <v>23.901518972811779</v>
          </cell>
          <cell r="BX2250">
            <v>15.713059154269443</v>
          </cell>
          <cell r="BY2250">
            <v>32.089978791354113</v>
          </cell>
        </row>
        <row r="2251">
          <cell r="A2251">
            <v>42677</v>
          </cell>
          <cell r="BF2251">
            <v>36.020638359655955</v>
          </cell>
          <cell r="BG2251">
            <v>45.468715051806292</v>
          </cell>
          <cell r="BH2251">
            <v>42.408178994289898</v>
          </cell>
          <cell r="BI2251">
            <v>30.406703917126244</v>
          </cell>
          <cell r="BJ2251">
            <v>54.409654071453552</v>
          </cell>
          <cell r="BU2251">
            <v>23.829862286067101</v>
          </cell>
          <cell r="BV2251">
            <v>29.635401891862816</v>
          </cell>
          <cell r="BW2251">
            <v>23.901518972811779</v>
          </cell>
          <cell r="BX2251">
            <v>15.713059154269443</v>
          </cell>
          <cell r="BY2251">
            <v>32.089978791354113</v>
          </cell>
        </row>
        <row r="2252">
          <cell r="A2252">
            <v>42678</v>
          </cell>
          <cell r="BF2252">
            <v>36.089031040553067</v>
          </cell>
          <cell r="BG2252">
            <v>45.468715051806292</v>
          </cell>
          <cell r="BH2252">
            <v>42.408178994289898</v>
          </cell>
          <cell r="BI2252">
            <v>30.406703917126244</v>
          </cell>
          <cell r="BJ2252">
            <v>54.409654071453552</v>
          </cell>
          <cell r="BU2252">
            <v>23.422224210522401</v>
          </cell>
          <cell r="BV2252">
            <v>29.635401891862816</v>
          </cell>
          <cell r="BW2252">
            <v>23.901518972811779</v>
          </cell>
          <cell r="BX2252">
            <v>15.713059154269443</v>
          </cell>
          <cell r="BY2252">
            <v>32.089978791354113</v>
          </cell>
        </row>
        <row r="2253">
          <cell r="A2253">
            <v>42681</v>
          </cell>
          <cell r="BF2253">
            <v>36.971602199294125</v>
          </cell>
          <cell r="BG2253">
            <v>45.468715051806292</v>
          </cell>
          <cell r="BH2253">
            <v>42.408178994289898</v>
          </cell>
          <cell r="BI2253">
            <v>30.406703917126244</v>
          </cell>
          <cell r="BJ2253">
            <v>54.409654071453552</v>
          </cell>
          <cell r="BU2253">
            <v>24.05536779806776</v>
          </cell>
          <cell r="BV2253">
            <v>29.635401891862816</v>
          </cell>
          <cell r="BW2253">
            <v>23.901518972811779</v>
          </cell>
          <cell r="BX2253">
            <v>15.713059154269443</v>
          </cell>
          <cell r="BY2253">
            <v>32.089978791354113</v>
          </cell>
        </row>
        <row r="2254">
          <cell r="A2254">
            <v>42682</v>
          </cell>
          <cell r="BF2254">
            <v>37.182592768029814</v>
          </cell>
          <cell r="BG2254">
            <v>45.468715051806292</v>
          </cell>
          <cell r="BH2254">
            <v>42.408178994289898</v>
          </cell>
          <cell r="BI2254">
            <v>30.406703917126244</v>
          </cell>
          <cell r="BJ2254">
            <v>54.409654071453552</v>
          </cell>
          <cell r="BU2254">
            <v>24.64900714051047</v>
          </cell>
          <cell r="BV2254">
            <v>29.635401891862816</v>
          </cell>
          <cell r="BW2254">
            <v>23.901518972811779</v>
          </cell>
          <cell r="BX2254">
            <v>15.713059154269443</v>
          </cell>
          <cell r="BY2254">
            <v>32.089978791354113</v>
          </cell>
        </row>
        <row r="2255">
          <cell r="A2255">
            <v>42683</v>
          </cell>
          <cell r="BF2255">
            <v>36.054866332322298</v>
          </cell>
          <cell r="BG2255">
            <v>45.468715051806292</v>
          </cell>
          <cell r="BH2255">
            <v>42.408178994289898</v>
          </cell>
          <cell r="BI2255">
            <v>30.406703917126244</v>
          </cell>
          <cell r="BJ2255">
            <v>54.409654071453552</v>
          </cell>
          <cell r="BU2255">
            <v>23.788995574698188</v>
          </cell>
          <cell r="BV2255">
            <v>29.635401891862816</v>
          </cell>
          <cell r="BW2255">
            <v>23.901518972811779</v>
          </cell>
          <cell r="BX2255">
            <v>15.713059154269443</v>
          </cell>
          <cell r="BY2255">
            <v>32.089978791354113</v>
          </cell>
        </row>
        <row r="2256">
          <cell r="A2256">
            <v>42684</v>
          </cell>
          <cell r="BF2256">
            <v>37.43608242774409</v>
          </cell>
          <cell r="BG2256">
            <v>45.468715051806292</v>
          </cell>
          <cell r="BH2256">
            <v>42.408178994289898</v>
          </cell>
          <cell r="BI2256">
            <v>30.406703917126244</v>
          </cell>
          <cell r="BJ2256">
            <v>54.409654071453552</v>
          </cell>
          <cell r="BU2256">
            <v>23.729267801073867</v>
          </cell>
          <cell r="BV2256">
            <v>29.635401891862816</v>
          </cell>
          <cell r="BW2256">
            <v>23.901518972811779</v>
          </cell>
          <cell r="BX2256">
            <v>15.713059154269443</v>
          </cell>
          <cell r="BY2256">
            <v>32.089978791354113</v>
          </cell>
        </row>
        <row r="2257">
          <cell r="A2257">
            <v>42685</v>
          </cell>
          <cell r="BF2257">
            <v>37.257521756778665</v>
          </cell>
          <cell r="BG2257">
            <v>45.468715051806292</v>
          </cell>
          <cell r="BH2257">
            <v>42.408178994289898</v>
          </cell>
          <cell r="BI2257">
            <v>30.406703917126244</v>
          </cell>
          <cell r="BJ2257">
            <v>54.409654071453552</v>
          </cell>
          <cell r="BU2257">
            <v>24.565276710519676</v>
          </cell>
          <cell r="BV2257">
            <v>29.635401891862816</v>
          </cell>
          <cell r="BW2257">
            <v>23.901518972811779</v>
          </cell>
          <cell r="BX2257">
            <v>15.713059154269443</v>
          </cell>
          <cell r="BY2257">
            <v>32.089978791354113</v>
          </cell>
        </row>
        <row r="2258">
          <cell r="A2258">
            <v>42688</v>
          </cell>
          <cell r="BF2258">
            <v>36.89768949813228</v>
          </cell>
          <cell r="BG2258">
            <v>45.468715051806292</v>
          </cell>
          <cell r="BH2258">
            <v>42.408178994289898</v>
          </cell>
          <cell r="BI2258">
            <v>30.406703917126244</v>
          </cell>
          <cell r="BJ2258">
            <v>54.409654071453552</v>
          </cell>
          <cell r="BU2258">
            <v>24.323004247385466</v>
          </cell>
          <cell r="BV2258">
            <v>29.635401891862816</v>
          </cell>
          <cell r="BW2258">
            <v>23.901518972811779</v>
          </cell>
          <cell r="BX2258">
            <v>15.713059154269443</v>
          </cell>
          <cell r="BY2258">
            <v>32.089978791354113</v>
          </cell>
        </row>
        <row r="2259">
          <cell r="A2259">
            <v>42689</v>
          </cell>
          <cell r="BF2259">
            <v>37.011320737704814</v>
          </cell>
          <cell r="BG2259">
            <v>45.468715051806292</v>
          </cell>
          <cell r="BH2259">
            <v>42.408178994289898</v>
          </cell>
          <cell r="BI2259">
            <v>30.406703917126244</v>
          </cell>
          <cell r="BJ2259">
            <v>54.409654071453552</v>
          </cell>
          <cell r="BU2259">
            <v>24.399670391717109</v>
          </cell>
          <cell r="BV2259">
            <v>29.635401891862816</v>
          </cell>
          <cell r="BW2259">
            <v>23.901518972811779</v>
          </cell>
          <cell r="BX2259">
            <v>15.713059154269443</v>
          </cell>
          <cell r="BY2259">
            <v>32.089978791354113</v>
          </cell>
        </row>
        <row r="2260">
          <cell r="A2260">
            <v>42690</v>
          </cell>
          <cell r="BF2260">
            <v>36.489155431306251</v>
          </cell>
          <cell r="BG2260">
            <v>45.468715051806292</v>
          </cell>
          <cell r="BH2260">
            <v>42.408178994289898</v>
          </cell>
          <cell r="BI2260">
            <v>30.406703917126244</v>
          </cell>
          <cell r="BJ2260">
            <v>54.409654071453552</v>
          </cell>
          <cell r="BU2260">
            <v>24.04736937928492</v>
          </cell>
          <cell r="BV2260">
            <v>29.635401891862816</v>
          </cell>
          <cell r="BW2260">
            <v>23.901518972811779</v>
          </cell>
          <cell r="BX2260">
            <v>15.713059154269443</v>
          </cell>
          <cell r="BY2260">
            <v>32.089978791354113</v>
          </cell>
        </row>
        <row r="2261">
          <cell r="A2261">
            <v>42691</v>
          </cell>
          <cell r="BF2261">
            <v>36.278125986385817</v>
          </cell>
          <cell r="BG2261">
            <v>45.468715051806292</v>
          </cell>
          <cell r="BH2261">
            <v>42.408178994289898</v>
          </cell>
          <cell r="BI2261">
            <v>30.406703917126244</v>
          </cell>
          <cell r="BJ2261">
            <v>54.409654071453552</v>
          </cell>
          <cell r="BU2261">
            <v>24.04736937928492</v>
          </cell>
          <cell r="BV2261">
            <v>29.635401891862816</v>
          </cell>
          <cell r="BW2261">
            <v>23.901518972811779</v>
          </cell>
          <cell r="BX2261">
            <v>15.713059154269443</v>
          </cell>
          <cell r="BY2261">
            <v>32.089978791354113</v>
          </cell>
        </row>
        <row r="2262">
          <cell r="A2262">
            <v>42692</v>
          </cell>
          <cell r="BF2262">
            <v>35.677503720073815</v>
          </cell>
          <cell r="BG2262">
            <v>45.468715051806292</v>
          </cell>
          <cell r="BH2262">
            <v>42.408178994289898</v>
          </cell>
          <cell r="BI2262">
            <v>30.406703917126244</v>
          </cell>
          <cell r="BJ2262">
            <v>54.409654071453552</v>
          </cell>
          <cell r="BU2262">
            <v>23.499754062630302</v>
          </cell>
          <cell r="BV2262">
            <v>29.635401891862816</v>
          </cell>
          <cell r="BW2262">
            <v>23.901518972811779</v>
          </cell>
          <cell r="BX2262">
            <v>15.713059154269443</v>
          </cell>
          <cell r="BY2262">
            <v>32.089978791354113</v>
          </cell>
        </row>
        <row r="2263">
          <cell r="A2263">
            <v>42695</v>
          </cell>
          <cell r="BF2263">
            <v>37.214233665512928</v>
          </cell>
          <cell r="BG2263">
            <v>45.468715051806292</v>
          </cell>
          <cell r="BH2263">
            <v>42.408178994289898</v>
          </cell>
          <cell r="BI2263">
            <v>30.406703917126244</v>
          </cell>
          <cell r="BJ2263">
            <v>54.409654071453552</v>
          </cell>
          <cell r="BU2263">
            <v>24.536574220880766</v>
          </cell>
          <cell r="BV2263">
            <v>29.635401891862816</v>
          </cell>
          <cell r="BW2263">
            <v>23.901518972811779</v>
          </cell>
          <cell r="BX2263">
            <v>15.713059154269443</v>
          </cell>
          <cell r="BY2263">
            <v>32.089978791354113</v>
          </cell>
        </row>
        <row r="2264">
          <cell r="A2264">
            <v>42696</v>
          </cell>
          <cell r="BF2264">
            <v>36.456689362856949</v>
          </cell>
          <cell r="BG2264">
            <v>45.468715051806292</v>
          </cell>
          <cell r="BH2264">
            <v>42.408178994289898</v>
          </cell>
          <cell r="BI2264">
            <v>30.406703917126244</v>
          </cell>
          <cell r="BJ2264">
            <v>54.409654071453552</v>
          </cell>
          <cell r="BU2264">
            <v>24.025464766618736</v>
          </cell>
          <cell r="BV2264">
            <v>29.635401891862816</v>
          </cell>
          <cell r="BW2264">
            <v>23.901518972811779</v>
          </cell>
          <cell r="BX2264">
            <v>15.713059154269443</v>
          </cell>
          <cell r="BY2264">
            <v>32.089978791354113</v>
          </cell>
        </row>
        <row r="2265">
          <cell r="A2265">
            <v>42697</v>
          </cell>
          <cell r="BF2265">
            <v>36.37011318032549</v>
          </cell>
          <cell r="BG2265">
            <v>45.468715051806292</v>
          </cell>
          <cell r="BH2265">
            <v>42.408178994289898</v>
          </cell>
          <cell r="BI2265">
            <v>30.406703917126244</v>
          </cell>
          <cell r="BJ2265">
            <v>54.409654071453552</v>
          </cell>
          <cell r="BU2265">
            <v>24.065876673902338</v>
          </cell>
          <cell r="BV2265">
            <v>29.635401891862816</v>
          </cell>
          <cell r="BW2265">
            <v>23.901518972811779</v>
          </cell>
          <cell r="BX2265">
            <v>15.713059154269443</v>
          </cell>
          <cell r="BY2265">
            <v>32.089978791354113</v>
          </cell>
        </row>
        <row r="2266">
          <cell r="A2266">
            <v>42698</v>
          </cell>
          <cell r="BF2266">
            <v>36.37011318032549</v>
          </cell>
          <cell r="BG2266">
            <v>45.468715051806292</v>
          </cell>
          <cell r="BH2266">
            <v>42.408178994289898</v>
          </cell>
          <cell r="BI2266">
            <v>30.406703917126244</v>
          </cell>
          <cell r="BJ2266">
            <v>54.409654071453552</v>
          </cell>
          <cell r="BU2266">
            <v>24.065876673902338</v>
          </cell>
          <cell r="BV2266">
            <v>29.635401891862816</v>
          </cell>
          <cell r="BW2266">
            <v>23.901518972811779</v>
          </cell>
          <cell r="BX2266">
            <v>15.713059154269443</v>
          </cell>
          <cell r="BY2266">
            <v>32.089978791354113</v>
          </cell>
        </row>
        <row r="2267">
          <cell r="A2267">
            <v>42699</v>
          </cell>
          <cell r="BF2267">
            <v>36.575734319343411</v>
          </cell>
          <cell r="BG2267">
            <v>45.468715051806292</v>
          </cell>
          <cell r="BH2267">
            <v>42.408178994289898</v>
          </cell>
          <cell r="BI2267">
            <v>30.406703917126244</v>
          </cell>
          <cell r="BJ2267">
            <v>54.409654071453552</v>
          </cell>
          <cell r="BU2267">
            <v>24.204607712839231</v>
          </cell>
          <cell r="BV2267">
            <v>29.635401891862816</v>
          </cell>
          <cell r="BW2267">
            <v>23.901518972811779</v>
          </cell>
          <cell r="BX2267">
            <v>15.713059154269443</v>
          </cell>
          <cell r="BY2267">
            <v>32.089978791354113</v>
          </cell>
        </row>
        <row r="2268">
          <cell r="A2268">
            <v>42702</v>
          </cell>
          <cell r="BF2268">
            <v>36.843576678544416</v>
          </cell>
          <cell r="BG2268">
            <v>45.468715051806292</v>
          </cell>
          <cell r="BH2268">
            <v>42.408178994289898</v>
          </cell>
          <cell r="BI2268">
            <v>30.406703917126244</v>
          </cell>
          <cell r="BJ2268">
            <v>54.409654071453552</v>
          </cell>
          <cell r="BU2268">
            <v>24.385318941950867</v>
          </cell>
          <cell r="BV2268">
            <v>29.635401891862816</v>
          </cell>
          <cell r="BW2268">
            <v>23.901518972811779</v>
          </cell>
          <cell r="BX2268">
            <v>15.713059154269443</v>
          </cell>
          <cell r="BY2268">
            <v>32.089978791354113</v>
          </cell>
        </row>
        <row r="2269">
          <cell r="A2269">
            <v>42703</v>
          </cell>
          <cell r="BF2269">
            <v>37.039322912607972</v>
          </cell>
          <cell r="BG2269">
            <v>45.468715051806292</v>
          </cell>
          <cell r="BH2269">
            <v>42.408178994289898</v>
          </cell>
          <cell r="BI2269">
            <v>30.406703917126244</v>
          </cell>
          <cell r="BJ2269">
            <v>54.409654071453552</v>
          </cell>
          <cell r="BU2269">
            <v>24.449207395560567</v>
          </cell>
          <cell r="BV2269">
            <v>29.635401891862816</v>
          </cell>
          <cell r="BW2269">
            <v>23.901518972811779</v>
          </cell>
          <cell r="BX2269">
            <v>15.713059154269443</v>
          </cell>
          <cell r="BY2269">
            <v>32.089978791354113</v>
          </cell>
        </row>
        <row r="2270">
          <cell r="A2270">
            <v>42704</v>
          </cell>
          <cell r="BF2270">
            <v>36.119647349187908</v>
          </cell>
          <cell r="BG2270">
            <v>45.468715051806292</v>
          </cell>
          <cell r="BH2270">
            <v>42.408178994289898</v>
          </cell>
          <cell r="BI2270">
            <v>30.406703917126244</v>
          </cell>
          <cell r="BJ2270">
            <v>54.409654071453552</v>
          </cell>
          <cell r="BU2270">
            <v>23.830402087740847</v>
          </cell>
          <cell r="BV2270">
            <v>29.635401891862816</v>
          </cell>
          <cell r="BW2270">
            <v>23.901518972811779</v>
          </cell>
          <cell r="BX2270">
            <v>15.713059154269443</v>
          </cell>
          <cell r="BY2270">
            <v>32.089978791354113</v>
          </cell>
        </row>
        <row r="2271">
          <cell r="A2271">
            <v>42705</v>
          </cell>
          <cell r="BF2271">
            <v>34.333336021505374</v>
          </cell>
          <cell r="BG2271">
            <v>45.468715051806292</v>
          </cell>
          <cell r="BH2271">
            <v>42.408178994289898</v>
          </cell>
          <cell r="BI2271">
            <v>30.406703917126244</v>
          </cell>
          <cell r="BJ2271">
            <v>54.409654071453552</v>
          </cell>
          <cell r="BU2271">
            <v>23.623491167771803</v>
          </cell>
          <cell r="BV2271">
            <v>29.635401891862816</v>
          </cell>
          <cell r="BW2271">
            <v>23.901518972811779</v>
          </cell>
          <cell r="BX2271">
            <v>15.713059154269443</v>
          </cell>
          <cell r="BY2271">
            <v>32.089978791354113</v>
          </cell>
        </row>
        <row r="2272">
          <cell r="A2272">
            <v>42706</v>
          </cell>
          <cell r="BF2272">
            <v>34.436429919576533</v>
          </cell>
          <cell r="BG2272">
            <v>45.468715051806292</v>
          </cell>
          <cell r="BH2272">
            <v>42.408178994289898</v>
          </cell>
          <cell r="BI2272">
            <v>30.406703917126244</v>
          </cell>
          <cell r="BJ2272">
            <v>54.409654071453552</v>
          </cell>
          <cell r="BU2272">
            <v>22.776296875444654</v>
          </cell>
          <cell r="BV2272">
            <v>29.635401891862816</v>
          </cell>
          <cell r="BW2272">
            <v>23.901518972811779</v>
          </cell>
          <cell r="BX2272">
            <v>15.713059154269443</v>
          </cell>
          <cell r="BY2272">
            <v>32.089978791354113</v>
          </cell>
        </row>
        <row r="2273">
          <cell r="A2273">
            <v>42709</v>
          </cell>
          <cell r="BF2273">
            <v>34.441814818703911</v>
          </cell>
          <cell r="BG2273">
            <v>45.468715051806292</v>
          </cell>
          <cell r="BH2273">
            <v>42.408178994289898</v>
          </cell>
          <cell r="BI2273">
            <v>30.406703917126244</v>
          </cell>
          <cell r="BJ2273">
            <v>54.409654071453552</v>
          </cell>
          <cell r="BU2273">
            <v>22.779932066254975</v>
          </cell>
          <cell r="BV2273">
            <v>29.635401891862816</v>
          </cell>
          <cell r="BW2273">
            <v>23.901518972811779</v>
          </cell>
          <cell r="BX2273">
            <v>15.713059154269443</v>
          </cell>
          <cell r="BY2273">
            <v>32.089978791354113</v>
          </cell>
        </row>
        <row r="2274">
          <cell r="A2274">
            <v>42710</v>
          </cell>
          <cell r="BF2274">
            <v>34.074213853432354</v>
          </cell>
          <cell r="BG2274">
            <v>45.468715051806292</v>
          </cell>
          <cell r="BH2274">
            <v>42.408178994289898</v>
          </cell>
          <cell r="BI2274">
            <v>30.406703917126244</v>
          </cell>
          <cell r="BJ2274">
            <v>54.409654071453552</v>
          </cell>
          <cell r="BU2274">
            <v>22.460693249950292</v>
          </cell>
          <cell r="BV2274">
            <v>29.635401891862816</v>
          </cell>
          <cell r="BW2274">
            <v>23.901518972811779</v>
          </cell>
          <cell r="BX2274">
            <v>15.713059154269443</v>
          </cell>
          <cell r="BY2274">
            <v>32.089978791354113</v>
          </cell>
        </row>
        <row r="2275">
          <cell r="A2275">
            <v>42711</v>
          </cell>
          <cell r="BF2275">
            <v>32.905632952014194</v>
          </cell>
          <cell r="BG2275">
            <v>45.468715051806292</v>
          </cell>
          <cell r="BH2275">
            <v>42.408178994289898</v>
          </cell>
          <cell r="BI2275">
            <v>30.406703917126244</v>
          </cell>
          <cell r="BJ2275">
            <v>54.409654071453552</v>
          </cell>
          <cell r="BU2275">
            <v>21.676949942918039</v>
          </cell>
          <cell r="BV2275">
            <v>29.635401891862816</v>
          </cell>
          <cell r="BW2275">
            <v>23.901518972811779</v>
          </cell>
          <cell r="BX2275">
            <v>15.713059154269443</v>
          </cell>
          <cell r="BY2275">
            <v>32.089978791354113</v>
          </cell>
        </row>
        <row r="2276">
          <cell r="A2276">
            <v>42712</v>
          </cell>
          <cell r="BF2276">
            <v>33.283018867924532</v>
          </cell>
          <cell r="BG2276">
            <v>45.468715051806292</v>
          </cell>
          <cell r="BH2276">
            <v>42.408178994289898</v>
          </cell>
          <cell r="BI2276">
            <v>30.406703917126244</v>
          </cell>
          <cell r="BJ2276">
            <v>54.409654071453552</v>
          </cell>
          <cell r="BU2276">
            <v>21.676949942918039</v>
          </cell>
          <cell r="BV2276">
            <v>29.635401891862816</v>
          </cell>
          <cell r="BW2276">
            <v>23.901518972811779</v>
          </cell>
          <cell r="BX2276">
            <v>15.713059154269443</v>
          </cell>
          <cell r="BY2276">
            <v>32.089978791354113</v>
          </cell>
        </row>
        <row r="2277">
          <cell r="A2277">
            <v>42713</v>
          </cell>
          <cell r="BF2277">
            <v>33.203698762677099</v>
          </cell>
          <cell r="BG2277">
            <v>45.468715051806292</v>
          </cell>
          <cell r="BH2277">
            <v>42.408178994289898</v>
          </cell>
          <cell r="BI2277">
            <v>30.406703917126244</v>
          </cell>
          <cell r="BJ2277">
            <v>54.409654071453552</v>
          </cell>
          <cell r="BU2277">
            <v>21.891122023544764</v>
          </cell>
          <cell r="BV2277">
            <v>29.635401891862816</v>
          </cell>
          <cell r="BW2277">
            <v>23.901518972811779</v>
          </cell>
          <cell r="BX2277">
            <v>15.713059154269443</v>
          </cell>
          <cell r="BY2277">
            <v>32.089978791354113</v>
          </cell>
        </row>
        <row r="2278">
          <cell r="A2278">
            <v>42716</v>
          </cell>
          <cell r="BF2278">
            <v>33.493869811488935</v>
          </cell>
          <cell r="BG2278">
            <v>45.468715051806292</v>
          </cell>
          <cell r="BH2278">
            <v>42.408178994289898</v>
          </cell>
          <cell r="BI2278">
            <v>30.406703917126244</v>
          </cell>
          <cell r="BJ2278">
            <v>54.409654071453552</v>
          </cell>
          <cell r="BU2278">
            <v>22.050355559896495</v>
          </cell>
          <cell r="BV2278">
            <v>29.635401891862816</v>
          </cell>
          <cell r="BW2278">
            <v>23.901518972811779</v>
          </cell>
          <cell r="BX2278">
            <v>15.713059154269443</v>
          </cell>
          <cell r="BY2278">
            <v>32.089978791354113</v>
          </cell>
        </row>
        <row r="2279">
          <cell r="A2279">
            <v>42717</v>
          </cell>
          <cell r="BF2279">
            <v>34.223171815448779</v>
          </cell>
          <cell r="BG2279">
            <v>45.468715051806292</v>
          </cell>
          <cell r="BH2279">
            <v>42.408178994289898</v>
          </cell>
          <cell r="BI2279">
            <v>30.406703917126244</v>
          </cell>
          <cell r="BJ2279">
            <v>54.409654071453552</v>
          </cell>
          <cell r="BU2279">
            <v>22.581347617360805</v>
          </cell>
          <cell r="BV2279">
            <v>29.635401891862816</v>
          </cell>
          <cell r="BW2279">
            <v>23.901518972811779</v>
          </cell>
          <cell r="BX2279">
            <v>15.713059154269443</v>
          </cell>
          <cell r="BY2279">
            <v>32.089978791354113</v>
          </cell>
        </row>
        <row r="2280">
          <cell r="A2280">
            <v>42718</v>
          </cell>
          <cell r="BF2280">
            <v>33.969672353100464</v>
          </cell>
          <cell r="BG2280">
            <v>45.468715051806292</v>
          </cell>
          <cell r="BH2280">
            <v>42.408178994289898</v>
          </cell>
          <cell r="BI2280">
            <v>30.406703917126244</v>
          </cell>
          <cell r="BJ2280">
            <v>54.409654071453552</v>
          </cell>
          <cell r="BU2280">
            <v>22.405642737964889</v>
          </cell>
          <cell r="BV2280">
            <v>29.635401891862816</v>
          </cell>
          <cell r="BW2280">
            <v>23.901518972811779</v>
          </cell>
          <cell r="BX2280">
            <v>15.713059154269443</v>
          </cell>
          <cell r="BY2280">
            <v>32.089978791354113</v>
          </cell>
        </row>
        <row r="2281">
          <cell r="A2281">
            <v>42719</v>
          </cell>
          <cell r="BF2281">
            <v>35.743298131600326</v>
          </cell>
          <cell r="BG2281">
            <v>45.468715051806292</v>
          </cell>
          <cell r="BH2281">
            <v>42.408178994289898</v>
          </cell>
          <cell r="BI2281">
            <v>30.406703917126244</v>
          </cell>
          <cell r="BJ2281">
            <v>54.409654071453552</v>
          </cell>
          <cell r="BU2281">
            <v>22.405642737964889</v>
          </cell>
          <cell r="BV2281">
            <v>29.635401891862816</v>
          </cell>
          <cell r="BW2281">
            <v>23.901518972811779</v>
          </cell>
          <cell r="BX2281">
            <v>15.713059154269443</v>
          </cell>
          <cell r="BY2281">
            <v>32.089978791354113</v>
          </cell>
        </row>
        <row r="2282">
          <cell r="A2282">
            <v>42720</v>
          </cell>
          <cell r="BF2282">
            <v>35.478970159318202</v>
          </cell>
          <cell r="BG2282">
            <v>45.468715051806292</v>
          </cell>
          <cell r="BH2282">
            <v>42.408178994289898</v>
          </cell>
          <cell r="BI2282">
            <v>30.406703917126244</v>
          </cell>
          <cell r="BJ2282">
            <v>54.409654071453552</v>
          </cell>
          <cell r="BU2282">
            <v>23.476056378386247</v>
          </cell>
          <cell r="BV2282">
            <v>29.635401891862816</v>
          </cell>
          <cell r="BW2282">
            <v>23.901518972811779</v>
          </cell>
          <cell r="BX2282">
            <v>15.713059154269443</v>
          </cell>
          <cell r="BY2282">
            <v>32.089978791354113</v>
          </cell>
        </row>
        <row r="2283">
          <cell r="A2283">
            <v>42723</v>
          </cell>
          <cell r="BF2283">
            <v>35.326975476839237</v>
          </cell>
          <cell r="BG2283">
            <v>45.468715051806292</v>
          </cell>
          <cell r="BH2283">
            <v>42.408178994289898</v>
          </cell>
          <cell r="BI2283">
            <v>30.406703917126244</v>
          </cell>
          <cell r="BJ2283">
            <v>54.409654071453552</v>
          </cell>
          <cell r="BU2283">
            <v>23.328640697667151</v>
          </cell>
          <cell r="BV2283">
            <v>29.635401891862816</v>
          </cell>
          <cell r="BW2283">
            <v>23.901518972811779</v>
          </cell>
          <cell r="BX2283">
            <v>15.713059154269443</v>
          </cell>
          <cell r="BY2283">
            <v>32.089978791354113</v>
          </cell>
        </row>
        <row r="2284">
          <cell r="A2284">
            <v>42724</v>
          </cell>
          <cell r="BF2284">
            <v>34.891010899182561</v>
          </cell>
          <cell r="BG2284">
            <v>45.468715051806292</v>
          </cell>
          <cell r="BH2284">
            <v>42.408178994289898</v>
          </cell>
          <cell r="BI2284">
            <v>30.406703917126244</v>
          </cell>
          <cell r="BJ2284">
            <v>54.409654071453552</v>
          </cell>
          <cell r="BU2284">
            <v>23.034877298321572</v>
          </cell>
          <cell r="BV2284">
            <v>29.635401891862816</v>
          </cell>
          <cell r="BW2284">
            <v>23.901518972811779</v>
          </cell>
          <cell r="BX2284">
            <v>15.713059154269443</v>
          </cell>
          <cell r="BY2284">
            <v>32.089978791354113</v>
          </cell>
        </row>
        <row r="2285">
          <cell r="A2285">
            <v>42725</v>
          </cell>
          <cell r="BF2285">
            <v>34.828340599455039</v>
          </cell>
          <cell r="BG2285">
            <v>45.468715051806292</v>
          </cell>
          <cell r="BH2285">
            <v>42.408178994289898</v>
          </cell>
          <cell r="BI2285">
            <v>30.406703917126244</v>
          </cell>
          <cell r="BJ2285">
            <v>54.409654071453552</v>
          </cell>
          <cell r="BU2285">
            <v>22.992648545735946</v>
          </cell>
          <cell r="BV2285">
            <v>29.635401891862816</v>
          </cell>
          <cell r="BW2285">
            <v>23.901518972811779</v>
          </cell>
          <cell r="BX2285">
            <v>15.713059154269443</v>
          </cell>
          <cell r="BY2285">
            <v>32.089978791354113</v>
          </cell>
        </row>
        <row r="2286">
          <cell r="A2286">
            <v>42726</v>
          </cell>
          <cell r="BF2286">
            <v>34.54223705722071</v>
          </cell>
          <cell r="BG2286">
            <v>45.468715051806292</v>
          </cell>
          <cell r="BH2286">
            <v>42.408178994289898</v>
          </cell>
          <cell r="BI2286">
            <v>30.406703917126244</v>
          </cell>
          <cell r="BJ2286">
            <v>54.409654071453552</v>
          </cell>
          <cell r="BU2286">
            <v>22.992648545735946</v>
          </cell>
          <cell r="BV2286">
            <v>29.635401891862816</v>
          </cell>
          <cell r="BW2286">
            <v>23.901518972811779</v>
          </cell>
          <cell r="BX2286">
            <v>15.713059154269443</v>
          </cell>
          <cell r="BY2286">
            <v>32.089978791354113</v>
          </cell>
        </row>
        <row r="2287">
          <cell r="A2287">
            <v>42727</v>
          </cell>
          <cell r="BF2287">
            <v>35.081743869209809</v>
          </cell>
          <cell r="BG2287">
            <v>45.468715051806292</v>
          </cell>
          <cell r="BH2287">
            <v>42.408178994289898</v>
          </cell>
          <cell r="BI2287">
            <v>30.406703917126244</v>
          </cell>
          <cell r="BJ2287">
            <v>54.409654071453552</v>
          </cell>
          <cell r="BU2287">
            <v>23.163397752766858</v>
          </cell>
          <cell r="BV2287">
            <v>29.635401891862816</v>
          </cell>
          <cell r="BW2287">
            <v>23.901518972811779</v>
          </cell>
          <cell r="BX2287">
            <v>15.713059154269443</v>
          </cell>
          <cell r="BY2287">
            <v>32.089978791354113</v>
          </cell>
        </row>
        <row r="2288">
          <cell r="A2288">
            <v>42730</v>
          </cell>
          <cell r="BF2288">
            <v>35.081743869209809</v>
          </cell>
          <cell r="BG2288">
            <v>45.468715051806292</v>
          </cell>
          <cell r="BH2288">
            <v>42.408178994289898</v>
          </cell>
          <cell r="BI2288">
            <v>30.406703917126244</v>
          </cell>
          <cell r="BJ2288">
            <v>54.409654071453552</v>
          </cell>
          <cell r="BU2288">
            <v>23.163397752766858</v>
          </cell>
          <cell r="BV2288">
            <v>29.635401891862816</v>
          </cell>
          <cell r="BW2288">
            <v>23.901518972811779</v>
          </cell>
          <cell r="BX2288">
            <v>15.713059154269443</v>
          </cell>
          <cell r="BY2288">
            <v>32.089978791354113</v>
          </cell>
        </row>
        <row r="2289">
          <cell r="A2289">
            <v>42731</v>
          </cell>
          <cell r="BF2289">
            <v>35.133517711171663</v>
          </cell>
          <cell r="BG2289">
            <v>45.468715051806292</v>
          </cell>
          <cell r="BH2289">
            <v>42.408178994289898</v>
          </cell>
          <cell r="BI2289">
            <v>30.406703917126244</v>
          </cell>
          <cell r="BJ2289">
            <v>54.409654071453552</v>
          </cell>
          <cell r="BU2289">
            <v>23.198284210500756</v>
          </cell>
          <cell r="BV2289">
            <v>29.635401891862816</v>
          </cell>
          <cell r="BW2289">
            <v>23.901518972811779</v>
          </cell>
          <cell r="BX2289">
            <v>15.713059154269443</v>
          </cell>
          <cell r="BY2289">
            <v>32.089978791354113</v>
          </cell>
        </row>
        <row r="2290">
          <cell r="A2290">
            <v>42732</v>
          </cell>
          <cell r="BF2290">
            <v>34.858310626703002</v>
          </cell>
          <cell r="BG2290">
            <v>45.468715051806292</v>
          </cell>
          <cell r="BH2290">
            <v>42.408178994289898</v>
          </cell>
          <cell r="BI2290">
            <v>30.406703917126244</v>
          </cell>
          <cell r="BJ2290">
            <v>54.409654071453552</v>
          </cell>
          <cell r="BU2290">
            <v>23.01284306963548</v>
          </cell>
          <cell r="BV2290">
            <v>29.635401891862816</v>
          </cell>
          <cell r="BW2290">
            <v>23.901518972811779</v>
          </cell>
          <cell r="BX2290">
            <v>15.713059154269443</v>
          </cell>
          <cell r="BY2290">
            <v>32.089978791354113</v>
          </cell>
        </row>
        <row r="2291">
          <cell r="A2291">
            <v>42733</v>
          </cell>
          <cell r="BF2291">
            <v>35.073572207084467</v>
          </cell>
          <cell r="BG2291">
            <v>45.468715051806292</v>
          </cell>
          <cell r="BH2291">
            <v>42.408178994289898</v>
          </cell>
          <cell r="BI2291">
            <v>30.406703917126244</v>
          </cell>
          <cell r="BJ2291">
            <v>54.409654071453552</v>
          </cell>
          <cell r="BU2291">
            <v>23.157891490636235</v>
          </cell>
          <cell r="BV2291">
            <v>29.635401891862816</v>
          </cell>
          <cell r="BW2291">
            <v>23.901518972811779</v>
          </cell>
          <cell r="BX2291">
            <v>15.713059154269443</v>
          </cell>
          <cell r="BY2291">
            <v>32.089978791354113</v>
          </cell>
        </row>
        <row r="2292">
          <cell r="A2292">
            <v>42734</v>
          </cell>
          <cell r="BF2292">
            <v>34.888283378746593</v>
          </cell>
          <cell r="BG2292">
            <v>45.468715051806292</v>
          </cell>
          <cell r="BH2292">
            <v>42.408178994289898</v>
          </cell>
          <cell r="BI2292">
            <v>30.406703917126244</v>
          </cell>
          <cell r="BJ2292">
            <v>54.409654071453552</v>
          </cell>
          <cell r="BU2292">
            <v>23.157891490636235</v>
          </cell>
          <cell r="BV2292">
            <v>29.635401891862816</v>
          </cell>
          <cell r="BW2292">
            <v>23.901518972811779</v>
          </cell>
          <cell r="BX2292">
            <v>15.713059154269443</v>
          </cell>
          <cell r="BY2292">
            <v>32.089978791354113</v>
          </cell>
        </row>
        <row r="2293">
          <cell r="A2293">
            <v>42737</v>
          </cell>
          <cell r="BF2293">
            <v>34.478703933925672</v>
          </cell>
          <cell r="BG2293">
            <v>45.468715051806292</v>
          </cell>
          <cell r="BH2293">
            <v>42.408178994289898</v>
          </cell>
          <cell r="BI2293">
            <v>30.406703917126244</v>
          </cell>
          <cell r="BJ2293">
            <v>54.409654071453552</v>
          </cell>
          <cell r="BU2293">
            <v>22.746517096685071</v>
          </cell>
          <cell r="BV2293">
            <v>29.635401891862816</v>
          </cell>
          <cell r="BW2293">
            <v>23.901518972811779</v>
          </cell>
          <cell r="BX2293">
            <v>15.713059154269443</v>
          </cell>
          <cell r="BY2293">
            <v>32.089978791354113</v>
          </cell>
        </row>
        <row r="2294">
          <cell r="A2294">
            <v>42738</v>
          </cell>
          <cell r="BF2294">
            <v>35.310784064688477</v>
          </cell>
          <cell r="BG2294">
            <v>45.468715051806292</v>
          </cell>
          <cell r="BH2294">
            <v>42.408178994289898</v>
          </cell>
          <cell r="BI2294">
            <v>30.406703917126244</v>
          </cell>
          <cell r="BJ2294">
            <v>54.409654071453552</v>
          </cell>
          <cell r="BU2294">
            <v>23.306795598105168</v>
          </cell>
          <cell r="BV2294">
            <v>29.635401891862816</v>
          </cell>
          <cell r="BW2294">
            <v>23.901518972811779</v>
          </cell>
          <cell r="BX2294">
            <v>15.713059154269443</v>
          </cell>
          <cell r="BY2294">
            <v>32.089978791354113</v>
          </cell>
        </row>
        <row r="2295">
          <cell r="A2295">
            <v>42739</v>
          </cell>
          <cell r="BF2295">
            <v>36.53595801707624</v>
          </cell>
          <cell r="BG2295">
            <v>45.468715051806292</v>
          </cell>
          <cell r="BH2295">
            <v>42.408178994289898</v>
          </cell>
          <cell r="BI2295">
            <v>30.406703917126244</v>
          </cell>
          <cell r="BJ2295">
            <v>54.409654071453552</v>
          </cell>
          <cell r="BU2295">
            <v>24.079112951922742</v>
          </cell>
          <cell r="BV2295">
            <v>29.635401891862816</v>
          </cell>
          <cell r="BW2295">
            <v>23.901518972811779</v>
          </cell>
          <cell r="BX2295">
            <v>15.713059154269443</v>
          </cell>
          <cell r="BY2295">
            <v>32.089978791354113</v>
          </cell>
        </row>
        <row r="2296">
          <cell r="A2296">
            <v>42740</v>
          </cell>
          <cell r="BF2296">
            <v>36.368386675379334</v>
          </cell>
          <cell r="BG2296">
            <v>45.468715051806292</v>
          </cell>
          <cell r="BH2296">
            <v>42.408178994289898</v>
          </cell>
          <cell r="BI2296">
            <v>30.406703917126244</v>
          </cell>
          <cell r="BJ2296">
            <v>54.409654071453552</v>
          </cell>
          <cell r="BU2296">
            <v>24.16205316809414</v>
          </cell>
          <cell r="BV2296">
            <v>29.635401891862816</v>
          </cell>
          <cell r="BW2296">
            <v>23.901518972811779</v>
          </cell>
          <cell r="BX2296">
            <v>15.713059154269443</v>
          </cell>
          <cell r="BY2296">
            <v>32.089978791354113</v>
          </cell>
        </row>
        <row r="2297">
          <cell r="A2297">
            <v>42741</v>
          </cell>
          <cell r="BF2297">
            <v>38.267718494691742</v>
          </cell>
          <cell r="BG2297">
            <v>45.468715051806292</v>
          </cell>
          <cell r="BH2297">
            <v>42.408178994289898</v>
          </cell>
          <cell r="BI2297">
            <v>30.406703917126244</v>
          </cell>
          <cell r="BJ2297">
            <v>54.409654071453552</v>
          </cell>
          <cell r="BU2297">
            <v>25.311934313740817</v>
          </cell>
          <cell r="BV2297">
            <v>29.635401891862816</v>
          </cell>
          <cell r="BW2297">
            <v>23.901518972811779</v>
          </cell>
          <cell r="BX2297">
            <v>15.713059154269443</v>
          </cell>
          <cell r="BY2297">
            <v>32.089978791354113</v>
          </cell>
        </row>
        <row r="2298">
          <cell r="A2298">
            <v>42744</v>
          </cell>
          <cell r="BF2298">
            <v>38.288047631482172</v>
          </cell>
          <cell r="BG2298">
            <v>45.468715051806292</v>
          </cell>
          <cell r="BH2298">
            <v>42.408178994289898</v>
          </cell>
          <cell r="BI2298">
            <v>30.406703917126244</v>
          </cell>
          <cell r="BJ2298">
            <v>54.409654071453552</v>
          </cell>
          <cell r="BU2298">
            <v>25.395539256802749</v>
          </cell>
          <cell r="BV2298">
            <v>29.635401891862816</v>
          </cell>
          <cell r="BW2298">
            <v>23.901518972811779</v>
          </cell>
          <cell r="BX2298">
            <v>15.713059154269443</v>
          </cell>
          <cell r="BY2298">
            <v>32.089978791354113</v>
          </cell>
        </row>
        <row r="2299">
          <cell r="A2299">
            <v>42745</v>
          </cell>
          <cell r="BF2299">
            <v>44.645626690716981</v>
          </cell>
          <cell r="BG2299">
            <v>45.468715051806292</v>
          </cell>
          <cell r="BH2299">
            <v>42.408178994289898</v>
          </cell>
          <cell r="BI2299">
            <v>30.406703917126244</v>
          </cell>
          <cell r="BJ2299">
            <v>54.409654071453552</v>
          </cell>
          <cell r="BU2299">
            <v>29.736696420161138</v>
          </cell>
          <cell r="BV2299">
            <v>29.635401891862816</v>
          </cell>
          <cell r="BW2299">
            <v>23.901518972811779</v>
          </cell>
          <cell r="BX2299">
            <v>15.713059154269443</v>
          </cell>
          <cell r="BY2299">
            <v>32.089978791354113</v>
          </cell>
        </row>
        <row r="2300">
          <cell r="A2300">
            <v>42746</v>
          </cell>
          <cell r="BF2300">
            <v>43.917946798922493</v>
          </cell>
          <cell r="BG2300">
            <v>45.468715051806292</v>
          </cell>
          <cell r="BH2300">
            <v>42.408178994289898</v>
          </cell>
          <cell r="BI2300">
            <v>30.406703917126244</v>
          </cell>
          <cell r="BJ2300">
            <v>54.409654071453552</v>
          </cell>
          <cell r="BU2300">
            <v>29.244290190438125</v>
          </cell>
          <cell r="BV2300">
            <v>29.635401891862816</v>
          </cell>
          <cell r="BW2300">
            <v>23.901518972811779</v>
          </cell>
          <cell r="BX2300">
            <v>15.713059154269443</v>
          </cell>
          <cell r="BY2300">
            <v>32.089978791354113</v>
          </cell>
        </row>
        <row r="2301">
          <cell r="A2301">
            <v>42747</v>
          </cell>
          <cell r="BF2301">
            <v>44.050495942294916</v>
          </cell>
          <cell r="BG2301">
            <v>45.468715051806292</v>
          </cell>
          <cell r="BH2301">
            <v>42.408178994289898</v>
          </cell>
          <cell r="BI2301">
            <v>30.406703917126244</v>
          </cell>
          <cell r="BJ2301">
            <v>54.409654071453552</v>
          </cell>
          <cell r="BU2301">
            <v>29.244290190438125</v>
          </cell>
          <cell r="BV2301">
            <v>29.635401891862816</v>
          </cell>
          <cell r="BW2301">
            <v>23.901518972811779</v>
          </cell>
          <cell r="BX2301">
            <v>15.713059154269443</v>
          </cell>
          <cell r="BY2301">
            <v>32.089978791354113</v>
          </cell>
        </row>
        <row r="2302">
          <cell r="A2302">
            <v>42748</v>
          </cell>
          <cell r="BF2302">
            <v>43.977459873764701</v>
          </cell>
          <cell r="BG2302">
            <v>45.468715051806292</v>
          </cell>
          <cell r="BH2302">
            <v>42.408178994289898</v>
          </cell>
          <cell r="BI2302">
            <v>30.406703917126244</v>
          </cell>
          <cell r="BJ2302">
            <v>54.409654071453552</v>
          </cell>
          <cell r="BU2302">
            <v>29.333983508443762</v>
          </cell>
          <cell r="BV2302">
            <v>29.635401891862816</v>
          </cell>
          <cell r="BW2302">
            <v>23.901518972811779</v>
          </cell>
          <cell r="BX2302">
            <v>15.713059154269443</v>
          </cell>
          <cell r="BY2302">
            <v>32.089978791354113</v>
          </cell>
        </row>
        <row r="2303">
          <cell r="A2303">
            <v>42751</v>
          </cell>
          <cell r="BF2303">
            <v>43.976656873492658</v>
          </cell>
          <cell r="BG2303">
            <v>45.468715051806292</v>
          </cell>
          <cell r="BH2303">
            <v>42.408178994289898</v>
          </cell>
          <cell r="BI2303">
            <v>30.406703917126244</v>
          </cell>
          <cell r="BJ2303">
            <v>54.409654071453552</v>
          </cell>
          <cell r="BU2303">
            <v>29.284561481609863</v>
          </cell>
          <cell r="BV2303">
            <v>29.635401891862816</v>
          </cell>
          <cell r="BW2303">
            <v>23.901518972811779</v>
          </cell>
          <cell r="BX2303">
            <v>15.713059154269443</v>
          </cell>
          <cell r="BY2303">
            <v>32.089978791354113</v>
          </cell>
        </row>
        <row r="2304">
          <cell r="A2304">
            <v>42752</v>
          </cell>
          <cell r="BF2304">
            <v>43.408587895491522</v>
          </cell>
          <cell r="BG2304">
            <v>45.468715051806292</v>
          </cell>
          <cell r="BH2304">
            <v>42.408178994289898</v>
          </cell>
          <cell r="BI2304">
            <v>30.406703917126244</v>
          </cell>
          <cell r="BJ2304">
            <v>54.409654071453552</v>
          </cell>
          <cell r="BU2304">
            <v>28.900153702243276</v>
          </cell>
          <cell r="BV2304">
            <v>29.635401891862816</v>
          </cell>
          <cell r="BW2304">
            <v>23.901518972811779</v>
          </cell>
          <cell r="BX2304">
            <v>15.713059154269443</v>
          </cell>
          <cell r="BY2304">
            <v>32.089978791354113</v>
          </cell>
        </row>
        <row r="2305">
          <cell r="A2305">
            <v>42753</v>
          </cell>
          <cell r="BF2305">
            <v>43.602799759674824</v>
          </cell>
          <cell r="BG2305">
            <v>45.468715051806292</v>
          </cell>
          <cell r="BH2305">
            <v>42.408178994289898</v>
          </cell>
          <cell r="BI2305">
            <v>30.406703917126244</v>
          </cell>
          <cell r="BJ2305">
            <v>54.409654071453552</v>
          </cell>
          <cell r="BU2305">
            <v>29.055325076958095</v>
          </cell>
          <cell r="BV2305">
            <v>29.635401891862816</v>
          </cell>
          <cell r="BW2305">
            <v>23.901518972811779</v>
          </cell>
          <cell r="BX2305">
            <v>15.713059154269443</v>
          </cell>
          <cell r="BY2305">
            <v>32.089978791354113</v>
          </cell>
        </row>
        <row r="2306">
          <cell r="A2306">
            <v>42754</v>
          </cell>
          <cell r="BF2306">
            <v>43.358011835389135</v>
          </cell>
          <cell r="BG2306">
            <v>45.468715051806292</v>
          </cell>
          <cell r="BH2306">
            <v>42.408178994289898</v>
          </cell>
          <cell r="BI2306">
            <v>30.406703917126244</v>
          </cell>
          <cell r="BJ2306">
            <v>54.409654071453552</v>
          </cell>
          <cell r="BU2306">
            <v>29.055325076958095</v>
          </cell>
          <cell r="BV2306">
            <v>29.635401891862816</v>
          </cell>
          <cell r="BW2306">
            <v>23.901518972811779</v>
          </cell>
          <cell r="BX2306">
            <v>15.713059154269443</v>
          </cell>
          <cell r="BY2306">
            <v>32.089978791354113</v>
          </cell>
        </row>
        <row r="2307">
          <cell r="A2307">
            <v>42755</v>
          </cell>
          <cell r="BF2307">
            <v>43.130874502235848</v>
          </cell>
          <cell r="BG2307">
            <v>45.468715051806292</v>
          </cell>
          <cell r="BH2307">
            <v>42.408178994289898</v>
          </cell>
          <cell r="BI2307">
            <v>30.406703917126244</v>
          </cell>
          <cell r="BJ2307">
            <v>54.409654071453552</v>
          </cell>
          <cell r="BU2307">
            <v>28.738149443855075</v>
          </cell>
          <cell r="BV2307">
            <v>29.635401891862816</v>
          </cell>
          <cell r="BW2307">
            <v>23.901518972811779</v>
          </cell>
          <cell r="BX2307">
            <v>15.713059154269443</v>
          </cell>
          <cell r="BY2307">
            <v>32.089978791354113</v>
          </cell>
        </row>
        <row r="2308">
          <cell r="A2308">
            <v>42758</v>
          </cell>
          <cell r="BF2308">
            <v>43.653057362303329</v>
          </cell>
          <cell r="BG2308">
            <v>45.468715051806292</v>
          </cell>
          <cell r="BH2308">
            <v>42.408178994289898</v>
          </cell>
          <cell r="BI2308">
            <v>30.406703917126244</v>
          </cell>
          <cell r="BJ2308">
            <v>54.409654071453552</v>
          </cell>
          <cell r="BU2308">
            <v>29.191395695180944</v>
          </cell>
          <cell r="BV2308">
            <v>29.635401891862816</v>
          </cell>
          <cell r="BW2308">
            <v>23.901518972811779</v>
          </cell>
          <cell r="BX2308">
            <v>15.713059154269443</v>
          </cell>
          <cell r="BY2308">
            <v>32.089978791354113</v>
          </cell>
        </row>
        <row r="2309">
          <cell r="A2309">
            <v>42759</v>
          </cell>
          <cell r="BF2309">
            <v>43.541815187410272</v>
          </cell>
          <cell r="BG2309">
            <v>45.468715051806292</v>
          </cell>
          <cell r="BH2309">
            <v>42.408178994289898</v>
          </cell>
          <cell r="BI2309">
            <v>30.406703917126244</v>
          </cell>
          <cell r="BJ2309">
            <v>54.409654071453552</v>
          </cell>
          <cell r="BU2309">
            <v>29.115789450378056</v>
          </cell>
          <cell r="BV2309">
            <v>29.635401891862816</v>
          </cell>
          <cell r="BW2309">
            <v>23.901518972811779</v>
          </cell>
          <cell r="BX2309">
            <v>15.713059154269443</v>
          </cell>
          <cell r="BY2309">
            <v>32.089978791354113</v>
          </cell>
        </row>
        <row r="2310">
          <cell r="A2310">
            <v>42760</v>
          </cell>
          <cell r="BF2310">
            <v>43.683921924751225</v>
          </cell>
          <cell r="BG2310">
            <v>45.468715051806292</v>
          </cell>
          <cell r="BH2310">
            <v>42.408178994289898</v>
          </cell>
          <cell r="BI2310">
            <v>30.406703917126244</v>
          </cell>
          <cell r="BJ2310">
            <v>54.409654071453552</v>
          </cell>
          <cell r="BU2310">
            <v>29.13085068450933</v>
          </cell>
          <cell r="BV2310">
            <v>29.635401891862816</v>
          </cell>
          <cell r="BW2310">
            <v>23.901518972811779</v>
          </cell>
          <cell r="BX2310">
            <v>15.713059154269443</v>
          </cell>
          <cell r="BY2310">
            <v>32.089978791354113</v>
          </cell>
        </row>
        <row r="2311">
          <cell r="A2311">
            <v>42761</v>
          </cell>
          <cell r="BF2311">
            <v>43.400567363076213</v>
          </cell>
          <cell r="BG2311">
            <v>45.468715051806292</v>
          </cell>
          <cell r="BH2311">
            <v>42.408178994289898</v>
          </cell>
          <cell r="BI2311">
            <v>30.406703917126244</v>
          </cell>
          <cell r="BJ2311">
            <v>54.409654071453552</v>
          </cell>
          <cell r="BU2311">
            <v>29.080943751794212</v>
          </cell>
          <cell r="BV2311">
            <v>29.635401891862816</v>
          </cell>
          <cell r="BW2311">
            <v>23.901518972811779</v>
          </cell>
          <cell r="BX2311">
            <v>15.713059154269443</v>
          </cell>
          <cell r="BY2311">
            <v>32.089978791354113</v>
          </cell>
        </row>
        <row r="2312">
          <cell r="A2312">
            <v>42762</v>
          </cell>
          <cell r="BF2312">
            <v>43.629379299695991</v>
          </cell>
          <cell r="BG2312">
            <v>45.468715051806292</v>
          </cell>
          <cell r="BH2312">
            <v>42.408178994289898</v>
          </cell>
          <cell r="BI2312">
            <v>30.406703917126244</v>
          </cell>
          <cell r="BJ2312">
            <v>54.409654071453552</v>
          </cell>
          <cell r="BU2312">
            <v>29.066263826009919</v>
          </cell>
          <cell r="BV2312">
            <v>29.635401891862816</v>
          </cell>
          <cell r="BW2312">
            <v>23.901518972811779</v>
          </cell>
          <cell r="BX2312">
            <v>15.713059154269443</v>
          </cell>
          <cell r="BY2312">
            <v>32.089978791354113</v>
          </cell>
        </row>
        <row r="2313">
          <cell r="A2313">
            <v>42765</v>
          </cell>
          <cell r="BF2313">
            <v>43.096102893483355</v>
          </cell>
          <cell r="BG2313">
            <v>45.468715051806292</v>
          </cell>
          <cell r="BH2313">
            <v>42.408178994289898</v>
          </cell>
          <cell r="BI2313">
            <v>30.406703917126244</v>
          </cell>
          <cell r="BJ2313">
            <v>54.409654071453552</v>
          </cell>
          <cell r="BU2313">
            <v>28.585999050728663</v>
          </cell>
          <cell r="BV2313">
            <v>29.635401891862816</v>
          </cell>
          <cell r="BW2313">
            <v>23.901518972811779</v>
          </cell>
          <cell r="BX2313">
            <v>15.713059154269443</v>
          </cell>
          <cell r="BY2313">
            <v>32.089978791354113</v>
          </cell>
        </row>
        <row r="2314">
          <cell r="A2314">
            <v>42766</v>
          </cell>
          <cell r="BF2314">
            <v>43.317971523152394</v>
          </cell>
          <cell r="BG2314">
            <v>45.468715051806292</v>
          </cell>
          <cell r="BH2314">
            <v>42.408178994289898</v>
          </cell>
          <cell r="BI2314">
            <v>30.406703917126244</v>
          </cell>
          <cell r="BJ2314">
            <v>54.409654071453552</v>
          </cell>
          <cell r="BU2314">
            <v>28.735598883485594</v>
          </cell>
          <cell r="BV2314">
            <v>29.635401891862816</v>
          </cell>
          <cell r="BW2314">
            <v>23.901518972811779</v>
          </cell>
          <cell r="BX2314">
            <v>15.713059154269443</v>
          </cell>
          <cell r="BY2314">
            <v>32.089978791354113</v>
          </cell>
        </row>
        <row r="2315">
          <cell r="A2315">
            <v>42767</v>
          </cell>
          <cell r="BF2315">
            <v>43.105647244943611</v>
          </cell>
          <cell r="BG2315">
            <v>45.468715051806292</v>
          </cell>
          <cell r="BH2315">
            <v>42.408178994289898</v>
          </cell>
          <cell r="BI2315">
            <v>30.406703917126244</v>
          </cell>
          <cell r="BJ2315">
            <v>54.409654071453552</v>
          </cell>
          <cell r="BU2315">
            <v>28.292148028209169</v>
          </cell>
          <cell r="BV2315">
            <v>29.635401891862816</v>
          </cell>
          <cell r="BW2315">
            <v>23.901518972811779</v>
          </cell>
          <cell r="BX2315">
            <v>15.713059154269443</v>
          </cell>
          <cell r="BY2315">
            <v>32.089978791354113</v>
          </cell>
        </row>
        <row r="2316">
          <cell r="A2316">
            <v>42768</v>
          </cell>
          <cell r="BF2316">
            <v>43.452783211813362</v>
          </cell>
          <cell r="BG2316">
            <v>45.468715051806292</v>
          </cell>
          <cell r="BH2316">
            <v>42.408178994289898</v>
          </cell>
          <cell r="BI2316">
            <v>30.406703917126244</v>
          </cell>
          <cell r="BJ2316">
            <v>54.409654071453552</v>
          </cell>
          <cell r="BU2316">
            <v>28.292148028209169</v>
          </cell>
          <cell r="BV2316">
            <v>29.635401891862816</v>
          </cell>
          <cell r="BW2316">
            <v>23.901518972811779</v>
          </cell>
          <cell r="BX2316">
            <v>15.713059154269443</v>
          </cell>
          <cell r="BY2316">
            <v>32.089978791354113</v>
          </cell>
        </row>
        <row r="2317">
          <cell r="A2317">
            <v>42769</v>
          </cell>
          <cell r="BF2317">
            <v>43.269326988296775</v>
          </cell>
          <cell r="BG2317">
            <v>45.468715051806292</v>
          </cell>
          <cell r="BH2317">
            <v>42.408178994289898</v>
          </cell>
          <cell r="BI2317">
            <v>30.406703917126244</v>
          </cell>
          <cell r="BJ2317">
            <v>54.409654071453552</v>
          </cell>
          <cell r="BU2317">
            <v>28.290290483421362</v>
          </cell>
          <cell r="BV2317">
            <v>29.635401891862816</v>
          </cell>
          <cell r="BW2317">
            <v>23.901518972811779</v>
          </cell>
          <cell r="BX2317">
            <v>15.713059154269443</v>
          </cell>
          <cell r="BY2317">
            <v>32.089978791354113</v>
          </cell>
        </row>
        <row r="2318">
          <cell r="A2318">
            <v>42772</v>
          </cell>
          <cell r="BF2318">
            <v>43.368063242869333</v>
          </cell>
          <cell r="BG2318">
            <v>45.468715051806292</v>
          </cell>
          <cell r="BH2318">
            <v>42.408178994289898</v>
          </cell>
          <cell r="BI2318">
            <v>30.406703917126244</v>
          </cell>
          <cell r="BJ2318">
            <v>54.409654071453552</v>
          </cell>
          <cell r="BU2318">
            <v>28.356133453585041</v>
          </cell>
          <cell r="BV2318">
            <v>29.635401891862816</v>
          </cell>
          <cell r="BW2318">
            <v>23.901518972811779</v>
          </cell>
          <cell r="BX2318">
            <v>15.713059154269443</v>
          </cell>
          <cell r="BY2318">
            <v>32.089978791354113</v>
          </cell>
        </row>
        <row r="2319">
          <cell r="A2319">
            <v>42773</v>
          </cell>
          <cell r="BF2319">
            <v>43.483971544729222</v>
          </cell>
          <cell r="BG2319">
            <v>45.468715051806292</v>
          </cell>
          <cell r="BH2319">
            <v>42.408178994289898</v>
          </cell>
          <cell r="BI2319">
            <v>30.406703917126244</v>
          </cell>
          <cell r="BJ2319">
            <v>54.409654071453552</v>
          </cell>
          <cell r="BU2319">
            <v>28.326727084491079</v>
          </cell>
          <cell r="BV2319">
            <v>29.635401891862816</v>
          </cell>
          <cell r="BW2319">
            <v>23.901518972811779</v>
          </cell>
          <cell r="BX2319">
            <v>15.713059154269443</v>
          </cell>
          <cell r="BY2319">
            <v>32.089978791354113</v>
          </cell>
        </row>
        <row r="2320">
          <cell r="A2320">
            <v>42774</v>
          </cell>
          <cell r="BF2320">
            <v>43.533395369550597</v>
          </cell>
          <cell r="BG2320">
            <v>45.468715051806292</v>
          </cell>
          <cell r="BH2320">
            <v>42.408178994289898</v>
          </cell>
          <cell r="BI2320">
            <v>30.406703917126244</v>
          </cell>
          <cell r="BJ2320">
            <v>54.409654071453552</v>
          </cell>
          <cell r="BU2320">
            <v>28.363320957244952</v>
          </cell>
          <cell r="BV2320">
            <v>29.635401891862816</v>
          </cell>
          <cell r="BW2320">
            <v>23.901518972811779</v>
          </cell>
          <cell r="BX2320">
            <v>15.713059154269443</v>
          </cell>
          <cell r="BY2320">
            <v>32.089978791354113</v>
          </cell>
        </row>
        <row r="2321">
          <cell r="A2321">
            <v>42775</v>
          </cell>
          <cell r="BF2321">
            <v>43.581478183441959</v>
          </cell>
          <cell r="BG2321">
            <v>45.468715051806292</v>
          </cell>
          <cell r="BH2321">
            <v>42.408178994289898</v>
          </cell>
          <cell r="BI2321">
            <v>30.406703917126244</v>
          </cell>
          <cell r="BJ2321">
            <v>54.409654071453552</v>
          </cell>
          <cell r="BU2321">
            <v>28.363320957244952</v>
          </cell>
          <cell r="BV2321">
            <v>29.635401891862816</v>
          </cell>
          <cell r="BW2321">
            <v>23.901518972811779</v>
          </cell>
          <cell r="BX2321">
            <v>15.713059154269443</v>
          </cell>
          <cell r="BY2321">
            <v>32.089978791354113</v>
          </cell>
        </row>
        <row r="2322">
          <cell r="A2322">
            <v>42776</v>
          </cell>
          <cell r="BF2322">
            <v>43.548947157552703</v>
          </cell>
          <cell r="BG2322">
            <v>45.468715051806292</v>
          </cell>
          <cell r="BH2322">
            <v>42.408178994289898</v>
          </cell>
          <cell r="BI2322">
            <v>30.406703917126244</v>
          </cell>
          <cell r="BJ2322">
            <v>54.409654071453552</v>
          </cell>
          <cell r="BU2322">
            <v>28.574469930193867</v>
          </cell>
          <cell r="BV2322">
            <v>29.635401891862816</v>
          </cell>
          <cell r="BW2322">
            <v>23.901518972811779</v>
          </cell>
          <cell r="BX2322">
            <v>15.713059154269443</v>
          </cell>
          <cell r="BY2322">
            <v>32.089978791354113</v>
          </cell>
        </row>
        <row r="2323">
          <cell r="A2323">
            <v>42779</v>
          </cell>
          <cell r="BF2323">
            <v>43.762631883546582</v>
          </cell>
          <cell r="BG2323">
            <v>45.468715051806292</v>
          </cell>
          <cell r="BH2323">
            <v>42.408178994289898</v>
          </cell>
          <cell r="BI2323">
            <v>30.406703917126244</v>
          </cell>
          <cell r="BJ2323">
            <v>54.409654071453552</v>
          </cell>
          <cell r="BU2323">
            <v>28.717458797823991</v>
          </cell>
          <cell r="BV2323">
            <v>29.635401891862816</v>
          </cell>
          <cell r="BW2323">
            <v>23.901518972811779</v>
          </cell>
          <cell r="BX2323">
            <v>15.713059154269443</v>
          </cell>
          <cell r="BY2323">
            <v>32.089978791354113</v>
          </cell>
        </row>
        <row r="2324">
          <cell r="A2324">
            <v>42780</v>
          </cell>
          <cell r="BF2324">
            <v>43.928240217250917</v>
          </cell>
          <cell r="BG2324">
            <v>45.468715051806292</v>
          </cell>
          <cell r="BH2324">
            <v>42.408178994289898</v>
          </cell>
          <cell r="BI2324">
            <v>30.406703917126244</v>
          </cell>
          <cell r="BJ2324">
            <v>54.409654071453552</v>
          </cell>
          <cell r="BU2324">
            <v>28.708215992679218</v>
          </cell>
          <cell r="BV2324">
            <v>29.635401891862816</v>
          </cell>
          <cell r="BW2324">
            <v>23.901518972811779</v>
          </cell>
          <cell r="BX2324">
            <v>15.713059154269443</v>
          </cell>
          <cell r="BY2324">
            <v>32.089978791354113</v>
          </cell>
        </row>
        <row r="2325">
          <cell r="A2325">
            <v>42781</v>
          </cell>
          <cell r="BF2325">
            <v>43.615723634425791</v>
          </cell>
          <cell r="BG2325">
            <v>45.468715051806292</v>
          </cell>
          <cell r="BH2325">
            <v>42.408178994289898</v>
          </cell>
          <cell r="BI2325">
            <v>30.406703917126244</v>
          </cell>
          <cell r="BJ2325">
            <v>54.409654071453552</v>
          </cell>
          <cell r="BU2325">
            <v>28.588774912962084</v>
          </cell>
          <cell r="BV2325">
            <v>29.635401891862816</v>
          </cell>
          <cell r="BW2325">
            <v>23.901518972811779</v>
          </cell>
          <cell r="BX2325">
            <v>15.713059154269443</v>
          </cell>
          <cell r="BY2325">
            <v>32.089978791354113</v>
          </cell>
        </row>
        <row r="2326">
          <cell r="A2326">
            <v>42782</v>
          </cell>
          <cell r="BF2326">
            <v>43.084185549575089</v>
          </cell>
          <cell r="BG2326">
            <v>45.468715051806292</v>
          </cell>
          <cell r="BH2326">
            <v>42.408178994289898</v>
          </cell>
          <cell r="BI2326">
            <v>30.406703917126244</v>
          </cell>
          <cell r="BJ2326">
            <v>54.409654071453552</v>
          </cell>
          <cell r="BU2326">
            <v>28.588774912962084</v>
          </cell>
          <cell r="BV2326">
            <v>29.635401891862816</v>
          </cell>
          <cell r="BW2326">
            <v>23.901518972811779</v>
          </cell>
          <cell r="BX2326">
            <v>15.713059154269443</v>
          </cell>
          <cell r="BY2326">
            <v>32.089978791354113</v>
          </cell>
        </row>
        <row r="2327">
          <cell r="A2327">
            <v>42783</v>
          </cell>
          <cell r="BF2327">
            <v>43.637092107025182</v>
          </cell>
          <cell r="BG2327">
            <v>45.468715051806292</v>
          </cell>
          <cell r="BH2327">
            <v>42.408178994289898</v>
          </cell>
          <cell r="BI2327">
            <v>30.406703917126244</v>
          </cell>
          <cell r="BJ2327">
            <v>54.409654071453552</v>
          </cell>
          <cell r="BU2327">
            <v>28.603015397216225</v>
          </cell>
          <cell r="BV2327">
            <v>29.635401891862816</v>
          </cell>
          <cell r="BW2327">
            <v>23.901518972811779</v>
          </cell>
          <cell r="BX2327">
            <v>15.713059154269443</v>
          </cell>
          <cell r="BY2327">
            <v>32.089978791354113</v>
          </cell>
        </row>
        <row r="2328">
          <cell r="A2328">
            <v>42786</v>
          </cell>
          <cell r="BF2328">
            <v>43.637092107025182</v>
          </cell>
          <cell r="BG2328">
            <v>45.468715051806292</v>
          </cell>
          <cell r="BH2328">
            <v>42.408178994289898</v>
          </cell>
          <cell r="BI2328">
            <v>30.406703917126244</v>
          </cell>
          <cell r="BJ2328">
            <v>54.409654071453552</v>
          </cell>
          <cell r="BU2328">
            <v>28.603015397216225</v>
          </cell>
          <cell r="BV2328">
            <v>29.635401891862816</v>
          </cell>
          <cell r="BW2328">
            <v>23.901518972811779</v>
          </cell>
          <cell r="BX2328">
            <v>15.713059154269443</v>
          </cell>
          <cell r="BY2328">
            <v>32.089978791354113</v>
          </cell>
        </row>
        <row r="2329">
          <cell r="A2329">
            <v>42787</v>
          </cell>
          <cell r="BF2329">
            <v>43.311222899884513</v>
          </cell>
          <cell r="BG2329">
            <v>45.468715051806292</v>
          </cell>
          <cell r="BH2329">
            <v>42.408178994289898</v>
          </cell>
          <cell r="BI2329">
            <v>30.406703917126244</v>
          </cell>
          <cell r="BJ2329">
            <v>54.409654071453552</v>
          </cell>
          <cell r="BU2329">
            <v>28.385848012340627</v>
          </cell>
          <cell r="BV2329">
            <v>29.635401891862816</v>
          </cell>
          <cell r="BW2329">
            <v>23.901518972811779</v>
          </cell>
          <cell r="BX2329">
            <v>15.713059154269443</v>
          </cell>
          <cell r="BY2329">
            <v>32.089978791354113</v>
          </cell>
        </row>
        <row r="2330">
          <cell r="A2330">
            <v>42788</v>
          </cell>
          <cell r="BF2330">
            <v>43.35129145706744</v>
          </cell>
          <cell r="BG2330">
            <v>45.468715051806292</v>
          </cell>
          <cell r="BH2330">
            <v>42.408178994289898</v>
          </cell>
          <cell r="BI2330">
            <v>30.406703917126244</v>
          </cell>
          <cell r="BJ2330">
            <v>54.409654071453552</v>
          </cell>
          <cell r="BU2330">
            <v>28.412550700377665</v>
          </cell>
          <cell r="BV2330">
            <v>29.635401891862816</v>
          </cell>
          <cell r="BW2330">
            <v>23.901518972811779</v>
          </cell>
          <cell r="BX2330">
            <v>15.713059154269443</v>
          </cell>
          <cell r="BY2330">
            <v>32.089978791354113</v>
          </cell>
        </row>
        <row r="2331">
          <cell r="A2331">
            <v>42789</v>
          </cell>
          <cell r="BF2331">
            <v>43.006722165343234</v>
          </cell>
          <cell r="BG2331">
            <v>45.468715051806292</v>
          </cell>
          <cell r="BH2331">
            <v>42.408178994289898</v>
          </cell>
          <cell r="BI2331">
            <v>30.406703917126244</v>
          </cell>
          <cell r="BJ2331">
            <v>54.409654071453552</v>
          </cell>
          <cell r="BU2331">
            <v>28.412550700377665</v>
          </cell>
          <cell r="BV2331">
            <v>29.635401891862816</v>
          </cell>
          <cell r="BW2331">
            <v>23.901518972811779</v>
          </cell>
          <cell r="BX2331">
            <v>15.713059154269443</v>
          </cell>
          <cell r="BY2331">
            <v>32.089978791354113</v>
          </cell>
        </row>
        <row r="2332">
          <cell r="A2332">
            <v>42790</v>
          </cell>
          <cell r="BF2332">
            <v>42.733882315344204</v>
          </cell>
          <cell r="BG2332">
            <v>45.468715051806292</v>
          </cell>
          <cell r="BH2332">
            <v>42.408178994289898</v>
          </cell>
          <cell r="BI2332">
            <v>30.406703917126244</v>
          </cell>
          <cell r="BJ2332">
            <v>54.409654071453552</v>
          </cell>
          <cell r="BU2332">
            <v>28.003134998010676</v>
          </cell>
          <cell r="BV2332">
            <v>29.635401891862816</v>
          </cell>
          <cell r="BW2332">
            <v>23.901518972811779</v>
          </cell>
          <cell r="BX2332">
            <v>15.713059154269443</v>
          </cell>
          <cell r="BY2332">
            <v>32.089978791354113</v>
          </cell>
        </row>
        <row r="2333">
          <cell r="A2333">
            <v>42793</v>
          </cell>
          <cell r="BF2333">
            <v>44.550201092795952</v>
          </cell>
          <cell r="BG2333">
            <v>45.468715051806292</v>
          </cell>
          <cell r="BH2333">
            <v>42.408178994289898</v>
          </cell>
          <cell r="BI2333">
            <v>30.406703917126244</v>
          </cell>
          <cell r="BJ2333">
            <v>54.409654071453552</v>
          </cell>
          <cell r="BU2333">
            <v>29.198149445115092</v>
          </cell>
          <cell r="BV2333">
            <v>29.635401891862816</v>
          </cell>
          <cell r="BW2333">
            <v>23.901518972811779</v>
          </cell>
          <cell r="BX2333">
            <v>15.713059154269443</v>
          </cell>
          <cell r="BY2333">
            <v>32.089978791354113</v>
          </cell>
        </row>
        <row r="2334">
          <cell r="A2334">
            <v>42794</v>
          </cell>
          <cell r="BF2334">
            <v>44.705090611935837</v>
          </cell>
          <cell r="BG2334">
            <v>45.468715051806292</v>
          </cell>
          <cell r="BH2334">
            <v>42.408178994289898</v>
          </cell>
          <cell r="BI2334">
            <v>30.406703917126244</v>
          </cell>
          <cell r="BJ2334">
            <v>54.409654071453552</v>
          </cell>
          <cell r="BU2334">
            <v>29.30132407769128</v>
          </cell>
          <cell r="BV2334">
            <v>29.635401891862816</v>
          </cell>
          <cell r="BW2334">
            <v>23.901518972811779</v>
          </cell>
          <cell r="BX2334">
            <v>15.713059154269443</v>
          </cell>
          <cell r="BY2334">
            <v>32.089978791354113</v>
          </cell>
        </row>
        <row r="2335">
          <cell r="A2335">
            <v>42795</v>
          </cell>
          <cell r="BF2335">
            <v>44.371021098576996</v>
          </cell>
          <cell r="BG2335">
            <v>45.468715051806292</v>
          </cell>
          <cell r="BH2335">
            <v>42.408178994289898</v>
          </cell>
          <cell r="BI2335">
            <v>30.406703917126244</v>
          </cell>
          <cell r="BJ2335">
            <v>54.409654071453552</v>
          </cell>
          <cell r="BU2335">
            <v>29.105726466830504</v>
          </cell>
          <cell r="BV2335">
            <v>29.635401891862816</v>
          </cell>
          <cell r="BW2335">
            <v>23.901518972811779</v>
          </cell>
          <cell r="BX2335">
            <v>15.713059154269443</v>
          </cell>
          <cell r="BY2335">
            <v>32.089978791354113</v>
          </cell>
        </row>
        <row r="2336">
          <cell r="A2336">
            <v>42796</v>
          </cell>
          <cell r="BF2336">
            <v>44.125232833464878</v>
          </cell>
          <cell r="BG2336">
            <v>45.468715051806292</v>
          </cell>
          <cell r="BH2336">
            <v>42.408178994289898</v>
          </cell>
          <cell r="BI2336">
            <v>30.406703917126244</v>
          </cell>
          <cell r="BJ2336">
            <v>54.409654071453552</v>
          </cell>
          <cell r="BU2336">
            <v>29.105726466830504</v>
          </cell>
          <cell r="BV2336">
            <v>29.635401891862816</v>
          </cell>
          <cell r="BW2336">
            <v>23.901518972811779</v>
          </cell>
          <cell r="BX2336">
            <v>15.713059154269443</v>
          </cell>
          <cell r="BY2336">
            <v>32.089978791354113</v>
          </cell>
        </row>
        <row r="2337">
          <cell r="A2337">
            <v>42797</v>
          </cell>
          <cell r="BF2337">
            <v>44.330439358063664</v>
          </cell>
          <cell r="BG2337">
            <v>45.468715051806292</v>
          </cell>
          <cell r="BH2337">
            <v>42.408178994289898</v>
          </cell>
          <cell r="BI2337">
            <v>30.406703917126244</v>
          </cell>
          <cell r="BJ2337">
            <v>54.409654071453552</v>
          </cell>
          <cell r="BU2337">
            <v>29.053160622816566</v>
          </cell>
          <cell r="BV2337">
            <v>29.635401891862816</v>
          </cell>
          <cell r="BW2337">
            <v>23.901518972811779</v>
          </cell>
          <cell r="BX2337">
            <v>15.713059154269443</v>
          </cell>
          <cell r="BY2337">
            <v>32.089978791354113</v>
          </cell>
        </row>
        <row r="2338">
          <cell r="A2338">
            <v>42800</v>
          </cell>
          <cell r="BF2338">
            <v>43.854251512759795</v>
          </cell>
          <cell r="BG2338">
            <v>45.468715051806292</v>
          </cell>
          <cell r="BH2338">
            <v>42.408178994289898</v>
          </cell>
          <cell r="BI2338">
            <v>30.406703917126244</v>
          </cell>
          <cell r="BJ2338">
            <v>54.409654071453552</v>
          </cell>
          <cell r="BU2338">
            <v>28.736025687291807</v>
          </cell>
          <cell r="BV2338">
            <v>29.635401891862816</v>
          </cell>
          <cell r="BW2338">
            <v>23.901518972811779</v>
          </cell>
          <cell r="BX2338">
            <v>15.713059154269443</v>
          </cell>
          <cell r="BY2338">
            <v>32.089978791354113</v>
          </cell>
        </row>
        <row r="2339">
          <cell r="A2339">
            <v>42801</v>
          </cell>
          <cell r="BF2339">
            <v>43.562223099184422</v>
          </cell>
          <cell r="BG2339">
            <v>45.468715051806292</v>
          </cell>
          <cell r="BH2339">
            <v>42.408178994289898</v>
          </cell>
          <cell r="BI2339">
            <v>30.406703917126244</v>
          </cell>
          <cell r="BJ2339">
            <v>54.409654071453552</v>
          </cell>
          <cell r="BU2339">
            <v>28.54153854734491</v>
          </cell>
          <cell r="BV2339">
            <v>29.635401891862816</v>
          </cell>
          <cell r="BW2339">
            <v>23.901518972811779</v>
          </cell>
          <cell r="BX2339">
            <v>15.713059154269443</v>
          </cell>
          <cell r="BY2339">
            <v>32.089978791354113</v>
          </cell>
        </row>
        <row r="2340">
          <cell r="A2340">
            <v>42802</v>
          </cell>
          <cell r="BF2340">
            <v>43.248931272607692</v>
          </cell>
          <cell r="BG2340">
            <v>45.468715051806292</v>
          </cell>
          <cell r="BH2340">
            <v>42.408178994289898</v>
          </cell>
          <cell r="BI2340">
            <v>30.406703917126244</v>
          </cell>
          <cell r="BJ2340">
            <v>54.409654071453552</v>
          </cell>
          <cell r="BU2340">
            <v>28.334784700490189</v>
          </cell>
          <cell r="BV2340">
            <v>29.635401891862816</v>
          </cell>
          <cell r="BW2340">
            <v>23.901518972811779</v>
          </cell>
          <cell r="BX2340">
            <v>15.713059154269443</v>
          </cell>
          <cell r="BY2340">
            <v>32.089978791354113</v>
          </cell>
        </row>
        <row r="2341">
          <cell r="A2341">
            <v>42803</v>
          </cell>
          <cell r="BF2341">
            <v>43.269976981256157</v>
          </cell>
          <cell r="BG2341">
            <v>45.468715051806292</v>
          </cell>
          <cell r="BH2341">
            <v>42.408178994289898</v>
          </cell>
          <cell r="BI2341">
            <v>30.406703917126244</v>
          </cell>
          <cell r="BJ2341">
            <v>54.409654071453552</v>
          </cell>
          <cell r="BU2341">
            <v>28.334784700490189</v>
          </cell>
          <cell r="BV2341">
            <v>29.635401891862816</v>
          </cell>
          <cell r="BW2341">
            <v>23.901518972811779</v>
          </cell>
          <cell r="BX2341">
            <v>15.713059154269443</v>
          </cell>
          <cell r="BY2341">
            <v>32.089978791354113</v>
          </cell>
        </row>
        <row r="2342">
          <cell r="A2342">
            <v>42804</v>
          </cell>
          <cell r="BF2342">
            <v>44.022643148611294</v>
          </cell>
          <cell r="BG2342">
            <v>45.468715051806292</v>
          </cell>
          <cell r="BH2342">
            <v>42.408178994289898</v>
          </cell>
          <cell r="BI2342">
            <v>30.406703917126244</v>
          </cell>
          <cell r="BJ2342">
            <v>54.409654071453552</v>
          </cell>
          <cell r="BU2342">
            <v>28.849619653612198</v>
          </cell>
          <cell r="BV2342">
            <v>29.635401891862816</v>
          </cell>
          <cell r="BW2342">
            <v>23.901518972811779</v>
          </cell>
          <cell r="BX2342">
            <v>15.713059154269443</v>
          </cell>
          <cell r="BY2342">
            <v>32.089978791354113</v>
          </cell>
        </row>
        <row r="2343">
          <cell r="A2343">
            <v>42807</v>
          </cell>
          <cell r="BF2343">
            <v>43.941031986310385</v>
          </cell>
          <cell r="BG2343">
            <v>45.468715051806292</v>
          </cell>
          <cell r="BH2343">
            <v>42.408178994289898</v>
          </cell>
          <cell r="BI2343">
            <v>30.406703917126244</v>
          </cell>
          <cell r="BJ2343">
            <v>54.409654071453552</v>
          </cell>
          <cell r="BU2343">
            <v>28.795264366758833</v>
          </cell>
          <cell r="BV2343">
            <v>29.635401891862816</v>
          </cell>
          <cell r="BW2343">
            <v>23.901518972811779</v>
          </cell>
          <cell r="BX2343">
            <v>15.713059154269443</v>
          </cell>
          <cell r="BY2343">
            <v>32.089978791354113</v>
          </cell>
        </row>
        <row r="2344">
          <cell r="A2344">
            <v>42808</v>
          </cell>
          <cell r="BF2344">
            <v>43.393447413452677</v>
          </cell>
          <cell r="BG2344">
            <v>45.468715051806292</v>
          </cell>
          <cell r="BH2344">
            <v>42.408178994289898</v>
          </cell>
          <cell r="BI2344">
            <v>30.406703917126244</v>
          </cell>
          <cell r="BJ2344">
            <v>54.409654071453552</v>
          </cell>
          <cell r="BU2344">
            <v>28.430557925936235</v>
          </cell>
          <cell r="BV2344">
            <v>29.635401891862816</v>
          </cell>
          <cell r="BW2344">
            <v>23.901518972811779</v>
          </cell>
          <cell r="BX2344">
            <v>15.713059154269443</v>
          </cell>
          <cell r="BY2344">
            <v>32.089978791354113</v>
          </cell>
        </row>
        <row r="2345">
          <cell r="A2345">
            <v>42809</v>
          </cell>
          <cell r="BF2345">
            <v>43.688298012373302</v>
          </cell>
          <cell r="BG2345">
            <v>45.468715051806292</v>
          </cell>
          <cell r="BH2345">
            <v>42.408178994289898</v>
          </cell>
          <cell r="BI2345">
            <v>30.406703917126244</v>
          </cell>
          <cell r="BJ2345">
            <v>54.409654071453552</v>
          </cell>
          <cell r="BU2345">
            <v>28.626936563752054</v>
          </cell>
          <cell r="BV2345">
            <v>29.635401891862816</v>
          </cell>
          <cell r="BW2345">
            <v>23.901518972811779</v>
          </cell>
          <cell r="BX2345">
            <v>15.713059154269443</v>
          </cell>
          <cell r="BY2345">
            <v>32.089978791354113</v>
          </cell>
        </row>
        <row r="2346">
          <cell r="A2346">
            <v>42810</v>
          </cell>
          <cell r="BF2346">
            <v>41.979731472949851</v>
          </cell>
          <cell r="BG2346">
            <v>45.468715051806292</v>
          </cell>
          <cell r="BH2346">
            <v>42.408178994289898</v>
          </cell>
          <cell r="BI2346">
            <v>30.406703917126244</v>
          </cell>
          <cell r="BJ2346">
            <v>54.409654071453552</v>
          </cell>
          <cell r="BU2346">
            <v>28.626936563752054</v>
          </cell>
          <cell r="BV2346">
            <v>29.635401891862816</v>
          </cell>
          <cell r="BW2346">
            <v>23.901518972811779</v>
          </cell>
          <cell r="BX2346">
            <v>15.713059154269443</v>
          </cell>
          <cell r="BY2346">
            <v>32.089978791354113</v>
          </cell>
        </row>
        <row r="2347">
          <cell r="A2347">
            <v>42811</v>
          </cell>
          <cell r="BF2347">
            <v>42.159872169543547</v>
          </cell>
          <cell r="BG2347">
            <v>45.468715051806292</v>
          </cell>
          <cell r="BH2347">
            <v>42.408178994289898</v>
          </cell>
          <cell r="BI2347">
            <v>30.406703917126244</v>
          </cell>
          <cell r="BJ2347">
            <v>54.409654071453552</v>
          </cell>
          <cell r="BU2347">
            <v>27.494255234402946</v>
          </cell>
          <cell r="BV2347">
            <v>29.635401891862816</v>
          </cell>
          <cell r="BW2347">
            <v>23.901518972811779</v>
          </cell>
          <cell r="BX2347">
            <v>15.713059154269443</v>
          </cell>
          <cell r="BY2347">
            <v>32.089978791354113</v>
          </cell>
        </row>
        <row r="2348">
          <cell r="A2348">
            <v>42814</v>
          </cell>
          <cell r="BF2348">
            <v>42.922029404043059</v>
          </cell>
          <cell r="BG2348">
            <v>45.468715051806292</v>
          </cell>
          <cell r="BH2348">
            <v>42.408178994289898</v>
          </cell>
          <cell r="BI2348">
            <v>30.406703917126244</v>
          </cell>
          <cell r="BJ2348">
            <v>54.409654071453552</v>
          </cell>
          <cell r="BU2348">
            <v>27.954745621161162</v>
          </cell>
          <cell r="BV2348">
            <v>29.635401891862816</v>
          </cell>
          <cell r="BW2348">
            <v>23.901518972811779</v>
          </cell>
          <cell r="BX2348">
            <v>15.713059154269443</v>
          </cell>
          <cell r="BY2348">
            <v>32.089978791354113</v>
          </cell>
        </row>
        <row r="2349">
          <cell r="A2349">
            <v>42815</v>
          </cell>
          <cell r="BF2349">
            <v>42.924652139669206</v>
          </cell>
          <cell r="BG2349">
            <v>45.468715051806292</v>
          </cell>
          <cell r="BH2349">
            <v>42.408178994289898</v>
          </cell>
          <cell r="BI2349">
            <v>30.406703917126244</v>
          </cell>
          <cell r="BJ2349">
            <v>54.409654071453552</v>
          </cell>
          <cell r="BU2349">
            <v>27.956482300937534</v>
          </cell>
          <cell r="BV2349">
            <v>29.635401891862816</v>
          </cell>
          <cell r="BW2349">
            <v>23.901518972811779</v>
          </cell>
          <cell r="BX2349">
            <v>15.713059154269443</v>
          </cell>
          <cell r="BY2349">
            <v>32.089978791354113</v>
          </cell>
        </row>
        <row r="2350">
          <cell r="A2350">
            <v>42816</v>
          </cell>
          <cell r="BF2350">
            <v>44.050932003150429</v>
          </cell>
          <cell r="BG2350">
            <v>45.468715051806292</v>
          </cell>
          <cell r="BH2350">
            <v>42.408178994289898</v>
          </cell>
          <cell r="BI2350">
            <v>30.406703917126244</v>
          </cell>
          <cell r="BJ2350">
            <v>54.409654071453552</v>
          </cell>
          <cell r="BU2350">
            <v>28.70226370640588</v>
          </cell>
          <cell r="BV2350">
            <v>29.635401891862816</v>
          </cell>
          <cell r="BW2350">
            <v>23.901518972811779</v>
          </cell>
          <cell r="BX2350">
            <v>15.713059154269443</v>
          </cell>
          <cell r="BY2350">
            <v>32.089978791354113</v>
          </cell>
        </row>
        <row r="2351">
          <cell r="A2351">
            <v>42817</v>
          </cell>
          <cell r="BF2351">
            <v>44.024681018640059</v>
          </cell>
          <cell r="BG2351">
            <v>45.468715051806292</v>
          </cell>
          <cell r="BH2351">
            <v>42.408178994289898</v>
          </cell>
          <cell r="BI2351">
            <v>30.406703917126244</v>
          </cell>
          <cell r="BJ2351">
            <v>54.409654071453552</v>
          </cell>
          <cell r="BU2351">
            <v>28.70226370640588</v>
          </cell>
          <cell r="BV2351">
            <v>29.635401891862816</v>
          </cell>
          <cell r="BW2351">
            <v>23.901518972811779</v>
          </cell>
          <cell r="BX2351">
            <v>15.713059154269443</v>
          </cell>
          <cell r="BY2351">
            <v>32.089978791354113</v>
          </cell>
        </row>
        <row r="2352">
          <cell r="A2352">
            <v>42818</v>
          </cell>
          <cell r="BF2352">
            <v>44.783410343922284</v>
          </cell>
          <cell r="BG2352">
            <v>45.468715051806292</v>
          </cell>
          <cell r="BH2352">
            <v>42.408178994289898</v>
          </cell>
          <cell r="BI2352">
            <v>30.406703917126244</v>
          </cell>
          <cell r="BJ2352">
            <v>54.409654071453552</v>
          </cell>
          <cell r="BU2352">
            <v>29.187284121107687</v>
          </cell>
          <cell r="BV2352">
            <v>29.635401891862816</v>
          </cell>
          <cell r="BW2352">
            <v>23.901518972811779</v>
          </cell>
          <cell r="BX2352">
            <v>15.713059154269443</v>
          </cell>
          <cell r="BY2352">
            <v>32.089978791354113</v>
          </cell>
        </row>
        <row r="2353">
          <cell r="A2353">
            <v>42821</v>
          </cell>
          <cell r="BF2353">
            <v>45.232344447361506</v>
          </cell>
          <cell r="BG2353">
            <v>45.468715051806292</v>
          </cell>
          <cell r="BH2353">
            <v>42.408178994289898</v>
          </cell>
          <cell r="BI2353">
            <v>30.406703917126244</v>
          </cell>
          <cell r="BJ2353">
            <v>54.409654071453552</v>
          </cell>
          <cell r="BU2353">
            <v>29.484551893960095</v>
          </cell>
          <cell r="BV2353">
            <v>29.635401891862816</v>
          </cell>
          <cell r="BW2353">
            <v>23.901518972811779</v>
          </cell>
          <cell r="BX2353">
            <v>15.713059154269443</v>
          </cell>
          <cell r="BY2353">
            <v>32.089978791354113</v>
          </cell>
        </row>
        <row r="2354">
          <cell r="A2354">
            <v>42822</v>
          </cell>
          <cell r="BF2354">
            <v>44.843791021265424</v>
          </cell>
          <cell r="BG2354">
            <v>45.468715051806292</v>
          </cell>
          <cell r="BH2354">
            <v>42.408178994289898</v>
          </cell>
          <cell r="BI2354">
            <v>30.406703917126244</v>
          </cell>
          <cell r="BJ2354">
            <v>54.409654071453552</v>
          </cell>
          <cell r="BU2354">
            <v>29.227266001164487</v>
          </cell>
          <cell r="BV2354">
            <v>29.635401891862816</v>
          </cell>
          <cell r="BW2354">
            <v>23.901518972811779</v>
          </cell>
          <cell r="BX2354">
            <v>15.713059154269443</v>
          </cell>
          <cell r="BY2354">
            <v>32.089978791354113</v>
          </cell>
        </row>
        <row r="2355">
          <cell r="A2355">
            <v>42823</v>
          </cell>
          <cell r="BF2355">
            <v>45.329485429246517</v>
          </cell>
          <cell r="BG2355">
            <v>45.468715051806292</v>
          </cell>
          <cell r="BH2355">
            <v>42.408178994289898</v>
          </cell>
          <cell r="BI2355">
            <v>30.406703917126244</v>
          </cell>
          <cell r="BJ2355">
            <v>54.409654071453552</v>
          </cell>
          <cell r="BU2355">
            <v>29.548875105577196</v>
          </cell>
          <cell r="BV2355">
            <v>29.635401891862816</v>
          </cell>
          <cell r="BW2355">
            <v>23.901518972811779</v>
          </cell>
          <cell r="BX2355">
            <v>15.713059154269443</v>
          </cell>
          <cell r="BY2355">
            <v>32.089978791354113</v>
          </cell>
        </row>
        <row r="2356">
          <cell r="A2356">
            <v>42824</v>
          </cell>
          <cell r="BF2356">
            <v>45.460753478603309</v>
          </cell>
          <cell r="BG2356">
            <v>45.468715051806292</v>
          </cell>
          <cell r="BH2356">
            <v>42.408178994289898</v>
          </cell>
          <cell r="BI2356">
            <v>30.406703917126244</v>
          </cell>
          <cell r="BJ2356">
            <v>54.409654071453552</v>
          </cell>
          <cell r="BU2356">
            <v>29.635796015305438</v>
          </cell>
          <cell r="BV2356">
            <v>29.635401891862816</v>
          </cell>
          <cell r="BW2356">
            <v>23.901518972811779</v>
          </cell>
          <cell r="BX2356">
            <v>15.713059154269443</v>
          </cell>
          <cell r="BY2356">
            <v>32.089978791354113</v>
          </cell>
        </row>
        <row r="2357">
          <cell r="A2357">
            <v>42825</v>
          </cell>
          <cell r="BF2357">
            <v>44.800247840095878</v>
          </cell>
          <cell r="BG2357">
            <v>45.468715051806292</v>
          </cell>
          <cell r="BH2357">
            <v>42.408178994289898</v>
          </cell>
          <cell r="BI2357">
            <v>30.406703917126244</v>
          </cell>
          <cell r="BJ2357">
            <v>54.409654071453552</v>
          </cell>
          <cell r="BU2357">
            <v>29.197712891856881</v>
          </cell>
          <cell r="BV2357">
            <v>29.635401891862816</v>
          </cell>
          <cell r="BW2357">
            <v>23.901518972811779</v>
          </cell>
          <cell r="BX2357">
            <v>15.713059154269443</v>
          </cell>
          <cell r="BY2357">
            <v>32.089978791354113</v>
          </cell>
        </row>
        <row r="2358">
          <cell r="A2358">
            <v>42828</v>
          </cell>
          <cell r="BF2358">
            <v>44.183517068340727</v>
          </cell>
          <cell r="BG2358">
            <v>45.468715051806292</v>
          </cell>
          <cell r="BH2358">
            <v>42.408178994289898</v>
          </cell>
          <cell r="BI2358">
            <v>30.406703917126244</v>
          </cell>
          <cell r="BJ2358">
            <v>54.409654071453552</v>
          </cell>
          <cell r="BU2358">
            <v>28.773512940158732</v>
          </cell>
          <cell r="BV2358">
            <v>29.635401891862816</v>
          </cell>
          <cell r="BW2358">
            <v>23.901518972811779</v>
          </cell>
          <cell r="BX2358">
            <v>15.713059154269443</v>
          </cell>
          <cell r="BY2358">
            <v>32.089978791354113</v>
          </cell>
        </row>
        <row r="2359">
          <cell r="A2359">
            <v>42829</v>
          </cell>
          <cell r="BF2359">
            <v>43.948805710866154</v>
          </cell>
          <cell r="BG2359">
            <v>45.468715051806292</v>
          </cell>
          <cell r="BH2359">
            <v>42.408178994289898</v>
          </cell>
          <cell r="BI2359">
            <v>30.406703917126244</v>
          </cell>
          <cell r="BJ2359">
            <v>54.409654071453552</v>
          </cell>
          <cell r="BU2359">
            <v>28.613555303138003</v>
          </cell>
          <cell r="BV2359">
            <v>29.635401891862816</v>
          </cell>
          <cell r="BW2359">
            <v>23.901518972811779</v>
          </cell>
          <cell r="BX2359">
            <v>15.713059154269443</v>
          </cell>
          <cell r="BY2359">
            <v>32.089978791354113</v>
          </cell>
        </row>
        <row r="2360">
          <cell r="A2360">
            <v>42830</v>
          </cell>
          <cell r="BF2360">
            <v>43.31771410343611</v>
          </cell>
          <cell r="BG2360">
            <v>45.468715051806292</v>
          </cell>
          <cell r="BH2360">
            <v>42.408178994289898</v>
          </cell>
          <cell r="BI2360">
            <v>30.406703917126244</v>
          </cell>
          <cell r="BJ2360">
            <v>54.409654071453552</v>
          </cell>
          <cell r="BU2360">
            <v>28.196078037464872</v>
          </cell>
          <cell r="BV2360">
            <v>29.635401891862816</v>
          </cell>
          <cell r="BW2360">
            <v>23.901518972811779</v>
          </cell>
          <cell r="BX2360">
            <v>15.713059154269443</v>
          </cell>
          <cell r="BY2360">
            <v>32.089978791354113</v>
          </cell>
        </row>
        <row r="2361">
          <cell r="A2361">
            <v>42831</v>
          </cell>
          <cell r="BF2361">
            <v>44.083303230038162</v>
          </cell>
          <cell r="BG2361">
            <v>45.468715051806292</v>
          </cell>
          <cell r="BH2361">
            <v>42.408178994289898</v>
          </cell>
          <cell r="BI2361">
            <v>30.406703917126244</v>
          </cell>
          <cell r="BJ2361">
            <v>54.409654071453552</v>
          </cell>
          <cell r="BU2361">
            <v>28.702527578925991</v>
          </cell>
          <cell r="BV2361">
            <v>29.635401891862816</v>
          </cell>
          <cell r="BW2361">
            <v>23.901518972811779</v>
          </cell>
          <cell r="BX2361">
            <v>15.713059154269443</v>
          </cell>
          <cell r="BY2361">
            <v>32.089978791354113</v>
          </cell>
        </row>
        <row r="2362">
          <cell r="A2362">
            <v>42832</v>
          </cell>
          <cell r="BF2362">
            <v>44.563375087357002</v>
          </cell>
          <cell r="BG2362">
            <v>45.468715051806292</v>
          </cell>
          <cell r="BH2362">
            <v>42.408178994289898</v>
          </cell>
          <cell r="BI2362">
            <v>30.406703917126244</v>
          </cell>
          <cell r="BJ2362">
            <v>54.409654071453552</v>
          </cell>
          <cell r="BU2362">
            <v>29.036165486012035</v>
          </cell>
          <cell r="BV2362">
            <v>29.635401891862816</v>
          </cell>
          <cell r="BW2362">
            <v>23.901518972811779</v>
          </cell>
          <cell r="BX2362">
            <v>15.713059154269443</v>
          </cell>
          <cell r="BY2362">
            <v>32.089978791354113</v>
          </cell>
        </row>
        <row r="2363">
          <cell r="A2363">
            <v>42835</v>
          </cell>
          <cell r="BF2363">
            <v>44.339511417496901</v>
          </cell>
          <cell r="BG2363">
            <v>45.468715051806292</v>
          </cell>
          <cell r="BH2363">
            <v>42.408178994289898</v>
          </cell>
          <cell r="BI2363">
            <v>30.406703917126244</v>
          </cell>
          <cell r="BJ2363">
            <v>54.409654071453552</v>
          </cell>
          <cell r="BU2363">
            <v>28.887312598158363</v>
          </cell>
          <cell r="BV2363">
            <v>29.635401891862816</v>
          </cell>
          <cell r="BW2363">
            <v>23.901518972811779</v>
          </cell>
          <cell r="BX2363">
            <v>15.713059154269443</v>
          </cell>
          <cell r="BY2363">
            <v>32.089978791354113</v>
          </cell>
        </row>
        <row r="2364">
          <cell r="A2364">
            <v>42836</v>
          </cell>
          <cell r="BF2364">
            <v>45.24170616114197</v>
          </cell>
          <cell r="BG2364">
            <v>45.468715051806292</v>
          </cell>
          <cell r="BH2364">
            <v>42.408178994289898</v>
          </cell>
          <cell r="BI2364">
            <v>30.406703917126244</v>
          </cell>
          <cell r="BJ2364">
            <v>54.409654071453552</v>
          </cell>
          <cell r="BU2364">
            <v>28.887312598158363</v>
          </cell>
          <cell r="BV2364">
            <v>29.635401891862816</v>
          </cell>
          <cell r="BW2364">
            <v>23.901518972811779</v>
          </cell>
          <cell r="BX2364">
            <v>15.713059154269443</v>
          </cell>
          <cell r="BY2364">
            <v>32.089978791354113</v>
          </cell>
        </row>
        <row r="2365">
          <cell r="A2365">
            <v>42837</v>
          </cell>
          <cell r="BF2365">
            <v>44.693964570443654</v>
          </cell>
          <cell r="BG2365">
            <v>45.468715051806292</v>
          </cell>
          <cell r="BH2365">
            <v>42.408178994289898</v>
          </cell>
          <cell r="BI2365">
            <v>30.406703917126244</v>
          </cell>
          <cell r="BJ2365">
            <v>54.409654071453552</v>
          </cell>
          <cell r="BU2365">
            <v>29.115907906689706</v>
          </cell>
          <cell r="BV2365">
            <v>29.635401891862816</v>
          </cell>
          <cell r="BW2365">
            <v>23.901518972811779</v>
          </cell>
          <cell r="BX2365">
            <v>15.713059154269443</v>
          </cell>
          <cell r="BY2365">
            <v>32.089978791354113</v>
          </cell>
        </row>
        <row r="2366">
          <cell r="A2366">
            <v>42838</v>
          </cell>
          <cell r="BF2366">
            <v>44.888760234889943</v>
          </cell>
          <cell r="BG2366">
            <v>45.468715051806292</v>
          </cell>
          <cell r="BH2366">
            <v>42.408178994289898</v>
          </cell>
          <cell r="BI2366">
            <v>30.406703917126244</v>
          </cell>
          <cell r="BJ2366">
            <v>54.409654071453552</v>
          </cell>
          <cell r="BU2366">
            <v>29.248067313959133</v>
          </cell>
          <cell r="BV2366">
            <v>29.635401891862816</v>
          </cell>
          <cell r="BW2366">
            <v>23.901518972811779</v>
          </cell>
          <cell r="BX2366">
            <v>15.713059154269443</v>
          </cell>
          <cell r="BY2366">
            <v>32.089978791354113</v>
          </cell>
        </row>
        <row r="2367">
          <cell r="A2367">
            <v>42839</v>
          </cell>
          <cell r="BF2367">
            <v>44.888760234889943</v>
          </cell>
          <cell r="BG2367">
            <v>45.468715051806292</v>
          </cell>
          <cell r="BH2367">
            <v>42.408178994289898</v>
          </cell>
          <cell r="BI2367">
            <v>30.406703917126244</v>
          </cell>
          <cell r="BJ2367">
            <v>54.409654071453552</v>
          </cell>
          <cell r="BU2367">
            <v>29.248067313959133</v>
          </cell>
          <cell r="BV2367">
            <v>29.635401891862816</v>
          </cell>
          <cell r="BW2367">
            <v>23.901518972811779</v>
          </cell>
          <cell r="BX2367">
            <v>15.713059154269443</v>
          </cell>
          <cell r="BY2367">
            <v>32.089978791354113</v>
          </cell>
        </row>
        <row r="2368">
          <cell r="A2368">
            <v>42842</v>
          </cell>
          <cell r="BF2368">
            <v>45.080018195356423</v>
          </cell>
          <cell r="BG2368">
            <v>45.468715051806292</v>
          </cell>
          <cell r="BH2368">
            <v>42.408178994289898</v>
          </cell>
          <cell r="BI2368">
            <v>30.406703917126244</v>
          </cell>
          <cell r="BJ2368">
            <v>54.409654071453552</v>
          </cell>
          <cell r="BU2368">
            <v>29.374641129831588</v>
          </cell>
          <cell r="BV2368">
            <v>29.635401891862816</v>
          </cell>
          <cell r="BW2368">
            <v>23.901518972811779</v>
          </cell>
          <cell r="BX2368">
            <v>15.713059154269443</v>
          </cell>
          <cell r="BY2368">
            <v>32.089978791354113</v>
          </cell>
        </row>
        <row r="2369">
          <cell r="A2369">
            <v>42843</v>
          </cell>
          <cell r="BF2369">
            <v>45.304875527256208</v>
          </cell>
          <cell r="BG2369">
            <v>45.468715051806292</v>
          </cell>
          <cell r="BH2369">
            <v>42.408178994289898</v>
          </cell>
          <cell r="BI2369">
            <v>30.406703917126244</v>
          </cell>
          <cell r="BJ2369">
            <v>54.409654071453552</v>
          </cell>
          <cell r="BU2369">
            <v>29.523450886330284</v>
          </cell>
          <cell r="BV2369">
            <v>29.635401891862816</v>
          </cell>
          <cell r="BW2369">
            <v>23.901518972811779</v>
          </cell>
          <cell r="BX2369">
            <v>15.713059154269443</v>
          </cell>
          <cell r="BY2369">
            <v>32.089978791354113</v>
          </cell>
        </row>
        <row r="2370">
          <cell r="A2370">
            <v>42844</v>
          </cell>
          <cell r="BF2370">
            <v>46.002583979332762</v>
          </cell>
          <cell r="BG2370">
            <v>45.468715051806292</v>
          </cell>
          <cell r="BH2370">
            <v>42.408178994289898</v>
          </cell>
          <cell r="BI2370">
            <v>30.406703917126244</v>
          </cell>
          <cell r="BJ2370">
            <v>54.409654071453552</v>
          </cell>
          <cell r="BU2370">
            <v>29.978470305750609</v>
          </cell>
          <cell r="BV2370">
            <v>29.635401891862816</v>
          </cell>
          <cell r="BW2370">
            <v>23.901518972811779</v>
          </cell>
          <cell r="BX2370">
            <v>15.713059154269443</v>
          </cell>
          <cell r="BY2370">
            <v>32.089978791354113</v>
          </cell>
        </row>
        <row r="2371">
          <cell r="A2371">
            <v>42845</v>
          </cell>
          <cell r="BF2371">
            <v>45.777780361761678</v>
          </cell>
          <cell r="BG2371">
            <v>45.468715051806292</v>
          </cell>
          <cell r="BH2371">
            <v>42.408178994289898</v>
          </cell>
          <cell r="BI2371">
            <v>30.406703917126244</v>
          </cell>
          <cell r="BJ2371">
            <v>54.409654071453552</v>
          </cell>
          <cell r="BU2371">
            <v>29.829729964283136</v>
          </cell>
          <cell r="BV2371">
            <v>29.635401891862816</v>
          </cell>
          <cell r="BW2371">
            <v>23.901518972811779</v>
          </cell>
          <cell r="BX2371">
            <v>15.713059154269443</v>
          </cell>
          <cell r="BY2371">
            <v>32.089978791354113</v>
          </cell>
        </row>
        <row r="2372">
          <cell r="A2372">
            <v>42846</v>
          </cell>
          <cell r="BF2372">
            <v>45.292545036747065</v>
          </cell>
          <cell r="BG2372">
            <v>45.468715051806292</v>
          </cell>
          <cell r="BH2372">
            <v>42.408178994289898</v>
          </cell>
          <cell r="BI2372">
            <v>30.406703917126244</v>
          </cell>
          <cell r="BJ2372">
            <v>54.409654071453552</v>
          </cell>
          <cell r="BU2372">
            <v>29.510006833336867</v>
          </cell>
          <cell r="BV2372">
            <v>29.635401891862816</v>
          </cell>
          <cell r="BW2372">
            <v>23.901518972811779</v>
          </cell>
          <cell r="BX2372">
            <v>15.713059154269443</v>
          </cell>
          <cell r="BY2372">
            <v>32.089978791354113</v>
          </cell>
        </row>
        <row r="2373">
          <cell r="A2373">
            <v>42849</v>
          </cell>
          <cell r="BF2373">
            <v>46.5612220641327</v>
          </cell>
          <cell r="BG2373">
            <v>45.468715051806292</v>
          </cell>
          <cell r="BH2373">
            <v>42.408178994289898</v>
          </cell>
          <cell r="BI2373">
            <v>30.406703917126244</v>
          </cell>
          <cell r="BJ2373">
            <v>54.409654071453552</v>
          </cell>
          <cell r="BU2373">
            <v>30.349458772003594</v>
          </cell>
          <cell r="BV2373">
            <v>29.635401891862816</v>
          </cell>
          <cell r="BW2373">
            <v>23.901518972811779</v>
          </cell>
          <cell r="BX2373">
            <v>15.713059154269443</v>
          </cell>
          <cell r="BY2373">
            <v>32.089978791354113</v>
          </cell>
        </row>
        <row r="2374">
          <cell r="A2374">
            <v>42850</v>
          </cell>
          <cell r="BF2374">
            <v>46.897124332075947</v>
          </cell>
          <cell r="BG2374">
            <v>45.468715051806292</v>
          </cell>
          <cell r="BH2374">
            <v>42.408178994289898</v>
          </cell>
          <cell r="BI2374">
            <v>30.406703917126244</v>
          </cell>
          <cell r="BJ2374">
            <v>54.409654071453552</v>
          </cell>
          <cell r="BU2374">
            <v>30.571716922770751</v>
          </cell>
          <cell r="BV2374">
            <v>29.635401891862816</v>
          </cell>
          <cell r="BW2374">
            <v>23.901518972811779</v>
          </cell>
          <cell r="BX2374">
            <v>15.713059154269443</v>
          </cell>
          <cell r="BY2374">
            <v>32.089978791354113</v>
          </cell>
        </row>
        <row r="2375">
          <cell r="A2375">
            <v>42851</v>
          </cell>
          <cell r="BF2375">
            <v>47.60488566025235</v>
          </cell>
          <cell r="BG2375">
            <v>45.468715051806292</v>
          </cell>
          <cell r="BH2375">
            <v>42.408178994289898</v>
          </cell>
          <cell r="BI2375">
            <v>30.406703917126244</v>
          </cell>
          <cell r="BJ2375">
            <v>54.409654071453552</v>
          </cell>
          <cell r="BU2375">
            <v>31.977037061693693</v>
          </cell>
          <cell r="BV2375">
            <v>29.635401891862816</v>
          </cell>
          <cell r="BW2375">
            <v>23.901518972811779</v>
          </cell>
          <cell r="BX2375">
            <v>15.713059154269443</v>
          </cell>
          <cell r="BY2375">
            <v>32.089978791354113</v>
          </cell>
        </row>
        <row r="2376">
          <cell r="A2376">
            <v>42852</v>
          </cell>
          <cell r="BF2376">
            <v>47.393171916959652</v>
          </cell>
          <cell r="BG2376">
            <v>45.468715051806292</v>
          </cell>
          <cell r="BH2376">
            <v>42.408178994289898</v>
          </cell>
          <cell r="BI2376">
            <v>30.406703917126244</v>
          </cell>
          <cell r="BJ2376">
            <v>54.409654071453552</v>
          </cell>
          <cell r="BU2376">
            <v>31.504592621664084</v>
          </cell>
          <cell r="BV2376">
            <v>29.635401891862816</v>
          </cell>
          <cell r="BW2376">
            <v>23.901518972811779</v>
          </cell>
          <cell r="BX2376">
            <v>15.713059154269443</v>
          </cell>
          <cell r="BY2376">
            <v>32.089978791354113</v>
          </cell>
        </row>
        <row r="2377">
          <cell r="A2377">
            <v>42853</v>
          </cell>
          <cell r="BF2377">
            <v>47.682060289976469</v>
          </cell>
          <cell r="BG2377">
            <v>45.468715051806292</v>
          </cell>
          <cell r="BH2377">
            <v>42.408178994289898</v>
          </cell>
          <cell r="BI2377">
            <v>30.406703917126244</v>
          </cell>
          <cell r="BJ2377">
            <v>54.409654071453552</v>
          </cell>
          <cell r="BU2377">
            <v>31.701487285257262</v>
          </cell>
          <cell r="BV2377">
            <v>29.635401891862816</v>
          </cell>
          <cell r="BW2377">
            <v>23.901518972811779</v>
          </cell>
          <cell r="BX2377">
            <v>15.713059154269443</v>
          </cell>
          <cell r="BY2377">
            <v>32.089978791354113</v>
          </cell>
        </row>
        <row r="2378">
          <cell r="A2378">
            <v>42856</v>
          </cell>
          <cell r="BF2378">
            <v>47.452396147879341</v>
          </cell>
          <cell r="BG2378">
            <v>45.468715051806292</v>
          </cell>
          <cell r="BH2378">
            <v>42.408178994289898</v>
          </cell>
          <cell r="BI2378">
            <v>30.406703917126244</v>
          </cell>
          <cell r="BJ2378">
            <v>54.409654071453552</v>
          </cell>
          <cell r="BU2378">
            <v>31.49193973565654</v>
          </cell>
          <cell r="BV2378">
            <v>29.635401891862816</v>
          </cell>
          <cell r="BW2378">
            <v>23.901518972811779</v>
          </cell>
          <cell r="BX2378">
            <v>15.713059154269443</v>
          </cell>
          <cell r="BY2378">
            <v>32.089978791354113</v>
          </cell>
        </row>
        <row r="2379">
          <cell r="A2379">
            <v>42857</v>
          </cell>
          <cell r="BF2379">
            <v>47.457586579403838</v>
          </cell>
          <cell r="BG2379">
            <v>45.468715051806292</v>
          </cell>
          <cell r="BH2379">
            <v>42.408178994289898</v>
          </cell>
          <cell r="BI2379">
            <v>30.406703917126244</v>
          </cell>
          <cell r="BJ2379">
            <v>54.409654071453552</v>
          </cell>
          <cell r="BU2379">
            <v>31.92591259302834</v>
          </cell>
          <cell r="BV2379">
            <v>29.635401891862816</v>
          </cell>
          <cell r="BW2379">
            <v>23.901518972811779</v>
          </cell>
          <cell r="BX2379">
            <v>15.713059154269443</v>
          </cell>
          <cell r="BY2379">
            <v>32.089978791354113</v>
          </cell>
        </row>
        <row r="2380">
          <cell r="A2380">
            <v>42858</v>
          </cell>
          <cell r="BF2380">
            <v>47.714306411646348</v>
          </cell>
          <cell r="BG2380">
            <v>45.468715051806292</v>
          </cell>
          <cell r="BH2380">
            <v>42.408178994289898</v>
          </cell>
          <cell r="BI2380">
            <v>30.406703917126244</v>
          </cell>
          <cell r="BJ2380">
            <v>54.409654071453552</v>
          </cell>
          <cell r="BU2380">
            <v>32.1029105367396</v>
          </cell>
          <cell r="BV2380">
            <v>29.635401891862816</v>
          </cell>
          <cell r="BW2380">
            <v>23.901518972811779</v>
          </cell>
          <cell r="BX2380">
            <v>15.713059154269443</v>
          </cell>
          <cell r="BY2380">
            <v>32.089978791354113</v>
          </cell>
        </row>
        <row r="2381">
          <cell r="A2381">
            <v>42859</v>
          </cell>
          <cell r="BF2381">
            <v>48.001527610095891</v>
          </cell>
          <cell r="BG2381">
            <v>45.468715051806292</v>
          </cell>
          <cell r="BH2381">
            <v>42.408178994289898</v>
          </cell>
          <cell r="BI2381">
            <v>30.406703917126244</v>
          </cell>
          <cell r="BJ2381">
            <v>54.409654071453552</v>
          </cell>
          <cell r="BU2381">
            <v>32.300936186654738</v>
          </cell>
          <cell r="BV2381">
            <v>29.635401891862816</v>
          </cell>
          <cell r="BW2381">
            <v>23.901518972811779</v>
          </cell>
          <cell r="BX2381">
            <v>15.713059154269443</v>
          </cell>
          <cell r="BY2381">
            <v>32.089978791354113</v>
          </cell>
        </row>
        <row r="2382">
          <cell r="A2382">
            <v>42860</v>
          </cell>
          <cell r="BF2382">
            <v>47.570790168945585</v>
          </cell>
          <cell r="BG2382">
            <v>45.468715051806292</v>
          </cell>
          <cell r="BH2382">
            <v>42.408178994289898</v>
          </cell>
          <cell r="BI2382">
            <v>30.406703917126244</v>
          </cell>
          <cell r="BJ2382">
            <v>54.409654071453552</v>
          </cell>
          <cell r="BU2382">
            <v>32.001266400767349</v>
          </cell>
          <cell r="BV2382">
            <v>29.635401891862816</v>
          </cell>
          <cell r="BW2382">
            <v>23.901518972811779</v>
          </cell>
          <cell r="BX2382">
            <v>15.713059154269443</v>
          </cell>
          <cell r="BY2382">
            <v>32.089978791354113</v>
          </cell>
        </row>
        <row r="2383">
          <cell r="A2383">
            <v>42863</v>
          </cell>
          <cell r="BF2383">
            <v>46.938948438762694</v>
          </cell>
          <cell r="BG2383">
            <v>45.468715051806292</v>
          </cell>
          <cell r="BH2383">
            <v>42.408178994289898</v>
          </cell>
          <cell r="BI2383">
            <v>30.406703917126244</v>
          </cell>
          <cell r="BJ2383">
            <v>54.409654071453552</v>
          </cell>
          <cell r="BU2383">
            <v>31.564905133598003</v>
          </cell>
          <cell r="BV2383">
            <v>29.635401891862816</v>
          </cell>
          <cell r="BW2383">
            <v>23.901518972811779</v>
          </cell>
          <cell r="BX2383">
            <v>15.713059154269443</v>
          </cell>
          <cell r="BY2383">
            <v>32.089978791354113</v>
          </cell>
        </row>
        <row r="2384">
          <cell r="A2384">
            <v>42864</v>
          </cell>
          <cell r="BF2384">
            <v>46.669491166382038</v>
          </cell>
          <cell r="BG2384">
            <v>45.468715051806292</v>
          </cell>
          <cell r="BH2384">
            <v>42.408178994289898</v>
          </cell>
          <cell r="BI2384">
            <v>30.406703917126244</v>
          </cell>
          <cell r="BJ2384">
            <v>54.409654071453552</v>
          </cell>
          <cell r="BU2384">
            <v>31.37914491544559</v>
          </cell>
          <cell r="BV2384">
            <v>29.635401891862816</v>
          </cell>
          <cell r="BW2384">
            <v>23.901518972811779</v>
          </cell>
          <cell r="BX2384">
            <v>15.713059154269443</v>
          </cell>
          <cell r="BY2384">
            <v>32.089978791354113</v>
          </cell>
        </row>
        <row r="2385">
          <cell r="A2385">
            <v>42865</v>
          </cell>
          <cell r="BF2385">
            <v>46.293270346994625</v>
          </cell>
          <cell r="BG2385">
            <v>45.468715051806292</v>
          </cell>
          <cell r="BH2385">
            <v>42.408178994289898</v>
          </cell>
          <cell r="BI2385">
            <v>30.406703917126244</v>
          </cell>
          <cell r="BJ2385">
            <v>54.409654071453552</v>
          </cell>
          <cell r="BU2385">
            <v>31.119783344442386</v>
          </cell>
          <cell r="BV2385">
            <v>29.635401891862816</v>
          </cell>
          <cell r="BW2385">
            <v>23.901518972811779</v>
          </cell>
          <cell r="BX2385">
            <v>15.713059154269443</v>
          </cell>
          <cell r="BY2385">
            <v>32.089978791354113</v>
          </cell>
        </row>
        <row r="2386">
          <cell r="A2386">
            <v>42866</v>
          </cell>
          <cell r="BF2386">
            <v>46.199214506635343</v>
          </cell>
          <cell r="BG2386">
            <v>45.468715051806292</v>
          </cell>
          <cell r="BH2386">
            <v>42.408178994289898</v>
          </cell>
          <cell r="BI2386">
            <v>30.406703917126244</v>
          </cell>
          <cell r="BJ2386">
            <v>54.409654071453552</v>
          </cell>
          <cell r="BU2386">
            <v>31.054942513577867</v>
          </cell>
          <cell r="BV2386">
            <v>29.635401891862816</v>
          </cell>
          <cell r="BW2386">
            <v>23.901518972811779</v>
          </cell>
          <cell r="BX2386">
            <v>15.713059154269443</v>
          </cell>
          <cell r="BY2386">
            <v>32.089978791354113</v>
          </cell>
        </row>
        <row r="2387">
          <cell r="A2387">
            <v>42867</v>
          </cell>
          <cell r="BF2387">
            <v>46.357476756769394</v>
          </cell>
          <cell r="BG2387">
            <v>45.468715051806292</v>
          </cell>
          <cell r="BH2387">
            <v>42.408178994289898</v>
          </cell>
          <cell r="BI2387">
            <v>30.406703917126244</v>
          </cell>
          <cell r="BJ2387">
            <v>54.409654071453552</v>
          </cell>
          <cell r="BU2387">
            <v>31.167099626424609</v>
          </cell>
          <cell r="BV2387">
            <v>29.635401891862816</v>
          </cell>
          <cell r="BW2387">
            <v>23.901518972811779</v>
          </cell>
          <cell r="BX2387">
            <v>15.713059154269443</v>
          </cell>
          <cell r="BY2387">
            <v>32.089978791354113</v>
          </cell>
        </row>
        <row r="2388">
          <cell r="A2388">
            <v>42870</v>
          </cell>
          <cell r="BF2388">
            <v>45.845359870994443</v>
          </cell>
          <cell r="BG2388">
            <v>45.468715051806292</v>
          </cell>
          <cell r="BH2388">
            <v>42.408178994289898</v>
          </cell>
          <cell r="BI2388">
            <v>30.406703917126244</v>
          </cell>
          <cell r="BJ2388">
            <v>54.409654071453552</v>
          </cell>
          <cell r="BU2388">
            <v>30.844720229496584</v>
          </cell>
          <cell r="BV2388">
            <v>29.635401891862816</v>
          </cell>
          <cell r="BW2388">
            <v>23.901518972811779</v>
          </cell>
          <cell r="BX2388">
            <v>15.713059154269443</v>
          </cell>
          <cell r="BY2388">
            <v>32.089978791354113</v>
          </cell>
        </row>
        <row r="2389">
          <cell r="A2389">
            <v>42871</v>
          </cell>
          <cell r="BF2389">
            <v>45.384487353594977</v>
          </cell>
          <cell r="BG2389">
            <v>45.468715051806292</v>
          </cell>
          <cell r="BH2389">
            <v>42.408178994289898</v>
          </cell>
          <cell r="BI2389">
            <v>30.406703917126244</v>
          </cell>
          <cell r="BJ2389">
            <v>54.409654071453552</v>
          </cell>
          <cell r="BU2389">
            <v>30.52663962728062</v>
          </cell>
          <cell r="BV2389">
            <v>29.635401891862816</v>
          </cell>
          <cell r="BW2389">
            <v>23.901518972811779</v>
          </cell>
          <cell r="BX2389">
            <v>15.713059154269443</v>
          </cell>
          <cell r="BY2389">
            <v>32.089978791354113</v>
          </cell>
        </row>
        <row r="2390">
          <cell r="A2390">
            <v>42872</v>
          </cell>
          <cell r="BF2390">
            <v>44.702087930746494</v>
          </cell>
          <cell r="BG2390">
            <v>45.468715051806292</v>
          </cell>
          <cell r="BH2390">
            <v>42.408178994289898</v>
          </cell>
          <cell r="BI2390">
            <v>30.406703917126244</v>
          </cell>
          <cell r="BJ2390">
            <v>54.409654071453552</v>
          </cell>
          <cell r="BU2390">
            <v>30.055667696482388</v>
          </cell>
          <cell r="BV2390">
            <v>29.635401891862816</v>
          </cell>
          <cell r="BW2390">
            <v>23.901518972811779</v>
          </cell>
          <cell r="BX2390">
            <v>15.713059154269443</v>
          </cell>
          <cell r="BY2390">
            <v>32.089978791354113</v>
          </cell>
        </row>
        <row r="2391">
          <cell r="A2391">
            <v>42873</v>
          </cell>
          <cell r="BF2391">
            <v>44.78611441181932</v>
          </cell>
          <cell r="BG2391">
            <v>45.468715051806292</v>
          </cell>
          <cell r="BH2391">
            <v>42.408178994289898</v>
          </cell>
          <cell r="BI2391">
            <v>30.406703917126244</v>
          </cell>
          <cell r="BJ2391">
            <v>54.409654071453552</v>
          </cell>
          <cell r="BU2391">
            <v>30.113660292466513</v>
          </cell>
          <cell r="BV2391">
            <v>29.635401891862816</v>
          </cell>
          <cell r="BW2391">
            <v>23.901518972811779</v>
          </cell>
          <cell r="BX2391">
            <v>15.713059154269443</v>
          </cell>
          <cell r="BY2391">
            <v>32.089978791354113</v>
          </cell>
        </row>
        <row r="2392">
          <cell r="A2392">
            <v>42874</v>
          </cell>
          <cell r="BF2392">
            <v>45.071295196066508</v>
          </cell>
          <cell r="BG2392">
            <v>45.468715051806292</v>
          </cell>
          <cell r="BH2392">
            <v>42.408178994289898</v>
          </cell>
          <cell r="BI2392">
            <v>30.406703917126244</v>
          </cell>
          <cell r="BJ2392">
            <v>54.409654071453552</v>
          </cell>
          <cell r="BU2392">
            <v>30.31048364853385</v>
          </cell>
          <cell r="BV2392">
            <v>29.635401891862816</v>
          </cell>
          <cell r="BW2392">
            <v>23.901518972811779</v>
          </cell>
          <cell r="BX2392">
            <v>15.713059154269443</v>
          </cell>
          <cell r="BY2392">
            <v>32.089978791354113</v>
          </cell>
        </row>
        <row r="2393">
          <cell r="A2393">
            <v>42877</v>
          </cell>
          <cell r="BF2393">
            <v>44.539127482605238</v>
          </cell>
          <cell r="BG2393">
            <v>45.468715051806292</v>
          </cell>
          <cell r="BH2393">
            <v>42.408178994289898</v>
          </cell>
          <cell r="BI2393">
            <v>30.406703917126244</v>
          </cell>
          <cell r="BJ2393">
            <v>54.409654071453552</v>
          </cell>
          <cell r="BU2393">
            <v>29.943197207301054</v>
          </cell>
          <cell r="BV2393">
            <v>29.635401891862816</v>
          </cell>
          <cell r="BW2393">
            <v>23.901518972811779</v>
          </cell>
          <cell r="BX2393">
            <v>15.713059154269443</v>
          </cell>
          <cell r="BY2393">
            <v>32.089978791354113</v>
          </cell>
        </row>
        <row r="2394">
          <cell r="A2394">
            <v>42878</v>
          </cell>
          <cell r="BF2394">
            <v>44.488204888818103</v>
          </cell>
          <cell r="BG2394">
            <v>45.468715051806292</v>
          </cell>
          <cell r="BH2394">
            <v>42.408178994289898</v>
          </cell>
          <cell r="BI2394">
            <v>30.406703917126244</v>
          </cell>
          <cell r="BJ2394">
            <v>54.409654071453552</v>
          </cell>
          <cell r="BU2394">
            <v>29.908051936783284</v>
          </cell>
          <cell r="BV2394">
            <v>29.635401891862816</v>
          </cell>
          <cell r="BW2394">
            <v>23.901518972811779</v>
          </cell>
          <cell r="BX2394">
            <v>15.713059154269443</v>
          </cell>
          <cell r="BY2394">
            <v>32.089978791354113</v>
          </cell>
        </row>
        <row r="2395">
          <cell r="A2395">
            <v>42879</v>
          </cell>
          <cell r="BF2395">
            <v>44.427092174508132</v>
          </cell>
          <cell r="BG2395">
            <v>45.468715051806292</v>
          </cell>
          <cell r="BH2395">
            <v>42.408178994289898</v>
          </cell>
          <cell r="BI2395">
            <v>30.406703917126244</v>
          </cell>
          <cell r="BJ2395">
            <v>54.409654071453552</v>
          </cell>
          <cell r="BU2395">
            <v>29.865873745988885</v>
          </cell>
          <cell r="BV2395">
            <v>29.635401891862816</v>
          </cell>
          <cell r="BW2395">
            <v>23.901518972811779</v>
          </cell>
          <cell r="BX2395">
            <v>15.713059154269443</v>
          </cell>
          <cell r="BY2395">
            <v>32.089978791354113</v>
          </cell>
        </row>
        <row r="2396">
          <cell r="A2396">
            <v>42880</v>
          </cell>
          <cell r="BF2396">
            <v>44.243761670349222</v>
          </cell>
          <cell r="BG2396">
            <v>45.468715051806292</v>
          </cell>
          <cell r="BH2396">
            <v>42.408178994289898</v>
          </cell>
          <cell r="BI2396">
            <v>30.406703917126244</v>
          </cell>
          <cell r="BJ2396">
            <v>54.409654071453552</v>
          </cell>
          <cell r="BU2396">
            <v>29.739344445659885</v>
          </cell>
          <cell r="BV2396">
            <v>29.635401891862816</v>
          </cell>
          <cell r="BW2396">
            <v>23.901518972811779</v>
          </cell>
          <cell r="BX2396">
            <v>15.713059154269443</v>
          </cell>
          <cell r="BY2396">
            <v>32.089978791354113</v>
          </cell>
        </row>
        <row r="2397">
          <cell r="A2397">
            <v>42881</v>
          </cell>
          <cell r="BF2397">
            <v>44.828849039991795</v>
          </cell>
          <cell r="BG2397">
            <v>45.468715051806292</v>
          </cell>
          <cell r="BH2397">
            <v>42.408178994289898</v>
          </cell>
          <cell r="BI2397">
            <v>30.406703917126244</v>
          </cell>
          <cell r="BJ2397">
            <v>54.409654071453552</v>
          </cell>
          <cell r="BU2397">
            <v>30.117176752604827</v>
          </cell>
          <cell r="BV2397">
            <v>29.635401891862816</v>
          </cell>
          <cell r="BW2397">
            <v>23.901518972811779</v>
          </cell>
          <cell r="BX2397">
            <v>15.713059154269443</v>
          </cell>
          <cell r="BY2397">
            <v>32.089978791354113</v>
          </cell>
        </row>
        <row r="2398">
          <cell r="A2398">
            <v>42884</v>
          </cell>
          <cell r="BF2398">
            <v>44.828849039991795</v>
          </cell>
          <cell r="BG2398">
            <v>45.468715051806292</v>
          </cell>
          <cell r="BH2398">
            <v>42.408178994289898</v>
          </cell>
          <cell r="BI2398">
            <v>30.406703917126244</v>
          </cell>
          <cell r="BJ2398">
            <v>54.409654071453552</v>
          </cell>
          <cell r="BU2398">
            <v>30.117176752604827</v>
          </cell>
          <cell r="BV2398">
            <v>29.635401891862816</v>
          </cell>
          <cell r="BW2398">
            <v>23.901518972811779</v>
          </cell>
          <cell r="BX2398">
            <v>15.713059154269443</v>
          </cell>
          <cell r="BY2398">
            <v>32.089978791354113</v>
          </cell>
        </row>
        <row r="2399">
          <cell r="A2399">
            <v>42885</v>
          </cell>
          <cell r="BF2399">
            <v>44.235072607012327</v>
          </cell>
          <cell r="BG2399">
            <v>45.468715051806292</v>
          </cell>
          <cell r="BH2399">
            <v>42.408178994289898</v>
          </cell>
          <cell r="BI2399">
            <v>30.406703917126244</v>
          </cell>
          <cell r="BJ2399">
            <v>54.409654071453552</v>
          </cell>
          <cell r="BU2399">
            <v>29.707713877929027</v>
          </cell>
          <cell r="BV2399">
            <v>29.635401891862816</v>
          </cell>
          <cell r="BW2399">
            <v>23.901518972811779</v>
          </cell>
          <cell r="BX2399">
            <v>15.713059154269443</v>
          </cell>
          <cell r="BY2399">
            <v>32.089978791354113</v>
          </cell>
        </row>
        <row r="2400">
          <cell r="A2400">
            <v>42886</v>
          </cell>
          <cell r="BF2400">
            <v>45.198366562661413</v>
          </cell>
          <cell r="BG2400">
            <v>45.468715051806292</v>
          </cell>
          <cell r="BH2400">
            <v>42.408178994289898</v>
          </cell>
          <cell r="BI2400">
            <v>30.406703917126244</v>
          </cell>
          <cell r="BJ2400">
            <v>54.409654071453552</v>
          </cell>
          <cell r="BU2400">
            <v>30.371992704656286</v>
          </cell>
          <cell r="BV2400">
            <v>29.635401891862816</v>
          </cell>
          <cell r="BW2400">
            <v>23.901518972811779</v>
          </cell>
          <cell r="BX2400">
            <v>15.713059154269443</v>
          </cell>
          <cell r="BY2400">
            <v>32.089978791354113</v>
          </cell>
        </row>
        <row r="2401">
          <cell r="A2401">
            <v>42887</v>
          </cell>
          <cell r="BF2401">
            <v>45.347460956375812</v>
          </cell>
          <cell r="BG2401">
            <v>45.468715051806292</v>
          </cell>
          <cell r="BH2401">
            <v>42.408178994289898</v>
          </cell>
          <cell r="BI2401">
            <v>30.406703917126244</v>
          </cell>
          <cell r="BJ2401">
            <v>54.409654071453552</v>
          </cell>
          <cell r="BU2401">
            <v>30.44131315459601</v>
          </cell>
          <cell r="BV2401">
            <v>29.635401891862816</v>
          </cell>
          <cell r="BW2401">
            <v>23.901518972811779</v>
          </cell>
          <cell r="BX2401">
            <v>15.713059154269443</v>
          </cell>
          <cell r="BY2401">
            <v>32.089978791354113</v>
          </cell>
        </row>
        <row r="2402">
          <cell r="A2402">
            <v>42888</v>
          </cell>
          <cell r="BF2402">
            <v>46.135675888028288</v>
          </cell>
          <cell r="BG2402">
            <v>45.468715051806292</v>
          </cell>
          <cell r="BH2402">
            <v>42.408178994289898</v>
          </cell>
          <cell r="BI2402">
            <v>30.406703917126244</v>
          </cell>
          <cell r="BJ2402">
            <v>54.409654071453552</v>
          </cell>
          <cell r="BU2402">
            <v>30.984049303477356</v>
          </cell>
          <cell r="BV2402">
            <v>29.635401891862816</v>
          </cell>
          <cell r="BW2402">
            <v>23.901518972811779</v>
          </cell>
          <cell r="BX2402">
            <v>15.713059154269443</v>
          </cell>
          <cell r="BY2402">
            <v>32.089978791354113</v>
          </cell>
        </row>
        <row r="2403">
          <cell r="A2403">
            <v>42891</v>
          </cell>
          <cell r="BF2403">
            <v>45.548306148055204</v>
          </cell>
          <cell r="BG2403">
            <v>45.468715051806292</v>
          </cell>
          <cell r="BH2403">
            <v>42.408178994289898</v>
          </cell>
          <cell r="BI2403">
            <v>30.406703917126244</v>
          </cell>
          <cell r="BJ2403">
            <v>54.409654071453552</v>
          </cell>
          <cell r="BU2403">
            <v>30.589960634862877</v>
          </cell>
          <cell r="BV2403">
            <v>29.635401891862816</v>
          </cell>
          <cell r="BW2403">
            <v>23.901518972811779</v>
          </cell>
          <cell r="BX2403">
            <v>15.713059154269443</v>
          </cell>
          <cell r="BY2403">
            <v>32.089978791354113</v>
          </cell>
        </row>
        <row r="2404">
          <cell r="A2404">
            <v>42892</v>
          </cell>
          <cell r="BF2404">
            <v>45.031367628607278</v>
          </cell>
          <cell r="BG2404">
            <v>45.468715051806292</v>
          </cell>
          <cell r="BH2404">
            <v>42.408178994289898</v>
          </cell>
          <cell r="BI2404">
            <v>30.406703917126244</v>
          </cell>
          <cell r="BJ2404">
            <v>54.409654071453552</v>
          </cell>
          <cell r="BU2404">
            <v>30.233898065851548</v>
          </cell>
          <cell r="BV2404">
            <v>29.635401891862816</v>
          </cell>
          <cell r="BW2404">
            <v>23.901518972811779</v>
          </cell>
          <cell r="BX2404">
            <v>15.713059154269443</v>
          </cell>
          <cell r="BY2404">
            <v>32.089978791354113</v>
          </cell>
        </row>
        <row r="2405">
          <cell r="A2405">
            <v>42893</v>
          </cell>
          <cell r="BF2405">
            <v>44.956085319949814</v>
          </cell>
          <cell r="BG2405">
            <v>45.468715051806292</v>
          </cell>
          <cell r="BH2405">
            <v>42.408178994289898</v>
          </cell>
          <cell r="BI2405">
            <v>30.406703917126244</v>
          </cell>
          <cell r="BJ2405">
            <v>54.409654071453552</v>
          </cell>
          <cell r="BU2405">
            <v>30.182044293665431</v>
          </cell>
          <cell r="BV2405">
            <v>29.635401891862816</v>
          </cell>
          <cell r="BW2405">
            <v>23.901518972811779</v>
          </cell>
          <cell r="BX2405">
            <v>15.713059154269443</v>
          </cell>
          <cell r="BY2405">
            <v>32.089978791354113</v>
          </cell>
        </row>
        <row r="2406">
          <cell r="A2406">
            <v>42894</v>
          </cell>
          <cell r="BF2406">
            <v>44.589713927227102</v>
          </cell>
          <cell r="BG2406">
            <v>45.468715051806292</v>
          </cell>
          <cell r="BH2406">
            <v>42.408178994289898</v>
          </cell>
          <cell r="BI2406">
            <v>30.406703917126244</v>
          </cell>
          <cell r="BJ2406">
            <v>54.409654071453552</v>
          </cell>
          <cell r="BU2406">
            <v>29.929690997485405</v>
          </cell>
          <cell r="BV2406">
            <v>29.635401891862816</v>
          </cell>
          <cell r="BW2406">
            <v>23.901518972811779</v>
          </cell>
          <cell r="BX2406">
            <v>15.713059154269443</v>
          </cell>
          <cell r="BY2406">
            <v>32.089978791354113</v>
          </cell>
        </row>
        <row r="2407">
          <cell r="A2407">
            <v>42895</v>
          </cell>
          <cell r="BF2407">
            <v>43.683816813048935</v>
          </cell>
          <cell r="BG2407">
            <v>45.468715051806292</v>
          </cell>
          <cell r="BH2407">
            <v>42.408178994289898</v>
          </cell>
          <cell r="BI2407">
            <v>30.406703917126244</v>
          </cell>
          <cell r="BJ2407">
            <v>54.409654071453552</v>
          </cell>
          <cell r="BU2407">
            <v>29.305717272179145</v>
          </cell>
          <cell r="BV2407">
            <v>29.635401891862816</v>
          </cell>
          <cell r="BW2407">
            <v>23.901518972811779</v>
          </cell>
          <cell r="BX2407">
            <v>15.713059154269443</v>
          </cell>
          <cell r="BY2407">
            <v>32.089978791354113</v>
          </cell>
        </row>
        <row r="2408">
          <cell r="A2408">
            <v>42898</v>
          </cell>
          <cell r="BF2408">
            <v>43.026351317440408</v>
          </cell>
          <cell r="BG2408">
            <v>45.468715051806292</v>
          </cell>
          <cell r="BH2408">
            <v>42.408178994289898</v>
          </cell>
          <cell r="BI2408">
            <v>30.406703917126244</v>
          </cell>
          <cell r="BJ2408">
            <v>54.409654071453552</v>
          </cell>
          <cell r="BU2408">
            <v>28.852860995087067</v>
          </cell>
          <cell r="BV2408">
            <v>29.635401891862816</v>
          </cell>
          <cell r="BW2408">
            <v>23.901518972811779</v>
          </cell>
          <cell r="BX2408">
            <v>15.713059154269443</v>
          </cell>
          <cell r="BY2408">
            <v>32.089978791354113</v>
          </cell>
        </row>
        <row r="2409">
          <cell r="A2409">
            <v>42899</v>
          </cell>
          <cell r="BF2409">
            <v>43.528233375156844</v>
          </cell>
          <cell r="BG2409">
            <v>45.468715051806292</v>
          </cell>
          <cell r="BH2409">
            <v>42.408178994289898</v>
          </cell>
          <cell r="BI2409">
            <v>30.406703917126244</v>
          </cell>
          <cell r="BJ2409">
            <v>54.409654071453552</v>
          </cell>
          <cell r="BU2409">
            <v>29.198552809661173</v>
          </cell>
          <cell r="BV2409">
            <v>29.635401891862816</v>
          </cell>
          <cell r="BW2409">
            <v>23.901518972811779</v>
          </cell>
          <cell r="BX2409">
            <v>15.713059154269443</v>
          </cell>
          <cell r="BY2409">
            <v>32.089978791354113</v>
          </cell>
        </row>
        <row r="2410">
          <cell r="A2410">
            <v>42900</v>
          </cell>
          <cell r="BF2410">
            <v>43.309912170639905</v>
          </cell>
          <cell r="BG2410">
            <v>45.468715051806292</v>
          </cell>
          <cell r="BH2410">
            <v>42.408178994289898</v>
          </cell>
          <cell r="BI2410">
            <v>30.406703917126244</v>
          </cell>
          <cell r="BJ2410">
            <v>54.409654071453552</v>
          </cell>
          <cell r="BU2410">
            <v>29.048175141862366</v>
          </cell>
          <cell r="BV2410">
            <v>29.635401891862816</v>
          </cell>
          <cell r="BW2410">
            <v>23.901518972811779</v>
          </cell>
          <cell r="BX2410">
            <v>15.713059154269443</v>
          </cell>
          <cell r="BY2410">
            <v>32.089978791354113</v>
          </cell>
        </row>
        <row r="2411">
          <cell r="A2411">
            <v>42901</v>
          </cell>
          <cell r="BF2411">
            <v>43.171894604767878</v>
          </cell>
          <cell r="BG2411">
            <v>45.468715051806292</v>
          </cell>
          <cell r="BH2411">
            <v>42.408178994289898</v>
          </cell>
          <cell r="BI2411">
            <v>30.406703917126244</v>
          </cell>
          <cell r="BJ2411">
            <v>54.409654071453552</v>
          </cell>
          <cell r="BU2411">
            <v>28.953109892854485</v>
          </cell>
          <cell r="BV2411">
            <v>29.635401891862816</v>
          </cell>
          <cell r="BW2411">
            <v>23.901518972811779</v>
          </cell>
          <cell r="BX2411">
            <v>15.713059154269443</v>
          </cell>
          <cell r="BY2411">
            <v>32.089978791354113</v>
          </cell>
        </row>
        <row r="2412">
          <cell r="A2412">
            <v>42902</v>
          </cell>
          <cell r="BF2412">
            <v>43.126727728983688</v>
          </cell>
          <cell r="BG2412">
            <v>45.468715051806292</v>
          </cell>
          <cell r="BH2412">
            <v>42.408178994289898</v>
          </cell>
          <cell r="BI2412">
            <v>30.406703917126244</v>
          </cell>
          <cell r="BJ2412">
            <v>54.409654071453552</v>
          </cell>
          <cell r="BU2412">
            <v>28.921999358001887</v>
          </cell>
          <cell r="BV2412">
            <v>29.635401891862816</v>
          </cell>
          <cell r="BW2412">
            <v>23.901518972811779</v>
          </cell>
          <cell r="BX2412">
            <v>15.713059154269443</v>
          </cell>
          <cell r="BY2412">
            <v>32.089978791354113</v>
          </cell>
        </row>
        <row r="2413">
          <cell r="A2413">
            <v>42905</v>
          </cell>
          <cell r="BF2413">
            <v>44.316188205771645</v>
          </cell>
          <cell r="BG2413">
            <v>45.468715051806292</v>
          </cell>
          <cell r="BH2413">
            <v>42.408178994289898</v>
          </cell>
          <cell r="BI2413">
            <v>30.406703917126244</v>
          </cell>
          <cell r="BJ2413">
            <v>54.409654071453552</v>
          </cell>
          <cell r="BU2413">
            <v>29.741288958542519</v>
          </cell>
          <cell r="BV2413">
            <v>29.635401891862816</v>
          </cell>
          <cell r="BW2413">
            <v>23.901518972811779</v>
          </cell>
          <cell r="BX2413">
            <v>15.713059154269443</v>
          </cell>
          <cell r="BY2413">
            <v>32.089978791354113</v>
          </cell>
        </row>
        <row r="2414">
          <cell r="A2414">
            <v>42906</v>
          </cell>
          <cell r="BF2414">
            <v>43.98996486825596</v>
          </cell>
          <cell r="BG2414">
            <v>45.468715051806292</v>
          </cell>
          <cell r="BH2414">
            <v>42.408178994289898</v>
          </cell>
          <cell r="BI2414">
            <v>30.406703917126244</v>
          </cell>
          <cell r="BJ2414">
            <v>54.409654071453552</v>
          </cell>
          <cell r="BU2414">
            <v>29.51658927906935</v>
          </cell>
          <cell r="BV2414">
            <v>29.635401891862816</v>
          </cell>
          <cell r="BW2414">
            <v>23.901518972811779</v>
          </cell>
          <cell r="BX2414">
            <v>15.713059154269443</v>
          </cell>
          <cell r="BY2414">
            <v>32.089978791354113</v>
          </cell>
        </row>
        <row r="2415">
          <cell r="A2415">
            <v>42907</v>
          </cell>
          <cell r="BF2415">
            <v>44.511922208281057</v>
          </cell>
          <cell r="BG2415">
            <v>45.468715051806292</v>
          </cell>
          <cell r="BH2415">
            <v>42.408178994289898</v>
          </cell>
          <cell r="BI2415">
            <v>30.406703917126244</v>
          </cell>
          <cell r="BJ2415">
            <v>54.409654071453552</v>
          </cell>
          <cell r="BU2415">
            <v>29.876108766226416</v>
          </cell>
          <cell r="BV2415">
            <v>29.635401891862816</v>
          </cell>
          <cell r="BW2415">
            <v>23.901518972811779</v>
          </cell>
          <cell r="BX2415">
            <v>15.713059154269443</v>
          </cell>
          <cell r="BY2415">
            <v>32.089978791354113</v>
          </cell>
        </row>
        <row r="2416">
          <cell r="A2416">
            <v>42908</v>
          </cell>
          <cell r="BF2416">
            <v>45.91970138017566</v>
          </cell>
          <cell r="BG2416">
            <v>45.468715051806292</v>
          </cell>
          <cell r="BH2416">
            <v>42.408178994289898</v>
          </cell>
          <cell r="BI2416">
            <v>30.406703917126244</v>
          </cell>
          <cell r="BJ2416">
            <v>54.409654071453552</v>
          </cell>
          <cell r="BU2416">
            <v>30.845774306106787</v>
          </cell>
          <cell r="BV2416">
            <v>29.635401891862816</v>
          </cell>
          <cell r="BW2416">
            <v>23.901518972811779</v>
          </cell>
          <cell r="BX2416">
            <v>15.713059154269443</v>
          </cell>
          <cell r="BY2416">
            <v>32.089978791354113</v>
          </cell>
        </row>
        <row r="2417">
          <cell r="A2417">
            <v>42909</v>
          </cell>
          <cell r="BF2417">
            <v>46.494353826850691</v>
          </cell>
          <cell r="BG2417">
            <v>45.468715051806292</v>
          </cell>
          <cell r="BH2417">
            <v>42.408178994289898</v>
          </cell>
          <cell r="BI2417">
            <v>30.406703917126244</v>
          </cell>
          <cell r="BJ2417">
            <v>54.409654071453552</v>
          </cell>
          <cell r="BU2417">
            <v>31.241589705335066</v>
          </cell>
          <cell r="BV2417">
            <v>29.635401891862816</v>
          </cell>
          <cell r="BW2417">
            <v>23.901518972811779</v>
          </cell>
          <cell r="BX2417">
            <v>15.713059154269443</v>
          </cell>
          <cell r="BY2417">
            <v>32.089978791354113</v>
          </cell>
        </row>
        <row r="2418">
          <cell r="A2418">
            <v>42912</v>
          </cell>
          <cell r="BF2418">
            <v>45.392722710163106</v>
          </cell>
          <cell r="BG2418">
            <v>45.468715051806292</v>
          </cell>
          <cell r="BH2418">
            <v>42.408178994289898</v>
          </cell>
          <cell r="BI2418">
            <v>30.406703917126244</v>
          </cell>
          <cell r="BJ2418">
            <v>54.409654071453552</v>
          </cell>
          <cell r="BU2418">
            <v>30.482796172344901</v>
          </cell>
          <cell r="BV2418">
            <v>29.635401891862816</v>
          </cell>
          <cell r="BW2418">
            <v>23.901518972811779</v>
          </cell>
          <cell r="BX2418">
            <v>15.713059154269443</v>
          </cell>
          <cell r="BY2418">
            <v>32.089978791354113</v>
          </cell>
        </row>
        <row r="2419">
          <cell r="A2419">
            <v>42913</v>
          </cell>
          <cell r="BF2419">
            <v>44.255962358845672</v>
          </cell>
          <cell r="BG2419">
            <v>45.468715051806292</v>
          </cell>
          <cell r="BH2419">
            <v>42.408178994289898</v>
          </cell>
          <cell r="BI2419">
            <v>30.406703917126244</v>
          </cell>
          <cell r="BJ2419">
            <v>54.409654071453552</v>
          </cell>
          <cell r="BU2419">
            <v>29.699805940793624</v>
          </cell>
          <cell r="BV2419">
            <v>29.635401891862816</v>
          </cell>
          <cell r="BW2419">
            <v>23.901518972811779</v>
          </cell>
          <cell r="BX2419">
            <v>15.713059154269443</v>
          </cell>
          <cell r="BY2419">
            <v>32.089978791354113</v>
          </cell>
        </row>
        <row r="2420">
          <cell r="A2420">
            <v>42914</v>
          </cell>
          <cell r="BF2420">
            <v>45.420326223337518</v>
          </cell>
          <cell r="BG2420">
            <v>45.468715051806292</v>
          </cell>
          <cell r="BH2420">
            <v>42.408178994289898</v>
          </cell>
          <cell r="BI2420">
            <v>30.406703917126244</v>
          </cell>
          <cell r="BJ2420">
            <v>54.409654071453552</v>
          </cell>
          <cell r="BU2420">
            <v>30.50180922214648</v>
          </cell>
          <cell r="BV2420">
            <v>29.635401891862816</v>
          </cell>
          <cell r="BW2420">
            <v>23.901518972811779</v>
          </cell>
          <cell r="BX2420">
            <v>15.713059154269443</v>
          </cell>
          <cell r="BY2420">
            <v>32.089978791354113</v>
          </cell>
        </row>
        <row r="2421">
          <cell r="A2421">
            <v>42915</v>
          </cell>
          <cell r="BF2421">
            <v>44.353826850690091</v>
          </cell>
          <cell r="BG2421">
            <v>45.468715051806292</v>
          </cell>
          <cell r="BH2421">
            <v>42.408178994289898</v>
          </cell>
          <cell r="BI2421">
            <v>30.406703917126244</v>
          </cell>
          <cell r="BJ2421">
            <v>54.409654071453552</v>
          </cell>
          <cell r="BU2421">
            <v>29.767214116176504</v>
          </cell>
          <cell r="BV2421">
            <v>29.635401891862816</v>
          </cell>
          <cell r="BW2421">
            <v>23.901518972811779</v>
          </cell>
          <cell r="BX2421">
            <v>15.713059154269443</v>
          </cell>
          <cell r="BY2421">
            <v>32.089978791354113</v>
          </cell>
        </row>
        <row r="2422">
          <cell r="A2422">
            <v>42916</v>
          </cell>
          <cell r="BF2422">
            <v>43.543289836888334</v>
          </cell>
          <cell r="BG2422">
            <v>45.468715051806292</v>
          </cell>
          <cell r="BH2422">
            <v>42.408178994289898</v>
          </cell>
          <cell r="BI2422">
            <v>30.406703917126244</v>
          </cell>
          <cell r="BJ2422">
            <v>54.409654071453552</v>
          </cell>
          <cell r="BU2422">
            <v>29.208923564098402</v>
          </cell>
          <cell r="BV2422">
            <v>29.635401891862816</v>
          </cell>
          <cell r="BW2422">
            <v>23.901518972811779</v>
          </cell>
          <cell r="BX2422">
            <v>15.713059154269443</v>
          </cell>
          <cell r="BY2422">
            <v>32.089978791354113</v>
          </cell>
        </row>
        <row r="2423">
          <cell r="A2423">
            <v>42919</v>
          </cell>
          <cell r="BF2423">
            <v>43.053531956982731</v>
          </cell>
          <cell r="BG2423">
            <v>45.468715051806292</v>
          </cell>
          <cell r="BH2423">
            <v>42.408178994289898</v>
          </cell>
          <cell r="BI2423">
            <v>30.406703917126244</v>
          </cell>
          <cell r="BJ2423">
            <v>54.409654071453552</v>
          </cell>
          <cell r="BU2423">
            <v>28.840202615845449</v>
          </cell>
          <cell r="BV2423">
            <v>29.635401891862816</v>
          </cell>
          <cell r="BW2423">
            <v>23.901518972811779</v>
          </cell>
          <cell r="BX2423">
            <v>15.713059154269443</v>
          </cell>
          <cell r="BY2423">
            <v>32.089978791354113</v>
          </cell>
        </row>
        <row r="2424">
          <cell r="A2424">
            <v>42920</v>
          </cell>
          <cell r="BF2424">
            <v>43.053531956982731</v>
          </cell>
          <cell r="BG2424">
            <v>45.468715051806292</v>
          </cell>
          <cell r="BH2424">
            <v>42.408178994289898</v>
          </cell>
          <cell r="BI2424">
            <v>30.406703917126244</v>
          </cell>
          <cell r="BJ2424">
            <v>54.409654071453552</v>
          </cell>
          <cell r="BU2424">
            <v>28.840202615845449</v>
          </cell>
          <cell r="BV2424">
            <v>29.635401891862816</v>
          </cell>
          <cell r="BW2424">
            <v>23.901518972811779</v>
          </cell>
          <cell r="BX2424">
            <v>15.713059154269443</v>
          </cell>
          <cell r="BY2424">
            <v>32.089978791354113</v>
          </cell>
        </row>
        <row r="2425">
          <cell r="A2425">
            <v>42921</v>
          </cell>
          <cell r="BF2425">
            <v>43.10792681419624</v>
          </cell>
          <cell r="BG2425">
            <v>45.468715051806292</v>
          </cell>
          <cell r="BH2425">
            <v>42.408178994289898</v>
          </cell>
          <cell r="BI2425">
            <v>30.406703917126244</v>
          </cell>
          <cell r="BJ2425">
            <v>54.409654071453552</v>
          </cell>
          <cell r="BU2425">
            <v>28.87761364693819</v>
          </cell>
          <cell r="BV2425">
            <v>29.635401891862816</v>
          </cell>
          <cell r="BW2425">
            <v>23.901518972811779</v>
          </cell>
          <cell r="BX2425">
            <v>15.713059154269443</v>
          </cell>
          <cell r="BY2425">
            <v>32.089978791354113</v>
          </cell>
        </row>
        <row r="2426">
          <cell r="A2426">
            <v>42922</v>
          </cell>
          <cell r="BF2426">
            <v>42.606010631726171</v>
          </cell>
          <cell r="BG2426">
            <v>45.468715051806292</v>
          </cell>
          <cell r="BH2426">
            <v>42.408178994289898</v>
          </cell>
          <cell r="BI2426">
            <v>30.406703917126244</v>
          </cell>
          <cell r="BJ2426">
            <v>54.409654071453552</v>
          </cell>
          <cell r="BU2426">
            <v>28.532411860036976</v>
          </cell>
          <cell r="BV2426">
            <v>29.635401891862816</v>
          </cell>
          <cell r="BW2426">
            <v>23.901518972811779</v>
          </cell>
          <cell r="BX2426">
            <v>15.713059154269443</v>
          </cell>
          <cell r="BY2426">
            <v>32.089978791354113</v>
          </cell>
        </row>
        <row r="2427">
          <cell r="A2427">
            <v>42923</v>
          </cell>
          <cell r="BF2427">
            <v>42.554088268022369</v>
          </cell>
          <cell r="BG2427">
            <v>45.468715051806292</v>
          </cell>
          <cell r="BH2427">
            <v>42.408178994289898</v>
          </cell>
          <cell r="BI2427">
            <v>30.406703917126244</v>
          </cell>
          <cell r="BJ2427">
            <v>54.409654071453552</v>
          </cell>
          <cell r="BU2427">
            <v>28.496701330357535</v>
          </cell>
          <cell r="BV2427">
            <v>29.635401891862816</v>
          </cell>
          <cell r="BW2427">
            <v>23.901518972811779</v>
          </cell>
          <cell r="BX2427">
            <v>15.713059154269443</v>
          </cell>
          <cell r="BY2427">
            <v>32.089978791354113</v>
          </cell>
        </row>
        <row r="2428">
          <cell r="A2428">
            <v>42926</v>
          </cell>
          <cell r="BF2428">
            <v>41.709514211677714</v>
          </cell>
          <cell r="BG2428">
            <v>45.468715051806292</v>
          </cell>
          <cell r="BH2428">
            <v>42.408178994289898</v>
          </cell>
          <cell r="BI2428">
            <v>30.406703917126244</v>
          </cell>
          <cell r="BJ2428">
            <v>54.409654071453552</v>
          </cell>
          <cell r="BU2428">
            <v>27.962234460697317</v>
          </cell>
          <cell r="BV2428">
            <v>29.635401891862816</v>
          </cell>
          <cell r="BW2428">
            <v>23.901518972811779</v>
          </cell>
          <cell r="BX2428">
            <v>15.713059154269443</v>
          </cell>
          <cell r="BY2428">
            <v>32.089978791354113</v>
          </cell>
        </row>
        <row r="2429">
          <cell r="A2429">
            <v>42927</v>
          </cell>
          <cell r="BF2429">
            <v>42.786100386104479</v>
          </cell>
          <cell r="BG2429">
            <v>45.468715051806292</v>
          </cell>
          <cell r="BH2429">
            <v>42.408178994289898</v>
          </cell>
          <cell r="BI2429">
            <v>30.406703917126244</v>
          </cell>
          <cell r="BJ2429">
            <v>54.409654071453552</v>
          </cell>
          <cell r="BU2429">
            <v>28.667801010433688</v>
          </cell>
          <cell r="BV2429">
            <v>29.635401891862816</v>
          </cell>
          <cell r="BW2429">
            <v>23.901518972811779</v>
          </cell>
          <cell r="BX2429">
            <v>15.713059154269443</v>
          </cell>
          <cell r="BY2429">
            <v>32.089978791354113</v>
          </cell>
        </row>
        <row r="2430">
          <cell r="A2430">
            <v>42928</v>
          </cell>
          <cell r="BF2430">
            <v>42.81248069200285</v>
          </cell>
          <cell r="BG2430">
            <v>45.468715051806292</v>
          </cell>
          <cell r="BH2430">
            <v>42.408178994289898</v>
          </cell>
          <cell r="BI2430">
            <v>30.406703917126244</v>
          </cell>
          <cell r="BJ2430">
            <v>54.409654071453552</v>
          </cell>
          <cell r="BU2430">
            <v>28.61388618563284</v>
          </cell>
          <cell r="BV2430">
            <v>29.635401891862816</v>
          </cell>
          <cell r="BW2430">
            <v>23.901518972811779</v>
          </cell>
          <cell r="BX2430">
            <v>15.713059154269443</v>
          </cell>
          <cell r="BY2430">
            <v>32.089978791354113</v>
          </cell>
        </row>
        <row r="2431">
          <cell r="A2431">
            <v>42929</v>
          </cell>
          <cell r="BF2431">
            <v>42.755637936364913</v>
          </cell>
          <cell r="BG2431">
            <v>45.468715051806292</v>
          </cell>
          <cell r="BH2431">
            <v>42.408178994289898</v>
          </cell>
          <cell r="BI2431">
            <v>30.406703917126244</v>
          </cell>
          <cell r="BJ2431">
            <v>54.409654071453552</v>
          </cell>
          <cell r="BU2431">
            <v>28.541032158815742</v>
          </cell>
          <cell r="BV2431">
            <v>29.635401891862816</v>
          </cell>
          <cell r="BW2431">
            <v>23.901518972811779</v>
          </cell>
          <cell r="BX2431">
            <v>15.713059154269443</v>
          </cell>
          <cell r="BY2431">
            <v>32.089978791354113</v>
          </cell>
        </row>
        <row r="2432">
          <cell r="A2432">
            <v>42930</v>
          </cell>
          <cell r="BF2432">
            <v>42.590054989191586</v>
          </cell>
          <cell r="BG2432">
            <v>45.468715051806292</v>
          </cell>
          <cell r="BH2432">
            <v>42.408178994289898</v>
          </cell>
          <cell r="BI2432">
            <v>30.406703917126244</v>
          </cell>
          <cell r="BJ2432">
            <v>54.409654071453552</v>
          </cell>
          <cell r="BU2432">
            <v>28.42752584658799</v>
          </cell>
          <cell r="BV2432">
            <v>29.635401891862816</v>
          </cell>
          <cell r="BW2432">
            <v>23.901518972811779</v>
          </cell>
          <cell r="BX2432">
            <v>15.713059154269443</v>
          </cell>
          <cell r="BY2432">
            <v>32.089978791354113</v>
          </cell>
        </row>
        <row r="2433">
          <cell r="A2433">
            <v>42933</v>
          </cell>
          <cell r="BF2433">
            <v>42.444240963859478</v>
          </cell>
          <cell r="BG2433">
            <v>45.468715051806292</v>
          </cell>
          <cell r="BH2433">
            <v>42.408178994289898</v>
          </cell>
          <cell r="BI2433">
            <v>30.406703917126244</v>
          </cell>
          <cell r="BJ2433">
            <v>54.409654071453552</v>
          </cell>
          <cell r="BU2433">
            <v>28.327571035002194</v>
          </cell>
          <cell r="BV2433">
            <v>29.635401891862816</v>
          </cell>
          <cell r="BW2433">
            <v>23.901518972811779</v>
          </cell>
          <cell r="BX2433">
            <v>15.713059154269443</v>
          </cell>
          <cell r="BY2433">
            <v>32.089978791354113</v>
          </cell>
        </row>
        <row r="2434">
          <cell r="A2434">
            <v>42934</v>
          </cell>
          <cell r="BF2434">
            <v>42.91875440222838</v>
          </cell>
          <cell r="BG2434">
            <v>45.468715051806292</v>
          </cell>
          <cell r="BH2434">
            <v>42.408178994289898</v>
          </cell>
          <cell r="BI2434">
            <v>30.406703917126244</v>
          </cell>
          <cell r="BJ2434">
            <v>54.409654071453552</v>
          </cell>
          <cell r="BU2434">
            <v>28.652847709993278</v>
          </cell>
          <cell r="BV2434">
            <v>29.635401891862816</v>
          </cell>
          <cell r="BW2434">
            <v>23.901518972811779</v>
          </cell>
          <cell r="BX2434">
            <v>15.713059154269443</v>
          </cell>
          <cell r="BY2434">
            <v>32.089978791354113</v>
          </cell>
        </row>
        <row r="2435">
          <cell r="A2435">
            <v>42935</v>
          </cell>
          <cell r="BF2435">
            <v>42.973125733708152</v>
          </cell>
          <cell r="BG2435">
            <v>45.468715051806292</v>
          </cell>
          <cell r="BH2435">
            <v>42.408178994289898</v>
          </cell>
          <cell r="BI2435">
            <v>30.406703917126244</v>
          </cell>
          <cell r="BJ2435">
            <v>54.409654071453552</v>
          </cell>
          <cell r="BU2435">
            <v>28.690118995669334</v>
          </cell>
          <cell r="BV2435">
            <v>29.635401891862816</v>
          </cell>
          <cell r="BW2435">
            <v>23.901518972811779</v>
          </cell>
          <cell r="BX2435">
            <v>15.713059154269443</v>
          </cell>
          <cell r="BY2435">
            <v>32.089978791354113</v>
          </cell>
        </row>
        <row r="2436">
          <cell r="A2436">
            <v>42936</v>
          </cell>
          <cell r="BF2436">
            <v>42.501083719497423</v>
          </cell>
          <cell r="BG2436">
            <v>45.468715051806292</v>
          </cell>
          <cell r="BH2436">
            <v>42.408178994289898</v>
          </cell>
          <cell r="BI2436">
            <v>30.406703917126244</v>
          </cell>
          <cell r="BJ2436">
            <v>54.409654071453552</v>
          </cell>
          <cell r="BU2436">
            <v>28.366533081728463</v>
          </cell>
          <cell r="BV2436">
            <v>29.635401891862816</v>
          </cell>
          <cell r="BW2436">
            <v>23.901518972811779</v>
          </cell>
          <cell r="BX2436">
            <v>15.713059154269443</v>
          </cell>
          <cell r="BY2436">
            <v>32.089978791354113</v>
          </cell>
        </row>
        <row r="2437">
          <cell r="A2437">
            <v>42937</v>
          </cell>
          <cell r="BF2437">
            <v>42.693852332410628</v>
          </cell>
          <cell r="BG2437">
            <v>45.468715051806292</v>
          </cell>
          <cell r="BH2437">
            <v>42.408178994289898</v>
          </cell>
          <cell r="BI2437">
            <v>30.406703917126244</v>
          </cell>
          <cell r="BJ2437">
            <v>54.409654071453552</v>
          </cell>
          <cell r="BU2437">
            <v>28.498678425092944</v>
          </cell>
          <cell r="BV2437">
            <v>29.635401891862816</v>
          </cell>
          <cell r="BW2437">
            <v>23.901518972811779</v>
          </cell>
          <cell r="BX2437">
            <v>15.713059154269443</v>
          </cell>
          <cell r="BY2437">
            <v>32.089978791354113</v>
          </cell>
        </row>
        <row r="2438">
          <cell r="A2438">
            <v>42940</v>
          </cell>
          <cell r="BF2438">
            <v>43.000311399448044</v>
          </cell>
          <cell r="BG2438">
            <v>45.468715051806292</v>
          </cell>
          <cell r="BH2438">
            <v>42.408178994289898</v>
          </cell>
          <cell r="BI2438">
            <v>30.406703917126244</v>
          </cell>
          <cell r="BJ2438">
            <v>54.409654071453552</v>
          </cell>
          <cell r="BU2438">
            <v>28.708754638507365</v>
          </cell>
          <cell r="BV2438">
            <v>29.635401891862816</v>
          </cell>
          <cell r="BW2438">
            <v>23.901518972811779</v>
          </cell>
          <cell r="BX2438">
            <v>15.713059154269443</v>
          </cell>
          <cell r="BY2438">
            <v>32.089978791354113</v>
          </cell>
        </row>
        <row r="2439">
          <cell r="A2439">
            <v>42941</v>
          </cell>
          <cell r="BF2439">
            <v>42.965711461233639</v>
          </cell>
          <cell r="BG2439">
            <v>45.468715051806292</v>
          </cell>
          <cell r="BH2439">
            <v>42.408178994289898</v>
          </cell>
          <cell r="BI2439">
            <v>30.406703917126244</v>
          </cell>
          <cell r="BJ2439">
            <v>54.409654071453552</v>
          </cell>
          <cell r="BU2439">
            <v>28.708754638507365</v>
          </cell>
          <cell r="BV2439">
            <v>29.635401891862816</v>
          </cell>
          <cell r="BW2439">
            <v>23.901518972811779</v>
          </cell>
          <cell r="BX2439">
            <v>15.713059154269443</v>
          </cell>
          <cell r="BY2439">
            <v>32.089978791354113</v>
          </cell>
        </row>
        <row r="2440">
          <cell r="A2440">
            <v>42942</v>
          </cell>
          <cell r="BF2440">
            <v>43.571210379985622</v>
          </cell>
          <cell r="BG2440">
            <v>45.468715051806292</v>
          </cell>
          <cell r="BH2440">
            <v>42.408178994289898</v>
          </cell>
          <cell r="BI2440">
            <v>30.406703917126244</v>
          </cell>
          <cell r="BJ2440">
            <v>54.409654071453552</v>
          </cell>
          <cell r="BU2440">
            <v>28.708754638507365</v>
          </cell>
          <cell r="BV2440">
            <v>29.635401891862816</v>
          </cell>
          <cell r="BW2440">
            <v>23.901518972811779</v>
          </cell>
          <cell r="BX2440">
            <v>15.713059154269443</v>
          </cell>
          <cell r="BY2440">
            <v>32.089978791354113</v>
          </cell>
        </row>
        <row r="2441">
          <cell r="A2441">
            <v>42943</v>
          </cell>
          <cell r="BF2441">
            <v>43.084339820825861</v>
          </cell>
          <cell r="BG2441">
            <v>45.468715051806292</v>
          </cell>
          <cell r="BH2441">
            <v>42.408178994289898</v>
          </cell>
          <cell r="BI2441">
            <v>30.406703917126244</v>
          </cell>
          <cell r="BJ2441">
            <v>54.409654071453552</v>
          </cell>
          <cell r="BU2441">
            <v>28.708754638507365</v>
          </cell>
          <cell r="BV2441">
            <v>29.635401891862816</v>
          </cell>
          <cell r="BW2441">
            <v>23.901518972811779</v>
          </cell>
          <cell r="BX2441">
            <v>15.713059154269443</v>
          </cell>
          <cell r="BY2441">
            <v>32.089978791354113</v>
          </cell>
        </row>
        <row r="2442">
          <cell r="A2442">
            <v>42944</v>
          </cell>
          <cell r="BF2442">
            <v>43.229902082743642</v>
          </cell>
          <cell r="BG2442">
            <v>45.468715051806292</v>
          </cell>
          <cell r="BH2442">
            <v>42.408178994289898</v>
          </cell>
          <cell r="BI2442">
            <v>30.406703917126244</v>
          </cell>
          <cell r="BJ2442">
            <v>54.409654071453552</v>
          </cell>
          <cell r="BU2442">
            <v>28.900536917745683</v>
          </cell>
          <cell r="BV2442">
            <v>29.635401891862816</v>
          </cell>
          <cell r="BW2442">
            <v>23.901518972811779</v>
          </cell>
          <cell r="BX2442">
            <v>15.713059154269443</v>
          </cell>
          <cell r="BY2442">
            <v>32.089978791354113</v>
          </cell>
        </row>
        <row r="2443">
          <cell r="A2443">
            <v>42947</v>
          </cell>
          <cell r="BF2443">
            <v>42.965463694168783</v>
          </cell>
          <cell r="BG2443">
            <v>45.468715051806292</v>
          </cell>
          <cell r="BH2443">
            <v>42.408178994289898</v>
          </cell>
          <cell r="BI2443">
            <v>30.406703917126244</v>
          </cell>
          <cell r="BJ2443">
            <v>54.409654071453552</v>
          </cell>
          <cell r="BU2443">
            <v>28.719049688838336</v>
          </cell>
          <cell r="BV2443">
            <v>29.635401891862816</v>
          </cell>
          <cell r="BW2443">
            <v>23.901518972811779</v>
          </cell>
          <cell r="BX2443">
            <v>15.713059154269443</v>
          </cell>
          <cell r="BY2443">
            <v>32.089978791354113</v>
          </cell>
        </row>
        <row r="2444">
          <cell r="A2444">
            <v>42948</v>
          </cell>
          <cell r="BF2444">
            <v>41.931087490685492</v>
          </cell>
          <cell r="BG2444">
            <v>45.468715051806292</v>
          </cell>
          <cell r="BH2444">
            <v>42.408178994289898</v>
          </cell>
          <cell r="BI2444">
            <v>30.406703917126244</v>
          </cell>
          <cell r="BJ2444">
            <v>54.409654071453552</v>
          </cell>
          <cell r="BU2444">
            <v>27.998840022939916</v>
          </cell>
          <cell r="BV2444">
            <v>29.635401891862816</v>
          </cell>
          <cell r="BW2444">
            <v>23.901518972811779</v>
          </cell>
          <cell r="BX2444">
            <v>15.713059154269443</v>
          </cell>
          <cell r="BY2444">
            <v>32.089978791354113</v>
          </cell>
        </row>
        <row r="2445">
          <cell r="A2445">
            <v>42949</v>
          </cell>
          <cell r="BF2445">
            <v>47.80606228037518</v>
          </cell>
          <cell r="BG2445">
            <v>45.468715051806292</v>
          </cell>
          <cell r="BH2445">
            <v>42.408178994289898</v>
          </cell>
          <cell r="BI2445">
            <v>30.406703917126244</v>
          </cell>
          <cell r="BJ2445">
            <v>54.409654071453552</v>
          </cell>
          <cell r="BU2445">
            <v>32.382187613615976</v>
          </cell>
          <cell r="BV2445">
            <v>29.635401891862816</v>
          </cell>
          <cell r="BW2445">
            <v>23.901518972811779</v>
          </cell>
          <cell r="BX2445">
            <v>15.713059154269443</v>
          </cell>
          <cell r="BY2445">
            <v>32.089978791354113</v>
          </cell>
        </row>
        <row r="2446">
          <cell r="A2446">
            <v>42950</v>
          </cell>
          <cell r="BF2446">
            <v>47.906342935312168</v>
          </cell>
          <cell r="BG2446">
            <v>45.468715051806292</v>
          </cell>
          <cell r="BH2446">
            <v>42.408178994289898</v>
          </cell>
          <cell r="BI2446">
            <v>30.406703917126244</v>
          </cell>
          <cell r="BJ2446">
            <v>54.409654071453552</v>
          </cell>
          <cell r="BU2446">
            <v>32.488453690783906</v>
          </cell>
          <cell r="BV2446">
            <v>29.635401891862816</v>
          </cell>
          <cell r="BW2446">
            <v>23.901518972811779</v>
          </cell>
          <cell r="BX2446">
            <v>15.713059154269443</v>
          </cell>
          <cell r="BY2446">
            <v>32.089978791354113</v>
          </cell>
        </row>
        <row r="2447">
          <cell r="A2447">
            <v>42951</v>
          </cell>
          <cell r="BF2447">
            <v>46.941608828801918</v>
          </cell>
          <cell r="BG2447">
            <v>45.468715051806292</v>
          </cell>
          <cell r="BH2447">
            <v>42.408178994289898</v>
          </cell>
          <cell r="BI2447">
            <v>30.406703917126244</v>
          </cell>
          <cell r="BJ2447">
            <v>54.409654071453552</v>
          </cell>
          <cell r="BU2447">
            <v>31.820582635581662</v>
          </cell>
          <cell r="BV2447">
            <v>29.635401891862816</v>
          </cell>
          <cell r="BW2447">
            <v>23.901518972811779</v>
          </cell>
          <cell r="BX2447">
            <v>15.713059154269443</v>
          </cell>
          <cell r="BY2447">
            <v>32.089978791354113</v>
          </cell>
        </row>
        <row r="2448">
          <cell r="A2448">
            <v>42954</v>
          </cell>
          <cell r="BF2448">
            <v>48.038783890476957</v>
          </cell>
          <cell r="BG2448">
            <v>45.468715051806292</v>
          </cell>
          <cell r="BH2448">
            <v>42.408178994289898</v>
          </cell>
          <cell r="BI2448">
            <v>30.406703917126244</v>
          </cell>
          <cell r="BJ2448">
            <v>54.409654071453552</v>
          </cell>
          <cell r="BU2448">
            <v>32.675928411406524</v>
          </cell>
          <cell r="BV2448">
            <v>29.635401891862816</v>
          </cell>
          <cell r="BW2448">
            <v>23.901518972811779</v>
          </cell>
          <cell r="BX2448">
            <v>15.713059154269443</v>
          </cell>
          <cell r="BY2448">
            <v>32.089978791354113</v>
          </cell>
        </row>
        <row r="2449">
          <cell r="A2449">
            <v>42955</v>
          </cell>
          <cell r="BF2449">
            <v>47.582472911153324</v>
          </cell>
          <cell r="BG2449">
            <v>45.468715051806292</v>
          </cell>
          <cell r="BH2449">
            <v>42.408178994289898</v>
          </cell>
          <cell r="BI2449">
            <v>30.406703917126244</v>
          </cell>
          <cell r="BJ2449">
            <v>54.409654071453552</v>
          </cell>
          <cell r="BU2449">
            <v>32.372263922558489</v>
          </cell>
          <cell r="BV2449">
            <v>29.635401891862816</v>
          </cell>
          <cell r="BW2449">
            <v>23.901518972811779</v>
          </cell>
          <cell r="BX2449">
            <v>15.713059154269443</v>
          </cell>
          <cell r="BY2449">
            <v>32.089978791354113</v>
          </cell>
        </row>
        <row r="2450">
          <cell r="A2450">
            <v>42956</v>
          </cell>
          <cell r="BF2450">
            <v>47.972549963886323</v>
          </cell>
          <cell r="BG2450">
            <v>45.468715051806292</v>
          </cell>
          <cell r="BH2450">
            <v>42.408178994289898</v>
          </cell>
          <cell r="BI2450">
            <v>30.406703917126244</v>
          </cell>
          <cell r="BJ2450">
            <v>54.409654071453552</v>
          </cell>
          <cell r="BU2450">
            <v>32.643647314371684</v>
          </cell>
          <cell r="BV2450">
            <v>29.635401891862816</v>
          </cell>
          <cell r="BW2450">
            <v>23.901518972811779</v>
          </cell>
          <cell r="BX2450">
            <v>15.713059154269443</v>
          </cell>
          <cell r="BY2450">
            <v>32.089978791354113</v>
          </cell>
        </row>
        <row r="2451">
          <cell r="A2451">
            <v>42957</v>
          </cell>
          <cell r="BF2451">
            <v>46.869732723337215</v>
          </cell>
          <cell r="BG2451">
            <v>45.468715051806292</v>
          </cell>
          <cell r="BH2451">
            <v>42.408178994289898</v>
          </cell>
          <cell r="BI2451">
            <v>30.406703917126244</v>
          </cell>
          <cell r="BJ2451">
            <v>54.409654071453552</v>
          </cell>
          <cell r="BU2451">
            <v>31.87639817425082</v>
          </cell>
          <cell r="BV2451">
            <v>29.635401891862816</v>
          </cell>
          <cell r="BW2451">
            <v>23.901518972811779</v>
          </cell>
          <cell r="BX2451">
            <v>15.713059154269443</v>
          </cell>
          <cell r="BY2451">
            <v>32.089978791354113</v>
          </cell>
        </row>
        <row r="2452">
          <cell r="A2452">
            <v>42958</v>
          </cell>
          <cell r="BF2452">
            <v>46.771915180510959</v>
          </cell>
          <cell r="BG2452">
            <v>45.468715051806292</v>
          </cell>
          <cell r="BH2452">
            <v>42.408178994289898</v>
          </cell>
          <cell r="BI2452">
            <v>30.406703917126244</v>
          </cell>
          <cell r="BJ2452">
            <v>54.409654071453552</v>
          </cell>
          <cell r="BU2452">
            <v>31.80938951572498</v>
          </cell>
          <cell r="BV2452">
            <v>29.635401891862816</v>
          </cell>
          <cell r="BW2452">
            <v>23.901518972811779</v>
          </cell>
          <cell r="BX2452">
            <v>15.713059154269443</v>
          </cell>
          <cell r="BY2452">
            <v>32.089978791354113</v>
          </cell>
        </row>
        <row r="2453">
          <cell r="A2453">
            <v>42961</v>
          </cell>
          <cell r="BF2453">
            <v>46.904347721403788</v>
          </cell>
          <cell r="BG2453">
            <v>45.468715051806292</v>
          </cell>
          <cell r="BH2453">
            <v>42.408178994289898</v>
          </cell>
          <cell r="BI2453">
            <v>30.406703917126244</v>
          </cell>
          <cell r="BJ2453">
            <v>54.409654071453552</v>
          </cell>
          <cell r="BU2453">
            <v>31.90152809641447</v>
          </cell>
          <cell r="BV2453">
            <v>29.635401891862816</v>
          </cell>
          <cell r="BW2453">
            <v>23.901518972811779</v>
          </cell>
          <cell r="BX2453">
            <v>15.713059154269443</v>
          </cell>
          <cell r="BY2453">
            <v>32.089978791354113</v>
          </cell>
        </row>
        <row r="2454">
          <cell r="A2454">
            <v>42962</v>
          </cell>
          <cell r="BF2454">
            <v>46.693956176262795</v>
          </cell>
          <cell r="BG2454">
            <v>45.468715051806292</v>
          </cell>
          <cell r="BH2454">
            <v>42.408178994289898</v>
          </cell>
          <cell r="BI2454">
            <v>30.406703917126244</v>
          </cell>
          <cell r="BJ2454">
            <v>54.409654071453552</v>
          </cell>
          <cell r="BU2454">
            <v>31.754107372441158</v>
          </cell>
          <cell r="BV2454">
            <v>29.635401891862816</v>
          </cell>
          <cell r="BW2454">
            <v>23.901518972811779</v>
          </cell>
          <cell r="BX2454">
            <v>15.713059154269443</v>
          </cell>
          <cell r="BY2454">
            <v>32.089978791354113</v>
          </cell>
        </row>
        <row r="2455">
          <cell r="A2455">
            <v>42963</v>
          </cell>
          <cell r="BF2455">
            <v>46.749337828080762</v>
          </cell>
          <cell r="BG2455">
            <v>45.468715051806292</v>
          </cell>
          <cell r="BH2455">
            <v>42.408178994289898</v>
          </cell>
          <cell r="BI2455">
            <v>30.406703917126244</v>
          </cell>
          <cell r="BJ2455">
            <v>54.409654071453552</v>
          </cell>
          <cell r="BU2455">
            <v>31.792637351093518</v>
          </cell>
          <cell r="BV2455">
            <v>29.635401891862816</v>
          </cell>
          <cell r="BW2455">
            <v>23.901518972811779</v>
          </cell>
          <cell r="BX2455">
            <v>15.713059154269443</v>
          </cell>
          <cell r="BY2455">
            <v>32.089978791354113</v>
          </cell>
        </row>
        <row r="2456">
          <cell r="A2456">
            <v>42964</v>
          </cell>
          <cell r="BF2456">
            <v>46.039007946067684</v>
          </cell>
          <cell r="BG2456">
            <v>45.468715051806292</v>
          </cell>
          <cell r="BH2456">
            <v>42.408178994289898</v>
          </cell>
          <cell r="BI2456">
            <v>30.406703917126244</v>
          </cell>
          <cell r="BJ2456">
            <v>54.409654071453552</v>
          </cell>
          <cell r="BU2456">
            <v>31.29844849446545</v>
          </cell>
          <cell r="BV2456">
            <v>29.635401891862816</v>
          </cell>
          <cell r="BW2456">
            <v>23.901518972811779</v>
          </cell>
          <cell r="BX2456">
            <v>15.713059154269443</v>
          </cell>
          <cell r="BY2456">
            <v>32.089978791354113</v>
          </cell>
        </row>
        <row r="2457">
          <cell r="A2457">
            <v>42965</v>
          </cell>
          <cell r="BF2457">
            <v>45.58632554780133</v>
          </cell>
          <cell r="BG2457">
            <v>45.468715051806292</v>
          </cell>
          <cell r="BH2457">
            <v>42.408178994289898</v>
          </cell>
          <cell r="BI2457">
            <v>30.406703917126244</v>
          </cell>
          <cell r="BJ2457">
            <v>54.409654071453552</v>
          </cell>
          <cell r="BU2457">
            <v>30.983509474610464</v>
          </cell>
          <cell r="BV2457">
            <v>29.635401891862816</v>
          </cell>
          <cell r="BW2457">
            <v>23.901518972811779</v>
          </cell>
          <cell r="BX2457">
            <v>15.713059154269443</v>
          </cell>
          <cell r="BY2457">
            <v>32.089978791354113</v>
          </cell>
        </row>
        <row r="2458">
          <cell r="A2458">
            <v>42968</v>
          </cell>
          <cell r="BF2458">
            <v>45.913797255000979</v>
          </cell>
          <cell r="BG2458">
            <v>45.468715051806292</v>
          </cell>
          <cell r="BH2458">
            <v>42.408178994289898</v>
          </cell>
          <cell r="BI2458">
            <v>30.406703917126244</v>
          </cell>
          <cell r="BJ2458">
            <v>54.409654071453552</v>
          </cell>
          <cell r="BU2458">
            <v>31.211337238381855</v>
          </cell>
          <cell r="BV2458">
            <v>29.635401891862816</v>
          </cell>
          <cell r="BW2458">
            <v>23.901518972811779</v>
          </cell>
          <cell r="BX2458">
            <v>15.713059154269443</v>
          </cell>
          <cell r="BY2458">
            <v>32.089978791354113</v>
          </cell>
        </row>
        <row r="2459">
          <cell r="A2459">
            <v>42969</v>
          </cell>
          <cell r="BF2459">
            <v>46.896219600293634</v>
          </cell>
          <cell r="BG2459">
            <v>45.468715051806292</v>
          </cell>
          <cell r="BH2459">
            <v>42.408178994289898</v>
          </cell>
          <cell r="BI2459">
            <v>30.406703917126244</v>
          </cell>
          <cell r="BJ2459">
            <v>54.409654071453552</v>
          </cell>
          <cell r="BU2459">
            <v>31.89482555534542</v>
          </cell>
          <cell r="BV2459">
            <v>29.635401891862816</v>
          </cell>
          <cell r="BW2459">
            <v>23.901518972811779</v>
          </cell>
          <cell r="BX2459">
            <v>15.713059154269443</v>
          </cell>
          <cell r="BY2459">
            <v>32.089978791354113</v>
          </cell>
        </row>
        <row r="2460">
          <cell r="A2460">
            <v>42970</v>
          </cell>
          <cell r="BF2460">
            <v>46.621719239108927</v>
          </cell>
          <cell r="BG2460">
            <v>45.468715051806292</v>
          </cell>
          <cell r="BH2460">
            <v>42.408178994289898</v>
          </cell>
          <cell r="BI2460">
            <v>30.406703917126244</v>
          </cell>
          <cell r="BJ2460">
            <v>54.409654071453552</v>
          </cell>
          <cell r="BU2460">
            <v>31.703850878546785</v>
          </cell>
          <cell r="BV2460">
            <v>29.635401891862816</v>
          </cell>
          <cell r="BW2460">
            <v>23.901518972811779</v>
          </cell>
          <cell r="BX2460">
            <v>15.713059154269443</v>
          </cell>
          <cell r="BY2460">
            <v>32.089978791354113</v>
          </cell>
        </row>
        <row r="2461">
          <cell r="A2461">
            <v>42971</v>
          </cell>
          <cell r="BF2461">
            <v>46.703590175781216</v>
          </cell>
          <cell r="BG2461">
            <v>45.468715051806292</v>
          </cell>
          <cell r="BH2461">
            <v>42.408178994289898</v>
          </cell>
          <cell r="BI2461">
            <v>30.406703917126244</v>
          </cell>
          <cell r="BJ2461">
            <v>54.409654071453552</v>
          </cell>
          <cell r="BU2461">
            <v>31.760809913510208</v>
          </cell>
          <cell r="BV2461">
            <v>29.635401891862816</v>
          </cell>
          <cell r="BW2461">
            <v>23.901518972811779</v>
          </cell>
          <cell r="BX2461">
            <v>15.713059154269443</v>
          </cell>
          <cell r="BY2461">
            <v>32.089978791354113</v>
          </cell>
        </row>
        <row r="2462">
          <cell r="A2462">
            <v>42972</v>
          </cell>
          <cell r="BF2462">
            <v>46.27739224657337</v>
          </cell>
          <cell r="BG2462">
            <v>45.468715051806292</v>
          </cell>
          <cell r="BH2462">
            <v>42.408178994289898</v>
          </cell>
          <cell r="BI2462">
            <v>30.406703917126244</v>
          </cell>
          <cell r="BJ2462">
            <v>54.409654071453552</v>
          </cell>
          <cell r="BU2462">
            <v>31.46429659953337</v>
          </cell>
          <cell r="BV2462">
            <v>29.635401891862816</v>
          </cell>
          <cell r="BW2462">
            <v>23.901518972811779</v>
          </cell>
          <cell r="BX2462">
            <v>15.713059154269443</v>
          </cell>
          <cell r="BY2462">
            <v>32.089978791354113</v>
          </cell>
        </row>
        <row r="2463">
          <cell r="A2463">
            <v>42975</v>
          </cell>
          <cell r="BF2463">
            <v>47.447630628466094</v>
          </cell>
          <cell r="BG2463">
            <v>45.468715051806292</v>
          </cell>
          <cell r="BH2463">
            <v>42.408178994289898</v>
          </cell>
          <cell r="BI2463">
            <v>30.406703917126244</v>
          </cell>
          <cell r="BJ2463">
            <v>54.409654071453552</v>
          </cell>
          <cell r="BU2463">
            <v>32.278451800622321</v>
          </cell>
          <cell r="BV2463">
            <v>29.635401891862816</v>
          </cell>
          <cell r="BW2463">
            <v>23.901518972811779</v>
          </cell>
          <cell r="BX2463">
            <v>15.713059154269443</v>
          </cell>
          <cell r="BY2463">
            <v>32.089978791354113</v>
          </cell>
        </row>
        <row r="2464">
          <cell r="A2464">
            <v>42976</v>
          </cell>
          <cell r="BF2464">
            <v>47.180353960996769</v>
          </cell>
          <cell r="BG2464">
            <v>45.468715051806292</v>
          </cell>
          <cell r="BH2464">
            <v>42.408178994289898</v>
          </cell>
          <cell r="BI2464">
            <v>30.406703917126244</v>
          </cell>
          <cell r="BJ2464">
            <v>54.409654071453552</v>
          </cell>
          <cell r="BU2464">
            <v>32.092502773213113</v>
          </cell>
          <cell r="BV2464">
            <v>29.635401891862816</v>
          </cell>
          <cell r="BW2464">
            <v>23.901518972811779</v>
          </cell>
          <cell r="BX2464">
            <v>15.713059154269443</v>
          </cell>
          <cell r="BY2464">
            <v>32.089978791354113</v>
          </cell>
        </row>
        <row r="2465">
          <cell r="A2465">
            <v>42977</v>
          </cell>
          <cell r="BF2465">
            <v>48.095355164945815</v>
          </cell>
          <cell r="BG2465">
            <v>45.468715051806292</v>
          </cell>
          <cell r="BH2465">
            <v>42.408178994289898</v>
          </cell>
          <cell r="BI2465">
            <v>30.406703917126244</v>
          </cell>
          <cell r="BJ2465">
            <v>54.409654071453552</v>
          </cell>
          <cell r="BU2465">
            <v>32.729085029208591</v>
          </cell>
          <cell r="BV2465">
            <v>29.635401891862816</v>
          </cell>
          <cell r="BW2465">
            <v>23.901518972811779</v>
          </cell>
          <cell r="BX2465">
            <v>15.713059154269443</v>
          </cell>
          <cell r="BY2465">
            <v>32.089978791354113</v>
          </cell>
        </row>
        <row r="2466">
          <cell r="A2466">
            <v>42978</v>
          </cell>
          <cell r="BF2466">
            <v>49.231882976166737</v>
          </cell>
          <cell r="BG2466">
            <v>45.468715051806292</v>
          </cell>
          <cell r="BH2466">
            <v>42.408178994289898</v>
          </cell>
          <cell r="BI2466">
            <v>30.406703917126244</v>
          </cell>
          <cell r="BJ2466">
            <v>54.409654071453552</v>
          </cell>
          <cell r="BU2466">
            <v>33.5197871998135</v>
          </cell>
          <cell r="BV2466">
            <v>29.635401891862816</v>
          </cell>
          <cell r="BW2466">
            <v>23.901518972811779</v>
          </cell>
          <cell r="BX2466">
            <v>15.713059154269443</v>
          </cell>
          <cell r="BY2466">
            <v>32.089978791354113</v>
          </cell>
        </row>
        <row r="2467">
          <cell r="A2467">
            <v>42979</v>
          </cell>
          <cell r="BF2467">
            <v>49.1342504743833</v>
          </cell>
          <cell r="BG2467">
            <v>45.468715051806292</v>
          </cell>
          <cell r="BH2467">
            <v>42.408178994289898</v>
          </cell>
          <cell r="BI2467">
            <v>30.406703917126244</v>
          </cell>
          <cell r="BJ2467">
            <v>54.409654071453552</v>
          </cell>
          <cell r="BU2467">
            <v>33.440255182231958</v>
          </cell>
          <cell r="BV2467">
            <v>29.635401891862816</v>
          </cell>
          <cell r="BW2467">
            <v>23.901518972811779</v>
          </cell>
          <cell r="BX2467">
            <v>15.713059154269443</v>
          </cell>
          <cell r="BY2467">
            <v>32.089978791354113</v>
          </cell>
        </row>
        <row r="2468">
          <cell r="A2468">
            <v>42982</v>
          </cell>
          <cell r="BF2468">
            <v>49.1342504743833</v>
          </cell>
          <cell r="BG2468">
            <v>45.468715051806292</v>
          </cell>
          <cell r="BH2468">
            <v>42.408178994289898</v>
          </cell>
          <cell r="BI2468">
            <v>30.406703917126244</v>
          </cell>
          <cell r="BJ2468">
            <v>54.409654071453552</v>
          </cell>
          <cell r="BU2468">
            <v>33.440255182231958</v>
          </cell>
          <cell r="BV2468">
            <v>29.635401891862816</v>
          </cell>
          <cell r="BW2468">
            <v>23.901518972811779</v>
          </cell>
          <cell r="BX2468">
            <v>15.713059154269443</v>
          </cell>
          <cell r="BY2468">
            <v>32.089978791354113</v>
          </cell>
        </row>
        <row r="2469">
          <cell r="A2469">
            <v>42983</v>
          </cell>
          <cell r="BF2469">
            <v>49.15085626185958</v>
          </cell>
          <cell r="BG2469">
            <v>45.468715051806292</v>
          </cell>
          <cell r="BH2469">
            <v>42.408178994289898</v>
          </cell>
          <cell r="BI2469">
            <v>30.406703917126244</v>
          </cell>
          <cell r="BJ2469">
            <v>54.409654071453552</v>
          </cell>
          <cell r="BU2469">
            <v>33.451800335225421</v>
          </cell>
          <cell r="BV2469">
            <v>29.635401891862816</v>
          </cell>
          <cell r="BW2469">
            <v>23.901518972811779</v>
          </cell>
          <cell r="BX2469">
            <v>15.713059154269443</v>
          </cell>
          <cell r="BY2469">
            <v>32.089978791354113</v>
          </cell>
        </row>
        <row r="2470">
          <cell r="A2470">
            <v>42984</v>
          </cell>
          <cell r="BF2470">
            <v>49.198292220113849</v>
          </cell>
          <cell r="BG2470">
            <v>45.468715051806292</v>
          </cell>
          <cell r="BH2470">
            <v>42.408178994289898</v>
          </cell>
          <cell r="BI2470">
            <v>30.406703917126244</v>
          </cell>
          <cell r="BJ2470">
            <v>54.409654071453552</v>
          </cell>
          <cell r="BU2470">
            <v>33.484780125929078</v>
          </cell>
          <cell r="BV2470">
            <v>29.635401891862816</v>
          </cell>
          <cell r="BW2470">
            <v>23.901518972811779</v>
          </cell>
          <cell r="BX2470">
            <v>15.713059154269443</v>
          </cell>
          <cell r="BY2470">
            <v>32.089978791354113</v>
          </cell>
        </row>
        <row r="2471">
          <cell r="A2471">
            <v>42985</v>
          </cell>
          <cell r="BF2471">
            <v>49.85768500948766</v>
          </cell>
          <cell r="BG2471">
            <v>45.468715051806292</v>
          </cell>
          <cell r="BH2471">
            <v>42.408178994289898</v>
          </cell>
          <cell r="BI2471">
            <v>30.406703917126244</v>
          </cell>
          <cell r="BJ2471">
            <v>54.409654071453552</v>
          </cell>
          <cell r="BU2471">
            <v>33.943222138810548</v>
          </cell>
          <cell r="BV2471">
            <v>29.635401891862816</v>
          </cell>
          <cell r="BW2471">
            <v>23.901518972811779</v>
          </cell>
          <cell r="BX2471">
            <v>15.713059154269443</v>
          </cell>
          <cell r="BY2471">
            <v>32.089978791354113</v>
          </cell>
        </row>
        <row r="2472">
          <cell r="A2472">
            <v>42986</v>
          </cell>
          <cell r="BF2472">
            <v>49.735701993768807</v>
          </cell>
          <cell r="BG2472">
            <v>45.468715051806292</v>
          </cell>
          <cell r="BH2472">
            <v>42.408178994289898</v>
          </cell>
          <cell r="BI2472">
            <v>30.406703917126244</v>
          </cell>
          <cell r="BJ2472">
            <v>54.409654071453552</v>
          </cell>
          <cell r="BU2472">
            <v>33.857470395393868</v>
          </cell>
          <cell r="BV2472">
            <v>29.635401891862816</v>
          </cell>
          <cell r="BW2472">
            <v>23.901518972811779</v>
          </cell>
          <cell r="BX2472">
            <v>15.713059154269443</v>
          </cell>
          <cell r="BY2472">
            <v>32.089978791354113</v>
          </cell>
        </row>
        <row r="2473">
          <cell r="A2473">
            <v>42989</v>
          </cell>
          <cell r="BF2473">
            <v>50.342931555296218</v>
          </cell>
          <cell r="BG2473">
            <v>45.468715051806292</v>
          </cell>
          <cell r="BH2473">
            <v>42.408178994289898</v>
          </cell>
          <cell r="BI2473">
            <v>30.406703917126244</v>
          </cell>
          <cell r="BJ2473">
            <v>54.409654071453552</v>
          </cell>
          <cell r="BU2473">
            <v>34.279634473594115</v>
          </cell>
          <cell r="BV2473">
            <v>29.635401891862816</v>
          </cell>
          <cell r="BW2473">
            <v>23.901518972811779</v>
          </cell>
          <cell r="BX2473">
            <v>15.713059154269443</v>
          </cell>
          <cell r="BY2473">
            <v>32.089978791354113</v>
          </cell>
        </row>
        <row r="2474">
          <cell r="A2474">
            <v>42990</v>
          </cell>
          <cell r="BF2474">
            <v>50.690769247173478</v>
          </cell>
          <cell r="BG2474">
            <v>45.468715051806292</v>
          </cell>
          <cell r="BH2474">
            <v>42.408178994289898</v>
          </cell>
          <cell r="BI2474">
            <v>30.406703917126244</v>
          </cell>
          <cell r="BJ2474">
            <v>54.409654071453552</v>
          </cell>
          <cell r="BU2474">
            <v>34.498790741726367</v>
          </cell>
          <cell r="BV2474">
            <v>29.635401891862816</v>
          </cell>
          <cell r="BW2474">
            <v>23.901518972811779</v>
          </cell>
          <cell r="BX2474">
            <v>15.713059154269443</v>
          </cell>
          <cell r="BY2474">
            <v>32.089978791354113</v>
          </cell>
        </row>
        <row r="2475">
          <cell r="A2475">
            <v>42991</v>
          </cell>
          <cell r="BF2475">
            <v>50.58182249081645</v>
          </cell>
          <cell r="BG2475">
            <v>45.468715051806292</v>
          </cell>
          <cell r="BH2475">
            <v>42.408178994289898</v>
          </cell>
          <cell r="BI2475">
            <v>30.406703917126244</v>
          </cell>
          <cell r="BJ2475">
            <v>54.409654071453552</v>
          </cell>
          <cell r="BU2475">
            <v>34.416479188969916</v>
          </cell>
          <cell r="BV2475">
            <v>29.635401891862816</v>
          </cell>
          <cell r="BW2475">
            <v>23.901518972811779</v>
          </cell>
          <cell r="BX2475">
            <v>15.713059154269443</v>
          </cell>
          <cell r="BY2475">
            <v>32.089978791354113</v>
          </cell>
        </row>
        <row r="2476">
          <cell r="A2476">
            <v>42992</v>
          </cell>
          <cell r="BF2476">
            <v>50.015404668799619</v>
          </cell>
          <cell r="BG2476">
            <v>45.468715051806292</v>
          </cell>
          <cell r="BH2476">
            <v>42.408178994289898</v>
          </cell>
          <cell r="BI2476">
            <v>30.406703917126244</v>
          </cell>
          <cell r="BJ2476">
            <v>54.409654071453552</v>
          </cell>
          <cell r="BU2476">
            <v>34.023029966794077</v>
          </cell>
          <cell r="BV2476">
            <v>29.635401891862816</v>
          </cell>
          <cell r="BW2476">
            <v>23.901518972811779</v>
          </cell>
          <cell r="BX2476">
            <v>15.713059154269443</v>
          </cell>
          <cell r="BY2476">
            <v>32.089978791354113</v>
          </cell>
        </row>
        <row r="2477">
          <cell r="A2477">
            <v>42993</v>
          </cell>
          <cell r="BF2477">
            <v>49.939568669273612</v>
          </cell>
          <cell r="BG2477">
            <v>45.468715051806292</v>
          </cell>
          <cell r="BH2477">
            <v>42.408178994289898</v>
          </cell>
          <cell r="BI2477">
            <v>30.406703917126244</v>
          </cell>
          <cell r="BJ2477">
            <v>54.409654071453552</v>
          </cell>
          <cell r="BU2477">
            <v>33.970352219261009</v>
          </cell>
          <cell r="BV2477">
            <v>29.635401891862816</v>
          </cell>
          <cell r="BW2477">
            <v>23.901518972811779</v>
          </cell>
          <cell r="BX2477">
            <v>15.713059154269443</v>
          </cell>
          <cell r="BY2477">
            <v>32.089978791354113</v>
          </cell>
        </row>
        <row r="2478">
          <cell r="A2478">
            <v>42996</v>
          </cell>
          <cell r="BF2478">
            <v>49.626733025239957</v>
          </cell>
          <cell r="BG2478">
            <v>45.468715051806292</v>
          </cell>
          <cell r="BH2478">
            <v>42.408178994289898</v>
          </cell>
          <cell r="BI2478">
            <v>30.406703917126244</v>
          </cell>
          <cell r="BJ2478">
            <v>54.409654071453552</v>
          </cell>
          <cell r="BU2478">
            <v>33.753048073752922</v>
          </cell>
          <cell r="BV2478">
            <v>29.635401891862816</v>
          </cell>
          <cell r="BW2478">
            <v>23.901518972811779</v>
          </cell>
          <cell r="BX2478">
            <v>15.713059154269443</v>
          </cell>
          <cell r="BY2478">
            <v>32.089978791354113</v>
          </cell>
        </row>
        <row r="2479">
          <cell r="A2479">
            <v>42997</v>
          </cell>
          <cell r="BF2479">
            <v>48.572105699727452</v>
          </cell>
          <cell r="BG2479">
            <v>45.468715051806292</v>
          </cell>
          <cell r="BH2479">
            <v>42.408178994289898</v>
          </cell>
          <cell r="BI2479">
            <v>30.406703917126244</v>
          </cell>
          <cell r="BJ2479">
            <v>54.409654071453552</v>
          </cell>
          <cell r="BU2479">
            <v>33.0204752542205</v>
          </cell>
          <cell r="BV2479">
            <v>29.635401891862816</v>
          </cell>
          <cell r="BW2479">
            <v>23.901518972811779</v>
          </cell>
          <cell r="BX2479">
            <v>15.713059154269443</v>
          </cell>
          <cell r="BY2479">
            <v>32.089978791354113</v>
          </cell>
        </row>
        <row r="2480">
          <cell r="A2480">
            <v>42998</v>
          </cell>
          <cell r="BF2480">
            <v>48.133491100139061</v>
          </cell>
          <cell r="BG2480">
            <v>45.468715051806292</v>
          </cell>
          <cell r="BH2480">
            <v>42.408178994289898</v>
          </cell>
          <cell r="BI2480">
            <v>30.406703917126244</v>
          </cell>
          <cell r="BJ2480">
            <v>54.409654071453552</v>
          </cell>
          <cell r="BU2480">
            <v>32.714276277966505</v>
          </cell>
          <cell r="BV2480">
            <v>29.635401891862816</v>
          </cell>
          <cell r="BW2480">
            <v>23.901518972811779</v>
          </cell>
          <cell r="BX2480">
            <v>15.713059154269443</v>
          </cell>
          <cell r="BY2480">
            <v>32.089978791354113</v>
          </cell>
        </row>
        <row r="2481">
          <cell r="A2481">
            <v>42999</v>
          </cell>
          <cell r="BF2481">
            <v>47.458027176260558</v>
          </cell>
          <cell r="BG2481">
            <v>45.468715051806292</v>
          </cell>
          <cell r="BH2481">
            <v>42.408178994289898</v>
          </cell>
          <cell r="BI2481">
            <v>30.406703917126244</v>
          </cell>
          <cell r="BJ2481">
            <v>54.409654071453552</v>
          </cell>
          <cell r="BU2481">
            <v>32.245102073485789</v>
          </cell>
          <cell r="BV2481">
            <v>29.635401891862816</v>
          </cell>
          <cell r="BW2481">
            <v>23.901518972811779</v>
          </cell>
          <cell r="BX2481">
            <v>15.713059154269443</v>
          </cell>
          <cell r="BY2481">
            <v>32.089978791354113</v>
          </cell>
        </row>
        <row r="2482">
          <cell r="A2482">
            <v>43000</v>
          </cell>
          <cell r="BF2482">
            <v>47.73532386534994</v>
          </cell>
          <cell r="BG2482">
            <v>45.468715051806292</v>
          </cell>
          <cell r="BH2482">
            <v>42.408178994289898</v>
          </cell>
          <cell r="BI2482">
            <v>30.406703917126244</v>
          </cell>
          <cell r="BJ2482">
            <v>54.409654071453552</v>
          </cell>
          <cell r="BU2482">
            <v>32.437711106935886</v>
          </cell>
          <cell r="BV2482">
            <v>29.635401891862816</v>
          </cell>
          <cell r="BW2482">
            <v>23.901518972811779</v>
          </cell>
          <cell r="BX2482">
            <v>15.713059154269443</v>
          </cell>
          <cell r="BY2482">
            <v>32.089978791354113</v>
          </cell>
        </row>
        <row r="2483">
          <cell r="A2483">
            <v>43003</v>
          </cell>
          <cell r="BF2483">
            <v>47.728213693834824</v>
          </cell>
          <cell r="BG2483">
            <v>45.468715051806292</v>
          </cell>
          <cell r="BH2483">
            <v>42.408178994289898</v>
          </cell>
          <cell r="BI2483">
            <v>30.406703917126244</v>
          </cell>
          <cell r="BJ2483">
            <v>54.409654071453552</v>
          </cell>
          <cell r="BU2483">
            <v>32.432772413770493</v>
          </cell>
          <cell r="BV2483">
            <v>29.635401891862816</v>
          </cell>
          <cell r="BW2483">
            <v>23.901518972811779</v>
          </cell>
          <cell r="BX2483">
            <v>15.713059154269443</v>
          </cell>
          <cell r="BY2483">
            <v>32.089978791354113</v>
          </cell>
        </row>
        <row r="2484">
          <cell r="A2484">
            <v>43004</v>
          </cell>
          <cell r="BF2484">
            <v>47.076688215408339</v>
          </cell>
          <cell r="BG2484">
            <v>45.468715051806292</v>
          </cell>
          <cell r="BH2484">
            <v>42.408178994289898</v>
          </cell>
          <cell r="BI2484">
            <v>30.406703917126244</v>
          </cell>
          <cell r="BJ2484">
            <v>54.409654071453552</v>
          </cell>
          <cell r="BU2484">
            <v>31.740042658055103</v>
          </cell>
          <cell r="BV2484">
            <v>29.635401891862816</v>
          </cell>
          <cell r="BW2484">
            <v>23.901518972811779</v>
          </cell>
          <cell r="BX2484">
            <v>15.713059154269443</v>
          </cell>
          <cell r="BY2484">
            <v>32.089978791354113</v>
          </cell>
        </row>
        <row r="2485">
          <cell r="A2485">
            <v>43005</v>
          </cell>
          <cell r="BF2485">
            <v>46.915366822845613</v>
          </cell>
          <cell r="BG2485">
            <v>45.468715051806292</v>
          </cell>
          <cell r="BH2485">
            <v>42.408178994289898</v>
          </cell>
          <cell r="BI2485">
            <v>30.406703917126244</v>
          </cell>
          <cell r="BJ2485">
            <v>54.409654071453552</v>
          </cell>
          <cell r="BU2485">
            <v>31.628828696712223</v>
          </cell>
          <cell r="BV2485">
            <v>29.635401891862816</v>
          </cell>
          <cell r="BW2485">
            <v>23.901518972811779</v>
          </cell>
          <cell r="BX2485">
            <v>15.713059154269443</v>
          </cell>
          <cell r="BY2485">
            <v>32.089978791354113</v>
          </cell>
        </row>
        <row r="2486">
          <cell r="A2486">
            <v>43006</v>
          </cell>
          <cell r="BF2486">
            <v>47.209536800901489</v>
          </cell>
          <cell r="BG2486">
            <v>45.468715051806292</v>
          </cell>
          <cell r="BH2486">
            <v>42.408178994289898</v>
          </cell>
          <cell r="BI2486">
            <v>30.406703917126244</v>
          </cell>
          <cell r="BJ2486">
            <v>54.409654071453552</v>
          </cell>
          <cell r="BU2486">
            <v>31.831627643882367</v>
          </cell>
          <cell r="BV2486">
            <v>29.635401891862816</v>
          </cell>
          <cell r="BW2486">
            <v>23.901518972811779</v>
          </cell>
          <cell r="BX2486">
            <v>15.713059154269443</v>
          </cell>
          <cell r="BY2486">
            <v>32.089978791354113</v>
          </cell>
        </row>
        <row r="2487">
          <cell r="A2487">
            <v>43007</v>
          </cell>
          <cell r="BF2487">
            <v>47.259674354272001</v>
          </cell>
          <cell r="BG2487">
            <v>45.468715051806292</v>
          </cell>
          <cell r="BH2487">
            <v>42.408178994289898</v>
          </cell>
          <cell r="BI2487">
            <v>30.406703917126244</v>
          </cell>
          <cell r="BJ2487">
            <v>54.409654071453552</v>
          </cell>
          <cell r="BU2487">
            <v>31.864337151490453</v>
          </cell>
          <cell r="BV2487">
            <v>29.635401891862816</v>
          </cell>
          <cell r="BW2487">
            <v>23.901518972811779</v>
          </cell>
          <cell r="BX2487">
            <v>15.713059154269443</v>
          </cell>
          <cell r="BY2487">
            <v>32.089978791354113</v>
          </cell>
        </row>
        <row r="2488">
          <cell r="A2488">
            <v>43010</v>
          </cell>
          <cell r="BF2488">
            <v>47.325558719143132</v>
          </cell>
          <cell r="BG2488">
            <v>45.468715051806292</v>
          </cell>
          <cell r="BH2488">
            <v>42.408178994289898</v>
          </cell>
          <cell r="BI2488">
            <v>30.406703917126244</v>
          </cell>
          <cell r="BJ2488">
            <v>54.409654071453552</v>
          </cell>
          <cell r="BU2488">
            <v>31.858139323820065</v>
          </cell>
          <cell r="BV2488">
            <v>29.635401891862816</v>
          </cell>
          <cell r="BW2488">
            <v>23.901518972811779</v>
          </cell>
          <cell r="BX2488">
            <v>15.713059154269443</v>
          </cell>
          <cell r="BY2488">
            <v>32.089978791354113</v>
          </cell>
        </row>
        <row r="2489">
          <cell r="A2489">
            <v>43011</v>
          </cell>
          <cell r="BF2489">
            <v>47.379385311443933</v>
          </cell>
          <cell r="BG2489">
            <v>45.468715051806292</v>
          </cell>
          <cell r="BH2489">
            <v>42.408178994289898</v>
          </cell>
          <cell r="BI2489">
            <v>30.406703917126244</v>
          </cell>
          <cell r="BJ2489">
            <v>54.409654071453552</v>
          </cell>
          <cell r="BU2489">
            <v>31.895173624691271</v>
          </cell>
          <cell r="BV2489">
            <v>29.635401891862816</v>
          </cell>
          <cell r="BW2489">
            <v>23.901518972811779</v>
          </cell>
          <cell r="BX2489">
            <v>15.713059154269443</v>
          </cell>
          <cell r="BY2489">
            <v>32.089978791354113</v>
          </cell>
        </row>
        <row r="2490">
          <cell r="A2490">
            <v>43012</v>
          </cell>
          <cell r="BF2490">
            <v>48.153986504938288</v>
          </cell>
          <cell r="BG2490">
            <v>45.468715051806292</v>
          </cell>
          <cell r="BH2490">
            <v>42.408178994289898</v>
          </cell>
          <cell r="BI2490">
            <v>30.406703917126244</v>
          </cell>
          <cell r="BJ2490">
            <v>54.409654071453552</v>
          </cell>
          <cell r="BU2490">
            <v>32.428119127920141</v>
          </cell>
          <cell r="BV2490">
            <v>29.635401891862816</v>
          </cell>
          <cell r="BW2490">
            <v>23.901518972811779</v>
          </cell>
          <cell r="BX2490">
            <v>15.713059154269443</v>
          </cell>
          <cell r="BY2490">
            <v>32.089978791354113</v>
          </cell>
        </row>
        <row r="2491">
          <cell r="A2491">
            <v>43013</v>
          </cell>
          <cell r="BF2491">
            <v>48.153986504938288</v>
          </cell>
          <cell r="BG2491">
            <v>45.468715051806292</v>
          </cell>
          <cell r="BH2491">
            <v>42.408178994289898</v>
          </cell>
          <cell r="BI2491">
            <v>30.406703917126244</v>
          </cell>
          <cell r="BJ2491">
            <v>54.409654071453552</v>
          </cell>
          <cell r="BU2491">
            <v>32.428119127920141</v>
          </cell>
          <cell r="BV2491">
            <v>29.635401891862816</v>
          </cell>
          <cell r="BW2491">
            <v>23.901518972811779</v>
          </cell>
          <cell r="BX2491">
            <v>15.713059154269443</v>
          </cell>
          <cell r="BY2491">
            <v>32.089978791354113</v>
          </cell>
        </row>
        <row r="2492">
          <cell r="A2492">
            <v>43014</v>
          </cell>
          <cell r="BF2492">
            <v>47.773137261787952</v>
          </cell>
          <cell r="BG2492">
            <v>45.468715051806292</v>
          </cell>
          <cell r="BH2492">
            <v>42.408178994289898</v>
          </cell>
          <cell r="BI2492">
            <v>30.406703917126244</v>
          </cell>
          <cell r="BJ2492">
            <v>54.409654071453552</v>
          </cell>
          <cell r="BU2492">
            <v>32.190841680079743</v>
          </cell>
          <cell r="BV2492">
            <v>29.635401891862816</v>
          </cell>
          <cell r="BW2492">
            <v>23.901518972811779</v>
          </cell>
          <cell r="BX2492">
            <v>15.713059154269443</v>
          </cell>
          <cell r="BY2492">
            <v>32.089978791354113</v>
          </cell>
        </row>
        <row r="2493">
          <cell r="A2493">
            <v>43017</v>
          </cell>
          <cell r="BF2493">
            <v>47.560221808869677</v>
          </cell>
          <cell r="BG2493">
            <v>45.468715051806292</v>
          </cell>
          <cell r="BH2493">
            <v>42.408178994289898</v>
          </cell>
          <cell r="BI2493">
            <v>30.406703917126244</v>
          </cell>
          <cell r="BJ2493">
            <v>54.409654071453552</v>
          </cell>
          <cell r="BU2493">
            <v>32.044237345615521</v>
          </cell>
          <cell r="BV2493">
            <v>29.635401891862816</v>
          </cell>
          <cell r="BW2493">
            <v>23.901518972811779</v>
          </cell>
          <cell r="BX2493">
            <v>15.713059154269443</v>
          </cell>
          <cell r="BY2493">
            <v>32.089978791354113</v>
          </cell>
        </row>
        <row r="2494">
          <cell r="A2494">
            <v>43018</v>
          </cell>
          <cell r="BF2494">
            <v>47.766117993897595</v>
          </cell>
          <cell r="BG2494">
            <v>45.468715051806292</v>
          </cell>
          <cell r="BH2494">
            <v>42.408178994289898</v>
          </cell>
          <cell r="BI2494">
            <v>30.406703917126244</v>
          </cell>
          <cell r="BJ2494">
            <v>54.409654071453552</v>
          </cell>
          <cell r="BU2494">
            <v>32.186008517040669</v>
          </cell>
          <cell r="BV2494">
            <v>29.635401891862816</v>
          </cell>
          <cell r="BW2494">
            <v>23.901518972811779</v>
          </cell>
          <cell r="BX2494">
            <v>15.713059154269443</v>
          </cell>
          <cell r="BY2494">
            <v>32.089978791354113</v>
          </cell>
        </row>
        <row r="2495">
          <cell r="A2495">
            <v>43019</v>
          </cell>
          <cell r="BF2495">
            <v>48.328097471444366</v>
          </cell>
          <cell r="BG2495">
            <v>45.468715051806292</v>
          </cell>
          <cell r="BH2495">
            <v>42.408178994289898</v>
          </cell>
          <cell r="BI2495">
            <v>30.406703917126244</v>
          </cell>
          <cell r="BJ2495">
            <v>54.409654071453552</v>
          </cell>
          <cell r="BU2495">
            <v>32.595217932069936</v>
          </cell>
          <cell r="BV2495">
            <v>29.635401891862816</v>
          </cell>
          <cell r="BW2495">
            <v>23.901518972811779</v>
          </cell>
          <cell r="BX2495">
            <v>15.713059154269443</v>
          </cell>
          <cell r="BY2495">
            <v>32.089978791354113</v>
          </cell>
        </row>
        <row r="2496">
          <cell r="A2496">
            <v>43020</v>
          </cell>
          <cell r="BF2496">
            <v>48.684540991276265</v>
          </cell>
          <cell r="BG2496">
            <v>45.468715051806292</v>
          </cell>
          <cell r="BH2496">
            <v>42.408178994289898</v>
          </cell>
          <cell r="BI2496">
            <v>30.406703917126244</v>
          </cell>
          <cell r="BJ2496">
            <v>54.409654071453552</v>
          </cell>
          <cell r="BU2496">
            <v>32.844929744701076</v>
          </cell>
          <cell r="BV2496">
            <v>29.635401891862816</v>
          </cell>
          <cell r="BW2496">
            <v>23.901518972811779</v>
          </cell>
          <cell r="BX2496">
            <v>15.713059154269443</v>
          </cell>
          <cell r="BY2496">
            <v>32.089978791354113</v>
          </cell>
        </row>
        <row r="2497">
          <cell r="A2497">
            <v>43021</v>
          </cell>
          <cell r="BF2497">
            <v>48.376971919212458</v>
          </cell>
          <cell r="BG2497">
            <v>45.468715051806292</v>
          </cell>
          <cell r="BH2497">
            <v>42.408178994289898</v>
          </cell>
          <cell r="BI2497">
            <v>30.406703917126244</v>
          </cell>
          <cell r="BJ2497">
            <v>54.409654071453552</v>
          </cell>
          <cell r="BU2497">
            <v>32.632270570981824</v>
          </cell>
          <cell r="BV2497">
            <v>29.635401891862816</v>
          </cell>
          <cell r="BW2497">
            <v>23.901518972811779</v>
          </cell>
          <cell r="BX2497">
            <v>15.713059154269443</v>
          </cell>
          <cell r="BY2497">
            <v>32.089978791354113</v>
          </cell>
        </row>
        <row r="2498">
          <cell r="A2498">
            <v>43024</v>
          </cell>
          <cell r="BF2498">
            <v>48.21565300067266</v>
          </cell>
          <cell r="BG2498">
            <v>45.468715051806292</v>
          </cell>
          <cell r="BH2498">
            <v>42.408178994289898</v>
          </cell>
          <cell r="BI2498">
            <v>30.406703917126244</v>
          </cell>
          <cell r="BJ2498">
            <v>54.409654071453552</v>
          </cell>
          <cell r="BU2498">
            <v>32.521107821083127</v>
          </cell>
          <cell r="BV2498">
            <v>29.635401891862816</v>
          </cell>
          <cell r="BW2498">
            <v>23.901518972811779</v>
          </cell>
          <cell r="BX2498">
            <v>15.713059154269443</v>
          </cell>
          <cell r="BY2498">
            <v>32.089978791354113</v>
          </cell>
        </row>
        <row r="2499">
          <cell r="A2499">
            <v>43025</v>
          </cell>
          <cell r="BF2499">
            <v>48.274101884201571</v>
          </cell>
          <cell r="BG2499">
            <v>45.468715051806292</v>
          </cell>
          <cell r="BH2499">
            <v>42.408178994289898</v>
          </cell>
          <cell r="BI2499">
            <v>30.406703917126244</v>
          </cell>
          <cell r="BJ2499">
            <v>54.409654071453552</v>
          </cell>
          <cell r="BU2499">
            <v>32.561384179742078</v>
          </cell>
          <cell r="BV2499">
            <v>29.635401891862816</v>
          </cell>
          <cell r="BW2499">
            <v>23.901518972811779</v>
          </cell>
          <cell r="BX2499">
            <v>15.713059154269443</v>
          </cell>
          <cell r="BY2499">
            <v>32.089978791354113</v>
          </cell>
        </row>
        <row r="2500">
          <cell r="A2500">
            <v>43026</v>
          </cell>
          <cell r="BF2500">
            <v>48.043926944200031</v>
          </cell>
          <cell r="BG2500">
            <v>45.468715051806292</v>
          </cell>
          <cell r="BH2500">
            <v>42.408178994289898</v>
          </cell>
          <cell r="BI2500">
            <v>30.406703917126244</v>
          </cell>
          <cell r="BJ2500">
            <v>54.409654071453552</v>
          </cell>
          <cell r="BU2500">
            <v>32.515595255865939</v>
          </cell>
          <cell r="BV2500">
            <v>29.635401891862816</v>
          </cell>
          <cell r="BW2500">
            <v>23.901518972811779</v>
          </cell>
          <cell r="BX2500">
            <v>15.713059154269443</v>
          </cell>
          <cell r="BY2500">
            <v>32.089978791354113</v>
          </cell>
        </row>
        <row r="2501">
          <cell r="A2501">
            <v>43027</v>
          </cell>
          <cell r="BF2501">
            <v>47.941119202465536</v>
          </cell>
          <cell r="BG2501">
            <v>45.468715051806292</v>
          </cell>
          <cell r="BH2501">
            <v>42.408178994289898</v>
          </cell>
          <cell r="BI2501">
            <v>30.406703917126244</v>
          </cell>
          <cell r="BJ2501">
            <v>54.409654071453552</v>
          </cell>
          <cell r="BU2501">
            <v>32.444506058610024</v>
          </cell>
          <cell r="BV2501">
            <v>29.635401891862816</v>
          </cell>
          <cell r="BW2501">
            <v>23.901518972811779</v>
          </cell>
          <cell r="BX2501">
            <v>15.713059154269443</v>
          </cell>
          <cell r="BY2501">
            <v>32.089978791354113</v>
          </cell>
        </row>
        <row r="2502">
          <cell r="A2502">
            <v>43028</v>
          </cell>
          <cell r="BF2502">
            <v>49.043076649864936</v>
          </cell>
          <cell r="BG2502">
            <v>45.468715051806292</v>
          </cell>
          <cell r="BH2502">
            <v>42.408178994289898</v>
          </cell>
          <cell r="BI2502">
            <v>30.406703917126244</v>
          </cell>
          <cell r="BJ2502">
            <v>54.409654071453552</v>
          </cell>
          <cell r="BU2502">
            <v>33.203869554052737</v>
          </cell>
          <cell r="BV2502">
            <v>29.635401891862816</v>
          </cell>
          <cell r="BW2502">
            <v>23.901518972811779</v>
          </cell>
          <cell r="BX2502">
            <v>15.713059154269443</v>
          </cell>
          <cell r="BY2502">
            <v>32.089978791354113</v>
          </cell>
        </row>
        <row r="2503">
          <cell r="A2503">
            <v>43031</v>
          </cell>
          <cell r="BF2503">
            <v>49.462801192910206</v>
          </cell>
          <cell r="BG2503">
            <v>45.468715051806292</v>
          </cell>
          <cell r="BH2503">
            <v>42.408178994289898</v>
          </cell>
          <cell r="BI2503">
            <v>30.406703917126244</v>
          </cell>
          <cell r="BJ2503">
            <v>54.409654071453552</v>
          </cell>
          <cell r="BU2503">
            <v>33.511878469958404</v>
          </cell>
          <cell r="BV2503">
            <v>29.635401891862816</v>
          </cell>
          <cell r="BW2503">
            <v>23.901518972811779</v>
          </cell>
          <cell r="BX2503">
            <v>15.713059154269443</v>
          </cell>
          <cell r="BY2503">
            <v>32.089978791354113</v>
          </cell>
        </row>
        <row r="2504">
          <cell r="A2504">
            <v>43032</v>
          </cell>
          <cell r="BF2504">
            <v>49.292118880624692</v>
          </cell>
          <cell r="BG2504">
            <v>45.468715051806292</v>
          </cell>
          <cell r="BH2504">
            <v>42.408178994289898</v>
          </cell>
          <cell r="BI2504">
            <v>30.406703917126244</v>
          </cell>
          <cell r="BJ2504">
            <v>54.409654071453552</v>
          </cell>
          <cell r="BU2504">
            <v>33.393800456915152</v>
          </cell>
          <cell r="BV2504">
            <v>29.635401891862816</v>
          </cell>
          <cell r="BW2504">
            <v>23.901518972811779</v>
          </cell>
          <cell r="BX2504">
            <v>15.713059154269443</v>
          </cell>
          <cell r="BY2504">
            <v>32.089978791354113</v>
          </cell>
        </row>
        <row r="2505">
          <cell r="A2505">
            <v>43033</v>
          </cell>
          <cell r="BF2505">
            <v>47.180116255551553</v>
          </cell>
          <cell r="BG2505">
            <v>45.468715051806292</v>
          </cell>
          <cell r="BH2505">
            <v>42.408178994289898</v>
          </cell>
          <cell r="BI2505">
            <v>30.406703917126244</v>
          </cell>
          <cell r="BJ2505">
            <v>54.409654071453552</v>
          </cell>
          <cell r="BU2505">
            <v>31.83659513673787</v>
          </cell>
          <cell r="BV2505">
            <v>29.635401891862816</v>
          </cell>
          <cell r="BW2505">
            <v>23.901518972811779</v>
          </cell>
          <cell r="BX2505">
            <v>15.713059154269443</v>
          </cell>
          <cell r="BY2505">
            <v>32.089978791354113</v>
          </cell>
        </row>
        <row r="2506">
          <cell r="A2506">
            <v>43034</v>
          </cell>
          <cell r="BF2506">
            <v>47.854353319554114</v>
          </cell>
          <cell r="BG2506">
            <v>45.468715051806292</v>
          </cell>
          <cell r="BH2506">
            <v>42.408178994289898</v>
          </cell>
          <cell r="BI2506">
            <v>30.406703917126244</v>
          </cell>
          <cell r="BJ2506">
            <v>54.409654071453552</v>
          </cell>
          <cell r="BU2506">
            <v>32.049947226750753</v>
          </cell>
          <cell r="BV2506">
            <v>29.635401891862816</v>
          </cell>
          <cell r="BW2506">
            <v>23.901518972811779</v>
          </cell>
          <cell r="BX2506">
            <v>15.713059154269443</v>
          </cell>
          <cell r="BY2506">
            <v>32.089978791354113</v>
          </cell>
        </row>
        <row r="2507">
          <cell r="A2507">
            <v>43035</v>
          </cell>
          <cell r="BF2507">
            <v>48.251780381350606</v>
          </cell>
          <cell r="BG2507">
            <v>45.468715051806292</v>
          </cell>
          <cell r="BH2507">
            <v>42.408178994289898</v>
          </cell>
          <cell r="BI2507">
            <v>30.406703917126244</v>
          </cell>
          <cell r="BJ2507">
            <v>54.409654071453552</v>
          </cell>
          <cell r="BU2507">
            <v>32.322711721304778</v>
          </cell>
          <cell r="BV2507">
            <v>29.635401891862816</v>
          </cell>
          <cell r="BW2507">
            <v>23.901518972811779</v>
          </cell>
          <cell r="BX2507">
            <v>15.713059154269443</v>
          </cell>
          <cell r="BY2507">
            <v>32.089978791354113</v>
          </cell>
        </row>
        <row r="2508">
          <cell r="A2508">
            <v>43038</v>
          </cell>
          <cell r="BF2508">
            <v>46.820583505632584</v>
          </cell>
          <cell r="BG2508">
            <v>45.468715051806292</v>
          </cell>
          <cell r="BH2508">
            <v>42.408178994289898</v>
          </cell>
          <cell r="BI2508">
            <v>30.406703917126244</v>
          </cell>
          <cell r="BJ2508">
            <v>54.409654071453552</v>
          </cell>
          <cell r="BU2508">
            <v>31.340444206234508</v>
          </cell>
          <cell r="BV2508">
            <v>29.635401891862816</v>
          </cell>
          <cell r="BW2508">
            <v>23.901518972811779</v>
          </cell>
          <cell r="BX2508">
            <v>15.713059154269443</v>
          </cell>
          <cell r="BY2508">
            <v>32.089978791354113</v>
          </cell>
        </row>
        <row r="2509">
          <cell r="A2509">
            <v>43039</v>
          </cell>
          <cell r="BF2509">
            <v>47.137608545834773</v>
          </cell>
          <cell r="BG2509">
            <v>45.468715051806292</v>
          </cell>
          <cell r="BH2509">
            <v>42.408178994289898</v>
          </cell>
          <cell r="BI2509">
            <v>30.406703917126244</v>
          </cell>
          <cell r="BJ2509">
            <v>54.409654071453552</v>
          </cell>
          <cell r="BU2509">
            <v>31.558026709199535</v>
          </cell>
          <cell r="BV2509">
            <v>29.635401891862816</v>
          </cell>
          <cell r="BW2509">
            <v>23.901518972811779</v>
          </cell>
          <cell r="BX2509">
            <v>15.713059154269443</v>
          </cell>
          <cell r="BY2509">
            <v>32.089978791354113</v>
          </cell>
        </row>
        <row r="2510">
          <cell r="A2510">
            <v>43040</v>
          </cell>
          <cell r="BF2510">
            <v>47.053229898079252</v>
          </cell>
          <cell r="BG2510">
            <v>45.468715051806292</v>
          </cell>
          <cell r="BH2510">
            <v>42.408178994289898</v>
          </cell>
          <cell r="BI2510">
            <v>30.406703917126244</v>
          </cell>
          <cell r="BJ2510">
            <v>54.409654071453552</v>
          </cell>
          <cell r="BU2510">
            <v>31.452251726384951</v>
          </cell>
          <cell r="BV2510">
            <v>29.635401891862816</v>
          </cell>
          <cell r="BW2510">
            <v>23.901518972811779</v>
          </cell>
          <cell r="BX2510">
            <v>15.713059154269443</v>
          </cell>
          <cell r="BY2510">
            <v>32.089978791354113</v>
          </cell>
        </row>
        <row r="2511">
          <cell r="A2511">
            <v>43041</v>
          </cell>
          <cell r="BF2511">
            <v>47.297850509630806</v>
          </cell>
          <cell r="BG2511">
            <v>45.468715051806292</v>
          </cell>
          <cell r="BH2511">
            <v>42.408178994289898</v>
          </cell>
          <cell r="BI2511">
            <v>30.406703917126244</v>
          </cell>
          <cell r="BJ2511">
            <v>54.409654071453552</v>
          </cell>
          <cell r="BU2511">
            <v>31.619826791562762</v>
          </cell>
          <cell r="BV2511">
            <v>29.635401891862816</v>
          </cell>
          <cell r="BW2511">
            <v>23.901518972811779</v>
          </cell>
          <cell r="BX2511">
            <v>15.713059154269443</v>
          </cell>
          <cell r="BY2511">
            <v>32.089978791354113</v>
          </cell>
        </row>
        <row r="2512">
          <cell r="A2512">
            <v>43042</v>
          </cell>
          <cell r="BF2512">
            <v>48.468858437150736</v>
          </cell>
          <cell r="BG2512">
            <v>45.468715051806292</v>
          </cell>
          <cell r="BH2512">
            <v>42.408178994289898</v>
          </cell>
          <cell r="BI2512">
            <v>30.406703917126244</v>
          </cell>
          <cell r="BJ2512">
            <v>54.409654071453552</v>
          </cell>
          <cell r="BU2512">
            <v>32.422014835052842</v>
          </cell>
          <cell r="BV2512">
            <v>29.635401891862816</v>
          </cell>
          <cell r="BW2512">
            <v>23.901518972811779</v>
          </cell>
          <cell r="BX2512">
            <v>15.713059154269443</v>
          </cell>
          <cell r="BY2512">
            <v>32.089978791354113</v>
          </cell>
        </row>
        <row r="2513">
          <cell r="A2513">
            <v>43045</v>
          </cell>
          <cell r="BF2513">
            <v>47.381655719143836</v>
          </cell>
          <cell r="BG2513">
            <v>45.468715051806292</v>
          </cell>
          <cell r="BH2513">
            <v>42.408178994289898</v>
          </cell>
          <cell r="BI2513">
            <v>30.406703917126244</v>
          </cell>
          <cell r="BJ2513">
            <v>54.409654071453552</v>
          </cell>
          <cell r="BU2513">
            <v>32.422014835052842</v>
          </cell>
          <cell r="BV2513">
            <v>29.635401891862816</v>
          </cell>
          <cell r="BW2513">
            <v>23.901518972811779</v>
          </cell>
          <cell r="BX2513">
            <v>15.713059154269443</v>
          </cell>
          <cell r="BY2513">
            <v>32.089978791354113</v>
          </cell>
        </row>
        <row r="2514">
          <cell r="A2514">
            <v>43046</v>
          </cell>
          <cell r="BF2514">
            <v>47.959232163085005</v>
          </cell>
          <cell r="BG2514">
            <v>45.468715051806292</v>
          </cell>
          <cell r="BH2514">
            <v>42.408178994289898</v>
          </cell>
          <cell r="BI2514">
            <v>30.406703917126244</v>
          </cell>
          <cell r="BJ2514">
            <v>54.409654071453552</v>
          </cell>
          <cell r="BU2514">
            <v>32.072900115932406</v>
          </cell>
          <cell r="BV2514">
            <v>29.635401891862816</v>
          </cell>
          <cell r="BW2514">
            <v>23.901518972811779</v>
          </cell>
          <cell r="BX2514">
            <v>15.713059154269443</v>
          </cell>
          <cell r="BY2514">
            <v>32.089978791354113</v>
          </cell>
        </row>
        <row r="2515">
          <cell r="A2515">
            <v>43047</v>
          </cell>
          <cell r="BF2515">
            <v>47.836919592303559</v>
          </cell>
          <cell r="BG2515">
            <v>45.468715051806292</v>
          </cell>
          <cell r="BH2515">
            <v>42.408178994289898</v>
          </cell>
          <cell r="BI2515">
            <v>30.406703917126244</v>
          </cell>
          <cell r="BJ2515">
            <v>54.409654071453552</v>
          </cell>
          <cell r="BU2515">
            <v>31.989111031722526</v>
          </cell>
          <cell r="BV2515">
            <v>29.635401891862816</v>
          </cell>
          <cell r="BW2515">
            <v>23.901518972811779</v>
          </cell>
          <cell r="BX2515">
            <v>15.713059154269443</v>
          </cell>
          <cell r="BY2515">
            <v>32.089978791354113</v>
          </cell>
        </row>
        <row r="2516">
          <cell r="A2516">
            <v>43048</v>
          </cell>
          <cell r="BF2516">
            <v>47.476785956969437</v>
          </cell>
          <cell r="BG2516">
            <v>45.468715051806292</v>
          </cell>
          <cell r="BH2516">
            <v>42.408178994289898</v>
          </cell>
          <cell r="BI2516">
            <v>30.406703917126244</v>
          </cell>
          <cell r="BJ2516">
            <v>54.409654071453552</v>
          </cell>
          <cell r="BU2516">
            <v>31.989111031722526</v>
          </cell>
          <cell r="BV2516">
            <v>29.635401891862816</v>
          </cell>
          <cell r="BW2516">
            <v>23.901518972811779</v>
          </cell>
          <cell r="BX2516">
            <v>15.713059154269443</v>
          </cell>
          <cell r="BY2516">
            <v>32.089978791354113</v>
          </cell>
        </row>
        <row r="2517">
          <cell r="A2517">
            <v>43049</v>
          </cell>
          <cell r="BF2517">
            <v>47.325030577580975</v>
          </cell>
          <cell r="BG2517">
            <v>45.468715051806292</v>
          </cell>
          <cell r="BH2517">
            <v>42.408178994289898</v>
          </cell>
          <cell r="BI2517">
            <v>30.406703917126244</v>
          </cell>
          <cell r="BJ2517">
            <v>54.409654071453552</v>
          </cell>
          <cell r="BU2517">
            <v>31.638446243249188</v>
          </cell>
          <cell r="BV2517">
            <v>29.635401891862816</v>
          </cell>
          <cell r="BW2517">
            <v>23.901518972811779</v>
          </cell>
          <cell r="BX2517">
            <v>15.713059154269443</v>
          </cell>
          <cell r="BY2517">
            <v>32.089978791354113</v>
          </cell>
        </row>
        <row r="2518">
          <cell r="A2518">
            <v>43052</v>
          </cell>
          <cell r="BF2518">
            <v>47.370328425825598</v>
          </cell>
          <cell r="BG2518">
            <v>45.468715051806292</v>
          </cell>
          <cell r="BH2518">
            <v>42.408178994289898</v>
          </cell>
          <cell r="BI2518">
            <v>30.406703917126244</v>
          </cell>
          <cell r="BJ2518">
            <v>54.409654071453552</v>
          </cell>
          <cell r="BU2518">
            <v>31.669477111105582</v>
          </cell>
          <cell r="BV2518">
            <v>29.635401891862816</v>
          </cell>
          <cell r="BW2518">
            <v>23.901518972811779</v>
          </cell>
          <cell r="BX2518">
            <v>15.713059154269443</v>
          </cell>
          <cell r="BY2518">
            <v>32.089978791354113</v>
          </cell>
        </row>
        <row r="2519">
          <cell r="A2519">
            <v>43053</v>
          </cell>
          <cell r="BF2519">
            <v>46.670443941114321</v>
          </cell>
          <cell r="BG2519">
            <v>45.468715051806292</v>
          </cell>
          <cell r="BH2519">
            <v>42.408178994289898</v>
          </cell>
          <cell r="BI2519">
            <v>30.406703917126244</v>
          </cell>
          <cell r="BJ2519">
            <v>54.409654071453552</v>
          </cell>
          <cell r="BU2519">
            <v>31.190027781801152</v>
          </cell>
          <cell r="BV2519">
            <v>29.635401891862816</v>
          </cell>
          <cell r="BW2519">
            <v>23.901518972811779</v>
          </cell>
          <cell r="BX2519">
            <v>15.713059154269443</v>
          </cell>
          <cell r="BY2519">
            <v>32.089978791354113</v>
          </cell>
        </row>
        <row r="2520">
          <cell r="A2520">
            <v>43054</v>
          </cell>
          <cell r="BF2520">
            <v>46.527746319370252</v>
          </cell>
          <cell r="BG2520">
            <v>45.468715051806292</v>
          </cell>
          <cell r="BH2520">
            <v>42.408178994289898</v>
          </cell>
          <cell r="BI2520">
            <v>30.406703917126244</v>
          </cell>
          <cell r="BJ2520">
            <v>54.409654071453552</v>
          </cell>
          <cell r="BU2520">
            <v>31.092274108826452</v>
          </cell>
          <cell r="BV2520">
            <v>29.635401891862816</v>
          </cell>
          <cell r="BW2520">
            <v>23.901518972811779</v>
          </cell>
          <cell r="BX2520">
            <v>15.713059154269443</v>
          </cell>
          <cell r="BY2520">
            <v>32.089978791354113</v>
          </cell>
        </row>
        <row r="2521">
          <cell r="A2521">
            <v>43055</v>
          </cell>
          <cell r="BF2521">
            <v>47.237440767245744</v>
          </cell>
          <cell r="BG2521">
            <v>45.468715051806292</v>
          </cell>
          <cell r="BH2521">
            <v>42.408178994289898</v>
          </cell>
          <cell r="BI2521">
            <v>30.406703917126244</v>
          </cell>
          <cell r="BJ2521">
            <v>54.409654071453552</v>
          </cell>
          <cell r="BU2521">
            <v>31.092274108826452</v>
          </cell>
          <cell r="BV2521">
            <v>29.635401891862816</v>
          </cell>
          <cell r="BW2521">
            <v>23.901518972811779</v>
          </cell>
          <cell r="BX2521">
            <v>15.713059154269443</v>
          </cell>
          <cell r="BY2521">
            <v>32.089978791354113</v>
          </cell>
        </row>
        <row r="2522">
          <cell r="A2522">
            <v>43056</v>
          </cell>
          <cell r="BF2522">
            <v>47.353518701721036</v>
          </cell>
          <cell r="BG2522">
            <v>45.468715051806292</v>
          </cell>
          <cell r="BH2522">
            <v>42.408178994289898</v>
          </cell>
          <cell r="BI2522">
            <v>30.406703917126244</v>
          </cell>
          <cell r="BJ2522">
            <v>54.409654071453552</v>
          </cell>
          <cell r="BU2522">
            <v>31.65069663272142</v>
          </cell>
          <cell r="BV2522">
            <v>29.635401891862816</v>
          </cell>
          <cell r="BW2522">
            <v>23.901518972811779</v>
          </cell>
          <cell r="BX2522">
            <v>15.713059154269443</v>
          </cell>
          <cell r="BY2522">
            <v>32.089978791354113</v>
          </cell>
        </row>
        <row r="2523">
          <cell r="A2523">
            <v>43059</v>
          </cell>
          <cell r="BF2523">
            <v>47.68177445821766</v>
          </cell>
          <cell r="BG2523">
            <v>45.468715051806292</v>
          </cell>
          <cell r="BH2523">
            <v>42.408178994289898</v>
          </cell>
          <cell r="BI2523">
            <v>30.406703917126244</v>
          </cell>
          <cell r="BJ2523">
            <v>54.409654071453552</v>
          </cell>
          <cell r="BU2523">
            <v>31.916615669845001</v>
          </cell>
          <cell r="BV2523">
            <v>29.635401891862816</v>
          </cell>
          <cell r="BW2523">
            <v>23.901518972811779</v>
          </cell>
          <cell r="BX2523">
            <v>15.713059154269443</v>
          </cell>
          <cell r="BY2523">
            <v>32.089978791354113</v>
          </cell>
        </row>
        <row r="2524">
          <cell r="A2524">
            <v>43060</v>
          </cell>
          <cell r="BF2524">
            <v>47.99411758049461</v>
          </cell>
          <cell r="BG2524">
            <v>45.468715051806292</v>
          </cell>
          <cell r="BH2524">
            <v>42.408178994289898</v>
          </cell>
          <cell r="BI2524">
            <v>30.406703917126244</v>
          </cell>
          <cell r="BJ2524">
            <v>54.409654071453552</v>
          </cell>
          <cell r="BU2524">
            <v>32.130806284141791</v>
          </cell>
          <cell r="BV2524">
            <v>29.635401891862816</v>
          </cell>
          <cell r="BW2524">
            <v>23.901518972811779</v>
          </cell>
          <cell r="BX2524">
            <v>15.713059154269443</v>
          </cell>
          <cell r="BY2524">
            <v>32.089978791354113</v>
          </cell>
        </row>
        <row r="2525">
          <cell r="A2525">
            <v>43061</v>
          </cell>
          <cell r="BF2525">
            <v>48.741019634475329</v>
          </cell>
          <cell r="BG2525">
            <v>45.468715051806292</v>
          </cell>
          <cell r="BH2525">
            <v>42.408178994289898</v>
          </cell>
          <cell r="BI2525">
            <v>30.406703917126244</v>
          </cell>
          <cell r="BJ2525">
            <v>54.409654071453552</v>
          </cell>
          <cell r="BU2525">
            <v>32.130806284141791</v>
          </cell>
          <cell r="BV2525">
            <v>29.635401891862816</v>
          </cell>
          <cell r="BW2525">
            <v>23.901518972811779</v>
          </cell>
          <cell r="BX2525">
            <v>15.713059154269443</v>
          </cell>
          <cell r="BY2525">
            <v>32.089978791354113</v>
          </cell>
        </row>
        <row r="2526">
          <cell r="A2526">
            <v>43062</v>
          </cell>
          <cell r="BF2526">
            <v>48.741019634475329</v>
          </cell>
          <cell r="BG2526">
            <v>45.468715051806292</v>
          </cell>
          <cell r="BH2526">
            <v>42.408178994289898</v>
          </cell>
          <cell r="BI2526">
            <v>30.406703917126244</v>
          </cell>
          <cell r="BJ2526">
            <v>54.409654071453552</v>
          </cell>
          <cell r="BU2526">
            <v>32.130806284141791</v>
          </cell>
          <cell r="BV2526">
            <v>29.635401891862816</v>
          </cell>
          <cell r="BW2526">
            <v>23.901518972811779</v>
          </cell>
          <cell r="BX2526">
            <v>15.713059154269443</v>
          </cell>
          <cell r="BY2526">
            <v>32.089978791354113</v>
          </cell>
        </row>
        <row r="2527">
          <cell r="A2527">
            <v>43063</v>
          </cell>
          <cell r="BF2527">
            <v>48.630115996156981</v>
          </cell>
          <cell r="BG2527">
            <v>45.468715051806292</v>
          </cell>
          <cell r="BH2527">
            <v>42.408178994289898</v>
          </cell>
          <cell r="BI2527">
            <v>30.406703917126244</v>
          </cell>
          <cell r="BJ2527">
            <v>54.409654071453552</v>
          </cell>
          <cell r="BU2527">
            <v>32.567625779761237</v>
          </cell>
          <cell r="BV2527">
            <v>29.635401891862816</v>
          </cell>
          <cell r="BW2527">
            <v>23.901518972811779</v>
          </cell>
          <cell r="BX2527">
            <v>15.713059154269443</v>
          </cell>
          <cell r="BY2527">
            <v>32.089978791354113</v>
          </cell>
        </row>
        <row r="2528">
          <cell r="A2528">
            <v>43066</v>
          </cell>
          <cell r="BF2528">
            <v>50.662592655467989</v>
          </cell>
          <cell r="BG2528">
            <v>45.468715051806292</v>
          </cell>
          <cell r="BH2528">
            <v>42.408178994289898</v>
          </cell>
          <cell r="BI2528">
            <v>30.406703917126244</v>
          </cell>
          <cell r="BJ2528">
            <v>54.409654071453552</v>
          </cell>
          <cell r="BU2528">
            <v>33.961434367272503</v>
          </cell>
          <cell r="BV2528">
            <v>29.635401891862816</v>
          </cell>
          <cell r="BW2528">
            <v>23.901518972811779</v>
          </cell>
          <cell r="BX2528">
            <v>15.713059154269443</v>
          </cell>
          <cell r="BY2528">
            <v>32.089978791354113</v>
          </cell>
        </row>
        <row r="2529">
          <cell r="A2529">
            <v>43067</v>
          </cell>
          <cell r="BF2529">
            <v>51.21484750750222</v>
          </cell>
          <cell r="BG2529">
            <v>45.468715051806292</v>
          </cell>
          <cell r="BH2529">
            <v>42.408178994289898</v>
          </cell>
          <cell r="BI2529">
            <v>30.406703917126244</v>
          </cell>
          <cell r="BJ2529">
            <v>54.409654071453552</v>
          </cell>
          <cell r="BU2529">
            <v>34.340153380715442</v>
          </cell>
          <cell r="BV2529">
            <v>29.635401891862816</v>
          </cell>
          <cell r="BW2529">
            <v>23.901518972811779</v>
          </cell>
          <cell r="BX2529">
            <v>15.713059154269443</v>
          </cell>
          <cell r="BY2529">
            <v>32.089978791354113</v>
          </cell>
        </row>
        <row r="2530">
          <cell r="A2530">
            <v>43068</v>
          </cell>
          <cell r="BF2530">
            <v>51.486448254404294</v>
          </cell>
          <cell r="BG2530">
            <v>45.468715051806292</v>
          </cell>
          <cell r="BH2530">
            <v>42.408178994289898</v>
          </cell>
          <cell r="BI2530">
            <v>30.406703917126244</v>
          </cell>
          <cell r="BJ2530">
            <v>54.409654071453552</v>
          </cell>
          <cell r="BU2530">
            <v>34.526408633228364</v>
          </cell>
          <cell r="BV2530">
            <v>29.635401891862816</v>
          </cell>
          <cell r="BW2530">
            <v>23.901518972811779</v>
          </cell>
          <cell r="BX2530">
            <v>15.713059154269443</v>
          </cell>
          <cell r="BY2530">
            <v>32.089978791354113</v>
          </cell>
        </row>
        <row r="2531">
          <cell r="A2531">
            <v>43069</v>
          </cell>
          <cell r="BF2531">
            <v>52.063599841571218</v>
          </cell>
          <cell r="BG2531">
            <v>45.468715051806292</v>
          </cell>
          <cell r="BH2531">
            <v>42.408178994289898</v>
          </cell>
          <cell r="BI2531">
            <v>30.406703917126244</v>
          </cell>
          <cell r="BJ2531">
            <v>54.409654071453552</v>
          </cell>
          <cell r="BU2531">
            <v>34.526408633228364</v>
          </cell>
          <cell r="BV2531">
            <v>29.635401891862816</v>
          </cell>
          <cell r="BW2531">
            <v>23.901518972811779</v>
          </cell>
          <cell r="BX2531">
            <v>15.713059154269443</v>
          </cell>
          <cell r="BY2531">
            <v>32.089978791354113</v>
          </cell>
        </row>
        <row r="2532">
          <cell r="A2532">
            <v>43070</v>
          </cell>
          <cell r="BF2532">
            <v>50.27678794642857</v>
          </cell>
          <cell r="BG2532">
            <v>45.468715051806292</v>
          </cell>
          <cell r="BH2532">
            <v>42.408178994289898</v>
          </cell>
          <cell r="BI2532">
            <v>30.406703917126244</v>
          </cell>
          <cell r="BJ2532">
            <v>54.409654071453552</v>
          </cell>
          <cell r="BU2532">
            <v>33.64278536086205</v>
          </cell>
          <cell r="BV2532">
            <v>29.635401891862816</v>
          </cell>
          <cell r="BW2532">
            <v>23.901518972811779</v>
          </cell>
          <cell r="BX2532">
            <v>15.713059154269443</v>
          </cell>
          <cell r="BY2532">
            <v>32.089978791354113</v>
          </cell>
        </row>
        <row r="2533">
          <cell r="A2533">
            <v>43073</v>
          </cell>
          <cell r="BF2533">
            <v>47.645089285714278</v>
          </cell>
          <cell r="BG2533">
            <v>45.468715051806292</v>
          </cell>
          <cell r="BH2533">
            <v>42.408178994289898</v>
          </cell>
          <cell r="BI2533">
            <v>30.406703917126244</v>
          </cell>
          <cell r="BJ2533">
            <v>54.409654071453552</v>
          </cell>
          <cell r="BU2533">
            <v>31.841521098123749</v>
          </cell>
          <cell r="BV2533">
            <v>29.635401891862816</v>
          </cell>
          <cell r="BW2533">
            <v>23.901518972811779</v>
          </cell>
          <cell r="BX2533">
            <v>15.713059154269443</v>
          </cell>
          <cell r="BY2533">
            <v>32.089978791354113</v>
          </cell>
        </row>
        <row r="2534">
          <cell r="A2534">
            <v>43074</v>
          </cell>
          <cell r="BF2534">
            <v>47.111607142857139</v>
          </cell>
          <cell r="BG2534">
            <v>45.468715051806292</v>
          </cell>
          <cell r="BH2534">
            <v>42.408178994289898</v>
          </cell>
          <cell r="BI2534">
            <v>30.406703917126244</v>
          </cell>
          <cell r="BJ2534">
            <v>54.409654071453552</v>
          </cell>
          <cell r="BU2534">
            <v>31.476379627680167</v>
          </cell>
          <cell r="BV2534">
            <v>29.635401891862816</v>
          </cell>
          <cell r="BW2534">
            <v>23.901518972811779</v>
          </cell>
          <cell r="BX2534">
            <v>15.713059154269443</v>
          </cell>
          <cell r="BY2534">
            <v>32.089978791354113</v>
          </cell>
        </row>
        <row r="2535">
          <cell r="A2535">
            <v>43075</v>
          </cell>
          <cell r="BF2535">
            <v>47.763392857142847</v>
          </cell>
          <cell r="BG2535">
            <v>45.468715051806292</v>
          </cell>
          <cell r="BH2535">
            <v>42.408178994289898</v>
          </cell>
          <cell r="BI2535">
            <v>30.406703917126244</v>
          </cell>
          <cell r="BJ2535">
            <v>54.409654071453552</v>
          </cell>
          <cell r="BU2535">
            <v>31.476379627680167</v>
          </cell>
          <cell r="BV2535">
            <v>29.635401891862816</v>
          </cell>
          <cell r="BW2535">
            <v>23.901518972811779</v>
          </cell>
          <cell r="BX2535">
            <v>15.713059154269443</v>
          </cell>
          <cell r="BY2535">
            <v>32.089978791354113</v>
          </cell>
        </row>
        <row r="2536">
          <cell r="A2536">
            <v>43076</v>
          </cell>
          <cell r="BF2536">
            <v>47.917410714285708</v>
          </cell>
          <cell r="BG2536">
            <v>45.468715051806292</v>
          </cell>
          <cell r="BH2536">
            <v>42.408178994289898</v>
          </cell>
          <cell r="BI2536">
            <v>30.406703917126244</v>
          </cell>
          <cell r="BJ2536">
            <v>54.409654071453552</v>
          </cell>
          <cell r="BU2536">
            <v>31.92249389282463</v>
          </cell>
          <cell r="BV2536">
            <v>29.635401891862816</v>
          </cell>
          <cell r="BW2536">
            <v>23.901518972811779</v>
          </cell>
          <cell r="BX2536">
            <v>15.713059154269443</v>
          </cell>
          <cell r="BY2536">
            <v>32.089978791354113</v>
          </cell>
        </row>
        <row r="2537">
          <cell r="A2537">
            <v>43077</v>
          </cell>
          <cell r="BF2537">
            <v>48.582589285714285</v>
          </cell>
          <cell r="BG2537">
            <v>45.468715051806292</v>
          </cell>
          <cell r="BH2537">
            <v>42.408178994289898</v>
          </cell>
          <cell r="BI2537">
            <v>30.406703917126244</v>
          </cell>
          <cell r="BJ2537">
            <v>54.409654071453552</v>
          </cell>
          <cell r="BU2537">
            <v>32.483192301413723</v>
          </cell>
          <cell r="BV2537">
            <v>29.635401891862816</v>
          </cell>
          <cell r="BW2537">
            <v>23.901518972811779</v>
          </cell>
          <cell r="BX2537">
            <v>15.713059154269443</v>
          </cell>
          <cell r="BY2537">
            <v>32.089978791354113</v>
          </cell>
        </row>
        <row r="2538">
          <cell r="A2538">
            <v>43080</v>
          </cell>
          <cell r="BF2538">
            <v>47.792412946428563</v>
          </cell>
          <cell r="BG2538">
            <v>45.468715051806292</v>
          </cell>
          <cell r="BH2538">
            <v>42.408178994289898</v>
          </cell>
          <cell r="BI2538">
            <v>30.406703917126244</v>
          </cell>
          <cell r="BJ2538">
            <v>54.409654071453552</v>
          </cell>
          <cell r="BU2538">
            <v>31.942356672143607</v>
          </cell>
          <cell r="BV2538">
            <v>29.635401891862816</v>
          </cell>
          <cell r="BW2538">
            <v>23.901518972811779</v>
          </cell>
          <cell r="BX2538">
            <v>15.713059154269443</v>
          </cell>
          <cell r="BY2538">
            <v>32.089978791354113</v>
          </cell>
        </row>
        <row r="2539">
          <cell r="A2539">
            <v>43081</v>
          </cell>
          <cell r="BF2539">
            <v>47.464285714285708</v>
          </cell>
          <cell r="BG2539">
            <v>45.468715051806292</v>
          </cell>
          <cell r="BH2539">
            <v>42.408178994289898</v>
          </cell>
          <cell r="BI2539">
            <v>30.406703917126244</v>
          </cell>
          <cell r="BJ2539">
            <v>54.409654071453552</v>
          </cell>
          <cell r="BU2539">
            <v>31.717770223203541</v>
          </cell>
          <cell r="BV2539">
            <v>29.635401891862816</v>
          </cell>
          <cell r="BW2539">
            <v>23.901518972811779</v>
          </cell>
          <cell r="BX2539">
            <v>15.713059154269443</v>
          </cell>
          <cell r="BY2539">
            <v>32.089978791354113</v>
          </cell>
        </row>
        <row r="2540">
          <cell r="A2540">
            <v>43082</v>
          </cell>
          <cell r="BF2540">
            <v>47.975119127212878</v>
          </cell>
          <cell r="BG2540">
            <v>45.468715051806292</v>
          </cell>
          <cell r="BH2540">
            <v>42.408178994289898</v>
          </cell>
          <cell r="BI2540">
            <v>30.406703917126244</v>
          </cell>
          <cell r="BJ2540">
            <v>54.409654071453552</v>
          </cell>
          <cell r="BU2540">
            <v>32.00736880033044</v>
          </cell>
          <cell r="BV2540">
            <v>29.635401891862816</v>
          </cell>
          <cell r="BW2540">
            <v>23.901518972811779</v>
          </cell>
          <cell r="BX2540">
            <v>15.713059154269443</v>
          </cell>
          <cell r="BY2540">
            <v>32.089978791354113</v>
          </cell>
        </row>
        <row r="2541">
          <cell r="A2541">
            <v>43083</v>
          </cell>
          <cell r="BF2541">
            <v>47.147769173835172</v>
          </cell>
          <cell r="BG2541">
            <v>45.468715051806292</v>
          </cell>
          <cell r="BH2541">
            <v>42.408178994289898</v>
          </cell>
          <cell r="BI2541">
            <v>30.406703917126244</v>
          </cell>
          <cell r="BJ2541">
            <v>54.409654071453552</v>
          </cell>
          <cell r="BU2541">
            <v>32.00736880033044</v>
          </cell>
          <cell r="BV2541">
            <v>29.635401891862816</v>
          </cell>
          <cell r="BW2541">
            <v>23.901518972811779</v>
          </cell>
          <cell r="BX2541">
            <v>15.713059154269443</v>
          </cell>
          <cell r="BY2541">
            <v>32.089978791354113</v>
          </cell>
        </row>
        <row r="2542">
          <cell r="A2542">
            <v>43084</v>
          </cell>
          <cell r="BF2542">
            <v>48.39960797548617</v>
          </cell>
          <cell r="BG2542">
            <v>45.468715051806292</v>
          </cell>
          <cell r="BH2542">
            <v>42.408178994289898</v>
          </cell>
          <cell r="BI2542">
            <v>30.406703917126244</v>
          </cell>
          <cell r="BJ2542">
            <v>54.409654071453552</v>
          </cell>
          <cell r="BU2542">
            <v>32.312905414483893</v>
          </cell>
          <cell r="BV2542">
            <v>29.635401891862816</v>
          </cell>
          <cell r="BW2542">
            <v>23.901518972811779</v>
          </cell>
          <cell r="BX2542">
            <v>15.713059154269443</v>
          </cell>
          <cell r="BY2542">
            <v>32.089978791354113</v>
          </cell>
        </row>
        <row r="2543">
          <cell r="A2543">
            <v>43087</v>
          </cell>
          <cell r="BF2543">
            <v>48.564998066697804</v>
          </cell>
          <cell r="BG2543">
            <v>45.468715051806292</v>
          </cell>
          <cell r="BH2543">
            <v>42.408178994289898</v>
          </cell>
          <cell r="BI2543">
            <v>30.406703917126244</v>
          </cell>
          <cell r="BJ2543">
            <v>54.409654071453552</v>
          </cell>
          <cell r="BU2543">
            <v>32.425952434037598</v>
          </cell>
          <cell r="BV2543">
            <v>29.635401891862816</v>
          </cell>
          <cell r="BW2543">
            <v>23.901518972811779</v>
          </cell>
          <cell r="BX2543">
            <v>15.713059154269443</v>
          </cell>
          <cell r="BY2543">
            <v>32.089978791354113</v>
          </cell>
        </row>
        <row r="2544">
          <cell r="A2544">
            <v>43088</v>
          </cell>
          <cell r="BF2544">
            <v>47.995067285621374</v>
          </cell>
          <cell r="BG2544">
            <v>45.468715051806292</v>
          </cell>
          <cell r="BH2544">
            <v>42.408178994289898</v>
          </cell>
          <cell r="BI2544">
            <v>30.406703917126244</v>
          </cell>
          <cell r="BJ2544">
            <v>54.409654071453552</v>
          </cell>
          <cell r="BU2544">
            <v>32.036394778675017</v>
          </cell>
          <cell r="BV2544">
            <v>29.635401891862816</v>
          </cell>
          <cell r="BW2544">
            <v>23.901518972811779</v>
          </cell>
          <cell r="BX2544">
            <v>15.713059154269443</v>
          </cell>
          <cell r="BY2544">
            <v>32.089978791354113</v>
          </cell>
        </row>
        <row r="2545">
          <cell r="A2545">
            <v>43089</v>
          </cell>
          <cell r="BF2545">
            <v>48.398928890876562</v>
          </cell>
          <cell r="BG2545">
            <v>45.468715051806292</v>
          </cell>
          <cell r="BH2545">
            <v>42.408178994289898</v>
          </cell>
          <cell r="BI2545">
            <v>30.406703917126244</v>
          </cell>
          <cell r="BJ2545">
            <v>54.409654071453552</v>
          </cell>
          <cell r="BU2545">
            <v>32.296100900705454</v>
          </cell>
          <cell r="BV2545">
            <v>29.635401891862816</v>
          </cell>
          <cell r="BW2545">
            <v>23.901518972811779</v>
          </cell>
          <cell r="BX2545">
            <v>15.713059154269443</v>
          </cell>
          <cell r="BY2545">
            <v>32.089978791354113</v>
          </cell>
        </row>
        <row r="2546">
          <cell r="A2546">
            <v>43090</v>
          </cell>
          <cell r="BF2546">
            <v>47.980771466905182</v>
          </cell>
          <cell r="BG2546">
            <v>45.468715051806292</v>
          </cell>
          <cell r="BH2546">
            <v>42.408178994289898</v>
          </cell>
          <cell r="BI2546">
            <v>30.406703917126244</v>
          </cell>
          <cell r="BJ2546">
            <v>54.409654071453552</v>
          </cell>
          <cell r="BU2546">
            <v>32.296100900705454</v>
          </cell>
          <cell r="BV2546">
            <v>29.635401891862816</v>
          </cell>
          <cell r="BW2546">
            <v>23.901518972811779</v>
          </cell>
          <cell r="BX2546">
            <v>15.713059154269443</v>
          </cell>
          <cell r="BY2546">
            <v>32.089978791354113</v>
          </cell>
        </row>
        <row r="2547">
          <cell r="A2547">
            <v>43091</v>
          </cell>
          <cell r="BF2547">
            <v>48.242457923150205</v>
          </cell>
          <cell r="BG2547">
            <v>45.468715051806292</v>
          </cell>
          <cell r="BH2547">
            <v>42.408178994289898</v>
          </cell>
          <cell r="BI2547">
            <v>30.406703917126244</v>
          </cell>
          <cell r="BJ2547">
            <v>54.409654071453552</v>
          </cell>
          <cell r="BU2547">
            <v>32.186107719610206</v>
          </cell>
          <cell r="BV2547">
            <v>29.635401891862816</v>
          </cell>
          <cell r="BW2547">
            <v>23.901518972811779</v>
          </cell>
          <cell r="BX2547">
            <v>15.713059154269443</v>
          </cell>
          <cell r="BY2547">
            <v>32.089978791354113</v>
          </cell>
        </row>
        <row r="2548">
          <cell r="A2548">
            <v>43094</v>
          </cell>
          <cell r="BF2548">
            <v>48.242457923150205</v>
          </cell>
          <cell r="BG2548">
            <v>45.468715051806292</v>
          </cell>
          <cell r="BH2548">
            <v>42.408178994289898</v>
          </cell>
          <cell r="BI2548">
            <v>30.406703917126244</v>
          </cell>
          <cell r="BJ2548">
            <v>54.409654071453552</v>
          </cell>
          <cell r="BU2548">
            <v>32.186107719610206</v>
          </cell>
          <cell r="BV2548">
            <v>29.635401891862816</v>
          </cell>
          <cell r="BW2548">
            <v>23.901518972811779</v>
          </cell>
          <cell r="BX2548">
            <v>15.713059154269443</v>
          </cell>
          <cell r="BY2548">
            <v>32.089978791354113</v>
          </cell>
        </row>
        <row r="2549">
          <cell r="A2549">
            <v>43095</v>
          </cell>
          <cell r="BF2549">
            <v>47.904769678726531</v>
          </cell>
          <cell r="BG2549">
            <v>45.468715051806292</v>
          </cell>
          <cell r="BH2549">
            <v>42.408178994289898</v>
          </cell>
          <cell r="BI2549">
            <v>30.406703917126244</v>
          </cell>
          <cell r="BJ2549">
            <v>54.409654071453552</v>
          </cell>
          <cell r="BU2549">
            <v>31.955427575924354</v>
          </cell>
          <cell r="BV2549">
            <v>29.635401891862816</v>
          </cell>
          <cell r="BW2549">
            <v>23.901518972811779</v>
          </cell>
          <cell r="BX2549">
            <v>15.713059154269443</v>
          </cell>
          <cell r="BY2549">
            <v>32.089978791354113</v>
          </cell>
        </row>
        <row r="2550">
          <cell r="A2550">
            <v>43096</v>
          </cell>
          <cell r="BF2550">
            <v>48.18431292742163</v>
          </cell>
          <cell r="BG2550">
            <v>45.468715051806292</v>
          </cell>
          <cell r="BH2550">
            <v>42.408178994289898</v>
          </cell>
          <cell r="BI2550">
            <v>30.406703917126244</v>
          </cell>
          <cell r="BJ2550">
            <v>54.409654071453552</v>
          </cell>
          <cell r="BU2550">
            <v>32.146387959770259</v>
          </cell>
          <cell r="BV2550">
            <v>29.635401891862816</v>
          </cell>
          <cell r="BW2550">
            <v>23.901518972811779</v>
          </cell>
          <cell r="BX2550">
            <v>15.713059154269443</v>
          </cell>
          <cell r="BY2550">
            <v>32.089978791354113</v>
          </cell>
        </row>
        <row r="2551">
          <cell r="A2551">
            <v>43097</v>
          </cell>
          <cell r="BF2551">
            <v>48.645000201271138</v>
          </cell>
          <cell r="BG2551">
            <v>45.468715051806292</v>
          </cell>
          <cell r="BH2551">
            <v>42.408178994289898</v>
          </cell>
          <cell r="BI2551">
            <v>30.406703917126244</v>
          </cell>
          <cell r="BJ2551">
            <v>54.409654071453552</v>
          </cell>
          <cell r="BU2551">
            <v>32.461090672348327</v>
          </cell>
          <cell r="BV2551">
            <v>29.635401891862816</v>
          </cell>
          <cell r="BW2551">
            <v>23.901518972811779</v>
          </cell>
          <cell r="BX2551">
            <v>15.713059154269443</v>
          </cell>
          <cell r="BY2551">
            <v>32.089978791354113</v>
          </cell>
        </row>
        <row r="2552">
          <cell r="A2552">
            <v>43098</v>
          </cell>
          <cell r="BF2552">
            <v>48.861925762258529</v>
          </cell>
          <cell r="BG2552">
            <v>45.468715051806292</v>
          </cell>
          <cell r="BH2552">
            <v>42.408178994289898</v>
          </cell>
          <cell r="BI2552">
            <v>30.406703917126244</v>
          </cell>
          <cell r="BJ2552">
            <v>54.409654071453552</v>
          </cell>
          <cell r="BU2552">
            <v>32.461090672348327</v>
          </cell>
          <cell r="BV2552">
            <v>29.635401891862816</v>
          </cell>
          <cell r="BW2552">
            <v>23.901518972811779</v>
          </cell>
          <cell r="BX2552">
            <v>15.713059154269443</v>
          </cell>
          <cell r="BY2552">
            <v>32.089978791354113</v>
          </cell>
        </row>
        <row r="2553">
          <cell r="A2553">
            <v>43101</v>
          </cell>
          <cell r="BF2553">
            <v>48.246043993134684</v>
          </cell>
          <cell r="BG2553">
            <v>45.468715051806292</v>
          </cell>
          <cell r="BH2553">
            <v>42.408178994289898</v>
          </cell>
          <cell r="BI2553">
            <v>30.406703917126244</v>
          </cell>
          <cell r="BJ2553">
            <v>54.409654071453552</v>
          </cell>
          <cell r="BU2553">
            <v>32.179313118953473</v>
          </cell>
          <cell r="BV2553">
            <v>29.635401891862816</v>
          </cell>
          <cell r="BW2553">
            <v>23.901518972811779</v>
          </cell>
          <cell r="BX2553">
            <v>15.713059154269443</v>
          </cell>
          <cell r="BY2553">
            <v>32.089978791354113</v>
          </cell>
        </row>
        <row r="2554">
          <cell r="A2554">
            <v>43102</v>
          </cell>
          <cell r="BF2554">
            <v>49.351974916110656</v>
          </cell>
          <cell r="BG2554">
            <v>45.468715051806292</v>
          </cell>
          <cell r="BH2554">
            <v>42.408178994289898</v>
          </cell>
          <cell r="BI2554">
            <v>30.406703917126244</v>
          </cell>
          <cell r="BJ2554">
            <v>54.409654071453552</v>
          </cell>
          <cell r="BU2554">
            <v>32.989196789340696</v>
          </cell>
          <cell r="BV2554">
            <v>29.635401891862816</v>
          </cell>
          <cell r="BW2554">
            <v>23.901518972811779</v>
          </cell>
          <cell r="BX2554">
            <v>15.713059154269443</v>
          </cell>
          <cell r="BY2554">
            <v>32.089978791354113</v>
          </cell>
        </row>
        <row r="2555">
          <cell r="A2555">
            <v>43103</v>
          </cell>
          <cell r="BF2555">
            <v>50.687551488258784</v>
          </cell>
          <cell r="BG2555">
            <v>45.468715051806292</v>
          </cell>
          <cell r="BH2555">
            <v>42.408178994289898</v>
          </cell>
          <cell r="BI2555">
            <v>30.406703917126244</v>
          </cell>
          <cell r="BJ2555">
            <v>54.409654071453552</v>
          </cell>
          <cell r="BU2555">
            <v>34.032909793960187</v>
          </cell>
          <cell r="BV2555">
            <v>29.635401891862816</v>
          </cell>
          <cell r="BW2555">
            <v>23.901518972811779</v>
          </cell>
          <cell r="BX2555">
            <v>15.713059154269443</v>
          </cell>
          <cell r="BY2555">
            <v>32.089978791354113</v>
          </cell>
        </row>
        <row r="2556">
          <cell r="A2556">
            <v>43104</v>
          </cell>
          <cell r="BF2556">
            <v>51.275150292520955</v>
          </cell>
          <cell r="BG2556">
            <v>45.468715051806292</v>
          </cell>
          <cell r="BH2556">
            <v>42.408178994289898</v>
          </cell>
          <cell r="BI2556">
            <v>30.406703917126244</v>
          </cell>
          <cell r="BJ2556">
            <v>54.409654071453552</v>
          </cell>
          <cell r="BU2556">
            <v>34.032909793960187</v>
          </cell>
          <cell r="BV2556">
            <v>29.635401891862816</v>
          </cell>
          <cell r="BW2556">
            <v>23.901518972811779</v>
          </cell>
          <cell r="BX2556">
            <v>15.713059154269443</v>
          </cell>
          <cell r="BY2556">
            <v>32.089978791354113</v>
          </cell>
        </row>
        <row r="2557">
          <cell r="A2557">
            <v>43105</v>
          </cell>
          <cell r="BF2557">
            <v>50.235809462656867</v>
          </cell>
          <cell r="BG2557">
            <v>45.468715051806292</v>
          </cell>
          <cell r="BH2557">
            <v>42.408178994289898</v>
          </cell>
          <cell r="BI2557">
            <v>30.406703917126244</v>
          </cell>
          <cell r="BJ2557">
            <v>54.409654071453552</v>
          </cell>
          <cell r="BU2557">
            <v>33.799742255715699</v>
          </cell>
          <cell r="BV2557">
            <v>29.635401891862816</v>
          </cell>
          <cell r="BW2557">
            <v>23.901518972811779</v>
          </cell>
          <cell r="BX2557">
            <v>15.713059154269443</v>
          </cell>
          <cell r="BY2557">
            <v>32.089978791354113</v>
          </cell>
        </row>
        <row r="2558">
          <cell r="A2558">
            <v>43108</v>
          </cell>
          <cell r="BF2558">
            <v>49.991422608541299</v>
          </cell>
          <cell r="BG2558">
            <v>45.468715051806292</v>
          </cell>
          <cell r="BH2558">
            <v>42.408178994289898</v>
          </cell>
          <cell r="BI2558">
            <v>30.406703917126244</v>
          </cell>
          <cell r="BJ2558">
            <v>54.409654071453552</v>
          </cell>
          <cell r="BU2558">
            <v>33.631603743710471</v>
          </cell>
          <cell r="BV2558">
            <v>29.635401891862816</v>
          </cell>
          <cell r="BW2558">
            <v>23.901518972811779</v>
          </cell>
          <cell r="BX2558">
            <v>15.713059154269443</v>
          </cell>
          <cell r="BY2558">
            <v>32.089978791354113</v>
          </cell>
        </row>
        <row r="2559">
          <cell r="A2559">
            <v>43109</v>
          </cell>
          <cell r="BF2559">
            <v>53.434080730652738</v>
          </cell>
          <cell r="BG2559">
            <v>45.468715051806292</v>
          </cell>
          <cell r="BH2559">
            <v>42.408178994289898</v>
          </cell>
          <cell r="BI2559">
            <v>30.406703917126244</v>
          </cell>
          <cell r="BJ2559">
            <v>54.409654071453552</v>
          </cell>
          <cell r="BU2559">
            <v>33.556252783303918</v>
          </cell>
          <cell r="BV2559">
            <v>29.635401891862816</v>
          </cell>
          <cell r="BW2559">
            <v>23.901518972811779</v>
          </cell>
          <cell r="BX2559">
            <v>15.713059154269443</v>
          </cell>
          <cell r="BY2559">
            <v>32.089978791354113</v>
          </cell>
        </row>
        <row r="2560">
          <cell r="A2560">
            <v>43110</v>
          </cell>
          <cell r="BF2560">
            <v>53.386080975166934</v>
          </cell>
          <cell r="BG2560">
            <v>45.468715051806292</v>
          </cell>
          <cell r="BH2560">
            <v>42.408178994289898</v>
          </cell>
          <cell r="BI2560">
            <v>30.406703917126244</v>
          </cell>
          <cell r="BJ2560">
            <v>54.409654071453552</v>
          </cell>
          <cell r="BU2560">
            <v>35.903419017302603</v>
          </cell>
          <cell r="BV2560">
            <v>29.635401891862816</v>
          </cell>
          <cell r="BW2560">
            <v>23.901518972811779</v>
          </cell>
          <cell r="BX2560">
            <v>15.713059154269443</v>
          </cell>
          <cell r="BY2560">
            <v>32.089978791354113</v>
          </cell>
        </row>
        <row r="2561">
          <cell r="A2561">
            <v>43111</v>
          </cell>
          <cell r="BF2561">
            <v>52.824909836675332</v>
          </cell>
          <cell r="BG2561">
            <v>45.468715051806292</v>
          </cell>
          <cell r="BH2561">
            <v>42.408178994289898</v>
          </cell>
          <cell r="BI2561">
            <v>30.406703917126244</v>
          </cell>
          <cell r="BJ2561">
            <v>54.409654071453552</v>
          </cell>
          <cell r="BU2561">
            <v>35.518020152501713</v>
          </cell>
          <cell r="BV2561">
            <v>29.635401891862816</v>
          </cell>
          <cell r="BW2561">
            <v>23.901518972811779</v>
          </cell>
          <cell r="BX2561">
            <v>15.713059154269443</v>
          </cell>
          <cell r="BY2561">
            <v>32.089978791354113</v>
          </cell>
        </row>
        <row r="2562">
          <cell r="A2562">
            <v>43112</v>
          </cell>
          <cell r="BF2562">
            <v>53.854826126813393</v>
          </cell>
          <cell r="BG2562">
            <v>45.468715051806292</v>
          </cell>
          <cell r="BH2562">
            <v>42.408178994289898</v>
          </cell>
          <cell r="BI2562">
            <v>30.406703917126244</v>
          </cell>
          <cell r="BJ2562">
            <v>54.409654071453552</v>
          </cell>
          <cell r="BU2562">
            <v>36.22534193338673</v>
          </cell>
          <cell r="BV2562">
            <v>29.635401891862816</v>
          </cell>
          <cell r="BW2562">
            <v>23.901518972811779</v>
          </cell>
          <cell r="BX2562">
            <v>15.713059154269443</v>
          </cell>
          <cell r="BY2562">
            <v>32.089978791354113</v>
          </cell>
        </row>
        <row r="2563">
          <cell r="A2563">
            <v>43115</v>
          </cell>
          <cell r="BF2563">
            <v>53.772169226763339</v>
          </cell>
          <cell r="BG2563">
            <v>45.468715051806292</v>
          </cell>
          <cell r="BH2563">
            <v>42.408178994289898</v>
          </cell>
          <cell r="BI2563">
            <v>30.406703917126244</v>
          </cell>
          <cell r="BJ2563">
            <v>54.409654071453552</v>
          </cell>
          <cell r="BU2563">
            <v>36.175277025732932</v>
          </cell>
          <cell r="BV2563">
            <v>29.635401891862816</v>
          </cell>
          <cell r="BW2563">
            <v>23.901518972811779</v>
          </cell>
          <cell r="BX2563">
            <v>15.713059154269443</v>
          </cell>
          <cell r="BY2563">
            <v>32.089978791354113</v>
          </cell>
        </row>
        <row r="2564">
          <cell r="A2564">
            <v>43116</v>
          </cell>
          <cell r="BF2564">
            <v>52.980742854013293</v>
          </cell>
          <cell r="BG2564">
            <v>45.468715051806292</v>
          </cell>
          <cell r="BH2564">
            <v>42.408178994289898</v>
          </cell>
          <cell r="BI2564">
            <v>30.406703917126244</v>
          </cell>
          <cell r="BJ2564">
            <v>54.409654071453552</v>
          </cell>
          <cell r="BU2564">
            <v>36.163139772293434</v>
          </cell>
          <cell r="BV2564">
            <v>29.635401891862816</v>
          </cell>
          <cell r="BW2564">
            <v>23.901518972811779</v>
          </cell>
          <cell r="BX2564">
            <v>15.713059154269443</v>
          </cell>
          <cell r="BY2564">
            <v>32.089978791354113</v>
          </cell>
        </row>
        <row r="2565">
          <cell r="A2565">
            <v>43117</v>
          </cell>
          <cell r="BF2565">
            <v>53.123752220125041</v>
          </cell>
          <cell r="BG2565">
            <v>45.468715051806292</v>
          </cell>
          <cell r="BH2565">
            <v>42.408178994289898</v>
          </cell>
          <cell r="BI2565">
            <v>30.406703917126244</v>
          </cell>
          <cell r="BJ2565">
            <v>54.409654071453552</v>
          </cell>
          <cell r="BU2565">
            <v>35.760303555747285</v>
          </cell>
          <cell r="BV2565">
            <v>29.635401891862816</v>
          </cell>
          <cell r="BW2565">
            <v>23.901518972811779</v>
          </cell>
          <cell r="BX2565">
            <v>15.713059154269443</v>
          </cell>
          <cell r="BY2565">
            <v>32.089978791354113</v>
          </cell>
        </row>
        <row r="2566">
          <cell r="A2566">
            <v>43118</v>
          </cell>
          <cell r="BF2566">
            <v>52.169495189714617</v>
          </cell>
          <cell r="BG2566">
            <v>45.468715051806292</v>
          </cell>
          <cell r="BH2566">
            <v>42.408178994289898</v>
          </cell>
          <cell r="BI2566">
            <v>30.406703917126244</v>
          </cell>
          <cell r="BJ2566">
            <v>54.409654071453552</v>
          </cell>
          <cell r="BU2566">
            <v>35.744241547571384</v>
          </cell>
          <cell r="BV2566">
            <v>29.635401891862816</v>
          </cell>
          <cell r="BW2566">
            <v>23.901518972811779</v>
          </cell>
          <cell r="BX2566">
            <v>15.713059154269443</v>
          </cell>
          <cell r="BY2566">
            <v>32.089978791354113</v>
          </cell>
        </row>
        <row r="2567">
          <cell r="A2567">
            <v>43119</v>
          </cell>
          <cell r="BF2567">
            <v>52.65393058711674</v>
          </cell>
          <cell r="BG2567">
            <v>45.468715051806292</v>
          </cell>
          <cell r="BH2567">
            <v>42.408178994289898</v>
          </cell>
          <cell r="BI2567">
            <v>30.406703917126244</v>
          </cell>
          <cell r="BJ2567">
            <v>54.409654071453552</v>
          </cell>
          <cell r="BU2567">
            <v>35.970452780153842</v>
          </cell>
          <cell r="BV2567">
            <v>29.635401891862816</v>
          </cell>
          <cell r="BW2567">
            <v>23.901518972811779</v>
          </cell>
          <cell r="BX2567">
            <v>15.713059154269443</v>
          </cell>
          <cell r="BY2567">
            <v>32.089978791354113</v>
          </cell>
        </row>
        <row r="2568">
          <cell r="A2568">
            <v>43122</v>
          </cell>
          <cell r="BF2568">
            <v>53.021698983642757</v>
          </cell>
          <cell r="BG2568">
            <v>45.468715051806292</v>
          </cell>
          <cell r="BH2568">
            <v>42.408178994289898</v>
          </cell>
          <cell r="BI2568">
            <v>30.406703917126244</v>
          </cell>
          <cell r="BJ2568">
            <v>54.409654071453552</v>
          </cell>
          <cell r="BU2568">
            <v>36.176404580613074</v>
          </cell>
          <cell r="BV2568">
            <v>29.635401891862816</v>
          </cell>
          <cell r="BW2568">
            <v>23.901518972811779</v>
          </cell>
          <cell r="BX2568">
            <v>15.713059154269443</v>
          </cell>
          <cell r="BY2568">
            <v>32.089978791354113</v>
          </cell>
        </row>
        <row r="2569">
          <cell r="A2569">
            <v>43123</v>
          </cell>
          <cell r="BF2569">
            <v>52.535142362868541</v>
          </cell>
          <cell r="BG2569">
            <v>45.468715051806292</v>
          </cell>
          <cell r="BH2569">
            <v>42.408178994289898</v>
          </cell>
          <cell r="BI2569">
            <v>30.406703917126244</v>
          </cell>
          <cell r="BJ2569">
            <v>54.409654071453552</v>
          </cell>
          <cell r="BU2569">
            <v>35.837470763475245</v>
          </cell>
          <cell r="BV2569">
            <v>29.635401891862816</v>
          </cell>
          <cell r="BW2569">
            <v>23.901518972811779</v>
          </cell>
          <cell r="BX2569">
            <v>15.713059154269443</v>
          </cell>
          <cell r="BY2569">
            <v>32.089978791354113</v>
          </cell>
        </row>
        <row r="2570">
          <cell r="A2570">
            <v>43124</v>
          </cell>
          <cell r="BF2570">
            <v>52.437831038713703</v>
          </cell>
          <cell r="BG2570">
            <v>45.468715051806292</v>
          </cell>
          <cell r="BH2570">
            <v>42.408178994289898</v>
          </cell>
          <cell r="BI2570">
            <v>30.406703917126244</v>
          </cell>
          <cell r="BJ2570">
            <v>54.409654071453552</v>
          </cell>
          <cell r="BU2570">
            <v>35.73447059929287</v>
          </cell>
          <cell r="BV2570">
            <v>29.635401891862816</v>
          </cell>
          <cell r="BW2570">
            <v>23.901518972811779</v>
          </cell>
          <cell r="BX2570">
            <v>15.713059154269443</v>
          </cell>
          <cell r="BY2570">
            <v>32.089978791354113</v>
          </cell>
        </row>
        <row r="2571">
          <cell r="A2571">
            <v>43125</v>
          </cell>
          <cell r="BF2571">
            <v>52.632451524549516</v>
          </cell>
          <cell r="BG2571">
            <v>45.468715051806292</v>
          </cell>
          <cell r="BH2571">
            <v>42.408178994289898</v>
          </cell>
          <cell r="BI2571">
            <v>30.406703917126244</v>
          </cell>
          <cell r="BJ2571">
            <v>54.409654071453552</v>
          </cell>
          <cell r="BU2571">
            <v>35.73447059929287</v>
          </cell>
          <cell r="BV2571">
            <v>29.635401891862816</v>
          </cell>
          <cell r="BW2571">
            <v>23.901518972811779</v>
          </cell>
          <cell r="BX2571">
            <v>15.713059154269443</v>
          </cell>
          <cell r="BY2571">
            <v>32.089978791354113</v>
          </cell>
        </row>
        <row r="2572">
          <cell r="A2572">
            <v>43126</v>
          </cell>
          <cell r="BF2572">
            <v>52.942743213763713</v>
          </cell>
          <cell r="BG2572">
            <v>45.468715051806292</v>
          </cell>
          <cell r="BH2572">
            <v>42.408178994289898</v>
          </cell>
          <cell r="BI2572">
            <v>30.406703917126244</v>
          </cell>
          <cell r="BJ2572">
            <v>54.409654071453552</v>
          </cell>
          <cell r="BU2572">
            <v>36.086617859498929</v>
          </cell>
          <cell r="BV2572">
            <v>29.635401891862816</v>
          </cell>
          <cell r="BW2572">
            <v>23.901518972811779</v>
          </cell>
          <cell r="BX2572">
            <v>15.713059154269443</v>
          </cell>
          <cell r="BY2572">
            <v>32.089978791354113</v>
          </cell>
        </row>
        <row r="2573">
          <cell r="A2573">
            <v>43129</v>
          </cell>
          <cell r="BF2573">
            <v>52.177394076043299</v>
          </cell>
          <cell r="BG2573">
            <v>45.468715051806292</v>
          </cell>
          <cell r="BH2573">
            <v>42.408178994289898</v>
          </cell>
          <cell r="BI2573">
            <v>30.406703917126244</v>
          </cell>
          <cell r="BJ2573">
            <v>54.409654071453552</v>
          </cell>
          <cell r="BU2573">
            <v>35.473698135477925</v>
          </cell>
          <cell r="BV2573">
            <v>29.635401891862816</v>
          </cell>
          <cell r="BW2573">
            <v>23.901518972811779</v>
          </cell>
          <cell r="BX2573">
            <v>15.713059154269443</v>
          </cell>
          <cell r="BY2573">
            <v>32.089978791354113</v>
          </cell>
        </row>
        <row r="2574">
          <cell r="A2574">
            <v>43130</v>
          </cell>
          <cell r="BF2574">
            <v>52.047910924229143</v>
          </cell>
          <cell r="BG2574">
            <v>45.468715051806292</v>
          </cell>
          <cell r="BH2574">
            <v>42.408178994289898</v>
          </cell>
          <cell r="BI2574">
            <v>30.406703917126244</v>
          </cell>
          <cell r="BJ2574">
            <v>54.409654071453552</v>
          </cell>
          <cell r="BU2574">
            <v>35.322762451460527</v>
          </cell>
          <cell r="BV2574">
            <v>29.635401891862816</v>
          </cell>
          <cell r="BW2574">
            <v>23.901518972811779</v>
          </cell>
          <cell r="BX2574">
            <v>15.713059154269443</v>
          </cell>
          <cell r="BY2574">
            <v>32.089978791354113</v>
          </cell>
        </row>
        <row r="2575">
          <cell r="A2575">
            <v>43131</v>
          </cell>
          <cell r="BF2575">
            <v>50.023832135758774</v>
          </cell>
          <cell r="BG2575">
            <v>45.468715051806292</v>
          </cell>
          <cell r="BH2575">
            <v>42.408178994289898</v>
          </cell>
          <cell r="BI2575">
            <v>30.406703917126244</v>
          </cell>
          <cell r="BJ2575">
            <v>54.409654071453552</v>
          </cell>
          <cell r="BU2575">
            <v>35.370454448856769</v>
          </cell>
          <cell r="BV2575">
            <v>29.635401891862816</v>
          </cell>
          <cell r="BW2575">
            <v>23.901518972811779</v>
          </cell>
          <cell r="BX2575">
            <v>15.713059154269443</v>
          </cell>
          <cell r="BY2575">
            <v>32.089978791354113</v>
          </cell>
        </row>
        <row r="2576">
          <cell r="A2576">
            <v>43132</v>
          </cell>
          <cell r="BF2576">
            <v>48.91592948550543</v>
          </cell>
          <cell r="BG2576">
            <v>45.468715051806292</v>
          </cell>
          <cell r="BH2576">
            <v>42.408178994289898</v>
          </cell>
          <cell r="BI2576">
            <v>30.406703917126244</v>
          </cell>
          <cell r="BJ2576">
            <v>54.409654071453552</v>
          </cell>
          <cell r="BU2576">
            <v>33.179781215934909</v>
          </cell>
          <cell r="BV2576">
            <v>29.635401891862816</v>
          </cell>
          <cell r="BW2576">
            <v>23.901518972811779</v>
          </cell>
          <cell r="BX2576">
            <v>15.713059154269443</v>
          </cell>
          <cell r="BY2576">
            <v>32.089978791354113</v>
          </cell>
        </row>
        <row r="2577">
          <cell r="A2577">
            <v>43133</v>
          </cell>
          <cell r="BF2577">
            <v>46.768463042766022</v>
          </cell>
          <cell r="BG2577">
            <v>45.468715051806292</v>
          </cell>
          <cell r="BH2577">
            <v>42.408178994289898</v>
          </cell>
          <cell r="BI2577">
            <v>30.406703917126244</v>
          </cell>
          <cell r="BJ2577">
            <v>54.409654071453552</v>
          </cell>
          <cell r="BU2577">
            <v>31.686372677954736</v>
          </cell>
          <cell r="BV2577">
            <v>29.635401891862816</v>
          </cell>
          <cell r="BW2577">
            <v>23.901518972811779</v>
          </cell>
          <cell r="BX2577">
            <v>15.713059154269443</v>
          </cell>
          <cell r="BY2577">
            <v>32.089978791354113</v>
          </cell>
        </row>
        <row r="2578">
          <cell r="A2578">
            <v>43136</v>
          </cell>
          <cell r="BF2578">
            <v>45.24335828916869</v>
          </cell>
          <cell r="BG2578">
            <v>45.468715051806292</v>
          </cell>
          <cell r="BH2578">
            <v>42.408178994289898</v>
          </cell>
          <cell r="BI2578">
            <v>30.406703917126244</v>
          </cell>
          <cell r="BJ2578">
            <v>54.409654071453552</v>
          </cell>
          <cell r="BU2578">
            <v>31.686372677954736</v>
          </cell>
          <cell r="BV2578">
            <v>29.635401891862816</v>
          </cell>
          <cell r="BW2578">
            <v>23.901518972811779</v>
          </cell>
          <cell r="BX2578">
            <v>15.713059154269443</v>
          </cell>
          <cell r="BY2578">
            <v>32.089978791354113</v>
          </cell>
        </row>
        <row r="2579">
          <cell r="A2579">
            <v>43137</v>
          </cell>
          <cell r="BF2579">
            <v>46.893917383460504</v>
          </cell>
          <cell r="BG2579">
            <v>45.468715051806292</v>
          </cell>
          <cell r="BH2579">
            <v>42.408178994289898</v>
          </cell>
          <cell r="BI2579">
            <v>30.406703917126244</v>
          </cell>
          <cell r="BJ2579">
            <v>54.409654071453552</v>
          </cell>
          <cell r="BU2579">
            <v>31.777958061499056</v>
          </cell>
          <cell r="BV2579">
            <v>29.635401891862816</v>
          </cell>
          <cell r="BW2579">
            <v>23.901518972811779</v>
          </cell>
          <cell r="BX2579">
            <v>15.713059154269443</v>
          </cell>
          <cell r="BY2579">
            <v>32.089978791354113</v>
          </cell>
        </row>
        <row r="2580">
          <cell r="A2580">
            <v>43138</v>
          </cell>
          <cell r="BF2580">
            <v>46.978868004677459</v>
          </cell>
          <cell r="BG2580">
            <v>45.468715051806292</v>
          </cell>
          <cell r="BH2580">
            <v>42.408178994289898</v>
          </cell>
          <cell r="BI2580">
            <v>30.406703917126244</v>
          </cell>
          <cell r="BJ2580">
            <v>54.409654071453552</v>
          </cell>
          <cell r="BU2580">
            <v>31.837042975555111</v>
          </cell>
          <cell r="BV2580">
            <v>29.635401891862816</v>
          </cell>
          <cell r="BW2580">
            <v>23.901518972811779</v>
          </cell>
          <cell r="BX2580">
            <v>15.713059154269443</v>
          </cell>
          <cell r="BY2580">
            <v>32.089978791354113</v>
          </cell>
        </row>
        <row r="2581">
          <cell r="A2581">
            <v>43139</v>
          </cell>
          <cell r="BF2581">
            <v>44.502495486890211</v>
          </cell>
          <cell r="BG2581">
            <v>45.468715051806292</v>
          </cell>
          <cell r="BH2581">
            <v>42.408178994289898</v>
          </cell>
          <cell r="BI2581">
            <v>30.406703917126244</v>
          </cell>
          <cell r="BJ2581">
            <v>54.409654071453552</v>
          </cell>
          <cell r="BU2581">
            <v>31.837042975555111</v>
          </cell>
          <cell r="BV2581">
            <v>29.635401891862816</v>
          </cell>
          <cell r="BW2581">
            <v>23.901518972811779</v>
          </cell>
          <cell r="BX2581">
            <v>15.713059154269443</v>
          </cell>
          <cell r="BY2581">
            <v>32.089978791354113</v>
          </cell>
        </row>
        <row r="2582">
          <cell r="A2582">
            <v>43140</v>
          </cell>
          <cell r="BF2582">
            <v>46.131905368608123</v>
          </cell>
          <cell r="BG2582">
            <v>45.468715051806292</v>
          </cell>
          <cell r="BH2582">
            <v>42.408178994289898</v>
          </cell>
          <cell r="BI2582">
            <v>30.406703917126244</v>
          </cell>
          <cell r="BJ2582">
            <v>54.409654071453552</v>
          </cell>
          <cell r="BU2582">
            <v>31.244713918085704</v>
          </cell>
          <cell r="BV2582">
            <v>29.635401891862816</v>
          </cell>
          <cell r="BW2582">
            <v>23.901518972811779</v>
          </cell>
          <cell r="BX2582">
            <v>15.713059154269443</v>
          </cell>
          <cell r="BY2582">
            <v>32.089978791354113</v>
          </cell>
        </row>
        <row r="2583">
          <cell r="A2583">
            <v>43143</v>
          </cell>
          <cell r="BF2583">
            <v>46.95847076382644</v>
          </cell>
          <cell r="BG2583">
            <v>45.468715051806292</v>
          </cell>
          <cell r="BH2583">
            <v>42.408178994289898</v>
          </cell>
          <cell r="BI2583">
            <v>30.406703917126244</v>
          </cell>
          <cell r="BJ2583">
            <v>54.409654071453552</v>
          </cell>
          <cell r="BU2583">
            <v>31.826679195300528</v>
          </cell>
          <cell r="BV2583">
            <v>29.635401891862816</v>
          </cell>
          <cell r="BW2583">
            <v>23.901518972811779</v>
          </cell>
          <cell r="BX2583">
            <v>15.713059154269443</v>
          </cell>
          <cell r="BY2583">
            <v>32.089978791354113</v>
          </cell>
        </row>
        <row r="2584">
          <cell r="A2584">
            <v>43144</v>
          </cell>
          <cell r="BF2584">
            <v>46.833125660600864</v>
          </cell>
          <cell r="BG2584">
            <v>45.468715051806292</v>
          </cell>
          <cell r="BH2584">
            <v>42.408178994289898</v>
          </cell>
          <cell r="BI2584">
            <v>30.406703917126244</v>
          </cell>
          <cell r="BJ2584">
            <v>54.409654071453552</v>
          </cell>
          <cell r="BU2584">
            <v>31.962622049233822</v>
          </cell>
          <cell r="BV2584">
            <v>29.635401891862816</v>
          </cell>
          <cell r="BW2584">
            <v>23.901518972811779</v>
          </cell>
          <cell r="BX2584">
            <v>15.713059154269443</v>
          </cell>
          <cell r="BY2584">
            <v>32.089978791354113</v>
          </cell>
        </row>
        <row r="2585">
          <cell r="A2585">
            <v>43145</v>
          </cell>
          <cell r="BF2585">
            <v>47.400374979423717</v>
          </cell>
          <cell r="BG2585">
            <v>45.468715051806292</v>
          </cell>
          <cell r="BH2585">
            <v>42.408178994289898</v>
          </cell>
          <cell r="BI2585">
            <v>30.406703917126244</v>
          </cell>
          <cell r="BJ2585">
            <v>54.409654071453552</v>
          </cell>
          <cell r="BU2585">
            <v>32.456070267706444</v>
          </cell>
          <cell r="BV2585">
            <v>29.635401891862816</v>
          </cell>
          <cell r="BW2585">
            <v>23.901518972811779</v>
          </cell>
          <cell r="BX2585">
            <v>15.713059154269443</v>
          </cell>
          <cell r="BY2585">
            <v>32.089978791354113</v>
          </cell>
        </row>
        <row r="2586">
          <cell r="A2586">
            <v>43146</v>
          </cell>
          <cell r="BF2586">
            <v>48.66305829882652</v>
          </cell>
          <cell r="BG2586">
            <v>45.468715051806292</v>
          </cell>
          <cell r="BH2586">
            <v>42.408178994289898</v>
          </cell>
          <cell r="BI2586">
            <v>30.406703917126244</v>
          </cell>
          <cell r="BJ2586">
            <v>54.409654071453552</v>
          </cell>
          <cell r="BU2586">
            <v>32.456070267706444</v>
          </cell>
          <cell r="BV2586">
            <v>29.635401891862816</v>
          </cell>
          <cell r="BW2586">
            <v>23.901518972811779</v>
          </cell>
          <cell r="BX2586">
            <v>15.713059154269443</v>
          </cell>
          <cell r="BY2586">
            <v>32.089978791354113</v>
          </cell>
        </row>
        <row r="2587">
          <cell r="A2587">
            <v>43147</v>
          </cell>
          <cell r="BF2587">
            <v>48.677922905389124</v>
          </cell>
          <cell r="BG2587">
            <v>45.468715051806292</v>
          </cell>
          <cell r="BH2587">
            <v>42.408178994289898</v>
          </cell>
          <cell r="BI2587">
            <v>30.406703917126244</v>
          </cell>
          <cell r="BJ2587">
            <v>54.409654071453552</v>
          </cell>
          <cell r="BU2587">
            <v>33.362234937005461</v>
          </cell>
          <cell r="BV2587">
            <v>29.635401891862816</v>
          </cell>
          <cell r="BW2587">
            <v>23.901518972811779</v>
          </cell>
          <cell r="BX2587">
            <v>15.713059154269443</v>
          </cell>
          <cell r="BY2587">
            <v>32.089978791354113</v>
          </cell>
        </row>
        <row r="2588">
          <cell r="A2588">
            <v>43150</v>
          </cell>
          <cell r="BF2588">
            <v>48.677922905389124</v>
          </cell>
          <cell r="BG2588">
            <v>45.468715051806292</v>
          </cell>
          <cell r="BH2588">
            <v>42.408178994289898</v>
          </cell>
          <cell r="BI2588">
            <v>30.406703917126244</v>
          </cell>
          <cell r="BJ2588">
            <v>54.409654071453552</v>
          </cell>
          <cell r="BU2588">
            <v>33.362240565336293</v>
          </cell>
          <cell r="BV2588">
            <v>29.635401891862816</v>
          </cell>
          <cell r="BW2588">
            <v>23.901518972811779</v>
          </cell>
          <cell r="BX2588">
            <v>15.713059154269443</v>
          </cell>
          <cell r="BY2588">
            <v>32.089978791354113</v>
          </cell>
        </row>
        <row r="2589">
          <cell r="A2589">
            <v>43151</v>
          </cell>
          <cell r="BF2589">
            <v>48.119360730598792</v>
          </cell>
          <cell r="BG2589">
            <v>45.468715051806292</v>
          </cell>
          <cell r="BH2589">
            <v>42.408178994289898</v>
          </cell>
          <cell r="BI2589">
            <v>30.406703917126244</v>
          </cell>
          <cell r="BJ2589">
            <v>54.409654071453552</v>
          </cell>
          <cell r="BU2589">
            <v>33.362240565336293</v>
          </cell>
          <cell r="BV2589">
            <v>29.635401891862816</v>
          </cell>
          <cell r="BW2589">
            <v>23.901518972811779</v>
          </cell>
          <cell r="BX2589">
            <v>15.713059154269443</v>
          </cell>
          <cell r="BY2589">
            <v>32.089978791354113</v>
          </cell>
        </row>
        <row r="2590">
          <cell r="A2590">
            <v>43152</v>
          </cell>
          <cell r="BF2590">
            <v>48.404637777609935</v>
          </cell>
          <cell r="BG2590">
            <v>45.468715051806292</v>
          </cell>
          <cell r="BH2590">
            <v>42.408178994289898</v>
          </cell>
          <cell r="BI2590">
            <v>30.406703917126244</v>
          </cell>
          <cell r="BJ2590">
            <v>54.409654071453552</v>
          </cell>
          <cell r="BU2590">
            <v>33.170288739222983</v>
          </cell>
          <cell r="BV2590">
            <v>29.635401891862816</v>
          </cell>
          <cell r="BW2590">
            <v>23.901518972811779</v>
          </cell>
          <cell r="BX2590">
            <v>15.713059154269443</v>
          </cell>
          <cell r="BY2590">
            <v>32.089978791354113</v>
          </cell>
        </row>
        <row r="2591">
          <cell r="A2591">
            <v>43153</v>
          </cell>
          <cell r="BF2591">
            <v>48.156147480058706</v>
          </cell>
          <cell r="BG2591">
            <v>45.468715051806292</v>
          </cell>
          <cell r="BH2591">
            <v>42.408178994289898</v>
          </cell>
          <cell r="BI2591">
            <v>30.406703917126244</v>
          </cell>
          <cell r="BJ2591">
            <v>54.409654071453552</v>
          </cell>
          <cell r="BU2591">
            <v>32.996196652148278</v>
          </cell>
          <cell r="BV2591">
            <v>29.635401891862816</v>
          </cell>
          <cell r="BW2591">
            <v>23.901518972811779</v>
          </cell>
          <cell r="BX2591">
            <v>15.713059154269443</v>
          </cell>
          <cell r="BY2591">
            <v>32.089978791354113</v>
          </cell>
        </row>
        <row r="2592">
          <cell r="A2592">
            <v>43154</v>
          </cell>
          <cell r="BF2592">
            <v>49.664077931093537</v>
          </cell>
          <cell r="BG2592">
            <v>45.468715051806292</v>
          </cell>
          <cell r="BH2592">
            <v>42.408178994289898</v>
          </cell>
          <cell r="BI2592">
            <v>30.406703917126244</v>
          </cell>
          <cell r="BJ2592">
            <v>54.409654071453552</v>
          </cell>
          <cell r="BU2592">
            <v>34.05265141907951</v>
          </cell>
          <cell r="BV2592">
            <v>29.635401891862816</v>
          </cell>
          <cell r="BW2592">
            <v>23.901518972811779</v>
          </cell>
          <cell r="BX2592">
            <v>15.713059154269443</v>
          </cell>
          <cell r="BY2592">
            <v>32.089978791354113</v>
          </cell>
        </row>
        <row r="2593">
          <cell r="A2593">
            <v>43157</v>
          </cell>
          <cell r="BF2593">
            <v>49.577000134515757</v>
          </cell>
          <cell r="BG2593">
            <v>45.468715051806292</v>
          </cell>
          <cell r="BH2593">
            <v>42.408178994289898</v>
          </cell>
          <cell r="BI2593">
            <v>30.406703917126244</v>
          </cell>
          <cell r="BJ2593">
            <v>54.409654071453552</v>
          </cell>
          <cell r="BU2593">
            <v>33.991644790275551</v>
          </cell>
          <cell r="BV2593">
            <v>29.635401891862816</v>
          </cell>
          <cell r="BW2593">
            <v>23.901518972811779</v>
          </cell>
          <cell r="BX2593">
            <v>15.713059154269443</v>
          </cell>
          <cell r="BY2593">
            <v>32.089978791354113</v>
          </cell>
        </row>
        <row r="2594">
          <cell r="A2594">
            <v>43158</v>
          </cell>
          <cell r="BF2594">
            <v>48.791176116618701</v>
          </cell>
          <cell r="BG2594">
            <v>45.468715051806292</v>
          </cell>
          <cell r="BH2594">
            <v>42.408178994289898</v>
          </cell>
          <cell r="BI2594">
            <v>30.406703917126244</v>
          </cell>
          <cell r="BJ2594">
            <v>54.409654071453552</v>
          </cell>
          <cell r="BU2594">
            <v>33.991644790275551</v>
          </cell>
          <cell r="BV2594">
            <v>29.635401891862816</v>
          </cell>
          <cell r="BW2594">
            <v>23.901518972811779</v>
          </cell>
          <cell r="BX2594">
            <v>15.713059154269443</v>
          </cell>
          <cell r="BY2594">
            <v>32.089978791354113</v>
          </cell>
        </row>
        <row r="2595">
          <cell r="A2595">
            <v>43159</v>
          </cell>
          <cell r="BF2595">
            <v>48.425600311487592</v>
          </cell>
          <cell r="BG2595">
            <v>45.468715051806292</v>
          </cell>
          <cell r="BH2595">
            <v>42.408178994289898</v>
          </cell>
          <cell r="BI2595">
            <v>30.406703917126244</v>
          </cell>
          <cell r="BJ2595">
            <v>54.409654071453552</v>
          </cell>
          <cell r="BU2595">
            <v>33.191147143676297</v>
          </cell>
          <cell r="BV2595">
            <v>29.635401891862816</v>
          </cell>
          <cell r="BW2595">
            <v>23.901518972811779</v>
          </cell>
          <cell r="BX2595">
            <v>15.713059154269443</v>
          </cell>
          <cell r="BY2595">
            <v>32.089978791354113</v>
          </cell>
        </row>
        <row r="2596">
          <cell r="A2596">
            <v>43160</v>
          </cell>
          <cell r="BF2596">
            <v>47.093120805369125</v>
          </cell>
          <cell r="BG2596">
            <v>45.468715051806292</v>
          </cell>
          <cell r="BH2596">
            <v>42.408178994289898</v>
          </cell>
          <cell r="BI2596">
            <v>30.406703917126244</v>
          </cell>
          <cell r="BJ2596">
            <v>54.409654071453552</v>
          </cell>
          <cell r="BU2596">
            <v>32.747697653417006</v>
          </cell>
          <cell r="BV2596">
            <v>29.635401891862816</v>
          </cell>
          <cell r="BW2596">
            <v>23.901518972811779</v>
          </cell>
          <cell r="BX2596">
            <v>15.713059154269443</v>
          </cell>
          <cell r="BY2596">
            <v>32.089978791354113</v>
          </cell>
        </row>
        <row r="2597">
          <cell r="A2597">
            <v>43161</v>
          </cell>
          <cell r="BF2597">
            <v>48.069382747121374</v>
          </cell>
          <cell r="BG2597">
            <v>45.468715051806292</v>
          </cell>
          <cell r="BH2597">
            <v>42.408178994289898</v>
          </cell>
          <cell r="BI2597">
            <v>30.406703917126244</v>
          </cell>
          <cell r="BJ2597">
            <v>54.409654071453552</v>
          </cell>
          <cell r="BU2597">
            <v>32.919511691500773</v>
          </cell>
          <cell r="BV2597">
            <v>29.635401891862816</v>
          </cell>
          <cell r="BW2597">
            <v>23.901518972811779</v>
          </cell>
          <cell r="BX2597">
            <v>15.713059154269443</v>
          </cell>
          <cell r="BY2597">
            <v>32.089978791354113</v>
          </cell>
        </row>
        <row r="2598">
          <cell r="A2598">
            <v>43164</v>
          </cell>
          <cell r="BF2598">
            <v>48.42282088926175</v>
          </cell>
          <cell r="BG2598">
            <v>45.468715051806292</v>
          </cell>
          <cell r="BH2598">
            <v>42.408178994289898</v>
          </cell>
          <cell r="BI2598">
            <v>30.406703917126244</v>
          </cell>
          <cell r="BJ2598">
            <v>54.409654071453552</v>
          </cell>
          <cell r="BU2598">
            <v>33.250265673489601</v>
          </cell>
          <cell r="BV2598">
            <v>29.635401891862816</v>
          </cell>
          <cell r="BW2598">
            <v>23.901518972811779</v>
          </cell>
          <cell r="BX2598">
            <v>15.713059154269443</v>
          </cell>
          <cell r="BY2598">
            <v>32.089978791354113</v>
          </cell>
        </row>
        <row r="2599">
          <cell r="A2599">
            <v>43165</v>
          </cell>
          <cell r="BF2599">
            <v>49.446308724832214</v>
          </cell>
          <cell r="BG2599">
            <v>45.468715051806292</v>
          </cell>
          <cell r="BH2599">
            <v>42.408178994289898</v>
          </cell>
          <cell r="BI2599">
            <v>30.406703917126244</v>
          </cell>
          <cell r="BJ2599">
            <v>54.409654071453552</v>
          </cell>
          <cell r="BU2599">
            <v>33.9685726615132</v>
          </cell>
          <cell r="BV2599">
            <v>29.635401891862816</v>
          </cell>
          <cell r="BW2599">
            <v>23.901518972811779</v>
          </cell>
          <cell r="BX2599">
            <v>15.713059154269443</v>
          </cell>
          <cell r="BY2599">
            <v>32.089978791354113</v>
          </cell>
        </row>
        <row r="2600">
          <cell r="A2600">
            <v>43166</v>
          </cell>
          <cell r="BF2600">
            <v>50.587248322147651</v>
          </cell>
          <cell r="BG2600">
            <v>45.468715051806292</v>
          </cell>
          <cell r="BH2600">
            <v>42.408178994289898</v>
          </cell>
          <cell r="BI2600">
            <v>30.406703917126244</v>
          </cell>
          <cell r="BJ2600">
            <v>54.409654071453552</v>
          </cell>
          <cell r="BU2600">
            <v>34.769309961148714</v>
          </cell>
          <cell r="BV2600">
            <v>29.635401891862816</v>
          </cell>
          <cell r="BW2600">
            <v>23.901518972811779</v>
          </cell>
          <cell r="BX2600">
            <v>15.713059154269443</v>
          </cell>
          <cell r="BY2600">
            <v>32.089978791354113</v>
          </cell>
        </row>
        <row r="2601">
          <cell r="A2601">
            <v>43167</v>
          </cell>
          <cell r="BF2601">
            <v>51.073827600671144</v>
          </cell>
          <cell r="BG2601">
            <v>45.468715051806292</v>
          </cell>
          <cell r="BH2601">
            <v>42.408178994289898</v>
          </cell>
          <cell r="BI2601">
            <v>30.406703917126244</v>
          </cell>
          <cell r="BJ2601">
            <v>54.409654071453552</v>
          </cell>
          <cell r="BU2601">
            <v>34.769309961148714</v>
          </cell>
          <cell r="BV2601">
            <v>29.635401891862816</v>
          </cell>
          <cell r="BW2601">
            <v>23.901518972811779</v>
          </cell>
          <cell r="BX2601">
            <v>15.713059154269443</v>
          </cell>
          <cell r="BY2601">
            <v>32.089978791354113</v>
          </cell>
        </row>
        <row r="2602">
          <cell r="A2602">
            <v>43168</v>
          </cell>
          <cell r="BF2602">
            <v>52.458053691275168</v>
          </cell>
          <cell r="BG2602">
            <v>45.468715051806292</v>
          </cell>
          <cell r="BH2602">
            <v>42.408178994289898</v>
          </cell>
          <cell r="BI2602">
            <v>30.406703917126244</v>
          </cell>
          <cell r="BJ2602">
            <v>54.409654071453552</v>
          </cell>
          <cell r="BU2602">
            <v>36.082283621580487</v>
          </cell>
          <cell r="BV2602">
            <v>29.635401891862816</v>
          </cell>
          <cell r="BW2602">
            <v>23.901518972811779</v>
          </cell>
          <cell r="BX2602">
            <v>15.713059154269443</v>
          </cell>
          <cell r="BY2602">
            <v>32.089978791354113</v>
          </cell>
        </row>
        <row r="2603">
          <cell r="A2603">
            <v>43171</v>
          </cell>
          <cell r="BF2603">
            <v>53.097734899328856</v>
          </cell>
          <cell r="BG2603">
            <v>45.468715051806292</v>
          </cell>
          <cell r="BH2603">
            <v>42.408178994289898</v>
          </cell>
          <cell r="BI2603">
            <v>30.406703917126244</v>
          </cell>
          <cell r="BJ2603">
            <v>54.409654071453552</v>
          </cell>
          <cell r="BU2603">
            <v>36.531226409059961</v>
          </cell>
          <cell r="BV2603">
            <v>29.635401891862816</v>
          </cell>
          <cell r="BW2603">
            <v>23.901518972811779</v>
          </cell>
          <cell r="BX2603">
            <v>15.713059154269443</v>
          </cell>
          <cell r="BY2603">
            <v>32.089978791354113</v>
          </cell>
        </row>
        <row r="2604">
          <cell r="A2604">
            <v>43172</v>
          </cell>
          <cell r="BF2604">
            <v>53.175335570469798</v>
          </cell>
          <cell r="BG2604">
            <v>45.468715051806292</v>
          </cell>
          <cell r="BH2604">
            <v>42.408178994289898</v>
          </cell>
          <cell r="BI2604">
            <v>30.406703917126244</v>
          </cell>
          <cell r="BJ2604">
            <v>54.409654071453552</v>
          </cell>
          <cell r="BU2604">
            <v>36.585688320983699</v>
          </cell>
          <cell r="BV2604">
            <v>29.635401891862816</v>
          </cell>
          <cell r="BW2604">
            <v>23.901518972811779</v>
          </cell>
          <cell r="BX2604">
            <v>15.713059154269443</v>
          </cell>
          <cell r="BY2604">
            <v>32.089978791354113</v>
          </cell>
        </row>
        <row r="2605">
          <cell r="A2605">
            <v>43173</v>
          </cell>
          <cell r="BF2605">
            <v>52.808305369127517</v>
          </cell>
          <cell r="BG2605">
            <v>45.468715051806292</v>
          </cell>
          <cell r="BH2605">
            <v>42.408178994289898</v>
          </cell>
          <cell r="BI2605">
            <v>30.406703917126244</v>
          </cell>
          <cell r="BJ2605">
            <v>54.409654071453552</v>
          </cell>
          <cell r="BU2605">
            <v>36.328098197020068</v>
          </cell>
          <cell r="BV2605">
            <v>29.635401891862816</v>
          </cell>
          <cell r="BW2605">
            <v>23.901518972811779</v>
          </cell>
          <cell r="BX2605">
            <v>15.713059154269443</v>
          </cell>
          <cell r="BY2605">
            <v>32.089978791354113</v>
          </cell>
        </row>
        <row r="2606">
          <cell r="A2606">
            <v>43174</v>
          </cell>
          <cell r="BF2606">
            <v>52.770555788590606</v>
          </cell>
          <cell r="BG2606">
            <v>45.468715051806292</v>
          </cell>
          <cell r="BH2606">
            <v>42.408178994289898</v>
          </cell>
          <cell r="BI2606">
            <v>30.406703917126244</v>
          </cell>
          <cell r="BJ2606">
            <v>54.409654071453552</v>
          </cell>
          <cell r="BU2606">
            <v>36.328098197020068</v>
          </cell>
          <cell r="BV2606">
            <v>29.635401891862816</v>
          </cell>
          <cell r="BW2606">
            <v>23.901518972811779</v>
          </cell>
          <cell r="BX2606">
            <v>15.713059154269443</v>
          </cell>
          <cell r="BY2606">
            <v>32.089978791354113</v>
          </cell>
        </row>
        <row r="2607">
          <cell r="A2607">
            <v>43175</v>
          </cell>
          <cell r="BF2607">
            <v>53.252938338926178</v>
          </cell>
          <cell r="BG2607">
            <v>45.468715051806292</v>
          </cell>
          <cell r="BH2607">
            <v>42.408178994289898</v>
          </cell>
          <cell r="BI2607">
            <v>30.406703917126244</v>
          </cell>
          <cell r="BJ2607">
            <v>54.409654071453552</v>
          </cell>
          <cell r="BU2607">
            <v>36.640151704851007</v>
          </cell>
          <cell r="BV2607">
            <v>29.635401891862816</v>
          </cell>
          <cell r="BW2607">
            <v>23.901518972811779</v>
          </cell>
          <cell r="BX2607">
            <v>15.713059154269443</v>
          </cell>
          <cell r="BY2607">
            <v>32.089978791354113</v>
          </cell>
        </row>
        <row r="2608">
          <cell r="A2608">
            <v>43178</v>
          </cell>
          <cell r="BF2608">
            <v>52.166526845637584</v>
          </cell>
          <cell r="BG2608">
            <v>45.468715051806292</v>
          </cell>
          <cell r="BH2608">
            <v>42.408178994289898</v>
          </cell>
          <cell r="BI2608">
            <v>30.406703917126244</v>
          </cell>
          <cell r="BJ2608">
            <v>54.409654071453552</v>
          </cell>
          <cell r="BU2608">
            <v>35.877683465975089</v>
          </cell>
          <cell r="BV2608">
            <v>29.635401891862816</v>
          </cell>
          <cell r="BW2608">
            <v>23.901518972811779</v>
          </cell>
          <cell r="BX2608">
            <v>15.713059154269443</v>
          </cell>
          <cell r="BY2608">
            <v>32.089978791354113</v>
          </cell>
        </row>
        <row r="2609">
          <cell r="A2609">
            <v>43179</v>
          </cell>
          <cell r="BF2609">
            <v>52.9886744966443</v>
          </cell>
          <cell r="BG2609">
            <v>45.468715051806292</v>
          </cell>
          <cell r="BH2609">
            <v>42.408178994289898</v>
          </cell>
          <cell r="BI2609">
            <v>30.406703917126244</v>
          </cell>
          <cell r="BJ2609">
            <v>54.409654071453552</v>
          </cell>
          <cell r="BU2609">
            <v>36.454685343653622</v>
          </cell>
          <cell r="BV2609">
            <v>29.635401891862816</v>
          </cell>
          <cell r="BW2609">
            <v>23.901518972811779</v>
          </cell>
          <cell r="BX2609">
            <v>15.713059154269443</v>
          </cell>
          <cell r="BY2609">
            <v>32.089978791354113</v>
          </cell>
        </row>
        <row r="2610">
          <cell r="A2610">
            <v>43180</v>
          </cell>
          <cell r="BF2610">
            <v>51.770134228187921</v>
          </cell>
          <cell r="BG2610">
            <v>45.468715051806292</v>
          </cell>
          <cell r="BH2610">
            <v>42.408178994289898</v>
          </cell>
          <cell r="BI2610">
            <v>30.406703917126244</v>
          </cell>
          <cell r="BJ2610">
            <v>54.409654071453552</v>
          </cell>
          <cell r="BU2610">
            <v>36.454685343653622</v>
          </cell>
          <cell r="BV2610">
            <v>29.635401891862816</v>
          </cell>
          <cell r="BW2610">
            <v>23.901518972811779</v>
          </cell>
          <cell r="BX2610">
            <v>15.713059154269443</v>
          </cell>
          <cell r="BY2610">
            <v>32.089978791354113</v>
          </cell>
        </row>
        <row r="2611">
          <cell r="A2611">
            <v>43181</v>
          </cell>
          <cell r="BF2611">
            <v>50.570469798657719</v>
          </cell>
          <cell r="BG2611">
            <v>45.468715051806292</v>
          </cell>
          <cell r="BH2611">
            <v>42.408178994289898</v>
          </cell>
          <cell r="BI2611">
            <v>30.406703917126244</v>
          </cell>
          <cell r="BJ2611">
            <v>54.409654071453552</v>
          </cell>
          <cell r="BU2611">
            <v>34.757534412624658</v>
          </cell>
          <cell r="BV2611">
            <v>29.635401891862816</v>
          </cell>
          <cell r="BW2611">
            <v>23.901518972811779</v>
          </cell>
          <cell r="BX2611">
            <v>15.713059154269443</v>
          </cell>
          <cell r="BY2611">
            <v>32.089978791354113</v>
          </cell>
        </row>
        <row r="2612">
          <cell r="A2612">
            <v>43182</v>
          </cell>
          <cell r="BF2612">
            <v>49.362418204697988</v>
          </cell>
          <cell r="BG2612">
            <v>45.468715051806292</v>
          </cell>
          <cell r="BH2612">
            <v>42.408178994289898</v>
          </cell>
          <cell r="BI2612">
            <v>30.406703917126244</v>
          </cell>
          <cell r="BJ2612">
            <v>54.409654071453552</v>
          </cell>
          <cell r="BU2612">
            <v>33.909696390836508</v>
          </cell>
          <cell r="BV2612">
            <v>29.635401891862816</v>
          </cell>
          <cell r="BW2612">
            <v>23.901518972811779</v>
          </cell>
          <cell r="BX2612">
            <v>15.713059154269443</v>
          </cell>
          <cell r="BY2612">
            <v>32.089978791354113</v>
          </cell>
        </row>
        <row r="2613">
          <cell r="A2613">
            <v>43185</v>
          </cell>
          <cell r="BF2613">
            <v>50.81375838926175</v>
          </cell>
          <cell r="BG2613">
            <v>45.468715051806292</v>
          </cell>
          <cell r="BH2613">
            <v>42.408178994289898</v>
          </cell>
          <cell r="BI2613">
            <v>30.406703917126244</v>
          </cell>
          <cell r="BJ2613">
            <v>54.409654071453552</v>
          </cell>
          <cell r="BU2613">
            <v>34.92827986622342</v>
          </cell>
          <cell r="BV2613">
            <v>29.635401891862816</v>
          </cell>
          <cell r="BW2613">
            <v>23.901518972811779</v>
          </cell>
          <cell r="BX2613">
            <v>15.713059154269443</v>
          </cell>
          <cell r="BY2613">
            <v>32.089978791354113</v>
          </cell>
        </row>
        <row r="2614">
          <cell r="A2614">
            <v>43186</v>
          </cell>
          <cell r="BF2614">
            <v>49.78397651006712</v>
          </cell>
          <cell r="BG2614">
            <v>45.468715051806292</v>
          </cell>
          <cell r="BH2614">
            <v>42.408178994289898</v>
          </cell>
          <cell r="BI2614">
            <v>30.406703917126244</v>
          </cell>
          <cell r="BJ2614">
            <v>54.409654071453552</v>
          </cell>
          <cell r="BU2614">
            <v>34.205555575559742</v>
          </cell>
          <cell r="BV2614">
            <v>29.635401891862816</v>
          </cell>
          <cell r="BW2614">
            <v>23.901518972811779</v>
          </cell>
          <cell r="BX2614">
            <v>15.713059154269443</v>
          </cell>
          <cell r="BY2614">
            <v>32.089978791354113</v>
          </cell>
        </row>
        <row r="2615">
          <cell r="A2615">
            <v>43187</v>
          </cell>
          <cell r="BF2615">
            <v>49.284817533557053</v>
          </cell>
          <cell r="BG2615">
            <v>45.468715051806292</v>
          </cell>
          <cell r="BH2615">
            <v>42.408178994289898</v>
          </cell>
          <cell r="BI2615">
            <v>30.406703917126244</v>
          </cell>
          <cell r="BJ2615">
            <v>54.409654071453552</v>
          </cell>
          <cell r="BU2615">
            <v>33.85523447891277</v>
          </cell>
          <cell r="BV2615">
            <v>29.635401891862816</v>
          </cell>
          <cell r="BW2615">
            <v>23.901518972811779</v>
          </cell>
          <cell r="BX2615">
            <v>15.713059154269443</v>
          </cell>
          <cell r="BY2615">
            <v>32.089978791354113</v>
          </cell>
        </row>
        <row r="2616">
          <cell r="A2616">
            <v>43188</v>
          </cell>
          <cell r="BF2616">
            <v>49.584731543624159</v>
          </cell>
          <cell r="BG2616">
            <v>45.468715051806292</v>
          </cell>
          <cell r="BH2616">
            <v>42.408178994289898</v>
          </cell>
          <cell r="BI2616">
            <v>30.406703917126244</v>
          </cell>
          <cell r="BJ2616">
            <v>54.409654071453552</v>
          </cell>
          <cell r="BU2616">
            <v>34.065720936836627</v>
          </cell>
          <cell r="BV2616">
            <v>29.635401891862816</v>
          </cell>
          <cell r="BW2616">
            <v>23.901518972811779</v>
          </cell>
          <cell r="BX2616">
            <v>15.713059154269443</v>
          </cell>
          <cell r="BY2616">
            <v>32.089978791354113</v>
          </cell>
        </row>
        <row r="2617">
          <cell r="A2617">
            <v>43189</v>
          </cell>
          <cell r="BF2617">
            <v>49.584731543624159</v>
          </cell>
          <cell r="BG2617">
            <v>45.468715051806292</v>
          </cell>
          <cell r="BH2617">
            <v>42.408178994289898</v>
          </cell>
          <cell r="BI2617">
            <v>30.406703917126244</v>
          </cell>
          <cell r="BJ2617">
            <v>54.409654071453552</v>
          </cell>
          <cell r="BU2617">
            <v>34.065720936836627</v>
          </cell>
          <cell r="BV2617">
            <v>29.635401891862816</v>
          </cell>
          <cell r="BW2617">
            <v>23.901518972811779</v>
          </cell>
          <cell r="BX2617">
            <v>15.713059154269443</v>
          </cell>
          <cell r="BY2617">
            <v>32.089978791354113</v>
          </cell>
        </row>
        <row r="2618">
          <cell r="A2618">
            <v>43192</v>
          </cell>
          <cell r="BF2618">
            <v>47.627366040054305</v>
          </cell>
          <cell r="BG2618">
            <v>45.468715051806292</v>
          </cell>
          <cell r="BH2618">
            <v>42.408178994289898</v>
          </cell>
          <cell r="BI2618">
            <v>30.406703917126244</v>
          </cell>
          <cell r="BJ2618">
            <v>54.409654071453552</v>
          </cell>
          <cell r="BU2618">
            <v>32.674542157797319</v>
          </cell>
          <cell r="BV2618">
            <v>29.635401891862816</v>
          </cell>
          <cell r="BW2618">
            <v>23.901518972811779</v>
          </cell>
          <cell r="BX2618">
            <v>15.713059154269443</v>
          </cell>
          <cell r="BY2618">
            <v>32.089978791354113</v>
          </cell>
        </row>
        <row r="2619">
          <cell r="A2619">
            <v>43193</v>
          </cell>
          <cell r="BF2619">
            <v>47.629439496906656</v>
          </cell>
          <cell r="BG2619">
            <v>45.468715051806292</v>
          </cell>
          <cell r="BH2619">
            <v>42.408178994289898</v>
          </cell>
          <cell r="BI2619">
            <v>30.406703917126244</v>
          </cell>
          <cell r="BJ2619">
            <v>54.409654071453552</v>
          </cell>
          <cell r="BU2619">
            <v>32.675996176298526</v>
          </cell>
          <cell r="BV2619">
            <v>29.635401891862816</v>
          </cell>
          <cell r="BW2619">
            <v>23.901518972811779</v>
          </cell>
          <cell r="BX2619">
            <v>15.713059154269443</v>
          </cell>
          <cell r="BY2619">
            <v>32.089978791354113</v>
          </cell>
        </row>
        <row r="2620">
          <cell r="A2620">
            <v>43194</v>
          </cell>
          <cell r="BF2620">
            <v>49.271950680394518</v>
          </cell>
          <cell r="BG2620">
            <v>45.468715051806292</v>
          </cell>
          <cell r="BH2620">
            <v>42.408178994289898</v>
          </cell>
          <cell r="BI2620">
            <v>30.406703917126244</v>
          </cell>
          <cell r="BJ2620">
            <v>54.409654071453552</v>
          </cell>
          <cell r="BU2620">
            <v>33.85232551636615</v>
          </cell>
          <cell r="BV2620">
            <v>29.635401891862816</v>
          </cell>
          <cell r="BW2620">
            <v>23.901518972811779</v>
          </cell>
          <cell r="BX2620">
            <v>15.713059154269443</v>
          </cell>
          <cell r="BY2620">
            <v>32.089978791354113</v>
          </cell>
        </row>
        <row r="2621">
          <cell r="A2621">
            <v>43195</v>
          </cell>
          <cell r="BF2621">
            <v>48.98183325275064</v>
          </cell>
          <cell r="BG2621">
            <v>45.468715051806292</v>
          </cell>
          <cell r="BH2621">
            <v>42.408178994289898</v>
          </cell>
          <cell r="BI2621">
            <v>30.406703917126244</v>
          </cell>
          <cell r="BJ2621">
            <v>54.409654071453552</v>
          </cell>
          <cell r="BU2621">
            <v>33.648730457745835</v>
          </cell>
          <cell r="BV2621">
            <v>29.635401891862816</v>
          </cell>
          <cell r="BW2621">
            <v>23.901518972811779</v>
          </cell>
          <cell r="BX2621">
            <v>15.713059154269443</v>
          </cell>
          <cell r="BY2621">
            <v>32.089978791354113</v>
          </cell>
        </row>
        <row r="2622">
          <cell r="A2622">
            <v>43196</v>
          </cell>
          <cell r="BF2622">
            <v>47.282586171172788</v>
          </cell>
          <cell r="BG2622">
            <v>45.468715051806292</v>
          </cell>
          <cell r="BH2622">
            <v>42.408178994289898</v>
          </cell>
          <cell r="BI2622">
            <v>30.406703917126244</v>
          </cell>
          <cell r="BJ2622">
            <v>54.409654071453552</v>
          </cell>
          <cell r="BU2622">
            <v>32.398806955027005</v>
          </cell>
          <cell r="BV2622">
            <v>29.635401891862816</v>
          </cell>
          <cell r="BW2622">
            <v>23.901518972811779</v>
          </cell>
          <cell r="BX2622">
            <v>15.713059154269443</v>
          </cell>
          <cell r="BY2622">
            <v>32.089978791354113</v>
          </cell>
        </row>
        <row r="2623">
          <cell r="A2623">
            <v>43199</v>
          </cell>
          <cell r="BF2623">
            <v>47.699108931413214</v>
          </cell>
          <cell r="BG2623">
            <v>45.468715051806292</v>
          </cell>
          <cell r="BH2623">
            <v>42.408178994289898</v>
          </cell>
          <cell r="BI2623">
            <v>30.406703917126244</v>
          </cell>
          <cell r="BJ2623">
            <v>54.409654071453552</v>
          </cell>
          <cell r="BU2623">
            <v>32.690603140830696</v>
          </cell>
          <cell r="BV2623">
            <v>29.635401891862816</v>
          </cell>
          <cell r="BW2623">
            <v>23.901518972811779</v>
          </cell>
          <cell r="BX2623">
            <v>15.713059154269443</v>
          </cell>
          <cell r="BY2623">
            <v>32.089978791354113</v>
          </cell>
        </row>
      </sheetData>
      <sheetData sheetId="6">
        <row r="11">
          <cell r="AF11" t="str">
            <v>Abs NTM P/E</v>
          </cell>
        </row>
      </sheetData>
      <sheetData sheetId="7"/>
      <sheetData sheetId="8">
        <row r="8">
          <cell r="Z8">
            <v>1.133952236175263</v>
          </cell>
        </row>
      </sheetData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XP Theme Colors">
  <a:themeElements>
    <a:clrScheme name="XP Theme Colors">
      <a:dk1>
        <a:sysClr val="windowText" lastClr="000000"/>
      </a:dk1>
      <a:lt1>
        <a:sysClr val="window" lastClr="FFFFFF"/>
      </a:lt1>
      <a:dk2>
        <a:srgbClr val="003366"/>
      </a:dk2>
      <a:lt2>
        <a:srgbClr val="C6D9E2"/>
      </a:lt2>
      <a:accent1>
        <a:srgbClr val="137CB1"/>
      </a:accent1>
      <a:accent2>
        <a:srgbClr val="EACC80"/>
      </a:accent2>
      <a:accent3>
        <a:srgbClr val="4AAC6B"/>
      </a:accent3>
      <a:accent4>
        <a:srgbClr val="A8D7E2"/>
      </a:accent4>
      <a:accent5>
        <a:srgbClr val="E58061"/>
      </a:accent5>
      <a:accent6>
        <a:srgbClr val="BCE3A1"/>
      </a:accent6>
      <a:hlink>
        <a:srgbClr val="8E466A"/>
      </a:hlink>
      <a:folHlink>
        <a:srgbClr val="F3A7A9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quity">
      <a:fillStyleLst>
        <a:solidFill>
          <a:schemeClr val="phClr"/>
        </a:solidFill>
        <a:blipFill>
          <a:blip xmlns:r="http://schemas.openxmlformats.org/officeDocument/2006/relationships">
            <a:duotone>
              <a:schemeClr val="phClr">
                <a:tint val="30000"/>
                <a:satMod val="300000"/>
              </a:schemeClr>
              <a:schemeClr val="phClr">
                <a:tint val="40000"/>
                <a:satMod val="200000"/>
              </a:schemeClr>
            </a:duotone>
          </a:blip>
          <a:tile tx="0" ty="0" sx="70000" sy="70000" flip="none" algn="ctr"/>
        </a:blipFill>
        <a:blipFill>
          <a:blip xmlns:r="http://schemas.openxmlformats.org/officeDocument/2006/relationships">
            <a:duotone>
              <a:schemeClr val="phClr">
                <a:shade val="22000"/>
                <a:satMod val="160000"/>
              </a:schemeClr>
              <a:schemeClr val="phClr">
                <a:shade val="45000"/>
                <a:satMod val="100000"/>
              </a:schemeClr>
            </a:duotone>
          </a:blip>
          <a:tile tx="0" ty="0" sx="65000" sy="65000" flip="none" algn="ctr"/>
        </a:blipFill>
      </a:fillStyleLst>
      <a:lnStyleLst>
        <a:ln w="9525" cap="flat" cmpd="sng" algn="ctr">
          <a:solidFill>
            <a:schemeClr val="phClr">
              <a:shade val="60000"/>
              <a:satMod val="11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50800" dir="5400000" algn="t" rotWithShape="0">
              <a:srgbClr val="000000">
                <a:alpha val="60000"/>
              </a:srgbClr>
            </a:outerShdw>
          </a:effectLst>
          <a:scene3d>
            <a:camera prst="isometricBottomUp" fov="0">
              <a:rot lat="0" lon="0" rev="0"/>
            </a:camera>
            <a:lightRig rig="soft" dir="b">
              <a:rot lat="0" lon="0" rev="9000000"/>
            </a:lightRig>
          </a:scene3d>
          <a:sp3d contourW="35000" prstMaterial="matte">
            <a:bevelT w="45000" h="38100" prst="convex"/>
            <a:contourClr>
              <a:schemeClr val="phClr">
                <a:tint val="10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65000"/>
              </a:schemeClr>
            </a:gs>
            <a:gs pos="50000">
              <a:schemeClr val="phClr">
                <a:shade val="80000"/>
                <a:satMod val="155000"/>
              </a:schemeClr>
            </a:gs>
            <a:gs pos="100000">
              <a:schemeClr val="phClr">
                <a:tint val="95000"/>
                <a:satMod val="200000"/>
              </a:schemeClr>
            </a:gs>
          </a:gsLst>
          <a:lin ang="16200000" scaled="1"/>
        </a:gradFill>
        <a:blipFill>
          <a:blip xmlns:r="http://schemas.openxmlformats.org/officeDocument/2006/relationships">
            <a:duotone>
              <a:schemeClr val="phClr">
                <a:tint val="95000"/>
                <a:satMod val="200000"/>
              </a:schemeClr>
              <a:schemeClr val="phClr">
                <a:shade val="80000"/>
                <a:satMod val="100000"/>
              </a:schemeClr>
            </a:duotone>
          </a:blip>
          <a:tile tx="0" ty="0" sx="55000" sy="5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/Relationships>

</file>

<file path=xl/worksheets/_rels/sheet11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2"/>
  <sheetViews>
    <sheetView workbookViewId="0"/>
  </sheetViews>
  <sheetFormatPr defaultRowHeight="12.75"/>
  <sheetData>
    <row r="1" spans="1:20">
      <c r="A1" t="s">
        <v>491</v>
      </c>
    </row>
    <row r="2" spans="1:20">
      <c r="A2" s="64" t="s">
        <v>22</v>
      </c>
      <c r="B2" s="64" t="s">
        <v>904</v>
      </c>
      <c r="C2" s="64" t="s">
        <v>126</v>
      </c>
      <c r="D2" s="64" t="s">
        <v>8</v>
      </c>
      <c r="E2" s="64" t="s">
        <v>121</v>
      </c>
      <c r="F2" s="64" t="s">
        <v>123</v>
      </c>
      <c r="G2" s="64" t="s">
        <v>490</v>
      </c>
      <c r="H2" s="64" t="s">
        <v>8</v>
      </c>
      <c r="I2" s="64" t="s">
        <v>489</v>
      </c>
      <c r="J2" s="64" t="s">
        <v>8</v>
      </c>
      <c r="K2" s="64" t="s">
        <v>125</v>
      </c>
      <c r="L2" s="64" t="s">
        <v>8</v>
      </c>
      <c r="M2" s="64" t="s">
        <v>23</v>
      </c>
      <c r="N2" s="64" t="s">
        <v>119</v>
      </c>
      <c r="O2" s="64" t="s">
        <v>21</v>
      </c>
      <c r="P2" s="64" t="s">
        <v>45</v>
      </c>
      <c r="Q2" s="64" t="s">
        <v>120</v>
      </c>
      <c r="R2" s="64" t="s">
        <v>45</v>
      </c>
      <c r="S2" s="64" t="s">
        <v>122</v>
      </c>
      <c r="T2" s="64" t="s">
        <v>124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91"/>
  <sheetViews>
    <sheetView showGridLines="0" tabSelected="1" workbookViewId="0">
      <selection activeCell="Z1" sqref="Z1"/>
    </sheetView>
  </sheetViews>
  <sheetFormatPr defaultRowHeight="12.75"/>
  <cols>
    <col min="1" max="1" width="25.7109375" style="3075" customWidth="1"/>
    <col min="2" max="5" width="9.140625" style="3075"/>
    <col min="6" max="6" width="18.7109375" style="3075" customWidth="1"/>
    <col min="7" max="256" width="9.140625" style="3075"/>
    <col min="257" max="257" width="100.7109375" style="3075" customWidth="1"/>
    <col min="258" max="512" width="9.140625" style="3075"/>
    <col min="513" max="513" width="100.7109375" style="3075" customWidth="1"/>
    <col min="514" max="768" width="9.140625" style="3075"/>
    <col min="769" max="769" width="100.7109375" style="3075" customWidth="1"/>
    <col min="770" max="1024" width="9.140625" style="3075"/>
    <col min="1025" max="1025" width="100.7109375" style="3075" customWidth="1"/>
    <col min="1026" max="1280" width="9.140625" style="3075"/>
    <col min="1281" max="1281" width="100.7109375" style="3075" customWidth="1"/>
    <col min="1282" max="1536" width="9.140625" style="3075"/>
    <col min="1537" max="1537" width="100.7109375" style="3075" customWidth="1"/>
    <col min="1538" max="1792" width="9.140625" style="3075"/>
    <col min="1793" max="1793" width="100.7109375" style="3075" customWidth="1"/>
    <col min="1794" max="2048" width="9.140625" style="3075"/>
    <col min="2049" max="2049" width="100.7109375" style="3075" customWidth="1"/>
    <col min="2050" max="2304" width="9.140625" style="3075"/>
    <col min="2305" max="2305" width="100.7109375" style="3075" customWidth="1"/>
    <col min="2306" max="2560" width="9.140625" style="3075"/>
    <col min="2561" max="2561" width="100.7109375" style="3075" customWidth="1"/>
    <col min="2562" max="2816" width="9.140625" style="3075"/>
    <col min="2817" max="2817" width="100.7109375" style="3075" customWidth="1"/>
    <col min="2818" max="3072" width="9.140625" style="3075"/>
    <col min="3073" max="3073" width="100.7109375" style="3075" customWidth="1"/>
    <col min="3074" max="3328" width="9.140625" style="3075"/>
    <col min="3329" max="3329" width="100.7109375" style="3075" customWidth="1"/>
    <col min="3330" max="3584" width="9.140625" style="3075"/>
    <col min="3585" max="3585" width="100.7109375" style="3075" customWidth="1"/>
    <col min="3586" max="3840" width="9.140625" style="3075"/>
    <col min="3841" max="3841" width="100.7109375" style="3075" customWidth="1"/>
    <col min="3842" max="4096" width="9.140625" style="3075"/>
    <col min="4097" max="4097" width="100.7109375" style="3075" customWidth="1"/>
    <col min="4098" max="4352" width="9.140625" style="3075"/>
    <col min="4353" max="4353" width="100.7109375" style="3075" customWidth="1"/>
    <col min="4354" max="4608" width="9.140625" style="3075"/>
    <col min="4609" max="4609" width="100.7109375" style="3075" customWidth="1"/>
    <col min="4610" max="4864" width="9.140625" style="3075"/>
    <col min="4865" max="4865" width="100.7109375" style="3075" customWidth="1"/>
    <col min="4866" max="5120" width="9.140625" style="3075"/>
    <col min="5121" max="5121" width="100.7109375" style="3075" customWidth="1"/>
    <col min="5122" max="5376" width="9.140625" style="3075"/>
    <col min="5377" max="5377" width="100.7109375" style="3075" customWidth="1"/>
    <col min="5378" max="5632" width="9.140625" style="3075"/>
    <col min="5633" max="5633" width="100.7109375" style="3075" customWidth="1"/>
    <col min="5634" max="5888" width="9.140625" style="3075"/>
    <col min="5889" max="5889" width="100.7109375" style="3075" customWidth="1"/>
    <col min="5890" max="6144" width="9.140625" style="3075"/>
    <col min="6145" max="6145" width="100.7109375" style="3075" customWidth="1"/>
    <col min="6146" max="6400" width="9.140625" style="3075"/>
    <col min="6401" max="6401" width="100.7109375" style="3075" customWidth="1"/>
    <col min="6402" max="6656" width="9.140625" style="3075"/>
    <col min="6657" max="6657" width="100.7109375" style="3075" customWidth="1"/>
    <col min="6658" max="6912" width="9.140625" style="3075"/>
    <col min="6913" max="6913" width="100.7109375" style="3075" customWidth="1"/>
    <col min="6914" max="7168" width="9.140625" style="3075"/>
    <col min="7169" max="7169" width="100.7109375" style="3075" customWidth="1"/>
    <col min="7170" max="7424" width="9.140625" style="3075"/>
    <col min="7425" max="7425" width="100.7109375" style="3075" customWidth="1"/>
    <col min="7426" max="7680" width="9.140625" style="3075"/>
    <col min="7681" max="7681" width="100.7109375" style="3075" customWidth="1"/>
    <col min="7682" max="7936" width="9.140625" style="3075"/>
    <col min="7937" max="7937" width="100.7109375" style="3075" customWidth="1"/>
    <col min="7938" max="8192" width="9.140625" style="3075"/>
    <col min="8193" max="8193" width="100.7109375" style="3075" customWidth="1"/>
    <col min="8194" max="8448" width="9.140625" style="3075"/>
    <col min="8449" max="8449" width="100.7109375" style="3075" customWidth="1"/>
    <col min="8450" max="8704" width="9.140625" style="3075"/>
    <col min="8705" max="8705" width="100.7109375" style="3075" customWidth="1"/>
    <col min="8706" max="8960" width="9.140625" style="3075"/>
    <col min="8961" max="8961" width="100.7109375" style="3075" customWidth="1"/>
    <col min="8962" max="9216" width="9.140625" style="3075"/>
    <col min="9217" max="9217" width="100.7109375" style="3075" customWidth="1"/>
    <col min="9218" max="9472" width="9.140625" style="3075"/>
    <col min="9473" max="9473" width="100.7109375" style="3075" customWidth="1"/>
    <col min="9474" max="9728" width="9.140625" style="3075"/>
    <col min="9729" max="9729" width="100.7109375" style="3075" customWidth="1"/>
    <col min="9730" max="9984" width="9.140625" style="3075"/>
    <col min="9985" max="9985" width="100.7109375" style="3075" customWidth="1"/>
    <col min="9986" max="10240" width="9.140625" style="3075"/>
    <col min="10241" max="10241" width="100.7109375" style="3075" customWidth="1"/>
    <col min="10242" max="10496" width="9.140625" style="3075"/>
    <col min="10497" max="10497" width="100.7109375" style="3075" customWidth="1"/>
    <col min="10498" max="10752" width="9.140625" style="3075"/>
    <col min="10753" max="10753" width="100.7109375" style="3075" customWidth="1"/>
    <col min="10754" max="11008" width="9.140625" style="3075"/>
    <col min="11009" max="11009" width="100.7109375" style="3075" customWidth="1"/>
    <col min="11010" max="11264" width="9.140625" style="3075"/>
    <col min="11265" max="11265" width="100.7109375" style="3075" customWidth="1"/>
    <col min="11266" max="11520" width="9.140625" style="3075"/>
    <col min="11521" max="11521" width="100.7109375" style="3075" customWidth="1"/>
    <col min="11522" max="11776" width="9.140625" style="3075"/>
    <col min="11777" max="11777" width="100.7109375" style="3075" customWidth="1"/>
    <col min="11778" max="12032" width="9.140625" style="3075"/>
    <col min="12033" max="12033" width="100.7109375" style="3075" customWidth="1"/>
    <col min="12034" max="12288" width="9.140625" style="3075"/>
    <col min="12289" max="12289" width="100.7109375" style="3075" customWidth="1"/>
    <col min="12290" max="12544" width="9.140625" style="3075"/>
    <col min="12545" max="12545" width="100.7109375" style="3075" customWidth="1"/>
    <col min="12546" max="12800" width="9.140625" style="3075"/>
    <col min="12801" max="12801" width="100.7109375" style="3075" customWidth="1"/>
    <col min="12802" max="13056" width="9.140625" style="3075"/>
    <col min="13057" max="13057" width="100.7109375" style="3075" customWidth="1"/>
    <col min="13058" max="13312" width="9.140625" style="3075"/>
    <col min="13313" max="13313" width="100.7109375" style="3075" customWidth="1"/>
    <col min="13314" max="13568" width="9.140625" style="3075"/>
    <col min="13569" max="13569" width="100.7109375" style="3075" customWidth="1"/>
    <col min="13570" max="13824" width="9.140625" style="3075"/>
    <col min="13825" max="13825" width="100.7109375" style="3075" customWidth="1"/>
    <col min="13826" max="14080" width="9.140625" style="3075"/>
    <col min="14081" max="14081" width="100.7109375" style="3075" customWidth="1"/>
    <col min="14082" max="14336" width="9.140625" style="3075"/>
    <col min="14337" max="14337" width="100.7109375" style="3075" customWidth="1"/>
    <col min="14338" max="14592" width="9.140625" style="3075"/>
    <col min="14593" max="14593" width="100.7109375" style="3075" customWidth="1"/>
    <col min="14594" max="14848" width="9.140625" style="3075"/>
    <col min="14849" max="14849" width="100.7109375" style="3075" customWidth="1"/>
    <col min="14850" max="15104" width="9.140625" style="3075"/>
    <col min="15105" max="15105" width="100.7109375" style="3075" customWidth="1"/>
    <col min="15106" max="15360" width="9.140625" style="3075"/>
    <col min="15361" max="15361" width="100.7109375" style="3075" customWidth="1"/>
    <col min="15362" max="15616" width="9.140625" style="3075"/>
    <col min="15617" max="15617" width="100.7109375" style="3075" customWidth="1"/>
    <col min="15618" max="15872" width="9.140625" style="3075"/>
    <col min="15873" max="15873" width="100.7109375" style="3075" customWidth="1"/>
    <col min="15874" max="16128" width="9.140625" style="3075"/>
    <col min="16129" max="16129" width="100.7109375" style="3075" customWidth="1"/>
    <col min="16130" max="16384" width="9.140625" style="3075"/>
  </cols>
  <sheetData>
    <row r="1" spans="1:8" ht="30" customHeight="1">
      <c r="A1" s="3073"/>
      <c r="B1" s="3074"/>
      <c r="C1" s="3074"/>
      <c r="D1" s="3074"/>
      <c r="E1" s="3074"/>
      <c r="F1" s="3074"/>
      <c r="G1" s="3074"/>
      <c r="H1" s="3074"/>
    </row>
    <row r="2" spans="1:8" ht="14.25">
      <c r="A2" s="3076" t="s">
        <v>910</v>
      </c>
      <c r="B2" s="3074"/>
      <c r="C2" s="3074"/>
      <c r="D2" s="3074"/>
      <c r="E2" s="3074"/>
      <c r="F2" s="3074"/>
      <c r="G2" s="3074"/>
      <c r="H2" s="3074"/>
    </row>
    <row r="3" spans="1:8" ht="14.25">
      <c r="A3" s="3076" t="s">
        <v>911</v>
      </c>
      <c r="B3" s="3074"/>
      <c r="C3" s="3074"/>
      <c r="D3" s="3074"/>
      <c r="E3" s="3074"/>
      <c r="F3" s="3074"/>
      <c r="G3" s="3074"/>
      <c r="H3" s="3074"/>
    </row>
    <row r="4" spans="1:8" ht="14.25">
      <c r="A4" s="3076" t="s">
        <v>378</v>
      </c>
      <c r="B4" s="3074"/>
      <c r="C4" s="3074"/>
      <c r="D4" s="3074"/>
      <c r="E4" s="3074"/>
      <c r="F4" s="3074"/>
      <c r="G4" s="3074"/>
      <c r="H4" s="3074"/>
    </row>
    <row r="5" spans="1:8" ht="14.25">
      <c r="A5" s="3076" t="s">
        <v>912</v>
      </c>
      <c r="B5" s="3074"/>
      <c r="C5" s="3074"/>
      <c r="D5" s="3074"/>
      <c r="E5" s="3074"/>
      <c r="F5" s="3074"/>
      <c r="G5" s="3074"/>
      <c r="H5" s="3074"/>
    </row>
    <row r="6" spans="1:8" ht="14.25">
      <c r="A6" s="3076"/>
      <c r="B6" s="3074"/>
      <c r="C6" s="3074"/>
      <c r="D6" s="3074"/>
      <c r="E6" s="3074"/>
      <c r="F6" s="3074"/>
      <c r="G6" s="3074"/>
      <c r="H6" s="3074"/>
    </row>
    <row r="7" spans="1:8">
      <c r="A7" s="3073" t="s">
        <v>913</v>
      </c>
      <c r="B7" s="3074"/>
      <c r="C7" s="3074"/>
      <c r="D7" s="3074"/>
      <c r="E7" s="3074"/>
      <c r="F7" s="3074"/>
      <c r="G7" s="3074"/>
      <c r="H7" s="3074"/>
    </row>
    <row r="8" spans="1:8">
      <c r="A8" s="3073" t="s">
        <v>914</v>
      </c>
      <c r="B8" s="3074"/>
      <c r="C8" s="3074"/>
      <c r="D8" s="3074"/>
      <c r="E8" s="3074"/>
      <c r="F8" s="3074"/>
      <c r="G8" s="3074"/>
      <c r="H8" s="3074"/>
    </row>
    <row r="9" spans="1:8">
      <c r="A9" s="3073"/>
      <c r="B9" s="3074"/>
      <c r="C9" s="3074"/>
      <c r="D9" s="3074"/>
      <c r="E9" s="3074"/>
      <c r="F9" s="3074"/>
      <c r="G9" s="3074"/>
      <c r="H9" s="3074"/>
    </row>
    <row r="10" spans="1:8">
      <c r="A10" s="3077" t="s">
        <v>915</v>
      </c>
      <c r="B10" s="3074"/>
      <c r="C10" s="3074"/>
      <c r="D10" s="3074"/>
      <c r="E10" s="3074"/>
      <c r="F10" s="3074"/>
      <c r="G10" s="3074"/>
      <c r="H10" s="3074"/>
    </row>
    <row r="11" spans="1:8">
      <c r="A11" s="3077" t="s">
        <v>916</v>
      </c>
      <c r="B11" s="3074"/>
      <c r="C11" s="3074"/>
      <c r="D11" s="3074"/>
      <c r="E11" s="3074"/>
      <c r="F11" s="3074"/>
      <c r="G11" s="3074"/>
      <c r="H11" s="3074"/>
    </row>
    <row r="12" spans="1:8">
      <c r="A12" s="3077" t="s">
        <v>917</v>
      </c>
      <c r="B12" s="3074"/>
      <c r="C12" s="3074"/>
      <c r="D12" s="3074"/>
      <c r="E12" s="3074"/>
      <c r="F12" s="3074"/>
      <c r="G12" s="3074"/>
      <c r="H12" s="3074"/>
    </row>
    <row r="13" spans="1:8">
      <c r="A13" s="3077" t="s">
        <v>918</v>
      </c>
      <c r="B13" s="3074"/>
      <c r="C13" s="3074"/>
      <c r="D13" s="3074"/>
      <c r="E13" s="3074"/>
      <c r="F13" s="3074"/>
      <c r="G13" s="3074"/>
      <c r="H13" s="3074"/>
    </row>
    <row r="14" spans="1:8">
      <c r="A14" s="3077" t="s">
        <v>919</v>
      </c>
      <c r="B14" s="3074"/>
      <c r="C14" s="3074"/>
      <c r="D14" s="3074"/>
      <c r="E14" s="3074"/>
      <c r="F14" s="3074"/>
      <c r="G14" s="3074"/>
      <c r="H14" s="3074"/>
    </row>
    <row r="15" spans="1:8">
      <c r="A15" s="3077" t="s">
        <v>920</v>
      </c>
      <c r="B15" s="3074"/>
      <c r="C15" s="3074"/>
      <c r="D15" s="3074"/>
      <c r="E15" s="3074"/>
      <c r="F15" s="3074"/>
      <c r="G15" s="3074"/>
      <c r="H15" s="3074"/>
    </row>
    <row r="16" spans="1:8">
      <c r="A16" s="3077"/>
      <c r="B16" s="3074"/>
      <c r="C16" s="3074"/>
      <c r="D16" s="3074"/>
      <c r="E16" s="3074"/>
      <c r="F16" s="3074"/>
      <c r="G16" s="3074"/>
      <c r="H16" s="3074"/>
    </row>
    <row r="17" spans="1:8">
      <c r="A17" s="3077" t="s">
        <v>907</v>
      </c>
      <c r="B17" s="3074"/>
      <c r="C17" s="3074"/>
      <c r="D17" s="3074"/>
      <c r="E17" s="3074"/>
      <c r="F17" s="3074"/>
      <c r="G17" s="3074"/>
      <c r="H17" s="3074"/>
    </row>
    <row r="18" spans="1:8">
      <c r="A18" s="3077"/>
      <c r="B18" s="3074"/>
      <c r="C18" s="3074"/>
      <c r="D18" s="3074"/>
      <c r="E18" s="3074"/>
      <c r="F18" s="3074"/>
      <c r="G18" s="3074"/>
      <c r="H18" s="3074"/>
    </row>
    <row r="19" spans="1:8">
      <c r="A19" s="3077" t="s">
        <v>908</v>
      </c>
      <c r="B19" s="3074"/>
      <c r="C19" s="3074"/>
      <c r="D19" s="3074"/>
      <c r="E19" s="3074"/>
      <c r="F19" s="3074"/>
      <c r="G19" s="3074"/>
      <c r="H19" s="3074"/>
    </row>
    <row r="20" spans="1:8">
      <c r="A20" s="3073"/>
      <c r="B20" s="3074"/>
      <c r="C20" s="3074"/>
      <c r="D20" s="3074"/>
      <c r="E20" s="3074"/>
      <c r="F20" s="3074"/>
      <c r="G20" s="3074"/>
      <c r="H20" s="3074"/>
    </row>
    <row r="21" spans="1:8">
      <c r="A21" s="3078" t="s">
        <v>909</v>
      </c>
      <c r="B21" s="3074"/>
      <c r="C21" s="3074"/>
      <c r="D21" s="3074"/>
      <c r="E21" s="3074"/>
      <c r="F21" s="3074"/>
      <c r="G21" s="3074"/>
      <c r="H21" s="3074"/>
    </row>
    <row r="22" spans="1:8">
      <c r="A22" s="3079"/>
      <c r="B22" s="3079"/>
      <c r="C22" s="3079"/>
      <c r="D22" s="3079"/>
      <c r="E22" s="3079"/>
      <c r="F22" s="3079"/>
      <c r="G22" s="3079"/>
      <c r="H22" s="3079"/>
    </row>
    <row r="23" spans="1:8">
      <c r="A23" s="3080" t="s">
        <v>1199</v>
      </c>
      <c r="B23" s="3079"/>
      <c r="C23" s="3079"/>
      <c r="D23" s="3079"/>
      <c r="E23" s="3079"/>
      <c r="F23" s="3079"/>
      <c r="G23" s="3079"/>
      <c r="H23" s="3079"/>
    </row>
    <row r="24" spans="1:8">
      <c r="A24" s="3080" t="s">
        <v>1200</v>
      </c>
      <c r="B24" s="3079"/>
      <c r="C24" s="3079"/>
      <c r="D24" s="3079"/>
      <c r="E24" s="3079"/>
      <c r="F24" s="3079"/>
      <c r="G24" s="3079"/>
      <c r="H24" s="3079"/>
    </row>
    <row r="25" spans="1:8">
      <c r="A25" s="3080" t="s">
        <v>1201</v>
      </c>
      <c r="B25" s="3079"/>
      <c r="C25" s="3079"/>
      <c r="D25" s="3079"/>
      <c r="E25" s="3079"/>
      <c r="F25" s="3079"/>
      <c r="G25" s="3079"/>
      <c r="H25" s="3079"/>
    </row>
    <row r="26" spans="1:8">
      <c r="A26" s="3080" t="s">
        <v>1202</v>
      </c>
      <c r="B26" s="3079"/>
      <c r="C26" s="3079"/>
      <c r="D26" s="3079"/>
      <c r="E26" s="3079"/>
      <c r="F26" s="3079"/>
      <c r="G26" s="3079"/>
      <c r="H26" s="3079"/>
    </row>
    <row r="27" spans="1:8">
      <c r="A27" s="3079"/>
      <c r="B27" s="3079"/>
      <c r="C27" s="3079"/>
      <c r="D27" s="3079"/>
      <c r="E27" s="3079"/>
      <c r="F27" s="3079"/>
      <c r="G27" s="3079"/>
      <c r="H27" s="3079"/>
    </row>
    <row r="28" spans="1:8">
      <c r="A28" s="3079"/>
      <c r="B28" s="3079"/>
      <c r="C28" s="3079"/>
      <c r="D28" s="3079"/>
      <c r="E28" s="3079"/>
      <c r="F28" s="3079"/>
      <c r="G28" s="3079"/>
      <c r="H28" s="3079"/>
    </row>
    <row r="29" spans="1:8">
      <c r="A29" s="3080" t="s">
        <v>1194</v>
      </c>
      <c r="B29" s="3079"/>
      <c r="C29" s="3079"/>
      <c r="D29" s="3079"/>
      <c r="E29" s="3079"/>
      <c r="F29" s="3079"/>
      <c r="G29" s="3079"/>
      <c r="H29" s="3079"/>
    </row>
    <row r="30" spans="1:8">
      <c r="A30" s="3080" t="s">
        <v>1195</v>
      </c>
      <c r="B30" s="3079"/>
      <c r="C30" s="3079"/>
      <c r="D30" s="3079"/>
      <c r="E30" s="3079"/>
      <c r="F30" s="3079"/>
      <c r="G30" s="3079"/>
      <c r="H30" s="3079"/>
    </row>
    <row r="31" spans="1:8">
      <c r="A31" s="3080" t="s">
        <v>1196</v>
      </c>
      <c r="B31" s="3079"/>
      <c r="C31" s="3079"/>
      <c r="D31" s="3079"/>
      <c r="E31" s="3079"/>
      <c r="F31" s="3079"/>
      <c r="G31" s="3079"/>
      <c r="H31" s="3079"/>
    </row>
    <row r="32" spans="1:8">
      <c r="A32" s="3080" t="s">
        <v>1197</v>
      </c>
      <c r="B32" s="3079"/>
      <c r="C32" s="3079"/>
      <c r="D32" s="3079"/>
      <c r="E32" s="3079"/>
      <c r="F32" s="3079"/>
      <c r="G32" s="3079"/>
      <c r="H32" s="3079"/>
    </row>
    <row r="33" spans="1:8">
      <c r="A33" s="3080" t="s">
        <v>1198</v>
      </c>
      <c r="B33" s="3079"/>
      <c r="C33" s="3079"/>
      <c r="D33" s="3079"/>
      <c r="E33" s="3079"/>
      <c r="F33" s="3079"/>
      <c r="G33" s="3079"/>
      <c r="H33" s="3079"/>
    </row>
    <row r="34" spans="1:8">
      <c r="A34" s="3079"/>
      <c r="B34" s="3079"/>
      <c r="C34" s="3079"/>
      <c r="D34" s="3079"/>
      <c r="E34" s="3079"/>
      <c r="F34" s="3079"/>
      <c r="G34" s="3079"/>
      <c r="H34" s="3079"/>
    </row>
    <row r="35" spans="1:8">
      <c r="A35" s="3080" t="s">
        <v>1190</v>
      </c>
      <c r="B35" s="3079"/>
      <c r="C35" s="3079"/>
      <c r="D35" s="3079"/>
      <c r="E35" s="3079"/>
      <c r="F35" s="3079"/>
      <c r="G35" s="3079"/>
      <c r="H35" s="3079"/>
    </row>
    <row r="36" spans="1:8">
      <c r="A36" s="3080" t="s">
        <v>1191</v>
      </c>
      <c r="B36" s="3079"/>
      <c r="C36" s="3079"/>
      <c r="D36" s="3079"/>
      <c r="E36" s="3079"/>
      <c r="F36" s="3079"/>
      <c r="G36" s="3079"/>
      <c r="H36" s="3079"/>
    </row>
    <row r="37" spans="1:8">
      <c r="A37" s="3080" t="s">
        <v>1192</v>
      </c>
      <c r="B37" s="3079"/>
      <c r="C37" s="3079"/>
      <c r="D37" s="3079"/>
      <c r="E37" s="3079"/>
      <c r="F37" s="3079"/>
      <c r="G37" s="3079"/>
      <c r="H37" s="3079"/>
    </row>
    <row r="38" spans="1:8">
      <c r="A38" s="3080" t="s">
        <v>1193</v>
      </c>
      <c r="B38" s="3079"/>
      <c r="C38" s="3079"/>
      <c r="D38" s="3079"/>
      <c r="E38" s="3079"/>
      <c r="F38" s="3079"/>
      <c r="G38" s="3079"/>
      <c r="H38" s="3079"/>
    </row>
    <row r="39" spans="1:8">
      <c r="A39" s="3079"/>
      <c r="B39" s="3079"/>
      <c r="C39" s="3079"/>
      <c r="D39" s="3079"/>
      <c r="E39" s="3079"/>
      <c r="F39" s="3079"/>
      <c r="G39" s="3079"/>
      <c r="H39" s="3079"/>
    </row>
    <row r="40" spans="1:8">
      <c r="A40" s="3080" t="s">
        <v>1184</v>
      </c>
      <c r="B40" s="3079"/>
      <c r="C40" s="3079"/>
      <c r="D40" s="3079"/>
      <c r="E40" s="3079"/>
      <c r="F40" s="3079"/>
      <c r="G40" s="3079"/>
      <c r="H40" s="3079"/>
    </row>
    <row r="41" spans="1:8">
      <c r="A41" s="3080" t="s">
        <v>1185</v>
      </c>
      <c r="B41" s="3079"/>
      <c r="C41" s="3079"/>
      <c r="D41" s="3079"/>
      <c r="E41" s="3079"/>
      <c r="F41" s="3079"/>
      <c r="G41" s="3079"/>
      <c r="H41" s="3079"/>
    </row>
    <row r="42" spans="1:8">
      <c r="A42" s="3080" t="s">
        <v>1186</v>
      </c>
      <c r="B42" s="3079"/>
      <c r="C42" s="3079"/>
      <c r="D42" s="3079"/>
      <c r="E42" s="3079"/>
      <c r="F42" s="3079"/>
      <c r="G42" s="3079"/>
      <c r="H42" s="3079"/>
    </row>
    <row r="43" spans="1:8">
      <c r="A43" s="3080" t="s">
        <v>1187</v>
      </c>
      <c r="B43" s="3079"/>
      <c r="C43" s="3079"/>
      <c r="D43" s="3079"/>
      <c r="E43" s="3079"/>
      <c r="F43" s="3079"/>
      <c r="G43" s="3079"/>
      <c r="H43" s="3079"/>
    </row>
    <row r="44" spans="1:8">
      <c r="A44" s="3080" t="s">
        <v>1188</v>
      </c>
      <c r="B44" s="3079"/>
      <c r="C44" s="3079"/>
      <c r="D44" s="3079"/>
      <c r="E44" s="3079"/>
      <c r="F44" s="3079"/>
      <c r="G44" s="3079"/>
      <c r="H44" s="3079"/>
    </row>
    <row r="45" spans="1:8">
      <c r="A45" s="3080" t="s">
        <v>1189</v>
      </c>
      <c r="B45" s="3079"/>
      <c r="C45" s="3079"/>
      <c r="D45" s="3079"/>
      <c r="E45" s="3079"/>
      <c r="F45" s="3079"/>
      <c r="G45" s="3079"/>
      <c r="H45" s="3079"/>
    </row>
    <row r="46" spans="1:8">
      <c r="A46" s="3079"/>
      <c r="B46" s="3079"/>
      <c r="C46" s="3079"/>
      <c r="D46" s="3079"/>
      <c r="E46" s="3079"/>
      <c r="F46" s="3079"/>
      <c r="G46" s="3079"/>
      <c r="H46" s="3079"/>
    </row>
    <row r="47" spans="1:8" ht="15.75">
      <c r="A47" s="3081" t="s">
        <v>921</v>
      </c>
      <c r="B47" s="3079"/>
      <c r="C47" s="3079"/>
      <c r="D47" s="3079"/>
      <c r="E47" s="3079"/>
      <c r="F47" s="3079"/>
      <c r="G47" s="3079"/>
      <c r="H47" s="3079"/>
    </row>
    <row r="48" spans="1:8">
      <c r="A48" s="3079"/>
      <c r="B48" s="3079"/>
      <c r="C48" s="3079"/>
      <c r="D48" s="3079"/>
      <c r="E48" s="3079"/>
      <c r="F48" s="3079"/>
      <c r="G48" s="3079"/>
      <c r="H48" s="3079"/>
    </row>
    <row r="49" spans="1:8">
      <c r="A49" s="3080" t="s">
        <v>1180</v>
      </c>
      <c r="B49" s="3079"/>
      <c r="C49" s="3079"/>
      <c r="D49" s="3079"/>
      <c r="E49" s="3079"/>
      <c r="F49" s="3079"/>
      <c r="G49" s="3079"/>
      <c r="H49" s="3079"/>
    </row>
    <row r="50" spans="1:8">
      <c r="A50" s="3080" t="s">
        <v>1181</v>
      </c>
      <c r="B50" s="3079"/>
      <c r="C50" s="3079"/>
      <c r="D50" s="3079"/>
      <c r="E50" s="3079"/>
      <c r="F50" s="3079"/>
      <c r="G50" s="3079"/>
      <c r="H50" s="3079"/>
    </row>
    <row r="51" spans="1:8">
      <c r="A51" s="3080" t="s">
        <v>1182</v>
      </c>
      <c r="B51" s="3079"/>
      <c r="C51" s="3079"/>
      <c r="D51" s="3079"/>
      <c r="E51" s="3079"/>
      <c r="F51" s="3079"/>
      <c r="G51" s="3079"/>
      <c r="H51" s="3079"/>
    </row>
    <row r="52" spans="1:8">
      <c r="A52" s="3080" t="s">
        <v>1183</v>
      </c>
      <c r="B52" s="3079"/>
      <c r="C52" s="3079"/>
      <c r="D52" s="3079"/>
      <c r="E52" s="3079"/>
      <c r="F52" s="3079"/>
      <c r="G52" s="3079"/>
      <c r="H52" s="3079"/>
    </row>
    <row r="53" spans="1:8">
      <c r="A53" s="3079"/>
      <c r="B53" s="3079"/>
      <c r="C53" s="3079"/>
      <c r="D53" s="3079"/>
      <c r="E53" s="3079"/>
      <c r="F53" s="3079"/>
      <c r="G53" s="3079"/>
      <c r="H53" s="3079"/>
    </row>
    <row r="54" spans="1:8">
      <c r="A54" s="3080" t="s">
        <v>922</v>
      </c>
      <c r="B54" s="3079"/>
      <c r="C54" s="3079"/>
      <c r="D54" s="3079"/>
      <c r="E54" s="3079"/>
      <c r="F54" s="3079"/>
      <c r="G54" s="3079"/>
      <c r="H54" s="3079"/>
    </row>
    <row r="55" spans="1:8">
      <c r="A55" s="3079"/>
      <c r="B55" s="3079"/>
      <c r="C55" s="3079"/>
      <c r="D55" s="3079"/>
      <c r="E55" s="3079"/>
      <c r="F55" s="3079"/>
      <c r="G55" s="3079"/>
      <c r="H55" s="3079"/>
    </row>
    <row r="56" spans="1:8" ht="15.75">
      <c r="A56" s="3081" t="s">
        <v>923</v>
      </c>
      <c r="B56" s="3079"/>
      <c r="C56" s="3079"/>
      <c r="D56" s="3079"/>
      <c r="E56" s="3079"/>
      <c r="F56" s="3079"/>
      <c r="G56" s="3079"/>
      <c r="H56" s="3079"/>
    </row>
    <row r="57" spans="1:8">
      <c r="A57" s="3079"/>
      <c r="B57" s="3079"/>
      <c r="C57" s="3079"/>
      <c r="D57" s="3079"/>
      <c r="E57" s="3079"/>
      <c r="F57" s="3079"/>
      <c r="G57" s="3079"/>
      <c r="H57" s="3079"/>
    </row>
    <row r="58" spans="1:8">
      <c r="A58" s="3080" t="s">
        <v>1178</v>
      </c>
      <c r="B58" s="3079"/>
      <c r="C58" s="3079"/>
      <c r="D58" s="3079"/>
      <c r="E58" s="3079"/>
      <c r="F58" s="3079"/>
      <c r="G58" s="3079"/>
      <c r="H58" s="3079"/>
    </row>
    <row r="59" spans="1:8">
      <c r="A59" s="3080" t="s">
        <v>1179</v>
      </c>
      <c r="B59" s="3079"/>
      <c r="C59" s="3079"/>
      <c r="D59" s="3079"/>
      <c r="E59" s="3079"/>
      <c r="F59" s="3079"/>
      <c r="G59" s="3079"/>
      <c r="H59" s="3079"/>
    </row>
    <row r="60" spans="1:8">
      <c r="A60" s="3079"/>
      <c r="B60" s="3079"/>
      <c r="C60" s="3079"/>
      <c r="D60" s="3079"/>
      <c r="E60" s="3079"/>
      <c r="F60" s="3079"/>
      <c r="G60" s="3079"/>
      <c r="H60" s="3079"/>
    </row>
    <row r="61" spans="1:8" ht="15.75">
      <c r="A61" s="3081" t="s">
        <v>924</v>
      </c>
      <c r="B61" s="3079"/>
      <c r="C61" s="3079"/>
      <c r="D61" s="3079"/>
      <c r="E61" s="3079"/>
      <c r="F61" s="3079"/>
      <c r="G61" s="3079"/>
      <c r="H61" s="3079"/>
    </row>
    <row r="62" spans="1:8">
      <c r="A62" s="3079"/>
      <c r="B62" s="3079"/>
      <c r="C62" s="3079"/>
      <c r="D62" s="3079"/>
      <c r="E62" s="3079"/>
      <c r="F62" s="3079"/>
      <c r="G62" s="3079"/>
      <c r="H62" s="3079"/>
    </row>
    <row r="63" spans="1:8">
      <c r="A63" s="3080" t="s">
        <v>1176</v>
      </c>
      <c r="B63" s="3079"/>
      <c r="C63" s="3079"/>
      <c r="D63" s="3079"/>
      <c r="E63" s="3079"/>
      <c r="F63" s="3079"/>
      <c r="G63" s="3079"/>
      <c r="H63" s="3079"/>
    </row>
    <row r="64" spans="1:8">
      <c r="A64" s="3080" t="s">
        <v>1177</v>
      </c>
      <c r="B64" s="3079"/>
      <c r="C64" s="3079"/>
      <c r="D64" s="3079"/>
      <c r="E64" s="3079"/>
      <c r="F64" s="3079"/>
      <c r="G64" s="3079"/>
      <c r="H64" s="3079"/>
    </row>
    <row r="65" spans="1:8">
      <c r="A65" s="3079"/>
      <c r="B65" s="3079"/>
      <c r="C65" s="3079"/>
      <c r="D65" s="3079"/>
      <c r="E65" s="3079"/>
      <c r="F65" s="3079"/>
      <c r="G65" s="3079"/>
      <c r="H65" s="3079"/>
    </row>
    <row r="66" spans="1:8">
      <c r="A66" s="3080" t="s">
        <v>1174</v>
      </c>
      <c r="B66" s="3079"/>
      <c r="C66" s="3079"/>
      <c r="D66" s="3079"/>
      <c r="E66" s="3079"/>
      <c r="F66" s="3079"/>
      <c r="G66" s="3079"/>
      <c r="H66" s="3079"/>
    </row>
    <row r="67" spans="1:8">
      <c r="A67" s="3080" t="s">
        <v>1175</v>
      </c>
      <c r="B67" s="3079"/>
      <c r="C67" s="3079"/>
      <c r="D67" s="3079"/>
      <c r="E67" s="3079"/>
      <c r="F67" s="3079"/>
      <c r="G67" s="3079"/>
      <c r="H67" s="3079"/>
    </row>
    <row r="68" spans="1:8">
      <c r="A68" s="3079"/>
      <c r="B68" s="3079"/>
      <c r="C68" s="3079"/>
      <c r="D68" s="3079"/>
      <c r="E68" s="3079"/>
      <c r="F68" s="3079"/>
      <c r="G68" s="3079"/>
      <c r="H68" s="3079"/>
    </row>
    <row r="69" spans="1:8">
      <c r="A69" s="3080" t="s">
        <v>1172</v>
      </c>
      <c r="B69" s="3079"/>
      <c r="C69" s="3079"/>
      <c r="D69" s="3079"/>
      <c r="E69" s="3079"/>
      <c r="F69" s="3079"/>
      <c r="G69" s="3079"/>
      <c r="H69" s="3079"/>
    </row>
    <row r="70" spans="1:8">
      <c r="A70" s="3080" t="s">
        <v>1173</v>
      </c>
      <c r="B70" s="3079"/>
      <c r="C70" s="3079"/>
      <c r="D70" s="3079"/>
      <c r="E70" s="3079"/>
      <c r="F70" s="3079"/>
      <c r="G70" s="3079"/>
      <c r="H70" s="3079"/>
    </row>
    <row r="71" spans="1:8">
      <c r="A71" s="3079"/>
      <c r="B71" s="3079"/>
      <c r="C71" s="3079"/>
      <c r="D71" s="3079"/>
      <c r="E71" s="3079"/>
      <c r="F71" s="3079"/>
      <c r="G71" s="3079"/>
      <c r="H71" s="3079"/>
    </row>
    <row r="72" spans="1:8">
      <c r="A72" s="3080" t="s">
        <v>1170</v>
      </c>
      <c r="B72" s="3079"/>
      <c r="C72" s="3079"/>
      <c r="D72" s="3079"/>
      <c r="E72" s="3079"/>
      <c r="F72" s="3079"/>
      <c r="G72" s="3079"/>
      <c r="H72" s="3079"/>
    </row>
    <row r="73" spans="1:8">
      <c r="A73" s="3080" t="s">
        <v>1171</v>
      </c>
      <c r="B73" s="3079"/>
      <c r="C73" s="3079"/>
      <c r="D73" s="3079"/>
      <c r="E73" s="3079"/>
      <c r="F73" s="3079"/>
      <c r="G73" s="3079"/>
      <c r="H73" s="3079"/>
    </row>
    <row r="74" spans="1:8">
      <c r="A74" s="3079"/>
      <c r="B74" s="3079"/>
      <c r="C74" s="3079"/>
      <c r="D74" s="3079"/>
      <c r="E74" s="3079"/>
      <c r="F74" s="3079"/>
      <c r="G74" s="3079"/>
      <c r="H74" s="3079"/>
    </row>
    <row r="75" spans="1:8">
      <c r="A75" s="3080" t="s">
        <v>1167</v>
      </c>
      <c r="B75" s="3079"/>
      <c r="C75" s="3079"/>
      <c r="D75" s="3079"/>
      <c r="E75" s="3079"/>
      <c r="F75" s="3079"/>
      <c r="G75" s="3079"/>
      <c r="H75" s="3079"/>
    </row>
    <row r="76" spans="1:8">
      <c r="A76" s="3080" t="s">
        <v>1168</v>
      </c>
      <c r="B76" s="3079"/>
      <c r="C76" s="3079"/>
      <c r="D76" s="3079"/>
      <c r="E76" s="3079"/>
      <c r="F76" s="3079"/>
      <c r="G76" s="3079"/>
      <c r="H76" s="3079"/>
    </row>
    <row r="77" spans="1:8">
      <c r="A77" s="3080" t="s">
        <v>1169</v>
      </c>
      <c r="B77" s="3079"/>
      <c r="C77" s="3079"/>
      <c r="D77" s="3079"/>
      <c r="E77" s="3079"/>
      <c r="F77" s="3079"/>
      <c r="G77" s="3079"/>
      <c r="H77" s="3079"/>
    </row>
    <row r="78" spans="1:8">
      <c r="A78" s="3079"/>
      <c r="B78" s="3079"/>
      <c r="C78" s="3079"/>
      <c r="D78" s="3079"/>
      <c r="E78" s="3079"/>
      <c r="F78" s="3079"/>
      <c r="G78" s="3079"/>
      <c r="H78" s="3079"/>
    </row>
    <row r="79" spans="1:8">
      <c r="A79" s="3080" t="s">
        <v>925</v>
      </c>
      <c r="B79" s="3079"/>
      <c r="C79" s="3079"/>
      <c r="D79" s="3079"/>
      <c r="E79" s="3079"/>
      <c r="F79" s="3079"/>
      <c r="G79" s="3079"/>
      <c r="H79" s="3079"/>
    </row>
    <row r="80" spans="1:8">
      <c r="A80" s="3079"/>
      <c r="B80" s="3079"/>
      <c r="C80" s="3079"/>
      <c r="D80" s="3079"/>
      <c r="E80" s="3079"/>
      <c r="F80" s="3079"/>
      <c r="G80" s="3079"/>
      <c r="H80" s="3079"/>
    </row>
    <row r="81" spans="1:8">
      <c r="A81" s="3080" t="s">
        <v>1162</v>
      </c>
      <c r="B81" s="3079"/>
      <c r="C81" s="3079"/>
      <c r="D81" s="3079"/>
      <c r="E81" s="3079"/>
      <c r="F81" s="3079"/>
      <c r="G81" s="3079"/>
      <c r="H81" s="3079"/>
    </row>
    <row r="82" spans="1:8">
      <c r="A82" s="3080" t="s">
        <v>1163</v>
      </c>
      <c r="B82" s="3079"/>
      <c r="C82" s="3079"/>
      <c r="D82" s="3079"/>
      <c r="E82" s="3079"/>
      <c r="F82" s="3079"/>
      <c r="G82" s="3079"/>
      <c r="H82" s="3079"/>
    </row>
    <row r="83" spans="1:8">
      <c r="A83" s="3080" t="s">
        <v>1164</v>
      </c>
      <c r="B83" s="3079"/>
      <c r="C83" s="3079"/>
      <c r="D83" s="3079"/>
      <c r="E83" s="3079"/>
      <c r="F83" s="3079"/>
      <c r="G83" s="3079"/>
      <c r="H83" s="3079"/>
    </row>
    <row r="84" spans="1:8">
      <c r="A84" s="3080" t="s">
        <v>1165</v>
      </c>
      <c r="B84" s="3079"/>
      <c r="C84" s="3079"/>
      <c r="D84" s="3079"/>
      <c r="E84" s="3079"/>
      <c r="F84" s="3079"/>
      <c r="G84" s="3079"/>
      <c r="H84" s="3079"/>
    </row>
    <row r="85" spans="1:8">
      <c r="A85" s="3080" t="s">
        <v>1166</v>
      </c>
      <c r="B85" s="3079"/>
      <c r="C85" s="3079"/>
      <c r="D85" s="3079"/>
      <c r="E85" s="3079"/>
      <c r="F85" s="3079"/>
      <c r="G85" s="3079"/>
      <c r="H85" s="3079"/>
    </row>
    <row r="86" spans="1:8">
      <c r="A86" s="3080" t="s">
        <v>1051</v>
      </c>
      <c r="B86" s="3079"/>
      <c r="C86" s="3079"/>
      <c r="D86" s="3079"/>
      <c r="E86" s="3079"/>
      <c r="F86" s="3079"/>
      <c r="G86" s="3079"/>
      <c r="H86" s="3079"/>
    </row>
    <row r="87" spans="1:8">
      <c r="A87" s="3079"/>
      <c r="B87" s="3079"/>
      <c r="C87" s="3079"/>
      <c r="D87" s="3079"/>
      <c r="E87" s="3079"/>
      <c r="F87" s="3079"/>
      <c r="G87" s="3079"/>
      <c r="H87" s="3079"/>
    </row>
    <row r="88" spans="1:8">
      <c r="A88" s="3080" t="s">
        <v>1155</v>
      </c>
      <c r="B88" s="3079"/>
      <c r="C88" s="3079"/>
      <c r="D88" s="3079"/>
      <c r="E88" s="3079"/>
      <c r="F88" s="3079"/>
      <c r="G88" s="3079"/>
      <c r="H88" s="3079"/>
    </row>
    <row r="89" spans="1:8">
      <c r="A89" s="3080" t="s">
        <v>1156</v>
      </c>
      <c r="B89" s="3079"/>
      <c r="C89" s="3079"/>
      <c r="D89" s="3079"/>
      <c r="E89" s="3079"/>
      <c r="F89" s="3079"/>
      <c r="G89" s="3079"/>
      <c r="H89" s="3079"/>
    </row>
    <row r="90" spans="1:8">
      <c r="A90" s="3080" t="s">
        <v>1157</v>
      </c>
      <c r="B90" s="3079"/>
      <c r="C90" s="3079"/>
      <c r="D90" s="3079"/>
      <c r="E90" s="3079"/>
      <c r="F90" s="3079"/>
      <c r="G90" s="3079"/>
      <c r="H90" s="3079"/>
    </row>
    <row r="91" spans="1:8">
      <c r="A91" s="3080" t="s">
        <v>1158</v>
      </c>
      <c r="B91" s="3079"/>
      <c r="C91" s="3079"/>
      <c r="D91" s="3079"/>
      <c r="E91" s="3079"/>
      <c r="F91" s="3079"/>
      <c r="G91" s="3079"/>
      <c r="H91" s="3079"/>
    </row>
    <row r="92" spans="1:8">
      <c r="A92" s="3080" t="s">
        <v>1159</v>
      </c>
      <c r="B92" s="3079"/>
      <c r="C92" s="3079"/>
      <c r="D92" s="3079"/>
      <c r="E92" s="3079"/>
      <c r="F92" s="3079"/>
      <c r="G92" s="3079"/>
      <c r="H92" s="3079"/>
    </row>
    <row r="93" spans="1:8">
      <c r="A93" s="3080" t="s">
        <v>1160</v>
      </c>
      <c r="B93" s="3079"/>
      <c r="C93" s="3079"/>
      <c r="D93" s="3079"/>
      <c r="E93" s="3079"/>
      <c r="F93" s="3079"/>
      <c r="G93" s="3079"/>
      <c r="H93" s="3079"/>
    </row>
    <row r="94" spans="1:8">
      <c r="A94" s="3080" t="s">
        <v>1161</v>
      </c>
      <c r="B94" s="3079"/>
      <c r="C94" s="3079"/>
      <c r="D94" s="3079"/>
      <c r="E94" s="3079"/>
      <c r="F94" s="3079"/>
      <c r="G94" s="3079"/>
      <c r="H94" s="3079"/>
    </row>
    <row r="95" spans="1:8">
      <c r="A95" s="3079"/>
      <c r="B95" s="3079"/>
      <c r="C95" s="3079"/>
      <c r="D95" s="3079"/>
      <c r="E95" s="3079"/>
      <c r="F95" s="3079"/>
      <c r="G95" s="3079"/>
      <c r="H95" s="3079"/>
    </row>
    <row r="96" spans="1:8">
      <c r="A96" s="3080" t="s">
        <v>1153</v>
      </c>
      <c r="B96" s="3079"/>
      <c r="C96" s="3079"/>
      <c r="D96" s="3079"/>
      <c r="E96" s="3079"/>
      <c r="F96" s="3079"/>
      <c r="G96" s="3079"/>
      <c r="H96" s="3079"/>
    </row>
    <row r="97" spans="1:8">
      <c r="A97" s="3080" t="s">
        <v>1154</v>
      </c>
      <c r="B97" s="3079"/>
      <c r="C97" s="3079"/>
      <c r="D97" s="3079"/>
      <c r="E97" s="3079"/>
      <c r="F97" s="3079"/>
      <c r="G97" s="3079"/>
      <c r="H97" s="3079"/>
    </row>
    <row r="98" spans="1:8">
      <c r="A98" s="3079"/>
      <c r="B98" s="3079"/>
      <c r="C98" s="3079"/>
      <c r="D98" s="3079"/>
      <c r="E98" s="3079"/>
      <c r="F98" s="3079"/>
      <c r="G98" s="3079"/>
      <c r="H98" s="3079"/>
    </row>
    <row r="99" spans="1:8" ht="15.75">
      <c r="A99" s="3081" t="s">
        <v>926</v>
      </c>
      <c r="B99" s="3079"/>
      <c r="C99" s="3079"/>
      <c r="D99" s="3079"/>
      <c r="E99" s="3079"/>
      <c r="F99" s="3079"/>
      <c r="G99" s="3079"/>
      <c r="H99" s="3079"/>
    </row>
    <row r="100" spans="1:8">
      <c r="A100" s="3079"/>
      <c r="B100" s="3079"/>
      <c r="C100" s="3079"/>
      <c r="D100" s="3079"/>
      <c r="E100" s="3079"/>
      <c r="F100" s="3079"/>
      <c r="G100" s="3079"/>
      <c r="H100" s="3079"/>
    </row>
    <row r="101" spans="1:8">
      <c r="A101" s="3080" t="s">
        <v>1144</v>
      </c>
      <c r="B101" s="3079"/>
      <c r="C101" s="3079"/>
      <c r="D101" s="3079"/>
      <c r="E101" s="3079"/>
      <c r="F101" s="3079"/>
      <c r="G101" s="3079"/>
      <c r="H101" s="3079"/>
    </row>
    <row r="102" spans="1:8">
      <c r="A102" s="3080" t="s">
        <v>1145</v>
      </c>
      <c r="B102" s="3079"/>
      <c r="C102" s="3079"/>
      <c r="D102" s="3079"/>
      <c r="E102" s="3079"/>
      <c r="F102" s="3079"/>
      <c r="G102" s="3079"/>
      <c r="H102" s="3079"/>
    </row>
    <row r="103" spans="1:8">
      <c r="A103" s="3080" t="s">
        <v>1146</v>
      </c>
      <c r="B103" s="3079"/>
      <c r="C103" s="3079"/>
      <c r="D103" s="3079"/>
      <c r="E103" s="3079"/>
      <c r="F103" s="3079"/>
      <c r="G103" s="3079"/>
      <c r="H103" s="3079"/>
    </row>
    <row r="104" spans="1:8">
      <c r="A104" s="3080" t="s">
        <v>1147</v>
      </c>
      <c r="B104" s="3079"/>
      <c r="C104" s="3079"/>
      <c r="D104" s="3079"/>
      <c r="E104" s="3079"/>
      <c r="F104" s="3079"/>
      <c r="G104" s="3079"/>
      <c r="H104" s="3079"/>
    </row>
    <row r="105" spans="1:8">
      <c r="A105" s="3080" t="s">
        <v>1148</v>
      </c>
      <c r="B105" s="3079"/>
      <c r="C105" s="3079"/>
      <c r="D105" s="3079"/>
      <c r="E105" s="3079"/>
      <c r="F105" s="3079"/>
      <c r="G105" s="3079"/>
      <c r="H105" s="3079"/>
    </row>
    <row r="106" spans="1:8">
      <c r="A106" s="3080" t="s">
        <v>1149</v>
      </c>
      <c r="B106" s="3079"/>
      <c r="C106" s="3079"/>
      <c r="D106" s="3079"/>
      <c r="E106" s="3079"/>
      <c r="F106" s="3079"/>
      <c r="G106" s="3079"/>
      <c r="H106" s="3079"/>
    </row>
    <row r="107" spans="1:8">
      <c r="A107" s="3080" t="s">
        <v>1150</v>
      </c>
      <c r="B107" s="3079"/>
      <c r="C107" s="3079"/>
      <c r="D107" s="3079"/>
      <c r="E107" s="3079"/>
      <c r="F107" s="3079"/>
      <c r="G107" s="3079"/>
      <c r="H107" s="3079"/>
    </row>
    <row r="108" spans="1:8">
      <c r="A108" s="3080" t="s">
        <v>1151</v>
      </c>
      <c r="B108" s="3079"/>
      <c r="C108" s="3079"/>
      <c r="D108" s="3079"/>
      <c r="E108" s="3079"/>
      <c r="F108" s="3079"/>
      <c r="G108" s="3079"/>
      <c r="H108" s="3079"/>
    </row>
    <row r="109" spans="1:8">
      <c r="A109" s="3080" t="s">
        <v>1152</v>
      </c>
      <c r="B109" s="3079"/>
      <c r="C109" s="3079"/>
      <c r="D109" s="3079"/>
      <c r="E109" s="3079"/>
      <c r="F109" s="3079"/>
      <c r="G109" s="3079"/>
      <c r="H109" s="3079"/>
    </row>
    <row r="110" spans="1:8">
      <c r="A110" s="3079"/>
      <c r="B110" s="3079"/>
      <c r="C110" s="3079"/>
      <c r="D110" s="3079"/>
      <c r="E110" s="3079"/>
      <c r="F110" s="3079"/>
      <c r="G110" s="3079"/>
      <c r="H110" s="3079"/>
    </row>
    <row r="111" spans="1:8" ht="15.75">
      <c r="A111" s="3082" t="s">
        <v>927</v>
      </c>
      <c r="B111" s="3082"/>
      <c r="C111" s="3082"/>
      <c r="D111" s="3082"/>
      <c r="E111" s="3082"/>
      <c r="F111" s="3082"/>
      <c r="G111" s="3082"/>
      <c r="H111" s="3082"/>
    </row>
    <row r="112" spans="1:8">
      <c r="A112" s="3083" t="s">
        <v>928</v>
      </c>
      <c r="B112" s="3083"/>
      <c r="C112" s="3083"/>
      <c r="D112" s="3083"/>
      <c r="E112" s="3083"/>
      <c r="F112" s="3083"/>
      <c r="G112" s="3083"/>
      <c r="H112" s="3083"/>
    </row>
    <row r="113" spans="1:8">
      <c r="A113" s="3084"/>
      <c r="B113" s="3084"/>
      <c r="C113" s="3084"/>
      <c r="D113" s="3084"/>
      <c r="E113" s="3084"/>
      <c r="F113" s="3084"/>
      <c r="G113" s="3084"/>
      <c r="H113" s="3084"/>
    </row>
    <row r="114" spans="1:8">
      <c r="A114" s="3083" t="s">
        <v>1142</v>
      </c>
      <c r="B114" s="3083"/>
      <c r="C114" s="3083"/>
      <c r="D114" s="3083"/>
      <c r="E114" s="3083"/>
      <c r="F114" s="3083"/>
      <c r="G114" s="3083"/>
      <c r="H114" s="3083"/>
    </row>
    <row r="115" spans="1:8">
      <c r="A115" s="3080" t="s">
        <v>1143</v>
      </c>
      <c r="B115" s="3080"/>
      <c r="C115" s="3080"/>
      <c r="D115" s="3080"/>
      <c r="E115" s="3080"/>
      <c r="F115" s="3080"/>
      <c r="G115" s="3080"/>
      <c r="H115" s="3080"/>
    </row>
    <row r="116" spans="1:8">
      <c r="A116" s="3084"/>
      <c r="B116" s="3084"/>
      <c r="C116" s="3084"/>
      <c r="D116" s="3084"/>
      <c r="E116" s="3084"/>
      <c r="F116" s="3084"/>
      <c r="G116" s="3084"/>
      <c r="H116" s="3084"/>
    </row>
    <row r="117" spans="1:8">
      <c r="A117" s="3083" t="s">
        <v>1135</v>
      </c>
      <c r="B117" s="3083"/>
      <c r="C117" s="3083"/>
      <c r="D117" s="3083"/>
      <c r="E117" s="3083"/>
      <c r="F117" s="3083"/>
      <c r="G117" s="3083"/>
      <c r="H117" s="3083"/>
    </row>
    <row r="118" spans="1:8">
      <c r="A118" s="3080" t="s">
        <v>1136</v>
      </c>
      <c r="B118" s="3080"/>
      <c r="C118" s="3080"/>
      <c r="D118" s="3080"/>
      <c r="E118" s="3080"/>
      <c r="F118" s="3080"/>
      <c r="G118" s="3080"/>
      <c r="H118" s="3080"/>
    </row>
    <row r="119" spans="1:8">
      <c r="A119" s="3080" t="s">
        <v>1137</v>
      </c>
      <c r="B119" s="3080"/>
      <c r="C119" s="3080"/>
      <c r="D119" s="3080"/>
      <c r="E119" s="3080"/>
      <c r="F119" s="3080"/>
      <c r="G119" s="3080"/>
      <c r="H119" s="3080"/>
    </row>
    <row r="120" spans="1:8">
      <c r="A120" s="3080" t="s">
        <v>1138</v>
      </c>
      <c r="B120" s="3080"/>
      <c r="C120" s="3080"/>
      <c r="D120" s="3080"/>
      <c r="E120" s="3080"/>
      <c r="F120" s="3080"/>
      <c r="G120" s="3080"/>
      <c r="H120" s="3080"/>
    </row>
    <row r="121" spans="1:8">
      <c r="A121" s="3080" t="s">
        <v>1139</v>
      </c>
      <c r="B121" s="3080"/>
      <c r="C121" s="3080"/>
      <c r="D121" s="3080"/>
      <c r="E121" s="3080"/>
      <c r="F121" s="3080"/>
      <c r="G121" s="3080"/>
      <c r="H121" s="3080"/>
    </row>
    <row r="122" spans="1:8">
      <c r="A122" s="3080" t="s">
        <v>1140</v>
      </c>
      <c r="B122" s="3080"/>
      <c r="C122" s="3080"/>
      <c r="D122" s="3080"/>
      <c r="E122" s="3080"/>
      <c r="F122" s="3080"/>
      <c r="G122" s="3080"/>
      <c r="H122" s="3080"/>
    </row>
    <row r="123" spans="1:8">
      <c r="A123" s="3080" t="s">
        <v>1141</v>
      </c>
      <c r="B123" s="3080"/>
      <c r="C123" s="3080"/>
      <c r="D123" s="3080"/>
      <c r="E123" s="3080"/>
      <c r="F123" s="3080"/>
      <c r="G123" s="3080"/>
      <c r="H123" s="3080"/>
    </row>
    <row r="124" spans="1:8">
      <c r="A124" s="3085"/>
      <c r="B124" s="3085"/>
      <c r="C124" s="3085"/>
      <c r="D124" s="3085"/>
      <c r="E124" s="3085"/>
      <c r="F124" s="3085"/>
      <c r="G124" s="3085"/>
      <c r="H124" s="3085"/>
    </row>
    <row r="125" spans="1:8">
      <c r="A125" s="3086"/>
      <c r="B125" s="3087" t="s">
        <v>929</v>
      </c>
      <c r="C125" s="3088"/>
      <c r="D125" s="3087" t="s">
        <v>930</v>
      </c>
      <c r="E125" s="3089"/>
      <c r="F125" s="3088"/>
      <c r="G125" s="3087" t="s">
        <v>931</v>
      </c>
      <c r="H125" s="3088"/>
    </row>
    <row r="126" spans="1:8">
      <c r="A126" s="3086" t="s">
        <v>932</v>
      </c>
      <c r="B126" s="3086" t="s">
        <v>77</v>
      </c>
      <c r="C126" s="3086" t="s">
        <v>933</v>
      </c>
      <c r="D126" s="3086" t="s">
        <v>77</v>
      </c>
      <c r="E126" s="3086" t="s">
        <v>934</v>
      </c>
      <c r="F126" s="3086" t="s">
        <v>935</v>
      </c>
      <c r="G126" s="3086" t="s">
        <v>77</v>
      </c>
      <c r="H126" s="3086" t="s">
        <v>936</v>
      </c>
    </row>
    <row r="127" spans="1:8">
      <c r="A127" s="3086" t="s">
        <v>937</v>
      </c>
      <c r="B127" s="3086">
        <v>1189</v>
      </c>
      <c r="C127" s="3086">
        <v>0.38</v>
      </c>
      <c r="D127" s="3086">
        <v>315</v>
      </c>
      <c r="E127" s="3086">
        <v>0.41</v>
      </c>
      <c r="F127" s="3086">
        <v>0.26</v>
      </c>
      <c r="G127" s="3086">
        <v>555</v>
      </c>
      <c r="H127" s="3086">
        <v>0.39</v>
      </c>
    </row>
    <row r="128" spans="1:8">
      <c r="A128" s="3086" t="s">
        <v>938</v>
      </c>
      <c r="B128" s="3086">
        <v>1355</v>
      </c>
      <c r="C128" s="3086">
        <v>0.43</v>
      </c>
      <c r="D128" s="3086">
        <v>364</v>
      </c>
      <c r="E128" s="3086">
        <v>0.47</v>
      </c>
      <c r="F128" s="3086">
        <v>0.27</v>
      </c>
      <c r="G128" s="3086">
        <v>644</v>
      </c>
      <c r="H128" s="3086">
        <v>0.45</v>
      </c>
    </row>
    <row r="129" spans="1:8">
      <c r="A129" s="3086" t="s">
        <v>939</v>
      </c>
      <c r="B129" s="3086">
        <v>53</v>
      </c>
      <c r="C129" s="3086">
        <v>0.02</v>
      </c>
      <c r="D129" s="3086">
        <v>4</v>
      </c>
      <c r="E129" s="3086">
        <v>0.01</v>
      </c>
      <c r="F129" s="3086">
        <v>0.08</v>
      </c>
      <c r="G129" s="3086">
        <v>7</v>
      </c>
      <c r="H129" s="3086">
        <v>0</v>
      </c>
    </row>
    <row r="130" spans="1:8">
      <c r="A130" s="3086" t="s">
        <v>940</v>
      </c>
      <c r="B130" s="3086">
        <v>545</v>
      </c>
      <c r="C130" s="3086">
        <v>0.17</v>
      </c>
      <c r="D130" s="3086">
        <v>84</v>
      </c>
      <c r="E130" s="3086">
        <v>0.11</v>
      </c>
      <c r="F130" s="3086">
        <v>0.15</v>
      </c>
      <c r="G130" s="3086">
        <v>214</v>
      </c>
      <c r="H130" s="3086">
        <v>0.15</v>
      </c>
    </row>
    <row r="131" spans="1:8">
      <c r="A131" s="3086" t="s">
        <v>221</v>
      </c>
      <c r="B131" s="3086">
        <v>3142</v>
      </c>
      <c r="C131" s="3086"/>
      <c r="D131" s="3086">
        <v>767</v>
      </c>
      <c r="E131" s="3086"/>
      <c r="F131" s="3086"/>
      <c r="G131" s="3086">
        <v>1420</v>
      </c>
      <c r="H131" s="3086"/>
    </row>
    <row r="132" spans="1:8">
      <c r="A132" s="3090"/>
      <c r="B132" s="3090"/>
      <c r="C132" s="3090"/>
      <c r="D132" s="3090"/>
      <c r="E132" s="3090"/>
      <c r="F132" s="3090"/>
      <c r="G132" s="3090"/>
      <c r="H132" s="3090"/>
    </row>
    <row r="133" spans="1:8">
      <c r="A133" s="3083" t="s">
        <v>1131</v>
      </c>
      <c r="B133" s="3083"/>
      <c r="C133" s="3083"/>
      <c r="D133" s="3083"/>
      <c r="E133" s="3083"/>
      <c r="F133" s="3083"/>
      <c r="G133" s="3083"/>
      <c r="H133" s="3083"/>
    </row>
    <row r="134" spans="1:8">
      <c r="A134" s="3080" t="s">
        <v>1132</v>
      </c>
      <c r="B134" s="3080"/>
      <c r="C134" s="3080"/>
      <c r="D134" s="3080"/>
      <c r="E134" s="3080"/>
      <c r="F134" s="3080"/>
      <c r="G134" s="3080"/>
      <c r="H134" s="3080"/>
    </row>
    <row r="135" spans="1:8">
      <c r="A135" s="3080" t="s">
        <v>1133</v>
      </c>
      <c r="B135" s="3080"/>
      <c r="C135" s="3080"/>
      <c r="D135" s="3080"/>
      <c r="E135" s="3080"/>
      <c r="F135" s="3080"/>
      <c r="G135" s="3080"/>
      <c r="H135" s="3080"/>
    </row>
    <row r="136" spans="1:8">
      <c r="A136" s="3080" t="s">
        <v>1134</v>
      </c>
      <c r="B136" s="3080"/>
      <c r="C136" s="3080"/>
      <c r="D136" s="3080"/>
      <c r="E136" s="3080"/>
      <c r="F136" s="3080"/>
      <c r="G136" s="3080"/>
      <c r="H136" s="3080"/>
    </row>
    <row r="137" spans="1:8">
      <c r="A137" s="3079"/>
      <c r="B137" s="3079"/>
      <c r="C137" s="3079"/>
      <c r="D137" s="3079"/>
      <c r="E137" s="3079"/>
      <c r="F137" s="3079"/>
      <c r="G137" s="3079"/>
      <c r="H137" s="3079"/>
    </row>
    <row r="138" spans="1:8" ht="15.75">
      <c r="A138" s="3081" t="s">
        <v>941</v>
      </c>
      <c r="B138" s="3079"/>
      <c r="C138" s="3079"/>
      <c r="D138" s="3079"/>
      <c r="E138" s="3079"/>
      <c r="F138" s="3079"/>
      <c r="G138" s="3079"/>
      <c r="H138" s="3079"/>
    </row>
    <row r="139" spans="1:8">
      <c r="A139" s="3079"/>
      <c r="B139" s="3079"/>
      <c r="C139" s="3079"/>
      <c r="D139" s="3079"/>
      <c r="E139" s="3079"/>
      <c r="F139" s="3079"/>
      <c r="G139" s="3079"/>
      <c r="H139" s="3079"/>
    </row>
    <row r="140" spans="1:8">
      <c r="A140" s="3080" t="s">
        <v>1129</v>
      </c>
      <c r="B140" s="3079"/>
      <c r="C140" s="3079"/>
      <c r="D140" s="3079"/>
      <c r="E140" s="3079"/>
      <c r="F140" s="3079"/>
      <c r="G140" s="3079"/>
      <c r="H140" s="3079"/>
    </row>
    <row r="141" spans="1:8">
      <c r="A141" s="3080" t="s">
        <v>1130</v>
      </c>
      <c r="B141" s="3079"/>
      <c r="C141" s="3079"/>
      <c r="D141" s="3079"/>
      <c r="E141" s="3079"/>
      <c r="F141" s="3079"/>
      <c r="G141" s="3079"/>
      <c r="H141" s="3079"/>
    </row>
    <row r="142" spans="1:8">
      <c r="A142" s="3079"/>
      <c r="B142" s="3079"/>
      <c r="C142" s="3079"/>
      <c r="D142" s="3079"/>
      <c r="E142" s="3079"/>
      <c r="F142" s="3079"/>
      <c r="G142" s="3079"/>
      <c r="H142" s="3079"/>
    </row>
    <row r="143" spans="1:8">
      <c r="A143" s="3080" t="s">
        <v>1126</v>
      </c>
      <c r="B143" s="3079"/>
      <c r="C143" s="3079"/>
      <c r="D143" s="3079"/>
      <c r="E143" s="3079"/>
      <c r="F143" s="3079"/>
      <c r="G143" s="3079"/>
      <c r="H143" s="3079"/>
    </row>
    <row r="144" spans="1:8">
      <c r="A144" s="3080" t="s">
        <v>1127</v>
      </c>
      <c r="B144" s="3079"/>
      <c r="C144" s="3079"/>
      <c r="D144" s="3079"/>
      <c r="E144" s="3079"/>
      <c r="F144" s="3079"/>
      <c r="G144" s="3079"/>
      <c r="H144" s="3079"/>
    </row>
    <row r="145" spans="1:8">
      <c r="A145" s="3080" t="s">
        <v>1128</v>
      </c>
      <c r="B145" s="3079"/>
      <c r="C145" s="3079"/>
      <c r="D145" s="3079"/>
      <c r="E145" s="3079"/>
      <c r="F145" s="3079"/>
      <c r="G145" s="3079"/>
      <c r="H145" s="3079"/>
    </row>
    <row r="146" spans="1:8">
      <c r="A146" s="3079"/>
      <c r="B146" s="3079"/>
      <c r="C146" s="3079"/>
      <c r="D146" s="3079"/>
      <c r="E146" s="3079"/>
      <c r="F146" s="3079"/>
      <c r="G146" s="3079"/>
      <c r="H146" s="3079"/>
    </row>
    <row r="147" spans="1:8">
      <c r="A147" s="3080" t="s">
        <v>1123</v>
      </c>
      <c r="B147" s="3079"/>
      <c r="C147" s="3079"/>
      <c r="D147" s="3079"/>
      <c r="E147" s="3079"/>
      <c r="F147" s="3079"/>
      <c r="G147" s="3079"/>
      <c r="H147" s="3079"/>
    </row>
    <row r="148" spans="1:8">
      <c r="A148" s="3080" t="s">
        <v>1124</v>
      </c>
      <c r="B148" s="3079"/>
      <c r="C148" s="3079"/>
      <c r="D148" s="3079"/>
      <c r="E148" s="3079"/>
      <c r="F148" s="3079"/>
      <c r="G148" s="3079"/>
      <c r="H148" s="3079"/>
    </row>
    <row r="149" spans="1:8">
      <c r="A149" s="3080" t="s">
        <v>1125</v>
      </c>
      <c r="B149" s="3079"/>
      <c r="C149" s="3079"/>
      <c r="D149" s="3079"/>
      <c r="E149" s="3079"/>
      <c r="F149" s="3079"/>
      <c r="G149" s="3079"/>
      <c r="H149" s="3079"/>
    </row>
    <row r="150" spans="1:8">
      <c r="A150" s="3079"/>
      <c r="B150" s="3079"/>
      <c r="C150" s="3079"/>
      <c r="D150" s="3079"/>
      <c r="E150" s="3079"/>
      <c r="F150" s="3079"/>
      <c r="G150" s="3079"/>
      <c r="H150" s="3079"/>
    </row>
    <row r="151" spans="1:8">
      <c r="A151" s="3080" t="s">
        <v>1120</v>
      </c>
      <c r="B151" s="3079"/>
      <c r="C151" s="3079"/>
      <c r="D151" s="3079"/>
      <c r="E151" s="3079"/>
      <c r="F151" s="3079"/>
      <c r="G151" s="3079"/>
      <c r="H151" s="3079"/>
    </row>
    <row r="152" spans="1:8">
      <c r="A152" s="3080" t="s">
        <v>1121</v>
      </c>
      <c r="B152" s="3079"/>
      <c r="C152" s="3079"/>
      <c r="D152" s="3079"/>
      <c r="E152" s="3079"/>
      <c r="F152" s="3079"/>
      <c r="G152" s="3079"/>
      <c r="H152" s="3079"/>
    </row>
    <row r="153" spans="1:8">
      <c r="A153" s="3080" t="s">
        <v>1122</v>
      </c>
      <c r="B153" s="3079"/>
      <c r="C153" s="3079"/>
      <c r="D153" s="3079"/>
      <c r="E153" s="3079"/>
      <c r="F153" s="3079"/>
      <c r="G153" s="3079"/>
      <c r="H153" s="3079"/>
    </row>
    <row r="154" spans="1:8">
      <c r="A154" s="3079"/>
      <c r="B154" s="3079"/>
      <c r="C154" s="3079"/>
      <c r="D154" s="3079"/>
      <c r="E154" s="3079"/>
      <c r="F154" s="3079"/>
      <c r="G154" s="3079"/>
      <c r="H154" s="3079"/>
    </row>
    <row r="155" spans="1:8">
      <c r="A155" s="3080" t="s">
        <v>1118</v>
      </c>
      <c r="B155" s="3079"/>
      <c r="C155" s="3079"/>
      <c r="D155" s="3079"/>
      <c r="E155" s="3079"/>
      <c r="F155" s="3079"/>
      <c r="G155" s="3079"/>
      <c r="H155" s="3079"/>
    </row>
    <row r="156" spans="1:8">
      <c r="A156" s="3080" t="s">
        <v>1119</v>
      </c>
      <c r="B156" s="3079"/>
      <c r="C156" s="3079"/>
      <c r="D156" s="3079"/>
      <c r="E156" s="3079"/>
      <c r="F156" s="3079"/>
      <c r="G156" s="3079"/>
      <c r="H156" s="3079"/>
    </row>
    <row r="157" spans="1:8">
      <c r="A157" s="3079"/>
      <c r="B157" s="3079"/>
      <c r="C157" s="3079"/>
      <c r="D157" s="3079"/>
      <c r="E157" s="3079"/>
      <c r="F157" s="3079"/>
      <c r="G157" s="3079"/>
      <c r="H157" s="3079"/>
    </row>
    <row r="158" spans="1:8" ht="15.75">
      <c r="A158" s="3081" t="s">
        <v>942</v>
      </c>
      <c r="B158" s="3079"/>
      <c r="C158" s="3079"/>
      <c r="D158" s="3079"/>
      <c r="E158" s="3079"/>
      <c r="F158" s="3079"/>
      <c r="G158" s="3079"/>
      <c r="H158" s="3079"/>
    </row>
    <row r="159" spans="1:8">
      <c r="A159" s="3079"/>
      <c r="B159" s="3079"/>
      <c r="C159" s="3079"/>
      <c r="D159" s="3079"/>
      <c r="E159" s="3079"/>
      <c r="F159" s="3079"/>
      <c r="G159" s="3079"/>
      <c r="H159" s="3079"/>
    </row>
    <row r="160" spans="1:8">
      <c r="A160" s="3080" t="s">
        <v>1116</v>
      </c>
      <c r="B160" s="3079"/>
      <c r="C160" s="3079"/>
      <c r="D160" s="3079"/>
      <c r="E160" s="3079"/>
      <c r="F160" s="3079"/>
      <c r="G160" s="3079"/>
      <c r="H160" s="3079"/>
    </row>
    <row r="161" spans="1:8">
      <c r="A161" s="3080" t="s">
        <v>1117</v>
      </c>
      <c r="B161" s="3079"/>
      <c r="C161" s="3079"/>
      <c r="D161" s="3079"/>
      <c r="E161" s="3079"/>
      <c r="F161" s="3079"/>
      <c r="G161" s="3079"/>
      <c r="H161" s="3079"/>
    </row>
    <row r="162" spans="1:8">
      <c r="A162" s="3079"/>
      <c r="B162" s="3079"/>
      <c r="C162" s="3079"/>
      <c r="D162" s="3079"/>
      <c r="E162" s="3079"/>
      <c r="F162" s="3079"/>
      <c r="G162" s="3079"/>
      <c r="H162" s="3079"/>
    </row>
    <row r="163" spans="1:8">
      <c r="A163" s="3080" t="s">
        <v>1114</v>
      </c>
      <c r="B163" s="3079"/>
      <c r="C163" s="3079"/>
      <c r="D163" s="3079"/>
      <c r="E163" s="3079"/>
      <c r="F163" s="3079"/>
      <c r="G163" s="3079"/>
      <c r="H163" s="3079"/>
    </row>
    <row r="164" spans="1:8">
      <c r="A164" s="3080" t="s">
        <v>1115</v>
      </c>
      <c r="B164" s="3079"/>
      <c r="C164" s="3079"/>
      <c r="D164" s="3079"/>
      <c r="E164" s="3079"/>
      <c r="F164" s="3079"/>
      <c r="G164" s="3079"/>
      <c r="H164" s="3079"/>
    </row>
    <row r="165" spans="1:8">
      <c r="A165" s="3079"/>
      <c r="B165" s="3079"/>
      <c r="C165" s="3079"/>
      <c r="D165" s="3079"/>
      <c r="E165" s="3079"/>
      <c r="F165" s="3079"/>
      <c r="G165" s="3079"/>
      <c r="H165" s="3079"/>
    </row>
    <row r="166" spans="1:8">
      <c r="A166" s="3080" t="s">
        <v>1112</v>
      </c>
      <c r="B166" s="3079"/>
      <c r="C166" s="3079"/>
      <c r="D166" s="3079"/>
      <c r="E166" s="3079"/>
      <c r="F166" s="3079"/>
      <c r="G166" s="3079"/>
      <c r="H166" s="3079"/>
    </row>
    <row r="167" spans="1:8">
      <c r="A167" s="3080" t="s">
        <v>1113</v>
      </c>
      <c r="B167" s="3079"/>
      <c r="C167" s="3079"/>
      <c r="D167" s="3079"/>
      <c r="E167" s="3079"/>
      <c r="F167" s="3079"/>
      <c r="G167" s="3079"/>
      <c r="H167" s="3079"/>
    </row>
    <row r="168" spans="1:8">
      <c r="A168" s="3079"/>
      <c r="B168" s="3079"/>
      <c r="C168" s="3079"/>
      <c r="D168" s="3079"/>
      <c r="E168" s="3079"/>
      <c r="F168" s="3079"/>
      <c r="G168" s="3079"/>
      <c r="H168" s="3079"/>
    </row>
    <row r="169" spans="1:8">
      <c r="A169" s="3080" t="s">
        <v>1109</v>
      </c>
      <c r="B169" s="3079"/>
      <c r="C169" s="3079"/>
      <c r="D169" s="3079"/>
      <c r="E169" s="3079"/>
      <c r="F169" s="3079"/>
      <c r="G169" s="3079"/>
      <c r="H169" s="3079"/>
    </row>
    <row r="170" spans="1:8">
      <c r="A170" s="3080" t="s">
        <v>1110</v>
      </c>
      <c r="B170" s="3079"/>
      <c r="C170" s="3079"/>
      <c r="D170" s="3079"/>
      <c r="E170" s="3079"/>
      <c r="F170" s="3079"/>
      <c r="G170" s="3079"/>
      <c r="H170" s="3079"/>
    </row>
    <row r="171" spans="1:8">
      <c r="A171" s="3080" t="s">
        <v>1111</v>
      </c>
      <c r="B171" s="3079"/>
      <c r="C171" s="3079"/>
      <c r="D171" s="3079"/>
      <c r="E171" s="3079"/>
      <c r="F171" s="3079"/>
      <c r="G171" s="3079"/>
      <c r="H171" s="3079"/>
    </row>
    <row r="172" spans="1:8">
      <c r="A172" s="3079"/>
      <c r="B172" s="3079"/>
      <c r="C172" s="3079"/>
      <c r="D172" s="3079"/>
      <c r="E172" s="3079"/>
      <c r="F172" s="3079"/>
      <c r="G172" s="3079"/>
      <c r="H172" s="3079"/>
    </row>
    <row r="173" spans="1:8">
      <c r="A173" s="3079"/>
      <c r="B173" s="3079"/>
      <c r="C173" s="3079"/>
      <c r="D173" s="3079"/>
      <c r="E173" s="3079"/>
      <c r="F173" s="3079"/>
      <c r="G173" s="3079"/>
      <c r="H173" s="3079"/>
    </row>
    <row r="174" spans="1:8">
      <c r="A174" s="3080" t="s">
        <v>943</v>
      </c>
      <c r="B174" s="3079"/>
      <c r="C174" s="3079"/>
      <c r="D174" s="3079"/>
      <c r="E174" s="3079"/>
      <c r="F174" s="3079"/>
      <c r="G174" s="3079"/>
      <c r="H174" s="3079"/>
    </row>
    <row r="175" spans="1:8">
      <c r="A175" s="3079"/>
      <c r="B175" s="3079"/>
      <c r="C175" s="3079"/>
      <c r="D175" s="3079"/>
      <c r="E175" s="3079"/>
      <c r="F175" s="3079"/>
      <c r="G175" s="3079"/>
      <c r="H175" s="3079"/>
    </row>
    <row r="176" spans="1:8" ht="15.75">
      <c r="A176" s="3081" t="s">
        <v>944</v>
      </c>
      <c r="B176" s="3079"/>
      <c r="C176" s="3079"/>
      <c r="D176" s="3079"/>
      <c r="E176" s="3079"/>
      <c r="F176" s="3079"/>
      <c r="G176" s="3079"/>
      <c r="H176" s="3079"/>
    </row>
    <row r="177" spans="1:8">
      <c r="A177" s="3079"/>
      <c r="B177" s="3079"/>
      <c r="C177" s="3079"/>
      <c r="D177" s="3079"/>
      <c r="E177" s="3079"/>
      <c r="F177" s="3079"/>
      <c r="G177" s="3079"/>
      <c r="H177" s="3079"/>
    </row>
    <row r="178" spans="1:8">
      <c r="A178" s="3079"/>
      <c r="B178" s="3079"/>
      <c r="C178" s="3079"/>
      <c r="D178" s="3079"/>
      <c r="E178" s="3079"/>
      <c r="F178" s="3079"/>
      <c r="G178" s="3079"/>
      <c r="H178" s="3079"/>
    </row>
    <row r="179" spans="1:8">
      <c r="A179" s="3079"/>
      <c r="B179" s="3079"/>
      <c r="C179" s="3079"/>
      <c r="D179" s="3079"/>
      <c r="E179" s="3079"/>
      <c r="F179" s="3079"/>
      <c r="G179" s="3079"/>
      <c r="H179" s="3079"/>
    </row>
    <row r="180" spans="1:8">
      <c r="A180" s="3079"/>
      <c r="B180" s="3079"/>
      <c r="C180" s="3079"/>
      <c r="D180" s="3079"/>
      <c r="E180" s="3079"/>
      <c r="F180" s="3079"/>
      <c r="G180" s="3079"/>
      <c r="H180" s="3079"/>
    </row>
    <row r="181" spans="1:8">
      <c r="A181" s="3079"/>
      <c r="B181" s="3079"/>
      <c r="C181" s="3079"/>
      <c r="D181" s="3079"/>
      <c r="E181" s="3079"/>
      <c r="F181" s="3079"/>
      <c r="G181" s="3079"/>
      <c r="H181" s="3079"/>
    </row>
    <row r="182" spans="1:8">
      <c r="A182" s="3079"/>
      <c r="B182" s="3079"/>
      <c r="C182" s="3079"/>
      <c r="D182" s="3079"/>
      <c r="E182" s="3079"/>
      <c r="F182" s="3079"/>
      <c r="G182" s="3079"/>
      <c r="H182" s="3079"/>
    </row>
    <row r="183" spans="1:8">
      <c r="A183" s="3079"/>
      <c r="B183" s="3079"/>
      <c r="C183" s="3079"/>
      <c r="D183" s="3079"/>
      <c r="E183" s="3079"/>
      <c r="F183" s="3079"/>
      <c r="G183" s="3079"/>
      <c r="H183" s="3079"/>
    </row>
    <row r="184" spans="1:8">
      <c r="A184" s="3079"/>
      <c r="B184" s="3079"/>
      <c r="C184" s="3079"/>
      <c r="D184" s="3079"/>
      <c r="E184" s="3079"/>
      <c r="F184" s="3079"/>
      <c r="G184" s="3079"/>
      <c r="H184" s="3079"/>
    </row>
    <row r="185" spans="1:8">
      <c r="A185" s="3079"/>
      <c r="B185" s="3079"/>
      <c r="C185" s="3079"/>
      <c r="D185" s="3079"/>
      <c r="E185" s="3079"/>
      <c r="F185" s="3079"/>
      <c r="G185" s="3079"/>
      <c r="H185" s="3079"/>
    </row>
    <row r="186" spans="1:8">
      <c r="A186" s="3079"/>
      <c r="B186" s="3079"/>
      <c r="C186" s="3079"/>
      <c r="D186" s="3079"/>
      <c r="E186" s="3079"/>
      <c r="F186" s="3079"/>
      <c r="G186" s="3079"/>
      <c r="H186" s="3079"/>
    </row>
    <row r="187" spans="1:8">
      <c r="A187" s="3079"/>
      <c r="B187" s="3079"/>
      <c r="C187" s="3079"/>
      <c r="D187" s="3079"/>
      <c r="E187" s="3079"/>
      <c r="F187" s="3079"/>
      <c r="G187" s="3079"/>
      <c r="H187" s="3079"/>
    </row>
    <row r="188" spans="1:8">
      <c r="A188" s="3079"/>
      <c r="B188" s="3079"/>
      <c r="C188" s="3079"/>
      <c r="D188" s="3079"/>
      <c r="E188" s="3079"/>
      <c r="F188" s="3079"/>
      <c r="G188" s="3079"/>
      <c r="H188" s="3079"/>
    </row>
    <row r="189" spans="1:8">
      <c r="A189" s="3079"/>
      <c r="B189" s="3079"/>
      <c r="C189" s="3079"/>
      <c r="D189" s="3079"/>
      <c r="E189" s="3079"/>
      <c r="F189" s="3079"/>
      <c r="G189" s="3079"/>
      <c r="H189" s="3079"/>
    </row>
    <row r="190" spans="1:8">
      <c r="A190" s="3079"/>
      <c r="B190" s="3079"/>
      <c r="C190" s="3079"/>
      <c r="D190" s="3079"/>
      <c r="E190" s="3079"/>
      <c r="F190" s="3079"/>
      <c r="G190" s="3079"/>
      <c r="H190" s="3079"/>
    </row>
    <row r="191" spans="1:8">
      <c r="A191" s="3079"/>
      <c r="B191" s="3079"/>
      <c r="C191" s="3079"/>
      <c r="D191" s="3079"/>
      <c r="E191" s="3079"/>
      <c r="F191" s="3079"/>
      <c r="G191" s="3079"/>
      <c r="H191" s="3079"/>
    </row>
    <row r="192" spans="1:8">
      <c r="A192" s="3079"/>
      <c r="B192" s="3079"/>
      <c r="C192" s="3079"/>
      <c r="D192" s="3079"/>
      <c r="E192" s="3079"/>
      <c r="F192" s="3079"/>
      <c r="G192" s="3079"/>
      <c r="H192" s="3079"/>
    </row>
    <row r="193" spans="1:8">
      <c r="A193" s="3079"/>
      <c r="B193" s="3079"/>
      <c r="C193" s="3079"/>
      <c r="D193" s="3079"/>
      <c r="E193" s="3079"/>
      <c r="F193" s="3079"/>
      <c r="G193" s="3079"/>
      <c r="H193" s="3079"/>
    </row>
    <row r="194" spans="1:8">
      <c r="A194" s="3079"/>
      <c r="B194" s="3079"/>
      <c r="C194" s="3079"/>
      <c r="D194" s="3079"/>
      <c r="E194" s="3079"/>
      <c r="F194" s="3079"/>
      <c r="G194" s="3079"/>
      <c r="H194" s="3079"/>
    </row>
    <row r="195" spans="1:8">
      <c r="A195" s="3079"/>
      <c r="B195" s="3079"/>
      <c r="C195" s="3079"/>
      <c r="D195" s="3079"/>
      <c r="E195" s="3079"/>
      <c r="F195" s="3079"/>
      <c r="G195" s="3079"/>
      <c r="H195" s="3079"/>
    </row>
    <row r="196" spans="1:8">
      <c r="A196" s="3079"/>
      <c r="B196" s="3079"/>
      <c r="C196" s="3079"/>
      <c r="D196" s="3079"/>
      <c r="E196" s="3079"/>
      <c r="F196" s="3079"/>
      <c r="G196" s="3079"/>
      <c r="H196" s="3079"/>
    </row>
    <row r="197" spans="1:8">
      <c r="A197" s="3079"/>
      <c r="B197" s="3079"/>
      <c r="C197" s="3079"/>
      <c r="D197" s="3079"/>
      <c r="E197" s="3079"/>
      <c r="F197" s="3079"/>
      <c r="G197" s="3079"/>
      <c r="H197" s="3079"/>
    </row>
    <row r="198" spans="1:8">
      <c r="A198" s="3079"/>
      <c r="B198" s="3079"/>
      <c r="C198" s="3079"/>
      <c r="D198" s="3079"/>
      <c r="E198" s="3079"/>
      <c r="F198" s="3079"/>
      <c r="G198" s="3079"/>
      <c r="H198" s="3079"/>
    </row>
    <row r="199" spans="1:8">
      <c r="A199" s="3079"/>
      <c r="B199" s="3079"/>
      <c r="C199" s="3079"/>
      <c r="D199" s="3079"/>
      <c r="E199" s="3079"/>
      <c r="F199" s="3079"/>
      <c r="G199" s="3079"/>
      <c r="H199" s="3079"/>
    </row>
    <row r="200" spans="1:8">
      <c r="A200" s="3079"/>
      <c r="B200" s="3079"/>
      <c r="C200" s="3079"/>
      <c r="D200" s="3079"/>
      <c r="E200" s="3079"/>
      <c r="F200" s="3079"/>
      <c r="G200" s="3079"/>
      <c r="H200" s="3079"/>
    </row>
    <row r="201" spans="1:8">
      <c r="A201" s="3079"/>
      <c r="B201" s="3079"/>
      <c r="C201" s="3079"/>
      <c r="D201" s="3079"/>
      <c r="E201" s="3079"/>
      <c r="F201" s="3079"/>
      <c r="G201" s="3079"/>
      <c r="H201" s="3079"/>
    </row>
    <row r="202" spans="1:8">
      <c r="A202" s="3079"/>
      <c r="B202" s="3079"/>
      <c r="C202" s="3079"/>
      <c r="D202" s="3079"/>
      <c r="E202" s="3079"/>
      <c r="F202" s="3079"/>
      <c r="G202" s="3079"/>
      <c r="H202" s="3079"/>
    </row>
    <row r="203" spans="1:8" ht="15.75">
      <c r="A203" s="3081" t="s">
        <v>945</v>
      </c>
      <c r="B203" s="3079"/>
      <c r="C203" s="3079"/>
      <c r="D203" s="3079"/>
      <c r="E203" s="3079"/>
      <c r="F203" s="3079"/>
      <c r="G203" s="3079"/>
      <c r="H203" s="3079"/>
    </row>
    <row r="204" spans="1:8">
      <c r="A204" s="3079"/>
      <c r="B204" s="3079"/>
      <c r="C204" s="3079"/>
      <c r="D204" s="3079"/>
      <c r="E204" s="3079"/>
      <c r="F204" s="3079"/>
      <c r="G204" s="3079"/>
      <c r="H204" s="3079"/>
    </row>
    <row r="205" spans="1:8">
      <c r="A205" s="3080" t="s">
        <v>1104</v>
      </c>
      <c r="B205" s="3079"/>
      <c r="C205" s="3079"/>
      <c r="D205" s="3079"/>
      <c r="E205" s="3079"/>
      <c r="F205" s="3079"/>
      <c r="G205" s="3079"/>
      <c r="H205" s="3079"/>
    </row>
    <row r="206" spans="1:8">
      <c r="A206" s="3080" t="s">
        <v>1105</v>
      </c>
      <c r="B206" s="3079"/>
      <c r="C206" s="3079"/>
      <c r="D206" s="3079"/>
      <c r="E206" s="3079"/>
      <c r="F206" s="3079"/>
      <c r="G206" s="3079"/>
      <c r="H206" s="3079"/>
    </row>
    <row r="207" spans="1:8">
      <c r="A207" s="3080" t="s">
        <v>1106</v>
      </c>
      <c r="B207" s="3079"/>
      <c r="C207" s="3079"/>
      <c r="D207" s="3079"/>
      <c r="E207" s="3079"/>
      <c r="F207" s="3079"/>
      <c r="G207" s="3079"/>
      <c r="H207" s="3079"/>
    </row>
    <row r="208" spans="1:8">
      <c r="A208" s="3080" t="s">
        <v>1107</v>
      </c>
      <c r="B208" s="3079"/>
      <c r="C208" s="3079"/>
      <c r="D208" s="3079"/>
      <c r="E208" s="3079"/>
      <c r="F208" s="3079"/>
      <c r="G208" s="3079"/>
      <c r="H208" s="3079"/>
    </row>
    <row r="209" spans="1:8">
      <c r="A209" s="3080" t="s">
        <v>1108</v>
      </c>
      <c r="B209" s="3079"/>
      <c r="C209" s="3079"/>
      <c r="D209" s="3079"/>
      <c r="E209" s="3079"/>
      <c r="F209" s="3079"/>
      <c r="G209" s="3079"/>
      <c r="H209" s="3079"/>
    </row>
    <row r="210" spans="1:8">
      <c r="A210" s="3079"/>
      <c r="B210" s="3079"/>
      <c r="C210" s="3079"/>
      <c r="D210" s="3079"/>
      <c r="E210" s="3079"/>
      <c r="F210" s="3079"/>
      <c r="G210" s="3079"/>
      <c r="H210" s="3079"/>
    </row>
    <row r="211" spans="1:8">
      <c r="A211" s="3080" t="s">
        <v>1101</v>
      </c>
      <c r="B211" s="3079"/>
      <c r="C211" s="3079"/>
      <c r="D211" s="3079"/>
      <c r="E211" s="3079"/>
      <c r="F211" s="3079"/>
      <c r="G211" s="3079"/>
      <c r="H211" s="3079"/>
    </row>
    <row r="212" spans="1:8">
      <c r="A212" s="3080" t="s">
        <v>1102</v>
      </c>
      <c r="B212" s="3079"/>
      <c r="C212" s="3079"/>
      <c r="D212" s="3079"/>
      <c r="E212" s="3079"/>
      <c r="F212" s="3079"/>
      <c r="G212" s="3079"/>
      <c r="H212" s="3079"/>
    </row>
    <row r="213" spans="1:8">
      <c r="A213" s="3080" t="s">
        <v>1103</v>
      </c>
      <c r="B213" s="3079"/>
      <c r="C213" s="3079"/>
      <c r="D213" s="3079"/>
      <c r="E213" s="3079"/>
      <c r="F213" s="3079"/>
      <c r="G213" s="3079"/>
      <c r="H213" s="3079"/>
    </row>
    <row r="214" spans="1:8" ht="15.75">
      <c r="A214" s="3081" t="s">
        <v>946</v>
      </c>
      <c r="B214" s="3079"/>
      <c r="C214" s="3079"/>
      <c r="D214" s="3079"/>
      <c r="E214" s="3079"/>
      <c r="F214" s="3079"/>
      <c r="G214" s="3079"/>
      <c r="H214" s="3079"/>
    </row>
    <row r="215" spans="1:8">
      <c r="A215" s="3079"/>
      <c r="B215" s="3079"/>
      <c r="C215" s="3079"/>
      <c r="D215" s="3079"/>
      <c r="E215" s="3079"/>
      <c r="F215" s="3079"/>
      <c r="G215" s="3079"/>
      <c r="H215" s="3079"/>
    </row>
    <row r="216" spans="1:8">
      <c r="A216" s="3080" t="s">
        <v>1094</v>
      </c>
      <c r="B216" s="3079"/>
      <c r="C216" s="3079"/>
      <c r="D216" s="3079"/>
      <c r="E216" s="3079"/>
      <c r="F216" s="3079"/>
      <c r="G216" s="3079"/>
      <c r="H216" s="3079"/>
    </row>
    <row r="217" spans="1:8">
      <c r="A217" s="3080" t="s">
        <v>1095</v>
      </c>
      <c r="B217" s="3079"/>
      <c r="C217" s="3079"/>
      <c r="D217" s="3079"/>
      <c r="E217" s="3079"/>
      <c r="F217" s="3079"/>
      <c r="G217" s="3079"/>
      <c r="H217" s="3079"/>
    </row>
    <row r="218" spans="1:8">
      <c r="A218" s="3080" t="s">
        <v>1096</v>
      </c>
      <c r="B218" s="3079"/>
      <c r="C218" s="3079"/>
      <c r="D218" s="3079"/>
      <c r="E218" s="3079"/>
      <c r="F218" s="3079"/>
      <c r="G218" s="3079"/>
      <c r="H218" s="3079"/>
    </row>
    <row r="219" spans="1:8">
      <c r="A219" s="3080" t="s">
        <v>1097</v>
      </c>
      <c r="B219" s="3079"/>
      <c r="C219" s="3079"/>
      <c r="D219" s="3079"/>
      <c r="E219" s="3079"/>
      <c r="F219" s="3079"/>
      <c r="G219" s="3079"/>
      <c r="H219" s="3079"/>
    </row>
    <row r="220" spans="1:8">
      <c r="A220" s="3080" t="s">
        <v>1098</v>
      </c>
      <c r="B220" s="3079"/>
      <c r="C220" s="3079"/>
      <c r="D220" s="3079"/>
      <c r="E220" s="3079"/>
      <c r="F220" s="3079"/>
      <c r="G220" s="3079"/>
      <c r="H220" s="3079"/>
    </row>
    <row r="221" spans="1:8">
      <c r="A221" s="3080" t="s">
        <v>1099</v>
      </c>
      <c r="B221" s="3079"/>
      <c r="C221" s="3079"/>
      <c r="D221" s="3079"/>
      <c r="E221" s="3079"/>
      <c r="F221" s="3079"/>
      <c r="G221" s="3079"/>
      <c r="H221" s="3079"/>
    </row>
    <row r="222" spans="1:8">
      <c r="A222" s="3080" t="s">
        <v>1100</v>
      </c>
      <c r="B222" s="3079"/>
      <c r="C222" s="3079"/>
      <c r="D222" s="3079"/>
      <c r="E222" s="3079"/>
      <c r="F222" s="3079"/>
      <c r="G222" s="3079"/>
      <c r="H222" s="3079"/>
    </row>
    <row r="223" spans="1:8">
      <c r="A223" s="3079"/>
      <c r="B223" s="3079"/>
      <c r="C223" s="3079"/>
      <c r="D223" s="3079"/>
      <c r="E223" s="3079"/>
      <c r="F223" s="3079"/>
      <c r="G223" s="3079"/>
      <c r="H223" s="3079"/>
    </row>
    <row r="224" spans="1:8">
      <c r="A224" s="3080" t="s">
        <v>1091</v>
      </c>
      <c r="B224" s="3079"/>
      <c r="C224" s="3079"/>
      <c r="D224" s="3079"/>
      <c r="E224" s="3079"/>
      <c r="F224" s="3079"/>
      <c r="G224" s="3079"/>
      <c r="H224" s="3079"/>
    </row>
    <row r="225" spans="1:8">
      <c r="A225" s="3080" t="s">
        <v>1092</v>
      </c>
      <c r="B225" s="3079"/>
      <c r="C225" s="3079"/>
      <c r="D225" s="3079"/>
      <c r="E225" s="3079"/>
      <c r="F225" s="3079"/>
      <c r="G225" s="3079"/>
      <c r="H225" s="3079"/>
    </row>
    <row r="226" spans="1:8">
      <c r="A226" s="3080" t="s">
        <v>1093</v>
      </c>
      <c r="B226" s="3079"/>
      <c r="C226" s="3079"/>
      <c r="D226" s="3079"/>
      <c r="E226" s="3079"/>
      <c r="F226" s="3079"/>
      <c r="G226" s="3079"/>
      <c r="H226" s="3079"/>
    </row>
    <row r="227" spans="1:8">
      <c r="A227" s="3079"/>
      <c r="B227" s="3079"/>
      <c r="C227" s="3079"/>
      <c r="D227" s="3079"/>
      <c r="E227" s="3079"/>
      <c r="F227" s="3079"/>
      <c r="G227" s="3079"/>
      <c r="H227" s="3079"/>
    </row>
    <row r="228" spans="1:8">
      <c r="A228" s="3080" t="s">
        <v>1086</v>
      </c>
      <c r="B228" s="3079"/>
      <c r="C228" s="3079"/>
      <c r="D228" s="3079"/>
      <c r="E228" s="3079"/>
      <c r="F228" s="3079"/>
      <c r="G228" s="3079"/>
      <c r="H228" s="3079"/>
    </row>
    <row r="229" spans="1:8">
      <c r="A229" s="3080" t="s">
        <v>1087</v>
      </c>
      <c r="B229" s="3079"/>
      <c r="C229" s="3079"/>
      <c r="D229" s="3079"/>
      <c r="E229" s="3079"/>
      <c r="F229" s="3079"/>
      <c r="G229" s="3079"/>
      <c r="H229" s="3079"/>
    </row>
    <row r="230" spans="1:8">
      <c r="A230" s="3080" t="s">
        <v>1088</v>
      </c>
      <c r="B230" s="3079"/>
      <c r="C230" s="3079"/>
      <c r="D230" s="3079"/>
      <c r="E230" s="3079"/>
      <c r="F230" s="3079"/>
      <c r="G230" s="3079"/>
      <c r="H230" s="3079"/>
    </row>
    <row r="231" spans="1:8">
      <c r="A231" s="3080" t="s">
        <v>1089</v>
      </c>
      <c r="B231" s="3079"/>
      <c r="C231" s="3079"/>
      <c r="D231" s="3079"/>
      <c r="E231" s="3079"/>
      <c r="F231" s="3079"/>
      <c r="G231" s="3079"/>
      <c r="H231" s="3079"/>
    </row>
    <row r="232" spans="1:8">
      <c r="A232" s="3080" t="s">
        <v>1090</v>
      </c>
      <c r="B232" s="3079"/>
      <c r="C232" s="3079"/>
      <c r="D232" s="3079"/>
      <c r="E232" s="3079"/>
      <c r="F232" s="3079"/>
      <c r="G232" s="3079"/>
      <c r="H232" s="3079"/>
    </row>
    <row r="233" spans="1:8">
      <c r="A233" s="3079"/>
      <c r="B233" s="3079"/>
      <c r="C233" s="3079"/>
      <c r="D233" s="3079"/>
      <c r="E233" s="3079"/>
      <c r="F233" s="3079"/>
      <c r="G233" s="3079"/>
      <c r="H233" s="3079"/>
    </row>
    <row r="234" spans="1:8">
      <c r="A234" s="3080" t="s">
        <v>1080</v>
      </c>
      <c r="B234" s="3079"/>
      <c r="C234" s="3079"/>
      <c r="D234" s="3079"/>
      <c r="E234" s="3079"/>
      <c r="F234" s="3079"/>
      <c r="G234" s="3079"/>
      <c r="H234" s="3079"/>
    </row>
    <row r="235" spans="1:8">
      <c r="A235" s="3080" t="s">
        <v>1081</v>
      </c>
      <c r="B235" s="3079"/>
      <c r="C235" s="3079"/>
      <c r="D235" s="3079"/>
      <c r="E235" s="3079"/>
      <c r="F235" s="3079"/>
      <c r="G235" s="3079"/>
      <c r="H235" s="3079"/>
    </row>
    <row r="236" spans="1:8">
      <c r="A236" s="3080" t="s">
        <v>1082</v>
      </c>
      <c r="B236" s="3079"/>
      <c r="C236" s="3079"/>
      <c r="D236" s="3079"/>
      <c r="E236" s="3079"/>
      <c r="F236" s="3079"/>
      <c r="G236" s="3079"/>
      <c r="H236" s="3079"/>
    </row>
    <row r="237" spans="1:8">
      <c r="A237" s="3080" t="s">
        <v>1083</v>
      </c>
      <c r="B237" s="3079"/>
      <c r="C237" s="3079"/>
      <c r="D237" s="3079"/>
      <c r="E237" s="3079"/>
      <c r="F237" s="3079"/>
      <c r="G237" s="3079"/>
      <c r="H237" s="3079"/>
    </row>
    <row r="238" spans="1:8">
      <c r="A238" s="3080" t="s">
        <v>1084</v>
      </c>
      <c r="B238" s="3079"/>
      <c r="C238" s="3079"/>
      <c r="D238" s="3079"/>
      <c r="E238" s="3079"/>
      <c r="F238" s="3079"/>
      <c r="G238" s="3079"/>
      <c r="H238" s="3079"/>
    </row>
    <row r="239" spans="1:8">
      <c r="A239" s="3080" t="s">
        <v>1085</v>
      </c>
      <c r="B239" s="3079"/>
      <c r="C239" s="3079"/>
      <c r="D239" s="3079"/>
      <c r="E239" s="3079"/>
      <c r="F239" s="3079"/>
      <c r="G239" s="3079"/>
      <c r="H239" s="3079"/>
    </row>
    <row r="240" spans="1:8">
      <c r="A240" s="3079"/>
      <c r="B240" s="3079"/>
      <c r="C240" s="3079"/>
      <c r="D240" s="3079"/>
      <c r="E240" s="3079"/>
      <c r="F240" s="3079"/>
      <c r="G240" s="3079"/>
      <c r="H240" s="3079"/>
    </row>
    <row r="241" spans="1:8">
      <c r="A241" s="3080" t="s">
        <v>1070</v>
      </c>
      <c r="B241" s="3079"/>
      <c r="C241" s="3079"/>
      <c r="D241" s="3079"/>
      <c r="E241" s="3079"/>
      <c r="F241" s="3079"/>
      <c r="G241" s="3079"/>
      <c r="H241" s="3079"/>
    </row>
    <row r="242" spans="1:8">
      <c r="A242" s="3080" t="s">
        <v>1071</v>
      </c>
      <c r="B242" s="3079"/>
      <c r="C242" s="3079"/>
      <c r="D242" s="3079"/>
      <c r="E242" s="3079"/>
      <c r="F242" s="3079"/>
      <c r="G242" s="3079"/>
      <c r="H242" s="3079"/>
    </row>
    <row r="243" spans="1:8">
      <c r="A243" s="3080" t="s">
        <v>1072</v>
      </c>
      <c r="B243" s="3079"/>
      <c r="C243" s="3079"/>
      <c r="D243" s="3079"/>
      <c r="E243" s="3079"/>
      <c r="F243" s="3079"/>
      <c r="G243" s="3079"/>
      <c r="H243" s="3079"/>
    </row>
    <row r="244" spans="1:8">
      <c r="A244" s="3080" t="s">
        <v>1073</v>
      </c>
      <c r="B244" s="3079"/>
      <c r="C244" s="3079"/>
      <c r="D244" s="3079"/>
      <c r="E244" s="3079"/>
      <c r="F244" s="3079"/>
      <c r="G244" s="3079"/>
      <c r="H244" s="3079"/>
    </row>
    <row r="245" spans="1:8">
      <c r="A245" s="3080" t="s">
        <v>1074</v>
      </c>
      <c r="B245" s="3079"/>
      <c r="C245" s="3079"/>
      <c r="D245" s="3079"/>
      <c r="E245" s="3079"/>
      <c r="F245" s="3079"/>
      <c r="G245" s="3079"/>
      <c r="H245" s="3079"/>
    </row>
    <row r="246" spans="1:8">
      <c r="A246" s="3080" t="s">
        <v>1075</v>
      </c>
      <c r="B246" s="3079"/>
      <c r="C246" s="3079"/>
      <c r="D246" s="3079"/>
      <c r="E246" s="3079"/>
      <c r="F246" s="3079"/>
      <c r="G246" s="3079"/>
      <c r="H246" s="3079"/>
    </row>
    <row r="247" spans="1:8">
      <c r="A247" s="3080" t="s">
        <v>1076</v>
      </c>
      <c r="B247" s="3079"/>
      <c r="C247" s="3079"/>
      <c r="D247" s="3079"/>
      <c r="E247" s="3079"/>
      <c r="F247" s="3079"/>
      <c r="G247" s="3079"/>
      <c r="H247" s="3079"/>
    </row>
    <row r="248" spans="1:8">
      <c r="A248" s="3080" t="s">
        <v>1077</v>
      </c>
      <c r="B248" s="3079"/>
      <c r="C248" s="3079"/>
      <c r="D248" s="3079"/>
      <c r="E248" s="3079"/>
      <c r="F248" s="3079"/>
      <c r="G248" s="3079"/>
      <c r="H248" s="3079"/>
    </row>
    <row r="249" spans="1:8">
      <c r="A249" s="3080" t="s">
        <v>1078</v>
      </c>
      <c r="B249" s="3079"/>
      <c r="C249" s="3079"/>
      <c r="D249" s="3079"/>
      <c r="E249" s="3079"/>
      <c r="F249" s="3079"/>
      <c r="G249" s="3079"/>
      <c r="H249" s="3079"/>
    </row>
    <row r="250" spans="1:8">
      <c r="A250" s="3080" t="s">
        <v>1079</v>
      </c>
      <c r="B250" s="3079"/>
      <c r="C250" s="3079"/>
      <c r="D250" s="3079"/>
      <c r="E250" s="3079"/>
      <c r="F250" s="3079"/>
      <c r="G250" s="3079"/>
      <c r="H250" s="3079"/>
    </row>
    <row r="251" spans="1:8">
      <c r="A251" s="3079"/>
      <c r="B251" s="3079"/>
      <c r="C251" s="3079"/>
      <c r="D251" s="3079"/>
      <c r="E251" s="3079"/>
      <c r="F251" s="3079"/>
      <c r="G251" s="3079"/>
      <c r="H251" s="3079"/>
    </row>
    <row r="252" spans="1:8">
      <c r="A252" s="3080" t="s">
        <v>1068</v>
      </c>
      <c r="B252" s="3079"/>
      <c r="C252" s="3079"/>
      <c r="D252" s="3079"/>
      <c r="E252" s="3079"/>
      <c r="F252" s="3079"/>
      <c r="G252" s="3079"/>
      <c r="H252" s="3079"/>
    </row>
    <row r="253" spans="1:8">
      <c r="A253" s="3080" t="s">
        <v>1069</v>
      </c>
      <c r="B253" s="3079"/>
      <c r="C253" s="3079"/>
      <c r="D253" s="3079"/>
      <c r="E253" s="3079"/>
      <c r="F253" s="3079"/>
      <c r="G253" s="3079"/>
      <c r="H253" s="3079"/>
    </row>
    <row r="254" spans="1:8">
      <c r="A254" s="3079"/>
      <c r="B254" s="3079"/>
      <c r="C254" s="3079"/>
      <c r="D254" s="3079"/>
      <c r="E254" s="3079"/>
      <c r="F254" s="3079"/>
      <c r="G254" s="3079"/>
      <c r="H254" s="3079"/>
    </row>
    <row r="255" spans="1:8">
      <c r="A255" s="3080" t="s">
        <v>1052</v>
      </c>
      <c r="B255" s="3079"/>
      <c r="C255" s="3079"/>
      <c r="D255" s="3079"/>
      <c r="E255" s="3079"/>
      <c r="F255" s="3079"/>
      <c r="G255" s="3079"/>
      <c r="H255" s="3079"/>
    </row>
    <row r="256" spans="1:8">
      <c r="A256" s="3080" t="s">
        <v>1053</v>
      </c>
      <c r="B256" s="3079"/>
      <c r="C256" s="3079"/>
      <c r="D256" s="3079"/>
      <c r="E256" s="3079"/>
      <c r="F256" s="3079"/>
      <c r="G256" s="3079"/>
      <c r="H256" s="3079"/>
    </row>
    <row r="257" spans="1:8">
      <c r="A257" s="3080" t="s">
        <v>1054</v>
      </c>
      <c r="B257" s="3079"/>
      <c r="C257" s="3079"/>
      <c r="D257" s="3079"/>
      <c r="E257" s="3079"/>
      <c r="F257" s="3079"/>
      <c r="G257" s="3079"/>
      <c r="H257" s="3079"/>
    </row>
    <row r="258" spans="1:8">
      <c r="A258" s="3080" t="s">
        <v>1055</v>
      </c>
      <c r="B258" s="3079"/>
      <c r="C258" s="3079"/>
      <c r="D258" s="3079"/>
      <c r="E258" s="3079"/>
      <c r="F258" s="3079"/>
      <c r="G258" s="3079"/>
      <c r="H258" s="3079"/>
    </row>
    <row r="259" spans="1:8">
      <c r="A259" s="3080" t="s">
        <v>1056</v>
      </c>
      <c r="B259" s="3079"/>
      <c r="C259" s="3079"/>
      <c r="D259" s="3079"/>
      <c r="E259" s="3079"/>
      <c r="F259" s="3079"/>
      <c r="G259" s="3079"/>
      <c r="H259" s="3079"/>
    </row>
    <row r="260" spans="1:8">
      <c r="A260" s="3080" t="s">
        <v>1057</v>
      </c>
      <c r="B260" s="3079"/>
      <c r="C260" s="3079"/>
      <c r="D260" s="3079"/>
      <c r="E260" s="3079"/>
      <c r="F260" s="3079"/>
      <c r="G260" s="3079"/>
      <c r="H260" s="3079"/>
    </row>
    <row r="261" spans="1:8">
      <c r="A261" s="3080" t="s">
        <v>1058</v>
      </c>
      <c r="B261" s="3079"/>
      <c r="C261" s="3079"/>
      <c r="D261" s="3079"/>
      <c r="E261" s="3079"/>
      <c r="F261" s="3079"/>
      <c r="G261" s="3079"/>
      <c r="H261" s="3079"/>
    </row>
    <row r="262" spans="1:8">
      <c r="A262" s="3080" t="s">
        <v>1059</v>
      </c>
      <c r="B262" s="3079"/>
      <c r="C262" s="3079"/>
      <c r="D262" s="3079"/>
      <c r="E262" s="3079"/>
      <c r="F262" s="3079"/>
      <c r="G262" s="3079"/>
      <c r="H262" s="3079"/>
    </row>
    <row r="263" spans="1:8">
      <c r="A263" s="3080" t="s">
        <v>1060</v>
      </c>
      <c r="B263" s="3079"/>
      <c r="C263" s="3079"/>
      <c r="D263" s="3079"/>
      <c r="E263" s="3079"/>
      <c r="F263" s="3079"/>
      <c r="G263" s="3079"/>
      <c r="H263" s="3079"/>
    </row>
    <row r="264" spans="1:8">
      <c r="A264" s="3080" t="s">
        <v>1061</v>
      </c>
      <c r="B264" s="3079"/>
      <c r="C264" s="3079"/>
      <c r="D264" s="3079"/>
      <c r="E264" s="3079"/>
      <c r="F264" s="3079"/>
      <c r="G264" s="3079"/>
      <c r="H264" s="3079"/>
    </row>
    <row r="265" spans="1:8">
      <c r="A265" s="3080" t="s">
        <v>1062</v>
      </c>
      <c r="B265" s="3079"/>
      <c r="C265" s="3079"/>
      <c r="D265" s="3079"/>
      <c r="E265" s="3079"/>
      <c r="F265" s="3079"/>
      <c r="G265" s="3079"/>
      <c r="H265" s="3079"/>
    </row>
    <row r="266" spans="1:8">
      <c r="A266" s="3080" t="s">
        <v>1063</v>
      </c>
      <c r="B266" s="3079"/>
      <c r="C266" s="3079"/>
      <c r="D266" s="3079"/>
      <c r="E266" s="3079"/>
      <c r="F266" s="3079"/>
      <c r="G266" s="3079"/>
      <c r="H266" s="3079"/>
    </row>
    <row r="267" spans="1:8">
      <c r="A267" s="3080" t="s">
        <v>1064</v>
      </c>
      <c r="B267" s="3079"/>
      <c r="C267" s="3079"/>
      <c r="D267" s="3079"/>
      <c r="E267" s="3079"/>
      <c r="F267" s="3079"/>
      <c r="G267" s="3079"/>
      <c r="H267" s="3079"/>
    </row>
    <row r="268" spans="1:8">
      <c r="A268" s="3080" t="s">
        <v>1065</v>
      </c>
      <c r="B268" s="3079"/>
      <c r="C268" s="3079"/>
      <c r="D268" s="3079"/>
      <c r="E268" s="3079"/>
      <c r="F268" s="3079"/>
      <c r="G268" s="3079"/>
      <c r="H268" s="3079"/>
    </row>
    <row r="269" spans="1:8">
      <c r="A269" s="3080" t="s">
        <v>1066</v>
      </c>
      <c r="B269" s="3079"/>
      <c r="C269" s="3079"/>
      <c r="D269" s="3079"/>
      <c r="E269" s="3079"/>
      <c r="F269" s="3079"/>
      <c r="G269" s="3079"/>
      <c r="H269" s="3079"/>
    </row>
    <row r="270" spans="1:8">
      <c r="A270" s="3080" t="s">
        <v>1067</v>
      </c>
      <c r="B270" s="3079"/>
      <c r="C270" s="3079"/>
      <c r="D270" s="3079"/>
      <c r="E270" s="3079"/>
      <c r="F270" s="3079"/>
      <c r="G270" s="3079"/>
      <c r="H270" s="3079"/>
    </row>
    <row r="271" spans="1:8">
      <c r="A271" s="3079"/>
      <c r="B271" s="3079"/>
      <c r="C271" s="3079"/>
      <c r="D271" s="3079"/>
      <c r="E271" s="3079"/>
      <c r="F271" s="3079"/>
      <c r="G271" s="3079"/>
      <c r="H271" s="3079"/>
    </row>
    <row r="272" spans="1:8">
      <c r="A272" s="3080" t="s">
        <v>1045</v>
      </c>
      <c r="B272" s="3079"/>
      <c r="C272" s="3079"/>
      <c r="D272" s="3079"/>
      <c r="E272" s="3079"/>
      <c r="F272" s="3079"/>
      <c r="G272" s="3079"/>
      <c r="H272" s="3079"/>
    </row>
    <row r="273" spans="1:8">
      <c r="A273" s="3080" t="s">
        <v>1046</v>
      </c>
      <c r="B273" s="3079"/>
      <c r="C273" s="3079"/>
      <c r="D273" s="3079"/>
      <c r="E273" s="3079"/>
      <c r="F273" s="3079"/>
      <c r="G273" s="3079"/>
      <c r="H273" s="3079"/>
    </row>
    <row r="274" spans="1:8">
      <c r="A274" s="3080" t="s">
        <v>1047</v>
      </c>
      <c r="B274" s="3079"/>
      <c r="C274" s="3079"/>
      <c r="D274" s="3079"/>
      <c r="E274" s="3079"/>
      <c r="F274" s="3079"/>
      <c r="G274" s="3079"/>
      <c r="H274" s="3079"/>
    </row>
    <row r="275" spans="1:8">
      <c r="A275" s="3080" t="s">
        <v>1048</v>
      </c>
      <c r="B275" s="3079"/>
      <c r="C275" s="3079"/>
      <c r="D275" s="3079"/>
      <c r="E275" s="3079"/>
      <c r="F275" s="3079"/>
      <c r="G275" s="3079"/>
      <c r="H275" s="3079"/>
    </row>
    <row r="276" spans="1:8">
      <c r="A276" s="3080" t="s">
        <v>1049</v>
      </c>
      <c r="B276" s="3079"/>
      <c r="C276" s="3079"/>
      <c r="D276" s="3079"/>
      <c r="E276" s="3079"/>
      <c r="F276" s="3079"/>
      <c r="G276" s="3079"/>
      <c r="H276" s="3079"/>
    </row>
    <row r="277" spans="1:8">
      <c r="A277" s="3080" t="s">
        <v>1050</v>
      </c>
      <c r="B277" s="3079"/>
      <c r="C277" s="3079"/>
      <c r="D277" s="3079"/>
      <c r="E277" s="3079"/>
      <c r="F277" s="3079"/>
      <c r="G277" s="3079"/>
      <c r="H277" s="3079"/>
    </row>
    <row r="278" spans="1:8">
      <c r="A278" s="3080" t="s">
        <v>1051</v>
      </c>
      <c r="B278" s="3079"/>
      <c r="C278" s="3079"/>
      <c r="D278" s="3079"/>
      <c r="E278" s="3079"/>
      <c r="F278" s="3079"/>
      <c r="G278" s="3079"/>
      <c r="H278" s="3079"/>
    </row>
    <row r="279" spans="1:8">
      <c r="A279" s="3079"/>
      <c r="B279" s="3079"/>
      <c r="C279" s="3079"/>
      <c r="D279" s="3079"/>
      <c r="E279" s="3079"/>
      <c r="F279" s="3079"/>
      <c r="G279" s="3079"/>
      <c r="H279" s="3079"/>
    </row>
    <row r="280" spans="1:8">
      <c r="A280" s="3080" t="s">
        <v>1036</v>
      </c>
      <c r="B280" s="3079"/>
      <c r="C280" s="3079"/>
      <c r="D280" s="3079"/>
      <c r="E280" s="3079"/>
      <c r="F280" s="3079"/>
      <c r="G280" s="3079"/>
      <c r="H280" s="3079"/>
    </row>
    <row r="281" spans="1:8">
      <c r="A281" s="3080" t="s">
        <v>1037</v>
      </c>
      <c r="B281" s="3079"/>
      <c r="C281" s="3079"/>
      <c r="D281" s="3079"/>
      <c r="E281" s="3079"/>
      <c r="F281" s="3079"/>
      <c r="G281" s="3079"/>
      <c r="H281" s="3079"/>
    </row>
    <row r="282" spans="1:8">
      <c r="A282" s="3080" t="s">
        <v>1038</v>
      </c>
      <c r="B282" s="3079"/>
      <c r="C282" s="3079"/>
      <c r="D282" s="3079"/>
      <c r="E282" s="3079"/>
      <c r="F282" s="3079"/>
      <c r="G282" s="3079"/>
      <c r="H282" s="3079"/>
    </row>
    <row r="283" spans="1:8">
      <c r="A283" s="3080" t="s">
        <v>1039</v>
      </c>
      <c r="B283" s="3079"/>
      <c r="C283" s="3079"/>
      <c r="D283" s="3079"/>
      <c r="E283" s="3079"/>
      <c r="F283" s="3079"/>
      <c r="G283" s="3079"/>
      <c r="H283" s="3079"/>
    </row>
    <row r="284" spans="1:8">
      <c r="A284" s="3080" t="s">
        <v>1040</v>
      </c>
      <c r="B284" s="3079"/>
      <c r="C284" s="3079"/>
      <c r="D284" s="3079"/>
      <c r="E284" s="3079"/>
      <c r="F284" s="3079"/>
      <c r="G284" s="3079"/>
      <c r="H284" s="3079"/>
    </row>
    <row r="285" spans="1:8">
      <c r="A285" s="3080" t="s">
        <v>1041</v>
      </c>
      <c r="B285" s="3079"/>
      <c r="C285" s="3079"/>
      <c r="D285" s="3079"/>
      <c r="E285" s="3079"/>
      <c r="F285" s="3079"/>
      <c r="G285" s="3079"/>
      <c r="H285" s="3079"/>
    </row>
    <row r="286" spans="1:8">
      <c r="A286" s="3080" t="s">
        <v>1042</v>
      </c>
      <c r="B286" s="3079"/>
      <c r="C286" s="3079"/>
      <c r="D286" s="3079"/>
      <c r="E286" s="3079"/>
      <c r="F286" s="3079"/>
      <c r="G286" s="3079"/>
      <c r="H286" s="3079"/>
    </row>
    <row r="287" spans="1:8">
      <c r="A287" s="3080" t="s">
        <v>1043</v>
      </c>
      <c r="B287" s="3079"/>
      <c r="C287" s="3079"/>
      <c r="D287" s="3079"/>
      <c r="E287" s="3079"/>
      <c r="F287" s="3079"/>
      <c r="G287" s="3079"/>
      <c r="H287" s="3079"/>
    </row>
    <row r="288" spans="1:8">
      <c r="A288" s="3080" t="s">
        <v>1044</v>
      </c>
      <c r="B288" s="3079"/>
      <c r="C288" s="3079"/>
      <c r="D288" s="3079"/>
      <c r="E288" s="3079"/>
      <c r="F288" s="3079"/>
      <c r="G288" s="3079"/>
      <c r="H288" s="3079"/>
    </row>
    <row r="289" spans="1:8">
      <c r="A289" s="3079"/>
      <c r="B289" s="3079"/>
      <c r="C289" s="3079"/>
      <c r="D289" s="3079"/>
      <c r="E289" s="3079"/>
      <c r="F289" s="3079"/>
      <c r="G289" s="3079"/>
      <c r="H289" s="3079"/>
    </row>
    <row r="290" spans="1:8">
      <c r="A290" s="3080" t="s">
        <v>1029</v>
      </c>
      <c r="B290" s="3079"/>
      <c r="C290" s="3079"/>
      <c r="D290" s="3079"/>
      <c r="E290" s="3079"/>
      <c r="F290" s="3079"/>
      <c r="G290" s="3079"/>
      <c r="H290" s="3079"/>
    </row>
    <row r="291" spans="1:8">
      <c r="A291" s="3080" t="s">
        <v>1030</v>
      </c>
      <c r="B291" s="3079"/>
      <c r="C291" s="3079"/>
      <c r="D291" s="3079"/>
      <c r="E291" s="3079"/>
      <c r="F291" s="3079"/>
      <c r="G291" s="3079"/>
      <c r="H291" s="3079"/>
    </row>
    <row r="292" spans="1:8">
      <c r="A292" s="3080" t="s">
        <v>1031</v>
      </c>
      <c r="B292" s="3079"/>
      <c r="C292" s="3079"/>
      <c r="D292" s="3079"/>
      <c r="E292" s="3079"/>
      <c r="F292" s="3079"/>
      <c r="G292" s="3079"/>
      <c r="H292" s="3079"/>
    </row>
    <row r="293" spans="1:8">
      <c r="A293" s="3080" t="s">
        <v>1032</v>
      </c>
      <c r="B293" s="3079"/>
      <c r="C293" s="3079"/>
      <c r="D293" s="3079"/>
      <c r="E293" s="3079"/>
      <c r="F293" s="3079"/>
      <c r="G293" s="3079"/>
      <c r="H293" s="3079"/>
    </row>
    <row r="294" spans="1:8">
      <c r="A294" s="3080" t="s">
        <v>1033</v>
      </c>
      <c r="B294" s="3079"/>
      <c r="C294" s="3079"/>
      <c r="D294" s="3079"/>
      <c r="E294" s="3079"/>
      <c r="F294" s="3079"/>
      <c r="G294" s="3079"/>
      <c r="H294" s="3079"/>
    </row>
    <row r="295" spans="1:8">
      <c r="A295" s="3080" t="s">
        <v>1034</v>
      </c>
      <c r="B295" s="3079"/>
      <c r="C295" s="3079"/>
      <c r="D295" s="3079"/>
      <c r="E295" s="3079"/>
      <c r="F295" s="3079"/>
      <c r="G295" s="3079"/>
      <c r="H295" s="3079"/>
    </row>
    <row r="296" spans="1:8">
      <c r="A296" s="3080" t="s">
        <v>1035</v>
      </c>
      <c r="B296" s="3079"/>
      <c r="C296" s="3079"/>
      <c r="D296" s="3079"/>
      <c r="E296" s="3079"/>
      <c r="F296" s="3079"/>
      <c r="G296" s="3079"/>
      <c r="H296" s="3079"/>
    </row>
    <row r="297" spans="1:8">
      <c r="A297" s="3079"/>
      <c r="B297" s="3079"/>
      <c r="C297" s="3079"/>
      <c r="D297" s="3079"/>
      <c r="E297" s="3079"/>
      <c r="F297" s="3079"/>
      <c r="G297" s="3079"/>
      <c r="H297" s="3079"/>
    </row>
    <row r="298" spans="1:8">
      <c r="A298" s="3080" t="s">
        <v>1026</v>
      </c>
      <c r="B298" s="3079"/>
      <c r="C298" s="3079"/>
      <c r="D298" s="3079"/>
      <c r="E298" s="3079"/>
      <c r="F298" s="3079"/>
      <c r="G298" s="3079"/>
      <c r="H298" s="3079"/>
    </row>
    <row r="299" spans="1:8">
      <c r="A299" s="3080" t="s">
        <v>1027</v>
      </c>
      <c r="B299" s="3079"/>
      <c r="C299" s="3079"/>
      <c r="D299" s="3079"/>
      <c r="E299" s="3079"/>
      <c r="F299" s="3079"/>
      <c r="G299" s="3079"/>
      <c r="H299" s="3079"/>
    </row>
    <row r="300" spans="1:8">
      <c r="A300" s="3080" t="s">
        <v>1028</v>
      </c>
      <c r="B300" s="3079"/>
      <c r="C300" s="3079"/>
      <c r="D300" s="3079"/>
      <c r="E300" s="3079"/>
      <c r="F300" s="3079"/>
      <c r="G300" s="3079"/>
      <c r="H300" s="3079"/>
    </row>
    <row r="301" spans="1:8">
      <c r="A301" s="3079"/>
      <c r="B301" s="3079"/>
      <c r="C301" s="3079"/>
      <c r="D301" s="3079"/>
      <c r="E301" s="3079"/>
      <c r="F301" s="3079"/>
      <c r="G301" s="3079"/>
      <c r="H301" s="3079"/>
    </row>
    <row r="302" spans="1:8">
      <c r="A302" s="3080" t="s">
        <v>1024</v>
      </c>
      <c r="B302" s="3079"/>
      <c r="C302" s="3079"/>
      <c r="D302" s="3079"/>
      <c r="E302" s="3079"/>
      <c r="F302" s="3079"/>
      <c r="G302" s="3079"/>
      <c r="H302" s="3079"/>
    </row>
    <row r="303" spans="1:8">
      <c r="A303" s="3080" t="s">
        <v>1025</v>
      </c>
      <c r="B303" s="3079"/>
      <c r="C303" s="3079"/>
      <c r="D303" s="3079"/>
      <c r="E303" s="3079"/>
      <c r="F303" s="3079"/>
      <c r="G303" s="3079"/>
      <c r="H303" s="3079"/>
    </row>
    <row r="304" spans="1:8">
      <c r="A304" s="3079"/>
      <c r="B304" s="3079"/>
      <c r="C304" s="3079"/>
      <c r="D304" s="3079"/>
      <c r="E304" s="3079"/>
      <c r="F304" s="3079"/>
      <c r="G304" s="3079"/>
      <c r="H304" s="3079"/>
    </row>
    <row r="305" spans="1:8">
      <c r="A305" s="3080" t="s">
        <v>1011</v>
      </c>
      <c r="B305" s="3079"/>
      <c r="C305" s="3079"/>
      <c r="D305" s="3079"/>
      <c r="E305" s="3079"/>
      <c r="F305" s="3079"/>
      <c r="G305" s="3079"/>
      <c r="H305" s="3079"/>
    </row>
    <row r="306" spans="1:8">
      <c r="A306" s="3080" t="s">
        <v>1012</v>
      </c>
      <c r="B306" s="3079"/>
      <c r="C306" s="3079"/>
      <c r="D306" s="3079"/>
      <c r="E306" s="3079"/>
      <c r="F306" s="3079"/>
      <c r="G306" s="3079"/>
      <c r="H306" s="3079"/>
    </row>
    <row r="307" spans="1:8">
      <c r="A307" s="3080" t="s">
        <v>1013</v>
      </c>
      <c r="B307" s="3079"/>
      <c r="C307" s="3079"/>
      <c r="D307" s="3079"/>
      <c r="E307" s="3079"/>
      <c r="F307" s="3079"/>
      <c r="G307" s="3079"/>
      <c r="H307" s="3079"/>
    </row>
    <row r="308" spans="1:8">
      <c r="A308" s="3080" t="s">
        <v>1014</v>
      </c>
      <c r="B308" s="3079"/>
      <c r="C308" s="3079"/>
      <c r="D308" s="3079"/>
      <c r="E308" s="3079"/>
      <c r="F308" s="3079"/>
      <c r="G308" s="3079"/>
      <c r="H308" s="3079"/>
    </row>
    <row r="309" spans="1:8">
      <c r="A309" s="3080" t="s">
        <v>1015</v>
      </c>
      <c r="B309" s="3079"/>
      <c r="C309" s="3079"/>
      <c r="D309" s="3079"/>
      <c r="E309" s="3079"/>
      <c r="F309" s="3079"/>
      <c r="G309" s="3079"/>
      <c r="H309" s="3079"/>
    </row>
    <row r="310" spans="1:8">
      <c r="A310" s="3080" t="s">
        <v>1016</v>
      </c>
      <c r="B310" s="3079"/>
      <c r="C310" s="3079"/>
      <c r="D310" s="3079"/>
      <c r="E310" s="3079"/>
      <c r="F310" s="3079"/>
      <c r="G310" s="3079"/>
      <c r="H310" s="3079"/>
    </row>
    <row r="311" spans="1:8">
      <c r="A311" s="3080" t="s">
        <v>1017</v>
      </c>
      <c r="B311" s="3079"/>
      <c r="C311" s="3079"/>
      <c r="D311" s="3079"/>
      <c r="E311" s="3079"/>
      <c r="F311" s="3079"/>
      <c r="G311" s="3079"/>
      <c r="H311" s="3079"/>
    </row>
    <row r="312" spans="1:8">
      <c r="A312" s="3080" t="s">
        <v>1018</v>
      </c>
      <c r="B312" s="3079"/>
      <c r="C312" s="3079"/>
      <c r="D312" s="3079"/>
      <c r="E312" s="3079"/>
      <c r="F312" s="3079"/>
      <c r="G312" s="3079"/>
      <c r="H312" s="3079"/>
    </row>
    <row r="313" spans="1:8">
      <c r="A313" s="3080" t="s">
        <v>1019</v>
      </c>
      <c r="B313" s="3079"/>
      <c r="C313" s="3079"/>
      <c r="D313" s="3079"/>
      <c r="E313" s="3079"/>
      <c r="F313" s="3079"/>
      <c r="G313" s="3079"/>
      <c r="H313" s="3079"/>
    </row>
    <row r="314" spans="1:8">
      <c r="A314" s="3080" t="s">
        <v>1020</v>
      </c>
      <c r="B314" s="3079"/>
      <c r="C314" s="3079"/>
      <c r="D314" s="3079"/>
      <c r="E314" s="3079"/>
      <c r="F314" s="3079"/>
      <c r="G314" s="3079"/>
      <c r="H314" s="3079"/>
    </row>
    <row r="315" spans="1:8">
      <c r="A315" s="3080" t="s">
        <v>1021</v>
      </c>
      <c r="B315" s="3079"/>
      <c r="C315" s="3079"/>
      <c r="D315" s="3079"/>
      <c r="E315" s="3079"/>
      <c r="F315" s="3079"/>
      <c r="G315" s="3079"/>
      <c r="H315" s="3079"/>
    </row>
    <row r="316" spans="1:8">
      <c r="A316" s="3080" t="s">
        <v>1022</v>
      </c>
      <c r="B316" s="3079"/>
      <c r="C316" s="3079"/>
      <c r="D316" s="3079"/>
      <c r="E316" s="3079"/>
      <c r="F316" s="3079"/>
      <c r="G316" s="3079"/>
      <c r="H316" s="3079"/>
    </row>
    <row r="317" spans="1:8">
      <c r="A317" s="3080" t="s">
        <v>1023</v>
      </c>
      <c r="B317" s="3079"/>
      <c r="C317" s="3079"/>
      <c r="D317" s="3079"/>
      <c r="E317" s="3079"/>
      <c r="F317" s="3079"/>
      <c r="G317" s="3079"/>
      <c r="H317" s="3079"/>
    </row>
    <row r="318" spans="1:8">
      <c r="A318" s="3079"/>
      <c r="B318" s="3079"/>
      <c r="C318" s="3079"/>
      <c r="D318" s="3079"/>
      <c r="E318" s="3079"/>
      <c r="F318" s="3079"/>
      <c r="G318" s="3079"/>
      <c r="H318" s="3079"/>
    </row>
    <row r="319" spans="1:8">
      <c r="A319" s="3080" t="s">
        <v>1003</v>
      </c>
      <c r="B319" s="3079"/>
      <c r="C319" s="3079"/>
      <c r="D319" s="3079"/>
      <c r="E319" s="3079"/>
      <c r="F319" s="3079"/>
      <c r="G319" s="3079"/>
      <c r="H319" s="3079"/>
    </row>
    <row r="320" spans="1:8">
      <c r="A320" s="3080" t="s">
        <v>1004</v>
      </c>
      <c r="B320" s="3079"/>
      <c r="C320" s="3079"/>
      <c r="D320" s="3079"/>
      <c r="E320" s="3079"/>
      <c r="F320" s="3079"/>
      <c r="G320" s="3079"/>
      <c r="H320" s="3079"/>
    </row>
    <row r="321" spans="1:8">
      <c r="A321" s="3080" t="s">
        <v>1005</v>
      </c>
      <c r="B321" s="3079"/>
      <c r="C321" s="3079"/>
      <c r="D321" s="3079"/>
      <c r="E321" s="3079"/>
      <c r="F321" s="3079"/>
      <c r="G321" s="3079"/>
      <c r="H321" s="3079"/>
    </row>
    <row r="322" spans="1:8">
      <c r="A322" s="3080" t="s">
        <v>1006</v>
      </c>
      <c r="B322" s="3079"/>
      <c r="C322" s="3079"/>
      <c r="D322" s="3079"/>
      <c r="E322" s="3079"/>
      <c r="F322" s="3079"/>
      <c r="G322" s="3079"/>
      <c r="H322" s="3079"/>
    </row>
    <row r="323" spans="1:8">
      <c r="A323" s="3080" t="s">
        <v>1007</v>
      </c>
      <c r="B323" s="3079"/>
      <c r="C323" s="3079"/>
      <c r="D323" s="3079"/>
      <c r="E323" s="3079"/>
      <c r="F323" s="3079"/>
      <c r="G323" s="3079"/>
      <c r="H323" s="3079"/>
    </row>
    <row r="324" spans="1:8">
      <c r="A324" s="3080" t="s">
        <v>1008</v>
      </c>
      <c r="B324" s="3079"/>
      <c r="C324" s="3079"/>
      <c r="D324" s="3079"/>
      <c r="E324" s="3079"/>
      <c r="F324" s="3079"/>
      <c r="G324" s="3079"/>
      <c r="H324" s="3079"/>
    </row>
    <row r="325" spans="1:8">
      <c r="A325" s="3080" t="s">
        <v>1009</v>
      </c>
      <c r="B325" s="3079"/>
      <c r="C325" s="3079"/>
      <c r="D325" s="3079"/>
      <c r="E325" s="3079"/>
      <c r="F325" s="3079"/>
      <c r="G325" s="3079"/>
      <c r="H325" s="3079"/>
    </row>
    <row r="326" spans="1:8">
      <c r="A326" s="3080" t="s">
        <v>1010</v>
      </c>
      <c r="B326" s="3079"/>
      <c r="C326" s="3079"/>
      <c r="D326" s="3079"/>
      <c r="E326" s="3079"/>
      <c r="F326" s="3079"/>
      <c r="G326" s="3079"/>
      <c r="H326" s="3079"/>
    </row>
    <row r="327" spans="1:8">
      <c r="A327" s="3079"/>
      <c r="B327" s="3079"/>
      <c r="C327" s="3079"/>
      <c r="D327" s="3079"/>
      <c r="E327" s="3079"/>
      <c r="F327" s="3079"/>
      <c r="G327" s="3079"/>
      <c r="H327" s="3079"/>
    </row>
    <row r="328" spans="1:8">
      <c r="A328" s="3080" t="s">
        <v>968</v>
      </c>
      <c r="B328" s="3079"/>
      <c r="C328" s="3079"/>
      <c r="D328" s="3079"/>
      <c r="E328" s="3079"/>
      <c r="F328" s="3079"/>
      <c r="G328" s="3079"/>
      <c r="H328" s="3079"/>
    </row>
    <row r="329" spans="1:8">
      <c r="A329" s="3080" t="s">
        <v>969</v>
      </c>
      <c r="B329" s="3079"/>
      <c r="C329" s="3079"/>
      <c r="D329" s="3079"/>
      <c r="E329" s="3079"/>
      <c r="F329" s="3079"/>
      <c r="G329" s="3079"/>
      <c r="H329" s="3079"/>
    </row>
    <row r="330" spans="1:8">
      <c r="A330" s="3080" t="s">
        <v>970</v>
      </c>
      <c r="B330" s="3079"/>
      <c r="C330" s="3079"/>
      <c r="D330" s="3079"/>
      <c r="E330" s="3079"/>
      <c r="F330" s="3079"/>
      <c r="G330" s="3079"/>
      <c r="H330" s="3079"/>
    </row>
    <row r="331" spans="1:8">
      <c r="A331" s="3080" t="s">
        <v>971</v>
      </c>
      <c r="B331" s="3079"/>
      <c r="C331" s="3079"/>
      <c r="D331" s="3079"/>
      <c r="E331" s="3079"/>
      <c r="F331" s="3079"/>
      <c r="G331" s="3079"/>
      <c r="H331" s="3079"/>
    </row>
    <row r="332" spans="1:8">
      <c r="A332" s="3080" t="s">
        <v>972</v>
      </c>
      <c r="B332" s="3079"/>
      <c r="C332" s="3079"/>
      <c r="D332" s="3079"/>
      <c r="E332" s="3079"/>
      <c r="F332" s="3079"/>
      <c r="G332" s="3079"/>
      <c r="H332" s="3079"/>
    </row>
    <row r="333" spans="1:8">
      <c r="A333" s="3080" t="s">
        <v>973</v>
      </c>
      <c r="B333" s="3079"/>
      <c r="C333" s="3079"/>
      <c r="D333" s="3079"/>
      <c r="E333" s="3079"/>
      <c r="F333" s="3079"/>
      <c r="G333" s="3079"/>
      <c r="H333" s="3079"/>
    </row>
    <row r="334" spans="1:8">
      <c r="A334" s="3080" t="s">
        <v>974</v>
      </c>
      <c r="B334" s="3079"/>
      <c r="C334" s="3079"/>
      <c r="D334" s="3079"/>
      <c r="E334" s="3079"/>
      <c r="F334" s="3079"/>
      <c r="G334" s="3079"/>
      <c r="H334" s="3079"/>
    </row>
    <row r="335" spans="1:8">
      <c r="A335" s="3080" t="s">
        <v>975</v>
      </c>
      <c r="B335" s="3079"/>
      <c r="C335" s="3079"/>
      <c r="D335" s="3079"/>
      <c r="E335" s="3079"/>
      <c r="F335" s="3079"/>
      <c r="G335" s="3079"/>
      <c r="H335" s="3079"/>
    </row>
    <row r="336" spans="1:8">
      <c r="A336" s="3080" t="s">
        <v>976</v>
      </c>
      <c r="B336" s="3079"/>
      <c r="C336" s="3079"/>
      <c r="D336" s="3079"/>
      <c r="E336" s="3079"/>
      <c r="F336" s="3079"/>
      <c r="G336" s="3079"/>
      <c r="H336" s="3079"/>
    </row>
    <row r="337" spans="1:8">
      <c r="A337" s="3080" t="s">
        <v>977</v>
      </c>
      <c r="B337" s="3079"/>
      <c r="C337" s="3079"/>
      <c r="D337" s="3079"/>
      <c r="E337" s="3079"/>
      <c r="F337" s="3079"/>
      <c r="G337" s="3079"/>
      <c r="H337" s="3079"/>
    </row>
    <row r="338" spans="1:8">
      <c r="A338" s="3080" t="s">
        <v>978</v>
      </c>
      <c r="B338" s="3079"/>
      <c r="C338" s="3079"/>
      <c r="D338" s="3079"/>
      <c r="E338" s="3079"/>
      <c r="F338" s="3079"/>
      <c r="G338" s="3079"/>
      <c r="H338" s="3079"/>
    </row>
    <row r="339" spans="1:8">
      <c r="A339" s="3080" t="s">
        <v>979</v>
      </c>
      <c r="B339" s="3079"/>
      <c r="C339" s="3079"/>
      <c r="D339" s="3079"/>
      <c r="E339" s="3079"/>
      <c r="F339" s="3079"/>
      <c r="G339" s="3079"/>
      <c r="H339" s="3079"/>
    </row>
    <row r="340" spans="1:8">
      <c r="A340" s="3080" t="s">
        <v>980</v>
      </c>
      <c r="B340" s="3079"/>
      <c r="C340" s="3079"/>
      <c r="D340" s="3079"/>
      <c r="E340" s="3079"/>
      <c r="F340" s="3079"/>
      <c r="G340" s="3079"/>
      <c r="H340" s="3079"/>
    </row>
    <row r="341" spans="1:8">
      <c r="A341" s="3080" t="s">
        <v>981</v>
      </c>
      <c r="B341" s="3079"/>
      <c r="C341" s="3079"/>
      <c r="D341" s="3079"/>
      <c r="E341" s="3079"/>
      <c r="F341" s="3079"/>
      <c r="G341" s="3079"/>
      <c r="H341" s="3079"/>
    </row>
    <row r="342" spans="1:8">
      <c r="A342" s="3080" t="s">
        <v>982</v>
      </c>
      <c r="B342" s="3079"/>
      <c r="C342" s="3079"/>
      <c r="D342" s="3079"/>
      <c r="E342" s="3079"/>
      <c r="F342" s="3079"/>
      <c r="G342" s="3079"/>
      <c r="H342" s="3079"/>
    </row>
    <row r="343" spans="1:8">
      <c r="A343" s="3080" t="s">
        <v>983</v>
      </c>
      <c r="B343" s="3079"/>
      <c r="C343" s="3079"/>
      <c r="D343" s="3079"/>
      <c r="E343" s="3079"/>
      <c r="F343" s="3079"/>
      <c r="G343" s="3079"/>
      <c r="H343" s="3079"/>
    </row>
    <row r="344" spans="1:8">
      <c r="A344" s="3080" t="s">
        <v>984</v>
      </c>
      <c r="B344" s="3079"/>
      <c r="C344" s="3079"/>
      <c r="D344" s="3079"/>
      <c r="E344" s="3079"/>
      <c r="F344" s="3079"/>
      <c r="G344" s="3079"/>
      <c r="H344" s="3079"/>
    </row>
    <row r="345" spans="1:8">
      <c r="A345" s="3080" t="s">
        <v>985</v>
      </c>
      <c r="B345" s="3079"/>
      <c r="C345" s="3079"/>
      <c r="D345" s="3079"/>
      <c r="E345" s="3079"/>
      <c r="F345" s="3079"/>
      <c r="G345" s="3079"/>
      <c r="H345" s="3079"/>
    </row>
    <row r="346" spans="1:8">
      <c r="A346" s="3080" t="s">
        <v>986</v>
      </c>
      <c r="B346" s="3079"/>
      <c r="C346" s="3079"/>
      <c r="D346" s="3079"/>
      <c r="E346" s="3079"/>
      <c r="F346" s="3079"/>
      <c r="G346" s="3079"/>
      <c r="H346" s="3079"/>
    </row>
    <row r="347" spans="1:8">
      <c r="A347" s="3080" t="s">
        <v>987</v>
      </c>
      <c r="B347" s="3079"/>
      <c r="C347" s="3079"/>
      <c r="D347" s="3079"/>
      <c r="E347" s="3079"/>
      <c r="F347" s="3079"/>
      <c r="G347" s="3079"/>
      <c r="H347" s="3079"/>
    </row>
    <row r="348" spans="1:8">
      <c r="A348" s="3080" t="s">
        <v>988</v>
      </c>
      <c r="B348" s="3079"/>
      <c r="C348" s="3079"/>
      <c r="D348" s="3079"/>
      <c r="E348" s="3079"/>
      <c r="F348" s="3079"/>
      <c r="G348" s="3079"/>
      <c r="H348" s="3079"/>
    </row>
    <row r="349" spans="1:8">
      <c r="A349" s="3080" t="s">
        <v>989</v>
      </c>
      <c r="B349" s="3079"/>
      <c r="C349" s="3079"/>
      <c r="D349" s="3079"/>
      <c r="E349" s="3079"/>
      <c r="F349" s="3079"/>
      <c r="G349" s="3079"/>
      <c r="H349" s="3079"/>
    </row>
    <row r="350" spans="1:8">
      <c r="A350" s="3080" t="s">
        <v>990</v>
      </c>
      <c r="B350" s="3079"/>
      <c r="C350" s="3079"/>
      <c r="D350" s="3079"/>
      <c r="E350" s="3079"/>
      <c r="F350" s="3079"/>
      <c r="G350" s="3079"/>
      <c r="H350" s="3079"/>
    </row>
    <row r="351" spans="1:8">
      <c r="A351" s="3080" t="s">
        <v>991</v>
      </c>
      <c r="B351" s="3079"/>
      <c r="C351" s="3079"/>
      <c r="D351" s="3079"/>
      <c r="E351" s="3079"/>
      <c r="F351" s="3079"/>
      <c r="G351" s="3079"/>
      <c r="H351" s="3079"/>
    </row>
    <row r="352" spans="1:8">
      <c r="A352" s="3080" t="s">
        <v>992</v>
      </c>
      <c r="B352" s="3079"/>
      <c r="C352" s="3079"/>
      <c r="D352" s="3079"/>
      <c r="E352" s="3079"/>
      <c r="F352" s="3079"/>
      <c r="G352" s="3079"/>
      <c r="H352" s="3079"/>
    </row>
    <row r="353" spans="1:8">
      <c r="A353" s="3080" t="s">
        <v>993</v>
      </c>
      <c r="B353" s="3079"/>
      <c r="C353" s="3079"/>
      <c r="D353" s="3079"/>
      <c r="E353" s="3079"/>
      <c r="F353" s="3079"/>
      <c r="G353" s="3079"/>
      <c r="H353" s="3079"/>
    </row>
    <row r="354" spans="1:8">
      <c r="A354" s="3080" t="s">
        <v>994</v>
      </c>
      <c r="B354" s="3079"/>
      <c r="C354" s="3079"/>
      <c r="D354" s="3079"/>
      <c r="E354" s="3079"/>
      <c r="F354" s="3079"/>
      <c r="G354" s="3079"/>
      <c r="H354" s="3079"/>
    </row>
    <row r="355" spans="1:8">
      <c r="A355" s="3080" t="s">
        <v>995</v>
      </c>
      <c r="B355" s="3079"/>
      <c r="C355" s="3079"/>
      <c r="D355" s="3079"/>
      <c r="E355" s="3079"/>
      <c r="F355" s="3079"/>
      <c r="G355" s="3079"/>
      <c r="H355" s="3079"/>
    </row>
    <row r="356" spans="1:8">
      <c r="A356" s="3080" t="s">
        <v>996</v>
      </c>
      <c r="B356" s="3079"/>
      <c r="C356" s="3079"/>
      <c r="D356" s="3079"/>
      <c r="E356" s="3079"/>
      <c r="F356" s="3079"/>
      <c r="G356" s="3079"/>
      <c r="H356" s="3079"/>
    </row>
    <row r="357" spans="1:8">
      <c r="A357" s="3080" t="s">
        <v>997</v>
      </c>
      <c r="B357" s="3079"/>
      <c r="C357" s="3079"/>
      <c r="D357" s="3079"/>
      <c r="E357" s="3079"/>
      <c r="F357" s="3079"/>
      <c r="G357" s="3079"/>
      <c r="H357" s="3079"/>
    </row>
    <row r="358" spans="1:8">
      <c r="A358" s="3080" t="s">
        <v>998</v>
      </c>
      <c r="B358" s="3079"/>
      <c r="C358" s="3079"/>
      <c r="D358" s="3079"/>
      <c r="E358" s="3079"/>
      <c r="F358" s="3079"/>
      <c r="G358" s="3079"/>
      <c r="H358" s="3079"/>
    </row>
    <row r="359" spans="1:8">
      <c r="A359" s="3080" t="s">
        <v>999</v>
      </c>
      <c r="B359" s="3079"/>
      <c r="C359" s="3079"/>
      <c r="D359" s="3079"/>
      <c r="E359" s="3079"/>
      <c r="F359" s="3079"/>
      <c r="G359" s="3079"/>
      <c r="H359" s="3079"/>
    </row>
    <row r="360" spans="1:8">
      <c r="A360" s="3080" t="s">
        <v>1000</v>
      </c>
      <c r="B360" s="3079"/>
      <c r="C360" s="3079"/>
      <c r="D360" s="3079"/>
      <c r="E360" s="3079"/>
      <c r="F360" s="3079"/>
      <c r="G360" s="3079"/>
      <c r="H360" s="3079"/>
    </row>
    <row r="361" spans="1:8">
      <c r="A361" s="3080" t="s">
        <v>1001</v>
      </c>
      <c r="B361" s="3079"/>
      <c r="C361" s="3079"/>
      <c r="D361" s="3079"/>
      <c r="E361" s="3079"/>
      <c r="F361" s="3079"/>
      <c r="G361" s="3079"/>
      <c r="H361" s="3079"/>
    </row>
    <row r="362" spans="1:8">
      <c r="A362" s="3080" t="s">
        <v>1002</v>
      </c>
      <c r="B362" s="3079"/>
      <c r="C362" s="3079"/>
      <c r="D362" s="3079"/>
      <c r="E362" s="3079"/>
      <c r="F362" s="3079"/>
      <c r="G362" s="3079"/>
      <c r="H362" s="3079"/>
    </row>
    <row r="363" spans="1:8">
      <c r="A363" s="3079"/>
      <c r="B363" s="3079"/>
      <c r="C363" s="3079"/>
      <c r="D363" s="3079"/>
      <c r="E363" s="3079"/>
      <c r="F363" s="3079"/>
      <c r="G363" s="3079"/>
      <c r="H363" s="3079"/>
    </row>
    <row r="364" spans="1:8">
      <c r="A364" s="3080" t="s">
        <v>960</v>
      </c>
      <c r="B364" s="3079"/>
      <c r="C364" s="3079"/>
      <c r="D364" s="3079"/>
      <c r="E364" s="3079"/>
      <c r="F364" s="3079"/>
      <c r="G364" s="3079"/>
      <c r="H364" s="3079"/>
    </row>
    <row r="365" spans="1:8">
      <c r="A365" s="3080" t="s">
        <v>964</v>
      </c>
      <c r="B365" s="3079"/>
      <c r="C365" s="3079"/>
      <c r="D365" s="3079"/>
      <c r="E365" s="3079"/>
      <c r="F365" s="3079"/>
      <c r="G365" s="3079"/>
      <c r="H365" s="3079"/>
    </row>
    <row r="366" spans="1:8">
      <c r="A366" s="3080" t="s">
        <v>965</v>
      </c>
      <c r="B366" s="3079"/>
      <c r="C366" s="3079"/>
      <c r="D366" s="3079"/>
      <c r="E366" s="3079"/>
      <c r="F366" s="3079"/>
      <c r="G366" s="3079"/>
      <c r="H366" s="3079"/>
    </row>
    <row r="367" spans="1:8">
      <c r="A367" s="3080" t="s">
        <v>966</v>
      </c>
      <c r="B367" s="3079"/>
      <c r="C367" s="3079"/>
      <c r="D367" s="3079"/>
      <c r="E367" s="3079"/>
      <c r="F367" s="3079"/>
      <c r="G367" s="3079"/>
      <c r="H367" s="3079"/>
    </row>
    <row r="368" spans="1:8">
      <c r="A368" s="3080" t="s">
        <v>967</v>
      </c>
      <c r="B368" s="3079"/>
      <c r="C368" s="3079"/>
      <c r="D368" s="3079"/>
      <c r="E368" s="3079"/>
      <c r="F368" s="3079"/>
      <c r="G368" s="3079"/>
      <c r="H368" s="3079"/>
    </row>
    <row r="369" spans="1:8">
      <c r="A369" s="3079"/>
      <c r="B369" s="3079"/>
      <c r="C369" s="3079"/>
      <c r="D369" s="3079"/>
      <c r="E369" s="3079"/>
      <c r="F369" s="3079"/>
      <c r="G369" s="3079"/>
      <c r="H369" s="3079"/>
    </row>
    <row r="370" spans="1:8">
      <c r="A370" s="3080" t="s">
        <v>960</v>
      </c>
      <c r="B370" s="3079"/>
      <c r="C370" s="3079"/>
      <c r="D370" s="3079"/>
      <c r="E370" s="3079"/>
      <c r="F370" s="3079"/>
      <c r="G370" s="3079"/>
      <c r="H370" s="3079"/>
    </row>
    <row r="371" spans="1:8">
      <c r="A371" s="3080" t="s">
        <v>961</v>
      </c>
      <c r="B371" s="3079"/>
      <c r="C371" s="3079"/>
      <c r="D371" s="3079"/>
      <c r="E371" s="3079"/>
      <c r="F371" s="3079"/>
      <c r="G371" s="3079"/>
      <c r="H371" s="3079"/>
    </row>
    <row r="372" spans="1:8">
      <c r="A372" s="3080" t="s">
        <v>962</v>
      </c>
      <c r="B372" s="3079"/>
      <c r="C372" s="3079"/>
      <c r="D372" s="3079"/>
      <c r="E372" s="3079"/>
      <c r="F372" s="3079"/>
      <c r="G372" s="3079"/>
      <c r="H372" s="3079"/>
    </row>
    <row r="373" spans="1:8">
      <c r="A373" s="3080" t="s">
        <v>963</v>
      </c>
      <c r="B373" s="3079"/>
      <c r="C373" s="3079"/>
      <c r="D373" s="3079"/>
      <c r="E373" s="3079"/>
      <c r="F373" s="3079"/>
      <c r="G373" s="3079"/>
      <c r="H373" s="3079"/>
    </row>
    <row r="374" spans="1:8">
      <c r="A374" s="3079"/>
      <c r="B374" s="3079"/>
      <c r="C374" s="3079"/>
      <c r="D374" s="3079"/>
      <c r="E374" s="3079"/>
      <c r="F374" s="3079"/>
      <c r="G374" s="3079"/>
      <c r="H374" s="3079"/>
    </row>
    <row r="375" spans="1:8">
      <c r="A375" s="3080" t="s">
        <v>954</v>
      </c>
      <c r="B375" s="3079"/>
      <c r="C375" s="3079"/>
      <c r="D375" s="3079"/>
      <c r="E375" s="3079"/>
      <c r="F375" s="3079"/>
      <c r="G375" s="3079"/>
      <c r="H375" s="3079"/>
    </row>
    <row r="376" spans="1:8">
      <c r="A376" s="3080" t="s">
        <v>955</v>
      </c>
      <c r="B376" s="3079"/>
      <c r="C376" s="3079"/>
      <c r="D376" s="3079"/>
      <c r="E376" s="3079"/>
      <c r="F376" s="3079"/>
      <c r="G376" s="3079"/>
      <c r="H376" s="3079"/>
    </row>
    <row r="377" spans="1:8">
      <c r="A377" s="3080" t="s">
        <v>956</v>
      </c>
      <c r="B377" s="3079"/>
      <c r="C377" s="3079"/>
      <c r="D377" s="3079"/>
      <c r="E377" s="3079"/>
      <c r="F377" s="3079"/>
      <c r="G377" s="3079"/>
      <c r="H377" s="3079"/>
    </row>
    <row r="378" spans="1:8">
      <c r="A378" s="3080" t="s">
        <v>957</v>
      </c>
      <c r="B378" s="3079"/>
      <c r="C378" s="3079"/>
      <c r="D378" s="3079"/>
      <c r="E378" s="3079"/>
      <c r="F378" s="3079"/>
      <c r="G378" s="3079"/>
      <c r="H378" s="3079"/>
    </row>
    <row r="379" spans="1:8">
      <c r="A379" s="3080" t="s">
        <v>958</v>
      </c>
      <c r="B379" s="3079"/>
      <c r="C379" s="3079"/>
      <c r="D379" s="3079"/>
      <c r="E379" s="3079"/>
      <c r="F379" s="3079"/>
      <c r="G379" s="3079"/>
      <c r="H379" s="3079"/>
    </row>
    <row r="380" spans="1:8">
      <c r="A380" s="3080" t="s">
        <v>959</v>
      </c>
      <c r="B380" s="3079"/>
      <c r="C380" s="3079"/>
      <c r="D380" s="3079"/>
      <c r="E380" s="3079"/>
      <c r="F380" s="3079"/>
      <c r="G380" s="3079"/>
      <c r="H380" s="3079"/>
    </row>
    <row r="381" spans="1:8">
      <c r="A381" s="3079"/>
      <c r="B381" s="3079"/>
      <c r="C381" s="3079"/>
      <c r="D381" s="3079"/>
      <c r="E381" s="3079"/>
      <c r="F381" s="3079"/>
      <c r="G381" s="3079"/>
      <c r="H381" s="3079"/>
    </row>
    <row r="382" spans="1:8">
      <c r="A382" s="3080" t="s">
        <v>949</v>
      </c>
      <c r="B382" s="3079"/>
      <c r="C382" s="3079"/>
      <c r="D382" s="3079"/>
      <c r="E382" s="3079"/>
      <c r="F382" s="3079"/>
      <c r="G382" s="3079"/>
      <c r="H382" s="3079"/>
    </row>
    <row r="383" spans="1:8">
      <c r="A383" s="3080" t="s">
        <v>950</v>
      </c>
      <c r="B383" s="3079"/>
      <c r="C383" s="3079"/>
      <c r="D383" s="3079"/>
      <c r="E383" s="3079"/>
      <c r="F383" s="3079"/>
      <c r="G383" s="3079"/>
      <c r="H383" s="3079"/>
    </row>
    <row r="384" spans="1:8">
      <c r="A384" s="3080" t="s">
        <v>951</v>
      </c>
      <c r="B384" s="3079"/>
      <c r="C384" s="3079"/>
      <c r="D384" s="3079"/>
      <c r="E384" s="3079"/>
      <c r="F384" s="3079"/>
      <c r="G384" s="3079"/>
      <c r="H384" s="3079"/>
    </row>
    <row r="385" spans="1:8">
      <c r="A385" s="3080" t="s">
        <v>952</v>
      </c>
      <c r="B385" s="3079"/>
      <c r="C385" s="3079"/>
      <c r="D385" s="3079"/>
      <c r="E385" s="3079"/>
      <c r="F385" s="3079"/>
      <c r="G385" s="3079"/>
      <c r="H385" s="3079"/>
    </row>
    <row r="386" spans="1:8">
      <c r="A386" s="3080" t="s">
        <v>953</v>
      </c>
      <c r="B386" s="3079"/>
      <c r="C386" s="3079"/>
      <c r="D386" s="3079"/>
      <c r="E386" s="3079"/>
      <c r="F386" s="3079"/>
      <c r="G386" s="3079"/>
      <c r="H386" s="3079"/>
    </row>
    <row r="387" spans="1:8">
      <c r="A387" s="3079"/>
      <c r="B387" s="3079"/>
      <c r="C387" s="3079"/>
      <c r="D387" s="3079"/>
      <c r="E387" s="3079"/>
      <c r="F387" s="3079"/>
      <c r="G387" s="3079"/>
      <c r="H387" s="3079"/>
    </row>
    <row r="388" spans="1:8">
      <c r="A388" s="3080" t="s">
        <v>947</v>
      </c>
      <c r="B388" s="3079"/>
      <c r="C388" s="3079"/>
      <c r="D388" s="3079"/>
      <c r="E388" s="3079"/>
      <c r="F388" s="3079"/>
      <c r="G388" s="3079"/>
      <c r="H388" s="3079"/>
    </row>
    <row r="389" spans="1:8">
      <c r="A389" s="3080" t="s">
        <v>948</v>
      </c>
      <c r="B389" s="3079"/>
      <c r="C389" s="3079"/>
      <c r="D389" s="3079"/>
      <c r="E389" s="3079"/>
      <c r="F389" s="3079"/>
      <c r="G389" s="3079"/>
      <c r="H389" s="3079"/>
    </row>
    <row r="391" spans="1:8">
      <c r="A391" s="3075" t="s">
        <v>1203</v>
      </c>
    </row>
  </sheetData>
  <mergeCells count="12">
    <mergeCell ref="A132:H132"/>
    <mergeCell ref="A133:H133"/>
    <mergeCell ref="B125:C125"/>
    <mergeCell ref="D125:F125"/>
    <mergeCell ref="G125:H125"/>
    <mergeCell ref="A111:H111"/>
    <mergeCell ref="A112:H112"/>
    <mergeCell ref="A113:H113"/>
    <mergeCell ref="A114:H114"/>
    <mergeCell ref="A116:H116"/>
    <mergeCell ref="A117:H117"/>
    <mergeCell ref="A124:H124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70C0"/>
    <pageSetUpPr fitToPage="1"/>
  </sheetPr>
  <dimension ref="A1:JT189"/>
  <sheetViews>
    <sheetView zoomScaleNormal="100" workbookViewId="0">
      <pane xSplit="1" ySplit="8" topLeftCell="B9" activePane="bottomRight" state="frozenSplit"/>
      <selection activeCell="B9" sqref="B9"/>
      <selection pane="topRight" activeCell="B9" sqref="B9"/>
      <selection pane="bottomLeft" activeCell="B9" sqref="B9"/>
      <selection pane="bottomRight" sqref="A1:XFD1048576"/>
    </sheetView>
  </sheetViews>
  <sheetFormatPr defaultColWidth="8.85546875" defaultRowHeight="12.75" outlineLevelRow="1" outlineLevelCol="1"/>
  <cols>
    <col min="1" max="1" width="27.5703125" customWidth="1"/>
    <col min="2" max="2" width="0.85546875" customWidth="1"/>
    <col min="3" max="7" width="7.28515625" hidden="1" customWidth="1" outlineLevel="1"/>
    <col min="8" max="8" width="0.85546875" hidden="1" customWidth="1" outlineLevel="1"/>
    <col min="9" max="13" width="7.28515625" hidden="1" customWidth="1" outlineLevel="1"/>
    <col min="14" max="14" width="0.85546875" hidden="1" customWidth="1" outlineLevel="1"/>
    <col min="15" max="19" width="7.28515625" hidden="1" customWidth="1" outlineLevel="1"/>
    <col min="20" max="20" width="0.85546875" hidden="1" customWidth="1" outlineLevel="1"/>
    <col min="21" max="25" width="7.28515625" hidden="1" customWidth="1" outlineLevel="1"/>
    <col min="26" max="26" width="0.85546875" hidden="1" customWidth="1" outlineLevel="1"/>
    <col min="27" max="31" width="7.28515625" hidden="1" customWidth="1" outlineLevel="1"/>
    <col min="32" max="32" width="0.85546875" hidden="1" customWidth="1" outlineLevel="1"/>
    <col min="33" max="36" width="7.28515625" hidden="1" customWidth="1" outlineLevel="1"/>
    <col min="37" max="37" width="7.28515625" customWidth="1" collapsed="1"/>
    <col min="38" max="38" width="0.85546875" customWidth="1"/>
    <col min="39" max="42" width="7.28515625" hidden="1" customWidth="1" outlineLevel="1"/>
    <col min="43" max="43" width="7.28515625" customWidth="1" collapsed="1"/>
    <col min="44" max="44" width="0.85546875" customWidth="1"/>
    <col min="45" max="48" width="7.28515625" hidden="1" customWidth="1" outlineLevel="1"/>
    <col min="49" max="49" width="7.28515625" customWidth="1" collapsed="1"/>
    <col min="50" max="50" width="0.85546875" customWidth="1"/>
    <col min="51" max="53" width="7.28515625" hidden="1" customWidth="1" outlineLevel="1"/>
    <col min="54" max="54" width="8" hidden="1" customWidth="1" outlineLevel="1"/>
    <col min="55" max="55" width="7.28515625" customWidth="1" collapsed="1"/>
    <col min="56" max="56" width="0.85546875" customWidth="1"/>
    <col min="57" max="57" width="7.7109375" hidden="1" customWidth="1" outlineLevel="1"/>
    <col min="58" max="59" width="8" hidden="1" customWidth="1" outlineLevel="1"/>
    <col min="60" max="60" width="7.28515625" hidden="1" customWidth="1" outlineLevel="1"/>
    <col min="61" max="61" width="7.28515625" customWidth="1" collapsed="1"/>
    <col min="62" max="62" width="0.85546875" customWidth="1"/>
    <col min="63" max="66" width="7.28515625" customWidth="1" outlineLevel="1"/>
    <col min="67" max="67" width="7.28515625" customWidth="1"/>
    <col min="68" max="68" width="0.85546875" customWidth="1"/>
    <col min="69" max="72" width="7.28515625" customWidth="1" outlineLevel="1"/>
    <col min="73" max="73" width="7.28515625" customWidth="1"/>
    <col min="74" max="74" width="0.85546875" customWidth="1"/>
    <col min="75" max="78" width="7.28515625" hidden="1" customWidth="1" outlineLevel="1"/>
    <col min="79" max="79" width="7.28515625" customWidth="1" collapsed="1"/>
    <col min="80" max="80" width="0.85546875" customWidth="1"/>
    <col min="81" max="84" width="7.28515625" hidden="1" customWidth="1" outlineLevel="1"/>
    <col min="85" max="85" width="7.28515625" customWidth="1" collapsed="1"/>
    <col min="86" max="86" width="0.85546875" customWidth="1"/>
    <col min="87" max="90" width="7.28515625" hidden="1" customWidth="1" outlineLevel="1"/>
    <col min="91" max="91" width="7.28515625" customWidth="1" collapsed="1"/>
    <col min="92" max="92" width="0.85546875" customWidth="1"/>
    <col min="93" max="96" width="7.28515625" hidden="1" customWidth="1" outlineLevel="1"/>
    <col min="97" max="97" width="7.28515625" customWidth="1" collapsed="1"/>
    <col min="98" max="98" width="8.85546875" customWidth="1"/>
    <col min="99" max="99" width="9" customWidth="1"/>
    <col min="100" max="100" width="8.85546875" customWidth="1"/>
    <col min="101" max="101" width="45.28515625" hidden="1" customWidth="1" outlineLevel="1"/>
    <col min="102" max="106" width="8.85546875" hidden="1" customWidth="1" outlineLevel="1"/>
    <col min="107" max="107" width="8.85546875" collapsed="1"/>
    <col min="111" max="111" width="14.42578125" bestFit="1" customWidth="1"/>
  </cols>
  <sheetData>
    <row r="1" spans="1:280">
      <c r="A1" s="920"/>
      <c r="B1" s="400"/>
      <c r="C1" s="401"/>
      <c r="D1" s="401"/>
      <c r="E1" s="401"/>
      <c r="F1" s="401"/>
      <c r="G1" s="400"/>
      <c r="H1" s="400"/>
      <c r="I1" s="401"/>
      <c r="J1" s="401"/>
      <c r="K1" s="400"/>
      <c r="L1" s="400"/>
      <c r="M1" s="401"/>
      <c r="N1" s="400"/>
      <c r="O1" s="402">
        <f>25.423-O30</f>
        <v>0</v>
      </c>
      <c r="P1" s="400"/>
      <c r="Q1" s="400"/>
      <c r="R1" s="401"/>
      <c r="S1" s="403"/>
      <c r="T1" s="400"/>
      <c r="U1" s="400"/>
      <c r="V1" s="400"/>
      <c r="W1" s="400"/>
      <c r="X1" s="400"/>
      <c r="Y1" s="404"/>
      <c r="Z1" s="405"/>
      <c r="AA1" s="404"/>
      <c r="AB1" s="404"/>
      <c r="AC1" s="404"/>
      <c r="AD1" s="404"/>
      <c r="AE1" s="404"/>
      <c r="AF1" s="405"/>
      <c r="AG1" s="405"/>
      <c r="AH1" s="405"/>
      <c r="AI1" s="405"/>
      <c r="AJ1" s="405"/>
      <c r="AK1" s="404"/>
      <c r="AL1" s="405"/>
      <c r="AM1" s="405"/>
      <c r="AN1" s="405"/>
      <c r="AO1" s="405"/>
      <c r="AP1" s="405"/>
      <c r="AQ1" s="404"/>
      <c r="AR1" s="405"/>
      <c r="AS1" s="405"/>
      <c r="AT1" s="405"/>
      <c r="AU1" s="405"/>
      <c r="AV1" s="400"/>
      <c r="AW1" s="921"/>
      <c r="AX1" s="405"/>
      <c r="AY1" s="405"/>
      <c r="AZ1" s="405"/>
      <c r="BA1" s="405"/>
      <c r="BN1" s="2348"/>
      <c r="BO1" s="2343"/>
      <c r="BQ1" s="2343"/>
      <c r="BR1" s="1356"/>
      <c r="CT1" s="400"/>
      <c r="CU1" s="400"/>
      <c r="CV1" s="400"/>
      <c r="DC1" s="921"/>
      <c r="DD1" s="921"/>
      <c r="DE1" s="921"/>
      <c r="DF1" s="921"/>
      <c r="DG1" s="921"/>
      <c r="DH1" s="921"/>
      <c r="DI1" s="921"/>
      <c r="DJ1" s="921"/>
      <c r="DK1" s="921"/>
      <c r="DL1" s="921"/>
    </row>
    <row r="2" spans="1:280">
      <c r="A2" s="922" t="s">
        <v>127</v>
      </c>
      <c r="B2" s="400"/>
      <c r="C2" s="401"/>
      <c r="D2" s="401"/>
      <c r="E2" s="401"/>
      <c r="F2" s="401"/>
      <c r="G2" s="406"/>
      <c r="H2" s="400"/>
      <c r="I2" s="402"/>
      <c r="J2" s="402"/>
      <c r="K2" s="402"/>
      <c r="L2" s="402"/>
      <c r="M2" s="406"/>
      <c r="N2" s="400"/>
      <c r="O2" s="402"/>
      <c r="P2" s="402"/>
      <c r="Q2" s="407"/>
      <c r="R2" s="402"/>
      <c r="S2" s="406"/>
      <c r="T2" s="400"/>
      <c r="U2" s="407"/>
      <c r="V2" s="407"/>
      <c r="W2" s="407"/>
      <c r="X2" s="407"/>
      <c r="Y2" s="407"/>
      <c r="Z2" s="400"/>
      <c r="AA2" s="400"/>
      <c r="AB2" s="151"/>
      <c r="AC2" s="400"/>
      <c r="AD2" s="400"/>
      <c r="AE2" s="406"/>
      <c r="AF2" s="400"/>
      <c r="AG2" s="400"/>
      <c r="AH2" s="400"/>
      <c r="AI2" s="400"/>
      <c r="AJ2" s="400"/>
      <c r="AK2" s="406"/>
      <c r="AL2" s="400"/>
      <c r="AM2" s="400"/>
      <c r="AN2" s="400"/>
      <c r="AO2" s="400"/>
      <c r="AP2" s="1591"/>
      <c r="AQ2" s="406"/>
      <c r="AR2" s="400"/>
      <c r="AS2" s="400"/>
      <c r="AT2" s="400"/>
      <c r="AU2" s="1597"/>
      <c r="AV2" s="400"/>
      <c r="AW2" s="921"/>
      <c r="AX2" s="400"/>
      <c r="AY2" s="1597"/>
      <c r="AZ2" s="1597"/>
      <c r="BA2" s="400"/>
      <c r="BH2" s="1356"/>
      <c r="BK2" s="82"/>
      <c r="BN2" s="2348"/>
      <c r="BO2" s="2343"/>
      <c r="BQ2" s="2366"/>
      <c r="BR2" s="1356"/>
      <c r="CT2" s="400"/>
      <c r="CU2" s="400"/>
      <c r="CV2" s="400"/>
      <c r="DC2" s="921"/>
      <c r="DD2" s="921"/>
      <c r="DE2" s="921"/>
      <c r="DF2" s="921"/>
      <c r="DG2" s="921"/>
      <c r="DH2" s="921"/>
      <c r="DI2" s="921"/>
      <c r="DJ2" s="921"/>
      <c r="DK2" s="921"/>
      <c r="DL2" s="921"/>
      <c r="JT2" s="415"/>
    </row>
    <row r="3" spans="1:280">
      <c r="A3" s="920" t="s">
        <v>128</v>
      </c>
      <c r="B3" s="400"/>
      <c r="C3" s="401"/>
      <c r="D3" s="401"/>
      <c r="E3" s="401"/>
      <c r="F3" s="401"/>
      <c r="G3" s="406"/>
      <c r="H3" s="400"/>
      <c r="I3" s="401"/>
      <c r="J3" s="406"/>
      <c r="K3" s="406"/>
      <c r="L3" s="406"/>
      <c r="M3" s="406"/>
      <c r="N3" s="400"/>
      <c r="O3" s="401"/>
      <c r="P3" s="401"/>
      <c r="Q3" s="406"/>
      <c r="R3" s="401"/>
      <c r="S3" s="406"/>
      <c r="T3" s="400"/>
      <c r="U3" s="406"/>
      <c r="V3" s="408"/>
      <c r="W3" s="409"/>
      <c r="X3" s="410"/>
      <c r="Y3" s="407"/>
      <c r="Z3" s="407"/>
      <c r="AA3" s="407"/>
      <c r="AB3" s="407"/>
      <c r="AC3" s="407"/>
      <c r="AD3" s="410"/>
      <c r="AE3" s="411"/>
      <c r="AF3" s="407"/>
      <c r="AG3" s="407"/>
      <c r="AH3" s="407"/>
      <c r="AI3" s="407"/>
      <c r="AJ3" s="407"/>
      <c r="AK3" s="407"/>
      <c r="AL3" s="407"/>
      <c r="AM3" s="407"/>
      <c r="AN3" s="407"/>
      <c r="AO3" s="407"/>
      <c r="AP3" s="407"/>
      <c r="AQ3" s="407"/>
      <c r="AR3" s="407"/>
      <c r="AS3" s="407"/>
      <c r="AT3" s="407"/>
      <c r="AU3" s="407"/>
      <c r="AV3" s="407"/>
      <c r="AW3" s="581"/>
      <c r="AX3" s="407"/>
      <c r="BE3" s="1356"/>
      <c r="BF3" s="1356"/>
      <c r="BG3" s="1356"/>
      <c r="BH3" s="1356"/>
      <c r="BK3" s="2312"/>
      <c r="BN3" s="1356"/>
      <c r="BQ3" s="2366"/>
      <c r="BR3" s="1356"/>
      <c r="BU3" s="1356"/>
      <c r="BZ3" s="2351"/>
      <c r="CT3" s="400"/>
      <c r="CU3" s="400"/>
      <c r="CV3" s="400"/>
      <c r="DC3" s="921"/>
      <c r="DD3" s="921"/>
      <c r="DE3" s="921"/>
      <c r="DF3" s="921"/>
      <c r="DG3" s="921"/>
      <c r="DH3" s="921"/>
      <c r="DI3" s="921"/>
      <c r="DJ3" s="921"/>
      <c r="DK3" s="921"/>
      <c r="DL3" s="921"/>
    </row>
    <row r="4" spans="1:280">
      <c r="A4" s="1922" t="s">
        <v>129</v>
      </c>
      <c r="B4" s="400"/>
      <c r="C4" s="400"/>
      <c r="D4" s="923"/>
      <c r="E4" s="400"/>
      <c r="F4" s="400"/>
      <c r="G4" s="923"/>
      <c r="H4" s="400"/>
      <c r="I4" s="553"/>
      <c r="J4" s="1923"/>
      <c r="K4" s="1924"/>
      <c r="L4" s="553"/>
      <c r="M4" s="626"/>
      <c r="N4" s="553"/>
      <c r="O4" s="553"/>
      <c r="P4" s="402"/>
      <c r="Q4" s="402"/>
      <c r="R4" s="400"/>
      <c r="S4" s="649"/>
      <c r="T4" s="400"/>
      <c r="U4" s="406"/>
      <c r="V4" s="400"/>
      <c r="W4" s="1923"/>
      <c r="X4" s="400"/>
      <c r="Y4" s="649"/>
      <c r="Z4" s="400"/>
      <c r="AA4" s="400"/>
      <c r="AB4" s="400"/>
      <c r="AC4" s="400"/>
      <c r="AD4" s="400"/>
      <c r="AE4" s="649"/>
      <c r="AF4" s="400"/>
      <c r="AG4" s="400"/>
      <c r="AH4" s="400"/>
      <c r="AI4" s="428"/>
      <c r="AJ4" s="412"/>
      <c r="AK4" s="412"/>
      <c r="AL4" s="413"/>
      <c r="AM4" s="1925"/>
      <c r="AN4" s="1925"/>
      <c r="AO4" s="1925"/>
      <c r="AP4" s="1925"/>
      <c r="AQ4" s="1925"/>
      <c r="AR4" s="1926"/>
      <c r="AS4" s="1925"/>
      <c r="AT4" s="1925"/>
      <c r="AU4" s="1925"/>
      <c r="AV4" s="1925"/>
      <c r="AW4" s="1927"/>
      <c r="AX4" s="1926"/>
      <c r="AY4" s="1925"/>
      <c r="AZ4" s="1935"/>
      <c r="BA4" s="1925"/>
      <c r="BI4" s="2343"/>
      <c r="BK4" s="2525"/>
      <c r="BO4" s="2343"/>
      <c r="CT4" s="400"/>
      <c r="CU4" s="400"/>
      <c r="CV4" s="400"/>
      <c r="DC4" s="921"/>
      <c r="DD4" s="921"/>
      <c r="DE4" s="921"/>
      <c r="DF4" s="921"/>
      <c r="DG4" s="1895"/>
      <c r="DH4" s="921"/>
      <c r="DI4" s="921"/>
      <c r="DJ4" s="921"/>
      <c r="DK4" s="921"/>
      <c r="DL4" s="921"/>
    </row>
    <row r="5" spans="1:280" collapsed="1">
      <c r="A5" s="414" t="s">
        <v>130</v>
      </c>
      <c r="B5" s="415"/>
      <c r="C5" s="415"/>
      <c r="D5" s="415"/>
      <c r="E5" s="415"/>
      <c r="F5" s="415"/>
      <c r="G5" s="415"/>
      <c r="H5" s="415"/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415"/>
      <c r="U5" s="415"/>
      <c r="V5" s="415"/>
      <c r="W5" s="2371"/>
      <c r="X5" s="415"/>
      <c r="Y5" s="415"/>
      <c r="Z5" s="415"/>
      <c r="AA5" s="415"/>
      <c r="AB5" s="415"/>
      <c r="AC5" s="415"/>
      <c r="AD5" s="415"/>
      <c r="AE5" s="415"/>
      <c r="AF5" s="415"/>
      <c r="AG5" s="415"/>
      <c r="AH5" s="415"/>
      <c r="AI5" s="415"/>
      <c r="AJ5" s="2372"/>
      <c r="AK5" s="2372"/>
      <c r="AL5" s="2372"/>
      <c r="AM5" s="2372"/>
      <c r="AN5" s="2372"/>
      <c r="AO5" s="2372"/>
      <c r="AP5" s="2373"/>
      <c r="AQ5" s="2372"/>
      <c r="AR5" s="2372"/>
      <c r="AS5" s="2372"/>
      <c r="AT5" s="2372"/>
      <c r="AU5" s="2372"/>
      <c r="AV5" s="2372"/>
      <c r="AW5" s="2372"/>
      <c r="AX5" s="2372"/>
      <c r="AY5" s="2372"/>
      <c r="AZ5" s="2372"/>
      <c r="BA5" s="2372"/>
      <c r="BB5" s="2372"/>
      <c r="BC5" s="2372"/>
      <c r="BD5" s="415"/>
      <c r="BN5" s="415"/>
      <c r="BO5" s="415"/>
      <c r="BP5" s="415"/>
      <c r="BQ5" s="415"/>
      <c r="BR5" s="415"/>
      <c r="BS5" s="415"/>
      <c r="BT5" s="415"/>
      <c r="BU5" s="415"/>
      <c r="BV5" s="415"/>
      <c r="BW5" s="415"/>
      <c r="BX5" s="415"/>
      <c r="BY5" s="415"/>
      <c r="BZ5" s="415"/>
      <c r="CA5" s="415"/>
      <c r="CB5" s="415"/>
      <c r="CC5" s="415"/>
      <c r="CD5" s="415"/>
      <c r="CE5" s="415"/>
      <c r="CF5" s="415"/>
      <c r="CG5" s="415"/>
      <c r="CH5" s="415"/>
      <c r="CI5" s="415"/>
      <c r="CJ5" s="415"/>
      <c r="CK5" s="415"/>
      <c r="CL5" s="415"/>
      <c r="CM5" s="415"/>
      <c r="CN5" s="415"/>
      <c r="CO5" s="415"/>
      <c r="CP5" s="415"/>
      <c r="CQ5" s="415"/>
      <c r="CR5" s="415"/>
      <c r="CS5" s="415"/>
      <c r="CT5" s="400"/>
      <c r="CU5" s="581"/>
      <c r="CV5" s="400"/>
      <c r="DC5" s="921"/>
      <c r="DD5" s="921"/>
      <c r="DE5" s="921"/>
      <c r="DF5" s="921"/>
      <c r="DG5" s="921"/>
      <c r="DH5" s="921"/>
      <c r="DI5" s="921"/>
      <c r="DJ5" s="921"/>
      <c r="DK5" s="921"/>
      <c r="DL5" s="921"/>
    </row>
    <row r="6" spans="1:280" hidden="1" outlineLevel="1"/>
    <row r="7" spans="1:280" collapsed="1">
      <c r="A7" s="417"/>
      <c r="B7" s="2374"/>
      <c r="C7" s="418">
        <v>2007</v>
      </c>
      <c r="D7" s="419"/>
      <c r="E7" s="419"/>
      <c r="F7" s="419"/>
      <c r="G7" s="420">
        <v>2007</v>
      </c>
      <c r="H7" s="2375"/>
      <c r="I7" s="418">
        <f>C7+1</f>
        <v>2008</v>
      </c>
      <c r="J7" s="419"/>
      <c r="K7" s="419"/>
      <c r="L7" s="419"/>
      <c r="M7" s="420">
        <f>G7+1</f>
        <v>2008</v>
      </c>
      <c r="N7" s="2376"/>
      <c r="O7" s="418">
        <f>I7+1</f>
        <v>2009</v>
      </c>
      <c r="P7" s="419"/>
      <c r="Q7" s="419"/>
      <c r="R7" s="419"/>
      <c r="S7" s="420">
        <f>M7+1</f>
        <v>2009</v>
      </c>
      <c r="T7" s="2376"/>
      <c r="U7" s="418">
        <f>O7+1</f>
        <v>2010</v>
      </c>
      <c r="V7" s="419"/>
      <c r="W7" s="419"/>
      <c r="X7" s="419"/>
      <c r="Y7" s="420">
        <f>S7+1</f>
        <v>2010</v>
      </c>
      <c r="Z7" s="2376"/>
      <c r="AA7" s="418">
        <f>U7+1</f>
        <v>2011</v>
      </c>
      <c r="AB7" s="419"/>
      <c r="AC7" s="419"/>
      <c r="AD7" s="419"/>
      <c r="AE7" s="420">
        <f>Y7+1</f>
        <v>2011</v>
      </c>
      <c r="AF7" s="2376"/>
      <c r="AG7" s="418">
        <f>AA7+1</f>
        <v>2012</v>
      </c>
      <c r="AH7" s="419"/>
      <c r="AI7" s="419"/>
      <c r="AJ7" s="419"/>
      <c r="AK7" s="420">
        <f>AE7+1</f>
        <v>2012</v>
      </c>
      <c r="AL7" s="2376"/>
      <c r="AM7" s="418">
        <f>AG7+1</f>
        <v>2013</v>
      </c>
      <c r="AN7" s="419"/>
      <c r="AO7" s="419"/>
      <c r="AP7" s="419"/>
      <c r="AQ7" s="420">
        <f>AK7+1</f>
        <v>2013</v>
      </c>
      <c r="AR7" s="2376"/>
      <c r="AS7" s="418">
        <f>AM7+1</f>
        <v>2014</v>
      </c>
      <c r="AT7" s="419"/>
      <c r="AU7" s="419"/>
      <c r="AV7" s="419"/>
      <c r="AW7" s="420">
        <f>AQ7+1</f>
        <v>2014</v>
      </c>
      <c r="AX7" s="2376"/>
      <c r="AY7" s="418">
        <f>AS7+1</f>
        <v>2015</v>
      </c>
      <c r="AZ7" s="419"/>
      <c r="BA7" s="419"/>
      <c r="BB7" s="419"/>
      <c r="BC7" s="420">
        <f>AW7+1</f>
        <v>2015</v>
      </c>
      <c r="BD7" s="2376"/>
      <c r="BE7" s="418">
        <f>AY7+1</f>
        <v>2016</v>
      </c>
      <c r="BF7" s="419"/>
      <c r="BG7" s="419"/>
      <c r="BH7" s="419"/>
      <c r="BI7" s="420">
        <f>BC7+1</f>
        <v>2016</v>
      </c>
      <c r="BJ7" s="2376"/>
      <c r="BK7" s="418">
        <f>BE7+1</f>
        <v>2017</v>
      </c>
      <c r="BL7" s="419"/>
      <c r="BM7" s="419"/>
      <c r="BN7" s="419"/>
      <c r="BO7" s="420">
        <f>BI7+1</f>
        <v>2017</v>
      </c>
      <c r="BP7" s="2376"/>
      <c r="BQ7" s="421">
        <f>BK7+1</f>
        <v>2018</v>
      </c>
      <c r="BR7" s="419"/>
      <c r="BS7" s="419"/>
      <c r="BT7" s="419"/>
      <c r="BU7" s="422">
        <f>BO7+1</f>
        <v>2018</v>
      </c>
      <c r="BV7" s="2376"/>
      <c r="BW7" s="421">
        <f>BQ7+1</f>
        <v>2019</v>
      </c>
      <c r="BX7" s="419"/>
      <c r="BY7" s="419"/>
      <c r="BZ7" s="419"/>
      <c r="CA7" s="422">
        <f>BU7+1</f>
        <v>2019</v>
      </c>
      <c r="CB7" s="2376"/>
      <c r="CC7" s="421">
        <f>BW7+1</f>
        <v>2020</v>
      </c>
      <c r="CD7" s="419"/>
      <c r="CE7" s="419"/>
      <c r="CF7" s="419"/>
      <c r="CG7" s="422">
        <f>CA7+1</f>
        <v>2020</v>
      </c>
      <c r="CH7" s="2376"/>
      <c r="CI7" s="421">
        <f t="shared" ref="CI7" si="0">CC7+1</f>
        <v>2021</v>
      </c>
      <c r="CJ7" s="419"/>
      <c r="CK7" s="419"/>
      <c r="CL7" s="419"/>
      <c r="CM7" s="422">
        <f t="shared" ref="CM7" si="1">CG7+1</f>
        <v>2021</v>
      </c>
      <c r="CN7" s="2376"/>
      <c r="CO7" s="421">
        <f t="shared" ref="CO7" si="2">CI7+1</f>
        <v>2022</v>
      </c>
      <c r="CP7" s="419"/>
      <c r="CQ7" s="419"/>
      <c r="CR7" s="419"/>
      <c r="CS7" s="422">
        <f t="shared" ref="CS7" si="3">CM7+1</f>
        <v>2022</v>
      </c>
      <c r="CT7" s="416"/>
      <c r="CU7" s="400"/>
      <c r="CV7" s="400"/>
      <c r="DC7" s="921"/>
      <c r="DD7" s="921"/>
      <c r="DE7" s="921"/>
      <c r="DF7" s="921"/>
      <c r="DG7" s="2350"/>
      <c r="DH7" s="1895"/>
      <c r="DI7" s="1895"/>
      <c r="DJ7" s="1895"/>
      <c r="DK7" s="921"/>
      <c r="DL7" s="921"/>
    </row>
    <row r="8" spans="1:280" ht="13.5" thickBot="1">
      <c r="A8" s="1916"/>
      <c r="B8" s="151"/>
      <c r="C8" s="1913">
        <v>39172</v>
      </c>
      <c r="D8" s="1917">
        <f>C8+FLOOR(365/4,1)</f>
        <v>39263</v>
      </c>
      <c r="E8" s="1917">
        <f>D8+FLOOR(365/4,1)+1</f>
        <v>39355</v>
      </c>
      <c r="F8" s="1917">
        <f>E8+FLOOR(365/4,1)+1</f>
        <v>39447</v>
      </c>
      <c r="G8" s="1918"/>
      <c r="H8" s="1919"/>
      <c r="I8" s="1913">
        <f>C8+366</f>
        <v>39538</v>
      </c>
      <c r="J8" s="1917">
        <f>I8+FLOOR(365/4,1)</f>
        <v>39629</v>
      </c>
      <c r="K8" s="1917">
        <f>J8+FLOOR(365/4,1)+1</f>
        <v>39721</v>
      </c>
      <c r="L8" s="1917">
        <f>K8+FLOOR(365/4,1)+1</f>
        <v>39813</v>
      </c>
      <c r="M8" s="1918"/>
      <c r="N8" s="1920"/>
      <c r="O8" s="1913">
        <f>I8+365</f>
        <v>39903</v>
      </c>
      <c r="P8" s="1917">
        <f>O8+FLOOR(365/4,1)</f>
        <v>39994</v>
      </c>
      <c r="Q8" s="1917">
        <f>P8+FLOOR(365/4,1)+1</f>
        <v>40086</v>
      </c>
      <c r="R8" s="1917">
        <f>Q8+FLOOR(365/4,1)+1</f>
        <v>40178</v>
      </c>
      <c r="S8" s="1918"/>
      <c r="T8" s="1920"/>
      <c r="U8" s="1913">
        <f>O8+365</f>
        <v>40268</v>
      </c>
      <c r="V8" s="1917">
        <f>U8+FLOOR(365/4,1)</f>
        <v>40359</v>
      </c>
      <c r="W8" s="1917">
        <f>V8+FLOOR(365/4,1)+1</f>
        <v>40451</v>
      </c>
      <c r="X8" s="1917">
        <f>W8+FLOOR(365/4,1)+1</f>
        <v>40543</v>
      </c>
      <c r="Y8" s="1918"/>
      <c r="Z8" s="1920"/>
      <c r="AA8" s="1913">
        <f>U8+365</f>
        <v>40633</v>
      </c>
      <c r="AB8" s="1917">
        <f>AA8+FLOOR(365/4,1)</f>
        <v>40724</v>
      </c>
      <c r="AC8" s="1917">
        <f>AB8+FLOOR(365/4,1)+1</f>
        <v>40816</v>
      </c>
      <c r="AD8" s="1917">
        <f>AC8+FLOOR(365/4,1)+1</f>
        <v>40908</v>
      </c>
      <c r="AE8" s="1918"/>
      <c r="AF8" s="1920"/>
      <c r="AG8" s="1913">
        <f>AA8+366</f>
        <v>40999</v>
      </c>
      <c r="AH8" s="1917">
        <f>AG8+FLOOR(365/4,1)</f>
        <v>41090</v>
      </c>
      <c r="AI8" s="1917">
        <f>AH8+FLOOR(365/4,1)+1</f>
        <v>41182</v>
      </c>
      <c r="AJ8" s="1917">
        <f>AI8+FLOOR(365/4,1)+1</f>
        <v>41274</v>
      </c>
      <c r="AK8" s="1918"/>
      <c r="AL8" s="1920"/>
      <c r="AM8" s="1913">
        <f>AG8+365</f>
        <v>41364</v>
      </c>
      <c r="AN8" s="1917">
        <f>AM8+FLOOR(365/4,1)</f>
        <v>41455</v>
      </c>
      <c r="AO8" s="1917">
        <f>AN8+FLOOR(365/4,1)+1</f>
        <v>41547</v>
      </c>
      <c r="AP8" s="1917">
        <f>AO8+FLOOR(365/4,1)+1</f>
        <v>41639</v>
      </c>
      <c r="AQ8" s="1918"/>
      <c r="AR8" s="1920"/>
      <c r="AS8" s="1913">
        <f>AM8+365</f>
        <v>41729</v>
      </c>
      <c r="AT8" s="1917">
        <f>AS8+FLOOR(365/4,1)</f>
        <v>41820</v>
      </c>
      <c r="AU8" s="1917">
        <f>AT8+FLOOR(365/4,1)+1</f>
        <v>41912</v>
      </c>
      <c r="AV8" s="1917">
        <f>AU8+FLOOR(365/4,1)+1</f>
        <v>42004</v>
      </c>
      <c r="AW8" s="1918"/>
      <c r="AX8" s="1920"/>
      <c r="AY8" s="1913">
        <f>AS8+365</f>
        <v>42094</v>
      </c>
      <c r="AZ8" s="1917">
        <f>AY8+FLOOR(365/4,1)</f>
        <v>42185</v>
      </c>
      <c r="BA8" s="1917">
        <f>AZ8+FLOOR(365/4,1)+1</f>
        <v>42277</v>
      </c>
      <c r="BB8" s="1917">
        <f>BA8+FLOOR(365/4,1)+1</f>
        <v>42369</v>
      </c>
      <c r="BC8" s="1918"/>
      <c r="BD8" s="1920"/>
      <c r="BE8" s="1913">
        <f>AY8+365+1</f>
        <v>42460</v>
      </c>
      <c r="BF8" s="1917">
        <f>BE8+FLOOR(365/4,1)</f>
        <v>42551</v>
      </c>
      <c r="BG8" s="1917">
        <f>BF8+FLOOR(365/4,1)+1</f>
        <v>42643</v>
      </c>
      <c r="BH8" s="1917">
        <f>BG8+FLOOR(365/4,1)+1</f>
        <v>42735</v>
      </c>
      <c r="BI8" s="1918"/>
      <c r="BJ8" s="1920"/>
      <c r="BK8" s="1913">
        <f>BE8+365</f>
        <v>42825</v>
      </c>
      <c r="BL8" s="1917">
        <f>BK8+FLOOR(365/4,1)</f>
        <v>42916</v>
      </c>
      <c r="BM8" s="1917">
        <f>BL8+FLOOR(365/4,1)+1</f>
        <v>43008</v>
      </c>
      <c r="BN8" s="1917">
        <f>BM8+FLOOR(365/4,1)+1</f>
        <v>43100</v>
      </c>
      <c r="BO8" s="1918"/>
      <c r="BP8" s="1920"/>
      <c r="BQ8" s="1913">
        <f>BK8+365</f>
        <v>43190</v>
      </c>
      <c r="BR8" s="1914">
        <f>BQ8+FLOOR(365/4,1)</f>
        <v>43281</v>
      </c>
      <c r="BS8" s="1914">
        <f>BR8+FLOOR(365/4,1)+1</f>
        <v>43373</v>
      </c>
      <c r="BT8" s="1915">
        <f>BS8+FLOOR(365/4,1)+1</f>
        <v>43465</v>
      </c>
      <c r="BU8" s="1918"/>
      <c r="BV8" s="1920"/>
      <c r="BW8" s="1921">
        <f>BQ8+365</f>
        <v>43555</v>
      </c>
      <c r="BX8" s="1914">
        <f>BW8+FLOOR(365/4,1)</f>
        <v>43646</v>
      </c>
      <c r="BY8" s="1914">
        <f>BX8+FLOOR(365/4,1)+1</f>
        <v>43738</v>
      </c>
      <c r="BZ8" s="1915">
        <f>BY8+FLOOR(365/4,1)+1</f>
        <v>43830</v>
      </c>
      <c r="CA8" s="1918"/>
      <c r="CB8" s="1920"/>
      <c r="CC8" s="1921">
        <f>BW8+365</f>
        <v>43920</v>
      </c>
      <c r="CD8" s="1914">
        <f>CC8+FLOOR(365/4,1)</f>
        <v>44011</v>
      </c>
      <c r="CE8" s="1914">
        <f>CD8+FLOOR(365/4,1)+1</f>
        <v>44103</v>
      </c>
      <c r="CF8" s="1915">
        <f>CE8+FLOOR(365/4,1)+1</f>
        <v>44195</v>
      </c>
      <c r="CG8" s="1918"/>
      <c r="CH8" s="1920"/>
      <c r="CI8" s="1921">
        <f t="shared" ref="CI8" si="4">CC8+365</f>
        <v>44285</v>
      </c>
      <c r="CJ8" s="1914">
        <f t="shared" ref="CJ8" si="5">CI8+FLOOR(365/4,1)</f>
        <v>44376</v>
      </c>
      <c r="CK8" s="1914">
        <f t="shared" ref="CK8:CL8" si="6">CJ8+FLOOR(365/4,1)+1</f>
        <v>44468</v>
      </c>
      <c r="CL8" s="1915">
        <f t="shared" si="6"/>
        <v>44560</v>
      </c>
      <c r="CM8" s="1918"/>
      <c r="CN8" s="1920"/>
      <c r="CO8" s="1921">
        <f t="shared" ref="CO8" si="7">CI8+365</f>
        <v>44650</v>
      </c>
      <c r="CP8" s="1914">
        <f t="shared" ref="CP8" si="8">CO8+FLOOR(365/4,1)</f>
        <v>44741</v>
      </c>
      <c r="CQ8" s="1914">
        <f t="shared" ref="CQ8:CR8" si="9">CP8+FLOOR(365/4,1)+1</f>
        <v>44833</v>
      </c>
      <c r="CR8" s="1915">
        <f t="shared" si="9"/>
        <v>44925</v>
      </c>
      <c r="CS8" s="1918"/>
      <c r="CT8" s="416"/>
      <c r="CU8" s="400"/>
      <c r="CV8" s="400"/>
      <c r="DC8" s="928"/>
      <c r="DD8" s="921"/>
      <c r="DE8" s="928"/>
      <c r="DF8" s="921"/>
      <c r="DG8" s="921"/>
      <c r="DH8" s="921"/>
      <c r="DI8" s="921"/>
      <c r="DJ8" s="921"/>
      <c r="DK8" s="921"/>
      <c r="DL8" s="921"/>
    </row>
    <row r="9" spans="1:280">
      <c r="A9" s="1862" t="s">
        <v>173</v>
      </c>
      <c r="B9" s="412"/>
      <c r="C9" s="424">
        <f>SUM(C10:C11)</f>
        <v>72.150000000000006</v>
      </c>
      <c r="D9" s="425">
        <f>SUM(D10:D11)</f>
        <v>84.534999999999997</v>
      </c>
      <c r="E9" s="425">
        <f>SUM(E10:E11)</f>
        <v>97.51</v>
      </c>
      <c r="F9" s="426">
        <f>SUM(F10:F11)</f>
        <v>112.60400000000001</v>
      </c>
      <c r="G9" s="427">
        <f>SUM(G10:G11)</f>
        <v>366.79900000000004</v>
      </c>
      <c r="H9" s="412"/>
      <c r="I9" s="424">
        <f>SUM(I10:I11)</f>
        <v>121.861</v>
      </c>
      <c r="J9" s="425">
        <f>SUM(J10:J11)</f>
        <v>140.17699999999999</v>
      </c>
      <c r="K9" s="425">
        <f>SUM(K10:K11)</f>
        <v>150.26</v>
      </c>
      <c r="L9" s="426">
        <f>SUM(L10:L11)</f>
        <v>160.92700000000002</v>
      </c>
      <c r="M9" s="427">
        <f>SUM(M10:M11)</f>
        <v>573.22500000000002</v>
      </c>
      <c r="N9" s="412"/>
      <c r="O9" s="424">
        <f>SUM(O10:O11)</f>
        <v>165.75700000000001</v>
      </c>
      <c r="P9" s="425">
        <f>SUM(P10:P11)</f>
        <v>161.643</v>
      </c>
      <c r="Q9" s="425">
        <f>SUM(Q10:Q11)</f>
        <v>158.36000000000001</v>
      </c>
      <c r="R9" s="426">
        <f>SUM(R10:R11)</f>
        <v>180.56399999999996</v>
      </c>
      <c r="S9" s="427">
        <f>SUM(S10:S11)</f>
        <v>666.32400000000007</v>
      </c>
      <c r="T9" s="412"/>
      <c r="U9" s="424">
        <f>SUM(U10:U11)</f>
        <v>192.131</v>
      </c>
      <c r="V9" s="425">
        <f>SUM(V10:V11)</f>
        <v>212.00300000000001</v>
      </c>
      <c r="W9" s="425">
        <f>SUM(W10:W11)</f>
        <v>237.309</v>
      </c>
      <c r="X9" s="426">
        <f>SUM(X10:X11)</f>
        <v>261.298</v>
      </c>
      <c r="Y9" s="427">
        <f>SUM(Y10:Y11)</f>
        <v>902.74099999999999</v>
      </c>
      <c r="Z9" s="412"/>
      <c r="AA9" s="424">
        <f>SUM(AA10:AA11)</f>
        <v>282.51499999999999</v>
      </c>
      <c r="AB9" s="425">
        <f>SUM(AB10:AB11)</f>
        <v>287.45</v>
      </c>
      <c r="AC9" s="425">
        <f>SUM(AC10:AC11)</f>
        <v>235.499</v>
      </c>
      <c r="AD9" s="426">
        <f>SUM(AD10:AD11)</f>
        <v>250.07099999999997</v>
      </c>
      <c r="AE9" s="427">
        <f>SUM(AE10:AE11)</f>
        <v>1055.5349999999999</v>
      </c>
      <c r="AF9" s="412"/>
      <c r="AG9" s="424">
        <f>SUM(AG10:AG11)</f>
        <v>272.77</v>
      </c>
      <c r="AH9" s="425">
        <f>SUM(AH10:AH11)</f>
        <v>280.60699999999997</v>
      </c>
      <c r="AI9" s="425">
        <f>SUM(AI10:AI11)</f>
        <v>285.87400000000002</v>
      </c>
      <c r="AJ9" s="426">
        <f>SUM(AJ10:AJ11)</f>
        <v>309.26499999999999</v>
      </c>
      <c r="AK9" s="427">
        <f>SUM(AG9:AJ9)</f>
        <v>1148.5160000000001</v>
      </c>
      <c r="AL9" s="412"/>
      <c r="AM9" s="424">
        <f>SUM(AM10:AM11)</f>
        <v>330.95800000000003</v>
      </c>
      <c r="AN9" s="425">
        <f>SUM(AN10:AN11)</f>
        <v>346.09399999999999</v>
      </c>
      <c r="AO9" s="425">
        <f>SUM(AO10:AO11)</f>
        <v>356.8</v>
      </c>
      <c r="AP9" s="426">
        <f>SUM(AP10:AP11)</f>
        <v>387.32600000000002</v>
      </c>
      <c r="AQ9" s="427">
        <f>SUM(AM9:AP9)</f>
        <v>1421.1780000000001</v>
      </c>
      <c r="AR9" s="412"/>
      <c r="AS9" s="424">
        <f>SUM(AS10:AS11)</f>
        <v>420.78100000000001</v>
      </c>
      <c r="AT9" s="425">
        <f>SUM(AT10:AT11)</f>
        <v>447.56799999999998</v>
      </c>
      <c r="AU9" s="425">
        <f>SUM(AU10:AU11)</f>
        <v>480.63</v>
      </c>
      <c r="AV9" s="425">
        <f>SUM(AV10:AV11)</f>
        <v>512.37900000000002</v>
      </c>
      <c r="AW9" s="427">
        <f>SUM(AS9:AV9)</f>
        <v>1861.3579999999997</v>
      </c>
      <c r="AX9" s="412"/>
      <c r="AY9" s="424">
        <f>SUM(AY10:AY11)</f>
        <v>538.56500000000005</v>
      </c>
      <c r="AZ9" s="425">
        <f>SUM(AZ10:AZ11)</f>
        <v>539.37799999999993</v>
      </c>
      <c r="BA9" s="425">
        <f>SUM(BA10:BA11)</f>
        <v>550.27099999999996</v>
      </c>
      <c r="BB9" s="425">
        <f>SUM(BB10:BB11)</f>
        <v>591.548</v>
      </c>
      <c r="BC9" s="427">
        <f>SUM(AY9:BB9)</f>
        <v>2219.7619999999997</v>
      </c>
      <c r="BD9" s="412"/>
      <c r="BE9" s="424">
        <f>SUM(BE10:BE11)</f>
        <v>571.76300000000003</v>
      </c>
      <c r="BF9" s="425">
        <f>SUM(BF10:BF11)</f>
        <v>600.12400000000002</v>
      </c>
      <c r="BG9" s="425">
        <f>SUM(BG10:BG11)</f>
        <v>607.13900000000001</v>
      </c>
      <c r="BH9" s="425">
        <f>SUM(BH10:BH11)</f>
        <v>619.34699999999998</v>
      </c>
      <c r="BI9" s="427">
        <f>SUM(BE9:BH9)</f>
        <v>2398.3730000000005</v>
      </c>
      <c r="BJ9" s="412"/>
      <c r="BK9" s="424">
        <f>SUM(BK10:BK11)</f>
        <v>598</v>
      </c>
      <c r="BL9" s="425">
        <f>SUM(BL10:BL11)</f>
        <v>662.4</v>
      </c>
      <c r="BM9" s="425">
        <f>SUM(BM10:BM11)</f>
        <v>714</v>
      </c>
      <c r="BN9" s="426">
        <f>SUM(BN10:BN11)</f>
        <v>777.7</v>
      </c>
      <c r="BO9" s="427">
        <f>SUM(BK9:BN9)</f>
        <v>2752.1000000000004</v>
      </c>
      <c r="BP9" s="412"/>
      <c r="BQ9" s="424">
        <f>SUM(BQ10:BQ11)</f>
        <v>782</v>
      </c>
      <c r="BR9" s="425">
        <f>SUM(BR10:BR11)</f>
        <v>790.43216979006502</v>
      </c>
      <c r="BS9" s="425">
        <f>SUM(BS10:BS11)</f>
        <v>805.6766484806891</v>
      </c>
      <c r="BT9" s="426">
        <f>SUM(BT10:BT11)</f>
        <v>840.31812717131322</v>
      </c>
      <c r="BU9" s="427">
        <f>SUM(BQ9:BT9)</f>
        <v>3218.4269454420673</v>
      </c>
      <c r="BV9" s="412"/>
      <c r="BW9" s="424">
        <f>SUM(BW10:BW11)</f>
        <v>872.66311950238219</v>
      </c>
      <c r="BX9" s="425">
        <f>SUM(BX10:BX11)</f>
        <v>870.22373106422003</v>
      </c>
      <c r="BY9" s="425">
        <f>SUM(BY10:BY11)</f>
        <v>882.06875801067326</v>
      </c>
      <c r="BZ9" s="426">
        <f>SUM(BZ10:BZ11)</f>
        <v>917.82797726481908</v>
      </c>
      <c r="CA9" s="427">
        <f>SUM(BW9:BZ9)</f>
        <v>3542.7835858420949</v>
      </c>
      <c r="CB9" s="412"/>
      <c r="CC9" s="424">
        <f>SUM(CC10:CC11)</f>
        <v>961.28431101600609</v>
      </c>
      <c r="CD9" s="425">
        <f>SUM(CD10:CD11)</f>
        <v>959.45288335890916</v>
      </c>
      <c r="CE9" s="425">
        <f>SUM(CE10:CE11)</f>
        <v>972.24722094441574</v>
      </c>
      <c r="CF9" s="426">
        <f>SUM(CF10:CF11)</f>
        <v>1013.0584482932361</v>
      </c>
      <c r="CG9" s="427">
        <f>SUM(CC9:CF9)</f>
        <v>3906.0428636125671</v>
      </c>
      <c r="CH9" s="412"/>
      <c r="CI9" s="424">
        <f t="shared" ref="CI9:CL9" si="10">SUM(CI10:CI11)</f>
        <v>1061.5747363625551</v>
      </c>
      <c r="CJ9" s="425">
        <f t="shared" si="10"/>
        <v>1059.36255204085</v>
      </c>
      <c r="CK9" s="425">
        <f t="shared" si="10"/>
        <v>1072.8875263874513</v>
      </c>
      <c r="CL9" s="426">
        <f t="shared" si="10"/>
        <v>1120.6718618303846</v>
      </c>
      <c r="CM9" s="427">
        <f t="shared" ref="CM9:CM11" si="11">SUM(CI9:CL9)</f>
        <v>4314.496676621241</v>
      </c>
      <c r="CN9" s="412"/>
      <c r="CO9" s="424">
        <f t="shared" ref="CO9:CR9" si="12">SUM(CO10:CO11)</f>
        <v>1167.3216847679541</v>
      </c>
      <c r="CP9" s="425">
        <f t="shared" si="12"/>
        <v>1169.9955643677147</v>
      </c>
      <c r="CQ9" s="425">
        <f t="shared" si="12"/>
        <v>1189.2413465931577</v>
      </c>
      <c r="CR9" s="426">
        <f t="shared" si="12"/>
        <v>1243.6616641844498</v>
      </c>
      <c r="CS9" s="427">
        <f t="shared" ref="CS9:CS11" si="13">SUM(CO9:CR9)</f>
        <v>4770.2202599132761</v>
      </c>
      <c r="CT9" s="600"/>
      <c r="CU9" s="581"/>
      <c r="CV9" s="923"/>
      <c r="DC9" s="921"/>
      <c r="DD9" s="921"/>
      <c r="DE9" s="1599"/>
      <c r="DF9" s="1599"/>
      <c r="DG9" s="1599"/>
      <c r="DH9" s="921"/>
      <c r="DI9" s="921"/>
      <c r="DJ9" s="921"/>
      <c r="DK9" s="921"/>
      <c r="DL9" s="921"/>
    </row>
    <row r="10" spans="1:280" ht="12" customHeight="1">
      <c r="A10" s="1863" t="s">
        <v>171</v>
      </c>
      <c r="B10" s="428"/>
      <c r="C10" s="429">
        <v>61.265999999999998</v>
      </c>
      <c r="D10" s="430">
        <v>74.296999999999997</v>
      </c>
      <c r="E10" s="430">
        <v>90.021000000000001</v>
      </c>
      <c r="F10" s="431">
        <f>326.699-SUM(C10:E10)</f>
        <v>101.11500000000001</v>
      </c>
      <c r="G10" s="432">
        <f>SUM(C10:F10)</f>
        <v>326.69900000000001</v>
      </c>
      <c r="H10" s="428"/>
      <c r="I10" s="429">
        <v>110.68300000000001</v>
      </c>
      <c r="J10" s="430">
        <v>128.55199999999999</v>
      </c>
      <c r="K10" s="430">
        <v>140.31899999999999</v>
      </c>
      <c r="L10" s="431">
        <f>532.39-SUM(I10:K10)</f>
        <v>152.83600000000001</v>
      </c>
      <c r="M10" s="432">
        <f>SUM(I10:L10)</f>
        <v>532.39</v>
      </c>
      <c r="N10" s="428"/>
      <c r="O10" s="429">
        <v>156.19900000000001</v>
      </c>
      <c r="P10" s="430">
        <v>153.20400000000001</v>
      </c>
      <c r="Q10" s="430">
        <v>150.30600000000001</v>
      </c>
      <c r="R10" s="431">
        <f>627.24-SUM(O10:Q10)</f>
        <v>167.53099999999995</v>
      </c>
      <c r="S10" s="432">
        <f>SUM(O10:R10)</f>
        <v>627.24</v>
      </c>
      <c r="T10" s="428"/>
      <c r="U10" s="429">
        <v>173.679</v>
      </c>
      <c r="V10" s="430">
        <v>198.53800000000001</v>
      </c>
      <c r="W10" s="430">
        <v>224.66800000000001</v>
      </c>
      <c r="X10" s="431">
        <f>842.51-SUM(U10:W10)</f>
        <v>245.625</v>
      </c>
      <c r="Y10" s="432">
        <f>SUM(U10:X10)</f>
        <v>842.51</v>
      </c>
      <c r="Z10" s="428"/>
      <c r="AA10" s="429">
        <v>266.71699999999998</v>
      </c>
      <c r="AB10" s="430">
        <v>269.87099999999998</v>
      </c>
      <c r="AC10" s="430">
        <v>220.29599999999999</v>
      </c>
      <c r="AD10" s="431">
        <f>987.28-SUM(AA10:AC10)</f>
        <v>230.39599999999996</v>
      </c>
      <c r="AE10" s="432">
        <f>SUM(AA10:AD10)</f>
        <v>987.28</v>
      </c>
      <c r="AF10" s="428"/>
      <c r="AG10" s="429">
        <v>255.636</v>
      </c>
      <c r="AH10" s="430">
        <v>258.839</v>
      </c>
      <c r="AI10" s="430">
        <v>262.41800000000001</v>
      </c>
      <c r="AJ10" s="431">
        <v>278.93299999999999</v>
      </c>
      <c r="AK10" s="432">
        <f>SUM(AG10:AJ10)</f>
        <v>1055.826</v>
      </c>
      <c r="AL10" s="428"/>
      <c r="AM10" s="429">
        <v>296.17</v>
      </c>
      <c r="AN10" s="430">
        <v>313.49700000000001</v>
      </c>
      <c r="AO10" s="430">
        <v>318.60300000000001</v>
      </c>
      <c r="AP10" s="431">
        <v>336.38600000000002</v>
      </c>
      <c r="AQ10" s="432">
        <f>SUM(AM10:AP10)</f>
        <v>1264.6559999999999</v>
      </c>
      <c r="AR10" s="428"/>
      <c r="AS10" s="429">
        <v>362.21100000000001</v>
      </c>
      <c r="AT10" s="430">
        <v>390.80799999999999</v>
      </c>
      <c r="AU10" s="430">
        <v>416.16300000000001</v>
      </c>
      <c r="AV10" s="430">
        <v>450.32900000000001</v>
      </c>
      <c r="AW10" s="432">
        <f>SUM(AS10:AV10)</f>
        <v>1619.511</v>
      </c>
      <c r="AX10" s="428"/>
      <c r="AY10" s="429">
        <v>459.12700000000001</v>
      </c>
      <c r="AZ10" s="430">
        <v>462.76</v>
      </c>
      <c r="BA10" s="430">
        <v>470.82400000000001</v>
      </c>
      <c r="BB10" s="430">
        <v>497.92200000000003</v>
      </c>
      <c r="BC10" s="432">
        <f>SUM(AY10:BB10)</f>
        <v>1890.633</v>
      </c>
      <c r="BD10" s="428"/>
      <c r="BE10" s="2511">
        <f>482.75</f>
        <v>482.75</v>
      </c>
      <c r="BF10" s="2353">
        <v>509.92200000000003</v>
      </c>
      <c r="BG10" s="2353">
        <v>513.74400000000003</v>
      </c>
      <c r="BH10" s="2353">
        <v>525.58100000000002</v>
      </c>
      <c r="BI10" s="432">
        <f>SUM(BE10:BH10)</f>
        <v>2031.9970000000003</v>
      </c>
      <c r="BJ10" s="428"/>
      <c r="BK10" s="2511">
        <v>491</v>
      </c>
      <c r="BL10" s="2353">
        <v>543.4</v>
      </c>
      <c r="BM10" s="2353">
        <v>596</v>
      </c>
      <c r="BN10" s="2725">
        <v>658.7</v>
      </c>
      <c r="BO10" s="432">
        <f>SUM(BK10:BN10)</f>
        <v>2289.1000000000004</v>
      </c>
      <c r="BP10" s="428"/>
      <c r="BQ10" s="2511">
        <v>628</v>
      </c>
      <c r="BR10" s="2478">
        <f>RevBuild!BR14</f>
        <v>637.69216979006501</v>
      </c>
      <c r="BS10" s="2478">
        <f>RevBuild!BS14</f>
        <v>652.1766484806891</v>
      </c>
      <c r="BT10" s="2479">
        <f>RevBuild!BT14</f>
        <v>675.70812717131321</v>
      </c>
      <c r="BU10" s="432">
        <f>SUM(BQ10:BT10)</f>
        <v>2593.5769454420674</v>
      </c>
      <c r="BV10" s="428"/>
      <c r="BW10" s="450">
        <f>RevBuild!BW14</f>
        <v>674.26927334853599</v>
      </c>
      <c r="BX10" s="451">
        <f>RevBuild!BX14</f>
        <v>673.22466952575849</v>
      </c>
      <c r="BY10" s="451">
        <f>RevBuild!BY14</f>
        <v>684.80506570298098</v>
      </c>
      <c r="BZ10" s="452">
        <f>RevBuild!BZ14</f>
        <v>706.55346188020371</v>
      </c>
      <c r="CA10" s="432">
        <f>SUM(BW10:BZ10)</f>
        <v>2738.8524704574793</v>
      </c>
      <c r="CB10" s="428"/>
      <c r="CC10" s="450">
        <f>RevBuild!CC14</f>
        <v>713.82960805742619</v>
      </c>
      <c r="CD10" s="451">
        <f>RevBuild!CD14</f>
        <v>713.58700423464882</v>
      </c>
      <c r="CE10" s="451">
        <f>RevBuild!CE14</f>
        <v>726.52315041187137</v>
      </c>
      <c r="CF10" s="452">
        <f>RevBuild!CF14</f>
        <v>750.058196589094</v>
      </c>
      <c r="CG10" s="432">
        <f>SUM(CC10:CF10)</f>
        <v>2903.9979592930404</v>
      </c>
      <c r="CH10" s="428"/>
      <c r="CI10" s="450">
        <f>RevBuild!CI14</f>
        <v>764.51994304075265</v>
      </c>
      <c r="CJ10" s="451">
        <f>RevBuild!CJ14</f>
        <v>764.21668949241132</v>
      </c>
      <c r="CK10" s="451">
        <f>RevBuild!CK14</f>
        <v>777.90676323260379</v>
      </c>
      <c r="CL10" s="452">
        <f>RevBuild!CL14</f>
        <v>804.94989189948797</v>
      </c>
      <c r="CM10" s="432">
        <f t="shared" si="11"/>
        <v>3111.593287665256</v>
      </c>
      <c r="CN10" s="428"/>
      <c r="CO10" s="450">
        <f>RevBuild!CO14</f>
        <v>825.09589702783842</v>
      </c>
      <c r="CP10" s="451">
        <f>RevBuild!CP14</f>
        <v>830.20146465618905</v>
      </c>
      <c r="CQ10" s="451">
        <f>RevBuild!CQ14</f>
        <v>848.91035415953911</v>
      </c>
      <c r="CR10" s="452">
        <f>RevBuild!CR14</f>
        <v>879.12828091288975</v>
      </c>
      <c r="CS10" s="432">
        <f t="shared" si="13"/>
        <v>3383.3359967564566</v>
      </c>
      <c r="CT10" s="434"/>
      <c r="CU10" s="601"/>
      <c r="CV10" s="428"/>
      <c r="DC10" s="1600"/>
      <c r="DD10" s="921"/>
      <c r="DE10" s="2319"/>
      <c r="DF10" s="2319"/>
      <c r="DG10" s="2319"/>
      <c r="DH10" s="2319"/>
      <c r="DI10" s="2319"/>
      <c r="DJ10" s="2319"/>
      <c r="DK10" s="1600"/>
      <c r="DL10" s="1600"/>
    </row>
    <row r="11" spans="1:280">
      <c r="A11" s="1863" t="s">
        <v>172</v>
      </c>
      <c r="B11" s="428"/>
      <c r="C11" s="429">
        <v>10.884</v>
      </c>
      <c r="D11" s="430">
        <v>10.238</v>
      </c>
      <c r="E11" s="430">
        <v>7.4889999999999999</v>
      </c>
      <c r="F11" s="431">
        <f>40.1-SUM(C11:E11)</f>
        <v>11.489000000000001</v>
      </c>
      <c r="G11" s="432">
        <f>SUM(C11:F11)</f>
        <v>40.1</v>
      </c>
      <c r="H11" s="428"/>
      <c r="I11" s="429">
        <v>11.178000000000001</v>
      </c>
      <c r="J11" s="430">
        <v>11.625</v>
      </c>
      <c r="K11" s="430">
        <v>9.9410000000000007</v>
      </c>
      <c r="L11" s="431">
        <f>40.835-SUM(I11:K11)</f>
        <v>8.0910000000000011</v>
      </c>
      <c r="M11" s="432">
        <f>SUM(I11:L11)</f>
        <v>40.835000000000001</v>
      </c>
      <c r="N11" s="428"/>
      <c r="O11" s="429">
        <v>9.5579999999999998</v>
      </c>
      <c r="P11" s="430">
        <v>8.4390000000000001</v>
      </c>
      <c r="Q11" s="430">
        <v>8.0540000000000003</v>
      </c>
      <c r="R11" s="431">
        <f>39.084-SUM(O11:Q11)</f>
        <v>13.033000000000001</v>
      </c>
      <c r="S11" s="432">
        <f>SUM(O11:R11)</f>
        <v>39.084000000000003</v>
      </c>
      <c r="T11" s="428"/>
      <c r="U11" s="429">
        <v>18.452000000000002</v>
      </c>
      <c r="V11" s="430">
        <v>13.465</v>
      </c>
      <c r="W11" s="430">
        <v>12.641</v>
      </c>
      <c r="X11" s="431">
        <f>60.231-SUM(U11:W11)</f>
        <v>15.673000000000002</v>
      </c>
      <c r="Y11" s="432">
        <f>SUM(U11:X11)</f>
        <v>60.231000000000002</v>
      </c>
      <c r="Z11" s="428"/>
      <c r="AA11" s="429">
        <v>15.798</v>
      </c>
      <c r="AB11" s="430">
        <v>17.579000000000001</v>
      </c>
      <c r="AC11" s="430">
        <v>15.202999999999999</v>
      </c>
      <c r="AD11" s="431">
        <f>68.255-SUM(AA11:AC11)</f>
        <v>19.674999999999997</v>
      </c>
      <c r="AE11" s="432">
        <f>SUM(AA11:AD11)</f>
        <v>68.254999999999995</v>
      </c>
      <c r="AF11" s="428"/>
      <c r="AG11" s="429">
        <v>17.134</v>
      </c>
      <c r="AH11" s="430">
        <v>21.768000000000001</v>
      </c>
      <c r="AI11" s="430">
        <v>23.456</v>
      </c>
      <c r="AJ11" s="431">
        <v>30.332000000000001</v>
      </c>
      <c r="AK11" s="432">
        <f>SUM(AG11:AJ11)</f>
        <v>92.69</v>
      </c>
      <c r="AL11" s="428"/>
      <c r="AM11" s="429">
        <v>34.787999999999997</v>
      </c>
      <c r="AN11" s="430">
        <v>32.597000000000001</v>
      </c>
      <c r="AO11" s="430">
        <v>38.197000000000003</v>
      </c>
      <c r="AP11" s="431">
        <v>50.94</v>
      </c>
      <c r="AQ11" s="432">
        <f>SUM(AM11:AP11)</f>
        <v>156.52199999999999</v>
      </c>
      <c r="AR11" s="428"/>
      <c r="AS11" s="429">
        <v>58.57</v>
      </c>
      <c r="AT11" s="430">
        <v>56.76</v>
      </c>
      <c r="AU11" s="430">
        <v>64.466999999999999</v>
      </c>
      <c r="AV11" s="430">
        <v>62.05</v>
      </c>
      <c r="AW11" s="432">
        <f>SUM(AS11:AV11)</f>
        <v>241.84699999999998</v>
      </c>
      <c r="AX11" s="428"/>
      <c r="AY11" s="429">
        <v>79.438000000000002</v>
      </c>
      <c r="AZ11" s="430">
        <v>76.617999999999995</v>
      </c>
      <c r="BA11" s="430">
        <v>79.447000000000003</v>
      </c>
      <c r="BB11" s="430">
        <v>93.626000000000005</v>
      </c>
      <c r="BC11" s="432">
        <f>SUM(AY11:BB11)</f>
        <v>329.12900000000002</v>
      </c>
      <c r="BD11" s="428"/>
      <c r="BE11" s="2511">
        <f>89.013</f>
        <v>89.013000000000005</v>
      </c>
      <c r="BF11" s="2353">
        <v>90.201999999999998</v>
      </c>
      <c r="BG11" s="2353">
        <v>93.394999999999996</v>
      </c>
      <c r="BH11" s="2353">
        <v>93.766000000000005</v>
      </c>
      <c r="BI11" s="432">
        <f>SUM(BE11:BH11)</f>
        <v>366.37600000000003</v>
      </c>
      <c r="BJ11" s="428"/>
      <c r="BK11" s="2511">
        <v>107</v>
      </c>
      <c r="BL11" s="2353">
        <v>119</v>
      </c>
      <c r="BM11" s="2353">
        <v>118</v>
      </c>
      <c r="BN11" s="2725">
        <v>119</v>
      </c>
      <c r="BO11" s="432">
        <f>SUM(BK11:BN11)</f>
        <v>463</v>
      </c>
      <c r="BP11" s="428"/>
      <c r="BQ11" s="2511">
        <v>154</v>
      </c>
      <c r="BR11" s="2478">
        <f>RevBuild!BR15</f>
        <v>152.74</v>
      </c>
      <c r="BS11" s="2478">
        <f>RevBuild!BS15</f>
        <v>153.5</v>
      </c>
      <c r="BT11" s="2479">
        <f>RevBuild!BT15</f>
        <v>164.61</v>
      </c>
      <c r="BU11" s="432">
        <f>SUM(BQ11:BT11)</f>
        <v>624.85</v>
      </c>
      <c r="BV11" s="428"/>
      <c r="BW11" s="450">
        <f>RevBuild!BW15</f>
        <v>198.39384615384614</v>
      </c>
      <c r="BX11" s="451">
        <f>RevBuild!BX15</f>
        <v>196.99906153846155</v>
      </c>
      <c r="BY11" s="451">
        <f>RevBuild!BY15</f>
        <v>197.26369230769234</v>
      </c>
      <c r="BZ11" s="452">
        <f>RevBuild!BZ15</f>
        <v>211.27451538461537</v>
      </c>
      <c r="CA11" s="432">
        <f>SUM(BW11:BZ11)</f>
        <v>803.9311153846154</v>
      </c>
      <c r="CB11" s="428"/>
      <c r="CC11" s="450">
        <f>RevBuild!CC15</f>
        <v>247.4547029585799</v>
      </c>
      <c r="CD11" s="451">
        <f>RevBuild!CD15</f>
        <v>245.86587912426035</v>
      </c>
      <c r="CE11" s="451">
        <f>RevBuild!CE15</f>
        <v>245.7240705325444</v>
      </c>
      <c r="CF11" s="452">
        <f>RevBuild!CF15</f>
        <v>263.00025170414204</v>
      </c>
      <c r="CG11" s="432">
        <f>SUM(CC11:CF11)</f>
        <v>1002.0449043195267</v>
      </c>
      <c r="CH11" s="428"/>
      <c r="CI11" s="450">
        <f>RevBuild!CI15</f>
        <v>297.05479332180249</v>
      </c>
      <c r="CJ11" s="451">
        <f>RevBuild!CJ15</f>
        <v>295.1458625484388</v>
      </c>
      <c r="CK11" s="451">
        <f>RevBuild!CK15</f>
        <v>294.98076315484752</v>
      </c>
      <c r="CL11" s="452">
        <f>RevBuild!CL15</f>
        <v>315.72196993089671</v>
      </c>
      <c r="CM11" s="432">
        <f t="shared" si="11"/>
        <v>1202.9033889559855</v>
      </c>
      <c r="CN11" s="428"/>
      <c r="CO11" s="450">
        <f>RevBuild!CO15</f>
        <v>342.22578774011561</v>
      </c>
      <c r="CP11" s="451">
        <f>RevBuild!CP15</f>
        <v>339.79409971152558</v>
      </c>
      <c r="CQ11" s="451">
        <f>RevBuild!CQ15</f>
        <v>340.33099243361846</v>
      </c>
      <c r="CR11" s="452">
        <f>RevBuild!CR15</f>
        <v>364.53338327156007</v>
      </c>
      <c r="CS11" s="432">
        <f t="shared" si="13"/>
        <v>1386.8842631568195</v>
      </c>
      <c r="CT11" s="434"/>
      <c r="CU11" s="428"/>
      <c r="CV11" s="428"/>
      <c r="DC11" s="921"/>
      <c r="DD11" s="921"/>
      <c r="DH11" s="1599"/>
      <c r="DI11" s="1599"/>
      <c r="DJ11" s="1599"/>
    </row>
    <row r="12" spans="1:280" collapsed="1">
      <c r="A12" s="441" t="s">
        <v>175</v>
      </c>
      <c r="B12" s="428"/>
      <c r="C12" s="434">
        <f>SUM(C13:C15)</f>
        <v>24.304000000000002</v>
      </c>
      <c r="D12" s="428">
        <f>SUM(D13:D15)</f>
        <v>30.015000000000001</v>
      </c>
      <c r="E12" s="428">
        <f>SUM(E13:E15)</f>
        <v>37.078000000000003</v>
      </c>
      <c r="F12" s="433">
        <f>SUM(F13:F15)</f>
        <v>40.096999999999994</v>
      </c>
      <c r="G12" s="432">
        <f>SUM(G13:G15)</f>
        <v>131.494</v>
      </c>
      <c r="H12" s="428"/>
      <c r="I12" s="434">
        <f>SUM(I13:I15)</f>
        <v>46.081000000000003</v>
      </c>
      <c r="J12" s="428">
        <f>SUM(J13:J15)</f>
        <v>50.459000000000003</v>
      </c>
      <c r="K12" s="428">
        <f>SUM(K13:K15)</f>
        <v>54.43</v>
      </c>
      <c r="L12" s="433">
        <f>SUM(L13:L15)</f>
        <v>54.653999999999996</v>
      </c>
      <c r="M12" s="432">
        <f>SUM(M13:M15)</f>
        <v>205.624</v>
      </c>
      <c r="N12" s="428"/>
      <c r="O12" s="434">
        <f>SUM(O13:O15)</f>
        <v>54.021999999999998</v>
      </c>
      <c r="P12" s="428">
        <f>SUM(P13:P15)</f>
        <v>48.814999999999998</v>
      </c>
      <c r="Q12" s="428">
        <f>SUM(Q13:Q15)</f>
        <v>49.564</v>
      </c>
      <c r="R12" s="433">
        <f>SUM(R13:R15)</f>
        <v>53.367999999999988</v>
      </c>
      <c r="S12" s="432">
        <f>SUM(S13:S15)</f>
        <v>205.76900000000001</v>
      </c>
      <c r="T12" s="428"/>
      <c r="U12" s="434">
        <f>SUM(U13:U15)</f>
        <v>58.332999999999998</v>
      </c>
      <c r="V12" s="428">
        <f>SUM(V13:V15)</f>
        <v>64.317000000000007</v>
      </c>
      <c r="W12" s="428">
        <f>SUM(W13:W15)</f>
        <v>77.869</v>
      </c>
      <c r="X12" s="433">
        <f>SUM(X13:X15)</f>
        <v>92.876999999999995</v>
      </c>
      <c r="Y12" s="432">
        <f>SUM(Y13:Y15)</f>
        <v>293.39600000000002</v>
      </c>
      <c r="Z12" s="428"/>
      <c r="AA12" s="434">
        <f>SUM(AA13:AA15)</f>
        <v>91.489000000000004</v>
      </c>
      <c r="AB12" s="428">
        <f>SUM(AB13:AB15)</f>
        <v>91.058999999999997</v>
      </c>
      <c r="AC12" s="428">
        <f>SUM(AC13:AC15)</f>
        <v>75.34899999999999</v>
      </c>
      <c r="AD12" s="433">
        <f>SUM(AD13:AD15)</f>
        <v>76.449000000000012</v>
      </c>
      <c r="AE12" s="432">
        <f>SUM(AE13:AE15)</f>
        <v>334.346</v>
      </c>
      <c r="AF12" s="428"/>
      <c r="AG12" s="434">
        <f>SUM(AG13:AG15)</f>
        <v>86.492999999999995</v>
      </c>
      <c r="AH12" s="428">
        <f>SUM(AH13:AH15)</f>
        <v>83.77000000000001</v>
      </c>
      <c r="AI12" s="428">
        <f>SUM(AI13:AI15)</f>
        <v>86.413000000000011</v>
      </c>
      <c r="AJ12" s="433">
        <f>SUM(AJ13:AJ15)</f>
        <v>99.680999999999997</v>
      </c>
      <c r="AK12" s="432">
        <f>SUM(AK13:AK15)</f>
        <v>356.35700000000003</v>
      </c>
      <c r="AL12" s="428"/>
      <c r="AM12" s="434">
        <f>SUM(AM13:AM15)</f>
        <v>103.589</v>
      </c>
      <c r="AN12" s="428">
        <f>SUM(AN13:AN15)</f>
        <v>107.05799999999999</v>
      </c>
      <c r="AO12" s="428">
        <f>SUM(AO13:AO15)</f>
        <v>108.08399999999997</v>
      </c>
      <c r="AP12" s="433">
        <f>SUM(AP13:AP15)</f>
        <v>112.95299999999999</v>
      </c>
      <c r="AQ12" s="432">
        <f>SUM(AQ13:AQ15)</f>
        <v>431.68400000000003</v>
      </c>
      <c r="AR12" s="428"/>
      <c r="AS12" s="434">
        <f>SUM(AS13:AS15)</f>
        <v>127.108</v>
      </c>
      <c r="AT12" s="428">
        <f>SUM(AT13:AT15)</f>
        <v>132.666</v>
      </c>
      <c r="AU12" s="428">
        <f>SUM(AU13:AU15)</f>
        <v>131.828</v>
      </c>
      <c r="AV12" s="428">
        <f>SUM(AV13:AV15)</f>
        <v>145.066</v>
      </c>
      <c r="AW12" s="432">
        <f>SUM(AW13:AW15)</f>
        <v>536.66800000000001</v>
      </c>
      <c r="AX12" s="428"/>
      <c r="AY12" s="434">
        <f>SUM(AY13:AY15)</f>
        <v>152.15299999999999</v>
      </c>
      <c r="AZ12" s="428">
        <f>SUM(AZ13:AZ15)</f>
        <v>151.62900000000002</v>
      </c>
      <c r="BA12" s="428">
        <f>SUM(BA13:BA15)</f>
        <v>150.54399999999998</v>
      </c>
      <c r="BB12" s="428">
        <f>SUM(BB13:BB15)</f>
        <v>170.33600000000001</v>
      </c>
      <c r="BC12" s="432">
        <f>SUM(BC13:BC15)</f>
        <v>624.66200000000003</v>
      </c>
      <c r="BD12" s="428"/>
      <c r="BE12" s="434">
        <f>SUM(BE13:BE15)</f>
        <v>164.21299999999999</v>
      </c>
      <c r="BF12" s="428">
        <f>SUM(BF13:BF15)</f>
        <v>165.76999999999998</v>
      </c>
      <c r="BG12" s="428">
        <f>SUM(BG13:BG15)</f>
        <v>170.029</v>
      </c>
      <c r="BH12" s="428">
        <f>SUM(BH13:BH15)</f>
        <v>188.94899999999998</v>
      </c>
      <c r="BI12" s="432">
        <f>SUM(BI13:BI15)</f>
        <v>688.96100000000001</v>
      </c>
      <c r="BJ12" s="428"/>
      <c r="BK12" s="434">
        <f>SUM(BK13:BK15)</f>
        <v>201</v>
      </c>
      <c r="BL12" s="428">
        <f>SUM(BL13:BL15)</f>
        <v>218.7</v>
      </c>
      <c r="BM12" s="428">
        <f>SUM(BM13:BM15)</f>
        <v>222.7</v>
      </c>
      <c r="BN12" s="433">
        <f>SUM(BN13:BN15)</f>
        <v>226.3</v>
      </c>
      <c r="BO12" s="432">
        <f>SUM(BO13:BO15)</f>
        <v>868.7</v>
      </c>
      <c r="BP12" s="428"/>
      <c r="BQ12" s="434">
        <f>SUM(BQ13:BQ15)</f>
        <v>236</v>
      </c>
      <c r="BR12" s="428">
        <f>SUM(BR13:BR15)</f>
        <v>246.80493766337921</v>
      </c>
      <c r="BS12" s="428">
        <f>SUM(BS13:BS15)</f>
        <v>251.30612337594062</v>
      </c>
      <c r="BT12" s="433">
        <f>SUM(BT13:BT15)</f>
        <v>261.9928587943844</v>
      </c>
      <c r="BU12" s="432">
        <f>SUM(BU13:BU15)</f>
        <v>996.10391983370414</v>
      </c>
      <c r="BV12" s="428"/>
      <c r="BW12" s="434">
        <f>SUM(BW13:BW15)</f>
        <v>267.93400676978956</v>
      </c>
      <c r="BX12" s="428">
        <f>SUM(BX13:BX15)</f>
        <v>276.44223384918496</v>
      </c>
      <c r="BY12" s="428">
        <f>SUM(BY13:BY15)</f>
        <v>279.38594760480606</v>
      </c>
      <c r="BZ12" s="433">
        <f>SUM(BZ13:BZ15)</f>
        <v>291.13071186118134</v>
      </c>
      <c r="CA12" s="432">
        <f>SUM(CA13:CA15)</f>
        <v>1114.8929000849616</v>
      </c>
      <c r="CB12" s="428"/>
      <c r="CC12" s="434">
        <f>SUM(CC13:CC15)</f>
        <v>297.79967234224398</v>
      </c>
      <c r="CD12" s="428">
        <f>SUM(CD13:CD15)</f>
        <v>308.73174569725586</v>
      </c>
      <c r="CE12" s="428">
        <f>SUM(CE13:CE15)</f>
        <v>311.8181659705495</v>
      </c>
      <c r="CF12" s="433">
        <f>SUM(CF13:CF15)</f>
        <v>325.58675793868599</v>
      </c>
      <c r="CG12" s="432">
        <f>SUM(CG13:CG15)</f>
        <v>1243.9363419487354</v>
      </c>
      <c r="CH12" s="428"/>
      <c r="CI12" s="434">
        <f t="shared" ref="CI12:CM12" si="14">SUM(CI13:CI15)</f>
        <v>332.27382860867601</v>
      </c>
      <c r="CJ12" s="428">
        <f t="shared" si="14"/>
        <v>345.383901192113</v>
      </c>
      <c r="CK12" s="428">
        <f t="shared" si="14"/>
        <v>348.64238754463707</v>
      </c>
      <c r="CL12" s="433">
        <f t="shared" si="14"/>
        <v>364.98079400530253</v>
      </c>
      <c r="CM12" s="432">
        <f t="shared" si="14"/>
        <v>1391.2809113507285</v>
      </c>
      <c r="CN12" s="428"/>
      <c r="CO12" s="434">
        <f t="shared" ref="CO12:CS12" si="15">SUM(CO13:CO15)</f>
        <v>367.75910552309159</v>
      </c>
      <c r="CP12" s="428">
        <f t="shared" si="15"/>
        <v>384.07060170115341</v>
      </c>
      <c r="CQ12" s="428">
        <f t="shared" si="15"/>
        <v>388.88472532743447</v>
      </c>
      <c r="CR12" s="433">
        <f t="shared" si="15"/>
        <v>407.74455496939083</v>
      </c>
      <c r="CS12" s="432">
        <f t="shared" si="15"/>
        <v>1548.4589875210704</v>
      </c>
      <c r="CT12" s="434"/>
      <c r="CU12" s="428"/>
      <c r="CV12" s="428"/>
      <c r="DC12" s="1895"/>
      <c r="DD12" s="921"/>
      <c r="DH12" s="921"/>
      <c r="DJ12" s="921"/>
      <c r="DK12" s="921"/>
      <c r="DL12" s="921"/>
    </row>
    <row r="13" spans="1:280" hidden="1" outlineLevel="1">
      <c r="A13" s="1863" t="s">
        <v>171</v>
      </c>
      <c r="B13" s="428"/>
      <c r="C13" s="429">
        <f>21.815-0.816</f>
        <v>20.999000000000002</v>
      </c>
      <c r="D13" s="430">
        <f>27.036-0.126</f>
        <v>26.91</v>
      </c>
      <c r="E13" s="430">
        <f>34.582</f>
        <v>34.582000000000001</v>
      </c>
      <c r="F13" s="431">
        <f>119.991-0.942-SUM(C13:E13)</f>
        <v>36.557999999999993</v>
      </c>
      <c r="G13" s="432">
        <f>SUM(C13:F13)</f>
        <v>119.04900000000001</v>
      </c>
      <c r="H13" s="428"/>
      <c r="I13" s="429">
        <f>42.526</f>
        <v>42.526000000000003</v>
      </c>
      <c r="J13" s="430">
        <f>47.148</f>
        <v>47.148000000000003</v>
      </c>
      <c r="K13" s="430">
        <f>51.088</f>
        <v>51.088000000000001</v>
      </c>
      <c r="L13" s="431">
        <f>192.868-SUM(I13:K13)</f>
        <v>52.105999999999995</v>
      </c>
      <c r="M13" s="432">
        <f>SUM(I13:L13)</f>
        <v>192.86799999999999</v>
      </c>
      <c r="N13" s="428"/>
      <c r="O13" s="429">
        <f>50.707</f>
        <v>50.707000000000001</v>
      </c>
      <c r="P13" s="430">
        <f>45.812</f>
        <v>45.811999999999998</v>
      </c>
      <c r="Q13" s="430">
        <f>45.858</f>
        <v>45.857999999999997</v>
      </c>
      <c r="R13" s="431">
        <f>190.714-SUM(O13:Q13)</f>
        <v>48.336999999999989</v>
      </c>
      <c r="S13" s="432">
        <f>SUM(O13:R13)</f>
        <v>190.714</v>
      </c>
      <c r="T13" s="428"/>
      <c r="U13" s="429">
        <f>52.939</f>
        <v>52.939</v>
      </c>
      <c r="V13" s="430">
        <f>59.627</f>
        <v>59.627000000000002</v>
      </c>
      <c r="W13" s="430">
        <f>72.248</f>
        <v>72.248000000000005</v>
      </c>
      <c r="X13" s="431">
        <f>271.997-SUM(U13:W13)</f>
        <v>87.182999999999993</v>
      </c>
      <c r="Y13" s="432">
        <f>SUM(U13:X13)</f>
        <v>271.99700000000001</v>
      </c>
      <c r="Z13" s="428"/>
      <c r="AA13" s="429">
        <f>85.437</f>
        <v>85.436999999999998</v>
      </c>
      <c r="AB13" s="430">
        <f>84.518</f>
        <v>84.518000000000001</v>
      </c>
      <c r="AC13" s="430">
        <f>68.764</f>
        <v>68.763999999999996</v>
      </c>
      <c r="AD13" s="431">
        <f>308.228-SUM(AA13:AC13)</f>
        <v>69.509000000000015</v>
      </c>
      <c r="AE13" s="432">
        <f t="shared" ref="AE13:AE18" si="16">SUM(AA13:AD13)</f>
        <v>308.22800000000001</v>
      </c>
      <c r="AF13" s="428"/>
      <c r="AG13" s="429">
        <f>80.151-2.223</f>
        <v>77.927999999999997</v>
      </c>
      <c r="AH13" s="430">
        <f>74.911-0.797</f>
        <v>74.114000000000004</v>
      </c>
      <c r="AI13" s="430">
        <f>75.873</f>
        <v>75.873000000000005</v>
      </c>
      <c r="AJ13" s="431">
        <f>86.348-1.458</f>
        <v>84.89</v>
      </c>
      <c r="AK13" s="432">
        <f t="shared" ref="AK13:AK18" si="17">SUM(AG13:AJ13)</f>
        <v>312.80500000000001</v>
      </c>
      <c r="AL13" s="428"/>
      <c r="AM13" s="429">
        <f>89.978-1.069</f>
        <v>88.908999999999992</v>
      </c>
      <c r="AN13" s="430">
        <f>98.15</f>
        <v>98.15</v>
      </c>
      <c r="AO13" s="430">
        <f>119.954</f>
        <v>119.95399999999999</v>
      </c>
      <c r="AP13" s="431">
        <f>99.795</f>
        <v>99.795000000000002</v>
      </c>
      <c r="AQ13" s="432">
        <f t="shared" ref="AQ13:AQ18" si="18">SUM(AM13:AP13)</f>
        <v>406.80799999999999</v>
      </c>
      <c r="AR13" s="428"/>
      <c r="AS13" s="429">
        <f>111.441</f>
        <v>111.441</v>
      </c>
      <c r="AT13" s="430">
        <f>114.307</f>
        <v>114.307</v>
      </c>
      <c r="AU13" s="430">
        <f>113.103</f>
        <v>113.10299999999999</v>
      </c>
      <c r="AV13" s="430">
        <f>93.069</f>
        <v>93.069000000000003</v>
      </c>
      <c r="AW13" s="432">
        <f t="shared" ref="AW13:AW18" si="19">SUM(AS13:AV13)</f>
        <v>431.92</v>
      </c>
      <c r="AX13" s="428"/>
      <c r="AY13" s="429">
        <f>119.624</f>
        <v>119.624</v>
      </c>
      <c r="AZ13" s="430">
        <f>119.459</f>
        <v>119.459</v>
      </c>
      <c r="BA13" s="430">
        <f>120.954</f>
        <v>120.95399999999999</v>
      </c>
      <c r="BB13" s="430">
        <f>130.775</f>
        <v>130.77500000000001</v>
      </c>
      <c r="BC13" s="432">
        <f>SUM(AY13:BB13)</f>
        <v>490.81200000000001</v>
      </c>
      <c r="BD13" s="428"/>
      <c r="BE13" s="429">
        <f>125.326</f>
        <v>125.32599999999999</v>
      </c>
      <c r="BF13" s="439">
        <f>125.107</f>
        <v>125.107</v>
      </c>
      <c r="BG13" s="2353">
        <f>132.423</f>
        <v>132.423</v>
      </c>
      <c r="BH13" s="430">
        <f>151.343</f>
        <v>151.34299999999999</v>
      </c>
      <c r="BI13" s="432">
        <f>SUM(BE13:BH13)</f>
        <v>534.19899999999996</v>
      </c>
      <c r="BJ13" s="428"/>
      <c r="BK13" s="2511">
        <f>166-18</f>
        <v>148</v>
      </c>
      <c r="BL13" s="439">
        <v>168</v>
      </c>
      <c r="BM13" s="2353">
        <v>173</v>
      </c>
      <c r="BN13" s="2725">
        <f>172</f>
        <v>172</v>
      </c>
      <c r="BO13" s="432">
        <f>SUM(BK13:BN13)</f>
        <v>661</v>
      </c>
      <c r="BP13" s="428"/>
      <c r="BQ13" s="2511">
        <f>174</f>
        <v>174</v>
      </c>
      <c r="BR13" s="2478">
        <f>RevBuild!BR230*IS!BR10*(1-IS!BR47)+RevBuild!BR231*IS!BR10*(1-IS!BR48)</f>
        <v>178.0719376633792</v>
      </c>
      <c r="BS13" s="2478">
        <f>RevBuild!BS230*IS!BS10*(1-IS!BS47)+RevBuild!BS231*IS!BS10*(1-IS!BS48)</f>
        <v>182.23112337594063</v>
      </c>
      <c r="BT13" s="2479">
        <f>RevBuild!BT230*IS!BT10*(1-IS!BT47)+RevBuild!BT231*IS!BT10*(1-IS!BT48)</f>
        <v>187.9183587943844</v>
      </c>
      <c r="BU13" s="432">
        <f>SUM(BQ13:BT13)</f>
        <v>722.2214198337042</v>
      </c>
      <c r="BV13" s="428"/>
      <c r="BW13" s="450">
        <f>RevBuild!BW230*IS!BW10*(1-IS!BW47)+RevBuild!BW231*IS!BW10*(1-IS!BW48)</f>
        <v>186.07722115540395</v>
      </c>
      <c r="BX13" s="451">
        <f>RevBuild!BX230*IS!BX10*(1-IS!BX47)+RevBuild!BX231*IS!BX10*(1-IS!BX48)</f>
        <v>185.82266554149265</v>
      </c>
      <c r="BY13" s="451">
        <f>RevBuild!BY230*IS!BY10*(1-IS!BY47)+RevBuild!BY231*IS!BY10*(1-IS!BY48)</f>
        <v>188.6446491432676</v>
      </c>
      <c r="BZ13" s="452">
        <f>RevBuild!BZ230*IS!BZ10*(1-IS!BZ47)+RevBuild!BZ231*IS!BZ10*(1-IS!BZ48)</f>
        <v>193.94443478425825</v>
      </c>
      <c r="CA13" s="432">
        <f>SUM(BW13:BZ13)</f>
        <v>754.48897062442234</v>
      </c>
      <c r="CB13" s="428"/>
      <c r="CC13" s="450">
        <f>RevBuild!CC230*IS!CC10*(1-IS!CC47)+RevBuild!CC231*IS!CC10*(1-IS!CC48)</f>
        <v>194.46323112622923</v>
      </c>
      <c r="CD13" s="451">
        <f>RevBuild!CD230*IS!CD10*(1-IS!CD47)+RevBuild!CD231*IS!CD10*(1-IS!CD48)</f>
        <v>194.40411190447477</v>
      </c>
      <c r="CE13" s="451">
        <f>RevBuild!CE230*IS!CE10*(1-IS!CE47)+RevBuild!CE231*IS!CE10*(1-IS!CE48)</f>
        <v>197.55647317291636</v>
      </c>
      <c r="CF13" s="452">
        <f>RevBuild!CF230*IS!CF10*(1-IS!CF47)+RevBuild!CF231*IS!CF10*(1-IS!CF48)</f>
        <v>203.29164089625996</v>
      </c>
      <c r="CG13" s="432">
        <f>SUM(CC13:CF13)</f>
        <v>789.71545709988038</v>
      </c>
      <c r="CH13" s="428"/>
      <c r="CI13" s="450">
        <f>RevBuild!CI230*IS!CI10*(1-IS!CI47)+RevBuild!CI231*IS!CI10*(1-IS!CI48)</f>
        <v>206.739244521774</v>
      </c>
      <c r="CJ13" s="451">
        <f>RevBuild!CJ230*IS!CJ10*(1-IS!CJ47)+RevBuild!CJ231*IS!CJ10*(1-IS!CJ48)</f>
        <v>206.66534579434676</v>
      </c>
      <c r="CK13" s="451">
        <f>RevBuild!CK230*IS!CK10*(1-IS!CK47)+RevBuild!CK231*IS!CK10*(1-IS!CK48)</f>
        <v>210.00142886185876</v>
      </c>
      <c r="CL13" s="452">
        <f>RevBuild!CL230*IS!CL10*(1-IS!CL47)+RevBuild!CL231*IS!CL10*(1-IS!CL48)</f>
        <v>216.59146813778108</v>
      </c>
      <c r="CM13" s="432">
        <f t="shared" ref="CM13:CM15" si="20">SUM(CI13:CL13)</f>
        <v>839.99748731576051</v>
      </c>
      <c r="CN13" s="428"/>
      <c r="CO13" s="450">
        <f>RevBuild!CO230*IS!CO10*(1-IS!CO47)+RevBuild!CO231*IS!CO10*(1-IS!CO48)</f>
        <v>221.4242475835681</v>
      </c>
      <c r="CP13" s="451">
        <f>RevBuild!CP230*IS!CP10*(1-IS!CP47)+RevBuild!CP231*IS!CP10*(1-IS!CP48)</f>
        <v>222.66840433817876</v>
      </c>
      <c r="CQ13" s="451">
        <f>RevBuild!CQ230*IS!CQ10*(1-IS!CQ47)+RevBuild!CQ231*IS!CQ10*(1-IS!CQ48)</f>
        <v>227.22750392146571</v>
      </c>
      <c r="CR13" s="452">
        <f>RevBuild!CR230*IS!CR10*(1-IS!CR47)+RevBuild!CR231*IS!CR10*(1-IS!CR48)</f>
        <v>234.59119791539985</v>
      </c>
      <c r="CS13" s="432">
        <f t="shared" ref="CS13:CS15" si="21">SUM(CO13:CR13)</f>
        <v>905.91135375861245</v>
      </c>
      <c r="CT13" s="434"/>
      <c r="CU13" s="428"/>
      <c r="CV13" s="428"/>
      <c r="DC13" s="921"/>
      <c r="DD13" s="921"/>
      <c r="DE13" s="921"/>
      <c r="DF13" s="921"/>
      <c r="DG13" s="921"/>
      <c r="DH13" s="921"/>
      <c r="DI13" s="921"/>
      <c r="DJ13" s="921"/>
      <c r="DK13" s="921"/>
      <c r="DL13" s="921"/>
    </row>
    <row r="14" spans="1:280" hidden="1" outlineLevel="1">
      <c r="A14" s="1863" t="s">
        <v>174</v>
      </c>
      <c r="B14" s="428"/>
      <c r="C14" s="429">
        <f>3.305</f>
        <v>3.3050000000000002</v>
      </c>
      <c r="D14" s="430">
        <f>3.105</f>
        <v>3.105</v>
      </c>
      <c r="E14" s="430">
        <f>2.496</f>
        <v>2.496</v>
      </c>
      <c r="F14" s="431">
        <f>12.445-SUM(C14:E14)</f>
        <v>3.5389999999999997</v>
      </c>
      <c r="G14" s="432">
        <f>SUM(C14:F14)</f>
        <v>12.445</v>
      </c>
      <c r="H14" s="428"/>
      <c r="I14" s="429">
        <f>3.555</f>
        <v>3.5550000000000002</v>
      </c>
      <c r="J14" s="430">
        <f>3.311</f>
        <v>3.3109999999999999</v>
      </c>
      <c r="K14" s="430">
        <f>3.342</f>
        <v>3.3420000000000001</v>
      </c>
      <c r="L14" s="431">
        <f>12.756-SUM(I14:K14)</f>
        <v>2.548</v>
      </c>
      <c r="M14" s="432">
        <f>SUM(I14:L14)</f>
        <v>12.756</v>
      </c>
      <c r="N14" s="428"/>
      <c r="O14" s="429">
        <f>3.315</f>
        <v>3.3149999999999999</v>
      </c>
      <c r="P14" s="430">
        <f>3.003</f>
        <v>3.0030000000000001</v>
      </c>
      <c r="Q14" s="430">
        <f>3.706</f>
        <v>3.706</v>
      </c>
      <c r="R14" s="431">
        <f>15.055-SUM(O14:Q14)</f>
        <v>5.0310000000000006</v>
      </c>
      <c r="S14" s="432">
        <f>SUM(O14:R14)</f>
        <v>15.055</v>
      </c>
      <c r="T14" s="428"/>
      <c r="U14" s="429">
        <f>5.394</f>
        <v>5.3940000000000001</v>
      </c>
      <c r="V14" s="430">
        <f>4.69</f>
        <v>4.6900000000000004</v>
      </c>
      <c r="W14" s="430">
        <f>5.621</f>
        <v>5.6210000000000004</v>
      </c>
      <c r="X14" s="431">
        <f>21.399-SUM(U14:W14)</f>
        <v>5.6940000000000008</v>
      </c>
      <c r="Y14" s="432">
        <f>SUM(U14:X14)</f>
        <v>21.399000000000001</v>
      </c>
      <c r="Z14" s="428"/>
      <c r="AA14" s="429">
        <f>6.052</f>
        <v>6.0519999999999996</v>
      </c>
      <c r="AB14" s="430">
        <f>6.541</f>
        <v>6.5410000000000004</v>
      </c>
      <c r="AC14" s="430">
        <f>6.585</f>
        <v>6.585</v>
      </c>
      <c r="AD14" s="431">
        <f>26.118-SUM(AA14:AC14)</f>
        <v>6.9399999999999977</v>
      </c>
      <c r="AE14" s="432">
        <f t="shared" si="16"/>
        <v>26.117999999999999</v>
      </c>
      <c r="AF14" s="428"/>
      <c r="AG14" s="429">
        <f>8.565</f>
        <v>8.5649999999999995</v>
      </c>
      <c r="AH14" s="430">
        <f>9.656</f>
        <v>9.6560000000000006</v>
      </c>
      <c r="AI14" s="430">
        <f>10.54</f>
        <v>10.54</v>
      </c>
      <c r="AJ14" s="431">
        <f>14.791</f>
        <v>14.791</v>
      </c>
      <c r="AK14" s="432">
        <f t="shared" si="17"/>
        <v>43.552</v>
      </c>
      <c r="AL14" s="428"/>
      <c r="AM14" s="429">
        <f>15.138-0.458</f>
        <v>14.68</v>
      </c>
      <c r="AN14" s="430">
        <f>15.951</f>
        <v>15.951000000000001</v>
      </c>
      <c r="AO14" s="430">
        <f>17.643</f>
        <v>17.643000000000001</v>
      </c>
      <c r="AP14" s="431">
        <f>19.079</f>
        <v>19.079000000000001</v>
      </c>
      <c r="AQ14" s="432">
        <f t="shared" si="18"/>
        <v>67.353000000000009</v>
      </c>
      <c r="AR14" s="428"/>
      <c r="AS14" s="429">
        <f>21.513</f>
        <v>21.513000000000002</v>
      </c>
      <c r="AT14" s="430">
        <f>23.176</f>
        <v>23.175999999999998</v>
      </c>
      <c r="AU14" s="430">
        <f>23.909</f>
        <v>23.908999999999999</v>
      </c>
      <c r="AV14" s="430">
        <f>23.757</f>
        <v>23.757000000000001</v>
      </c>
      <c r="AW14" s="432">
        <f t="shared" si="19"/>
        <v>92.355000000000004</v>
      </c>
      <c r="AX14" s="428"/>
      <c r="AY14" s="429">
        <f>32.529</f>
        <v>32.529000000000003</v>
      </c>
      <c r="AZ14" s="430">
        <f>32.17</f>
        <v>32.17</v>
      </c>
      <c r="BA14" s="430">
        <f>29.59</f>
        <v>29.59</v>
      </c>
      <c r="BB14" s="430">
        <f>39.561</f>
        <v>39.561</v>
      </c>
      <c r="BC14" s="432">
        <f>SUM(AY14:BB14)</f>
        <v>133.85000000000002</v>
      </c>
      <c r="BD14" s="428"/>
      <c r="BE14" s="429">
        <f>38.887</f>
        <v>38.887</v>
      </c>
      <c r="BF14" s="430">
        <f>40.663</f>
        <v>40.662999999999997</v>
      </c>
      <c r="BG14" s="2353">
        <f>37.606</f>
        <v>37.606000000000002</v>
      </c>
      <c r="BH14" s="430">
        <f>37.606</f>
        <v>37.606000000000002</v>
      </c>
      <c r="BI14" s="432">
        <f>SUM(BE14:BH14)</f>
        <v>154.762</v>
      </c>
      <c r="BJ14" s="428"/>
      <c r="BK14" s="2511">
        <v>53</v>
      </c>
      <c r="BL14" s="430">
        <v>50.7</v>
      </c>
      <c r="BM14" s="2353">
        <v>49.7</v>
      </c>
      <c r="BN14" s="2725">
        <v>54.3</v>
      </c>
      <c r="BO14" s="432">
        <f>SUM(BK14:BN14)</f>
        <v>207.7</v>
      </c>
      <c r="BP14" s="428"/>
      <c r="BQ14" s="2511">
        <v>62</v>
      </c>
      <c r="BR14" s="428">
        <f>BR11*(1-BR49)</f>
        <v>68.733000000000004</v>
      </c>
      <c r="BS14" s="428">
        <f>BS11*(1-BS49)</f>
        <v>69.074999999999989</v>
      </c>
      <c r="BT14" s="433">
        <f>BT11*(1-BT49)</f>
        <v>74.0745</v>
      </c>
      <c r="BU14" s="432">
        <f>SUM(BQ14:BT14)</f>
        <v>273.88249999999999</v>
      </c>
      <c r="BV14" s="428"/>
      <c r="BW14" s="434">
        <f>BW11*(1-BW49)</f>
        <v>81.856785614385615</v>
      </c>
      <c r="BX14" s="428">
        <f>BX11*(1-BX49)</f>
        <v>90.619568307692305</v>
      </c>
      <c r="BY14" s="428">
        <f>BY11*(1-BY49)</f>
        <v>90.741298461538463</v>
      </c>
      <c r="BZ14" s="433">
        <f>BZ11*(1-BZ49)</f>
        <v>97.186277076923062</v>
      </c>
      <c r="CA14" s="432">
        <f>SUM(BW14:BZ14)</f>
        <v>360.40392946053942</v>
      </c>
      <c r="CB14" s="428"/>
      <c r="CC14" s="434">
        <f>CC11*(1-CC49)</f>
        <v>103.33644121601478</v>
      </c>
      <c r="CD14" s="428">
        <f>CD11*(1-CD49)</f>
        <v>114.32763379278106</v>
      </c>
      <c r="CE14" s="428">
        <f>CE11*(1-CE49)</f>
        <v>114.26169279763315</v>
      </c>
      <c r="CF14" s="433">
        <f>CF11*(1-CF49)</f>
        <v>122.29511704242604</v>
      </c>
      <c r="CG14" s="432">
        <f>SUM(CC14:CF14)</f>
        <v>454.22088484885506</v>
      </c>
      <c r="CH14" s="428"/>
      <c r="CI14" s="434">
        <f t="shared" ref="CI14:CL14" si="22">CI11*(1-CI49)</f>
        <v>125.534584086902</v>
      </c>
      <c r="CJ14" s="428">
        <f t="shared" si="22"/>
        <v>138.71855539776624</v>
      </c>
      <c r="CK14" s="428">
        <f t="shared" si="22"/>
        <v>138.64095868277832</v>
      </c>
      <c r="CL14" s="433">
        <f t="shared" si="22"/>
        <v>148.38932586752145</v>
      </c>
      <c r="CM14" s="432">
        <f t="shared" si="20"/>
        <v>551.28342403496799</v>
      </c>
      <c r="CN14" s="428"/>
      <c r="CO14" s="434">
        <f t="shared" ref="CO14:CR14" si="23">CO11*(1-CO49)</f>
        <v>146.33485793952349</v>
      </c>
      <c r="CP14" s="428">
        <f t="shared" si="23"/>
        <v>161.40219736297465</v>
      </c>
      <c r="CQ14" s="428">
        <f t="shared" si="23"/>
        <v>161.65722140596876</v>
      </c>
      <c r="CR14" s="433">
        <f t="shared" si="23"/>
        <v>173.15335705399102</v>
      </c>
      <c r="CS14" s="432">
        <f t="shared" si="21"/>
        <v>642.54763376245785</v>
      </c>
      <c r="CT14" s="434"/>
      <c r="CU14" s="428"/>
      <c r="CV14" s="428"/>
      <c r="DC14" s="921"/>
      <c r="DD14" s="921"/>
      <c r="DE14" s="921"/>
      <c r="DF14" s="921"/>
      <c r="DG14" s="921"/>
      <c r="DH14" s="921"/>
      <c r="DI14" s="921"/>
      <c r="DJ14" s="921"/>
      <c r="DK14" s="921"/>
      <c r="DL14" s="921"/>
    </row>
    <row r="15" spans="1:280" hidden="1" outlineLevel="1">
      <c r="A15" s="1863" t="s">
        <v>443</v>
      </c>
      <c r="B15" s="428"/>
      <c r="C15" s="429">
        <f>0.442-0.442</f>
        <v>0</v>
      </c>
      <c r="D15" s="430">
        <f>0.662-0.662</f>
        <v>0</v>
      </c>
      <c r="E15" s="430">
        <f>0.662-0.662</f>
        <v>0</v>
      </c>
      <c r="F15" s="431">
        <f>2.429-2.429-SUM(C15:E15)</f>
        <v>0</v>
      </c>
      <c r="G15" s="432">
        <f>SUM(C15:F15)</f>
        <v>0</v>
      </c>
      <c r="H15" s="428"/>
      <c r="I15" s="429">
        <f>2.415-2.415</f>
        <v>0</v>
      </c>
      <c r="J15" s="430">
        <f>2.669-2.669</f>
        <v>0</v>
      </c>
      <c r="K15" s="430">
        <f>2.702-2.702</f>
        <v>0</v>
      </c>
      <c r="L15" s="431">
        <f>10.438-10.438-SUM(I15:K15)</f>
        <v>0</v>
      </c>
      <c r="M15" s="432">
        <f>SUM(I15:L15)</f>
        <v>0</v>
      </c>
      <c r="N15" s="428"/>
      <c r="O15" s="429">
        <f>1.67-1.67</f>
        <v>0</v>
      </c>
      <c r="P15" s="430">
        <f>1.67-1.67</f>
        <v>0</v>
      </c>
      <c r="Q15" s="430">
        <f>1.67-1.67</f>
        <v>0</v>
      </c>
      <c r="R15" s="431">
        <f>6.68-6.68-SUM(O15:Q15)</f>
        <v>0</v>
      </c>
      <c r="S15" s="432">
        <f>SUM(O15:R15)</f>
        <v>0</v>
      </c>
      <c r="T15" s="428"/>
      <c r="U15" s="429">
        <f>1.62-1.62</f>
        <v>0</v>
      </c>
      <c r="V15" s="430">
        <f>1.595-1.595</f>
        <v>0</v>
      </c>
      <c r="W15" s="430">
        <f>2.295-2.295</f>
        <v>0</v>
      </c>
      <c r="X15" s="431">
        <f>7.805-7.805-SUM(U15:W15)</f>
        <v>0</v>
      </c>
      <c r="Y15" s="432">
        <f>SUM(U15:X15)</f>
        <v>0</v>
      </c>
      <c r="Z15" s="428"/>
      <c r="AA15" s="429">
        <f>2.985-2.985</f>
        <v>0</v>
      </c>
      <c r="AB15" s="430">
        <f>3.035-3.035</f>
        <v>0</v>
      </c>
      <c r="AC15" s="430">
        <f>3.035-3.035</f>
        <v>0</v>
      </c>
      <c r="AD15" s="431">
        <f>12.091-12.091-SUM(AA15:AC15)</f>
        <v>0</v>
      </c>
      <c r="AE15" s="432">
        <f t="shared" si="16"/>
        <v>0</v>
      </c>
      <c r="AF15" s="428"/>
      <c r="AG15" s="429">
        <f>3.043-3.043</f>
        <v>0</v>
      </c>
      <c r="AH15" s="430">
        <f>3.043-3.043</f>
        <v>0</v>
      </c>
      <c r="AI15" s="430">
        <f>3.588-3.588</f>
        <v>0</v>
      </c>
      <c r="AJ15" s="430">
        <f>4.479-4.479</f>
        <v>0</v>
      </c>
      <c r="AK15" s="432">
        <f t="shared" si="17"/>
        <v>0</v>
      </c>
      <c r="AL15" s="428"/>
      <c r="AM15" s="429">
        <f>6.55-6.55</f>
        <v>0</v>
      </c>
      <c r="AN15" s="430">
        <f>8.584-8.584-7.043</f>
        <v>-7.0430000000000001</v>
      </c>
      <c r="AO15" s="430">
        <f>9.263-9.263-4.299-25.214</f>
        <v>-29.512999999999998</v>
      </c>
      <c r="AP15" s="431">
        <f>9.206-9.206-5.921</f>
        <v>-5.9210000000000003</v>
      </c>
      <c r="AQ15" s="432">
        <f t="shared" si="18"/>
        <v>-42.476999999999997</v>
      </c>
      <c r="AR15" s="428"/>
      <c r="AS15" s="429">
        <f>9.535-9.535-5.846</f>
        <v>-5.8460000000000001</v>
      </c>
      <c r="AT15" s="430">
        <f>9.545-9.545-4.817</f>
        <v>-4.8170000000000002</v>
      </c>
      <c r="AU15" s="430">
        <f>9.677-9.677-5.184</f>
        <v>-5.1840000000000002</v>
      </c>
      <c r="AV15" s="430">
        <f>10.616-10.616+26.24+2</f>
        <v>28.24</v>
      </c>
      <c r="AW15" s="432">
        <f t="shared" si="19"/>
        <v>12.392999999999997</v>
      </c>
      <c r="AX15" s="428"/>
      <c r="AY15" s="429">
        <f>11.385-11.385</f>
        <v>0</v>
      </c>
      <c r="AZ15" s="430">
        <f>11.384-11.384</f>
        <v>0</v>
      </c>
      <c r="BA15" s="430">
        <v>0</v>
      </c>
      <c r="BB15" s="430">
        <f>10.853-10.853</f>
        <v>0</v>
      </c>
      <c r="BC15" s="432">
        <f>SUM(AY15:BB15)</f>
        <v>0</v>
      </c>
      <c r="BD15" s="428"/>
      <c r="BE15" s="429">
        <v>0</v>
      </c>
      <c r="BF15" s="430">
        <v>0</v>
      </c>
      <c r="BG15" s="2353">
        <v>0</v>
      </c>
      <c r="BH15" s="430">
        <v>0</v>
      </c>
      <c r="BI15" s="432">
        <f>SUM(BE15:BH15)</f>
        <v>0</v>
      </c>
      <c r="BJ15" s="428"/>
      <c r="BK15" s="429">
        <v>0</v>
      </c>
      <c r="BL15" s="430">
        <v>0</v>
      </c>
      <c r="BM15" s="2353">
        <v>0</v>
      </c>
      <c r="BN15" s="431">
        <v>0</v>
      </c>
      <c r="BO15" s="432">
        <f>SUM(BK15:BN15)</f>
        <v>0</v>
      </c>
      <c r="BP15" s="428"/>
      <c r="BQ15" s="429">
        <v>0</v>
      </c>
      <c r="BR15" s="430">
        <v>0</v>
      </c>
      <c r="BS15" s="430">
        <v>0</v>
      </c>
      <c r="BT15" s="431">
        <v>0</v>
      </c>
      <c r="BU15" s="432">
        <f>SUM(BQ15:BT15)</f>
        <v>0</v>
      </c>
      <c r="BV15" s="428"/>
      <c r="BW15" s="429">
        <v>0</v>
      </c>
      <c r="BX15" s="430">
        <v>0</v>
      </c>
      <c r="BY15" s="430">
        <v>0</v>
      </c>
      <c r="BZ15" s="431">
        <v>0</v>
      </c>
      <c r="CA15" s="432">
        <f>SUM(BW15:BZ15)</f>
        <v>0</v>
      </c>
      <c r="CB15" s="428"/>
      <c r="CC15" s="429">
        <v>0</v>
      </c>
      <c r="CD15" s="430">
        <v>0</v>
      </c>
      <c r="CE15" s="430">
        <v>0</v>
      </c>
      <c r="CF15" s="431">
        <v>0</v>
      </c>
      <c r="CG15" s="432">
        <f>SUM(CC15:CF15)</f>
        <v>0</v>
      </c>
      <c r="CH15" s="428"/>
      <c r="CI15" s="429">
        <v>0</v>
      </c>
      <c r="CJ15" s="430">
        <v>0</v>
      </c>
      <c r="CK15" s="430">
        <v>0</v>
      </c>
      <c r="CL15" s="431">
        <v>0</v>
      </c>
      <c r="CM15" s="432">
        <f t="shared" si="20"/>
        <v>0</v>
      </c>
      <c r="CN15" s="428"/>
      <c r="CO15" s="429">
        <v>0</v>
      </c>
      <c r="CP15" s="430">
        <v>0</v>
      </c>
      <c r="CQ15" s="430">
        <v>0</v>
      </c>
      <c r="CR15" s="431">
        <v>0</v>
      </c>
      <c r="CS15" s="432">
        <f t="shared" si="21"/>
        <v>0</v>
      </c>
      <c r="CT15" s="434"/>
      <c r="CU15" s="428"/>
      <c r="CV15" s="428"/>
      <c r="DC15" s="921"/>
      <c r="DD15" s="921"/>
      <c r="DE15" s="921"/>
      <c r="DF15" s="921"/>
      <c r="DG15" s="921"/>
      <c r="DH15" s="921"/>
      <c r="DI15" s="921"/>
      <c r="DJ15" s="921"/>
      <c r="DK15" s="921"/>
      <c r="DL15" s="921"/>
    </row>
    <row r="16" spans="1:280" collapsed="1">
      <c r="A16" s="437" t="s">
        <v>176</v>
      </c>
      <c r="B16" s="412"/>
      <c r="C16" s="423">
        <f>C9-C12</f>
        <v>47.846000000000004</v>
      </c>
      <c r="D16" s="412">
        <f>D9-D12</f>
        <v>54.519999999999996</v>
      </c>
      <c r="E16" s="412">
        <f>E9-E12</f>
        <v>60.432000000000002</v>
      </c>
      <c r="F16" s="436">
        <f>F9-F12</f>
        <v>72.507000000000019</v>
      </c>
      <c r="G16" s="437">
        <f>G9-G12</f>
        <v>235.30500000000004</v>
      </c>
      <c r="H16" s="412"/>
      <c r="I16" s="423">
        <f>I9-I12</f>
        <v>75.78</v>
      </c>
      <c r="J16" s="412">
        <f>J9-J12</f>
        <v>89.717999999999989</v>
      </c>
      <c r="K16" s="412">
        <f>K9-K12</f>
        <v>95.829999999999984</v>
      </c>
      <c r="L16" s="436">
        <f>L9-L12</f>
        <v>106.27300000000002</v>
      </c>
      <c r="M16" s="437">
        <f>M9-M12</f>
        <v>367.601</v>
      </c>
      <c r="N16" s="412"/>
      <c r="O16" s="423">
        <f>O9-O12</f>
        <v>111.73500000000001</v>
      </c>
      <c r="P16" s="412">
        <f>P9-P12</f>
        <v>112.828</v>
      </c>
      <c r="Q16" s="412">
        <f>Q9-Q12</f>
        <v>108.79600000000002</v>
      </c>
      <c r="R16" s="436">
        <f>R9-R12</f>
        <v>127.19599999999997</v>
      </c>
      <c r="S16" s="437">
        <f>S9-S12</f>
        <v>460.55500000000006</v>
      </c>
      <c r="T16" s="412"/>
      <c r="U16" s="423">
        <f>U9-U12</f>
        <v>133.798</v>
      </c>
      <c r="V16" s="412">
        <f>V9-V12</f>
        <v>147.68600000000001</v>
      </c>
      <c r="W16" s="412">
        <f>W9-W12</f>
        <v>159.44</v>
      </c>
      <c r="X16" s="436">
        <f>X9-X12</f>
        <v>168.42099999999999</v>
      </c>
      <c r="Y16" s="437">
        <f>Y9-Y12</f>
        <v>609.34500000000003</v>
      </c>
      <c r="Z16" s="412"/>
      <c r="AA16" s="423">
        <f>AA9-AA12</f>
        <v>191.02599999999998</v>
      </c>
      <c r="AB16" s="412">
        <f>AB9-AB12</f>
        <v>196.39099999999999</v>
      </c>
      <c r="AC16" s="412">
        <f>AC9-AC12</f>
        <v>160.15</v>
      </c>
      <c r="AD16" s="436">
        <f>AD9-AD12</f>
        <v>173.62199999999996</v>
      </c>
      <c r="AE16" s="437">
        <f>AE9-AE12</f>
        <v>721.18899999999985</v>
      </c>
      <c r="AF16" s="412"/>
      <c r="AG16" s="423">
        <f>+AG9-AG12</f>
        <v>186.27699999999999</v>
      </c>
      <c r="AH16" s="412">
        <f>AH9-AH12</f>
        <v>196.83699999999996</v>
      </c>
      <c r="AI16" s="412">
        <f>+AI9-AI12</f>
        <v>199.46100000000001</v>
      </c>
      <c r="AJ16" s="436">
        <f>+AJ9-AJ12</f>
        <v>209.584</v>
      </c>
      <c r="AK16" s="437">
        <f>AK9-AK12</f>
        <v>792.15900000000011</v>
      </c>
      <c r="AL16" s="412"/>
      <c r="AM16" s="423">
        <f>+AM9-AM12</f>
        <v>227.36900000000003</v>
      </c>
      <c r="AN16" s="412">
        <f>+AN9-AN12</f>
        <v>239.036</v>
      </c>
      <c r="AO16" s="412">
        <f>+AO9-AO12</f>
        <v>248.71600000000004</v>
      </c>
      <c r="AP16" s="436">
        <f>+AP9-AP12</f>
        <v>274.37300000000005</v>
      </c>
      <c r="AQ16" s="437">
        <f>AQ9-AQ12</f>
        <v>989.49400000000014</v>
      </c>
      <c r="AR16" s="412"/>
      <c r="AS16" s="423">
        <f>+AS9-AS12</f>
        <v>293.673</v>
      </c>
      <c r="AT16" s="412">
        <f>+AT9-AT12</f>
        <v>314.90199999999999</v>
      </c>
      <c r="AU16" s="412">
        <f>+AU9-AU12</f>
        <v>348.80200000000002</v>
      </c>
      <c r="AV16" s="412">
        <f>+AV9-AV12</f>
        <v>367.31299999999999</v>
      </c>
      <c r="AW16" s="437">
        <f>AW9-AW12</f>
        <v>1324.6899999999996</v>
      </c>
      <c r="AX16" s="412"/>
      <c r="AY16" s="423">
        <f>+AY9-AY12</f>
        <v>386.41200000000003</v>
      </c>
      <c r="AZ16" s="412">
        <f>+AZ9-AZ12</f>
        <v>387.74899999999991</v>
      </c>
      <c r="BA16" s="412">
        <f>+BA9-BA12</f>
        <v>399.72699999999998</v>
      </c>
      <c r="BB16" s="412">
        <f>+BB9-BB12</f>
        <v>421.21199999999999</v>
      </c>
      <c r="BC16" s="437">
        <f>BC9-BC12</f>
        <v>1595.0999999999997</v>
      </c>
      <c r="BD16" s="412"/>
      <c r="BE16" s="423">
        <f>+BE9-BE12</f>
        <v>407.55000000000007</v>
      </c>
      <c r="BF16" s="412">
        <f>+BF9-BF12</f>
        <v>434.35400000000004</v>
      </c>
      <c r="BG16" s="412">
        <f>+BG9-BG12</f>
        <v>437.11</v>
      </c>
      <c r="BH16" s="412">
        <f>+BH9-BH12</f>
        <v>430.39800000000002</v>
      </c>
      <c r="BI16" s="437">
        <f>BI9-BI12</f>
        <v>1709.4120000000005</v>
      </c>
      <c r="BJ16" s="412"/>
      <c r="BK16" s="423">
        <f>+BK9-BK12</f>
        <v>397</v>
      </c>
      <c r="BL16" s="412">
        <f>+BL9-BL12</f>
        <v>443.7</v>
      </c>
      <c r="BM16" s="412">
        <f>+BM9-BM12</f>
        <v>491.3</v>
      </c>
      <c r="BN16" s="436">
        <f>+BN9-BN12</f>
        <v>551.40000000000009</v>
      </c>
      <c r="BO16" s="437">
        <f>BO9-BO12</f>
        <v>1883.4000000000003</v>
      </c>
      <c r="BP16" s="412"/>
      <c r="BQ16" s="423">
        <f>+BQ9-BQ12</f>
        <v>546</v>
      </c>
      <c r="BR16" s="412">
        <f>+BR9-BR12</f>
        <v>543.62723212668584</v>
      </c>
      <c r="BS16" s="412">
        <f>+BS9-BS12</f>
        <v>554.37052510474848</v>
      </c>
      <c r="BT16" s="436">
        <f>+BT9-BT12</f>
        <v>578.32526837692876</v>
      </c>
      <c r="BU16" s="437">
        <f>BU9-BU12</f>
        <v>2222.3230256083634</v>
      </c>
      <c r="BV16" s="412"/>
      <c r="BW16" s="423">
        <f>+BW9-BW12</f>
        <v>604.72911273259263</v>
      </c>
      <c r="BX16" s="412">
        <f>+BX9-BX12</f>
        <v>593.78149721503507</v>
      </c>
      <c r="BY16" s="412">
        <f>+BY9-BY12</f>
        <v>602.68281040586726</v>
      </c>
      <c r="BZ16" s="436">
        <f>+BZ9-BZ12</f>
        <v>626.69726540363774</v>
      </c>
      <c r="CA16" s="437">
        <f>CA9-CA12</f>
        <v>2427.8906857571333</v>
      </c>
      <c r="CB16" s="412"/>
      <c r="CC16" s="423">
        <f>+CC9-CC12</f>
        <v>663.48463867376211</v>
      </c>
      <c r="CD16" s="412">
        <f>+CD9-CD12</f>
        <v>650.7211376616533</v>
      </c>
      <c r="CE16" s="412">
        <f>+CE9-CE12</f>
        <v>660.42905497386619</v>
      </c>
      <c r="CF16" s="436">
        <f>+CF9-CF12</f>
        <v>687.47169035455011</v>
      </c>
      <c r="CG16" s="437">
        <f>CG9-CG12</f>
        <v>2662.1065216638317</v>
      </c>
      <c r="CH16" s="412"/>
      <c r="CI16" s="423">
        <f t="shared" ref="CI16:CL16" si="24">+CI9-CI12</f>
        <v>729.30090775387907</v>
      </c>
      <c r="CJ16" s="412">
        <f t="shared" si="24"/>
        <v>713.97865084873706</v>
      </c>
      <c r="CK16" s="412">
        <f t="shared" si="24"/>
        <v>724.24513884281419</v>
      </c>
      <c r="CL16" s="436">
        <f t="shared" si="24"/>
        <v>755.69106782508209</v>
      </c>
      <c r="CM16" s="437">
        <f t="shared" ref="CM16" si="25">CM9-CM12</f>
        <v>2923.2157652705127</v>
      </c>
      <c r="CN16" s="412"/>
      <c r="CO16" s="423">
        <f t="shared" ref="CO16:CR16" si="26">+CO9-CO12</f>
        <v>799.56257924486249</v>
      </c>
      <c r="CP16" s="412">
        <f t="shared" si="26"/>
        <v>785.92496266656121</v>
      </c>
      <c r="CQ16" s="412">
        <f t="shared" si="26"/>
        <v>800.35662126572322</v>
      </c>
      <c r="CR16" s="436">
        <f t="shared" si="26"/>
        <v>835.91710921505899</v>
      </c>
      <c r="CS16" s="437">
        <f t="shared" ref="CS16" si="27">CS9-CS12</f>
        <v>3221.7612723922057</v>
      </c>
      <c r="CT16" s="924"/>
      <c r="CU16" s="923"/>
      <c r="CV16" s="923"/>
      <c r="DC16" s="921"/>
      <c r="DD16" s="921"/>
      <c r="DE16" s="921"/>
      <c r="DF16" s="921"/>
      <c r="DG16" s="2349"/>
      <c r="DH16" s="921"/>
      <c r="DK16" s="921"/>
      <c r="DL16" s="921"/>
    </row>
    <row r="17" spans="1:131" ht="12.75" customHeight="1">
      <c r="A17" s="432" t="s">
        <v>177</v>
      </c>
      <c r="B17" s="428"/>
      <c r="C17" s="438">
        <f>15.956</f>
        <v>15.956</v>
      </c>
      <c r="D17" s="439">
        <f>18.184</f>
        <v>18.184000000000001</v>
      </c>
      <c r="E17" s="439">
        <f>19.753</f>
        <v>19.753</v>
      </c>
      <c r="F17" s="440">
        <f>73.943-SUM(C17:E17)</f>
        <v>20.049999999999997</v>
      </c>
      <c r="G17" s="432">
        <f>SUM(C17:F17)</f>
        <v>73.942999999999998</v>
      </c>
      <c r="H17" s="428"/>
      <c r="I17" s="438">
        <f>20.564</f>
        <v>20.564</v>
      </c>
      <c r="J17" s="439">
        <f>23.493</f>
        <v>23.492999999999999</v>
      </c>
      <c r="K17" s="439">
        <f>27.567-0.614</f>
        <v>26.952999999999999</v>
      </c>
      <c r="L17" s="440">
        <f>99.963-1.531-SUM(I17:K17)</f>
        <v>27.421999999999983</v>
      </c>
      <c r="M17" s="432">
        <f>SUM(I17:L17)</f>
        <v>98.431999999999988</v>
      </c>
      <c r="N17" s="428"/>
      <c r="O17" s="438">
        <f>32.726-0.919-2</f>
        <v>29.806999999999999</v>
      </c>
      <c r="P17" s="439">
        <f>33.117-0.919</f>
        <v>32.198</v>
      </c>
      <c r="Q17" s="439">
        <f>34.406-0.919</f>
        <v>33.487000000000002</v>
      </c>
      <c r="R17" s="440">
        <f>140.616-3.675-2-SUM(O17:Q17)</f>
        <v>39.449000000000012</v>
      </c>
      <c r="S17" s="432">
        <f>SUM(O17:R17)</f>
        <v>134.941</v>
      </c>
      <c r="T17" s="428"/>
      <c r="U17" s="438">
        <f>43.675-0.919</f>
        <v>42.756</v>
      </c>
      <c r="V17" s="439">
        <f>43.667-0.919</f>
        <v>42.748000000000005</v>
      </c>
      <c r="W17" s="439">
        <f>44.804-0.919</f>
        <v>43.885000000000005</v>
      </c>
      <c r="X17" s="440">
        <f>177.947-3.675-SUM(U17:W17)</f>
        <v>44.882999999999981</v>
      </c>
      <c r="Y17" s="432">
        <f>SUM(U17:X17)</f>
        <v>174.27199999999999</v>
      </c>
      <c r="Z17" s="428"/>
      <c r="AA17" s="438">
        <f>50.2-1.436</f>
        <v>48.764000000000003</v>
      </c>
      <c r="AB17" s="439">
        <f>50.801-1.855</f>
        <v>48.946000000000005</v>
      </c>
      <c r="AC17" s="439">
        <f>50.399-0.775</f>
        <v>49.624000000000002</v>
      </c>
      <c r="AD17" s="440">
        <f>196.913-4.799-SUM(AA17:AC17)</f>
        <v>44.78</v>
      </c>
      <c r="AE17" s="441">
        <f t="shared" si="16"/>
        <v>192.114</v>
      </c>
      <c r="AF17" s="428"/>
      <c r="AG17" s="438">
        <f>48.839-0.732</f>
        <v>48.106999999999999</v>
      </c>
      <c r="AH17" s="439">
        <f>71.223-21.438-0.732</f>
        <v>49.052999999999997</v>
      </c>
      <c r="AI17" s="439">
        <f>54.056-0.754</f>
        <v>53.302</v>
      </c>
      <c r="AJ17" s="440">
        <f>56.907-1.201</f>
        <v>55.705999999999996</v>
      </c>
      <c r="AK17" s="441">
        <f t="shared" si="17"/>
        <v>206.16799999999998</v>
      </c>
      <c r="AL17" s="428"/>
      <c r="AM17" s="438">
        <f>61.45-0.489</f>
        <v>60.961000000000006</v>
      </c>
      <c r="AN17" s="439">
        <f>67.608+0.164</f>
        <v>67.772000000000006</v>
      </c>
      <c r="AO17" s="439">
        <f>70.957-0.107</f>
        <v>70.849999999999994</v>
      </c>
      <c r="AP17" s="440">
        <f>76.728-0.112</f>
        <v>76.616</v>
      </c>
      <c r="AQ17" s="441">
        <f t="shared" si="18"/>
        <v>276.19900000000001</v>
      </c>
      <c r="AR17" s="428"/>
      <c r="AS17" s="438">
        <f>77.041-0.084</f>
        <v>76.956999999999994</v>
      </c>
      <c r="AT17" s="439">
        <f>82.985-0.496</f>
        <v>82.489000000000004</v>
      </c>
      <c r="AU17" s="439">
        <f>85.082-0.496</f>
        <v>84.585999999999999</v>
      </c>
      <c r="AV17" s="439">
        <f>142.947-48.8-1.515-0.433</f>
        <v>92.198999999999998</v>
      </c>
      <c r="AW17" s="441">
        <f t="shared" si="19"/>
        <v>336.23099999999999</v>
      </c>
      <c r="AX17" s="428"/>
      <c r="AY17" s="438">
        <f>91.772</f>
        <v>91.772000000000006</v>
      </c>
      <c r="AZ17" s="439">
        <f>96.182</f>
        <v>96.182000000000002</v>
      </c>
      <c r="BA17" s="439">
        <f>99.226-0.044</f>
        <v>99.182000000000002</v>
      </c>
      <c r="BB17" s="439">
        <f>114.347-0.083</f>
        <v>114.264</v>
      </c>
      <c r="BC17" s="441">
        <f>SUM(AY17:BB17)</f>
        <v>401.40000000000003</v>
      </c>
      <c r="BD17" s="428"/>
      <c r="BE17" s="2707">
        <f>123.994</f>
        <v>123.994</v>
      </c>
      <c r="BF17" s="2708">
        <f>124.589-0.109</f>
        <v>124.48</v>
      </c>
      <c r="BG17" s="2708">
        <f>125.917-0.108</f>
        <v>125.809</v>
      </c>
      <c r="BH17" s="2708">
        <f>129.915+0.012</f>
        <v>129.92699999999999</v>
      </c>
      <c r="BI17" s="432">
        <f>SUM(BE17:BH17)</f>
        <v>504.21000000000004</v>
      </c>
      <c r="BJ17" s="428"/>
      <c r="BK17" s="2707">
        <f>145-5</f>
        <v>140</v>
      </c>
      <c r="BL17" s="2708">
        <v>130.4</v>
      </c>
      <c r="BM17" s="2708">
        <v>133.74</v>
      </c>
      <c r="BN17" s="2708">
        <v>135.04</v>
      </c>
      <c r="BO17" s="432">
        <f>SUM(BK17:BN17)</f>
        <v>539.17999999999995</v>
      </c>
      <c r="BP17" s="428"/>
      <c r="BQ17" s="2707">
        <f>137</f>
        <v>137</v>
      </c>
      <c r="BR17" s="444">
        <f>+BR9*BR52</f>
        <v>158.086433958013</v>
      </c>
      <c r="BS17" s="444">
        <f>+BS9*BS52</f>
        <v>159.12113807493611</v>
      </c>
      <c r="BT17" s="442">
        <f>+BT9*BT52</f>
        <v>163.86203479840609</v>
      </c>
      <c r="BU17" s="441">
        <f>SUM(BQ17:BT17)</f>
        <v>618.06960683135515</v>
      </c>
      <c r="BV17" s="428"/>
      <c r="BW17" s="443">
        <f>+BW9*BW52</f>
        <v>152.01077341735996</v>
      </c>
      <c r="BX17" s="444">
        <f>+BX9*BX52</f>
        <v>173.1745224817798</v>
      </c>
      <c r="BY17" s="444">
        <f>+BY9*BY52</f>
        <v>173.3265109490973</v>
      </c>
      <c r="BZ17" s="442">
        <f>+BZ9*BZ52</f>
        <v>178.05862758937491</v>
      </c>
      <c r="CA17" s="441">
        <f>SUM(BW17:BZ17)</f>
        <v>676.57043443761199</v>
      </c>
      <c r="CB17" s="428"/>
      <c r="CC17" s="443">
        <f>+CC9*CC52</f>
        <v>166.48657537949333</v>
      </c>
      <c r="CD17" s="444">
        <f>+CD9*CD52</f>
        <v>189.97167090506403</v>
      </c>
      <c r="CE17" s="444">
        <f>+CE9*CE52</f>
        <v>190.07433169463329</v>
      </c>
      <c r="CF17" s="442">
        <f>+CF9*CF52</f>
        <v>195.52028052059458</v>
      </c>
      <c r="CG17" s="441">
        <f>SUM(CC17:CF17)</f>
        <v>742.05285849978532</v>
      </c>
      <c r="CH17" s="428"/>
      <c r="CI17" s="443">
        <f t="shared" ref="CI17:CL17" si="28">+CI9*CI52</f>
        <v>182.7944815219482</v>
      </c>
      <c r="CJ17" s="444">
        <f t="shared" si="28"/>
        <v>208.69442275204747</v>
      </c>
      <c r="CK17" s="444">
        <f t="shared" si="28"/>
        <v>208.67662388235928</v>
      </c>
      <c r="CL17" s="442">
        <f t="shared" si="28"/>
        <v>215.16899747143384</v>
      </c>
      <c r="CM17" s="441">
        <f t="shared" ref="CM17:CM18" si="29">SUM(CI17:CL17)</f>
        <v>815.33452562778882</v>
      </c>
      <c r="CN17" s="428"/>
      <c r="CO17" s="443">
        <f t="shared" ref="CO17:CR17" si="30">+CO9*CO52</f>
        <v>199.83591890441886</v>
      </c>
      <c r="CP17" s="444">
        <f t="shared" si="30"/>
        <v>229.31913061607207</v>
      </c>
      <c r="CQ17" s="444">
        <f t="shared" si="30"/>
        <v>230.11820056577602</v>
      </c>
      <c r="CR17" s="442">
        <f t="shared" si="30"/>
        <v>237.53937785922992</v>
      </c>
      <c r="CS17" s="441">
        <f t="shared" ref="CS17:CS18" si="31">SUM(CO17:CR17)</f>
        <v>896.81262794549684</v>
      </c>
      <c r="CT17" s="434"/>
      <c r="CU17" s="428"/>
      <c r="CV17" s="428"/>
      <c r="DC17" s="1895"/>
      <c r="DD17" s="921"/>
      <c r="DE17" s="921"/>
      <c r="DF17" s="921"/>
      <c r="DG17" s="921"/>
      <c r="DH17" s="1600"/>
      <c r="DI17" s="1600"/>
      <c r="DJ17" s="1600"/>
      <c r="DK17" s="921"/>
      <c r="DL17" s="921"/>
    </row>
    <row r="18" spans="1:131" ht="12" customHeight="1">
      <c r="A18" s="432" t="s">
        <v>178</v>
      </c>
      <c r="B18" s="428"/>
      <c r="C18" s="429">
        <f>23.633</f>
        <v>23.632999999999999</v>
      </c>
      <c r="D18" s="430">
        <f>23.297</f>
        <v>23.297000000000001</v>
      </c>
      <c r="E18" s="430">
        <f>24.307</f>
        <v>24.306999999999999</v>
      </c>
      <c r="F18" s="431">
        <f>101.256-SUM(C18:E18)</f>
        <v>30.019000000000005</v>
      </c>
      <c r="G18" s="432">
        <f>SUM(C18:F18)</f>
        <v>101.256</v>
      </c>
      <c r="H18" s="428"/>
      <c r="I18" s="429">
        <f>33.827</f>
        <v>33.826999999999998</v>
      </c>
      <c r="J18" s="430">
        <f>35.616</f>
        <v>35.616</v>
      </c>
      <c r="K18" s="430">
        <f>39.365</f>
        <v>39.365000000000002</v>
      </c>
      <c r="L18" s="431">
        <f>148.014-SUM(I18:K18)</f>
        <v>39.206000000000017</v>
      </c>
      <c r="M18" s="432">
        <f>SUM(I18:L18)</f>
        <v>148.01400000000001</v>
      </c>
      <c r="N18" s="428"/>
      <c r="O18" s="429">
        <f>42.831</f>
        <v>42.831000000000003</v>
      </c>
      <c r="P18" s="430">
        <f>41.939</f>
        <v>41.939</v>
      </c>
      <c r="Q18" s="430">
        <f>42.096</f>
        <v>42.095999999999997</v>
      </c>
      <c r="R18" s="431">
        <f>176.337-SUM(O18:Q18)</f>
        <v>49.470999999999975</v>
      </c>
      <c r="S18" s="432">
        <f>SUM(O18:R18)</f>
        <v>176.33699999999999</v>
      </c>
      <c r="T18" s="428"/>
      <c r="U18" s="429">
        <f>50.278</f>
        <v>50.277999999999999</v>
      </c>
      <c r="V18" s="430">
        <f>53.135</f>
        <v>53.134999999999998</v>
      </c>
      <c r="W18" s="430">
        <f>55.006</f>
        <v>55.006</v>
      </c>
      <c r="X18" s="431">
        <f>220.454-SUM(U18:W18)</f>
        <v>62.035000000000025</v>
      </c>
      <c r="Y18" s="432">
        <f>SUM(U18:X18)</f>
        <v>220.45400000000001</v>
      </c>
      <c r="Z18" s="428"/>
      <c r="AA18" s="429">
        <f>65.661-0.688</f>
        <v>64.972999999999999</v>
      </c>
      <c r="AB18" s="430">
        <f>69.233-0.293-0.851</f>
        <v>68.088999999999999</v>
      </c>
      <c r="AC18" s="430">
        <f>66.031+0.279-0.152</f>
        <v>66.158000000000001</v>
      </c>
      <c r="AD18" s="431">
        <f>261.843+2.3-1.258-0.598-SUM(AA18:AC18)</f>
        <v>63.067000000000007</v>
      </c>
      <c r="AE18" s="441">
        <f t="shared" si="16"/>
        <v>262.28700000000003</v>
      </c>
      <c r="AF18" s="428"/>
      <c r="AG18" s="429">
        <f>67.969-2.36-0.152</f>
        <v>65.456999999999994</v>
      </c>
      <c r="AH18" s="430">
        <f>68.516-0.152+0.516</f>
        <v>68.88000000000001</v>
      </c>
      <c r="AI18" s="430">
        <f>69.791-0.742-0.152</f>
        <v>68.896999999999991</v>
      </c>
      <c r="AJ18" s="431">
        <f>79.715-3.146-0.932</f>
        <v>75.637</v>
      </c>
      <c r="AK18" s="441">
        <f t="shared" si="17"/>
        <v>278.87099999999998</v>
      </c>
      <c r="AL18" s="428"/>
      <c r="AM18" s="429">
        <f>85.074-2.929-1.581</f>
        <v>80.563999999999993</v>
      </c>
      <c r="AN18" s="430">
        <f>88.7-2.426-2.221</f>
        <v>84.052999999999997</v>
      </c>
      <c r="AO18" s="430">
        <f>95.617-3.59-2.337</f>
        <v>89.69</v>
      </c>
      <c r="AP18" s="431">
        <f>111.649-5.374-3.69</f>
        <v>102.58500000000001</v>
      </c>
      <c r="AQ18" s="441">
        <f t="shared" si="18"/>
        <v>356.892</v>
      </c>
      <c r="AR18" s="428"/>
      <c r="AS18" s="1402">
        <f>109.573-3.656-2.756</f>
        <v>103.16099999999999</v>
      </c>
      <c r="AT18" s="430">
        <f>114.649-0-1.962</f>
        <v>112.687</v>
      </c>
      <c r="AU18" s="430">
        <f>119.888-1.587</f>
        <v>118.301</v>
      </c>
      <c r="AV18" s="430">
        <f>122.173-1.587</f>
        <v>120.586</v>
      </c>
      <c r="AW18" s="441">
        <f t="shared" si="19"/>
        <v>454.73500000000001</v>
      </c>
      <c r="AX18" s="428"/>
      <c r="AY18" s="1402">
        <f>116.317-1.502</f>
        <v>114.815</v>
      </c>
      <c r="AZ18" s="430">
        <f>124.441-1.388</f>
        <v>123.053</v>
      </c>
      <c r="BA18" s="430">
        <f>136.648-1.606-0.205</f>
        <v>134.83699999999999</v>
      </c>
      <c r="BB18" s="430">
        <f>147.251-1.523-0.602</f>
        <v>145.126</v>
      </c>
      <c r="BC18" s="441">
        <f>SUM(AY18:BB18)</f>
        <v>517.83100000000002</v>
      </c>
      <c r="BD18" s="428"/>
      <c r="BE18" s="2511">
        <f>149.233-1.53-0.592-0.108</f>
        <v>147.00299999999999</v>
      </c>
      <c r="BF18" s="2353">
        <f>148.535-1.563-0.585</f>
        <v>146.387</v>
      </c>
      <c r="BG18" s="2353">
        <f>139.146-1.463-0.583</f>
        <v>137.1</v>
      </c>
      <c r="BH18" s="2353">
        <f>146.091-1.464+0.24</f>
        <v>144.86700000000002</v>
      </c>
      <c r="BI18" s="432">
        <f>SUM(BE18:BH18)</f>
        <v>575.35699999999997</v>
      </c>
      <c r="BJ18" s="428"/>
      <c r="BK18" s="2511">
        <f>163-10-2+1</f>
        <v>152</v>
      </c>
      <c r="BL18" s="2353">
        <v>166.6</v>
      </c>
      <c r="BM18" s="2353">
        <v>165.94</v>
      </c>
      <c r="BN18" s="2353">
        <v>172.24</v>
      </c>
      <c r="BO18" s="432">
        <f>SUM(BK18:BN18)</f>
        <v>656.78</v>
      </c>
      <c r="BP18" s="428"/>
      <c r="BQ18" s="2511">
        <f>183-3-1</f>
        <v>179</v>
      </c>
      <c r="BR18" s="428">
        <f>+BR9*BR53</f>
        <v>197.60804244751625</v>
      </c>
      <c r="BS18" s="428">
        <f>+BS9*BS53</f>
        <v>199.40497049897056</v>
      </c>
      <c r="BT18" s="433">
        <f>+BT9*BT53</f>
        <v>205.87794115697173</v>
      </c>
      <c r="BU18" s="441">
        <f>SUM(BQ18:BT18)</f>
        <v>781.89095410345851</v>
      </c>
      <c r="BV18" s="428"/>
      <c r="BW18" s="434">
        <f>+BW9*BW53</f>
        <v>200.62547436109625</v>
      </c>
      <c r="BX18" s="428">
        <f>+BX9*BX53</f>
        <v>216.68570903499079</v>
      </c>
      <c r="BY18" s="428">
        <f>+BY9*BY53</f>
        <v>217.42994884963096</v>
      </c>
      <c r="BZ18" s="433">
        <f>+BZ9*BZ53</f>
        <v>223.95002645261584</v>
      </c>
      <c r="CA18" s="441">
        <f>SUM(BW18:BZ18)</f>
        <v>858.69115869833377</v>
      </c>
      <c r="CB18" s="428"/>
      <c r="CC18" s="434">
        <f>+CC9*CC53</f>
        <v>221.96079326636078</v>
      </c>
      <c r="CD18" s="428">
        <f>+CD9*CD53</f>
        <v>237.94431507300948</v>
      </c>
      <c r="CE18" s="428">
        <f>+CE9*CE53</f>
        <v>238.68669274185407</v>
      </c>
      <c r="CF18" s="433">
        <f>+CF9*CF53</f>
        <v>246.17320293525637</v>
      </c>
      <c r="CG18" s="441">
        <f>SUM(CC18:CF18)</f>
        <v>944.76500401648059</v>
      </c>
      <c r="CH18" s="428"/>
      <c r="CI18" s="434">
        <f t="shared" ref="CI18:CL18" si="32">+CI9*CI53</f>
        <v>246.17945286496663</v>
      </c>
      <c r="CJ18" s="428">
        <f t="shared" si="32"/>
        <v>261.66255035408994</v>
      </c>
      <c r="CK18" s="428">
        <f t="shared" si="32"/>
        <v>262.32100020173186</v>
      </c>
      <c r="CL18" s="433">
        <f t="shared" si="32"/>
        <v>271.20259056295305</v>
      </c>
      <c r="CM18" s="441">
        <f t="shared" si="29"/>
        <v>1041.3655939837415</v>
      </c>
      <c r="CN18" s="428"/>
      <c r="CO18" s="434">
        <f t="shared" ref="CO18:CR18" si="33">+CO9*CO53</f>
        <v>271.86951893020199</v>
      </c>
      <c r="CP18" s="428">
        <f t="shared" si="33"/>
        <v>287.81890883445783</v>
      </c>
      <c r="CQ18" s="428">
        <f t="shared" si="33"/>
        <v>289.58026789543391</v>
      </c>
      <c r="CR18" s="433">
        <f t="shared" si="33"/>
        <v>299.72246106845239</v>
      </c>
      <c r="CS18" s="441">
        <f t="shared" si="31"/>
        <v>1148.9911567285462</v>
      </c>
      <c r="CT18" s="434"/>
      <c r="CU18" s="428"/>
      <c r="CV18" s="428"/>
      <c r="DC18" s="1895"/>
      <c r="DD18" s="921"/>
      <c r="DE18" s="921"/>
      <c r="DF18" s="921"/>
      <c r="DG18" s="1895"/>
      <c r="DH18" s="921"/>
      <c r="DI18" s="921"/>
      <c r="DJ18" s="921"/>
      <c r="DK18" s="921"/>
      <c r="DL18" s="921"/>
    </row>
    <row r="19" spans="1:131" ht="13.5" customHeight="1">
      <c r="A19" s="448" t="s">
        <v>179</v>
      </c>
      <c r="B19" s="446"/>
      <c r="C19" s="445">
        <f>C17+C18</f>
        <v>39.588999999999999</v>
      </c>
      <c r="D19" s="446">
        <f>D17+D18</f>
        <v>41.481000000000002</v>
      </c>
      <c r="E19" s="446">
        <f>E17+E18</f>
        <v>44.06</v>
      </c>
      <c r="F19" s="447">
        <f>F17+F18</f>
        <v>50.069000000000003</v>
      </c>
      <c r="G19" s="448">
        <f>G17+G18</f>
        <v>175.19900000000001</v>
      </c>
      <c r="H19" s="446"/>
      <c r="I19" s="445">
        <f>I17+I18</f>
        <v>54.390999999999998</v>
      </c>
      <c r="J19" s="446">
        <f>J17+J18</f>
        <v>59.108999999999995</v>
      </c>
      <c r="K19" s="446">
        <f>K17+K18</f>
        <v>66.317999999999998</v>
      </c>
      <c r="L19" s="447">
        <f>L17+L18</f>
        <v>66.628</v>
      </c>
      <c r="M19" s="448">
        <f>M17+M18</f>
        <v>246.446</v>
      </c>
      <c r="N19" s="446"/>
      <c r="O19" s="445">
        <f>O17+O18</f>
        <v>72.638000000000005</v>
      </c>
      <c r="P19" s="446">
        <f>P17+P18</f>
        <v>74.137</v>
      </c>
      <c r="Q19" s="446">
        <f>Q17+Q18</f>
        <v>75.582999999999998</v>
      </c>
      <c r="R19" s="447">
        <f>R17+R18</f>
        <v>88.919999999999987</v>
      </c>
      <c r="S19" s="448">
        <f>S17+S18</f>
        <v>311.27800000000002</v>
      </c>
      <c r="T19" s="446"/>
      <c r="U19" s="445">
        <f>U17+U18</f>
        <v>93.033999999999992</v>
      </c>
      <c r="V19" s="446">
        <f>V17+V18</f>
        <v>95.88300000000001</v>
      </c>
      <c r="W19" s="446">
        <f>W17+W18</f>
        <v>98.891000000000005</v>
      </c>
      <c r="X19" s="447">
        <f>X17+X18</f>
        <v>106.91800000000001</v>
      </c>
      <c r="Y19" s="448">
        <f>Y17+Y18</f>
        <v>394.726</v>
      </c>
      <c r="Z19" s="446"/>
      <c r="AA19" s="445">
        <f>AA17+AA18</f>
        <v>113.73699999999999</v>
      </c>
      <c r="AB19" s="446">
        <f>AB17+AB18</f>
        <v>117.035</v>
      </c>
      <c r="AC19" s="446">
        <f>AC17+AC18</f>
        <v>115.78200000000001</v>
      </c>
      <c r="AD19" s="447">
        <f>AD17+AD18</f>
        <v>107.84700000000001</v>
      </c>
      <c r="AE19" s="448">
        <f>AE17+AE18</f>
        <v>454.40100000000007</v>
      </c>
      <c r="AF19" s="446"/>
      <c r="AG19" s="445">
        <f>AG17+AG18</f>
        <v>113.56399999999999</v>
      </c>
      <c r="AH19" s="446">
        <f>AH17+AH18</f>
        <v>117.93300000000001</v>
      </c>
      <c r="AI19" s="446">
        <f>AI17+AI18</f>
        <v>122.19899999999998</v>
      </c>
      <c r="AJ19" s="447">
        <f>AJ17+AJ18</f>
        <v>131.34299999999999</v>
      </c>
      <c r="AK19" s="448">
        <f>AK17+AK18</f>
        <v>485.03899999999999</v>
      </c>
      <c r="AL19" s="446"/>
      <c r="AM19" s="445">
        <f>AM17+AM18</f>
        <v>141.52500000000001</v>
      </c>
      <c r="AN19" s="446">
        <f>AN17+AN18</f>
        <v>151.82499999999999</v>
      </c>
      <c r="AO19" s="446">
        <f>AO17+AO18</f>
        <v>160.54</v>
      </c>
      <c r="AP19" s="447">
        <f>AP17+AP18</f>
        <v>179.20100000000002</v>
      </c>
      <c r="AQ19" s="448">
        <f>AQ17+AQ18</f>
        <v>633.09100000000001</v>
      </c>
      <c r="AR19" s="446"/>
      <c r="AS19" s="445">
        <f>AS17+AS18</f>
        <v>180.11799999999999</v>
      </c>
      <c r="AT19" s="471">
        <f>AT17+AT18</f>
        <v>195.17599999999999</v>
      </c>
      <c r="AU19" s="471">
        <f>AU17+AU18</f>
        <v>202.887</v>
      </c>
      <c r="AV19" s="471">
        <f>AV17+AV18</f>
        <v>212.785</v>
      </c>
      <c r="AW19" s="448">
        <f>AW17+AW18</f>
        <v>790.96600000000001</v>
      </c>
      <c r="AX19" s="446"/>
      <c r="AY19" s="445">
        <f>AY17+AY18</f>
        <v>206.58699999999999</v>
      </c>
      <c r="AZ19" s="446">
        <f>AZ17+AZ18</f>
        <v>219.23500000000001</v>
      </c>
      <c r="BA19" s="446">
        <f>BA17+BA18</f>
        <v>234.01900000000001</v>
      </c>
      <c r="BB19" s="471">
        <f>BB17+BB18</f>
        <v>259.39</v>
      </c>
      <c r="BC19" s="448">
        <f>BC17+BC18</f>
        <v>919.23099999999999</v>
      </c>
      <c r="BD19" s="446"/>
      <c r="BE19" s="445">
        <f>BE17+BE18</f>
        <v>270.99699999999996</v>
      </c>
      <c r="BF19" s="446">
        <f>BF17+BF18</f>
        <v>270.86700000000002</v>
      </c>
      <c r="BG19" s="446">
        <f>BG17+BG18</f>
        <v>262.90899999999999</v>
      </c>
      <c r="BH19" s="471">
        <f>BH17+BH18</f>
        <v>274.79399999999998</v>
      </c>
      <c r="BI19" s="448">
        <f>BI17+BI18</f>
        <v>1079.567</v>
      </c>
      <c r="BJ19" s="446"/>
      <c r="BK19" s="445">
        <f>BK17+BK18</f>
        <v>292</v>
      </c>
      <c r="BL19" s="446">
        <f>BL17+BL18</f>
        <v>297</v>
      </c>
      <c r="BM19" s="446">
        <f>BM17+BM18</f>
        <v>299.68</v>
      </c>
      <c r="BN19" s="447">
        <f>BN17+BN18</f>
        <v>307.27999999999997</v>
      </c>
      <c r="BO19" s="448">
        <f>BO17+BO18</f>
        <v>1195.96</v>
      </c>
      <c r="BP19" s="446"/>
      <c r="BQ19" s="445">
        <f>BQ17+BQ18</f>
        <v>316</v>
      </c>
      <c r="BR19" s="446">
        <f>BR17+BR18</f>
        <v>355.69447640552926</v>
      </c>
      <c r="BS19" s="446">
        <f>BS17+BS18</f>
        <v>358.52610857390664</v>
      </c>
      <c r="BT19" s="447">
        <f>BT17+BT18</f>
        <v>369.73997595537782</v>
      </c>
      <c r="BU19" s="448">
        <f>BU17+BU18</f>
        <v>1399.9605609348137</v>
      </c>
      <c r="BV19" s="446"/>
      <c r="BW19" s="445">
        <f>BW17+BW18</f>
        <v>352.63624777845621</v>
      </c>
      <c r="BX19" s="446">
        <f>BX17+BX18</f>
        <v>389.86023151677057</v>
      </c>
      <c r="BY19" s="446">
        <f>BY17+BY18</f>
        <v>390.75645979872826</v>
      </c>
      <c r="BZ19" s="447">
        <f>BZ17+BZ18</f>
        <v>402.00865404199078</v>
      </c>
      <c r="CA19" s="448">
        <f>CA17+CA18</f>
        <v>1535.2615931359458</v>
      </c>
      <c r="CB19" s="446"/>
      <c r="CC19" s="445">
        <f>CC17+CC18</f>
        <v>388.44736864585411</v>
      </c>
      <c r="CD19" s="446">
        <f>CD17+CD18</f>
        <v>427.91598597807354</v>
      </c>
      <c r="CE19" s="446">
        <f>CE17+CE18</f>
        <v>428.76102443648733</v>
      </c>
      <c r="CF19" s="447">
        <f>CF17+CF18</f>
        <v>441.69348345585092</v>
      </c>
      <c r="CG19" s="448">
        <f>CG17+CG18</f>
        <v>1686.8178625162659</v>
      </c>
      <c r="CH19" s="446"/>
      <c r="CI19" s="445">
        <f t="shared" ref="CI19:CM19" si="34">CI17+CI18</f>
        <v>428.97393438691483</v>
      </c>
      <c r="CJ19" s="446">
        <f t="shared" si="34"/>
        <v>470.35697310613739</v>
      </c>
      <c r="CK19" s="446">
        <f t="shared" si="34"/>
        <v>470.99762408409117</v>
      </c>
      <c r="CL19" s="447">
        <f t="shared" si="34"/>
        <v>486.37158803438689</v>
      </c>
      <c r="CM19" s="448">
        <f t="shared" si="34"/>
        <v>1856.7001196115302</v>
      </c>
      <c r="CN19" s="446"/>
      <c r="CO19" s="445">
        <f t="shared" ref="CO19:CS19" si="35">CO17+CO18</f>
        <v>471.70543783462085</v>
      </c>
      <c r="CP19" s="446">
        <f t="shared" si="35"/>
        <v>517.13803945052996</v>
      </c>
      <c r="CQ19" s="446">
        <f t="shared" si="35"/>
        <v>519.69846846120993</v>
      </c>
      <c r="CR19" s="447">
        <f t="shared" si="35"/>
        <v>537.26183892768233</v>
      </c>
      <c r="CS19" s="448">
        <f t="shared" si="35"/>
        <v>2045.8037846740431</v>
      </c>
      <c r="CT19" s="2352"/>
      <c r="CU19" s="2019"/>
      <c r="CV19" s="455"/>
      <c r="DC19" s="1895"/>
      <c r="DD19" s="921"/>
      <c r="DE19" s="921"/>
      <c r="DF19" s="921"/>
      <c r="DG19" s="921"/>
      <c r="DH19" s="921"/>
      <c r="DI19" s="921"/>
      <c r="DJ19" s="921"/>
      <c r="DK19" s="921"/>
      <c r="DL19" s="921"/>
    </row>
    <row r="20" spans="1:131" collapsed="1">
      <c r="A20" s="1864" t="s">
        <v>365</v>
      </c>
      <c r="B20" s="413"/>
      <c r="C20" s="423">
        <f>+C16-C19</f>
        <v>8.257000000000005</v>
      </c>
      <c r="D20" s="412">
        <f>+D16-D19</f>
        <v>13.038999999999994</v>
      </c>
      <c r="E20" s="412">
        <f>+E16-E19</f>
        <v>16.372</v>
      </c>
      <c r="F20" s="436">
        <f>+F16-F19</f>
        <v>22.438000000000017</v>
      </c>
      <c r="G20" s="437">
        <f>+G16-G19</f>
        <v>60.106000000000023</v>
      </c>
      <c r="H20" s="412"/>
      <c r="I20" s="423">
        <f>+I16-I19</f>
        <v>21.389000000000003</v>
      </c>
      <c r="J20" s="412">
        <f>+J16-J19</f>
        <v>30.608999999999995</v>
      </c>
      <c r="K20" s="412">
        <f>+K16-K19</f>
        <v>29.511999999999986</v>
      </c>
      <c r="L20" s="436">
        <f>+L16-L19</f>
        <v>39.645000000000024</v>
      </c>
      <c r="M20" s="437">
        <f>+M16-M19</f>
        <v>121.155</v>
      </c>
      <c r="N20" s="412"/>
      <c r="O20" s="423">
        <f>+O16-O19</f>
        <v>39.097000000000008</v>
      </c>
      <c r="P20" s="412">
        <f>+P16-P19</f>
        <v>38.691000000000003</v>
      </c>
      <c r="Q20" s="412">
        <f>+Q16-Q19</f>
        <v>33.213000000000022</v>
      </c>
      <c r="R20" s="436">
        <f>+R16-R19</f>
        <v>38.275999999999982</v>
      </c>
      <c r="S20" s="437">
        <f>+S16-S19</f>
        <v>149.27700000000004</v>
      </c>
      <c r="T20" s="412"/>
      <c r="U20" s="423">
        <f>+U16-U19</f>
        <v>40.76400000000001</v>
      </c>
      <c r="V20" s="412">
        <f>+V16-V19</f>
        <v>51.802999999999997</v>
      </c>
      <c r="W20" s="412">
        <f>+W16-W19</f>
        <v>60.548999999999992</v>
      </c>
      <c r="X20" s="436">
        <f>+X16-X19</f>
        <v>61.502999999999986</v>
      </c>
      <c r="Y20" s="437">
        <f>+Y16-Y19</f>
        <v>214.61900000000003</v>
      </c>
      <c r="Z20" s="412"/>
      <c r="AA20" s="423">
        <f>+AA16-AA19</f>
        <v>77.288999999999987</v>
      </c>
      <c r="AB20" s="412">
        <f>+AB16-AB19</f>
        <v>79.355999999999995</v>
      </c>
      <c r="AC20" s="412">
        <f>+AC16-AC19</f>
        <v>44.367999999999995</v>
      </c>
      <c r="AD20" s="436">
        <f>+AD16-AD19</f>
        <v>65.774999999999949</v>
      </c>
      <c r="AE20" s="437">
        <f>+AE16-AE19</f>
        <v>266.78799999999978</v>
      </c>
      <c r="AF20" s="412"/>
      <c r="AG20" s="423">
        <f>+AG16-AG19</f>
        <v>72.712999999999994</v>
      </c>
      <c r="AH20" s="412">
        <f>+AH16-AH19</f>
        <v>78.903999999999954</v>
      </c>
      <c r="AI20" s="412">
        <f>+AI16-AI19</f>
        <v>77.262000000000029</v>
      </c>
      <c r="AJ20" s="436">
        <f>+AJ16-AJ19</f>
        <v>78.241000000000014</v>
      </c>
      <c r="AK20" s="437">
        <f>+AK16-AK19</f>
        <v>307.12000000000012</v>
      </c>
      <c r="AL20" s="412"/>
      <c r="AM20" s="423">
        <f>+AM16-AM19</f>
        <v>85.844000000000023</v>
      </c>
      <c r="AN20" s="412">
        <f>+AN16-AN19</f>
        <v>87.211000000000013</v>
      </c>
      <c r="AO20" s="412">
        <f>+AO16-AO19</f>
        <v>88.176000000000045</v>
      </c>
      <c r="AP20" s="436">
        <f>+AP16-AP19</f>
        <v>95.172000000000025</v>
      </c>
      <c r="AQ20" s="437">
        <f>+AQ16-AQ19</f>
        <v>356.40300000000013</v>
      </c>
      <c r="AR20" s="412"/>
      <c r="AS20" s="423">
        <f>+AS16-AS19</f>
        <v>113.55500000000001</v>
      </c>
      <c r="AT20" s="412">
        <f>+AT16-AT19</f>
        <v>119.726</v>
      </c>
      <c r="AU20" s="412">
        <f>+AU16-AU19</f>
        <v>145.91500000000002</v>
      </c>
      <c r="AV20" s="412">
        <f>+AV16-AV19</f>
        <v>154.52799999999999</v>
      </c>
      <c r="AW20" s="437">
        <f>+AW16-AW19</f>
        <v>533.72399999999959</v>
      </c>
      <c r="AX20" s="412"/>
      <c r="AY20" s="423">
        <f>+AY16-AY19</f>
        <v>179.82500000000005</v>
      </c>
      <c r="AZ20" s="412">
        <f>+AZ16-AZ19</f>
        <v>168.5139999999999</v>
      </c>
      <c r="BA20" s="412">
        <f>+BA16-BA19</f>
        <v>165.70799999999997</v>
      </c>
      <c r="BB20" s="412">
        <f>+BB16-BB19</f>
        <v>161.822</v>
      </c>
      <c r="BC20" s="437">
        <f>+BC16-BC19</f>
        <v>675.86899999999969</v>
      </c>
      <c r="BD20" s="412"/>
      <c r="BE20" s="423">
        <f>+BE16-BE19</f>
        <v>136.55300000000011</v>
      </c>
      <c r="BF20" s="412">
        <f>+BF16-BF19</f>
        <v>163.48700000000002</v>
      </c>
      <c r="BG20" s="412">
        <f>+BG16-BG19</f>
        <v>174.20100000000002</v>
      </c>
      <c r="BH20" s="412">
        <f>+BH16-BH19</f>
        <v>155.60400000000004</v>
      </c>
      <c r="BI20" s="437">
        <f>+BI16-BI19</f>
        <v>629.84500000000048</v>
      </c>
      <c r="BJ20" s="412"/>
      <c r="BK20" s="423">
        <f>+BK16-BK19</f>
        <v>105</v>
      </c>
      <c r="BL20" s="412">
        <f>+BL16-BL19</f>
        <v>146.69999999999999</v>
      </c>
      <c r="BM20" s="412">
        <f>+BM16-BM19</f>
        <v>191.62</v>
      </c>
      <c r="BN20" s="436">
        <f>+BN16-BN19</f>
        <v>244.12000000000012</v>
      </c>
      <c r="BO20" s="437">
        <f>+BO16-BO19</f>
        <v>687.44000000000028</v>
      </c>
      <c r="BP20" s="412"/>
      <c r="BQ20" s="423">
        <f>+BQ16-BQ19</f>
        <v>230</v>
      </c>
      <c r="BR20" s="412">
        <f>+BR16-BR19</f>
        <v>187.93275572115658</v>
      </c>
      <c r="BS20" s="412">
        <f>+BS16-BS19</f>
        <v>195.84441653084184</v>
      </c>
      <c r="BT20" s="436">
        <f>+BT16-BT19</f>
        <v>208.58529242155095</v>
      </c>
      <c r="BU20" s="437">
        <f>+BU16-BU19</f>
        <v>822.36246467354977</v>
      </c>
      <c r="BV20" s="412"/>
      <c r="BW20" s="423">
        <f>+BW16-BW19</f>
        <v>252.09286495413642</v>
      </c>
      <c r="BX20" s="412">
        <f>+BX16-BX19</f>
        <v>203.92126569826451</v>
      </c>
      <c r="BY20" s="412">
        <f>+BY16-BY19</f>
        <v>211.926350607139</v>
      </c>
      <c r="BZ20" s="436">
        <f>+BZ16-BZ19</f>
        <v>224.68861136164696</v>
      </c>
      <c r="CA20" s="437">
        <f>+CA16-CA19</f>
        <v>892.62909262118751</v>
      </c>
      <c r="CB20" s="412"/>
      <c r="CC20" s="423">
        <f>+CC16-CC19</f>
        <v>275.03727002790799</v>
      </c>
      <c r="CD20" s="412">
        <f>+CD16-CD19</f>
        <v>222.80515168357977</v>
      </c>
      <c r="CE20" s="412">
        <f>+CE16-CE19</f>
        <v>231.66803053737885</v>
      </c>
      <c r="CF20" s="436">
        <f>+CF16-CF19</f>
        <v>245.77820689869918</v>
      </c>
      <c r="CG20" s="437">
        <f>+CG16-CG19</f>
        <v>975.2886591475658</v>
      </c>
      <c r="CH20" s="412"/>
      <c r="CI20" s="423">
        <f t="shared" ref="CI20:CM20" si="36">+CI16-CI19</f>
        <v>300.32697336696424</v>
      </c>
      <c r="CJ20" s="412">
        <f t="shared" si="36"/>
        <v>243.62167774259967</v>
      </c>
      <c r="CK20" s="412">
        <f t="shared" si="36"/>
        <v>253.24751475872301</v>
      </c>
      <c r="CL20" s="436">
        <f t="shared" si="36"/>
        <v>269.3194797906952</v>
      </c>
      <c r="CM20" s="437">
        <f t="shared" si="36"/>
        <v>1066.5156456589825</v>
      </c>
      <c r="CN20" s="412"/>
      <c r="CO20" s="423">
        <f t="shared" ref="CO20:CS20" si="37">+CO16-CO19</f>
        <v>327.85714141024164</v>
      </c>
      <c r="CP20" s="412">
        <f t="shared" si="37"/>
        <v>268.78692321603125</v>
      </c>
      <c r="CQ20" s="412">
        <f t="shared" si="37"/>
        <v>280.65815280451329</v>
      </c>
      <c r="CR20" s="436">
        <f t="shared" si="37"/>
        <v>298.65527028737665</v>
      </c>
      <c r="CS20" s="437">
        <f t="shared" si="37"/>
        <v>1175.9574877181626</v>
      </c>
      <c r="CT20" s="925"/>
      <c r="CU20" s="573"/>
      <c r="CV20" s="573"/>
      <c r="DC20" s="400"/>
      <c r="DD20" s="400"/>
      <c r="DE20" s="400"/>
      <c r="DF20" s="400"/>
      <c r="DG20" s="400"/>
      <c r="DH20" s="400"/>
      <c r="DI20" s="400"/>
      <c r="DJ20" s="400"/>
      <c r="DK20" s="400"/>
      <c r="DL20" s="400"/>
      <c r="DM20" s="2361"/>
      <c r="DN20" s="2361"/>
      <c r="DO20" s="2361"/>
      <c r="DP20" s="2361"/>
      <c r="DQ20" s="2361"/>
      <c r="DR20" s="2361"/>
      <c r="DS20" s="2361"/>
      <c r="DT20" s="2361"/>
      <c r="DU20" s="2361"/>
      <c r="DV20" s="2361"/>
      <c r="DW20" s="2361"/>
      <c r="DX20" s="2361"/>
      <c r="DY20" s="2361"/>
      <c r="DZ20" s="2361"/>
      <c r="EA20" s="2361"/>
    </row>
    <row r="21" spans="1:131" ht="11.25" hidden="1" customHeight="1" outlineLevel="1">
      <c r="A21" s="1863" t="s">
        <v>349</v>
      </c>
      <c r="B21" s="428"/>
      <c r="C21" s="450">
        <f>CFS!C11</f>
        <v>2.5939999999999999</v>
      </c>
      <c r="D21" s="451">
        <f>CFS!D11</f>
        <v>2.8439999999999999</v>
      </c>
      <c r="E21" s="451">
        <f>CFS!E11</f>
        <v>2.7390000000000003</v>
      </c>
      <c r="F21" s="452">
        <f>CFS!F11</f>
        <v>3.2870000000000008</v>
      </c>
      <c r="G21" s="432">
        <f>SUM(C21:F21)</f>
        <v>11.464</v>
      </c>
      <c r="H21" s="428"/>
      <c r="I21" s="450">
        <f>CFS!I11</f>
        <v>3.7770000000000001</v>
      </c>
      <c r="J21" s="451">
        <f>CFS!J11</f>
        <v>3.9530000000000003</v>
      </c>
      <c r="K21" s="451">
        <f>CFS!K11</f>
        <v>4.476</v>
      </c>
      <c r="L21" s="452">
        <f>CFS!L11</f>
        <v>5.0790000000000006</v>
      </c>
      <c r="M21" s="432">
        <f>SUM(I21:L21)</f>
        <v>17.285</v>
      </c>
      <c r="N21" s="428"/>
      <c r="O21" s="450">
        <f>CFS!O11</f>
        <v>5.6040000000000001</v>
      </c>
      <c r="P21" s="451">
        <f>CFS!P11</f>
        <v>6.1079999999999997</v>
      </c>
      <c r="Q21" s="451">
        <f>CFS!Q11</f>
        <v>6.5469999999999997</v>
      </c>
      <c r="R21" s="452">
        <f>CFS!R11</f>
        <v>6.245000000000001</v>
      </c>
      <c r="S21" s="432">
        <f>SUM(O21:R21)</f>
        <v>24.504000000000001</v>
      </c>
      <c r="T21" s="428"/>
      <c r="U21" s="450">
        <f>CFS!U11</f>
        <v>7.391</v>
      </c>
      <c r="V21" s="451">
        <f>CFS!V11</f>
        <v>8.4130000000000003</v>
      </c>
      <c r="W21" s="451">
        <f>CFS!W11</f>
        <v>8.8070000000000004</v>
      </c>
      <c r="X21" s="452">
        <f>CFS!X11</f>
        <v>9.593</v>
      </c>
      <c r="Y21" s="432">
        <f>SUM(U21:X21)</f>
        <v>34.204000000000001</v>
      </c>
      <c r="Z21" s="428"/>
      <c r="AA21" s="450">
        <f>CFS!AA11</f>
        <v>12.829000000000001</v>
      </c>
      <c r="AB21" s="451">
        <f>CFS!AB11</f>
        <v>13.16</v>
      </c>
      <c r="AC21" s="451">
        <f>CFS!AC11</f>
        <v>14.313999999999997</v>
      </c>
      <c r="AD21" s="452">
        <f>CFS!AD11</f>
        <v>15.272000000000006</v>
      </c>
      <c r="AE21" s="432">
        <f>SUM(AA21:AD21)</f>
        <v>55.575000000000003</v>
      </c>
      <c r="AF21" s="428"/>
      <c r="AG21" s="450">
        <f>CFS!AG11</f>
        <v>11.959</v>
      </c>
      <c r="AH21" s="451">
        <f>CFS!AH11</f>
        <v>11.518000000000001</v>
      </c>
      <c r="AI21" s="451">
        <f>CFS!AI11</f>
        <v>12.087</v>
      </c>
      <c r="AJ21" s="452">
        <f>CFS!AJ11</f>
        <v>12.685000000000002</v>
      </c>
      <c r="AK21" s="432">
        <f>SUM(AG21:AJ21)</f>
        <v>48.249000000000002</v>
      </c>
      <c r="AL21" s="428"/>
      <c r="AM21" s="450">
        <f>CFS!AM11</f>
        <v>11.759</v>
      </c>
      <c r="AN21" s="451">
        <f>CFS!AN11</f>
        <v>11.959</v>
      </c>
      <c r="AO21" s="451">
        <f>CFS!AO11</f>
        <v>13.363000000000003</v>
      </c>
      <c r="AP21" s="452">
        <f>CFS!AP11</f>
        <v>13.728999999999999</v>
      </c>
      <c r="AQ21" s="432">
        <f>SUM(AM21:AP21)</f>
        <v>50.81</v>
      </c>
      <c r="AR21" s="428"/>
      <c r="AS21" s="450">
        <f>CFS!AS11</f>
        <v>14.593</v>
      </c>
      <c r="AT21" s="451">
        <f>CFS!AT11</f>
        <v>15.391999999999999</v>
      </c>
      <c r="AU21" s="451">
        <f>CFS!AU11</f>
        <v>14.798000000000002</v>
      </c>
      <c r="AV21" s="451">
        <f>CFS!AV11</f>
        <v>17.122</v>
      </c>
      <c r="AW21" s="432">
        <f>SUM(AS21:AV21)</f>
        <v>61.905000000000001</v>
      </c>
      <c r="AX21" s="428"/>
      <c r="AY21" s="450">
        <f>CFS!AY11</f>
        <v>16.754000000000001</v>
      </c>
      <c r="AZ21" s="451">
        <f>CFS!AZ11</f>
        <v>17.45</v>
      </c>
      <c r="BA21" s="451">
        <f>CFS!BA11</f>
        <v>18.57</v>
      </c>
      <c r="BB21" s="451">
        <f>CFS!BB11</f>
        <v>19.912999999999997</v>
      </c>
      <c r="BC21" s="432">
        <f>SUM(AY21:BB21)</f>
        <v>72.686999999999998</v>
      </c>
      <c r="BD21" s="428"/>
      <c r="BE21" s="450">
        <f>CFS!BE11</f>
        <v>20.673999999999999</v>
      </c>
      <c r="BF21" s="451">
        <f>CFS!BF11</f>
        <v>21.755000000000003</v>
      </c>
      <c r="BG21" s="451">
        <f>CFS!BG11</f>
        <v>23.004000000000005</v>
      </c>
      <c r="BH21" s="451">
        <f>CFS!BH11</f>
        <v>24.521999999999991</v>
      </c>
      <c r="BI21" s="432">
        <f>SUM(BE21:BH21)</f>
        <v>89.954999999999998</v>
      </c>
      <c r="BJ21" s="428"/>
      <c r="BK21" s="450">
        <f>CFS!BK11</f>
        <v>26</v>
      </c>
      <c r="BL21" s="451">
        <f>CFS!BL11</f>
        <v>26</v>
      </c>
      <c r="BM21" s="451">
        <f>CFS!BM11</f>
        <v>29</v>
      </c>
      <c r="BN21" s="452">
        <f>CFS!BN11</f>
        <v>29</v>
      </c>
      <c r="BO21" s="432">
        <f>SUM(BK21:BN21)</f>
        <v>110</v>
      </c>
      <c r="BP21" s="428"/>
      <c r="BQ21" s="450">
        <f>CFS!BQ11</f>
        <v>30.438000000000002</v>
      </c>
      <c r="BR21" s="451">
        <f>CFS!BR11</f>
        <v>32.588500000000003</v>
      </c>
      <c r="BS21" s="451">
        <f>CFS!BS11</f>
        <v>34.76218846692268</v>
      </c>
      <c r="BT21" s="452">
        <f>CFS!BT11</f>
        <v>36.977799250244573</v>
      </c>
      <c r="BU21" s="432">
        <f>SUM(BQ21:BT21)</f>
        <v>134.76648771716725</v>
      </c>
      <c r="BV21" s="428"/>
      <c r="BW21" s="450">
        <f>CFS!BW11</f>
        <v>39.288674099965689</v>
      </c>
      <c r="BX21" s="451">
        <f>CFS!BX11</f>
        <v>41.688497678597237</v>
      </c>
      <c r="BY21" s="451">
        <f>CFS!BY11</f>
        <v>44.081612939023842</v>
      </c>
      <c r="BZ21" s="452">
        <f>CFS!BZ11</f>
        <v>46.507302023553194</v>
      </c>
      <c r="CA21" s="432">
        <f>SUM(BW21:BZ21)</f>
        <v>171.56608674113997</v>
      </c>
      <c r="CB21" s="428"/>
      <c r="CC21" s="450">
        <f>CFS!CC11</f>
        <v>49.031328961031448</v>
      </c>
      <c r="CD21" s="451">
        <f>CFS!CD11</f>
        <v>51.674860816325463</v>
      </c>
      <c r="CE21" s="451">
        <f>CFS!CE11</f>
        <v>54.313356245562467</v>
      </c>
      <c r="CF21" s="452">
        <f>CFS!CF11</f>
        <v>56.98703610315961</v>
      </c>
      <c r="CG21" s="432">
        <f>SUM(CC21:CF21)</f>
        <v>212.00658212607897</v>
      </c>
      <c r="CH21" s="428"/>
      <c r="CI21" s="450">
        <f>CFS!CI11</f>
        <v>59.772946835966017</v>
      </c>
      <c r="CJ21" s="451">
        <f>CFS!CJ11</f>
        <v>62.692277360963047</v>
      </c>
      <c r="CK21" s="451">
        <f>CFS!CK11</f>
        <v>65.605524379075391</v>
      </c>
      <c r="CL21" s="452">
        <f>CFS!CL11</f>
        <v>68.555965076640874</v>
      </c>
      <c r="CM21" s="432">
        <f t="shared" ref="CM21:CM22" si="38">SUM(CI21:CL21)</f>
        <v>256.62671365264532</v>
      </c>
      <c r="CN21" s="428"/>
      <c r="CO21" s="450">
        <f>CFS!CO11</f>
        <v>71.63781269667443</v>
      </c>
      <c r="CP21" s="451">
        <f>CFS!CP11</f>
        <v>74.847947329786308</v>
      </c>
      <c r="CQ21" s="451">
        <f>CFS!CQ11</f>
        <v>78.065435131797528</v>
      </c>
      <c r="CR21" s="452">
        <f>CFS!CR11</f>
        <v>81.335848834928697</v>
      </c>
      <c r="CS21" s="432">
        <f t="shared" ref="CS21:CS22" si="39">SUM(CO21:CR21)</f>
        <v>305.88704399318698</v>
      </c>
      <c r="CT21" s="434"/>
      <c r="CU21" s="428"/>
      <c r="CV21" s="428"/>
      <c r="DC21" s="400"/>
      <c r="DD21" s="400"/>
      <c r="DE21" s="400"/>
      <c r="DF21" s="400"/>
      <c r="DG21" s="400"/>
      <c r="DH21" s="400"/>
      <c r="DI21" s="400"/>
      <c r="DJ21" s="400"/>
      <c r="DK21" s="400"/>
      <c r="DL21" s="400"/>
      <c r="DM21" s="2361"/>
      <c r="DN21" s="2361"/>
      <c r="DO21" s="2361"/>
      <c r="DP21" s="2361"/>
      <c r="DQ21" s="2361"/>
      <c r="DR21" s="2361"/>
      <c r="DS21" s="2361"/>
      <c r="DT21" s="2361"/>
      <c r="DU21" s="2361"/>
      <c r="DV21" s="2361"/>
      <c r="DW21" s="2361"/>
      <c r="DX21" s="2361"/>
      <c r="DY21" s="2361"/>
      <c r="DZ21" s="2361"/>
      <c r="EA21" s="2361"/>
    </row>
    <row r="22" spans="1:131" ht="11.25" hidden="1" customHeight="1" outlineLevel="1">
      <c r="A22" s="1863" t="s">
        <v>180</v>
      </c>
      <c r="B22" s="428"/>
      <c r="C22" s="450">
        <f>CFS!C12</f>
        <v>0.442</v>
      </c>
      <c r="D22" s="451">
        <f>CFS!D12</f>
        <v>0.68399999999999994</v>
      </c>
      <c r="E22" s="451">
        <f>CFS!E12</f>
        <v>0.67700000000000005</v>
      </c>
      <c r="F22" s="452">
        <f>CFS!F12</f>
        <v>0.62599999999999989</v>
      </c>
      <c r="G22" s="432">
        <f>SUM(C22:F22)</f>
        <v>2.4289999999999998</v>
      </c>
      <c r="H22" s="428"/>
      <c r="I22" s="450">
        <f>CFS!I12</f>
        <v>2.415</v>
      </c>
      <c r="J22" s="451">
        <f>CFS!J12</f>
        <v>2.6689999999999996</v>
      </c>
      <c r="K22" s="451">
        <f>CFS!K12</f>
        <v>2.7010000000000005</v>
      </c>
      <c r="L22" s="452">
        <f>CFS!L12</f>
        <v>2.6530000000000005</v>
      </c>
      <c r="M22" s="432">
        <f>SUM(I22:L22)</f>
        <v>10.438000000000001</v>
      </c>
      <c r="N22" s="428"/>
      <c r="O22" s="450">
        <f>CFS!O12</f>
        <v>1.67</v>
      </c>
      <c r="P22" s="451">
        <f>CFS!P12</f>
        <v>1.67</v>
      </c>
      <c r="Q22" s="451">
        <f>CFS!Q12</f>
        <v>1.67</v>
      </c>
      <c r="R22" s="452">
        <f>CFS!R12</f>
        <v>1.67</v>
      </c>
      <c r="S22" s="432">
        <f>SUM(O22:R22)</f>
        <v>6.68</v>
      </c>
      <c r="T22" s="428"/>
      <c r="U22" s="450">
        <f>CFS!U12</f>
        <v>1.62</v>
      </c>
      <c r="V22" s="451">
        <f>CFS!V12</f>
        <v>1.5949999999999998</v>
      </c>
      <c r="W22" s="451">
        <f>CFS!W12</f>
        <v>2.2949999999999999</v>
      </c>
      <c r="X22" s="452">
        <f>CFS!X12</f>
        <v>2.2949999999999999</v>
      </c>
      <c r="Y22" s="432">
        <f>SUM(U22:X22)</f>
        <v>7.8049999999999997</v>
      </c>
      <c r="Z22" s="428"/>
      <c r="AA22" s="450">
        <f>CFS!AA12</f>
        <v>2.9849999999999999</v>
      </c>
      <c r="AB22" s="451">
        <f>CFS!AB12</f>
        <v>3.3279999999999998</v>
      </c>
      <c r="AC22" s="451">
        <f>CFS!AC12</f>
        <v>3.1879999999999997</v>
      </c>
      <c r="AD22" s="452">
        <f>CFS!AD12</f>
        <v>3.1880000000000006</v>
      </c>
      <c r="AE22" s="432">
        <f>SUM(AA22:AD22)</f>
        <v>12.689</v>
      </c>
      <c r="AF22" s="428"/>
      <c r="AG22" s="450">
        <f>CFS!AG12</f>
        <v>3.1949999999999998</v>
      </c>
      <c r="AH22" s="451">
        <f>CFS!AH12</f>
        <v>3.1949999999999998</v>
      </c>
      <c r="AI22" s="451">
        <f>CFS!AI12</f>
        <v>3.7400000000000007</v>
      </c>
      <c r="AJ22" s="452">
        <f>CFS!AJ12</f>
        <v>5.4109999999999996</v>
      </c>
      <c r="AK22" s="432">
        <f>SUM(AG22:AJ22)</f>
        <v>15.541</v>
      </c>
      <c r="AL22" s="428"/>
      <c r="AM22" s="450">
        <f>CFS!AM12</f>
        <v>8.7720000000000002</v>
      </c>
      <c r="AN22" s="451">
        <f>CFS!AN12</f>
        <v>11.389999999999999</v>
      </c>
      <c r="AO22" s="451">
        <f>CFS!AO12</f>
        <v>13.515000000000002</v>
      </c>
      <c r="AP22" s="452">
        <f>CFS!AP12</f>
        <v>13.438000000000002</v>
      </c>
      <c r="AQ22" s="432">
        <f>SUM(AM22:AP22)</f>
        <v>47.115000000000002</v>
      </c>
      <c r="AR22" s="428"/>
      <c r="AS22" s="450">
        <f>CFS!AS12</f>
        <v>13.814</v>
      </c>
      <c r="AT22" s="451">
        <f>CFS!AT12</f>
        <v>12.134</v>
      </c>
      <c r="AU22" s="451">
        <f>CFS!AU12</f>
        <v>11.890999999999998</v>
      </c>
      <c r="AV22" s="451">
        <f>CFS!AV12</f>
        <v>12.829999999999998</v>
      </c>
      <c r="AW22" s="432">
        <f>SUM(AS22:AV22)</f>
        <v>50.668999999999997</v>
      </c>
      <c r="AX22" s="428"/>
      <c r="AY22" s="450">
        <f>CFS!AY12</f>
        <v>13.348000000000001</v>
      </c>
      <c r="AZ22" s="451">
        <f>CFS!AZ12</f>
        <v>13.249999999999998</v>
      </c>
      <c r="BA22" s="451">
        <f>CFS!BA12</f>
        <v>14.286000000000001</v>
      </c>
      <c r="BB22" s="451">
        <f>CFS!BB12</f>
        <v>12.847999999999999</v>
      </c>
      <c r="BC22" s="432">
        <f>SUM(AY22:BB22)</f>
        <v>53.731999999999999</v>
      </c>
      <c r="BD22" s="428"/>
      <c r="BE22" s="450">
        <f>CFS!BE12</f>
        <v>12.545</v>
      </c>
      <c r="BF22" s="451">
        <f>CFS!BF12</f>
        <v>12.598000000000001</v>
      </c>
      <c r="BG22" s="451">
        <f>CFS!BG12</f>
        <v>12.908000000000001</v>
      </c>
      <c r="BH22" s="451">
        <f>CFS!BH12</f>
        <v>12.908999999999999</v>
      </c>
      <c r="BI22" s="432">
        <f>SUM(BE22:BH22)</f>
        <v>50.96</v>
      </c>
      <c r="BJ22" s="428"/>
      <c r="BK22" s="450">
        <f>CFS!BK12</f>
        <v>12</v>
      </c>
      <c r="BL22" s="451">
        <f>CFS!BL12</f>
        <v>12</v>
      </c>
      <c r="BM22" s="451">
        <f>CFS!BM12</f>
        <v>12</v>
      </c>
      <c r="BN22" s="452">
        <f>CFS!BN12</f>
        <v>10</v>
      </c>
      <c r="BO22" s="432">
        <f>SUM(BK22:BN22)</f>
        <v>46</v>
      </c>
      <c r="BP22" s="428"/>
      <c r="BQ22" s="450">
        <f>CFS!BQ12</f>
        <v>10</v>
      </c>
      <c r="BR22" s="451">
        <f>CFS!BR12</f>
        <v>10</v>
      </c>
      <c r="BS22" s="451">
        <f>CFS!BS12</f>
        <v>10</v>
      </c>
      <c r="BT22" s="452">
        <f>CFS!BT12</f>
        <v>10</v>
      </c>
      <c r="BU22" s="432">
        <f>SUM(BQ22:BT22)</f>
        <v>40</v>
      </c>
      <c r="BV22" s="428"/>
      <c r="BW22" s="450">
        <f>CFS!BW12</f>
        <v>10</v>
      </c>
      <c r="BX22" s="451">
        <f>CFS!BX12</f>
        <v>10</v>
      </c>
      <c r="BY22" s="451">
        <f>CFS!BY12</f>
        <v>10</v>
      </c>
      <c r="BZ22" s="452">
        <f>CFS!BZ12</f>
        <v>10</v>
      </c>
      <c r="CA22" s="432">
        <f>SUM(BW22:BZ22)</f>
        <v>40</v>
      </c>
      <c r="CB22" s="428"/>
      <c r="CC22" s="450">
        <f>CFS!CC12</f>
        <v>10</v>
      </c>
      <c r="CD22" s="451">
        <f>CFS!CD12</f>
        <v>10</v>
      </c>
      <c r="CE22" s="451">
        <f>CFS!CE12</f>
        <v>10</v>
      </c>
      <c r="CF22" s="452">
        <f>CFS!CF12</f>
        <v>10</v>
      </c>
      <c r="CG22" s="432">
        <f>SUM(CC22:CF22)</f>
        <v>40</v>
      </c>
      <c r="CH22" s="428"/>
      <c r="CI22" s="450">
        <f>CFS!CI12</f>
        <v>7.5</v>
      </c>
      <c r="CJ22" s="451">
        <f>CFS!CJ12</f>
        <v>7.5</v>
      </c>
      <c r="CK22" s="451">
        <f>CFS!CK12</f>
        <v>7.5</v>
      </c>
      <c r="CL22" s="452">
        <f>CFS!CL12</f>
        <v>7.5</v>
      </c>
      <c r="CM22" s="432">
        <f t="shared" si="38"/>
        <v>30</v>
      </c>
      <c r="CN22" s="428"/>
      <c r="CO22" s="450">
        <f>CFS!CO12</f>
        <v>5</v>
      </c>
      <c r="CP22" s="451">
        <f>CFS!CP12</f>
        <v>5</v>
      </c>
      <c r="CQ22" s="451">
        <f>CFS!CQ12</f>
        <v>5</v>
      </c>
      <c r="CR22" s="452">
        <f>CFS!CR12</f>
        <v>5</v>
      </c>
      <c r="CS22" s="432">
        <f t="shared" si="39"/>
        <v>20</v>
      </c>
      <c r="CT22" s="434"/>
      <c r="CU22" s="428"/>
      <c r="CV22" s="428"/>
      <c r="DC22" s="400"/>
      <c r="DD22" s="400"/>
      <c r="DE22" s="400"/>
      <c r="DF22" s="400"/>
      <c r="DG22" s="400"/>
      <c r="DH22" s="400"/>
      <c r="DI22" s="400"/>
      <c r="DJ22" s="400"/>
      <c r="DK22" s="400"/>
      <c r="DL22" s="400"/>
      <c r="DM22" s="2361"/>
      <c r="DN22" s="2361"/>
      <c r="DO22" s="2361"/>
      <c r="DP22" s="2361"/>
      <c r="DQ22" s="2361"/>
      <c r="DR22" s="2361"/>
      <c r="DS22" s="2361"/>
      <c r="DT22" s="2361"/>
      <c r="DU22" s="2361"/>
      <c r="DV22" s="2361"/>
      <c r="DW22" s="2361"/>
      <c r="DX22" s="2361"/>
      <c r="DY22" s="2361"/>
      <c r="DZ22" s="2361"/>
      <c r="EA22" s="2361"/>
    </row>
    <row r="23" spans="1:131" ht="11.25" hidden="1" customHeight="1" outlineLevel="1">
      <c r="A23" s="1865" t="s">
        <v>221</v>
      </c>
      <c r="B23" s="428"/>
      <c r="C23" s="434">
        <f>SUM(C21:C22)</f>
        <v>3.036</v>
      </c>
      <c r="D23" s="428">
        <f>SUM(D21:D22)</f>
        <v>3.5279999999999996</v>
      </c>
      <c r="E23" s="428">
        <f>SUM(E21:E22)</f>
        <v>3.4160000000000004</v>
      </c>
      <c r="F23" s="433">
        <f>SUM(F21:F22)</f>
        <v>3.9130000000000007</v>
      </c>
      <c r="G23" s="432">
        <f>SUM(G21:G22)</f>
        <v>13.893000000000001</v>
      </c>
      <c r="H23" s="428"/>
      <c r="I23" s="434">
        <f>SUM(I21:I22)</f>
        <v>6.1920000000000002</v>
      </c>
      <c r="J23" s="428">
        <f>SUM(J21:J22)</f>
        <v>6.6219999999999999</v>
      </c>
      <c r="K23" s="428">
        <f>SUM(K21:K22)</f>
        <v>7.1770000000000005</v>
      </c>
      <c r="L23" s="433">
        <f>SUM(L21:L22)</f>
        <v>7.7320000000000011</v>
      </c>
      <c r="M23" s="432">
        <f>SUM(M21:M22)</f>
        <v>27.722999999999999</v>
      </c>
      <c r="N23" s="428"/>
      <c r="O23" s="434">
        <f>SUM(O21:O22)</f>
        <v>7.274</v>
      </c>
      <c r="P23" s="428">
        <f>SUM(P21:P22)</f>
        <v>7.7779999999999996</v>
      </c>
      <c r="Q23" s="428">
        <f>SUM(Q21:Q22)</f>
        <v>8.2169999999999987</v>
      </c>
      <c r="R23" s="433">
        <f>SUM(R21:R22)</f>
        <v>7.9150000000000009</v>
      </c>
      <c r="S23" s="432">
        <f>SUM(S21:S22)</f>
        <v>31.184000000000001</v>
      </c>
      <c r="T23" s="428"/>
      <c r="U23" s="434">
        <f>SUM(U21:U22)</f>
        <v>9.0109999999999992</v>
      </c>
      <c r="V23" s="428">
        <f>SUM(V21:V22)</f>
        <v>10.007999999999999</v>
      </c>
      <c r="W23" s="428">
        <f>SUM(W21:W22)</f>
        <v>11.102</v>
      </c>
      <c r="X23" s="433">
        <f>SUM(X21:X22)</f>
        <v>11.888</v>
      </c>
      <c r="Y23" s="432">
        <f>SUM(Y21:Y22)</f>
        <v>42.009</v>
      </c>
      <c r="Z23" s="428"/>
      <c r="AA23" s="434">
        <f>SUM(AA21:AA22)</f>
        <v>15.814</v>
      </c>
      <c r="AB23" s="428">
        <f>SUM(AB21:AB22)</f>
        <v>16.488</v>
      </c>
      <c r="AC23" s="428">
        <f>SUM(AC21:AC22)</f>
        <v>17.501999999999995</v>
      </c>
      <c r="AD23" s="433">
        <f>SUM(AD21:AD22)</f>
        <v>18.460000000000008</v>
      </c>
      <c r="AE23" s="432">
        <f>SUM(AE21:AE22)</f>
        <v>68.26400000000001</v>
      </c>
      <c r="AF23" s="428"/>
      <c r="AG23" s="434">
        <f>SUM(AG21:AG22)</f>
        <v>15.154</v>
      </c>
      <c r="AH23" s="428">
        <f>SUM(AH21:AH22)</f>
        <v>14.713000000000001</v>
      </c>
      <c r="AI23" s="428">
        <f>SUM(AI21:AI22)</f>
        <v>15.827</v>
      </c>
      <c r="AJ23" s="433">
        <f>SUM(AJ21:AJ22)</f>
        <v>18.096000000000004</v>
      </c>
      <c r="AK23" s="432">
        <f>SUM(AK21:AK22)</f>
        <v>63.790000000000006</v>
      </c>
      <c r="AL23" s="428"/>
      <c r="AM23" s="434">
        <f>SUM(AM21:AM22)</f>
        <v>20.530999999999999</v>
      </c>
      <c r="AN23" s="428">
        <f>SUM(AN21:AN22)</f>
        <v>23.348999999999997</v>
      </c>
      <c r="AO23" s="428">
        <f>SUM(AO21:AO22)</f>
        <v>26.878000000000007</v>
      </c>
      <c r="AP23" s="433">
        <f>SUM(AP21:AP22)</f>
        <v>27.167000000000002</v>
      </c>
      <c r="AQ23" s="432">
        <f>SUM(AQ21:AQ22)</f>
        <v>97.925000000000011</v>
      </c>
      <c r="AR23" s="428"/>
      <c r="AS23" s="434">
        <f>SUM(AS21:AS22)</f>
        <v>28.407</v>
      </c>
      <c r="AT23" s="428">
        <f>SUM(AT21:AT22)</f>
        <v>27.526</v>
      </c>
      <c r="AU23" s="428">
        <f>SUM(AU21:AU22)</f>
        <v>26.689</v>
      </c>
      <c r="AV23" s="428">
        <f>SUM(AV21:AV22)</f>
        <v>29.951999999999998</v>
      </c>
      <c r="AW23" s="432">
        <f>SUM(AW21:AW22)</f>
        <v>112.574</v>
      </c>
      <c r="AX23" s="428"/>
      <c r="AY23" s="434">
        <f>SUM(AY21:AY22)</f>
        <v>30.102000000000004</v>
      </c>
      <c r="AZ23" s="428">
        <f>SUM(AZ21:AZ22)</f>
        <v>30.699999999999996</v>
      </c>
      <c r="BA23" s="428">
        <f>SUM(BA21:BA22)</f>
        <v>32.856000000000002</v>
      </c>
      <c r="BB23" s="428">
        <f>SUM(BB21:BB22)</f>
        <v>32.760999999999996</v>
      </c>
      <c r="BC23" s="432">
        <f>SUM(BC21:BC22)</f>
        <v>126.419</v>
      </c>
      <c r="BD23" s="428"/>
      <c r="BE23" s="434">
        <f>SUM(BE21:BE22)</f>
        <v>33.219000000000001</v>
      </c>
      <c r="BF23" s="428">
        <f>SUM(BF21:BF22)</f>
        <v>34.353000000000002</v>
      </c>
      <c r="BG23" s="428">
        <f>SUM(BG21:BG22)</f>
        <v>35.912000000000006</v>
      </c>
      <c r="BH23" s="428">
        <f>SUM(BH21:BH22)</f>
        <v>37.43099999999999</v>
      </c>
      <c r="BI23" s="432">
        <f>SUM(BI21:BI22)</f>
        <v>140.91499999999999</v>
      </c>
      <c r="BJ23" s="428"/>
      <c r="BK23" s="434">
        <f>SUM(BK21:BK22)</f>
        <v>38</v>
      </c>
      <c r="BL23" s="428">
        <f>SUM(BL21:BL22)</f>
        <v>38</v>
      </c>
      <c r="BM23" s="428">
        <f>SUM(BM21:BM22)</f>
        <v>41</v>
      </c>
      <c r="BN23" s="433">
        <f>SUM(BN21:BN22)</f>
        <v>39</v>
      </c>
      <c r="BO23" s="432">
        <f>SUM(BO21:BO22)</f>
        <v>156</v>
      </c>
      <c r="BP23" s="428"/>
      <c r="BQ23" s="434">
        <f>SUM(BQ21:BQ22)</f>
        <v>40.438000000000002</v>
      </c>
      <c r="BR23" s="428">
        <f>SUM(BR21:BR22)</f>
        <v>42.588500000000003</v>
      </c>
      <c r="BS23" s="428">
        <f>SUM(BS21:BS22)</f>
        <v>44.76218846692268</v>
      </c>
      <c r="BT23" s="433">
        <f>SUM(BT21:BT22)</f>
        <v>46.977799250244573</v>
      </c>
      <c r="BU23" s="432">
        <f>SUM(BU21:BU22)</f>
        <v>174.76648771716725</v>
      </c>
      <c r="BV23" s="428"/>
      <c r="BW23" s="434">
        <f>SUM(BW21:BW22)</f>
        <v>49.288674099965689</v>
      </c>
      <c r="BX23" s="428">
        <f>SUM(BX21:BX22)</f>
        <v>51.688497678597237</v>
      </c>
      <c r="BY23" s="428">
        <f>SUM(BY21:BY22)</f>
        <v>54.081612939023842</v>
      </c>
      <c r="BZ23" s="433">
        <f>SUM(BZ21:BZ22)</f>
        <v>56.507302023553194</v>
      </c>
      <c r="CA23" s="432">
        <f>SUM(CA21:CA22)</f>
        <v>211.56608674113997</v>
      </c>
      <c r="CB23" s="428"/>
      <c r="CC23" s="434">
        <f>SUM(CC21:CC22)</f>
        <v>59.031328961031448</v>
      </c>
      <c r="CD23" s="428">
        <f>SUM(CD21:CD22)</f>
        <v>61.674860816325463</v>
      </c>
      <c r="CE23" s="428">
        <f>SUM(CE21:CE22)</f>
        <v>64.31335624556246</v>
      </c>
      <c r="CF23" s="433">
        <f>SUM(CF21:CF22)</f>
        <v>66.98703610315961</v>
      </c>
      <c r="CG23" s="432">
        <f>SUM(CG21:CG22)</f>
        <v>252.00658212607897</v>
      </c>
      <c r="CH23" s="428"/>
      <c r="CI23" s="434">
        <f t="shared" ref="CI23:CM23" si="40">SUM(CI21:CI22)</f>
        <v>67.272946835966025</v>
      </c>
      <c r="CJ23" s="428">
        <f t="shared" si="40"/>
        <v>70.192277360963047</v>
      </c>
      <c r="CK23" s="428">
        <f t="shared" si="40"/>
        <v>73.105524379075391</v>
      </c>
      <c r="CL23" s="433">
        <f t="shared" si="40"/>
        <v>76.055965076640874</v>
      </c>
      <c r="CM23" s="432">
        <f t="shared" si="40"/>
        <v>286.62671365264532</v>
      </c>
      <c r="CN23" s="428"/>
      <c r="CO23" s="434">
        <f t="shared" ref="CO23:CS23" si="41">SUM(CO21:CO22)</f>
        <v>76.63781269667443</v>
      </c>
      <c r="CP23" s="428">
        <f t="shared" si="41"/>
        <v>79.847947329786308</v>
      </c>
      <c r="CQ23" s="428">
        <f t="shared" si="41"/>
        <v>83.065435131797528</v>
      </c>
      <c r="CR23" s="433">
        <f t="shared" si="41"/>
        <v>86.335848834928697</v>
      </c>
      <c r="CS23" s="432">
        <f t="shared" si="41"/>
        <v>325.88704399318698</v>
      </c>
      <c r="CT23" s="434"/>
      <c r="CU23" s="428"/>
      <c r="CV23" s="428"/>
      <c r="DC23" s="400"/>
      <c r="DD23" s="400"/>
      <c r="DE23" s="400"/>
      <c r="DF23" s="400"/>
      <c r="DG23" s="400"/>
      <c r="DH23" s="400"/>
      <c r="DI23" s="400"/>
      <c r="DJ23" s="400"/>
      <c r="DK23" s="400"/>
      <c r="DL23" s="400"/>
      <c r="DM23" s="2361"/>
      <c r="DN23" s="2361"/>
      <c r="DO23" s="2361"/>
      <c r="DP23" s="2361"/>
      <c r="DQ23" s="2361"/>
      <c r="DR23" s="2361"/>
      <c r="DS23" s="2361"/>
      <c r="DT23" s="2361"/>
      <c r="DU23" s="2361"/>
      <c r="DV23" s="2361"/>
      <c r="DW23" s="2361"/>
      <c r="DX23" s="2361"/>
      <c r="DY23" s="2361"/>
      <c r="DZ23" s="2361"/>
      <c r="EA23" s="2361"/>
    </row>
    <row r="24" spans="1:131" ht="11.25" hidden="1" customHeight="1" outlineLevel="1">
      <c r="A24" s="1866" t="s">
        <v>181</v>
      </c>
      <c r="B24" s="454"/>
      <c r="C24" s="449">
        <f>C20+C21</f>
        <v>10.851000000000004</v>
      </c>
      <c r="D24" s="455">
        <f>D20+D21</f>
        <v>15.882999999999994</v>
      </c>
      <c r="E24" s="455">
        <f>E20+E21</f>
        <v>19.111000000000001</v>
      </c>
      <c r="F24" s="456">
        <f>F20+F21</f>
        <v>25.725000000000016</v>
      </c>
      <c r="G24" s="457">
        <f>G20+G21</f>
        <v>71.570000000000022</v>
      </c>
      <c r="H24" s="455"/>
      <c r="I24" s="449">
        <f>I20+I21</f>
        <v>25.166000000000004</v>
      </c>
      <c r="J24" s="455">
        <f>J20+J21</f>
        <v>34.561999999999998</v>
      </c>
      <c r="K24" s="455">
        <f>K20+K21</f>
        <v>33.987999999999985</v>
      </c>
      <c r="L24" s="456">
        <f>L20+L21</f>
        <v>44.724000000000025</v>
      </c>
      <c r="M24" s="457">
        <f>M20+M21</f>
        <v>138.44</v>
      </c>
      <c r="N24" s="455"/>
      <c r="O24" s="449">
        <f>O20+O21</f>
        <v>44.701000000000008</v>
      </c>
      <c r="P24" s="455">
        <f>P20+P21</f>
        <v>44.798999999999999</v>
      </c>
      <c r="Q24" s="455">
        <f>Q20+Q21</f>
        <v>39.760000000000019</v>
      </c>
      <c r="R24" s="456">
        <f>R20+R21</f>
        <v>44.520999999999987</v>
      </c>
      <c r="S24" s="457">
        <f>S20+S21</f>
        <v>173.78100000000003</v>
      </c>
      <c r="T24" s="455"/>
      <c r="U24" s="449">
        <f>U20+U21</f>
        <v>48.155000000000008</v>
      </c>
      <c r="V24" s="455">
        <f>V20+V21</f>
        <v>60.215999999999994</v>
      </c>
      <c r="W24" s="455">
        <f>W20+W21</f>
        <v>69.355999999999995</v>
      </c>
      <c r="X24" s="456">
        <f>X20+X21</f>
        <v>71.095999999999989</v>
      </c>
      <c r="Y24" s="457">
        <f>Y20+Y21</f>
        <v>248.82300000000004</v>
      </c>
      <c r="Z24" s="455"/>
      <c r="AA24" s="449">
        <f>AA20+AA21</f>
        <v>90.117999999999995</v>
      </c>
      <c r="AB24" s="455">
        <f>AB20+AB21</f>
        <v>92.515999999999991</v>
      </c>
      <c r="AC24" s="455">
        <f>AC20+AC21</f>
        <v>58.681999999999988</v>
      </c>
      <c r="AD24" s="456">
        <f>AD20+AD21</f>
        <v>81.046999999999954</v>
      </c>
      <c r="AE24" s="457">
        <f>AE20+AE21</f>
        <v>322.36299999999977</v>
      </c>
      <c r="AF24" s="455"/>
      <c r="AG24" s="449">
        <f>AG20+AG21</f>
        <v>84.671999999999997</v>
      </c>
      <c r="AH24" s="455">
        <f>AH20+AH21</f>
        <v>90.421999999999954</v>
      </c>
      <c r="AI24" s="455">
        <f>AI20+AI21</f>
        <v>89.349000000000032</v>
      </c>
      <c r="AJ24" s="456">
        <f>AJ20+AJ21</f>
        <v>90.926000000000016</v>
      </c>
      <c r="AK24" s="457">
        <f>AK20+AK21</f>
        <v>355.36900000000014</v>
      </c>
      <c r="AL24" s="455"/>
      <c r="AM24" s="449">
        <f>AM20+AM21</f>
        <v>97.603000000000023</v>
      </c>
      <c r="AN24" s="455">
        <f>AN20+AN21</f>
        <v>99.170000000000016</v>
      </c>
      <c r="AO24" s="455">
        <f>AO20+AO21</f>
        <v>101.53900000000004</v>
      </c>
      <c r="AP24" s="456">
        <f>AP20+AP21</f>
        <v>108.90100000000002</v>
      </c>
      <c r="AQ24" s="457">
        <f>AQ20+AQ21</f>
        <v>407.21300000000014</v>
      </c>
      <c r="AR24" s="455"/>
      <c r="AS24" s="449">
        <f>AS20+AS21</f>
        <v>128.148</v>
      </c>
      <c r="AT24" s="412">
        <f>AT20+AT21</f>
        <v>135.11799999999999</v>
      </c>
      <c r="AU24" s="412">
        <f>AU20+AU21</f>
        <v>160.71300000000002</v>
      </c>
      <c r="AV24" s="412">
        <f>AV20+AV21</f>
        <v>171.64999999999998</v>
      </c>
      <c r="AW24" s="457">
        <f>AW20+AW21</f>
        <v>595.62899999999956</v>
      </c>
      <c r="AX24" s="455"/>
      <c r="AY24" s="449">
        <f>AY20+AY21</f>
        <v>196.57900000000004</v>
      </c>
      <c r="AZ24" s="455">
        <f>AZ20+AZ21</f>
        <v>185.96399999999988</v>
      </c>
      <c r="BA24" s="455">
        <f>BA20+BA21</f>
        <v>184.27799999999996</v>
      </c>
      <c r="BB24" s="412">
        <f>BB20+BB21</f>
        <v>181.73500000000001</v>
      </c>
      <c r="BC24" s="457">
        <f>BC20+BC21</f>
        <v>748.5559999999997</v>
      </c>
      <c r="BD24" s="455"/>
      <c r="BE24" s="449">
        <f>BE20+BE21</f>
        <v>157.22700000000012</v>
      </c>
      <c r="BF24" s="455">
        <f>BF20+BF21</f>
        <v>185.24200000000002</v>
      </c>
      <c r="BG24" s="455">
        <f>BG20+BG21</f>
        <v>197.20500000000004</v>
      </c>
      <c r="BH24" s="412">
        <f>BH20+BH21</f>
        <v>180.12600000000003</v>
      </c>
      <c r="BI24" s="457">
        <f>BI20+BI21</f>
        <v>719.80000000000052</v>
      </c>
      <c r="BJ24" s="455"/>
      <c r="BK24" s="449">
        <f>BK20+BK21</f>
        <v>131</v>
      </c>
      <c r="BL24" s="455">
        <f>BL20+BL21</f>
        <v>172.7</v>
      </c>
      <c r="BM24" s="455">
        <f>BM20+BM21</f>
        <v>220.62</v>
      </c>
      <c r="BN24" s="456">
        <f>BN20+BN21</f>
        <v>273.12000000000012</v>
      </c>
      <c r="BO24" s="457">
        <f>BO20+BO21</f>
        <v>797.44000000000028</v>
      </c>
      <c r="BP24" s="455"/>
      <c r="BQ24" s="449">
        <f>BQ20+BQ21</f>
        <v>260.43799999999999</v>
      </c>
      <c r="BR24" s="455">
        <f>BR20+BR21</f>
        <v>220.52125572115659</v>
      </c>
      <c r="BS24" s="455">
        <f>BS20+BS21</f>
        <v>230.60660499776452</v>
      </c>
      <c r="BT24" s="456">
        <f>BT20+BT21</f>
        <v>245.56309167179552</v>
      </c>
      <c r="BU24" s="457">
        <f>BU20+BU21</f>
        <v>957.12895239071702</v>
      </c>
      <c r="BV24" s="455"/>
      <c r="BW24" s="449">
        <f>BW20+BW21</f>
        <v>291.38153905410212</v>
      </c>
      <c r="BX24" s="455">
        <f>BX20+BX21</f>
        <v>245.60976337686174</v>
      </c>
      <c r="BY24" s="455">
        <f>BY20+BY21</f>
        <v>256.00796354616284</v>
      </c>
      <c r="BZ24" s="456">
        <f>BZ20+BZ21</f>
        <v>271.19591338520013</v>
      </c>
      <c r="CA24" s="457">
        <f>CA20+CA21</f>
        <v>1064.1951793623275</v>
      </c>
      <c r="CB24" s="455"/>
      <c r="CC24" s="449">
        <f>CC20+CC21</f>
        <v>324.06859898893947</v>
      </c>
      <c r="CD24" s="455">
        <f>CD20+CD21</f>
        <v>274.48001249990523</v>
      </c>
      <c r="CE24" s="455">
        <f>CE20+CE21</f>
        <v>285.98138678294134</v>
      </c>
      <c r="CF24" s="456">
        <f>CF20+CF21</f>
        <v>302.76524300185878</v>
      </c>
      <c r="CG24" s="457">
        <f>CG20+CG21</f>
        <v>1187.2952412736447</v>
      </c>
      <c r="CH24" s="455"/>
      <c r="CI24" s="449">
        <f t="shared" ref="CI24:CM24" si="42">CI20+CI21</f>
        <v>360.09992020293026</v>
      </c>
      <c r="CJ24" s="455">
        <f t="shared" si="42"/>
        <v>306.31395510356271</v>
      </c>
      <c r="CK24" s="455">
        <f t="shared" si="42"/>
        <v>318.85303913779842</v>
      </c>
      <c r="CL24" s="456">
        <f t="shared" si="42"/>
        <v>337.87544486733606</v>
      </c>
      <c r="CM24" s="457">
        <f t="shared" si="42"/>
        <v>1323.1423593116278</v>
      </c>
      <c r="CN24" s="455"/>
      <c r="CO24" s="449">
        <f t="shared" ref="CO24:CS24" si="43">CO20+CO21</f>
        <v>399.49495410691605</v>
      </c>
      <c r="CP24" s="455">
        <f t="shared" si="43"/>
        <v>343.63487054581753</v>
      </c>
      <c r="CQ24" s="455">
        <f t="shared" si="43"/>
        <v>358.72358793631082</v>
      </c>
      <c r="CR24" s="456">
        <f t="shared" si="43"/>
        <v>379.99111912230535</v>
      </c>
      <c r="CS24" s="457">
        <f t="shared" si="43"/>
        <v>1481.8445317113496</v>
      </c>
      <c r="CT24" s="453"/>
      <c r="CU24" s="454"/>
      <c r="CV24" s="454"/>
      <c r="DC24" s="400"/>
      <c r="DD24" s="400"/>
      <c r="DE24" s="400"/>
      <c r="DF24" s="400"/>
      <c r="DG24" s="400"/>
      <c r="DH24" s="400"/>
      <c r="DI24" s="400"/>
      <c r="DJ24" s="400"/>
      <c r="DK24" s="400"/>
      <c r="DL24" s="400"/>
      <c r="DM24" s="2361"/>
      <c r="DN24" s="2361"/>
      <c r="DO24" s="2361"/>
      <c r="DP24" s="2361"/>
      <c r="DQ24" s="2361"/>
      <c r="DR24" s="2361"/>
      <c r="DS24" s="2361"/>
      <c r="DT24" s="2361"/>
      <c r="DU24" s="2361"/>
      <c r="DV24" s="2361"/>
      <c r="DW24" s="2361"/>
      <c r="DX24" s="2361"/>
      <c r="DY24" s="2361"/>
      <c r="DZ24" s="2361"/>
      <c r="EA24" s="2361"/>
    </row>
    <row r="25" spans="1:131" collapsed="1">
      <c r="A25" s="1867" t="s">
        <v>182</v>
      </c>
      <c r="B25" s="428"/>
      <c r="C25" s="438">
        <v>2.722</v>
      </c>
      <c r="D25" s="439">
        <v>2.343</v>
      </c>
      <c r="E25" s="439">
        <v>3.9780000000000002</v>
      </c>
      <c r="F25" s="440">
        <f>12.416-SUM(C25:E25)</f>
        <v>3.3730000000000011</v>
      </c>
      <c r="G25" s="432">
        <f>SUM(C25:F25)</f>
        <v>12.416</v>
      </c>
      <c r="H25" s="428"/>
      <c r="I25" s="438">
        <f>-0.843+4.423</f>
        <v>3.58</v>
      </c>
      <c r="J25" s="439">
        <f>-3.682+4.512</f>
        <v>0.82999999999999963</v>
      </c>
      <c r="K25" s="439">
        <f>-2.15+4.596</f>
        <v>2.4460000000000002</v>
      </c>
      <c r="L25" s="440">
        <f>-7.77+18.219-SUM(I25:K25)</f>
        <v>3.5930000000000017</v>
      </c>
      <c r="M25" s="432">
        <f>SUM(I25:L25)</f>
        <v>10.449000000000002</v>
      </c>
      <c r="N25" s="428"/>
      <c r="O25" s="438">
        <f>-5.157+4.718-0.767</f>
        <v>-1.206</v>
      </c>
      <c r="P25" s="439">
        <f>-1.079+4.758</f>
        <v>3.6790000000000003</v>
      </c>
      <c r="Q25" s="439">
        <f>2.536-5.964+1.592+4.849</f>
        <v>3.0129999999999999</v>
      </c>
      <c r="R25" s="440">
        <f>-11.472+19.656-0.767-SUM(O25:Q25)</f>
        <v>1.9309999999999983</v>
      </c>
      <c r="S25" s="432">
        <f>SUM(O25:R25)</f>
        <v>7.4169999999999989</v>
      </c>
      <c r="T25" s="428"/>
      <c r="U25" s="438">
        <f>-4.864+5.055</f>
        <v>0.19099999999999984</v>
      </c>
      <c r="V25" s="439">
        <f>-0.902-2.914+5.156</f>
        <v>1.3399999999999994</v>
      </c>
      <c r="W25" s="439">
        <f>-2.625+5.258</f>
        <v>2.633</v>
      </c>
      <c r="X25" s="440">
        <f>-26.275-2.914+13.223+20.832-SUM(U25:W25)</f>
        <v>0.70200000000000173</v>
      </c>
      <c r="Y25" s="432">
        <f>SUM(U25:X25)</f>
        <v>4.8660000000000014</v>
      </c>
      <c r="Z25" s="428"/>
      <c r="AA25" s="438">
        <f>-33.38+6.501+27.177</f>
        <v>0.29799999999999827</v>
      </c>
      <c r="AB25" s="439">
        <f>-16.986+8.252+9.679</f>
        <v>0.94500000000000028</v>
      </c>
      <c r="AC25" s="439">
        <f>-8.973+0.755+9.2+0.001</f>
        <v>0.98299999999999932</v>
      </c>
      <c r="AD25" s="440">
        <f>-66.416+37.611+32.495-SUM(AA25:AC25)</f>
        <v>1.464</v>
      </c>
      <c r="AE25" s="432">
        <f>SUM(AA25:AD25)</f>
        <v>3.6899999999999977</v>
      </c>
      <c r="AF25" s="428"/>
      <c r="AG25" s="438">
        <f>-9.339+8.642</f>
        <v>-0.69700000000000095</v>
      </c>
      <c r="AH25" s="439">
        <f>-8.193+8.743</f>
        <v>0.55000000000000071</v>
      </c>
      <c r="AI25" s="439">
        <f>-5.169+8.846</f>
        <v>3.6770000000000005</v>
      </c>
      <c r="AJ25" s="440">
        <f>44.557-45.911+8.95-6</f>
        <v>1.5960000000000001</v>
      </c>
      <c r="AK25" s="432">
        <f>SUM(AG25:AJ25)</f>
        <v>5.1260000000000003</v>
      </c>
      <c r="AL25" s="428"/>
      <c r="AM25" s="438">
        <f>-2.415+9.052-6.113</f>
        <v>0.52399999999999913</v>
      </c>
      <c r="AN25" s="439">
        <f>-10.646+9.066+0.511</f>
        <v>-1.069</v>
      </c>
      <c r="AO25" s="439">
        <f>-8.317+9.103+0.044</f>
        <v>0.82999999999999963</v>
      </c>
      <c r="AP25" s="440">
        <f>46.585-55.244+9.182</f>
        <v>0.52300000000000146</v>
      </c>
      <c r="AQ25" s="432">
        <f>SUM(AM25:AP25)</f>
        <v>0.80800000000000027</v>
      </c>
      <c r="AR25" s="428"/>
      <c r="AS25" s="438">
        <f>-8.308+9.022</f>
        <v>0.71400000000000041</v>
      </c>
      <c r="AT25" s="439">
        <f>-39.773+9.143+31.36</f>
        <v>0.72999999999999687</v>
      </c>
      <c r="AU25" s="439">
        <f>-7.05+9.89-4.427</f>
        <v>-1.5869999999999989</v>
      </c>
      <c r="AV25" s="439">
        <f>-10.822+10.099</f>
        <v>-0.72299999999999898</v>
      </c>
      <c r="AW25" s="432">
        <f>SUM(AS25:AV25)</f>
        <v>-0.86600000000000055</v>
      </c>
      <c r="AX25" s="428"/>
      <c r="AY25" s="438">
        <f>1.92-12.582+10.188</f>
        <v>-0.4740000000000002</v>
      </c>
      <c r="AZ25" s="430">
        <f>0.233+10.227-10.761</f>
        <v>-0.30099999999999838</v>
      </c>
      <c r="BA25" s="430">
        <f>-11.865+9.469+3.504-2.9</f>
        <v>-1.7920000000000007</v>
      </c>
      <c r="BB25" s="439">
        <f>-8.993+8.705+0.325-0.119</f>
        <v>-8.2000000000000239E-2</v>
      </c>
      <c r="BC25" s="432">
        <f>SUM(AY25:BB25)</f>
        <v>-2.6489999999999996</v>
      </c>
      <c r="BD25" s="428"/>
      <c r="BE25" s="2707">
        <f>-5.849+7.746</f>
        <v>1.8970000000000002</v>
      </c>
      <c r="BF25" s="2353">
        <f>-4.894+7.29</f>
        <v>2.3959999999999999</v>
      </c>
      <c r="BG25" s="2353">
        <f>-6.338+7.346</f>
        <v>1.008</v>
      </c>
      <c r="BH25" s="2708">
        <f>+-8.773+7.404</f>
        <v>-1.3689999999999998</v>
      </c>
      <c r="BI25" s="432">
        <f>SUM(BE25:BH25)</f>
        <v>3.9320000000000004</v>
      </c>
      <c r="BJ25" s="428"/>
      <c r="BK25" s="2707">
        <f>451-453+7-2</f>
        <v>3</v>
      </c>
      <c r="BL25" s="2353">
        <v>4.5</v>
      </c>
      <c r="BM25" s="2353">
        <v>3</v>
      </c>
      <c r="BN25" s="2731">
        <v>2</v>
      </c>
      <c r="BO25" s="432">
        <f>SUM(BK25:BN25)</f>
        <v>12.5</v>
      </c>
      <c r="BP25" s="428"/>
      <c r="BQ25" s="2707">
        <f>3+8-8</f>
        <v>3</v>
      </c>
      <c r="BR25" s="880">
        <f>Debt!BR58-Debt!BR57+Debt!BR61</f>
        <v>4.2193067984869179</v>
      </c>
      <c r="BS25" s="880">
        <f>Debt!BS58-Debt!BS57+Debt!BS61</f>
        <v>4.5453797626311276</v>
      </c>
      <c r="BT25" s="881">
        <f>Debt!BT58-Debt!BT57+Debt!BT61</f>
        <v>4.6550450816822577</v>
      </c>
      <c r="BU25" s="432">
        <f>SUM(BQ25:BT25)</f>
        <v>16.419731642800304</v>
      </c>
      <c r="BV25" s="428"/>
      <c r="BW25" s="879">
        <f>Debt!BW58-Debt!BW57+Debt!BW61</f>
        <v>4.7711100860135627</v>
      </c>
      <c r="BX25" s="880">
        <f>Debt!BX58-Debt!BX57+Debt!BX61</f>
        <v>4.6276503342771926</v>
      </c>
      <c r="BY25" s="880">
        <f>Debt!BY58-Debt!BY57+Debt!BY61</f>
        <v>5.0324962524936083</v>
      </c>
      <c r="BZ25" s="881">
        <f>Debt!BZ58-Debt!BZ57+Debt!BZ61</f>
        <v>5.1998306606509637</v>
      </c>
      <c r="CA25" s="432">
        <f>SUM(BW25:BZ25)</f>
        <v>19.631087333435328</v>
      </c>
      <c r="CB25" s="428"/>
      <c r="CC25" s="879">
        <f>Debt!CC58-Debt!CC57+Debt!CC61</f>
        <v>5.3658876524058448</v>
      </c>
      <c r="CD25" s="880">
        <f>Debt!CD58-Debt!CD57+Debt!CD61</f>
        <v>77.041853136304368</v>
      </c>
      <c r="CE25" s="880">
        <f>Debt!CE58-Debt!CE57+Debt!CE61</f>
        <v>85.545752058444336</v>
      </c>
      <c r="CF25" s="881">
        <f>Debt!CF58-Debt!CF57+Debt!CF61</f>
        <v>91.012944092107048</v>
      </c>
      <c r="CG25" s="432">
        <f>SUM(CC25:CF25)</f>
        <v>258.9664369392616</v>
      </c>
      <c r="CH25" s="428"/>
      <c r="CI25" s="879">
        <f>Debt!CI58-Debt!CI57+Debt!CI61</f>
        <v>96.57096074326212</v>
      </c>
      <c r="CJ25" s="880">
        <f>Debt!CJ58-Debt!CJ57+Debt!CJ61</f>
        <v>14.756783986948269</v>
      </c>
      <c r="CK25" s="880">
        <f>Debt!CK58-Debt!CK57+Debt!CK61</f>
        <v>16.050339336848559</v>
      </c>
      <c r="CL25" s="881">
        <f>Debt!CL58-Debt!CL57+Debt!CL61</f>
        <v>16.815222023137835</v>
      </c>
      <c r="CM25" s="432">
        <f t="shared" ref="CM25" si="44">SUM(CI25:CL25)</f>
        <v>144.19330609019678</v>
      </c>
      <c r="CN25" s="428"/>
      <c r="CO25" s="879">
        <f>Debt!CO58-Debt!CO57+Debt!CO61</f>
        <v>17.568612695291549</v>
      </c>
      <c r="CP25" s="880">
        <f>Debt!CP58-Debt!CP57+Debt!CP61</f>
        <v>17.93084555835329</v>
      </c>
      <c r="CQ25" s="880">
        <f>Debt!CQ58-Debt!CQ57+Debt!CQ61</f>
        <v>19.527271838103893</v>
      </c>
      <c r="CR25" s="881">
        <f>Debt!CR58-Debt!CR57+Debt!CR61</f>
        <v>20.568045187063589</v>
      </c>
      <c r="CS25" s="432">
        <f t="shared" ref="CS25" si="45">SUM(CO25:CR25)</f>
        <v>75.594775278812321</v>
      </c>
      <c r="CT25" s="434"/>
      <c r="CU25" s="428"/>
      <c r="CV25" s="428"/>
      <c r="DC25" s="415"/>
      <c r="DD25" s="400"/>
      <c r="DE25" s="2463"/>
      <c r="DF25" s="2361"/>
      <c r="DG25" s="2435"/>
      <c r="DH25" s="2361"/>
      <c r="DI25" s="2361"/>
      <c r="DJ25" s="2435"/>
      <c r="DK25" s="2361"/>
      <c r="DL25" s="2361"/>
      <c r="DM25" s="2361"/>
      <c r="DN25" s="2361"/>
      <c r="DO25" s="2361"/>
      <c r="DP25" s="2361"/>
      <c r="DQ25" s="2361"/>
      <c r="DR25" s="2361"/>
      <c r="DS25" s="2361"/>
      <c r="DT25" s="2361"/>
      <c r="DU25" s="2361"/>
      <c r="DV25" s="2361"/>
      <c r="DW25" s="2361"/>
      <c r="DX25" s="2361"/>
      <c r="DY25" s="2361"/>
      <c r="DZ25" s="2361"/>
      <c r="EA25" s="2361"/>
    </row>
    <row r="26" spans="1:131">
      <c r="A26" s="1868" t="s">
        <v>575</v>
      </c>
      <c r="B26" s="471"/>
      <c r="C26" s="2534">
        <v>0</v>
      </c>
      <c r="D26" s="2535">
        <v>0</v>
      </c>
      <c r="E26" s="2535">
        <v>0</v>
      </c>
      <c r="F26" s="2535">
        <v>0</v>
      </c>
      <c r="G26" s="432">
        <f>SUM(C26:F26)</f>
        <v>0</v>
      </c>
      <c r="H26" s="471"/>
      <c r="I26" s="2534">
        <v>0</v>
      </c>
      <c r="J26" s="2535">
        <v>0</v>
      </c>
      <c r="K26" s="2535">
        <v>0</v>
      </c>
      <c r="L26" s="2535">
        <v>0</v>
      </c>
      <c r="M26" s="432">
        <f t="shared" ref="M26" si="46">SUM(I26:L26)</f>
        <v>0</v>
      </c>
      <c r="N26" s="471"/>
      <c r="O26" s="2534">
        <v>0</v>
      </c>
      <c r="P26" s="2535">
        <v>0</v>
      </c>
      <c r="Q26" s="2535">
        <v>0</v>
      </c>
      <c r="R26" s="2535">
        <v>0</v>
      </c>
      <c r="S26" s="432">
        <f t="shared" ref="S26" si="47">SUM(O26:R26)</f>
        <v>0</v>
      </c>
      <c r="T26" s="471"/>
      <c r="U26" s="2534">
        <v>0</v>
      </c>
      <c r="V26" s="2535">
        <v>0</v>
      </c>
      <c r="W26" s="2535">
        <v>0</v>
      </c>
      <c r="X26" s="2535">
        <v>0</v>
      </c>
      <c r="Y26" s="432">
        <f t="shared" ref="Y26" si="48">SUM(U26:X26)</f>
        <v>0</v>
      </c>
      <c r="Z26" s="471"/>
      <c r="AA26" s="2534">
        <v>0</v>
      </c>
      <c r="AB26" s="2535">
        <v>0</v>
      </c>
      <c r="AC26" s="2535">
        <v>0</v>
      </c>
      <c r="AD26" s="2535">
        <v>0</v>
      </c>
      <c r="AE26" s="432">
        <f t="shared" ref="AE26" si="49">SUM(AA26:AD26)</f>
        <v>0</v>
      </c>
      <c r="AF26" s="471"/>
      <c r="AG26" s="2534">
        <v>0</v>
      </c>
      <c r="AH26" s="2535">
        <v>0</v>
      </c>
      <c r="AI26" s="2535">
        <v>0</v>
      </c>
      <c r="AJ26" s="2535">
        <v>0</v>
      </c>
      <c r="AK26" s="432">
        <f t="shared" ref="AK26" si="50">SUM(AG26:AJ26)</f>
        <v>0</v>
      </c>
      <c r="AL26" s="471"/>
      <c r="AM26" s="2534">
        <v>0</v>
      </c>
      <c r="AN26" s="2535">
        <v>0</v>
      </c>
      <c r="AO26" s="2535">
        <v>0</v>
      </c>
      <c r="AP26" s="2535">
        <v>0</v>
      </c>
      <c r="AQ26" s="432">
        <f t="shared" ref="AQ26" si="51">SUM(AM26:AP26)</f>
        <v>0</v>
      </c>
      <c r="AR26" s="471"/>
      <c r="AS26" s="2534">
        <v>0</v>
      </c>
      <c r="AT26" s="2535">
        <v>0</v>
      </c>
      <c r="AU26" s="2535">
        <v>0</v>
      </c>
      <c r="AV26" s="2535">
        <v>0</v>
      </c>
      <c r="AW26" s="432">
        <f t="shared" ref="AW26" si="52">SUM(AS26:AV26)</f>
        <v>0</v>
      </c>
      <c r="AX26" s="471"/>
      <c r="AY26" s="2534">
        <v>0</v>
      </c>
      <c r="AZ26" s="2535">
        <v>0</v>
      </c>
      <c r="BA26" s="2535">
        <v>0</v>
      </c>
      <c r="BB26" s="2535">
        <v>0</v>
      </c>
      <c r="BC26" s="432">
        <f t="shared" ref="BC26" si="53">SUM(AY26:BB26)</f>
        <v>0</v>
      </c>
      <c r="BD26" s="471"/>
      <c r="BE26" s="2709">
        <v>0</v>
      </c>
      <c r="BF26" s="2710">
        <v>0</v>
      </c>
      <c r="BG26" s="2710">
        <v>0</v>
      </c>
      <c r="BH26" s="2710">
        <v>0</v>
      </c>
      <c r="BI26" s="432">
        <f>SUM(BE26:BH26)</f>
        <v>0</v>
      </c>
      <c r="BJ26" s="471"/>
      <c r="BK26" s="2709">
        <v>0</v>
      </c>
      <c r="BL26" s="2710">
        <v>0</v>
      </c>
      <c r="BM26" s="2710">
        <v>0</v>
      </c>
      <c r="BN26" s="2710">
        <v>0</v>
      </c>
      <c r="BO26" s="432">
        <f>SUM(BK26:BN26)</f>
        <v>0</v>
      </c>
      <c r="BP26" s="471"/>
      <c r="BQ26" s="2709">
        <v>0</v>
      </c>
      <c r="BR26" s="2520">
        <f>+BQ26</f>
        <v>0</v>
      </c>
      <c r="BS26" s="2520">
        <f>+BR26</f>
        <v>0</v>
      </c>
      <c r="BT26" s="2520">
        <f>+BS26</f>
        <v>0</v>
      </c>
      <c r="BU26" s="2521">
        <f>+BT26</f>
        <v>0</v>
      </c>
      <c r="BV26" s="471"/>
      <c r="BW26" s="2519">
        <f t="shared" ref="BW26" si="54">+BT26</f>
        <v>0</v>
      </c>
      <c r="BX26" s="2520">
        <f t="shared" ref="BX26:CA26" si="55">+BW26</f>
        <v>0</v>
      </c>
      <c r="BY26" s="2520">
        <f t="shared" si="55"/>
        <v>0</v>
      </c>
      <c r="BZ26" s="2520">
        <f t="shared" si="55"/>
        <v>0</v>
      </c>
      <c r="CA26" s="2521">
        <f t="shared" si="55"/>
        <v>0</v>
      </c>
      <c r="CB26" s="471"/>
      <c r="CC26" s="2519">
        <f t="shared" ref="CC26" si="56">+BZ26</f>
        <v>0</v>
      </c>
      <c r="CD26" s="2520">
        <f t="shared" ref="CD26:CG26" si="57">+CC26</f>
        <v>0</v>
      </c>
      <c r="CE26" s="2520">
        <f t="shared" si="57"/>
        <v>0</v>
      </c>
      <c r="CF26" s="2520">
        <f t="shared" si="57"/>
        <v>0</v>
      </c>
      <c r="CG26" s="2521">
        <f t="shared" si="57"/>
        <v>0</v>
      </c>
      <c r="CH26" s="471"/>
      <c r="CI26" s="2519">
        <f t="shared" ref="CI26" si="58">+CF26</f>
        <v>0</v>
      </c>
      <c r="CJ26" s="2520">
        <f t="shared" ref="CJ26" si="59">+CI26</f>
        <v>0</v>
      </c>
      <c r="CK26" s="2520">
        <f t="shared" ref="CK26" si="60">+CJ26</f>
        <v>0</v>
      </c>
      <c r="CL26" s="2520">
        <f t="shared" ref="CL26" si="61">+CK26</f>
        <v>0</v>
      </c>
      <c r="CM26" s="2521">
        <f t="shared" ref="CM26" si="62">+CL26</f>
        <v>0</v>
      </c>
      <c r="CN26" s="471"/>
      <c r="CO26" s="2519">
        <f t="shared" ref="CO26" si="63">+CL26</f>
        <v>0</v>
      </c>
      <c r="CP26" s="2520">
        <f t="shared" ref="CP26" si="64">+CO26</f>
        <v>0</v>
      </c>
      <c r="CQ26" s="2520">
        <f t="shared" ref="CQ26" si="65">+CP26</f>
        <v>0</v>
      </c>
      <c r="CR26" s="2520">
        <f t="shared" ref="CR26" si="66">+CQ26</f>
        <v>0</v>
      </c>
      <c r="CS26" s="2521">
        <f t="shared" ref="CS26" si="67">+CR26</f>
        <v>0</v>
      </c>
      <c r="CT26" s="924"/>
      <c r="CU26" s="2917"/>
      <c r="CV26" s="923"/>
      <c r="DC26" s="2734"/>
      <c r="DD26" s="400"/>
      <c r="DE26" s="2463"/>
      <c r="DF26" s="2361"/>
      <c r="DG26" s="2435"/>
      <c r="DH26" s="2361"/>
      <c r="DI26" s="2361"/>
      <c r="DJ26" s="2435"/>
      <c r="DK26" s="2361"/>
      <c r="DL26" s="2361"/>
      <c r="DM26" s="2361"/>
      <c r="DN26" s="2361"/>
      <c r="DO26" s="2361"/>
      <c r="DP26" s="2361"/>
      <c r="DQ26" s="2361"/>
      <c r="DR26" s="2361"/>
      <c r="DS26" s="2361"/>
      <c r="DT26" s="2361"/>
      <c r="DU26" s="2361"/>
      <c r="DV26" s="2361"/>
      <c r="DW26" s="2361"/>
      <c r="DX26" s="2361"/>
      <c r="DY26" s="2361"/>
      <c r="DZ26" s="2361"/>
      <c r="EA26" s="2361"/>
    </row>
    <row r="27" spans="1:131">
      <c r="A27" s="1869" t="s">
        <v>183</v>
      </c>
      <c r="B27" s="458"/>
      <c r="C27" s="459">
        <f>+C20+C25-C26</f>
        <v>10.979000000000005</v>
      </c>
      <c r="D27" s="460">
        <f>+D20+D25-D26</f>
        <v>15.381999999999994</v>
      </c>
      <c r="E27" s="460">
        <f>+E20+E25-E26</f>
        <v>20.350000000000001</v>
      </c>
      <c r="F27" s="461">
        <f>+F20+F25-F26</f>
        <v>25.811000000000018</v>
      </c>
      <c r="G27" s="462">
        <f>+G20+G25-G26</f>
        <v>72.52200000000002</v>
      </c>
      <c r="H27" s="460"/>
      <c r="I27" s="459">
        <f>+I20+I25-I26</f>
        <v>24.969000000000001</v>
      </c>
      <c r="J27" s="460">
        <f>+J20+J25-J26</f>
        <v>31.438999999999993</v>
      </c>
      <c r="K27" s="460">
        <f>+K20+K25-K26</f>
        <v>31.957999999999988</v>
      </c>
      <c r="L27" s="461">
        <f>+L20+L25-L26</f>
        <v>43.238000000000028</v>
      </c>
      <c r="M27" s="462">
        <f>+M20+M25-M26</f>
        <v>131.60400000000001</v>
      </c>
      <c r="N27" s="460"/>
      <c r="O27" s="459">
        <f>+O20+O25-O26</f>
        <v>37.891000000000005</v>
      </c>
      <c r="P27" s="460">
        <f>+P20+P25-P26</f>
        <v>42.370000000000005</v>
      </c>
      <c r="Q27" s="460">
        <f>+Q20+Q25-Q26</f>
        <v>36.22600000000002</v>
      </c>
      <c r="R27" s="461">
        <f>+R20+R25-R26</f>
        <v>40.206999999999979</v>
      </c>
      <c r="S27" s="462">
        <f>+S20+S25-S26</f>
        <v>156.69400000000005</v>
      </c>
      <c r="T27" s="460"/>
      <c r="U27" s="459">
        <f>+U20+U25-U26</f>
        <v>40.955000000000013</v>
      </c>
      <c r="V27" s="460">
        <f>+V20+V25-V26</f>
        <v>53.142999999999994</v>
      </c>
      <c r="W27" s="460">
        <f>+W20+W25-W26</f>
        <v>63.181999999999995</v>
      </c>
      <c r="X27" s="461">
        <f>+X20+X25-X26</f>
        <v>62.204999999999984</v>
      </c>
      <c r="Y27" s="462">
        <f>+Y20+Y25-Y26</f>
        <v>219.48500000000004</v>
      </c>
      <c r="Z27" s="460"/>
      <c r="AA27" s="459">
        <f>+AA20+AA25-AA26</f>
        <v>77.586999999999989</v>
      </c>
      <c r="AB27" s="460">
        <f>+AB20+AB25-AB26</f>
        <v>80.300999999999988</v>
      </c>
      <c r="AC27" s="460">
        <f>+AC20+AC25-AC26</f>
        <v>45.350999999999992</v>
      </c>
      <c r="AD27" s="461">
        <f>+AD20+AD25-AD26</f>
        <v>67.238999999999947</v>
      </c>
      <c r="AE27" s="462">
        <f>+AE20+AE25-AE26</f>
        <v>270.47799999999978</v>
      </c>
      <c r="AF27" s="460"/>
      <c r="AG27" s="459">
        <f>+AG20+AG25-AG26</f>
        <v>72.015999999999991</v>
      </c>
      <c r="AH27" s="460">
        <f>+AH20+AH25-AH26</f>
        <v>79.453999999999951</v>
      </c>
      <c r="AI27" s="460">
        <f>+AI20+AI25-AI26</f>
        <v>80.939000000000036</v>
      </c>
      <c r="AJ27" s="461">
        <f>+AJ20+AJ25-AJ26</f>
        <v>79.837000000000018</v>
      </c>
      <c r="AK27" s="462">
        <f>+AK20+AK25-AK26</f>
        <v>312.24600000000009</v>
      </c>
      <c r="AL27" s="460"/>
      <c r="AM27" s="459">
        <f>+AM20+AM25-AM26</f>
        <v>86.368000000000023</v>
      </c>
      <c r="AN27" s="460">
        <f>+AN20+AN25-AN26</f>
        <v>86.14200000000001</v>
      </c>
      <c r="AO27" s="460">
        <f>+AO20+AO25-AO26</f>
        <v>89.006000000000043</v>
      </c>
      <c r="AP27" s="461">
        <f>+AP20+AP25-AP26</f>
        <v>95.695000000000022</v>
      </c>
      <c r="AQ27" s="462">
        <f>+AQ20+AQ25-AQ26</f>
        <v>357.21100000000013</v>
      </c>
      <c r="AR27" s="460"/>
      <c r="AS27" s="459">
        <f>+AS20+AS25-AS26</f>
        <v>114.26900000000001</v>
      </c>
      <c r="AT27" s="1492">
        <f>+AT20+AT25-AT26</f>
        <v>120.45599999999999</v>
      </c>
      <c r="AU27" s="1492">
        <f>+AU20+AU25-AU26</f>
        <v>144.32800000000003</v>
      </c>
      <c r="AV27" s="1492">
        <f>+AV20+AV25-AV26</f>
        <v>153.80500000000001</v>
      </c>
      <c r="AW27" s="462">
        <f>+AW20+AW25-AW26</f>
        <v>532.85799999999961</v>
      </c>
      <c r="AX27" s="460"/>
      <c r="AY27" s="459">
        <f>+AY20+AY25-AY26</f>
        <v>179.35100000000006</v>
      </c>
      <c r="AZ27" s="460">
        <f>+AZ20+AZ25-AZ26</f>
        <v>168.21299999999991</v>
      </c>
      <c r="BA27" s="460">
        <f>+BA20+BA25-BA26</f>
        <v>163.91599999999997</v>
      </c>
      <c r="BB27" s="1492">
        <f>+BB20+BB25-BB26</f>
        <v>161.74</v>
      </c>
      <c r="BC27" s="462">
        <f>+BC20+BC25-BC26</f>
        <v>673.21999999999969</v>
      </c>
      <c r="BD27" s="460"/>
      <c r="BE27" s="459">
        <f>+BE20+BE25-BE26</f>
        <v>138.4500000000001</v>
      </c>
      <c r="BF27" s="460">
        <f>+BF20+BF25-BF26</f>
        <v>165.88300000000001</v>
      </c>
      <c r="BG27" s="460">
        <f>+BG20+BG25-BG26</f>
        <v>175.20900000000003</v>
      </c>
      <c r="BH27" s="1492">
        <f>+BH20+BH25-BH26</f>
        <v>154.23500000000004</v>
      </c>
      <c r="BI27" s="462">
        <f>+BI20+BI25-BI26</f>
        <v>633.7770000000005</v>
      </c>
      <c r="BJ27" s="460"/>
      <c r="BK27" s="459">
        <f>+BK20+BK25-BK26</f>
        <v>108</v>
      </c>
      <c r="BL27" s="460">
        <f>+BL20+BL25-BL26</f>
        <v>151.19999999999999</v>
      </c>
      <c r="BM27" s="460">
        <f>+BM20+BM25-BM26</f>
        <v>194.62</v>
      </c>
      <c r="BN27" s="461">
        <f>+BN20+BN25-BN26</f>
        <v>246.12000000000012</v>
      </c>
      <c r="BO27" s="462">
        <f>+BO20+BO25-BO26</f>
        <v>699.94000000000028</v>
      </c>
      <c r="BP27" s="460"/>
      <c r="BQ27" s="459">
        <f>+BQ20+BQ25-BQ26</f>
        <v>233</v>
      </c>
      <c r="BR27" s="460">
        <f>+BR20+BR25-BR26</f>
        <v>192.15206251964349</v>
      </c>
      <c r="BS27" s="460">
        <f>+BS20+BS25-BS26</f>
        <v>200.38979629347295</v>
      </c>
      <c r="BT27" s="461">
        <f>+BT20+BT25-BT26</f>
        <v>213.24033750323321</v>
      </c>
      <c r="BU27" s="462">
        <f>+BU20+BU25-BU26</f>
        <v>838.78219631635011</v>
      </c>
      <c r="BV27" s="460"/>
      <c r="BW27" s="459">
        <f>+BW20+BW25-BW26</f>
        <v>256.86397504014997</v>
      </c>
      <c r="BX27" s="460">
        <f>+BX20+BX25-BX26</f>
        <v>208.54891603254171</v>
      </c>
      <c r="BY27" s="460">
        <f>+BY20+BY25-BY26</f>
        <v>216.95884685963262</v>
      </c>
      <c r="BZ27" s="461">
        <f>+BZ20+BZ25-BZ26</f>
        <v>229.88844202229794</v>
      </c>
      <c r="CA27" s="462">
        <f>+CA20+CA25-CA26</f>
        <v>912.2601799546228</v>
      </c>
      <c r="CB27" s="460"/>
      <c r="CC27" s="459">
        <f>+CC20+CC25-CC26</f>
        <v>280.40315768031383</v>
      </c>
      <c r="CD27" s="460">
        <f>+CD20+CD25-CD26</f>
        <v>299.84700481988415</v>
      </c>
      <c r="CE27" s="460">
        <f>+CE20+CE25-CE26</f>
        <v>317.2137825958232</v>
      </c>
      <c r="CF27" s="461">
        <f>+CF20+CF25-CF26</f>
        <v>336.79115099080622</v>
      </c>
      <c r="CG27" s="462">
        <f>+CG20+CG25-CG26</f>
        <v>1234.2550960868275</v>
      </c>
      <c r="CH27" s="460"/>
      <c r="CI27" s="459">
        <f t="shared" ref="CI27:CM27" si="68">+CI20+CI25-CI26</f>
        <v>396.89793411022634</v>
      </c>
      <c r="CJ27" s="460">
        <f t="shared" si="68"/>
        <v>258.37846172954795</v>
      </c>
      <c r="CK27" s="460">
        <f t="shared" si="68"/>
        <v>269.29785409557155</v>
      </c>
      <c r="CL27" s="461">
        <f t="shared" si="68"/>
        <v>286.13470181383303</v>
      </c>
      <c r="CM27" s="462">
        <f t="shared" si="68"/>
        <v>1210.7089517491793</v>
      </c>
      <c r="CN27" s="460"/>
      <c r="CO27" s="459">
        <f t="shared" ref="CO27:CS27" si="69">+CO20+CO25-CO26</f>
        <v>345.4257541055332</v>
      </c>
      <c r="CP27" s="460">
        <f t="shared" si="69"/>
        <v>286.71776877438452</v>
      </c>
      <c r="CQ27" s="460">
        <f t="shared" si="69"/>
        <v>300.18542464261719</v>
      </c>
      <c r="CR27" s="461">
        <f t="shared" si="69"/>
        <v>319.22331547444026</v>
      </c>
      <c r="CS27" s="462">
        <f t="shared" si="69"/>
        <v>1251.5522629969748</v>
      </c>
      <c r="CT27" s="434"/>
      <c r="CU27" s="428"/>
      <c r="CV27" s="428"/>
      <c r="DC27" s="415"/>
      <c r="DD27" s="400"/>
      <c r="DE27" s="2463"/>
      <c r="DF27" s="2361"/>
      <c r="DG27" s="2435"/>
      <c r="DH27" s="2361"/>
      <c r="DI27" s="2361"/>
      <c r="DJ27" s="2361"/>
      <c r="DK27" s="2361"/>
      <c r="DL27" s="2361"/>
      <c r="DM27" s="2361"/>
      <c r="DN27" s="2361"/>
      <c r="DO27" s="2361"/>
      <c r="DP27" s="2361"/>
      <c r="DQ27" s="2361"/>
      <c r="DR27" s="2361"/>
      <c r="DS27" s="2361"/>
      <c r="DT27" s="2361"/>
      <c r="DU27" s="2361"/>
      <c r="DV27" s="2361"/>
      <c r="DW27" s="2361"/>
      <c r="DX27" s="2361"/>
      <c r="DY27" s="2361"/>
      <c r="DZ27" s="2361"/>
      <c r="EA27" s="2361"/>
    </row>
    <row r="28" spans="1:131">
      <c r="A28" s="1868" t="s">
        <v>370</v>
      </c>
      <c r="B28" s="463"/>
      <c r="C28" s="464">
        <f>4.397+1.539</f>
        <v>5.9359999999999999</v>
      </c>
      <c r="D28" s="465">
        <f>5.33+0.99</f>
        <v>6.32</v>
      </c>
      <c r="E28" s="465">
        <f>5.185+3.931</f>
        <v>9.1159999999999997</v>
      </c>
      <c r="F28" s="466">
        <f>-10.426+44.751-SUM(C28:E28)</f>
        <v>12.952999999999996</v>
      </c>
      <c r="G28" s="467">
        <f>SUM(C28:F28)</f>
        <v>34.324999999999996</v>
      </c>
      <c r="H28" s="465">
        <f>4.397</f>
        <v>4.3970000000000002</v>
      </c>
      <c r="I28" s="464">
        <f>7.388+5.953</f>
        <v>13.341000000000001</v>
      </c>
      <c r="J28" s="465">
        <f>7.53+8.733</f>
        <v>16.263000000000002</v>
      </c>
      <c r="K28" s="465">
        <f>9.464+6.593</f>
        <v>16.057000000000002</v>
      </c>
      <c r="L28" s="466">
        <f>33.271+28.016-SUM(I28:K28)</f>
        <v>15.625999999999998</v>
      </c>
      <c r="M28" s="467">
        <f>SUM(I28:L28)</f>
        <v>61.286999999999999</v>
      </c>
      <c r="N28" s="463"/>
      <c r="O28" s="464">
        <f>10.54+1.928</f>
        <v>12.468</v>
      </c>
      <c r="P28" s="465">
        <f>10.335+2.869</f>
        <v>13.204000000000001</v>
      </c>
      <c r="Q28" s="465">
        <f>10.386+3.279</f>
        <v>13.664999999999999</v>
      </c>
      <c r="R28" s="466">
        <f>41.844+10.675-SUM(O28:Q28)</f>
        <v>13.182000000000002</v>
      </c>
      <c r="S28" s="467">
        <f>SUM(O28:R28)</f>
        <v>52.519000000000005</v>
      </c>
      <c r="T28" s="463"/>
      <c r="U28" s="464">
        <f>12.153+2.244</f>
        <v>14.397</v>
      </c>
      <c r="V28" s="465">
        <f>16.73+2.377</f>
        <v>19.106999999999999</v>
      </c>
      <c r="W28" s="465">
        <f>19.263+3.179</f>
        <v>22.442</v>
      </c>
      <c r="X28" s="466">
        <f>60.488+16.813-SUM(U28:W28)</f>
        <v>21.355000000000004</v>
      </c>
      <c r="Y28" s="467">
        <f>SUM(U28:X28)</f>
        <v>77.301000000000002</v>
      </c>
      <c r="Z28" s="463"/>
      <c r="AA28" s="464">
        <f>11.871+15.449</f>
        <v>27.32</v>
      </c>
      <c r="AB28" s="465">
        <f>18.404+9.407</f>
        <v>27.811</v>
      </c>
      <c r="AC28" s="465">
        <f>7.64+7.983</f>
        <v>15.622999999999999</v>
      </c>
      <c r="AD28" s="466">
        <f>46.417+48.053-SUM(AA28:AC28)</f>
        <v>23.715999999999994</v>
      </c>
      <c r="AE28" s="467">
        <f>SUM(AA28:AD28)</f>
        <v>94.47</v>
      </c>
      <c r="AF28" s="463"/>
      <c r="AG28" s="464">
        <f>14.071+10.393</f>
        <v>24.463999999999999</v>
      </c>
      <c r="AH28" s="465">
        <f>11.386+15.495</f>
        <v>26.881</v>
      </c>
      <c r="AI28" s="465">
        <f>13.897+13.539</f>
        <v>27.436</v>
      </c>
      <c r="AJ28" s="466">
        <f>32-8.963</f>
        <v>23.036999999999999</v>
      </c>
      <c r="AK28" s="467">
        <f>SUM(AG28:AJ28)</f>
        <v>101.81800000000001</v>
      </c>
      <c r="AL28" s="463"/>
      <c r="AM28" s="464">
        <f>-24.975+48.724</f>
        <v>23.748999999999995</v>
      </c>
      <c r="AN28" s="465">
        <f>13.483+12.965</f>
        <v>26.448</v>
      </c>
      <c r="AO28" s="465">
        <f>5.79+20.37</f>
        <v>26.16</v>
      </c>
      <c r="AP28" s="466">
        <f>39.708-8.517</f>
        <v>31.190999999999999</v>
      </c>
      <c r="AQ28" s="467">
        <f>SUM(AM28:AP28)</f>
        <v>107.548</v>
      </c>
      <c r="AR28" s="463"/>
      <c r="AS28" s="464">
        <f>23.811+10.411</f>
        <v>34.222000000000001</v>
      </c>
      <c r="AT28" s="465">
        <f>13.861+22.025</f>
        <v>35.885999999999996</v>
      </c>
      <c r="AU28" s="465">
        <f>18.954+11.723</f>
        <v>30.677</v>
      </c>
      <c r="AV28" s="465">
        <f>38.781-13.925</f>
        <v>24.855999999999998</v>
      </c>
      <c r="AW28" s="467">
        <f>SUM(AS28:AV28)</f>
        <v>125.64099999999999</v>
      </c>
      <c r="AX28" s="463"/>
      <c r="AY28" s="464">
        <f>41.388+2.587</f>
        <v>43.975000000000001</v>
      </c>
      <c r="AZ28" s="465">
        <f>38.925+9.617</f>
        <v>48.542000000000002</v>
      </c>
      <c r="BA28" s="465">
        <f>13.296+8.833+24.757</f>
        <v>46.885999999999996</v>
      </c>
      <c r="BB28" s="465">
        <f>32.143+0.056+10.584</f>
        <v>42.783000000000001</v>
      </c>
      <c r="BC28" s="467">
        <f>SUM(AY28:BB28)</f>
        <v>182.18599999999998</v>
      </c>
      <c r="BD28" s="463"/>
      <c r="BE28" s="2512">
        <f>28.377+6.904</f>
        <v>35.280999999999999</v>
      </c>
      <c r="BF28" s="2354">
        <f>40.581+2.116</f>
        <v>42.697000000000003</v>
      </c>
      <c r="BG28" s="2354">
        <f>37.429+5.675</f>
        <v>43.103999999999999</v>
      </c>
      <c r="BH28" s="2354">
        <f>26.701+10.625+6.696</f>
        <v>44.021999999999998</v>
      </c>
      <c r="BI28" s="467">
        <f>SUM(BE28:BH28)</f>
        <v>165.10400000000001</v>
      </c>
      <c r="BJ28" s="463"/>
      <c r="BK28" s="2512">
        <f>157-138+8</f>
        <v>27</v>
      </c>
      <c r="BL28" s="2354">
        <v>37.799999999999997</v>
      </c>
      <c r="BM28" s="2354">
        <v>42.1</v>
      </c>
      <c r="BN28" s="2964">
        <v>44.2</v>
      </c>
      <c r="BO28" s="467">
        <f>SUM(BK28:BN28)</f>
        <v>151.10000000000002</v>
      </c>
      <c r="BP28" s="463"/>
      <c r="BQ28" s="2512">
        <f>24+3+3</f>
        <v>30</v>
      </c>
      <c r="BR28" s="470">
        <f>+BR27*BR57</f>
        <v>38.4304125039287</v>
      </c>
      <c r="BS28" s="470">
        <f>+BS27*BS57</f>
        <v>40.077959258694591</v>
      </c>
      <c r="BT28" s="468">
        <f>+BT27*BT57</f>
        <v>42.648067500646647</v>
      </c>
      <c r="BU28" s="467">
        <f>SUM(BQ28:BT28)</f>
        <v>151.15643926326993</v>
      </c>
      <c r="BV28" s="463"/>
      <c r="BW28" s="469">
        <f>+BW27*BW57</f>
        <v>51.372795008029996</v>
      </c>
      <c r="BX28" s="470">
        <f>+BX27*BX57</f>
        <v>41.709783206508348</v>
      </c>
      <c r="BY28" s="470">
        <f>+BY27*BY57</f>
        <v>43.391769371926529</v>
      </c>
      <c r="BZ28" s="468">
        <f>+BZ27*BZ57</f>
        <v>45.977688404459592</v>
      </c>
      <c r="CA28" s="467">
        <f>SUM(BW28:BZ28)</f>
        <v>182.45203599092449</v>
      </c>
      <c r="CB28" s="463"/>
      <c r="CC28" s="469">
        <f>+CC27*CC57</f>
        <v>56.080631536062768</v>
      </c>
      <c r="CD28" s="470">
        <f>+CD27*CD57</f>
        <v>59.969400963976831</v>
      </c>
      <c r="CE28" s="470">
        <f>+CE27*CE57</f>
        <v>63.442756519164647</v>
      </c>
      <c r="CF28" s="468">
        <f>+CF27*CF57</f>
        <v>67.358230198161252</v>
      </c>
      <c r="CG28" s="467">
        <f>SUM(CC28:CF28)</f>
        <v>246.85101921736549</v>
      </c>
      <c r="CH28" s="463"/>
      <c r="CI28" s="469">
        <f t="shared" ref="CI28:CL28" si="70">+CI27*CI57</f>
        <v>79.379586822045269</v>
      </c>
      <c r="CJ28" s="470">
        <f t="shared" si="70"/>
        <v>51.675692345909596</v>
      </c>
      <c r="CK28" s="470">
        <f t="shared" si="70"/>
        <v>53.85957081911431</v>
      </c>
      <c r="CL28" s="468">
        <f t="shared" si="70"/>
        <v>57.226940362766612</v>
      </c>
      <c r="CM28" s="467">
        <f t="shared" ref="CM28" si="71">SUM(CI28:CL28)</f>
        <v>242.14179034983579</v>
      </c>
      <c r="CN28" s="463"/>
      <c r="CO28" s="469">
        <f t="shared" ref="CO28:CR28" si="72">+CO27*CO57</f>
        <v>69.085150821106637</v>
      </c>
      <c r="CP28" s="470">
        <f t="shared" si="72"/>
        <v>57.343553754876908</v>
      </c>
      <c r="CQ28" s="470">
        <f t="shared" si="72"/>
        <v>60.037084928523441</v>
      </c>
      <c r="CR28" s="468">
        <f t="shared" si="72"/>
        <v>63.844663094888055</v>
      </c>
      <c r="CS28" s="467">
        <f t="shared" ref="CS28" si="73">SUM(CO28:CR28)</f>
        <v>250.31045259939503</v>
      </c>
      <c r="CT28" s="434"/>
      <c r="CU28" s="428"/>
      <c r="CV28" s="428"/>
      <c r="DC28" s="2734"/>
      <c r="DD28" s="400"/>
      <c r="DE28" s="2463"/>
      <c r="DF28" s="2361"/>
      <c r="DG28" s="2361"/>
      <c r="DH28" s="2361"/>
      <c r="DI28" s="2361"/>
      <c r="DJ28" s="2361"/>
      <c r="DK28" s="2361"/>
      <c r="DL28" s="2435"/>
      <c r="DM28" s="2361"/>
      <c r="DN28" s="2361"/>
      <c r="DO28" s="2361"/>
      <c r="DP28" s="2361"/>
      <c r="DQ28" s="2361"/>
      <c r="DR28" s="2361"/>
      <c r="DS28" s="2361"/>
      <c r="DT28" s="2361"/>
      <c r="DU28" s="2361"/>
      <c r="DV28" s="2361"/>
      <c r="DW28" s="2361"/>
      <c r="DX28" s="2361"/>
      <c r="DY28" s="2361"/>
      <c r="DZ28" s="2361"/>
      <c r="EA28" s="2361"/>
    </row>
    <row r="29" spans="1:131">
      <c r="A29" s="1863" t="s">
        <v>571</v>
      </c>
      <c r="B29" s="428"/>
      <c r="C29" s="438">
        <v>0</v>
      </c>
      <c r="D29" s="439">
        <v>0</v>
      </c>
      <c r="E29" s="439">
        <v>0</v>
      </c>
      <c r="F29" s="2016">
        <v>0</v>
      </c>
      <c r="G29" s="441">
        <f>+SUM(C29:F29)</f>
        <v>0</v>
      </c>
      <c r="H29" s="428"/>
      <c r="I29" s="438">
        <v>0</v>
      </c>
      <c r="J29" s="439">
        <v>0</v>
      </c>
      <c r="K29" s="439">
        <v>0</v>
      </c>
      <c r="L29" s="2016">
        <v>0</v>
      </c>
      <c r="M29" s="441">
        <f>+SUM(I29:L29)</f>
        <v>0</v>
      </c>
      <c r="N29" s="428"/>
      <c r="O29" s="438">
        <v>0</v>
      </c>
      <c r="P29" s="439">
        <v>0</v>
      </c>
      <c r="Q29" s="439">
        <v>0</v>
      </c>
      <c r="R29" s="2016">
        <v>0</v>
      </c>
      <c r="S29" s="441">
        <f>+SUM(O29:R29)</f>
        <v>0</v>
      </c>
      <c r="T29" s="428"/>
      <c r="U29" s="438">
        <v>0</v>
      </c>
      <c r="V29" s="439">
        <v>0</v>
      </c>
      <c r="W29" s="439">
        <v>0</v>
      </c>
      <c r="X29" s="2016">
        <v>0</v>
      </c>
      <c r="Y29" s="441">
        <f>+SUM(U29:X29)</f>
        <v>0</v>
      </c>
      <c r="Z29" s="428"/>
      <c r="AA29" s="438">
        <v>0</v>
      </c>
      <c r="AB29" s="439">
        <v>0</v>
      </c>
      <c r="AC29" s="439">
        <v>0</v>
      </c>
      <c r="AD29" s="2016">
        <v>0</v>
      </c>
      <c r="AE29" s="441">
        <f>+SUM(AA29:AD29)</f>
        <v>0</v>
      </c>
      <c r="AF29" s="428"/>
      <c r="AG29" s="438">
        <v>0</v>
      </c>
      <c r="AH29" s="439">
        <v>0</v>
      </c>
      <c r="AI29" s="439">
        <v>0</v>
      </c>
      <c r="AJ29" s="2016">
        <v>0</v>
      </c>
      <c r="AK29" s="441">
        <f>+SUM(AG29:AJ29)</f>
        <v>0</v>
      </c>
      <c r="AL29" s="428"/>
      <c r="AM29" s="438">
        <v>0</v>
      </c>
      <c r="AN29" s="439">
        <v>0</v>
      </c>
      <c r="AO29" s="439">
        <v>0</v>
      </c>
      <c r="AP29" s="2016">
        <v>0</v>
      </c>
      <c r="AQ29" s="441">
        <f>+SUM(AM29:AP29)</f>
        <v>0</v>
      </c>
      <c r="AR29" s="428"/>
      <c r="AS29" s="438">
        <v>0</v>
      </c>
      <c r="AT29" s="439">
        <v>0</v>
      </c>
      <c r="AU29" s="439">
        <v>0</v>
      </c>
      <c r="AV29" s="2016">
        <v>0</v>
      </c>
      <c r="AW29" s="441">
        <f>+SUM(AS29:AV29)</f>
        <v>0</v>
      </c>
      <c r="AX29" s="428"/>
      <c r="AY29" s="438">
        <v>0</v>
      </c>
      <c r="AZ29" s="439">
        <v>0</v>
      </c>
      <c r="BA29" s="439">
        <v>2.556</v>
      </c>
      <c r="BB29" s="2016">
        <v>1.613</v>
      </c>
      <c r="BC29" s="441">
        <f>+SUM(AY29:BB29)</f>
        <v>4.1690000000000005</v>
      </c>
      <c r="BD29" s="428"/>
      <c r="BE29" s="2707">
        <v>2.3679999999999999</v>
      </c>
      <c r="BF29" s="2708">
        <v>4.0179999999999998</v>
      </c>
      <c r="BG29" s="2708">
        <v>11.952999999999999</v>
      </c>
      <c r="BH29" s="2731">
        <v>16.22</v>
      </c>
      <c r="BI29" s="441">
        <f>+SUM(BE29:BH29)</f>
        <v>34.558999999999997</v>
      </c>
      <c r="BJ29" s="428"/>
      <c r="BK29" s="2707">
        <f>19-6</f>
        <v>13</v>
      </c>
      <c r="BL29" s="2708">
        <v>7.9</v>
      </c>
      <c r="BM29" s="2708">
        <v>10.9</v>
      </c>
      <c r="BN29" s="2708">
        <v>10.199999999999999</v>
      </c>
      <c r="BO29" s="441">
        <f>+SUM(BK29:BN29)</f>
        <v>42</v>
      </c>
      <c r="BP29" s="428"/>
      <c r="BQ29" s="2707">
        <f>11</f>
        <v>11</v>
      </c>
      <c r="BR29" s="2477">
        <f>+BQ29*1.05</f>
        <v>11.55</v>
      </c>
      <c r="BS29" s="2477">
        <f>+BR29*1.05</f>
        <v>12.127500000000001</v>
      </c>
      <c r="BT29" s="2477">
        <f>+BS29*1.05</f>
        <v>12.733875000000001</v>
      </c>
      <c r="BU29" s="441">
        <f>+SUM(BQ29:BT29)</f>
        <v>47.411375000000007</v>
      </c>
      <c r="BV29" s="428"/>
      <c r="BW29" s="2522">
        <f t="shared" ref="BW29" si="74">+BT29*1.05</f>
        <v>13.370568750000002</v>
      </c>
      <c r="BX29" s="2477">
        <f t="shared" ref="BX29:BZ29" si="75">+BW29*1.05</f>
        <v>14.039097187500003</v>
      </c>
      <c r="BY29" s="2477">
        <f t="shared" si="75"/>
        <v>14.741052046875003</v>
      </c>
      <c r="BZ29" s="2477">
        <f t="shared" si="75"/>
        <v>15.478104649218754</v>
      </c>
      <c r="CA29" s="441">
        <f t="shared" ref="CA29" si="76">+SUM(BW29:BZ29)</f>
        <v>57.628822633593757</v>
      </c>
      <c r="CB29" s="428"/>
      <c r="CC29" s="2522">
        <f t="shared" ref="CC29" si="77">+BZ29*1.05</f>
        <v>16.25200988167969</v>
      </c>
      <c r="CD29" s="2477">
        <f t="shared" ref="CD29:CF29" si="78">+CC29*1.05</f>
        <v>17.064610375763674</v>
      </c>
      <c r="CE29" s="2477">
        <f t="shared" si="78"/>
        <v>17.917840894551858</v>
      </c>
      <c r="CF29" s="2477">
        <f t="shared" si="78"/>
        <v>18.813732939279451</v>
      </c>
      <c r="CG29" s="441">
        <f t="shared" ref="CG29" si="79">+SUM(CC29:CF29)</f>
        <v>70.048194091274667</v>
      </c>
      <c r="CH29" s="428"/>
      <c r="CI29" s="2522">
        <f t="shared" ref="CI29" si="80">+CF29*1.05</f>
        <v>19.754419586243422</v>
      </c>
      <c r="CJ29" s="2477">
        <f t="shared" ref="CJ29" si="81">+CI29*1.05</f>
        <v>20.742140565555594</v>
      </c>
      <c r="CK29" s="2477">
        <f t="shared" ref="CK29" si="82">+CJ29*1.05</f>
        <v>21.779247593833375</v>
      </c>
      <c r="CL29" s="2477">
        <f t="shared" ref="CL29" si="83">+CK29*1.05</f>
        <v>22.868209973525044</v>
      </c>
      <c r="CM29" s="441">
        <f t="shared" ref="CM29" si="84">+SUM(CI29:CL29)</f>
        <v>85.144017719157432</v>
      </c>
      <c r="CN29" s="428"/>
      <c r="CO29" s="2522">
        <f t="shared" ref="CO29" si="85">+CL29*1.05</f>
        <v>24.011620472201297</v>
      </c>
      <c r="CP29" s="2477">
        <f t="shared" ref="CP29" si="86">+CO29*1.05</f>
        <v>25.212201495811364</v>
      </c>
      <c r="CQ29" s="2477">
        <f t="shared" ref="CQ29" si="87">+CP29*1.05</f>
        <v>26.472811570601934</v>
      </c>
      <c r="CR29" s="2477">
        <f t="shared" ref="CR29" si="88">+CQ29*1.05</f>
        <v>27.796452149132033</v>
      </c>
      <c r="CS29" s="441">
        <f t="shared" ref="CS29" si="89">+SUM(CO29:CR29)</f>
        <v>103.49308568774663</v>
      </c>
      <c r="CT29" s="434"/>
      <c r="CU29" s="428"/>
      <c r="CV29" s="428"/>
      <c r="DC29" s="415"/>
      <c r="DD29" s="400"/>
      <c r="DE29" s="2463"/>
      <c r="DF29" s="2361"/>
      <c r="DG29" s="2361"/>
      <c r="DH29" s="2361"/>
      <c r="DI29" s="415"/>
      <c r="DJ29" s="415"/>
      <c r="DK29" s="415"/>
      <c r="DL29" s="415"/>
      <c r="DM29" s="2361"/>
      <c r="DN29" s="2361"/>
      <c r="DO29" s="2361"/>
      <c r="DP29" s="2361"/>
      <c r="DQ29" s="2361"/>
      <c r="DR29" s="2361"/>
      <c r="DS29" s="2361"/>
      <c r="DT29" s="2361"/>
      <c r="DU29" s="2361"/>
      <c r="DV29" s="2361"/>
      <c r="DW29" s="2361"/>
      <c r="DX29" s="2361"/>
      <c r="DY29" s="2361"/>
      <c r="DZ29" s="2361"/>
      <c r="EA29" s="2361"/>
    </row>
    <row r="30" spans="1:131">
      <c r="A30" s="1871" t="s">
        <v>96</v>
      </c>
      <c r="B30" s="412"/>
      <c r="C30" s="423">
        <f>C27-C28</f>
        <v>5.0430000000000046</v>
      </c>
      <c r="D30" s="412">
        <f>D27-D28</f>
        <v>9.0619999999999941</v>
      </c>
      <c r="E30" s="412">
        <f>E27-E28</f>
        <v>11.234000000000002</v>
      </c>
      <c r="F30" s="436">
        <f>F27-F28</f>
        <v>12.858000000000022</v>
      </c>
      <c r="G30" s="437">
        <f>G27-G28</f>
        <v>38.197000000000024</v>
      </c>
      <c r="H30" s="412"/>
      <c r="I30" s="423">
        <f>I27-I28</f>
        <v>11.628</v>
      </c>
      <c r="J30" s="412">
        <f>J27-J28</f>
        <v>15.175999999999991</v>
      </c>
      <c r="K30" s="412">
        <f>K27-K28</f>
        <v>15.900999999999986</v>
      </c>
      <c r="L30" s="436">
        <f>L27-L28</f>
        <v>27.61200000000003</v>
      </c>
      <c r="M30" s="437">
        <f>M27-M28</f>
        <v>70.317000000000007</v>
      </c>
      <c r="N30" s="423"/>
      <c r="O30" s="423">
        <f>O27-O28</f>
        <v>25.423000000000005</v>
      </c>
      <c r="P30" s="412">
        <f>P27-P28</f>
        <v>29.166000000000004</v>
      </c>
      <c r="Q30" s="412">
        <f>Q27-Q28</f>
        <v>22.561000000000021</v>
      </c>
      <c r="R30" s="436">
        <f>R27-R28</f>
        <v>27.024999999999977</v>
      </c>
      <c r="S30" s="437">
        <f>S27-S28</f>
        <v>104.17500000000004</v>
      </c>
      <c r="T30" s="412"/>
      <c r="U30" s="423">
        <f>U27-U28</f>
        <v>26.558000000000014</v>
      </c>
      <c r="V30" s="412">
        <f>V27-V28</f>
        <v>34.035999999999994</v>
      </c>
      <c r="W30" s="412">
        <f>W27-W28</f>
        <v>40.739999999999995</v>
      </c>
      <c r="X30" s="436">
        <f>X27-X28</f>
        <v>40.84999999999998</v>
      </c>
      <c r="Y30" s="437">
        <f>Y27-Y28</f>
        <v>142.18400000000003</v>
      </c>
      <c r="Z30" s="412"/>
      <c r="AA30" s="423">
        <f>AA27-AA28</f>
        <v>50.266999999999989</v>
      </c>
      <c r="AB30" s="412">
        <f>AB27-AB28</f>
        <v>52.489999999999988</v>
      </c>
      <c r="AC30" s="412">
        <f>AC27-AC28</f>
        <v>29.727999999999994</v>
      </c>
      <c r="AD30" s="436">
        <f>AD27-AD28</f>
        <v>43.522999999999954</v>
      </c>
      <c r="AE30" s="437">
        <f>AE27-AE28</f>
        <v>176.00799999999978</v>
      </c>
      <c r="AF30" s="412"/>
      <c r="AG30" s="423">
        <f>AG27-AG28</f>
        <v>47.551999999999992</v>
      </c>
      <c r="AH30" s="412">
        <f>AH27-AH28</f>
        <v>52.572999999999951</v>
      </c>
      <c r="AI30" s="412">
        <f>AI27-AI28</f>
        <v>53.503000000000036</v>
      </c>
      <c r="AJ30" s="436">
        <f>AJ27-AJ28</f>
        <v>56.800000000000018</v>
      </c>
      <c r="AK30" s="437">
        <f>AK27-AK28</f>
        <v>210.42800000000008</v>
      </c>
      <c r="AL30" s="412"/>
      <c r="AM30" s="423">
        <f>AM27-AM28</f>
        <v>62.619000000000028</v>
      </c>
      <c r="AN30" s="412">
        <f>AN27-AN28</f>
        <v>59.69400000000001</v>
      </c>
      <c r="AO30" s="412">
        <f>AO27-AO28</f>
        <v>62.846000000000046</v>
      </c>
      <c r="AP30" s="436">
        <f>AP27-AP28</f>
        <v>64.504000000000019</v>
      </c>
      <c r="AQ30" s="437">
        <f>AQ27-AQ28</f>
        <v>249.66300000000012</v>
      </c>
      <c r="AR30" s="412"/>
      <c r="AS30" s="423">
        <f>AS27-AS28+AS29</f>
        <v>80.046999999999997</v>
      </c>
      <c r="AT30" s="412">
        <f>AT27-AT28+AT29</f>
        <v>84.57</v>
      </c>
      <c r="AU30" s="412">
        <f>AU27-AU28+AU29</f>
        <v>113.65100000000004</v>
      </c>
      <c r="AV30" s="436">
        <f>AV27-AV28+AV29</f>
        <v>128.94900000000001</v>
      </c>
      <c r="AW30" s="437">
        <f>AW27-AW28+AW29</f>
        <v>407.21699999999964</v>
      </c>
      <c r="AX30" s="412"/>
      <c r="AY30" s="423">
        <f>AY27-AY28+AY29</f>
        <v>135.37600000000006</v>
      </c>
      <c r="AZ30" s="412">
        <f>AZ27-AZ28+AZ29</f>
        <v>119.67099999999991</v>
      </c>
      <c r="BA30" s="412">
        <f>BA27-BA28+BA29</f>
        <v>119.58599999999997</v>
      </c>
      <c r="BB30" s="436">
        <f>BB27-BB28+BB29</f>
        <v>120.57000000000001</v>
      </c>
      <c r="BC30" s="437">
        <f>BC27-BC28+BC29</f>
        <v>495.20299999999969</v>
      </c>
      <c r="BD30" s="412"/>
      <c r="BE30" s="423">
        <f>BE27-BE28+BE29</f>
        <v>105.53700000000009</v>
      </c>
      <c r="BF30" s="412">
        <f>BF27-BF28+BF29</f>
        <v>127.20400000000001</v>
      </c>
      <c r="BG30" s="412">
        <f>BG27-BG28+BG29</f>
        <v>144.05800000000002</v>
      </c>
      <c r="BH30" s="436">
        <f>BH27-BH28+BH29</f>
        <v>126.43300000000005</v>
      </c>
      <c r="BI30" s="437">
        <f>BI27-BI28+BI29</f>
        <v>503.23200000000043</v>
      </c>
      <c r="BJ30" s="412"/>
      <c r="BK30" s="423">
        <f>BK27-BK28+BK29</f>
        <v>94</v>
      </c>
      <c r="BL30" s="412">
        <f>BL27-BL28+BL29</f>
        <v>121.3</v>
      </c>
      <c r="BM30" s="412">
        <f>BM27-BM28+BM29</f>
        <v>163.42000000000002</v>
      </c>
      <c r="BN30" s="436">
        <f>BN27-BN28+BN29</f>
        <v>212.12000000000012</v>
      </c>
      <c r="BO30" s="437">
        <f>BO27-BO28+BO29</f>
        <v>590.84000000000026</v>
      </c>
      <c r="BP30" s="412"/>
      <c r="BQ30" s="423">
        <f>BQ27-BQ28+BQ29</f>
        <v>214</v>
      </c>
      <c r="BR30" s="412">
        <f>BR27-BR28+BR29</f>
        <v>165.27165001571481</v>
      </c>
      <c r="BS30" s="412">
        <f>BS27-BS28+BS29</f>
        <v>172.43933703477836</v>
      </c>
      <c r="BT30" s="436">
        <f>BT27-BT28+BT29</f>
        <v>183.32614500258657</v>
      </c>
      <c r="BU30" s="437">
        <f>BU27-BU28+BU29</f>
        <v>735.0371320530802</v>
      </c>
      <c r="BV30" s="412"/>
      <c r="BW30" s="423">
        <f>BW27-BW28+BW29</f>
        <v>218.86174878211997</v>
      </c>
      <c r="BX30" s="412">
        <f>BX27-BX28+BX29</f>
        <v>180.87823001353337</v>
      </c>
      <c r="BY30" s="412">
        <f>BY27-BY28+BY29</f>
        <v>188.3081295345811</v>
      </c>
      <c r="BZ30" s="436">
        <f>BZ27-BZ28+BZ29</f>
        <v>199.38885826705709</v>
      </c>
      <c r="CA30" s="437">
        <f>CA27-CA28+CA29</f>
        <v>787.43696659729198</v>
      </c>
      <c r="CB30" s="412"/>
      <c r="CC30" s="423">
        <f>CC27-CC28+CC29</f>
        <v>240.57453602593077</v>
      </c>
      <c r="CD30" s="412">
        <f>CD27-CD28+CD29</f>
        <v>256.94221423167102</v>
      </c>
      <c r="CE30" s="412">
        <f>CE27-CE28+CE29</f>
        <v>271.68886697121042</v>
      </c>
      <c r="CF30" s="436">
        <f>CF27-CF28+CF29</f>
        <v>288.24665373192443</v>
      </c>
      <c r="CG30" s="437">
        <f>CG27-CG28+CG29</f>
        <v>1057.4522709607365</v>
      </c>
      <c r="CH30" s="412"/>
      <c r="CI30" s="423">
        <f t="shared" ref="CI30:CM30" si="90">CI27-CI28+CI29</f>
        <v>337.27276687442452</v>
      </c>
      <c r="CJ30" s="412">
        <f t="shared" si="90"/>
        <v>227.44490994919394</v>
      </c>
      <c r="CK30" s="412">
        <f t="shared" si="90"/>
        <v>237.2175308702906</v>
      </c>
      <c r="CL30" s="436">
        <f t="shared" si="90"/>
        <v>251.77597142459146</v>
      </c>
      <c r="CM30" s="437">
        <f t="shared" si="90"/>
        <v>1053.7111791185009</v>
      </c>
      <c r="CN30" s="412"/>
      <c r="CO30" s="423">
        <f t="shared" ref="CO30:CS30" si="91">CO27-CO28+CO29</f>
        <v>300.35222375662784</v>
      </c>
      <c r="CP30" s="412">
        <f t="shared" si="91"/>
        <v>254.586416515319</v>
      </c>
      <c r="CQ30" s="412">
        <f t="shared" si="91"/>
        <v>266.62115128469571</v>
      </c>
      <c r="CR30" s="436">
        <f t="shared" si="91"/>
        <v>283.17510452868424</v>
      </c>
      <c r="CS30" s="437">
        <f t="shared" si="91"/>
        <v>1104.7348960853265</v>
      </c>
      <c r="CT30" s="924"/>
      <c r="CU30" s="401"/>
      <c r="CV30" s="923"/>
      <c r="DC30" s="581"/>
      <c r="DD30" s="400"/>
      <c r="DE30" s="400"/>
      <c r="DF30" s="400"/>
      <c r="DG30" s="400"/>
      <c r="DH30" s="400"/>
      <c r="DI30" s="400"/>
      <c r="DJ30" s="400"/>
      <c r="DK30" s="400"/>
      <c r="DL30" s="400"/>
      <c r="DM30" s="2361"/>
      <c r="DN30" s="2361"/>
      <c r="DO30" s="2361"/>
      <c r="DP30" s="2361"/>
      <c r="DQ30" s="2361"/>
      <c r="DR30" s="2361"/>
      <c r="DS30" s="2361"/>
      <c r="DT30" s="2361"/>
      <c r="DU30" s="2361"/>
      <c r="DV30" s="2361"/>
      <c r="DW30" s="2361"/>
      <c r="DX30" s="2361"/>
      <c r="DY30" s="2361"/>
      <c r="DZ30" s="2361"/>
      <c r="EA30" s="2361"/>
    </row>
    <row r="31" spans="1:131">
      <c r="A31" s="1870" t="s">
        <v>369</v>
      </c>
      <c r="B31" s="472"/>
      <c r="C31" s="473">
        <f>SUM(C106:C116)</f>
        <v>303.11899999999997</v>
      </c>
      <c r="D31" s="472">
        <f>SUM(D106:D116)</f>
        <v>-0.20199999999999996</v>
      </c>
      <c r="E31" s="472">
        <f>SUM(E106:E116)</f>
        <v>-3.2690000000000001</v>
      </c>
      <c r="F31" s="474">
        <f>SUM(F106:F116)</f>
        <v>16.908000000000001</v>
      </c>
      <c r="G31" s="475">
        <f>SUM(G106:G116)</f>
        <v>316.55599999999998</v>
      </c>
      <c r="H31" s="472"/>
      <c r="I31" s="473">
        <f>SUM(I106:I116)</f>
        <v>0.88499999999999979</v>
      </c>
      <c r="J31" s="472">
        <f>SUM(J106:J116)</f>
        <v>2.5169999999999986</v>
      </c>
      <c r="K31" s="472">
        <f>SUM(K106:K116)</f>
        <v>25.978999999999999</v>
      </c>
      <c r="L31" s="474">
        <f>SUM(L106:L116)</f>
        <v>1.5200000000000049</v>
      </c>
      <c r="M31" s="475">
        <f>SUM(M106:M116)</f>
        <v>30.901000000000003</v>
      </c>
      <c r="N31" s="472"/>
      <c r="O31" s="473">
        <f>SUM(O106:O116)</f>
        <v>6.6119999999999992</v>
      </c>
      <c r="P31" s="472">
        <f>SUM(P106:P116)</f>
        <v>4.4779999999999998</v>
      </c>
      <c r="Q31" s="472">
        <f>SUM(Q106:Q116)</f>
        <v>5.4840000000000009</v>
      </c>
      <c r="R31" s="474">
        <f>SUM(R106:R116)</f>
        <v>15.319999999999997</v>
      </c>
      <c r="S31" s="475">
        <f>SUM(S106:S116)</f>
        <v>31.893999999999991</v>
      </c>
      <c r="T31" s="472"/>
      <c r="U31" s="473">
        <f>SUM(U106:U116)</f>
        <v>5.35</v>
      </c>
      <c r="V31" s="472">
        <f>SUM(V106:V116)</f>
        <v>4.24</v>
      </c>
      <c r="W31" s="472">
        <f>SUM(W106:W116)</f>
        <v>5.2929999999999993</v>
      </c>
      <c r="X31" s="474">
        <f>SUM(X106:X116)</f>
        <v>2.4100000000000037</v>
      </c>
      <c r="Y31" s="475">
        <f>SUM(Y106:Y116)</f>
        <v>17.292999999999999</v>
      </c>
      <c r="Z31" s="472"/>
      <c r="AA31" s="473">
        <f>SUM(AA106:AA116)</f>
        <v>26.13000000000001</v>
      </c>
      <c r="AB31" s="472">
        <f>SUM(AB106:AB116)</f>
        <v>21.87</v>
      </c>
      <c r="AC31" s="472">
        <f>SUM(AC106:AC116)</f>
        <v>9.5769999999999982</v>
      </c>
      <c r="AD31" s="474">
        <f>SUM(AD106:AD116)</f>
        <v>31.803000000000004</v>
      </c>
      <c r="AE31" s="475">
        <f>SUM(AE106:AE116)</f>
        <v>89.38000000000001</v>
      </c>
      <c r="AF31" s="472"/>
      <c r="AG31" s="473">
        <f>SUM(AG106:AG116)</f>
        <v>21.349999999999998</v>
      </c>
      <c r="AH31" s="472">
        <f>SUM(AH106:AH116)</f>
        <v>29.171999999999997</v>
      </c>
      <c r="AI31" s="472">
        <f>SUM(AI106:AI116)</f>
        <v>23.755000000000003</v>
      </c>
      <c r="AJ31" s="474">
        <f>SUM(AJ106:AJ116)</f>
        <v>-15.103000000000002</v>
      </c>
      <c r="AK31" s="475">
        <f>SUM(AK106:AK116)</f>
        <v>59.173999999999992</v>
      </c>
      <c r="AL31" s="472"/>
      <c r="AM31" s="473">
        <f>SUM(AM106:AM116)</f>
        <v>85.205999999999989</v>
      </c>
      <c r="AN31" s="472">
        <f>SUM(AN106:AN116)</f>
        <v>23.817</v>
      </c>
      <c r="AO31" s="472">
        <f>SUM(AO106:AO116)</f>
        <v>31.488999999999997</v>
      </c>
      <c r="AP31" s="474">
        <f>SUM(AP106:AP116)</f>
        <v>-16.157000000000004</v>
      </c>
      <c r="AQ31" s="475">
        <f>SUM(AQ106:AQ116)</f>
        <v>124.35499999999999</v>
      </c>
      <c r="AR31" s="472"/>
      <c r="AS31" s="473">
        <f>SUM(AS106:AS116)</f>
        <v>20.07</v>
      </c>
      <c r="AT31" s="472">
        <f>SUM(AT106:AT116)</f>
        <v>37.965000000000003</v>
      </c>
      <c r="AU31" s="472">
        <f>SUM(AU106:AU116)</f>
        <v>20.161999999999999</v>
      </c>
      <c r="AV31" s="472">
        <f>SUM(AV106:AV116)</f>
        <v>-24.330999999999996</v>
      </c>
      <c r="AW31" s="475">
        <f>SUM(AW106:AW116)</f>
        <v>53.866000000000007</v>
      </c>
      <c r="AX31" s="472"/>
      <c r="AY31" s="473">
        <f>SUM(AY106:AY116)</f>
        <v>-1.282</v>
      </c>
      <c r="AZ31" s="472">
        <f>SUM(AZ106:AZ116)</f>
        <v>17.423999999999999</v>
      </c>
      <c r="BA31" s="472">
        <f>SUM(BA106:BA116)</f>
        <v>1.4089999999999989</v>
      </c>
      <c r="BB31" s="472">
        <f>SUM(BB106:BB116)</f>
        <v>16.092999999999996</v>
      </c>
      <c r="BC31" s="475">
        <f>SUM(BC106:BC116)</f>
        <v>33.644000000000005</v>
      </c>
      <c r="BD31" s="472"/>
      <c r="BE31" s="473">
        <f>SUM(BE106:BE116)</f>
        <v>15.95</v>
      </c>
      <c r="BF31" s="472">
        <f>SUM(BF106:BF116)</f>
        <v>6.7919999999999998</v>
      </c>
      <c r="BG31" s="472">
        <f>SUM(BG106:BG116)</f>
        <v>15.169999999999998</v>
      </c>
      <c r="BH31" s="472">
        <f>SUM(BH106:BH116)</f>
        <v>2.6710000000000012</v>
      </c>
      <c r="BI31" s="475">
        <f>SUM(BI106:BI116)</f>
        <v>40.582999999999998</v>
      </c>
      <c r="BJ31" s="472"/>
      <c r="BK31" s="473">
        <f>SUM(BK106:BK116)</f>
        <v>-267</v>
      </c>
      <c r="BL31" s="472">
        <f>SUM(BL106:BL116)</f>
        <v>-6</v>
      </c>
      <c r="BM31" s="472">
        <f>SUM(BM106:BM116)</f>
        <v>0</v>
      </c>
      <c r="BN31" s="474">
        <f>SUM(BN106:BN116)</f>
        <v>144</v>
      </c>
      <c r="BO31" s="475">
        <f>SUM(BO106:BO116)</f>
        <v>-129</v>
      </c>
      <c r="BP31" s="472"/>
      <c r="BQ31" s="473">
        <f>SUM(BQ106:BQ116)</f>
        <v>6</v>
      </c>
      <c r="BR31" s="472">
        <f>SUM(BR106:BR116)</f>
        <v>7</v>
      </c>
      <c r="BS31" s="472">
        <f>SUM(BS106:BS116)</f>
        <v>7</v>
      </c>
      <c r="BT31" s="474">
        <f>SUM(BT106:BT116)</f>
        <v>7</v>
      </c>
      <c r="BU31" s="475">
        <f>SUM(BU106:BU116)</f>
        <v>27</v>
      </c>
      <c r="BV31" s="472"/>
      <c r="BW31" s="473">
        <f>SUM(BW106:BW116)</f>
        <v>13</v>
      </c>
      <c r="BX31" s="472">
        <f>SUM(BX106:BX116)</f>
        <v>13</v>
      </c>
      <c r="BY31" s="472">
        <f>SUM(BY106:BY116)</f>
        <v>13</v>
      </c>
      <c r="BZ31" s="474">
        <f>SUM(BZ106:BZ116)</f>
        <v>13</v>
      </c>
      <c r="CA31" s="475">
        <f>SUM(CA106:CA116)</f>
        <v>52</v>
      </c>
      <c r="CB31" s="472"/>
      <c r="CC31" s="473">
        <f>SUM(CC106:CC116)</f>
        <v>13</v>
      </c>
      <c r="CD31" s="472">
        <f>SUM(CD106:CD116)</f>
        <v>13</v>
      </c>
      <c r="CE31" s="472">
        <f>SUM(CE106:CE116)</f>
        <v>13</v>
      </c>
      <c r="CF31" s="474">
        <f>SUM(CF106:CF116)</f>
        <v>13</v>
      </c>
      <c r="CG31" s="475">
        <f>SUM(CG106:CG116)</f>
        <v>52</v>
      </c>
      <c r="CH31" s="472"/>
      <c r="CI31" s="473">
        <f t="shared" ref="CI31:CM31" si="92">SUM(CI106:CI116)</f>
        <v>13</v>
      </c>
      <c r="CJ31" s="472">
        <f t="shared" si="92"/>
        <v>13</v>
      </c>
      <c r="CK31" s="472">
        <f t="shared" si="92"/>
        <v>13</v>
      </c>
      <c r="CL31" s="474">
        <f t="shared" si="92"/>
        <v>13</v>
      </c>
      <c r="CM31" s="475">
        <f t="shared" si="92"/>
        <v>52</v>
      </c>
      <c r="CN31" s="472"/>
      <c r="CO31" s="473">
        <f t="shared" ref="CO31:CS31" si="93">SUM(CO106:CO116)</f>
        <v>13</v>
      </c>
      <c r="CP31" s="472">
        <f t="shared" si="93"/>
        <v>13</v>
      </c>
      <c r="CQ31" s="472">
        <f t="shared" si="93"/>
        <v>13</v>
      </c>
      <c r="CR31" s="474">
        <f t="shared" si="93"/>
        <v>13</v>
      </c>
      <c r="CS31" s="475">
        <f t="shared" si="93"/>
        <v>52</v>
      </c>
      <c r="CT31" s="434"/>
      <c r="CU31" s="428"/>
      <c r="CV31" s="428"/>
      <c r="DC31" s="2361"/>
      <c r="DD31" s="400"/>
      <c r="DE31" s="400"/>
      <c r="DF31" s="400"/>
      <c r="DG31" s="400"/>
      <c r="DH31" s="400"/>
      <c r="DI31" s="400"/>
      <c r="DJ31" s="400"/>
      <c r="DK31" s="400"/>
      <c r="DL31" s="400"/>
      <c r="DM31" s="2361"/>
      <c r="DN31" s="2361"/>
      <c r="DO31" s="2361"/>
      <c r="DP31" s="2361"/>
      <c r="DQ31" s="2361"/>
      <c r="DR31" s="2361"/>
      <c r="DS31" s="2361"/>
      <c r="DT31" s="2361"/>
      <c r="DU31" s="2361"/>
      <c r="DV31" s="2361"/>
      <c r="DW31" s="2361"/>
      <c r="DX31" s="2361"/>
      <c r="DY31" s="2361"/>
      <c r="DZ31" s="2361"/>
      <c r="EA31" s="2361"/>
    </row>
    <row r="32" spans="1:131">
      <c r="A32" s="1871" t="s">
        <v>20</v>
      </c>
      <c r="B32" s="474"/>
      <c r="C32" s="423">
        <f>C30-C31</f>
        <v>-298.07599999999996</v>
      </c>
      <c r="D32" s="412">
        <f>D30-D31</f>
        <v>9.263999999999994</v>
      </c>
      <c r="E32" s="412">
        <f>E30-E31</f>
        <v>14.503000000000002</v>
      </c>
      <c r="F32" s="436">
        <f>F30-F31</f>
        <v>-4.0499999999999794</v>
      </c>
      <c r="G32" s="437">
        <f>G30-G31</f>
        <v>-278.35899999999998</v>
      </c>
      <c r="H32" s="1825"/>
      <c r="I32" s="423">
        <f>I30-I31</f>
        <v>10.743</v>
      </c>
      <c r="J32" s="412">
        <f>J30-J31</f>
        <v>12.658999999999992</v>
      </c>
      <c r="K32" s="412">
        <f>K30-K31</f>
        <v>-10.078000000000014</v>
      </c>
      <c r="L32" s="436">
        <f>L30-L31</f>
        <v>26.092000000000027</v>
      </c>
      <c r="M32" s="437">
        <f>M30-M31</f>
        <v>39.416000000000004</v>
      </c>
      <c r="N32" s="1825"/>
      <c r="O32" s="423">
        <f>O30-O31</f>
        <v>18.811000000000007</v>
      </c>
      <c r="P32" s="412">
        <f>P30-P31</f>
        <v>24.688000000000002</v>
      </c>
      <c r="Q32" s="412">
        <f>Q30-Q31</f>
        <v>17.077000000000019</v>
      </c>
      <c r="R32" s="436">
        <f>R30-R31</f>
        <v>11.704999999999981</v>
      </c>
      <c r="S32" s="437">
        <f>S30-S31</f>
        <v>72.281000000000049</v>
      </c>
      <c r="T32" s="1825"/>
      <c r="U32" s="423">
        <f>U30-U31</f>
        <v>21.208000000000013</v>
      </c>
      <c r="V32" s="412">
        <f>V30-V31</f>
        <v>29.795999999999992</v>
      </c>
      <c r="W32" s="412">
        <f>W30-W31</f>
        <v>35.446999999999996</v>
      </c>
      <c r="X32" s="436">
        <f>X30-X31</f>
        <v>38.439999999999976</v>
      </c>
      <c r="Y32" s="437">
        <f>Y30-Y31</f>
        <v>124.89100000000002</v>
      </c>
      <c r="Z32" s="1825"/>
      <c r="AA32" s="423">
        <f>AA30-AA31</f>
        <v>24.136999999999979</v>
      </c>
      <c r="AB32" s="412">
        <f>AB30-AB31</f>
        <v>30.619999999999987</v>
      </c>
      <c r="AC32" s="412">
        <f>AC30-AC31</f>
        <v>20.150999999999996</v>
      </c>
      <c r="AD32" s="436">
        <f>AD30-AD31</f>
        <v>11.719999999999949</v>
      </c>
      <c r="AE32" s="437">
        <f>AE30-AE31</f>
        <v>86.627999999999773</v>
      </c>
      <c r="AF32" s="1825"/>
      <c r="AG32" s="423">
        <f>AG30-AG31</f>
        <v>26.201999999999995</v>
      </c>
      <c r="AH32" s="412">
        <f>AH30-AH31</f>
        <v>23.400999999999954</v>
      </c>
      <c r="AI32" s="412">
        <f>AI30-AI31</f>
        <v>29.748000000000033</v>
      </c>
      <c r="AJ32" s="412">
        <f>AJ30-AJ31</f>
        <v>71.90300000000002</v>
      </c>
      <c r="AK32" s="437">
        <f>AK30-AK31</f>
        <v>151.25400000000008</v>
      </c>
      <c r="AL32" s="1825"/>
      <c r="AM32" s="423">
        <f>AM30-AM31</f>
        <v>-22.586999999999961</v>
      </c>
      <c r="AN32" s="412">
        <f>AN30-AN31</f>
        <v>35.87700000000001</v>
      </c>
      <c r="AO32" s="412">
        <f>AO30-AO31</f>
        <v>31.357000000000049</v>
      </c>
      <c r="AP32" s="412">
        <f>AP30-AP31</f>
        <v>80.66100000000003</v>
      </c>
      <c r="AQ32" s="437">
        <f>AQ30-AQ31</f>
        <v>125.30800000000013</v>
      </c>
      <c r="AR32" s="1825"/>
      <c r="AS32" s="423">
        <f>AS30-AS31</f>
        <v>59.976999999999997</v>
      </c>
      <c r="AT32" s="412">
        <f>AT30-AT31</f>
        <v>46.60499999999999</v>
      </c>
      <c r="AU32" s="412">
        <f>AU30-AU31</f>
        <v>93.489000000000033</v>
      </c>
      <c r="AV32" s="412">
        <f>AV30-AV31</f>
        <v>153.28</v>
      </c>
      <c r="AW32" s="437">
        <f>AW30-AW31</f>
        <v>353.35099999999966</v>
      </c>
      <c r="AX32" s="1825"/>
      <c r="AY32" s="423">
        <f>AY30-AY31</f>
        <v>136.65800000000007</v>
      </c>
      <c r="AZ32" s="412">
        <f>AZ30-AZ31</f>
        <v>102.2469999999999</v>
      </c>
      <c r="BA32" s="412">
        <f>BA30-BA31</f>
        <v>118.17699999999996</v>
      </c>
      <c r="BB32" s="412">
        <f>BB30-BB31</f>
        <v>104.477</v>
      </c>
      <c r="BC32" s="437">
        <f>BC30-BC31</f>
        <v>461.55899999999968</v>
      </c>
      <c r="BD32" s="1825"/>
      <c r="BE32" s="423">
        <f>BE30-BE31</f>
        <v>89.587000000000089</v>
      </c>
      <c r="BF32" s="412">
        <f>BF30-BF31</f>
        <v>120.41200000000001</v>
      </c>
      <c r="BG32" s="412">
        <f>BG30-BG31</f>
        <v>128.88800000000003</v>
      </c>
      <c r="BH32" s="412">
        <f>BH30-BH31</f>
        <v>123.76200000000004</v>
      </c>
      <c r="BI32" s="437">
        <f>BI30-BI31</f>
        <v>462.64900000000046</v>
      </c>
      <c r="BJ32" s="1825"/>
      <c r="BK32" s="423">
        <f>BK30-BK31</f>
        <v>361</v>
      </c>
      <c r="BL32" s="412">
        <f>BL30-BL31</f>
        <v>127.3</v>
      </c>
      <c r="BM32" s="412">
        <f>BM30-BM31</f>
        <v>163.42000000000002</v>
      </c>
      <c r="BN32" s="412">
        <f>BN30-BN31</f>
        <v>68.120000000000118</v>
      </c>
      <c r="BO32" s="437">
        <f>BO30-BO31</f>
        <v>719.84000000000026</v>
      </c>
      <c r="BP32" s="1825"/>
      <c r="BQ32" s="423">
        <f>BQ30-BQ31</f>
        <v>208</v>
      </c>
      <c r="BR32" s="412">
        <f>BR30-BR31</f>
        <v>158.27165001571481</v>
      </c>
      <c r="BS32" s="412">
        <f>BS30-BS31</f>
        <v>165.43933703477836</v>
      </c>
      <c r="BT32" s="412">
        <f>BT30-BT31</f>
        <v>176.32614500258657</v>
      </c>
      <c r="BU32" s="437">
        <f>BU30-BU31</f>
        <v>708.0371320530802</v>
      </c>
      <c r="BV32" s="1825"/>
      <c r="BW32" s="423">
        <f>BW30-BW31</f>
        <v>205.86174878211997</v>
      </c>
      <c r="BX32" s="412">
        <f>BX30-BX31</f>
        <v>167.87823001353337</v>
      </c>
      <c r="BY32" s="412">
        <f>BY30-BY31</f>
        <v>175.3081295345811</v>
      </c>
      <c r="BZ32" s="412">
        <f>BZ30-BZ31</f>
        <v>186.38885826705709</v>
      </c>
      <c r="CA32" s="437">
        <f>CA30-CA31</f>
        <v>735.43696659729198</v>
      </c>
      <c r="CB32" s="1825"/>
      <c r="CC32" s="423">
        <f>CC30-CC31</f>
        <v>227.57453602593077</v>
      </c>
      <c r="CD32" s="412">
        <f>CD30-CD31</f>
        <v>243.94221423167102</v>
      </c>
      <c r="CE32" s="412">
        <f>CE30-CE31</f>
        <v>258.68886697121042</v>
      </c>
      <c r="CF32" s="412">
        <f>CF30-CF31</f>
        <v>275.24665373192443</v>
      </c>
      <c r="CG32" s="437">
        <f>CG30-CG31</f>
        <v>1005.4522709607365</v>
      </c>
      <c r="CH32" s="1825"/>
      <c r="CI32" s="423">
        <f t="shared" ref="CI32:CM32" si="94">CI30-CI31</f>
        <v>324.27276687442452</v>
      </c>
      <c r="CJ32" s="412">
        <f t="shared" si="94"/>
        <v>214.44490994919394</v>
      </c>
      <c r="CK32" s="412">
        <f t="shared" si="94"/>
        <v>224.2175308702906</v>
      </c>
      <c r="CL32" s="412">
        <f t="shared" si="94"/>
        <v>238.77597142459146</v>
      </c>
      <c r="CM32" s="437">
        <f t="shared" si="94"/>
        <v>1001.7111791185009</v>
      </c>
      <c r="CN32" s="1825"/>
      <c r="CO32" s="423">
        <f t="shared" ref="CO32:CS32" si="95">CO30-CO31</f>
        <v>287.35222375662784</v>
      </c>
      <c r="CP32" s="412">
        <f t="shared" si="95"/>
        <v>241.586416515319</v>
      </c>
      <c r="CQ32" s="412">
        <f t="shared" si="95"/>
        <v>253.62115128469571</v>
      </c>
      <c r="CR32" s="412">
        <f t="shared" si="95"/>
        <v>270.17510452868424</v>
      </c>
      <c r="CS32" s="437">
        <f t="shared" si="95"/>
        <v>1052.7348960853265</v>
      </c>
      <c r="CT32" s="434"/>
      <c r="CU32" s="428"/>
      <c r="CV32" s="428"/>
      <c r="DC32" s="400"/>
      <c r="DD32" s="400"/>
      <c r="DE32" s="400"/>
      <c r="DF32" s="400"/>
      <c r="DG32" s="400"/>
      <c r="DH32" s="400"/>
      <c r="DI32" s="400"/>
      <c r="DJ32" s="400"/>
      <c r="DK32" s="400"/>
      <c r="DL32" s="400"/>
      <c r="DM32" s="2361"/>
      <c r="DN32" s="2361"/>
      <c r="DO32" s="2361"/>
      <c r="DP32" s="2361"/>
      <c r="DQ32" s="2361"/>
      <c r="DR32" s="2361"/>
      <c r="DS32" s="2361"/>
      <c r="DT32" s="2361"/>
      <c r="DU32" s="2361"/>
      <c r="DV32" s="2361"/>
      <c r="DW32" s="2361"/>
      <c r="DX32" s="2361"/>
      <c r="DY32" s="2361"/>
      <c r="DZ32" s="2361"/>
      <c r="EA32" s="2361"/>
    </row>
    <row r="33" spans="1:131" ht="15" customHeight="1">
      <c r="A33" s="1872" t="s">
        <v>438</v>
      </c>
      <c r="B33" s="1826"/>
      <c r="C33" s="1827">
        <f>C30/C42</f>
        <v>4.3459152016546057E-2</v>
      </c>
      <c r="D33" s="1828">
        <f>D30/D42</f>
        <v>7.8038614560548336E-2</v>
      </c>
      <c r="E33" s="1828">
        <f>E30/E42</f>
        <v>9.4570250021045549E-2</v>
      </c>
      <c r="F33" s="1829">
        <f>F30/F42</f>
        <v>0.1091918883114238</v>
      </c>
      <c r="G33" s="1830">
        <f>G30/G42</f>
        <v>0.32686120143761788</v>
      </c>
      <c r="H33" s="1831"/>
      <c r="I33" s="1827">
        <f>I30/I42</f>
        <v>9.6143669797592271E-2</v>
      </c>
      <c r="J33" s="1828">
        <f>J30/J42</f>
        <v>0.12110765302050906</v>
      </c>
      <c r="K33" s="1828">
        <f>K30/K42</f>
        <v>0.11951505494340293</v>
      </c>
      <c r="L33" s="1829">
        <f>L30/L42</f>
        <v>0.21564462216113234</v>
      </c>
      <c r="M33" s="1830">
        <f>M30/M42</f>
        <v>0.55439307452142927</v>
      </c>
      <c r="N33" s="1831"/>
      <c r="O33" s="1827">
        <f>O30/O42</f>
        <v>0.19932416539915015</v>
      </c>
      <c r="P33" s="1828">
        <f>P30/P42</f>
        <v>0.220405202185462</v>
      </c>
      <c r="Q33" s="1828">
        <f>Q30/Q42</f>
        <v>0.16983717131264178</v>
      </c>
      <c r="R33" s="1829">
        <f>R30/R42</f>
        <v>0.20836867183765345</v>
      </c>
      <c r="S33" s="1830">
        <f>S30/S42</f>
        <v>0.7976707325477228</v>
      </c>
      <c r="T33" s="1831"/>
      <c r="U33" s="1827">
        <f>U30/U42</f>
        <v>0.20593982630272961</v>
      </c>
      <c r="V33" s="1828">
        <f>V30/V42</f>
        <v>0.25678438591593922</v>
      </c>
      <c r="W33" s="1828">
        <f>W30/W42</f>
        <v>0.29975057573594865</v>
      </c>
      <c r="X33" s="1829">
        <f>X30/X42</f>
        <v>0.29161907481439159</v>
      </c>
      <c r="Y33" s="1830">
        <f>Y30/Y42</f>
        <v>1.0581134883720933</v>
      </c>
      <c r="Z33" s="1831"/>
      <c r="AA33" s="1827">
        <f>AA30/AA42</f>
        <v>0.35355474904343909</v>
      </c>
      <c r="AB33" s="1828">
        <f>AB30/AB42</f>
        <v>0.37665851015736551</v>
      </c>
      <c r="AC33" s="1828">
        <f>AC30/AC42</f>
        <v>0.22074045472771278</v>
      </c>
      <c r="AD33" s="1829">
        <f>AD30/AD42</f>
        <v>0.34983803422581927</v>
      </c>
      <c r="AE33" s="1830">
        <f>AE30/AE42</f>
        <v>1.3022774020746688</v>
      </c>
      <c r="AF33" s="1831"/>
      <c r="AG33" s="1827">
        <f>AG30/AG42</f>
        <v>0.35788903272420747</v>
      </c>
      <c r="AH33" s="1828">
        <f>AH30/AH42</f>
        <v>0.39802098632708949</v>
      </c>
      <c r="AI33" s="1828">
        <f>AI30/AI42</f>
        <v>0.40655466143874314</v>
      </c>
      <c r="AJ33" s="1829">
        <f>AJ30/AJ42</f>
        <v>0.42278262422961277</v>
      </c>
      <c r="AK33" s="1830">
        <f>AK30/AK42</f>
        <v>1.5854435863627809</v>
      </c>
      <c r="AL33" s="1831"/>
      <c r="AM33" s="1827">
        <f>AM30/AM42</f>
        <v>0.46436040044493904</v>
      </c>
      <c r="AN33" s="1828">
        <f>AN30/AN42</f>
        <v>0.43158632955687476</v>
      </c>
      <c r="AO33" s="1828">
        <f>AO30/AO42</f>
        <v>0.45027333366768674</v>
      </c>
      <c r="AP33" s="1829">
        <f>AP30/AP42</f>
        <v>0.45166124006581954</v>
      </c>
      <c r="AQ33" s="1830">
        <f>AQ30/AQ42</f>
        <v>1.79758510454467</v>
      </c>
      <c r="AR33" s="1831"/>
      <c r="AS33" s="1827">
        <f>AS30/AS42</f>
        <v>0.53374985830593913</v>
      </c>
      <c r="AT33" s="1828">
        <f>AT30/AT42</f>
        <v>0.56712334278874199</v>
      </c>
      <c r="AU33" s="1828">
        <f>AU30/AU42</f>
        <v>0.77045257334996498</v>
      </c>
      <c r="AV33" s="1828">
        <f>AV30/AV42</f>
        <v>0.86742635731919793</v>
      </c>
      <c r="AW33" s="1830">
        <f>AW30/AW42</f>
        <v>2.7363929435995282</v>
      </c>
      <c r="AX33" s="1831"/>
      <c r="AY33" s="1827">
        <f>AY30/AY42</f>
        <v>0.91050086425482446</v>
      </c>
      <c r="AZ33" s="1828">
        <f>AZ30/AZ42</f>
        <v>0.80332820922473747</v>
      </c>
      <c r="BA33" s="1828">
        <f>BA30/BA42</f>
        <v>0.79898711849911785</v>
      </c>
      <c r="BB33" s="1829">
        <f>BB30/BB42</f>
        <v>0.80945539502658581</v>
      </c>
      <c r="BC33" s="1830">
        <f>+SUM(AY33:BB33)</f>
        <v>3.3222715870052659</v>
      </c>
      <c r="BD33" s="1831"/>
      <c r="BE33" s="1827">
        <f>BE30/BE42</f>
        <v>0.71137189347317686</v>
      </c>
      <c r="BF33" s="1828">
        <f>BF30/BF42</f>
        <v>0.86013158517536803</v>
      </c>
      <c r="BG33" s="1828">
        <f>BG30/BG42</f>
        <v>0.97401640286407809</v>
      </c>
      <c r="BH33" s="1829">
        <f>BH30/BH42</f>
        <v>0.85419045367023649</v>
      </c>
      <c r="BI33" s="1830">
        <f>+SUM(BE33:BH33)</f>
        <v>3.3997103351828595</v>
      </c>
      <c r="BJ33" s="1831"/>
      <c r="BK33" s="1827">
        <f>BK30/BK42</f>
        <v>0.63772048846675711</v>
      </c>
      <c r="BL33" s="1828">
        <f>BL30/BL42</f>
        <v>0.82293080054274081</v>
      </c>
      <c r="BM33" s="1828">
        <f>BM30/BM42</f>
        <v>1.1079322033898307</v>
      </c>
      <c r="BN33" s="2960">
        <f>BN30/BN42</f>
        <v>1.438101694915255</v>
      </c>
      <c r="BO33" s="2962">
        <f>+SUM(BK33:BN33)</f>
        <v>4.0066851873145835</v>
      </c>
      <c r="BP33" s="1831"/>
      <c r="BQ33" s="1827">
        <f>BQ30/BQ42</f>
        <v>1.4459459459459461</v>
      </c>
      <c r="BR33" s="1828">
        <f>BR30/BR42</f>
        <v>1.1203277297300218</v>
      </c>
      <c r="BS33" s="1828">
        <f>BS30/BS42</f>
        <v>1.1742062469013159</v>
      </c>
      <c r="BT33" s="1829">
        <f>BT30/BT42</f>
        <v>1.2538932915326066</v>
      </c>
      <c r="BU33" s="1830">
        <f>+SUM(BQ33:BT33)</f>
        <v>4.9943732141098902</v>
      </c>
      <c r="BV33" s="1831"/>
      <c r="BW33" s="1827">
        <f>BW30/BW42</f>
        <v>1.5034929543310671</v>
      </c>
      <c r="BX33" s="1828">
        <f>BX30/BX42</f>
        <v>1.2479030246451843</v>
      </c>
      <c r="BY33" s="1828">
        <f>BY30/BY42</f>
        <v>1.3046519742693721</v>
      </c>
      <c r="BZ33" s="1829">
        <f>BZ30/BZ42</f>
        <v>1.3871583490028541</v>
      </c>
      <c r="CA33" s="1830">
        <f>+SUM(BW33:BZ33)</f>
        <v>5.4432063022484787</v>
      </c>
      <c r="CB33" s="1831"/>
      <c r="CC33" s="1827">
        <f>CC30/CC42</f>
        <v>1.6800093865174552</v>
      </c>
      <c r="CD33" s="1828">
        <f>CD30/CD42</f>
        <v>1.8002971541487176</v>
      </c>
      <c r="CE33" s="1828">
        <f>CE30/CE42</f>
        <v>1.9098581106838231</v>
      </c>
      <c r="CF33" s="1829">
        <f>CF30/CF42</f>
        <v>2.0327702654776667</v>
      </c>
      <c r="CG33" s="1830">
        <f>+SUM(CC33:CF33)</f>
        <v>7.4229349168276624</v>
      </c>
      <c r="CH33" s="1831"/>
      <c r="CI33" s="1827">
        <f t="shared" ref="CI33:CL33" si="96">CI30/CI42</f>
        <v>2.3860233421617227</v>
      </c>
      <c r="CJ33" s="1828">
        <f t="shared" si="96"/>
        <v>1.614039016252055</v>
      </c>
      <c r="CK33" s="1828">
        <f t="shared" si="96"/>
        <v>1.6885128473825295</v>
      </c>
      <c r="CL33" s="1829">
        <f t="shared" si="96"/>
        <v>1.7974938591282548</v>
      </c>
      <c r="CM33" s="1830">
        <f t="shared" ref="CM33:CM34" si="97">+SUM(CI33:CL33)</f>
        <v>7.4860690649245623</v>
      </c>
      <c r="CN33" s="1831"/>
      <c r="CO33" s="1827">
        <f t="shared" ref="CO33:CR33" si="98">CO30/CO42</f>
        <v>2.150580350788267</v>
      </c>
      <c r="CP33" s="1828">
        <f t="shared" si="98"/>
        <v>1.8281349339965027</v>
      </c>
      <c r="CQ33" s="1828">
        <f t="shared" si="98"/>
        <v>1.9199622784213701</v>
      </c>
      <c r="CR33" s="1829">
        <f t="shared" si="98"/>
        <v>2.0448218989418971</v>
      </c>
      <c r="CS33" s="1830">
        <f t="shared" ref="CS33:CS34" si="99">+SUM(CO33:CR33)</f>
        <v>7.9434994621480364</v>
      </c>
      <c r="CT33" s="2318"/>
      <c r="CU33" s="553"/>
      <c r="CV33" s="2042"/>
      <c r="DC33" s="400"/>
      <c r="DD33" s="2735"/>
      <c r="DE33" s="2735"/>
      <c r="DF33" s="2736"/>
      <c r="DG33" s="2736"/>
      <c r="DH33" s="927"/>
      <c r="DI33" s="927"/>
      <c r="DJ33" s="927"/>
      <c r="DK33" s="927"/>
      <c r="DL33" s="927"/>
      <c r="DM33" s="2361"/>
      <c r="DN33" s="2361"/>
      <c r="DO33" s="2361"/>
      <c r="DP33" s="2361"/>
      <c r="DQ33" s="2361"/>
      <c r="DR33" s="2361"/>
      <c r="DS33" s="2361"/>
      <c r="DT33" s="2361"/>
      <c r="DU33" s="2361"/>
      <c r="DV33" s="2361"/>
      <c r="DW33" s="2361"/>
      <c r="DX33" s="2361"/>
      <c r="DY33" s="2361"/>
      <c r="DZ33" s="2361"/>
      <c r="EA33" s="2361"/>
    </row>
    <row r="34" spans="1:131" ht="12.75" customHeight="1">
      <c r="A34" s="1873" t="s">
        <v>14</v>
      </c>
      <c r="B34" s="1832"/>
      <c r="C34" s="1833">
        <f>C32/C43</f>
        <v>-2.789824416906892</v>
      </c>
      <c r="D34" s="1834">
        <f>D32/D43</f>
        <v>7.9778164344396357E-2</v>
      </c>
      <c r="E34" s="1834">
        <f>E32/E43</f>
        <v>0.12208940146476976</v>
      </c>
      <c r="F34" s="1835">
        <f>F32/F43</f>
        <v>-3.6781400417763864E-2</v>
      </c>
      <c r="G34" s="1836">
        <f>G32/G43</f>
        <v>-2.5700686929866672</v>
      </c>
      <c r="H34" s="1837"/>
      <c r="I34" s="1833">
        <f>I32/I43</f>
        <v>8.4240323693620223E-2</v>
      </c>
      <c r="J34" s="1834">
        <f>J32/J43</f>
        <v>9.4897897987945609E-2</v>
      </c>
      <c r="K34" s="1834">
        <f>K32/K43</f>
        <v>-8.417061294714083E-2</v>
      </c>
      <c r="L34" s="1835">
        <f>L32/L43</f>
        <v>0.1987189739605946</v>
      </c>
      <c r="M34" s="1836">
        <f>M32/M43</f>
        <v>0.29501448277410619</v>
      </c>
      <c r="N34" s="1838"/>
      <c r="O34" s="1833">
        <f>O32/O43</f>
        <v>0.1414711921002956</v>
      </c>
      <c r="P34" s="1834">
        <f>P32/P43</f>
        <v>0.17701932384469224</v>
      </c>
      <c r="Q34" s="1834">
        <f>Q32/Q43</f>
        <v>0.12208845103450262</v>
      </c>
      <c r="R34" s="1835">
        <f>R32/R43</f>
        <v>8.6006098681068233E-2</v>
      </c>
      <c r="S34" s="1836">
        <f>S32/S43</f>
        <v>0.52722909494077175</v>
      </c>
      <c r="T34" s="1838"/>
      <c r="U34" s="1833">
        <f>U32/U43</f>
        <v>0.15547589199967751</v>
      </c>
      <c r="V34" s="1834">
        <f>V32/V43</f>
        <v>0.21139261161680295</v>
      </c>
      <c r="W34" s="1834">
        <f>W32/W43</f>
        <v>0.24411693812196544</v>
      </c>
      <c r="X34" s="1835">
        <f>X32/X43</f>
        <v>0.25428157516984062</v>
      </c>
      <c r="Y34" s="1836">
        <f>Y32/Y43</f>
        <v>0.87072709906367451</v>
      </c>
      <c r="Z34" s="1837"/>
      <c r="AA34" s="1833">
        <f>AA32/AA43</f>
        <v>0.1576252701970233</v>
      </c>
      <c r="AB34" s="1834">
        <f>AB32/AB43</f>
        <v>0.21599125313018017</v>
      </c>
      <c r="AC34" s="1834">
        <f>AC32/AC43</f>
        <v>0.14820616918935611</v>
      </c>
      <c r="AD34" s="1835">
        <f>AD32/AD43</f>
        <v>9.3844084299531963E-2</v>
      </c>
      <c r="AE34" s="1836">
        <f>AE32/AE43</f>
        <v>0.623505617654043</v>
      </c>
      <c r="AF34" s="1838"/>
      <c r="AG34" s="1833">
        <f>AG32/AG43</f>
        <v>0.19574328211028016</v>
      </c>
      <c r="AH34" s="1834">
        <f>AH32/AH43</f>
        <v>0.17593281758651505</v>
      </c>
      <c r="AI34" s="1834">
        <f>AI32/AI43</f>
        <v>0.22450134709864408</v>
      </c>
      <c r="AJ34" s="1835">
        <f>AJ32/AJ43</f>
        <v>0.53106881448819376</v>
      </c>
      <c r="AK34" s="1836">
        <f>AK32/AK43</f>
        <v>1.131353174810948</v>
      </c>
      <c r="AL34" s="1837"/>
      <c r="AM34" s="1833">
        <f>AM32/AM43</f>
        <v>-0.1824946674423111</v>
      </c>
      <c r="AN34" s="1834">
        <f>AN32/AN43</f>
        <v>0.25740975914246977</v>
      </c>
      <c r="AO34" s="1834">
        <f>AO32/AO43</f>
        <v>0.22302117339137026</v>
      </c>
      <c r="AP34" s="1835">
        <f>AP32/AP43</f>
        <v>0.56071433536780357</v>
      </c>
      <c r="AQ34" s="1836">
        <f>AQ32/AQ43</f>
        <v>0.89546649897095909</v>
      </c>
      <c r="AR34" s="1837"/>
      <c r="AS34" s="1833">
        <f>AS32/AS43</f>
        <v>0.39820341391192343</v>
      </c>
      <c r="AT34" s="1834">
        <f>AT32/AT43</f>
        <v>0.31253143420443791</v>
      </c>
      <c r="AU34" s="1834">
        <f>AU32/AU43</f>
        <v>0.63377216768805267</v>
      </c>
      <c r="AV34" s="1834">
        <f>AV32/AV43</f>
        <v>1.0310984346515804</v>
      </c>
      <c r="AW34" s="1836">
        <f>AW32/AW43</f>
        <v>2.3718453656514646</v>
      </c>
      <c r="AX34" s="1837"/>
      <c r="AY34" s="1833">
        <f>AY32/AY43</f>
        <v>0.91912323533961571</v>
      </c>
      <c r="AZ34" s="1834">
        <f>AZ32/AZ43</f>
        <v>0.68636427713148307</v>
      </c>
      <c r="BA34" s="1834">
        <f>BA32/BA43</f>
        <v>0.78957320006414</v>
      </c>
      <c r="BB34" s="1835">
        <f>BB32/BB43</f>
        <v>0.70141387829636392</v>
      </c>
      <c r="BC34" s="1836">
        <f>+SUM(AY34:BB34)</f>
        <v>3.0964745908316029</v>
      </c>
      <c r="BD34" s="1837"/>
      <c r="BE34" s="1833">
        <f>BE32/BE43</f>
        <v>0.60386095701584752</v>
      </c>
      <c r="BF34" s="1834">
        <f>BF32/BF43</f>
        <v>0.81420524853099285</v>
      </c>
      <c r="BG34" s="1834">
        <f>BG32/BG43</f>
        <v>0.87144779278030593</v>
      </c>
      <c r="BH34" s="1835">
        <f>BH32/BH43</f>
        <v>0.83614498530554371</v>
      </c>
      <c r="BI34" s="1836">
        <f>+SUM(BE34:BH34)</f>
        <v>3.1256589836326905</v>
      </c>
      <c r="BJ34" s="1837"/>
      <c r="BK34" s="1833">
        <f>BK32/BK43</f>
        <v>2.4491180461329716</v>
      </c>
      <c r="BL34" s="1834">
        <f>BL32/BL43</f>
        <v>0.87191780821917808</v>
      </c>
      <c r="BM34" s="1834">
        <f>BM32/BM43</f>
        <v>1.1079322033898307</v>
      </c>
      <c r="BN34" s="2961">
        <f>BN32/BN43</f>
        <v>0.46183050847457707</v>
      </c>
      <c r="BO34" s="2967">
        <f>+SUM(BK34:BN34)</f>
        <v>4.8907985662165574</v>
      </c>
      <c r="BP34" s="1837"/>
      <c r="BQ34" s="1833">
        <f>BQ32/BQ43</f>
        <v>1.4149659863945578</v>
      </c>
      <c r="BR34" s="1834">
        <f>BR32/BR43</f>
        <v>1.072876796025636</v>
      </c>
      <c r="BS34" s="1834">
        <f>BS32/BS43</f>
        <v>1.126540535181191</v>
      </c>
      <c r="BT34" s="1835">
        <f>BT32/BT43</f>
        <v>1.2060154886114554</v>
      </c>
      <c r="BU34" s="1836">
        <f>+SUM(BQ34:BT34)</f>
        <v>4.8203988062128404</v>
      </c>
      <c r="BV34" s="1837"/>
      <c r="BW34" s="1833">
        <f>BW32/BW43</f>
        <v>1.4141881374086653</v>
      </c>
      <c r="BX34" s="1834">
        <f>BX32/BX43</f>
        <v>1.1582142914063993</v>
      </c>
      <c r="BY34" s="1834">
        <f>BY32/BY43</f>
        <v>1.2145842979166781</v>
      </c>
      <c r="BZ34" s="1835">
        <f>BZ32/BZ43</f>
        <v>1.2967166929656646</v>
      </c>
      <c r="CA34" s="1836">
        <f>+SUM(BW34:BZ34)</f>
        <v>5.0837034196974074</v>
      </c>
      <c r="CB34" s="1837"/>
      <c r="CC34" s="1833">
        <f>CC32/CC43</f>
        <v>1.589226203951646</v>
      </c>
      <c r="CD34" s="1834">
        <f>CD32/CD43</f>
        <v>1.7092110588804978</v>
      </c>
      <c r="CE34" s="1834">
        <f>CE32/CE43</f>
        <v>1.8184735953163951</v>
      </c>
      <c r="CF34" s="1835">
        <f>CF32/CF43</f>
        <v>1.9410917911256749</v>
      </c>
      <c r="CG34" s="1836">
        <f>+SUM(CC34:CF34)</f>
        <v>7.0580026492742132</v>
      </c>
      <c r="CH34" s="1837"/>
      <c r="CI34" s="1833">
        <f t="shared" ref="CI34:CL34" si="100">CI32/CI43</f>
        <v>2.2940553373460495</v>
      </c>
      <c r="CJ34" s="1834">
        <f t="shared" si="100"/>
        <v>1.5217858758499958</v>
      </c>
      <c r="CK34" s="1834">
        <f t="shared" si="100"/>
        <v>1.5959789316325363</v>
      </c>
      <c r="CL34" s="1835">
        <f t="shared" si="100"/>
        <v>1.7046834926883976</v>
      </c>
      <c r="CM34" s="1836">
        <f t="shared" si="97"/>
        <v>7.1165036375169795</v>
      </c>
      <c r="CN34" s="1837"/>
      <c r="CO34" s="1833">
        <f t="shared" ref="CO34:CR34" si="101">CO32/CO43</f>
        <v>2.0574978218475084</v>
      </c>
      <c r="CP34" s="1834">
        <f t="shared" si="101"/>
        <v>1.7347844934378467</v>
      </c>
      <c r="CQ34" s="1834">
        <f t="shared" si="101"/>
        <v>1.8263481390359082</v>
      </c>
      <c r="CR34" s="1835">
        <f t="shared" si="101"/>
        <v>1.9509482346927434</v>
      </c>
      <c r="CS34" s="1836">
        <f t="shared" si="99"/>
        <v>7.5695786890140067</v>
      </c>
      <c r="CT34" s="416"/>
      <c r="CU34" s="581"/>
      <c r="CV34" s="581"/>
      <c r="DC34" s="400"/>
      <c r="DD34" s="415"/>
      <c r="DE34" s="415"/>
      <c r="DF34" s="415"/>
      <c r="DG34" s="415"/>
      <c r="DH34" s="400"/>
      <c r="DI34" s="400"/>
      <c r="DJ34" s="400"/>
      <c r="DK34" s="400"/>
      <c r="DL34" s="400"/>
      <c r="DM34" s="2361"/>
      <c r="DN34" s="2361"/>
      <c r="DO34" s="2361"/>
      <c r="DP34" s="2361"/>
      <c r="DQ34" s="2361"/>
      <c r="DR34" s="2361"/>
      <c r="DS34" s="2361"/>
      <c r="DT34" s="2361"/>
      <c r="DU34" s="2361"/>
      <c r="DV34" s="2361"/>
      <c r="DW34" s="2361"/>
      <c r="DX34" s="2361"/>
      <c r="DY34" s="2361"/>
      <c r="DZ34" s="2361"/>
      <c r="EA34" s="2361"/>
    </row>
    <row r="35" spans="1:131" hidden="1" outlineLevel="1">
      <c r="A35" s="1874" t="s">
        <v>184</v>
      </c>
      <c r="B35" s="1817"/>
      <c r="C35" s="429">
        <f>53.605794*2</f>
        <v>107.21158800000001</v>
      </c>
      <c r="D35" s="430">
        <f>53.952776*2</f>
        <v>107.905552</v>
      </c>
      <c r="E35" s="430">
        <f>54.700385*2</f>
        <v>109.40076999999999</v>
      </c>
      <c r="F35" s="431">
        <f>125.607354-14.81909</f>
        <v>110.788264</v>
      </c>
      <c r="G35" s="432">
        <f>F35</f>
        <v>110.788264</v>
      </c>
      <c r="H35" s="1817"/>
      <c r="I35" s="429">
        <f>56.423939*2</f>
        <v>112.84787799999999</v>
      </c>
      <c r="J35" s="430">
        <f>57.163393*2</f>
        <v>114.326786</v>
      </c>
      <c r="K35" s="430">
        <v>123.738333</v>
      </c>
      <c r="L35" s="431">
        <f>138.936582-17.927983</f>
        <v>121.00859899999999</v>
      </c>
      <c r="M35" s="432">
        <f>L35</f>
        <v>121.00859899999999</v>
      </c>
      <c r="N35" s="1817"/>
      <c r="O35" s="429">
        <v>123.029701</v>
      </c>
      <c r="P35" s="430">
        <v>124.138502</v>
      </c>
      <c r="Q35" s="430">
        <v>125.09256600000001</v>
      </c>
      <c r="R35" s="431">
        <f>143.544265-24.06845</f>
        <v>119.475815</v>
      </c>
      <c r="S35" s="432">
        <f>R35</f>
        <v>119.475815</v>
      </c>
      <c r="T35" s="1817"/>
      <c r="U35" s="429">
        <v>121.793243</v>
      </c>
      <c r="V35" s="430">
        <v>124.285833</v>
      </c>
      <c r="W35" s="430">
        <v>125.043975</v>
      </c>
      <c r="X35" s="431">
        <f>151.512837-24.904564</f>
        <v>126.608273</v>
      </c>
      <c r="Y35" s="432">
        <f>X35</f>
        <v>126.608273</v>
      </c>
      <c r="Z35" s="1817"/>
      <c r="AA35" s="429">
        <v>123.13200000000001</v>
      </c>
      <c r="AB35" s="430">
        <v>124.339763</v>
      </c>
      <c r="AC35" s="430">
        <v>121.439286</v>
      </c>
      <c r="AD35" s="431">
        <f>166.707208-44.664972</f>
        <v>122.042236</v>
      </c>
      <c r="AE35" s="432">
        <f>AD35</f>
        <v>122.042236</v>
      </c>
      <c r="AF35" s="1817"/>
      <c r="AG35" s="429">
        <v>123.44801</v>
      </c>
      <c r="AH35" s="430">
        <v>122.98990999999999</v>
      </c>
      <c r="AI35" s="430">
        <v>123.383865</v>
      </c>
      <c r="AJ35" s="431">
        <v>124.04075400000001</v>
      </c>
      <c r="AK35" s="432">
        <f>AJ35</f>
        <v>124.04075400000001</v>
      </c>
      <c r="AL35" s="1817"/>
      <c r="AM35" s="429">
        <v>124.37853699999999</v>
      </c>
      <c r="AN35" s="430">
        <v>125.12078099999999</v>
      </c>
      <c r="AO35" s="430">
        <v>125.465</v>
      </c>
      <c r="AP35" s="431">
        <v>127.723</v>
      </c>
      <c r="AQ35" s="432">
        <f>AP35</f>
        <v>127.723</v>
      </c>
      <c r="AR35" s="1817"/>
      <c r="AS35" s="429">
        <v>128.4</v>
      </c>
      <c r="AT35" s="430">
        <v>139.4</v>
      </c>
      <c r="AU35" s="430">
        <v>141.142</v>
      </c>
      <c r="AV35" s="430">
        <v>142.34200000000001</v>
      </c>
      <c r="AW35" s="432">
        <f>AV35</f>
        <v>142.34200000000001</v>
      </c>
      <c r="AX35" s="1817"/>
      <c r="AY35" s="429">
        <v>143.77099999999999</v>
      </c>
      <c r="AZ35" s="430">
        <v>148.96899999999999</v>
      </c>
      <c r="BA35" s="430">
        <v>145.34899999999999</v>
      </c>
      <c r="BB35" s="430">
        <v>146.584</v>
      </c>
      <c r="BC35" s="432">
        <f>BB35</f>
        <v>146.584</v>
      </c>
      <c r="BD35" s="1817"/>
      <c r="BE35" s="429">
        <v>147.19999999999999</v>
      </c>
      <c r="BF35" s="430">
        <v>146.6</v>
      </c>
      <c r="BG35" s="430">
        <v>146.9</v>
      </c>
      <c r="BH35" s="430">
        <v>146.584</v>
      </c>
      <c r="BI35" s="432">
        <f>BH35</f>
        <v>146.584</v>
      </c>
      <c r="BJ35" s="1817"/>
      <c r="BK35" s="2511">
        <v>146</v>
      </c>
      <c r="BL35" s="430">
        <v>146</v>
      </c>
      <c r="BM35" s="430">
        <v>146</v>
      </c>
      <c r="BN35" s="433">
        <v>146</v>
      </c>
      <c r="BO35" s="432">
        <f>BN35</f>
        <v>146</v>
      </c>
      <c r="BP35" s="1817"/>
      <c r="BQ35" s="2511">
        <v>147</v>
      </c>
      <c r="BR35" s="428">
        <f>BR36</f>
        <v>146.32080630508202</v>
      </c>
      <c r="BS35" s="428">
        <f>BS36</f>
        <v>145.65608894505459</v>
      </c>
      <c r="BT35" s="433">
        <f>BT36</f>
        <v>145.00553937130567</v>
      </c>
      <c r="BU35" s="432">
        <f>BT35</f>
        <v>145.00553937130567</v>
      </c>
      <c r="BV35" s="1817"/>
      <c r="BW35" s="434">
        <f>BW36</f>
        <v>144.36885561162859</v>
      </c>
      <c r="BX35" s="428">
        <f>BX36</f>
        <v>143.74574213005246</v>
      </c>
      <c r="BY35" s="428">
        <f>BY36</f>
        <v>143.13590968966031</v>
      </c>
      <c r="BZ35" s="433">
        <f>BZ36</f>
        <v>142.53907521833102</v>
      </c>
      <c r="CA35" s="432">
        <f>BZ35</f>
        <v>142.53907521833102</v>
      </c>
      <c r="CB35" s="1817"/>
      <c r="CC35" s="434">
        <f>CC36</f>
        <v>141.95496167734288</v>
      </c>
      <c r="CD35" s="428">
        <f>CD36</f>
        <v>141.38329793277762</v>
      </c>
      <c r="CE35" s="428">
        <f>CE36</f>
        <v>140.82381862966557</v>
      </c>
      <c r="CF35" s="433">
        <f>CF36</f>
        <v>140.27626406881302</v>
      </c>
      <c r="CG35" s="432">
        <f>CF35</f>
        <v>140.27626406881302</v>
      </c>
      <c r="CH35" s="1817"/>
      <c r="CI35" s="434">
        <f t="shared" ref="CI35:CL35" si="102">CI36</f>
        <v>139.74038008625507</v>
      </c>
      <c r="CJ35" s="428">
        <f t="shared" si="102"/>
        <v>139.21591793527779</v>
      </c>
      <c r="CK35" s="428">
        <f t="shared" si="102"/>
        <v>138.70263417095481</v>
      </c>
      <c r="CL35" s="433">
        <f t="shared" si="102"/>
        <v>138.20029053714512</v>
      </c>
      <c r="CM35" s="432">
        <f t="shared" ref="CM35" si="103">CL35</f>
        <v>138.20029053714512</v>
      </c>
      <c r="CN35" s="1817"/>
      <c r="CO35" s="434">
        <f t="shared" ref="CO35:CR35" si="104">CO36</f>
        <v>137.70865385589931</v>
      </c>
      <c r="CP35" s="428">
        <f t="shared" si="104"/>
        <v>137.22749591922289</v>
      </c>
      <c r="CQ35" s="428">
        <f t="shared" si="104"/>
        <v>136.75659338314676</v>
      </c>
      <c r="CR35" s="433">
        <f t="shared" si="104"/>
        <v>136.29572766405531</v>
      </c>
      <c r="CS35" s="432">
        <f t="shared" ref="CS35" si="105">CR35</f>
        <v>136.29572766405531</v>
      </c>
      <c r="CT35" s="434"/>
      <c r="CU35" s="428"/>
      <c r="CV35" s="428"/>
      <c r="DC35" s="581"/>
      <c r="DD35" s="400"/>
      <c r="DE35" s="400"/>
      <c r="DF35" s="400"/>
      <c r="DG35" s="400"/>
      <c r="DH35" s="400"/>
      <c r="DI35" s="400"/>
      <c r="DJ35" s="400"/>
      <c r="DK35" s="400"/>
      <c r="DL35" s="400"/>
      <c r="DM35" s="2361"/>
      <c r="DN35" s="2361"/>
      <c r="DO35" s="2361"/>
      <c r="DP35" s="2361"/>
      <c r="DQ35" s="2361"/>
      <c r="DR35" s="2361"/>
      <c r="DS35" s="2361"/>
      <c r="DT35" s="2361"/>
      <c r="DU35" s="2361"/>
      <c r="DV35" s="2361"/>
      <c r="DW35" s="2361"/>
      <c r="DX35" s="2361"/>
      <c r="DY35" s="2361"/>
      <c r="DZ35" s="2361"/>
      <c r="EA35" s="2361"/>
    </row>
    <row r="36" spans="1:131" ht="11.25" customHeight="1" collapsed="1">
      <c r="A36" s="1874" t="s">
        <v>185</v>
      </c>
      <c r="B36" s="1817"/>
      <c r="C36" s="429">
        <f>53.422*2</f>
        <v>106.84399999999999</v>
      </c>
      <c r="D36" s="430">
        <f>53.778*2</f>
        <v>107.556</v>
      </c>
      <c r="E36" s="430">
        <v>108.636</v>
      </c>
      <c r="F36" s="431">
        <v>110.11</v>
      </c>
      <c r="G36" s="476">
        <v>108.30800000000001</v>
      </c>
      <c r="H36" s="1817"/>
      <c r="I36" s="429">
        <v>111.66800000000001</v>
      </c>
      <c r="J36" s="430">
        <v>113.574</v>
      </c>
      <c r="K36" s="430">
        <v>119.733</v>
      </c>
      <c r="L36" s="431">
        <v>122.447</v>
      </c>
      <c r="M36" s="476">
        <v>116.855</v>
      </c>
      <c r="N36" s="1817"/>
      <c r="O36" s="429">
        <v>121.746</v>
      </c>
      <c r="P36" s="430">
        <v>123.511</v>
      </c>
      <c r="Q36" s="430">
        <v>124.557</v>
      </c>
      <c r="R36" s="431">
        <v>122.818</v>
      </c>
      <c r="S36" s="476">
        <v>123.154</v>
      </c>
      <c r="T36" s="1817"/>
      <c r="U36" s="429">
        <v>120.66800000000001</v>
      </c>
      <c r="V36" s="430">
        <v>123.095</v>
      </c>
      <c r="W36" s="430">
        <v>124.684</v>
      </c>
      <c r="X36" s="431">
        <v>125.876</v>
      </c>
      <c r="Y36" s="476">
        <v>123.581</v>
      </c>
      <c r="Z36" s="1817"/>
      <c r="AA36" s="429">
        <v>126.517</v>
      </c>
      <c r="AB36" s="430">
        <v>123.456</v>
      </c>
      <c r="AC36" s="430">
        <v>122.07899999999999</v>
      </c>
      <c r="AD36" s="431">
        <v>121.541</v>
      </c>
      <c r="AE36" s="476">
        <v>123.399</v>
      </c>
      <c r="AF36" s="1817"/>
      <c r="AG36" s="429">
        <v>122.642</v>
      </c>
      <c r="AH36" s="430">
        <v>123.214</v>
      </c>
      <c r="AI36" s="430">
        <v>122.93</v>
      </c>
      <c r="AJ36" s="431">
        <v>123.211</v>
      </c>
      <c r="AK36" s="2713">
        <v>122.999</v>
      </c>
      <c r="AL36" s="2714"/>
      <c r="AM36" s="2511">
        <v>123.768</v>
      </c>
      <c r="AN36" s="2353">
        <v>124.36199999999999</v>
      </c>
      <c r="AO36" s="2353">
        <v>125.465</v>
      </c>
      <c r="AP36" s="2725">
        <v>126.711</v>
      </c>
      <c r="AQ36" s="2713">
        <f>AVERAGE(AM36:AP36)</f>
        <v>125.07650000000001</v>
      </c>
      <c r="AR36" s="1817"/>
      <c r="AS36" s="429">
        <v>128.14599999999999</v>
      </c>
      <c r="AT36" s="430">
        <v>130.583</v>
      </c>
      <c r="AU36" s="430">
        <v>141.142</v>
      </c>
      <c r="AV36" s="430">
        <v>142.34200000000001</v>
      </c>
      <c r="AW36" s="432">
        <f>AVERAGE(AS36:AV36)</f>
        <v>135.55324999999999</v>
      </c>
      <c r="AX36" s="1817"/>
      <c r="AY36" s="1548">
        <v>143.77099999999999</v>
      </c>
      <c r="AZ36" s="430">
        <v>144.22</v>
      </c>
      <c r="BA36" s="430">
        <v>149.672</v>
      </c>
      <c r="BB36" s="430">
        <v>145.96299999999999</v>
      </c>
      <c r="BC36" s="2713">
        <f>AVERAGE(AY36:BB36)</f>
        <v>145.90649999999999</v>
      </c>
      <c r="BD36" s="2714"/>
      <c r="BE36" s="2511">
        <v>146.86600000000001</v>
      </c>
      <c r="BF36" s="2353">
        <v>146.77799999999999</v>
      </c>
      <c r="BG36" s="2353">
        <v>146.70500000000001</v>
      </c>
      <c r="BH36" s="2353">
        <v>145.96299999999999</v>
      </c>
      <c r="BI36" s="432">
        <f>AVERAGE(BE36:BH36)</f>
        <v>146.578</v>
      </c>
      <c r="BJ36" s="1817"/>
      <c r="BK36" s="2511">
        <v>146</v>
      </c>
      <c r="BL36" s="2353">
        <v>147</v>
      </c>
      <c r="BM36" s="2353">
        <v>147</v>
      </c>
      <c r="BN36" s="2725">
        <v>146</v>
      </c>
      <c r="BO36" s="432">
        <f>AVERAGE(BK36:BN36)</f>
        <v>146.5</v>
      </c>
      <c r="BP36" s="1817"/>
      <c r="BQ36" s="2511">
        <v>147</v>
      </c>
      <c r="BR36" s="428">
        <f>-CFS!BR76+BQ36</f>
        <v>146.32080630508202</v>
      </c>
      <c r="BS36" s="428">
        <f>-CFS!BS76+BR36</f>
        <v>145.65608894505459</v>
      </c>
      <c r="BT36" s="433">
        <f>-CFS!BT76+BS36</f>
        <v>145.00553937130567</v>
      </c>
      <c r="BU36" s="432">
        <f>AVERAGE(BQ36:BT36)</f>
        <v>145.99560865536057</v>
      </c>
      <c r="BV36" s="1817"/>
      <c r="BW36" s="434">
        <f>-CFS!BW76+BT36</f>
        <v>144.36885561162859</v>
      </c>
      <c r="BX36" s="428">
        <f>-CFS!BX76+BW36</f>
        <v>143.74574213005246</v>
      </c>
      <c r="BY36" s="428">
        <f>-CFS!BY76+BX36</f>
        <v>143.13590968966031</v>
      </c>
      <c r="BZ36" s="433">
        <f>-CFS!BZ76+BY36</f>
        <v>142.53907521833102</v>
      </c>
      <c r="CA36" s="432">
        <f>AVERAGE(BW36:BZ36)</f>
        <v>143.4473956624181</v>
      </c>
      <c r="CB36" s="1817"/>
      <c r="CC36" s="434">
        <f>-CFS!CC76+BZ36</f>
        <v>141.95496167734288</v>
      </c>
      <c r="CD36" s="428">
        <f>-CFS!CD76+CC36</f>
        <v>141.38329793277762</v>
      </c>
      <c r="CE36" s="428">
        <f>-CFS!CE76+CD36</f>
        <v>140.82381862966557</v>
      </c>
      <c r="CF36" s="433">
        <f>-CFS!CF76+CE36</f>
        <v>140.27626406881302</v>
      </c>
      <c r="CG36" s="432">
        <f>AVERAGE(CC36:CF36)</f>
        <v>141.10958557714977</v>
      </c>
      <c r="CH36" s="1817"/>
      <c r="CI36" s="434">
        <f>-CFS!CI76+CF36</f>
        <v>139.74038008625507</v>
      </c>
      <c r="CJ36" s="428">
        <f>-CFS!CJ76+CI36</f>
        <v>139.21591793527779</v>
      </c>
      <c r="CK36" s="428">
        <f>-CFS!CK76+CJ36</f>
        <v>138.70263417095481</v>
      </c>
      <c r="CL36" s="433">
        <f>-CFS!CL76+CK36</f>
        <v>138.20029053714512</v>
      </c>
      <c r="CM36" s="432">
        <f t="shared" ref="CM36" si="106">AVERAGE(CI36:CL36)</f>
        <v>138.96480568240821</v>
      </c>
      <c r="CN36" s="1817"/>
      <c r="CO36" s="434">
        <f>-CFS!CO76+CL36</f>
        <v>137.70865385589931</v>
      </c>
      <c r="CP36" s="428">
        <f>-CFS!CP76+CO36</f>
        <v>137.22749591922289</v>
      </c>
      <c r="CQ36" s="428">
        <f>-CFS!CQ76+CP36</f>
        <v>136.75659338314676</v>
      </c>
      <c r="CR36" s="433">
        <f>-CFS!CR76+CQ36</f>
        <v>136.29572766405531</v>
      </c>
      <c r="CS36" s="432">
        <f t="shared" ref="CS36" si="107">AVERAGE(CO36:CR36)</f>
        <v>136.99711770558108</v>
      </c>
      <c r="CT36" s="434"/>
      <c r="CU36" s="428"/>
      <c r="CV36" s="428"/>
      <c r="DC36" s="400"/>
      <c r="DD36" s="601"/>
      <c r="DE36" s="601"/>
      <c r="DF36" s="601"/>
      <c r="DG36" s="601"/>
      <c r="DH36" s="400"/>
      <c r="DI36" s="400"/>
      <c r="DJ36" s="400"/>
      <c r="DK36" s="400"/>
      <c r="DL36" s="400"/>
      <c r="DM36" s="2361"/>
      <c r="DN36" s="2361"/>
      <c r="DO36" s="2361"/>
      <c r="DP36" s="2361"/>
      <c r="DQ36" s="2361"/>
      <c r="DR36" s="2361"/>
      <c r="DS36" s="2361"/>
      <c r="DT36" s="2361"/>
      <c r="DU36" s="2361"/>
      <c r="DV36" s="2361"/>
      <c r="DW36" s="2361"/>
      <c r="DX36" s="2361"/>
      <c r="DY36" s="2361"/>
      <c r="DZ36" s="2361"/>
      <c r="EA36" s="2361"/>
    </row>
    <row r="37" spans="1:131" ht="11.25" hidden="1" customHeight="1" outlineLevel="1">
      <c r="A37" s="1875" t="s">
        <v>420</v>
      </c>
      <c r="B37" s="650"/>
      <c r="C37" s="477">
        <v>0</v>
      </c>
      <c r="D37" s="478">
        <v>0</v>
      </c>
      <c r="E37" s="478">
        <v>1.3109999999999999</v>
      </c>
      <c r="F37" s="479" t="s">
        <v>367</v>
      </c>
      <c r="G37" s="480">
        <v>0</v>
      </c>
      <c r="H37" s="650"/>
      <c r="I37" s="477">
        <v>6.5839999999999996</v>
      </c>
      <c r="J37" s="478">
        <v>8.0860000000000003</v>
      </c>
      <c r="K37" s="478">
        <v>0</v>
      </c>
      <c r="L37" s="481">
        <f>M37</f>
        <v>6.6529999999999996</v>
      </c>
      <c r="M37" s="480">
        <v>6.6529999999999996</v>
      </c>
      <c r="N37" s="650"/>
      <c r="O37" s="477">
        <v>5.4210000000000003</v>
      </c>
      <c r="P37" s="478">
        <v>7.1360000000000001</v>
      </c>
      <c r="Q37" s="478">
        <v>7.0350000000000001</v>
      </c>
      <c r="R37" s="481">
        <f>S37</f>
        <v>6.4969999999999999</v>
      </c>
      <c r="S37" s="480">
        <v>6.4969999999999999</v>
      </c>
      <c r="T37" s="650"/>
      <c r="U37" s="477">
        <v>7.4470000000000001</v>
      </c>
      <c r="V37" s="478">
        <v>8.4039999999999999</v>
      </c>
      <c r="W37" s="478">
        <v>9.2919999999999998</v>
      </c>
      <c r="X37" s="481">
        <f>Y37</f>
        <v>9.0579999999999998</v>
      </c>
      <c r="Y37" s="480">
        <v>9.0579999999999998</v>
      </c>
      <c r="Z37" s="650"/>
      <c r="AA37" s="477">
        <v>10.952999999999999</v>
      </c>
      <c r="AB37" s="478">
        <v>2.4079999999999999</v>
      </c>
      <c r="AC37" s="478">
        <v>1.292</v>
      </c>
      <c r="AD37" s="474">
        <f>AE37</f>
        <v>3.7829999999999999</v>
      </c>
      <c r="AE37" s="876">
        <v>3.7829999999999999</v>
      </c>
      <c r="AF37" s="650"/>
      <c r="AG37" s="477">
        <v>0.99099999999999999</v>
      </c>
      <c r="AH37" s="478">
        <v>0.13100000000000001</v>
      </c>
      <c r="AI37" s="478">
        <v>0.90600000000000003</v>
      </c>
      <c r="AJ37" s="474">
        <f>AK37</f>
        <v>0.96699999999999997</v>
      </c>
      <c r="AK37" s="2715">
        <v>0.96699999999999997</v>
      </c>
      <c r="AL37" s="2716"/>
      <c r="AM37" s="2711">
        <v>0</v>
      </c>
      <c r="AN37" s="2717">
        <v>1.0640000000000001</v>
      </c>
      <c r="AO37" s="2717">
        <v>1.028</v>
      </c>
      <c r="AP37" s="2726">
        <f>AQ37</f>
        <v>1.34</v>
      </c>
      <c r="AQ37" s="2715">
        <v>1.34</v>
      </c>
      <c r="AR37" s="650"/>
      <c r="AS37" s="1548">
        <v>5.5179999999999998</v>
      </c>
      <c r="AT37" s="478">
        <v>4.41</v>
      </c>
      <c r="AU37" s="478">
        <v>1.972</v>
      </c>
      <c r="AV37" s="474">
        <f>AW37</f>
        <v>3.4889999999999999</v>
      </c>
      <c r="AW37" s="1547">
        <v>3.4889999999999999</v>
      </c>
      <c r="AX37" s="650"/>
      <c r="AY37" s="1548">
        <v>2.177</v>
      </c>
      <c r="AZ37" s="478">
        <v>2.194</v>
      </c>
      <c r="BA37" s="478">
        <v>1.67</v>
      </c>
      <c r="BB37" s="481">
        <f>BC37</f>
        <v>1.661</v>
      </c>
      <c r="BC37" s="2715">
        <v>1.661</v>
      </c>
      <c r="BD37" s="2716"/>
      <c r="BE37" s="2711">
        <v>0</v>
      </c>
      <c r="BF37" s="2717">
        <v>0</v>
      </c>
      <c r="BG37" s="2717">
        <v>0</v>
      </c>
      <c r="BH37" s="2718">
        <f>BI37</f>
        <v>0.06</v>
      </c>
      <c r="BI37" s="1547">
        <v>0.06</v>
      </c>
      <c r="BJ37" s="650"/>
      <c r="BK37" s="2711">
        <v>0</v>
      </c>
      <c r="BL37" s="2717">
        <v>0</v>
      </c>
      <c r="BM37" s="2717">
        <v>0</v>
      </c>
      <c r="BN37" s="481">
        <f>BO37</f>
        <v>0</v>
      </c>
      <c r="BO37" s="3021">
        <v>0</v>
      </c>
      <c r="BP37" s="650"/>
      <c r="BQ37" s="2711">
        <v>0</v>
      </c>
      <c r="BR37" s="484">
        <f>MAX(0,Debt!BR27/83.5513*(BR41-83.5513)/BR41)+MAX(0,Debt!BR19/254.3364*(BR41-254.3364)/BR41)+MAX(0,Debt!BR11/254.3364*(BR41-254.3364)/BR41)</f>
        <v>0</v>
      </c>
      <c r="BS37" s="484">
        <f>MAX(0,Debt!BS27/83.5513*(BS41-83.5513)/BS41)+MAX(0,Debt!BS19/254.3364*(BS41-254.3364)/BS41)+MAX(0,Debt!BS11/254.3364*(BS41-254.3364)/BS41)</f>
        <v>0</v>
      </c>
      <c r="BT37" s="481">
        <f>MAX(0,Debt!BT27/83.5513*(BT41-83.5513)/BT41)+MAX(0,Debt!BT19/254.3364*(BT41-254.3364)/BT41)+MAX(0,Debt!BT11/254.3364*(BT41-254.3364)/BT41)</f>
        <v>0</v>
      </c>
      <c r="BU37" s="482">
        <f>MAX(0,Debt!BU27/83.5513*(BU41-83.5513)/BU41)+MAX(0,Debt!BU19/254.3364*(BU41-254.3364)/BU41)+MAX(0,Debt!BU11/254.3364*(BU41-254.3364)/BU41)</f>
        <v>0</v>
      </c>
      <c r="BV37" s="650"/>
      <c r="BW37" s="483">
        <f>MAX(0,Debt!BW27/83.5513*(BW41-83.5513)/BW41)+MAX(0,Debt!BW19/254.3364*(BW41-254.3364)/BW41)+MAX(0,Debt!BW11/254.3364*(BW41-254.3364)/BW41)</f>
        <v>0</v>
      </c>
      <c r="BX37" s="484">
        <f>MAX(0,Debt!BX27/83.5513*(BX41-83.5513)/BX41)+MAX(0,Debt!BX19/254.3364*(BX41-254.3364)/BX41)+MAX(0,Debt!BX11/254.3364*(BX41-254.3364)/BX41)</f>
        <v>0</v>
      </c>
      <c r="BY37" s="484">
        <f>MAX(0,Debt!BY27/83.5513*(BY41-83.5513)/BY41)+MAX(0,Debt!BY19/254.3364*(BY41-254.3364)/BY41)+MAX(0,Debt!BY11/254.3364*(BY41-254.3364)/BY41)</f>
        <v>0</v>
      </c>
      <c r="BZ37" s="481">
        <f>MAX(0,Debt!BZ27/83.5513*(BZ41-83.5513)/BZ41)+MAX(0,Debt!BZ19/254.3364*(BZ41-254.3364)/BZ41)+MAX(0,Debt!BZ11/254.3364*(BZ41-254.3364)/BZ41)</f>
        <v>0</v>
      </c>
      <c r="CA37" s="482">
        <f>MAX(0,Debt!CA27/83.5513*(CA41-83.5513)/CA41)+MAX(0,Debt!CA19/254.3364*(CA41-254.3364)/CA41)+MAX(0,Debt!CA11/254.3364*(CA41-254.3364)/CA41)</f>
        <v>0</v>
      </c>
      <c r="CB37" s="650"/>
      <c r="CC37" s="483">
        <f>MAX(0,Debt!CC27/83.5513*(CC41-83.5513)/CC41)+MAX(0,Debt!CC19/254.3364*(CC41-254.3364)/CC41)+MAX(0,Debt!CC11/254.3364*(CC41-254.3364)/CC41)</f>
        <v>4.3366829990866509E-2</v>
      </c>
      <c r="CD37" s="484">
        <f>MAX(0,Debt!CD27/83.5513*(CD41-83.5513)/CD41)+MAX(0,Debt!CD19/254.3364*(CD41-254.3364)/CD41)+MAX(0,Debt!CD11/254.3364*(CD41-254.3364)/CD41)</f>
        <v>0.13881526923310084</v>
      </c>
      <c r="CE37" s="484">
        <f>MAX(0,Debt!CE27/83.5513*(CE41-83.5513)/CE41)+MAX(0,Debt!CE19/254.3364*(CE41-254.3364)/CE41)+MAX(0,Debt!CE11/254.3364*(CE41-254.3364)/CE41)</f>
        <v>0.23222932037428351</v>
      </c>
      <c r="CF37" s="481">
        <f>MAX(0,Debt!CF27/83.5513*(CF41-83.5513)/CF41)+MAX(0,Debt!CF19/254.3364*(CF41-254.3364)/CF41)+MAX(0,Debt!CF11/254.3364*(CF41-254.3364)/CF41)</f>
        <v>0.32365234436382972</v>
      </c>
      <c r="CG37" s="482">
        <f>MAX(0,Debt!CG27/83.5513*(CG41-83.5513)/CG41)+MAX(0,Debt!CG19/254.3364*(CG41-254.3364)/CG41)+MAX(0,Debt!CG11/254.3364*(CG41-254.3364)/CG41)</f>
        <v>0.18703141688677455</v>
      </c>
      <c r="CH37" s="650"/>
      <c r="CI37" s="483">
        <f>MAX(0,Debt!CI27/83.5513*(CI41-83.5513)/CI41)+MAX(0,Debt!CI19/254.3364*(CI41-254.3364)/CI41)+MAX(0,Debt!CI11/254.3364*(CI41-254.3364)/CI41)</f>
        <v>0.41312677795584729</v>
      </c>
      <c r="CJ37" s="484">
        <f>MAX(0,Debt!CJ27/83.5513*(CJ41-83.5513)/CJ41)+MAX(0,Debt!CJ19/254.3364*(CJ41-254.3364)/CJ41)+MAX(0,Debt!CJ11/254.3364*(CJ41-254.3364)/CJ41)</f>
        <v>0.50069415340743817</v>
      </c>
      <c r="CK37" s="484">
        <f>MAX(0,Debt!CK27/83.5513*(CK41-83.5513)/CK41)+MAX(0,Debt!CK19/254.3364*(CK41-254.3364)/CK41)+MAX(0,Debt!CK11/254.3364*(CK41-254.3364)/CK41)</f>
        <v>0.58639511775714726</v>
      </c>
      <c r="CL37" s="481">
        <f>MAX(0,Debt!CL27/83.5513*(CL41-83.5513)/CL41)+MAX(0,Debt!CL19/254.3364*(CL41-254.3364)/CL41)+MAX(0,Debt!CL11/254.3364*(CL41-254.3364)/CL41)</f>
        <v>0.67026945169251051</v>
      </c>
      <c r="CM37" s="482">
        <f>MAX(0,Debt!CM27/83.5513*(CM41-83.5513)/CM41)+MAX(0,Debt!CM19/254.3364*(CM41-254.3364)/CM41)+MAX(0,Debt!CM11/254.3364*(CM41-254.3364)/CM41)</f>
        <v>0.54492915125484553</v>
      </c>
      <c r="CN37" s="650"/>
      <c r="CO37" s="483">
        <f>MAX(0,Debt!CO27/83.5513*(CO41-83.5513)/CO41)+MAX(0,Debt!CO19/254.3364*(CO41-254.3364)/CO41)+MAX(0,Debt!CO11/254.3364*(CO41-254.3364)/CO41)</f>
        <v>0.75235608801546228</v>
      </c>
      <c r="CP37" s="484">
        <f>MAX(0,Debt!CP27/83.5513*(CP41-83.5513)/CP41)+MAX(0,Debt!CP19/254.3364*(CP41-254.3364)/CP41)+MAX(0,Debt!CP11/254.3364*(CP41-254.3364)/CP41)</f>
        <v>0.83269312971416953</v>
      </c>
      <c r="CQ37" s="484">
        <f>MAX(0,Debt!CQ27/83.5513*(CQ41-83.5513)/CQ41)+MAX(0,Debt!CQ19/254.3364*(CQ41-254.3364)/CQ41)+MAX(0,Debt!CQ11/254.3364*(CQ41-254.3364)/CQ41)</f>
        <v>0.91131786764968203</v>
      </c>
      <c r="CR37" s="481">
        <f>MAX(0,Debt!CR27/83.5513*(CR41-83.5513)/CR41)+MAX(0,Debt!CR19/254.3364*(CR41-254.3364)/CR41)+MAX(0,Debt!CR11/254.3364*(CR41-254.3364)/CR41)</f>
        <v>0.98826679786561134</v>
      </c>
      <c r="CS37" s="482">
        <f>MAX(0,Debt!CS27/83.5513*(CS41-83.5513)/CS41)+MAX(0,Debt!CS19/254.3364*(CS41-254.3364)/CS41)+MAX(0,Debt!CS11/254.3364*(CS41-254.3364)/CS41)</f>
        <v>0.8732756965466526</v>
      </c>
      <c r="CT37" s="416"/>
      <c r="CU37" s="400"/>
      <c r="CV37" s="400"/>
      <c r="DC37" s="400"/>
      <c r="DD37" s="400"/>
      <c r="DE37" s="400"/>
      <c r="DF37" s="400"/>
      <c r="DG37" s="400"/>
      <c r="DH37" s="400"/>
      <c r="DI37" s="400"/>
      <c r="DJ37" s="400"/>
      <c r="DK37" s="400"/>
      <c r="DL37" s="400"/>
      <c r="DM37" s="2361"/>
      <c r="DN37" s="2361"/>
      <c r="DO37" s="2361"/>
      <c r="DP37" s="2361"/>
      <c r="DQ37" s="2361"/>
      <c r="DR37" s="2361"/>
      <c r="DS37" s="2361"/>
      <c r="DT37" s="2361"/>
      <c r="DU37" s="2361"/>
      <c r="DV37" s="2361"/>
      <c r="DW37" s="2361"/>
      <c r="DX37" s="2361"/>
      <c r="DY37" s="2361"/>
      <c r="DZ37" s="2361"/>
      <c r="EA37" s="2361"/>
    </row>
    <row r="38" spans="1:131" ht="11.25" hidden="1" customHeight="1" outlineLevel="1">
      <c r="A38" s="1875" t="s">
        <v>186</v>
      </c>
      <c r="B38" s="650"/>
      <c r="C38" s="477">
        <v>0</v>
      </c>
      <c r="D38" s="478">
        <f>3.505*2</f>
        <v>7.01</v>
      </c>
      <c r="E38" s="478">
        <v>6.7389999999999999</v>
      </c>
      <c r="F38" s="479" t="s">
        <v>367</v>
      </c>
      <c r="G38" s="480">
        <v>0</v>
      </c>
      <c r="H38" s="650"/>
      <c r="I38" s="477">
        <v>5.4160000000000004</v>
      </c>
      <c r="J38" s="478">
        <v>5.7910000000000004</v>
      </c>
      <c r="K38" s="478">
        <v>0</v>
      </c>
      <c r="L38" s="481">
        <f>M38</f>
        <v>5.3730000000000002</v>
      </c>
      <c r="M38" s="480">
        <v>5.3730000000000002</v>
      </c>
      <c r="N38" s="650"/>
      <c r="O38" s="477">
        <v>4.1189999999999998</v>
      </c>
      <c r="P38" s="478">
        <v>4.71</v>
      </c>
      <c r="Q38" s="478">
        <v>4.468</v>
      </c>
      <c r="R38" s="481">
        <f>S38</f>
        <v>4.335</v>
      </c>
      <c r="S38" s="480">
        <v>4.335</v>
      </c>
      <c r="T38" s="650"/>
      <c r="U38" s="477">
        <v>4.1920000000000002</v>
      </c>
      <c r="V38" s="478">
        <v>4.2949999999999999</v>
      </c>
      <c r="W38" s="478">
        <v>4.734</v>
      </c>
      <c r="X38" s="481">
        <f>Y38</f>
        <v>4.6740000000000004</v>
      </c>
      <c r="Y38" s="480">
        <v>4.6740000000000004</v>
      </c>
      <c r="Z38" s="650"/>
      <c r="AA38" s="477">
        <v>5.79</v>
      </c>
      <c r="AB38" s="478">
        <v>5.6070000000000002</v>
      </c>
      <c r="AC38" s="478">
        <v>4.5490000000000004</v>
      </c>
      <c r="AD38" s="474">
        <f>AE38</f>
        <v>4.7030000000000003</v>
      </c>
      <c r="AE38" s="876">
        <v>4.7030000000000003</v>
      </c>
      <c r="AF38" s="650"/>
      <c r="AG38" s="477">
        <v>4.0599999999999996</v>
      </c>
      <c r="AH38" s="478">
        <v>3.5270000000000001</v>
      </c>
      <c r="AI38" s="478">
        <v>3.7189999999999999</v>
      </c>
      <c r="AJ38" s="474">
        <f>AK38</f>
        <v>3.9060000000000001</v>
      </c>
      <c r="AK38" s="2715">
        <v>3.9060000000000001</v>
      </c>
      <c r="AL38" s="2716"/>
      <c r="AM38" s="2711">
        <v>0</v>
      </c>
      <c r="AN38" s="2717">
        <v>4.3819999999999997</v>
      </c>
      <c r="AO38" s="2717">
        <v>4.5960000000000001</v>
      </c>
      <c r="AP38" s="2726">
        <f>AQ38</f>
        <v>4.4039999999999999</v>
      </c>
      <c r="AQ38" s="2715">
        <v>4.4039999999999999</v>
      </c>
      <c r="AR38" s="650"/>
      <c r="AS38" s="1548">
        <v>4.8159999999999998</v>
      </c>
      <c r="AT38" s="478">
        <v>4.16</v>
      </c>
      <c r="AU38" s="478">
        <v>4.1239999999999997</v>
      </c>
      <c r="AV38" s="474">
        <f>AW38</f>
        <v>4.34</v>
      </c>
      <c r="AW38" s="1547">
        <v>4.34</v>
      </c>
      <c r="AX38" s="650"/>
      <c r="AY38" s="1548">
        <v>2.7349999999999999</v>
      </c>
      <c r="AZ38" s="478">
        <v>2.5550000000000002</v>
      </c>
      <c r="BA38" s="478">
        <v>2.653</v>
      </c>
      <c r="BB38" s="481">
        <f>BC38</f>
        <v>2.5819999999999999</v>
      </c>
      <c r="BC38" s="2715">
        <v>2.5819999999999999</v>
      </c>
      <c r="BD38" s="2716"/>
      <c r="BE38" s="2711">
        <v>1.252</v>
      </c>
      <c r="BF38" s="2717">
        <v>1.111</v>
      </c>
      <c r="BG38" s="2717">
        <v>1.196</v>
      </c>
      <c r="BH38" s="2718">
        <f>BI38</f>
        <v>1.1919999999999999</v>
      </c>
      <c r="BI38" s="1547">
        <v>1.1919999999999999</v>
      </c>
      <c r="BJ38" s="650"/>
      <c r="BK38" s="2711">
        <v>1.2</v>
      </c>
      <c r="BL38" s="2717">
        <v>1.2</v>
      </c>
      <c r="BM38" s="2717">
        <v>1.196</v>
      </c>
      <c r="BN38" s="481">
        <f>BO38</f>
        <v>2</v>
      </c>
      <c r="BO38" s="3021">
        <v>2</v>
      </c>
      <c r="BP38" s="650"/>
      <c r="BQ38" s="2711">
        <v>1.2</v>
      </c>
      <c r="BR38" s="484">
        <f>BQ38</f>
        <v>1.2</v>
      </c>
      <c r="BS38" s="484">
        <f>BR38</f>
        <v>1.2</v>
      </c>
      <c r="BT38" s="481">
        <f>BS38</f>
        <v>1.2</v>
      </c>
      <c r="BU38" s="482">
        <f>AVERAGE(BQ38:BT38)</f>
        <v>1.2</v>
      </c>
      <c r="BV38" s="650"/>
      <c r="BW38" s="483">
        <f>BU38</f>
        <v>1.2</v>
      </c>
      <c r="BX38" s="484">
        <f>BW38</f>
        <v>1.2</v>
      </c>
      <c r="BY38" s="484">
        <f>BX38</f>
        <v>1.2</v>
      </c>
      <c r="BZ38" s="481">
        <f>BY38</f>
        <v>1.2</v>
      </c>
      <c r="CA38" s="482">
        <f>AVERAGE(BW38:BZ38)</f>
        <v>1.2</v>
      </c>
      <c r="CB38" s="650"/>
      <c r="CC38" s="483">
        <f>CA38</f>
        <v>1.2</v>
      </c>
      <c r="CD38" s="484">
        <f>CC38</f>
        <v>1.2</v>
      </c>
      <c r="CE38" s="484">
        <f>CD38</f>
        <v>1.2</v>
      </c>
      <c r="CF38" s="481">
        <f>CE38</f>
        <v>1.2</v>
      </c>
      <c r="CG38" s="482">
        <f>AVERAGE(CC38:CF38)</f>
        <v>1.2</v>
      </c>
      <c r="CH38" s="650"/>
      <c r="CI38" s="483">
        <f t="shared" ref="CI38" si="108">CG38</f>
        <v>1.2</v>
      </c>
      <c r="CJ38" s="484">
        <f t="shared" ref="CJ38:CL38" si="109">CI38</f>
        <v>1.2</v>
      </c>
      <c r="CK38" s="484">
        <f t="shared" si="109"/>
        <v>1.2</v>
      </c>
      <c r="CL38" s="481">
        <f t="shared" si="109"/>
        <v>1.2</v>
      </c>
      <c r="CM38" s="482">
        <f t="shared" ref="CM38:CM40" si="110">AVERAGE(CI38:CL38)</f>
        <v>1.2</v>
      </c>
      <c r="CN38" s="650"/>
      <c r="CO38" s="483">
        <f t="shared" ref="CO38" si="111">CM38</f>
        <v>1.2</v>
      </c>
      <c r="CP38" s="484">
        <f t="shared" ref="CP38:CR38" si="112">CO38</f>
        <v>1.2</v>
      </c>
      <c r="CQ38" s="484">
        <f t="shared" si="112"/>
        <v>1.2</v>
      </c>
      <c r="CR38" s="481">
        <f t="shared" si="112"/>
        <v>1.2</v>
      </c>
      <c r="CS38" s="482">
        <f t="shared" ref="CS38:CS40" si="113">AVERAGE(CO38:CR38)</f>
        <v>1.2</v>
      </c>
      <c r="CT38" s="416"/>
      <c r="CU38" s="400"/>
      <c r="CV38" s="400"/>
      <c r="DC38" s="400"/>
      <c r="DD38" s="400"/>
      <c r="DE38" s="400"/>
      <c r="DF38" s="400"/>
      <c r="DG38" s="400"/>
      <c r="DH38" s="400"/>
      <c r="DI38" s="400"/>
      <c r="DJ38" s="400"/>
      <c r="DK38" s="400"/>
      <c r="DL38" s="400"/>
      <c r="DM38" s="2361"/>
      <c r="DN38" s="2361"/>
      <c r="DO38" s="2361"/>
      <c r="DP38" s="2361"/>
      <c r="DQ38" s="2361"/>
      <c r="DR38" s="2361"/>
      <c r="DS38" s="2361"/>
      <c r="DT38" s="2361"/>
      <c r="DU38" s="2361"/>
      <c r="DV38" s="2361"/>
      <c r="DW38" s="2361"/>
      <c r="DX38" s="2361"/>
      <c r="DY38" s="2361"/>
      <c r="DZ38" s="2361"/>
      <c r="EA38" s="2361"/>
    </row>
    <row r="39" spans="1:131" ht="11.25" hidden="1" customHeight="1" outlineLevel="1">
      <c r="A39" s="1875" t="s">
        <v>419</v>
      </c>
      <c r="B39" s="650"/>
      <c r="C39" s="477">
        <v>0</v>
      </c>
      <c r="D39" s="478">
        <v>0</v>
      </c>
      <c r="E39" s="478">
        <v>0</v>
      </c>
      <c r="F39" s="479" t="s">
        <v>367</v>
      </c>
      <c r="G39" s="480">
        <v>0</v>
      </c>
      <c r="H39" s="650"/>
      <c r="I39" s="477">
        <v>1.4179999999999999</v>
      </c>
      <c r="J39" s="478">
        <v>3.5819999999999999</v>
      </c>
      <c r="K39" s="478">
        <v>0</v>
      </c>
      <c r="L39" s="481">
        <f>M39</f>
        <v>2.4870000000000001</v>
      </c>
      <c r="M39" s="480">
        <v>2.4870000000000001</v>
      </c>
      <c r="N39" s="650"/>
      <c r="O39" s="477">
        <v>0</v>
      </c>
      <c r="P39" s="478">
        <v>2.5459999999999998</v>
      </c>
      <c r="Q39" s="478">
        <v>2.3290000000000002</v>
      </c>
      <c r="R39" s="481">
        <f>S39</f>
        <v>1.5660000000000001</v>
      </c>
      <c r="S39" s="480">
        <v>1.5660000000000001</v>
      </c>
      <c r="T39" s="650"/>
      <c r="U39" s="477">
        <v>2.9369999999999998</v>
      </c>
      <c r="V39" s="478">
        <v>4.351</v>
      </c>
      <c r="W39" s="478">
        <v>5.6619999999999999</v>
      </c>
      <c r="X39" s="481">
        <f>Y39</f>
        <v>5.3170000000000002</v>
      </c>
      <c r="Y39" s="480">
        <v>5.3170000000000002</v>
      </c>
      <c r="Z39" s="650"/>
      <c r="AA39" s="477">
        <v>9.8689999999999998</v>
      </c>
      <c r="AB39" s="478">
        <v>10.294</v>
      </c>
      <c r="AC39" s="478">
        <v>8.0459999999999994</v>
      </c>
      <c r="AD39" s="474">
        <f>AE39</f>
        <v>7.0519999999999996</v>
      </c>
      <c r="AE39" s="876">
        <v>7.0519999999999996</v>
      </c>
      <c r="AF39" s="650"/>
      <c r="AG39" s="477">
        <v>6.1660000000000004</v>
      </c>
      <c r="AH39" s="478">
        <v>6.1390000000000002</v>
      </c>
      <c r="AI39" s="478">
        <v>4.952</v>
      </c>
      <c r="AJ39" s="474">
        <f>AK39</f>
        <v>5.8209999999999997</v>
      </c>
      <c r="AK39" s="2715">
        <v>5.8209999999999997</v>
      </c>
      <c r="AL39" s="2716"/>
      <c r="AM39" s="2711">
        <v>0</v>
      </c>
      <c r="AN39" s="2717">
        <v>9.5690000000000008</v>
      </c>
      <c r="AO39" s="2717">
        <v>9.5120000000000005</v>
      </c>
      <c r="AP39" s="2726">
        <f>AQ39</f>
        <v>9.1159999999999997</v>
      </c>
      <c r="AQ39" s="2715">
        <v>9.1159999999999997</v>
      </c>
      <c r="AR39" s="650"/>
      <c r="AS39" s="1548">
        <v>12.138999999999999</v>
      </c>
      <c r="AT39" s="478">
        <v>9.968</v>
      </c>
      <c r="AU39" s="478">
        <v>0.27400000000000002</v>
      </c>
      <c r="AV39" s="474">
        <f>AW39</f>
        <v>5.5949999999999998</v>
      </c>
      <c r="AW39" s="1547">
        <v>5.5949999999999998</v>
      </c>
      <c r="AX39" s="650"/>
      <c r="AY39" s="1548">
        <v>0</v>
      </c>
      <c r="AZ39" s="478">
        <v>0</v>
      </c>
      <c r="BA39" s="478">
        <v>0</v>
      </c>
      <c r="BB39" s="481">
        <f>BC39</f>
        <v>0</v>
      </c>
      <c r="BC39" s="2715">
        <v>0</v>
      </c>
      <c r="BD39" s="2716"/>
      <c r="BE39" s="2711">
        <v>0</v>
      </c>
      <c r="BF39" s="2717">
        <v>0</v>
      </c>
      <c r="BG39" s="2717">
        <v>0</v>
      </c>
      <c r="BH39" s="2718">
        <f>BI39</f>
        <v>0</v>
      </c>
      <c r="BI39" s="1547">
        <v>0</v>
      </c>
      <c r="BJ39" s="650"/>
      <c r="BK39" s="2711">
        <v>0</v>
      </c>
      <c r="BL39" s="2717">
        <v>0</v>
      </c>
      <c r="BM39" s="2717">
        <v>0</v>
      </c>
      <c r="BN39" s="481">
        <f>BO39</f>
        <v>0</v>
      </c>
      <c r="BO39" s="3021">
        <v>0</v>
      </c>
      <c r="BP39" s="650"/>
      <c r="BQ39" s="2711">
        <v>0</v>
      </c>
      <c r="BR39" s="478">
        <v>0</v>
      </c>
      <c r="BS39" s="478">
        <v>0</v>
      </c>
      <c r="BT39" s="875">
        <v>0</v>
      </c>
      <c r="BU39" s="482">
        <f>AVERAGE(BQ39:BT39)</f>
        <v>0</v>
      </c>
      <c r="BV39" s="650"/>
      <c r="BW39" s="477">
        <v>0</v>
      </c>
      <c r="BX39" s="478">
        <v>0</v>
      </c>
      <c r="BY39" s="478">
        <v>0</v>
      </c>
      <c r="BZ39" s="875">
        <v>0</v>
      </c>
      <c r="CA39" s="482">
        <f>AVERAGE(BW39:BZ39)</f>
        <v>0</v>
      </c>
      <c r="CB39" s="650"/>
      <c r="CC39" s="477">
        <v>0</v>
      </c>
      <c r="CD39" s="478">
        <v>0</v>
      </c>
      <c r="CE39" s="478">
        <v>0</v>
      </c>
      <c r="CF39" s="875">
        <v>0</v>
      </c>
      <c r="CG39" s="482">
        <f>AVERAGE(CC39:CF39)</f>
        <v>0</v>
      </c>
      <c r="CH39" s="650"/>
      <c r="CI39" s="477">
        <v>0</v>
      </c>
      <c r="CJ39" s="478">
        <v>0</v>
      </c>
      <c r="CK39" s="478">
        <v>0</v>
      </c>
      <c r="CL39" s="875">
        <v>0</v>
      </c>
      <c r="CM39" s="482">
        <f t="shared" si="110"/>
        <v>0</v>
      </c>
      <c r="CN39" s="650"/>
      <c r="CO39" s="477">
        <v>0</v>
      </c>
      <c r="CP39" s="478">
        <v>0</v>
      </c>
      <c r="CQ39" s="478">
        <v>0</v>
      </c>
      <c r="CR39" s="875">
        <v>0</v>
      </c>
      <c r="CS39" s="482">
        <f t="shared" si="113"/>
        <v>0</v>
      </c>
      <c r="CT39" s="416"/>
      <c r="CU39" s="400"/>
      <c r="CV39" s="400"/>
      <c r="DC39" s="400"/>
      <c r="DD39" s="400"/>
      <c r="DE39" s="400"/>
      <c r="DF39" s="400"/>
      <c r="DG39" s="400"/>
      <c r="DH39" s="400"/>
      <c r="DI39" s="400"/>
      <c r="DJ39" s="400"/>
      <c r="DK39" s="400"/>
      <c r="DL39" s="400"/>
      <c r="DM39" s="2361"/>
      <c r="DN39" s="2361"/>
      <c r="DO39" s="2361"/>
      <c r="DP39" s="2361"/>
      <c r="DQ39" s="2361"/>
      <c r="DR39" s="2361"/>
      <c r="DS39" s="2361"/>
      <c r="DT39" s="2361"/>
      <c r="DU39" s="2361"/>
      <c r="DV39" s="2361"/>
      <c r="DW39" s="2361"/>
      <c r="DX39" s="2361"/>
      <c r="DY39" s="2361"/>
      <c r="DZ39" s="2361"/>
      <c r="EA39" s="2361"/>
    </row>
    <row r="40" spans="1:131" ht="11.25" hidden="1" customHeight="1" outlineLevel="1">
      <c r="A40" s="1875" t="s">
        <v>187</v>
      </c>
      <c r="B40" s="650"/>
      <c r="C40" s="477">
        <v>0</v>
      </c>
      <c r="D40" s="478">
        <f>0.778*2</f>
        <v>1.556</v>
      </c>
      <c r="E40" s="478">
        <v>2.1040000000000001</v>
      </c>
      <c r="F40" s="479" t="s">
        <v>367</v>
      </c>
      <c r="G40" s="480">
        <v>0</v>
      </c>
      <c r="H40" s="650"/>
      <c r="I40" s="477">
        <v>2.4420000000000002</v>
      </c>
      <c r="J40" s="478">
        <v>2.363</v>
      </c>
      <c r="K40" s="478">
        <v>0</v>
      </c>
      <c r="L40" s="481">
        <f>M40</f>
        <v>2.2389999999999999</v>
      </c>
      <c r="M40" s="480">
        <v>2.2389999999999999</v>
      </c>
      <c r="N40" s="650"/>
      <c r="O40" s="477">
        <v>1.681</v>
      </c>
      <c r="P40" s="478">
        <v>1.5620000000000001</v>
      </c>
      <c r="Q40" s="478">
        <v>1.4850000000000001</v>
      </c>
      <c r="R40" s="481">
        <f>S40</f>
        <v>1.544</v>
      </c>
      <c r="S40" s="480">
        <v>1.544</v>
      </c>
      <c r="T40" s="650"/>
      <c r="U40" s="477">
        <v>1.163</v>
      </c>
      <c r="V40" s="478">
        <v>0.80600000000000005</v>
      </c>
      <c r="W40" s="478">
        <v>0.83299999999999996</v>
      </c>
      <c r="X40" s="481">
        <f>Y40</f>
        <v>0.80300000000000005</v>
      </c>
      <c r="Y40" s="480">
        <v>0.80300000000000005</v>
      </c>
      <c r="Z40" s="650"/>
      <c r="AA40" s="477">
        <v>0</v>
      </c>
      <c r="AB40" s="478">
        <v>0</v>
      </c>
      <c r="AC40" s="478">
        <v>0</v>
      </c>
      <c r="AD40" s="875">
        <f>AE40</f>
        <v>0</v>
      </c>
      <c r="AE40" s="480">
        <v>0</v>
      </c>
      <c r="AF40" s="650"/>
      <c r="AG40" s="477">
        <v>0</v>
      </c>
      <c r="AH40" s="478">
        <v>0</v>
      </c>
      <c r="AI40" s="478">
        <v>0</v>
      </c>
      <c r="AJ40" s="875">
        <f>AK40</f>
        <v>0</v>
      </c>
      <c r="AK40" s="2715">
        <v>0</v>
      </c>
      <c r="AL40" s="2716"/>
      <c r="AM40" s="2711">
        <v>0</v>
      </c>
      <c r="AN40" s="2717">
        <v>0</v>
      </c>
      <c r="AO40" s="2717">
        <v>0</v>
      </c>
      <c r="AP40" s="2718">
        <f>AQ40</f>
        <v>0</v>
      </c>
      <c r="AQ40" s="2715">
        <v>0</v>
      </c>
      <c r="AR40" s="650"/>
      <c r="AS40" s="477">
        <v>0</v>
      </c>
      <c r="AT40" s="478">
        <v>0</v>
      </c>
      <c r="AU40" s="478">
        <v>0</v>
      </c>
      <c r="AV40" s="481">
        <f>AW40</f>
        <v>0</v>
      </c>
      <c r="AW40" s="1547">
        <v>0</v>
      </c>
      <c r="AX40" s="650"/>
      <c r="AY40" s="477">
        <v>0</v>
      </c>
      <c r="AZ40" s="478">
        <v>0</v>
      </c>
      <c r="BA40" s="478">
        <v>0</v>
      </c>
      <c r="BB40" s="481">
        <f>BC40</f>
        <v>0</v>
      </c>
      <c r="BC40" s="2715">
        <v>0</v>
      </c>
      <c r="BD40" s="2716"/>
      <c r="BE40" s="2711">
        <v>0</v>
      </c>
      <c r="BF40" s="2717">
        <v>0</v>
      </c>
      <c r="BG40" s="2717">
        <v>0</v>
      </c>
      <c r="BH40" s="2718">
        <f>BI40</f>
        <v>0</v>
      </c>
      <c r="BI40" s="1547">
        <v>0</v>
      </c>
      <c r="BJ40" s="650"/>
      <c r="BK40" s="2711">
        <v>0</v>
      </c>
      <c r="BL40" s="2717">
        <v>0</v>
      </c>
      <c r="BM40" s="2717">
        <v>0</v>
      </c>
      <c r="BN40" s="481">
        <f>BO40</f>
        <v>0</v>
      </c>
      <c r="BO40" s="3021">
        <v>0</v>
      </c>
      <c r="BP40" s="650"/>
      <c r="BQ40" s="2711">
        <v>0</v>
      </c>
      <c r="BR40" s="478">
        <v>0</v>
      </c>
      <c r="BS40" s="478">
        <v>0</v>
      </c>
      <c r="BT40" s="875">
        <v>0</v>
      </c>
      <c r="BU40" s="482">
        <f>AVERAGE(BQ40:BT40)</f>
        <v>0</v>
      </c>
      <c r="BV40" s="650"/>
      <c r="BW40" s="477">
        <v>0</v>
      </c>
      <c r="BX40" s="478">
        <v>0</v>
      </c>
      <c r="BY40" s="478">
        <v>0</v>
      </c>
      <c r="BZ40" s="875">
        <v>0</v>
      </c>
      <c r="CA40" s="482">
        <f>AVERAGE(BW40:BZ40)</f>
        <v>0</v>
      </c>
      <c r="CB40" s="650"/>
      <c r="CC40" s="477">
        <v>0</v>
      </c>
      <c r="CD40" s="478">
        <v>0</v>
      </c>
      <c r="CE40" s="478">
        <v>0</v>
      </c>
      <c r="CF40" s="875">
        <v>0</v>
      </c>
      <c r="CG40" s="482">
        <f>AVERAGE(CC40:CF40)</f>
        <v>0</v>
      </c>
      <c r="CH40" s="650"/>
      <c r="CI40" s="477">
        <v>0</v>
      </c>
      <c r="CJ40" s="478">
        <v>0</v>
      </c>
      <c r="CK40" s="478">
        <v>0</v>
      </c>
      <c r="CL40" s="875">
        <v>0</v>
      </c>
      <c r="CM40" s="482">
        <f t="shared" si="110"/>
        <v>0</v>
      </c>
      <c r="CN40" s="650"/>
      <c r="CO40" s="477">
        <v>0</v>
      </c>
      <c r="CP40" s="478">
        <v>0</v>
      </c>
      <c r="CQ40" s="478">
        <v>0</v>
      </c>
      <c r="CR40" s="875">
        <v>0</v>
      </c>
      <c r="CS40" s="482">
        <f t="shared" si="113"/>
        <v>0</v>
      </c>
      <c r="CT40" s="416"/>
      <c r="CU40" s="400"/>
      <c r="CV40" s="400"/>
      <c r="DC40" s="400"/>
      <c r="DD40" s="400"/>
      <c r="DE40" s="400"/>
      <c r="DF40" s="400"/>
      <c r="DG40" s="400"/>
      <c r="DH40" s="400"/>
      <c r="DI40" s="400"/>
      <c r="DJ40" s="400"/>
      <c r="DK40" s="400"/>
      <c r="DL40" s="400"/>
      <c r="DM40" s="2361"/>
      <c r="DN40" s="2361"/>
      <c r="DO40" s="2361"/>
      <c r="DP40" s="2361"/>
      <c r="DQ40" s="2361"/>
      <c r="DR40" s="2361"/>
      <c r="DS40" s="2361"/>
      <c r="DT40" s="2361"/>
      <c r="DU40" s="2361"/>
      <c r="DV40" s="2361"/>
      <c r="DW40" s="2361"/>
      <c r="DX40" s="2361"/>
      <c r="DY40" s="2361"/>
      <c r="DZ40" s="2361"/>
      <c r="EA40" s="2361"/>
    </row>
    <row r="41" spans="1:131" ht="11.25" hidden="1" customHeight="1" outlineLevel="1">
      <c r="A41" s="1875" t="s">
        <v>188</v>
      </c>
      <c r="B41" s="485"/>
      <c r="C41" s="486"/>
      <c r="D41" s="487"/>
      <c r="E41" s="487"/>
      <c r="F41" s="488"/>
      <c r="G41" s="489"/>
      <c r="H41" s="490"/>
      <c r="I41" s="486"/>
      <c r="J41" s="487"/>
      <c r="K41" s="487"/>
      <c r="L41" s="488"/>
      <c r="M41" s="489"/>
      <c r="N41" s="491"/>
      <c r="O41" s="486"/>
      <c r="P41" s="487"/>
      <c r="Q41" s="487"/>
      <c r="R41" s="488"/>
      <c r="S41" s="492"/>
      <c r="T41" s="493"/>
      <c r="U41" s="494"/>
      <c r="V41" s="495"/>
      <c r="W41" s="495"/>
      <c r="X41" s="496"/>
      <c r="Y41" s="492">
        <v>45.35099349803923</v>
      </c>
      <c r="Z41" s="493"/>
      <c r="AA41" s="494">
        <v>68.090961290322625</v>
      </c>
      <c r="AB41" s="495">
        <v>71.658484761904802</v>
      </c>
      <c r="AC41" s="495">
        <v>56.358586734375045</v>
      </c>
      <c r="AD41" s="496">
        <v>29.532056301587314</v>
      </c>
      <c r="AE41" s="492">
        <v>56.363465230158667</v>
      </c>
      <c r="AF41" s="497"/>
      <c r="AG41" s="494">
        <v>47.378460451612916</v>
      </c>
      <c r="AH41" s="495">
        <v>71.658484761904802</v>
      </c>
      <c r="AI41" s="495">
        <v>43.078802634920656</v>
      </c>
      <c r="AJ41" s="495">
        <v>50.72506217741936</v>
      </c>
      <c r="AK41" s="2727">
        <v>46.258910415999964</v>
      </c>
      <c r="AL41" s="2716"/>
      <c r="AM41" s="2728">
        <f>CFS!AM78</f>
        <v>51.671780866666651</v>
      </c>
      <c r="AN41" s="2729">
        <f>CFS!AN78</f>
        <v>65.798118406249998</v>
      </c>
      <c r="AO41" s="2729">
        <f>CFS!AO78</f>
        <v>78.639586953125033</v>
      </c>
      <c r="AP41" s="2721">
        <f>CFS!AP78</f>
        <v>94.156337859375043</v>
      </c>
      <c r="AQ41" s="2719">
        <f>CFS!AQ78</f>
        <v>72.566456021354185</v>
      </c>
      <c r="AR41" s="485"/>
      <c r="AS41" s="1429">
        <f>CFS!AS78</f>
        <v>124.28411588235292</v>
      </c>
      <c r="AT41" s="1388">
        <f>CFS!AT78</f>
        <v>153.36983809523812</v>
      </c>
      <c r="AU41" s="1388">
        <f>CFS!AU78</f>
        <v>171.85541859374996</v>
      </c>
      <c r="AV41" s="1388">
        <f>CFS!AV78</f>
        <v>181.16156343750001</v>
      </c>
      <c r="AW41" s="868">
        <f>CFS!AW78</f>
        <v>157.66773400221027</v>
      </c>
      <c r="AX41" s="485"/>
      <c r="AY41" s="1429">
        <f>CFS!AY78</f>
        <v>151.06778377049179</v>
      </c>
      <c r="AZ41" s="866">
        <f>CFS!AZ78</f>
        <v>200.78460761904765</v>
      </c>
      <c r="BA41" s="866">
        <f>CFS!BA78</f>
        <v>207.79672390625012</v>
      </c>
      <c r="BB41" s="867">
        <f>CFS!BB78</f>
        <v>165.91008249999999</v>
      </c>
      <c r="BC41" s="2719">
        <f>CFS!BC78</f>
        <v>181.38979944894737</v>
      </c>
      <c r="BD41" s="2720"/>
      <c r="BE41" s="2750">
        <f>CFS!BE78</f>
        <v>157.14820147540991</v>
      </c>
      <c r="BF41" s="2751">
        <f>CFS!BF78</f>
        <v>146.28046630769228</v>
      </c>
      <c r="BG41" s="2751">
        <f>CFS!BG78</f>
        <v>164.46796874999995</v>
      </c>
      <c r="BH41" s="2752">
        <f>CFS!BH78</f>
        <v>138.55413111111099</v>
      </c>
      <c r="BI41" s="868">
        <f>CFS!BI78</f>
        <v>151.61269191105328</v>
      </c>
      <c r="BJ41" s="485"/>
      <c r="BK41" s="2748">
        <f>CFS!BK78</f>
        <v>161.97258580645155</v>
      </c>
      <c r="BL41" s="2749" t="str">
        <f>CFS!BL78</f>
        <v xml:space="preserve">$177.76 </v>
      </c>
      <c r="BM41" s="2751">
        <f>CFS!BM78</f>
        <v>191.38016428571433</v>
      </c>
      <c r="BN41" s="867">
        <f>CFS!BN78</f>
        <v>211.53603730158744</v>
      </c>
      <c r="BO41" s="868">
        <f>CFS!BO78</f>
        <v>188.29626246458443</v>
      </c>
      <c r="BP41" s="485"/>
      <c r="BQ41" s="2748">
        <f>CFS!BQ78</f>
        <v>216.14290738133087</v>
      </c>
      <c r="BR41" s="866">
        <f>CFS!BR78</f>
        <v>220.85010671089086</v>
      </c>
      <c r="BS41" s="866">
        <f>CFS!BS78</f>
        <v>225.65982027881591</v>
      </c>
      <c r="BT41" s="867">
        <f>CFS!BT78</f>
        <v>230.57428065873037</v>
      </c>
      <c r="BU41" s="868">
        <f>CFS!BU78</f>
        <v>223.306778757442</v>
      </c>
      <c r="BV41" s="485"/>
      <c r="BW41" s="865">
        <f>CFS!BW78</f>
        <v>235.59576904565071</v>
      </c>
      <c r="BX41" s="866">
        <f>CFS!BX78</f>
        <v>240.72661631487111</v>
      </c>
      <c r="BY41" s="866">
        <f>CFS!BY78</f>
        <v>245.96920410390945</v>
      </c>
      <c r="BZ41" s="867">
        <f>CFS!BZ78</f>
        <v>251.32596591801621</v>
      </c>
      <c r="CA41" s="868">
        <f>CFS!CA78</f>
        <v>243.40438884561186</v>
      </c>
      <c r="CB41" s="485"/>
      <c r="CC41" s="865">
        <f>CFS!CC78</f>
        <v>256.79938825975938</v>
      </c>
      <c r="CD41" s="866">
        <f>CFS!CD78</f>
        <v>262.39201178320963</v>
      </c>
      <c r="CE41" s="866">
        <f>CFS!CE78</f>
        <v>268.10643247326141</v>
      </c>
      <c r="CF41" s="867">
        <f>CFS!CF78</f>
        <v>273.9453028506378</v>
      </c>
      <c r="CG41" s="868">
        <f>CFS!CG78</f>
        <v>265.31078384171707</v>
      </c>
      <c r="CH41" s="485"/>
      <c r="CI41" s="865">
        <f>CFS!CI78</f>
        <v>279.91133320313787</v>
      </c>
      <c r="CJ41" s="866">
        <f>CFS!CJ78</f>
        <v>286.00729284369862</v>
      </c>
      <c r="CK41" s="866">
        <f>CFS!CK78</f>
        <v>292.23601139585509</v>
      </c>
      <c r="CL41" s="867">
        <f>CFS!CL78</f>
        <v>298.60038010719535</v>
      </c>
      <c r="CM41" s="868">
        <f>CFS!CM78</f>
        <v>289.18875438747176</v>
      </c>
      <c r="CN41" s="485"/>
      <c r="CO41" s="865">
        <f>CFS!CO78</f>
        <v>305.10335319142041</v>
      </c>
      <c r="CP41" s="866">
        <f>CFS!CP78</f>
        <v>311.74794919963165</v>
      </c>
      <c r="CQ41" s="866">
        <f>CFS!CQ78</f>
        <v>318.53725242148215</v>
      </c>
      <c r="CR41" s="867">
        <f>CFS!CR78</f>
        <v>325.47441431684302</v>
      </c>
      <c r="CS41" s="868">
        <f>CFS!CS78</f>
        <v>315.21574228234431</v>
      </c>
      <c r="CT41" s="929"/>
      <c r="CU41" s="930"/>
      <c r="CV41" s="930"/>
      <c r="DC41" s="400"/>
      <c r="DD41" s="400"/>
      <c r="DE41" s="400"/>
      <c r="DF41" s="400"/>
      <c r="DG41" s="400"/>
      <c r="DH41" s="400"/>
      <c r="DI41" s="400"/>
      <c r="DJ41" s="400"/>
      <c r="DK41" s="400"/>
      <c r="DL41" s="400"/>
      <c r="DM41" s="2361"/>
      <c r="DN41" s="2361"/>
      <c r="DO41" s="2361"/>
      <c r="DP41" s="2361"/>
      <c r="DQ41" s="2361"/>
      <c r="DR41" s="2361"/>
      <c r="DS41" s="2361"/>
      <c r="DT41" s="2361"/>
      <c r="DU41" s="2361"/>
      <c r="DV41" s="2361"/>
      <c r="DW41" s="2361"/>
      <c r="DX41" s="2361"/>
      <c r="DY41" s="2361"/>
      <c r="DZ41" s="2361"/>
      <c r="EA41" s="2361"/>
    </row>
    <row r="42" spans="1:131" collapsed="1">
      <c r="A42" s="1876" t="s">
        <v>368</v>
      </c>
      <c r="B42" s="498"/>
      <c r="C42" s="499">
        <f>58.02*2</f>
        <v>116.04</v>
      </c>
      <c r="D42" s="500">
        <f>58.061*2</f>
        <v>116.122</v>
      </c>
      <c r="E42" s="500">
        <v>118.79</v>
      </c>
      <c r="F42" s="501">
        <v>117.756</v>
      </c>
      <c r="G42" s="502">
        <v>116.86</v>
      </c>
      <c r="H42" s="503"/>
      <c r="I42" s="504">
        <v>120.944</v>
      </c>
      <c r="J42" s="505">
        <v>125.31</v>
      </c>
      <c r="K42" s="505">
        <v>133.04599999999999</v>
      </c>
      <c r="L42" s="501">
        <v>128.04400000000001</v>
      </c>
      <c r="M42" s="502">
        <v>126.836</v>
      </c>
      <c r="N42" s="503"/>
      <c r="O42" s="504">
        <v>127.54600000000001</v>
      </c>
      <c r="P42" s="505">
        <v>132.32900000000001</v>
      </c>
      <c r="Q42" s="505">
        <v>132.839</v>
      </c>
      <c r="R42" s="501">
        <v>129.69800000000001</v>
      </c>
      <c r="S42" s="502">
        <v>130.59899999999999</v>
      </c>
      <c r="T42" s="506"/>
      <c r="U42" s="504">
        <v>128.96</v>
      </c>
      <c r="V42" s="505">
        <v>132.547</v>
      </c>
      <c r="W42" s="505">
        <v>135.91300000000001</v>
      </c>
      <c r="X42" s="501">
        <v>140.08000000000001</v>
      </c>
      <c r="Y42" s="502">
        <v>134.375</v>
      </c>
      <c r="Z42" s="506"/>
      <c r="AA42" s="504">
        <v>142.17599999999999</v>
      </c>
      <c r="AB42" s="505">
        <v>139.357</v>
      </c>
      <c r="AC42" s="505">
        <v>134.67400000000001</v>
      </c>
      <c r="AD42" s="501">
        <v>124.40900000000001</v>
      </c>
      <c r="AE42" s="502">
        <v>135.154</v>
      </c>
      <c r="AF42" s="507"/>
      <c r="AG42" s="504">
        <v>132.86799999999999</v>
      </c>
      <c r="AH42" s="505">
        <v>132.08600000000001</v>
      </c>
      <c r="AI42" s="505">
        <v>131.601</v>
      </c>
      <c r="AJ42" s="1329">
        <v>134.34800000000001</v>
      </c>
      <c r="AK42" s="2722">
        <v>132.72499999999999</v>
      </c>
      <c r="AL42" s="2723"/>
      <c r="AM42" s="2712">
        <v>134.85</v>
      </c>
      <c r="AN42" s="2724">
        <v>138.31299999999999</v>
      </c>
      <c r="AO42" s="2724">
        <v>139.57300000000001</v>
      </c>
      <c r="AP42" s="2730">
        <v>142.815</v>
      </c>
      <c r="AQ42" s="2722">
        <v>138.88800000000001</v>
      </c>
      <c r="AR42" s="498"/>
      <c r="AS42" s="499">
        <v>149.971</v>
      </c>
      <c r="AT42" s="500">
        <v>149.12100000000001</v>
      </c>
      <c r="AU42" s="500">
        <v>147.512</v>
      </c>
      <c r="AV42" s="500">
        <v>148.65700000000001</v>
      </c>
      <c r="AW42" s="509">
        <f>AVERAGE(AS42:AV42)</f>
        <v>148.81524999999999</v>
      </c>
      <c r="AX42" s="498"/>
      <c r="AY42" s="499">
        <v>148.68299999999999</v>
      </c>
      <c r="AZ42" s="500">
        <v>148.96899999999999</v>
      </c>
      <c r="BA42" s="500">
        <v>149.672</v>
      </c>
      <c r="BB42" s="500">
        <v>148.952</v>
      </c>
      <c r="BC42" s="2722">
        <v>149.06899999999999</v>
      </c>
      <c r="BD42" s="2723"/>
      <c r="BE42" s="2712">
        <v>148.357</v>
      </c>
      <c r="BF42" s="2724">
        <v>147.88900000000001</v>
      </c>
      <c r="BG42" s="2724">
        <v>147.90100000000001</v>
      </c>
      <c r="BH42" s="2724">
        <v>148.01499999999999</v>
      </c>
      <c r="BI42" s="509">
        <f>AVERAGE(BE42:BH42)</f>
        <v>148.04050000000001</v>
      </c>
      <c r="BJ42" s="498"/>
      <c r="BK42" s="2712">
        <v>147.4</v>
      </c>
      <c r="BL42" s="2724">
        <v>147.4</v>
      </c>
      <c r="BM42" s="2724">
        <v>147.5</v>
      </c>
      <c r="BN42" s="2724">
        <v>147.5</v>
      </c>
      <c r="BO42" s="509">
        <f>AVERAGE(BK42:BN42)</f>
        <v>147.44999999999999</v>
      </c>
      <c r="BP42" s="498"/>
      <c r="BQ42" s="2712">
        <v>148</v>
      </c>
      <c r="BR42" s="511">
        <f>BR43</f>
        <v>147.520806305082</v>
      </c>
      <c r="BS42" s="511">
        <f>BS43</f>
        <v>146.85608894505458</v>
      </c>
      <c r="BT42" s="508">
        <f>BT43</f>
        <v>146.20553937130566</v>
      </c>
      <c r="BU42" s="509">
        <f>AVERAGE(BQ42:BT42)</f>
        <v>147.14560865536058</v>
      </c>
      <c r="BV42" s="498"/>
      <c r="BW42" s="510">
        <f>BW43</f>
        <v>145.56885561162858</v>
      </c>
      <c r="BX42" s="511">
        <f>BX43</f>
        <v>144.94574213005245</v>
      </c>
      <c r="BY42" s="511">
        <f>BY43</f>
        <v>144.3359096896603</v>
      </c>
      <c r="BZ42" s="508">
        <f>BZ43</f>
        <v>143.73907521833101</v>
      </c>
      <c r="CA42" s="509">
        <f>AVERAGE(BW42:BZ42)</f>
        <v>144.64739566241809</v>
      </c>
      <c r="CB42" s="498"/>
      <c r="CC42" s="510">
        <f>CC43</f>
        <v>143.19832850733374</v>
      </c>
      <c r="CD42" s="511">
        <f>CD43</f>
        <v>142.72211320201072</v>
      </c>
      <c r="CE42" s="511">
        <f>CE43</f>
        <v>142.25604795003983</v>
      </c>
      <c r="CF42" s="508">
        <f>CF43</f>
        <v>141.79991641317685</v>
      </c>
      <c r="CG42" s="509">
        <f>AVERAGE(CC42:CF42)</f>
        <v>142.49410151814027</v>
      </c>
      <c r="CH42" s="498"/>
      <c r="CI42" s="510">
        <f t="shared" ref="CI42:CL42" si="114">CI43</f>
        <v>141.35350686421091</v>
      </c>
      <c r="CJ42" s="511">
        <f t="shared" si="114"/>
        <v>140.91661208868521</v>
      </c>
      <c r="CK42" s="511">
        <f t="shared" si="114"/>
        <v>140.48902928871195</v>
      </c>
      <c r="CL42" s="508">
        <f t="shared" si="114"/>
        <v>140.07055998883763</v>
      </c>
      <c r="CM42" s="509">
        <f t="shared" ref="CM42:CM43" si="115">AVERAGE(CI42:CL42)</f>
        <v>140.70742705761143</v>
      </c>
      <c r="CN42" s="498"/>
      <c r="CO42" s="510">
        <f t="shared" ref="CO42:CR42" si="116">CO43</f>
        <v>139.66100994391476</v>
      </c>
      <c r="CP42" s="511">
        <f t="shared" si="116"/>
        <v>139.26018904893704</v>
      </c>
      <c r="CQ42" s="511">
        <f t="shared" si="116"/>
        <v>138.86791125079642</v>
      </c>
      <c r="CR42" s="508">
        <f t="shared" si="116"/>
        <v>138.4839944619209</v>
      </c>
      <c r="CS42" s="509">
        <f t="shared" ref="CS42:CS43" si="117">AVERAGE(CO42:CR42)</f>
        <v>139.06827617639229</v>
      </c>
      <c r="CT42" s="434"/>
      <c r="CU42" s="428"/>
      <c r="CV42" s="428"/>
      <c r="DC42" s="581"/>
      <c r="DD42" s="400"/>
      <c r="DE42" s="400"/>
      <c r="DF42" s="400"/>
      <c r="DG42" s="400"/>
      <c r="DH42" s="400"/>
      <c r="DI42" s="400"/>
      <c r="DJ42" s="400"/>
      <c r="DK42" s="400"/>
      <c r="DL42" s="400"/>
      <c r="DM42" s="2361"/>
      <c r="DN42" s="2361"/>
      <c r="DO42" s="2361"/>
      <c r="DP42" s="2361"/>
      <c r="DQ42" s="2361"/>
      <c r="DR42" s="2361"/>
      <c r="DS42" s="2361"/>
      <c r="DT42" s="2361"/>
      <c r="DU42" s="2361"/>
      <c r="DV42" s="2361"/>
      <c r="DW42" s="2361"/>
      <c r="DX42" s="2361"/>
      <c r="DY42" s="2361"/>
      <c r="DZ42" s="2361"/>
      <c r="EA42" s="2361"/>
    </row>
    <row r="43" spans="1:131" hidden="1" outlineLevel="1">
      <c r="A43" s="467" t="s">
        <v>366</v>
      </c>
      <c r="B43" s="463"/>
      <c r="C43" s="512">
        <f>53.422*2</f>
        <v>106.84399999999999</v>
      </c>
      <c r="D43" s="513">
        <f>58.061*2</f>
        <v>116.122</v>
      </c>
      <c r="E43" s="513">
        <v>118.79</v>
      </c>
      <c r="F43" s="514">
        <v>110.11</v>
      </c>
      <c r="G43" s="515">
        <v>108.30800000000001</v>
      </c>
      <c r="H43" s="463"/>
      <c r="I43" s="512">
        <v>127.52800000000001</v>
      </c>
      <c r="J43" s="513">
        <v>133.39599999999999</v>
      </c>
      <c r="K43" s="513">
        <v>119.733</v>
      </c>
      <c r="L43" s="514">
        <v>131.30099999999999</v>
      </c>
      <c r="M43" s="515">
        <v>133.607</v>
      </c>
      <c r="N43" s="513"/>
      <c r="O43" s="512">
        <v>132.96700000000001</v>
      </c>
      <c r="P43" s="513">
        <v>139.465</v>
      </c>
      <c r="Q43" s="513">
        <v>139.874</v>
      </c>
      <c r="R43" s="514">
        <v>136.095</v>
      </c>
      <c r="S43" s="515">
        <v>137.096</v>
      </c>
      <c r="T43" s="513"/>
      <c r="U43" s="512">
        <v>136.40700000000001</v>
      </c>
      <c r="V43" s="513">
        <v>140.95099999999999</v>
      </c>
      <c r="W43" s="513">
        <v>145.20500000000001</v>
      </c>
      <c r="X43" s="514">
        <v>151.17099999999999</v>
      </c>
      <c r="Y43" s="515">
        <v>143.43299999999999</v>
      </c>
      <c r="Z43" s="513"/>
      <c r="AA43" s="512">
        <v>153.12899999999999</v>
      </c>
      <c r="AB43" s="513">
        <v>141.76499999999999</v>
      </c>
      <c r="AC43" s="513">
        <v>135.96600000000001</v>
      </c>
      <c r="AD43" s="514">
        <v>124.88800000000001</v>
      </c>
      <c r="AE43" s="515">
        <v>138.93700000000001</v>
      </c>
      <c r="AF43" s="463"/>
      <c r="AG43" s="512">
        <v>133.85900000000001</v>
      </c>
      <c r="AH43" s="513">
        <v>133.011</v>
      </c>
      <c r="AI43" s="513">
        <v>132.50700000000001</v>
      </c>
      <c r="AJ43" s="466">
        <v>135.393</v>
      </c>
      <c r="AK43" s="1346">
        <v>133.69300000000001</v>
      </c>
      <c r="AL43" s="463"/>
      <c r="AM43" s="464">
        <v>123.768</v>
      </c>
      <c r="AN43" s="465">
        <v>139.37700000000001</v>
      </c>
      <c r="AO43" s="465">
        <v>140.601</v>
      </c>
      <c r="AP43" s="466">
        <v>143.85400000000001</v>
      </c>
      <c r="AQ43" s="1346">
        <v>139.93600000000001</v>
      </c>
      <c r="AR43" s="463"/>
      <c r="AS43" s="464">
        <v>150.619</v>
      </c>
      <c r="AT43" s="465">
        <v>149.12100000000001</v>
      </c>
      <c r="AU43" s="465">
        <v>147.512</v>
      </c>
      <c r="AV43" s="465">
        <v>148.65700000000001</v>
      </c>
      <c r="AW43" s="516">
        <f>AVERAGE(AS43:AV43)</f>
        <v>148.97725</v>
      </c>
      <c r="AX43" s="463"/>
      <c r="AY43" s="464">
        <v>148.68299999999999</v>
      </c>
      <c r="AZ43" s="500">
        <v>148.96899999999999</v>
      </c>
      <c r="BA43" s="500">
        <v>149.672</v>
      </c>
      <c r="BB43" s="465">
        <v>148.952</v>
      </c>
      <c r="BC43" s="2080">
        <v>149.06899999999999</v>
      </c>
      <c r="BD43" s="463"/>
      <c r="BE43" s="464">
        <v>148.357</v>
      </c>
      <c r="BF43" s="500">
        <v>147.88900000000001</v>
      </c>
      <c r="BG43" s="2354">
        <v>147.90100000000001</v>
      </c>
      <c r="BH43" s="465">
        <v>148.01499999999999</v>
      </c>
      <c r="BI43" s="516">
        <f>AVERAGE(BE43:BH43)</f>
        <v>148.04050000000001</v>
      </c>
      <c r="BJ43" s="463"/>
      <c r="BK43" s="2512">
        <v>147.4</v>
      </c>
      <c r="BL43" s="500">
        <v>146</v>
      </c>
      <c r="BM43" s="2354">
        <v>147.5</v>
      </c>
      <c r="BN43" s="2724">
        <v>147.5</v>
      </c>
      <c r="BO43" s="516">
        <f>AVERAGE(BK43:BN43)</f>
        <v>147.1</v>
      </c>
      <c r="BP43" s="463"/>
      <c r="BQ43" s="2512">
        <v>147</v>
      </c>
      <c r="BR43" s="470">
        <f t="shared" ref="BR43:BT43" si="118">BR36+BR37+BR38+BR39+BR40</f>
        <v>147.520806305082</v>
      </c>
      <c r="BS43" s="470">
        <f t="shared" si="118"/>
        <v>146.85608894505458</v>
      </c>
      <c r="BT43" s="468">
        <f t="shared" si="118"/>
        <v>146.20553937130566</v>
      </c>
      <c r="BU43" s="516">
        <f>AVERAGE(BQ43:BT43)</f>
        <v>146.89560865536058</v>
      </c>
      <c r="BV43" s="463"/>
      <c r="BW43" s="469">
        <f t="shared" ref="BW43:BZ43" si="119">BW36+BW37+BW38+BW39+BW40</f>
        <v>145.56885561162858</v>
      </c>
      <c r="BX43" s="470">
        <f t="shared" si="119"/>
        <v>144.94574213005245</v>
      </c>
      <c r="BY43" s="470">
        <f t="shared" si="119"/>
        <v>144.3359096896603</v>
      </c>
      <c r="BZ43" s="468">
        <f t="shared" si="119"/>
        <v>143.73907521833101</v>
      </c>
      <c r="CA43" s="516">
        <f>AVERAGE(BW43:BZ43)</f>
        <v>144.64739566241809</v>
      </c>
      <c r="CB43" s="463"/>
      <c r="CC43" s="469">
        <f t="shared" ref="CC43:CF43" si="120">CC36+CC37+CC38+CC39+CC40</f>
        <v>143.19832850733374</v>
      </c>
      <c r="CD43" s="470">
        <f t="shared" si="120"/>
        <v>142.72211320201072</v>
      </c>
      <c r="CE43" s="470">
        <f t="shared" si="120"/>
        <v>142.25604795003983</v>
      </c>
      <c r="CF43" s="468">
        <f t="shared" si="120"/>
        <v>141.79991641317685</v>
      </c>
      <c r="CG43" s="516">
        <f>AVERAGE(CC43:CF43)</f>
        <v>142.49410151814027</v>
      </c>
      <c r="CH43" s="463"/>
      <c r="CI43" s="469">
        <f t="shared" ref="CI43:CL43" si="121">CI36+CI37+CI38+CI39+CI40</f>
        <v>141.35350686421091</v>
      </c>
      <c r="CJ43" s="470">
        <f t="shared" si="121"/>
        <v>140.91661208868521</v>
      </c>
      <c r="CK43" s="470">
        <f t="shared" si="121"/>
        <v>140.48902928871195</v>
      </c>
      <c r="CL43" s="468">
        <f t="shared" si="121"/>
        <v>140.07055998883763</v>
      </c>
      <c r="CM43" s="516">
        <f t="shared" si="115"/>
        <v>140.70742705761143</v>
      </c>
      <c r="CN43" s="463"/>
      <c r="CO43" s="469">
        <f t="shared" ref="CO43:CR43" si="122">CO36+CO37+CO38+CO39+CO40</f>
        <v>139.66100994391476</v>
      </c>
      <c r="CP43" s="470">
        <f t="shared" si="122"/>
        <v>139.26018904893704</v>
      </c>
      <c r="CQ43" s="470">
        <f t="shared" si="122"/>
        <v>138.86791125079642</v>
      </c>
      <c r="CR43" s="468">
        <f t="shared" si="122"/>
        <v>138.4839944619209</v>
      </c>
      <c r="CS43" s="516">
        <f t="shared" si="117"/>
        <v>139.06827617639229</v>
      </c>
      <c r="CT43" s="434"/>
      <c r="CU43" s="428"/>
      <c r="CV43" s="428"/>
      <c r="DC43" s="400"/>
      <c r="DD43" s="400"/>
      <c r="DE43" s="400"/>
      <c r="DF43" s="400"/>
      <c r="DG43" s="400"/>
      <c r="DH43" s="400"/>
      <c r="DI43" s="400"/>
      <c r="DJ43" s="400"/>
      <c r="DK43" s="400"/>
      <c r="DL43" s="400"/>
      <c r="DM43" s="2361"/>
      <c r="DN43" s="2361"/>
      <c r="DO43" s="2361"/>
      <c r="DP43" s="2361"/>
      <c r="DQ43" s="2361"/>
      <c r="DR43" s="2361"/>
      <c r="DS43" s="2361"/>
      <c r="DT43" s="2361"/>
      <c r="DU43" s="2361"/>
      <c r="DV43" s="2361"/>
      <c r="DW43" s="2361"/>
      <c r="DX43" s="2361"/>
      <c r="DY43" s="2361"/>
      <c r="DZ43" s="2361"/>
      <c r="EA43" s="2361"/>
    </row>
    <row r="44" spans="1:131" ht="4.5" customHeight="1" collapsed="1">
      <c r="A44" s="518"/>
      <c r="B44" s="518"/>
      <c r="C44" s="518"/>
      <c r="D44" s="518"/>
      <c r="E44" s="518"/>
      <c r="F44" s="518"/>
      <c r="G44" s="518"/>
      <c r="H44" s="518"/>
      <c r="I44" s="518"/>
      <c r="J44" s="518"/>
      <c r="K44" s="518"/>
      <c r="L44" s="518"/>
      <c r="M44" s="518"/>
      <c r="N44" s="518"/>
      <c r="O44" s="518"/>
      <c r="P44" s="518"/>
      <c r="Q44" s="518"/>
      <c r="R44" s="518"/>
      <c r="S44" s="518"/>
      <c r="T44" s="518"/>
      <c r="U44" s="518"/>
      <c r="V44" s="518"/>
      <c r="W44" s="518"/>
      <c r="X44" s="518"/>
      <c r="Y44" s="518"/>
      <c r="Z44" s="518"/>
      <c r="AA44" s="518"/>
      <c r="AB44" s="518"/>
      <c r="AC44" s="518"/>
      <c r="AD44" s="518"/>
      <c r="AE44" s="518"/>
      <c r="AF44" s="518"/>
      <c r="AG44" s="518"/>
      <c r="AH44" s="518"/>
      <c r="AI44" s="518"/>
      <c r="AJ44" s="518"/>
      <c r="AK44" s="518"/>
      <c r="AL44" s="518"/>
      <c r="AM44" s="518"/>
      <c r="AN44" s="518"/>
      <c r="AO44" s="518"/>
      <c r="AP44" s="518"/>
      <c r="AQ44" s="518"/>
      <c r="AR44" s="518"/>
      <c r="AS44" s="518"/>
      <c r="AT44" s="518"/>
      <c r="AU44" s="518"/>
      <c r="AV44" s="518"/>
      <c r="AW44" s="518"/>
      <c r="AX44" s="518"/>
      <c r="AY44" s="518"/>
      <c r="AZ44" s="518"/>
      <c r="BA44" s="518"/>
      <c r="BB44" s="518"/>
      <c r="BC44" s="518"/>
      <c r="BD44" s="518"/>
      <c r="BE44" s="518"/>
      <c r="BF44" s="518"/>
      <c r="BG44" s="518"/>
      <c r="BH44" s="518"/>
      <c r="BI44" s="518"/>
      <c r="BJ44" s="518"/>
      <c r="BK44" s="518"/>
      <c r="BL44" s="518"/>
      <c r="BM44" s="518"/>
      <c r="BN44" s="518"/>
      <c r="BO44" s="518"/>
      <c r="BP44" s="518"/>
      <c r="BQ44" s="518"/>
      <c r="BR44" s="518"/>
      <c r="BS44" s="518"/>
      <c r="BT44" s="518"/>
      <c r="BU44" s="518"/>
      <c r="BV44" s="518"/>
      <c r="BW44" s="518"/>
      <c r="BX44" s="518"/>
      <c r="BY44" s="518"/>
      <c r="BZ44" s="518"/>
      <c r="CA44" s="518"/>
      <c r="CB44" s="518"/>
      <c r="CC44" s="518"/>
      <c r="CD44" s="518"/>
      <c r="CE44" s="518"/>
      <c r="CF44" s="518"/>
      <c r="CG44" s="518"/>
      <c r="CH44" s="518"/>
      <c r="CI44" s="518"/>
      <c r="CJ44" s="518"/>
      <c r="CK44" s="518"/>
      <c r="CL44" s="518"/>
      <c r="CM44" s="518"/>
      <c r="CN44" s="518"/>
      <c r="CO44" s="518"/>
      <c r="CP44" s="518"/>
      <c r="CQ44" s="518"/>
      <c r="CR44" s="518"/>
      <c r="CS44" s="518"/>
      <c r="CT44" s="518"/>
      <c r="CU44" s="400"/>
      <c r="CV44" s="400"/>
      <c r="DC44" s="400"/>
      <c r="DD44" s="400"/>
      <c r="DE44" s="400"/>
      <c r="DF44" s="400"/>
      <c r="DG44" s="400"/>
      <c r="DH44" s="400"/>
      <c r="DI44" s="400"/>
      <c r="DJ44" s="400"/>
      <c r="DK44" s="400"/>
      <c r="DL44" s="400"/>
      <c r="DM44" s="2361"/>
      <c r="DN44" s="2361"/>
      <c r="DO44" s="2361"/>
      <c r="DP44" s="2361"/>
      <c r="DQ44" s="2361"/>
      <c r="DR44" s="2361"/>
      <c r="DS44" s="2361"/>
      <c r="DT44" s="2361"/>
      <c r="DU44" s="2361"/>
      <c r="DV44" s="2361"/>
      <c r="DW44" s="2361"/>
      <c r="DX44" s="2361"/>
      <c r="DY44" s="2361"/>
      <c r="DZ44" s="2361"/>
      <c r="EA44" s="2361"/>
    </row>
    <row r="45" spans="1:131">
      <c r="A45" s="2553" t="s">
        <v>462</v>
      </c>
      <c r="B45" s="530"/>
      <c r="C45" s="531"/>
      <c r="D45" s="532"/>
      <c r="E45" s="532"/>
      <c r="F45" s="533"/>
      <c r="G45" s="534"/>
      <c r="H45" s="530"/>
      <c r="I45" s="535"/>
      <c r="J45" s="536"/>
      <c r="K45" s="536"/>
      <c r="L45" s="537"/>
      <c r="M45" s="538"/>
      <c r="N45" s="539"/>
      <c r="O45" s="540"/>
      <c r="P45" s="541"/>
      <c r="Q45" s="541"/>
      <c r="R45" s="542"/>
      <c r="S45" s="543"/>
      <c r="T45" s="530"/>
      <c r="U45" s="535"/>
      <c r="V45" s="536"/>
      <c r="W45" s="536"/>
      <c r="X45" s="537"/>
      <c r="Y45" s="544"/>
      <c r="Z45" s="530"/>
      <c r="AA45" s="535"/>
      <c r="AB45" s="536"/>
      <c r="AC45" s="536"/>
      <c r="AD45" s="537"/>
      <c r="AE45" s="544"/>
      <c r="AF45" s="530"/>
      <c r="AG45" s="535"/>
      <c r="AH45" s="536"/>
      <c r="AI45" s="536"/>
      <c r="AJ45" s="537"/>
      <c r="AK45" s="544"/>
      <c r="AL45" s="530"/>
      <c r="AM45" s="535"/>
      <c r="AN45" s="536"/>
      <c r="AO45" s="536"/>
      <c r="AP45" s="537"/>
      <c r="AQ45" s="544"/>
      <c r="AR45" s="530"/>
      <c r="AS45" s="535"/>
      <c r="AT45" s="536"/>
      <c r="AU45" s="536"/>
      <c r="AV45" s="536"/>
      <c r="AW45" s="544"/>
      <c r="AX45" s="530"/>
      <c r="AY45" s="535"/>
      <c r="AZ45" s="536"/>
      <c r="BA45" s="536"/>
      <c r="BB45" s="537"/>
      <c r="BC45" s="544"/>
      <c r="BD45" s="530"/>
      <c r="BE45" s="535"/>
      <c r="BF45" s="536"/>
      <c r="BG45" s="536"/>
      <c r="BH45" s="537"/>
      <c r="BI45" s="544"/>
      <c r="BJ45" s="530"/>
      <c r="BK45" s="535"/>
      <c r="BL45" s="536"/>
      <c r="BM45" s="536"/>
      <c r="BN45" s="537"/>
      <c r="BO45" s="544"/>
      <c r="BP45" s="530"/>
      <c r="BQ45" s="535"/>
      <c r="BR45" s="536"/>
      <c r="BS45" s="536"/>
      <c r="BT45" s="537"/>
      <c r="BU45" s="544"/>
      <c r="BV45" s="530"/>
      <c r="BW45" s="535"/>
      <c r="BX45" s="536"/>
      <c r="BY45" s="536"/>
      <c r="BZ45" s="537"/>
      <c r="CA45" s="544"/>
      <c r="CB45" s="530"/>
      <c r="CC45" s="535"/>
      <c r="CD45" s="536"/>
      <c r="CE45" s="536"/>
      <c r="CF45" s="537"/>
      <c r="CG45" s="544"/>
      <c r="CH45" s="530"/>
      <c r="CI45" s="535"/>
      <c r="CJ45" s="536"/>
      <c r="CK45" s="536"/>
      <c r="CL45" s="537"/>
      <c r="CM45" s="544"/>
      <c r="CN45" s="530"/>
      <c r="CO45" s="535"/>
      <c r="CP45" s="536"/>
      <c r="CQ45" s="536"/>
      <c r="CR45" s="537"/>
      <c r="CS45" s="544"/>
      <c r="CT45" s="416"/>
      <c r="CU45" s="400"/>
      <c r="CV45" s="400"/>
      <c r="DC45" s="400"/>
      <c r="DD45" s="400"/>
      <c r="DE45" s="400"/>
      <c r="DF45" s="400"/>
      <c r="DG45" s="400"/>
      <c r="DH45" s="400"/>
      <c r="DI45" s="400"/>
      <c r="DJ45" s="400"/>
      <c r="DK45" s="400"/>
      <c r="DL45" s="400"/>
      <c r="DM45" s="2361"/>
      <c r="DN45" s="2361"/>
      <c r="DO45" s="2361"/>
      <c r="DP45" s="2361"/>
      <c r="DQ45" s="2361"/>
      <c r="DR45" s="2361"/>
      <c r="DS45" s="2361"/>
      <c r="DT45" s="2361"/>
      <c r="DU45" s="2361"/>
      <c r="DV45" s="2361"/>
      <c r="DW45" s="2361"/>
      <c r="DX45" s="2361"/>
      <c r="DY45" s="2361"/>
      <c r="DZ45" s="2361"/>
      <c r="EA45" s="2361"/>
    </row>
    <row r="46" spans="1:131">
      <c r="A46" s="564" t="s">
        <v>395</v>
      </c>
      <c r="B46" s="552"/>
      <c r="C46" s="563">
        <f>C12/C9</f>
        <v>0.33685377685377688</v>
      </c>
      <c r="D46" s="564">
        <f>D12/D9</f>
        <v>0.35506003430531735</v>
      </c>
      <c r="E46" s="564">
        <f>E12/E9</f>
        <v>0.38024817967387964</v>
      </c>
      <c r="F46" s="565">
        <f>F12/F9</f>
        <v>0.35608859365564272</v>
      </c>
      <c r="G46" s="558">
        <f>G12/G9</f>
        <v>0.35849061747714683</v>
      </c>
      <c r="H46" s="564"/>
      <c r="I46" s="563">
        <f>I12/I9</f>
        <v>0.37814395089487202</v>
      </c>
      <c r="J46" s="564">
        <f>J12/J9</f>
        <v>0.35996632828495406</v>
      </c>
      <c r="K46" s="564">
        <f>K12/K9</f>
        <v>0.36223878610408627</v>
      </c>
      <c r="L46" s="565">
        <f>L12/L9</f>
        <v>0.33961982762370507</v>
      </c>
      <c r="M46" s="558">
        <f>M12/M9</f>
        <v>0.35871429194469884</v>
      </c>
      <c r="N46" s="564"/>
      <c r="O46" s="563">
        <f>O12/O9</f>
        <v>0.32591082126245041</v>
      </c>
      <c r="P46" s="564">
        <f>P12/P9</f>
        <v>0.30199266284342657</v>
      </c>
      <c r="Q46" s="564">
        <f>Q12/Q9</f>
        <v>0.31298307653447838</v>
      </c>
      <c r="R46" s="565">
        <f>R12/R9</f>
        <v>0.29556279214018299</v>
      </c>
      <c r="S46" s="558">
        <f>S12/S9</f>
        <v>0.30881222948595577</v>
      </c>
      <c r="T46" s="564"/>
      <c r="U46" s="563">
        <f>U12/U9</f>
        <v>0.30361055738012083</v>
      </c>
      <c r="V46" s="564">
        <f>V12/V9</f>
        <v>0.30337778238987184</v>
      </c>
      <c r="W46" s="564">
        <f>W12/W9</f>
        <v>0.32813336198795662</v>
      </c>
      <c r="X46" s="565">
        <f>X12/X9</f>
        <v>0.35544474125328168</v>
      </c>
      <c r="Y46" s="558">
        <f>Y12/Y9</f>
        <v>0.32500573254122722</v>
      </c>
      <c r="Z46" s="564"/>
      <c r="AA46" s="563">
        <f>AA12/AA9</f>
        <v>0.32383767233598221</v>
      </c>
      <c r="AB46" s="564">
        <f>AB12/AB9</f>
        <v>0.31678204905200907</v>
      </c>
      <c r="AC46" s="564">
        <f>AC12/AC9</f>
        <v>0.31995464948895747</v>
      </c>
      <c r="AD46" s="565">
        <f>AD12/AD9</f>
        <v>0.30570917859327962</v>
      </c>
      <c r="AE46" s="558">
        <f>AE12/AE9</f>
        <v>0.31675501049230964</v>
      </c>
      <c r="AF46" s="564"/>
      <c r="AG46" s="563">
        <f>AG12/AG9</f>
        <v>0.317091322359497</v>
      </c>
      <c r="AH46" s="564">
        <f>AH12/AH9</f>
        <v>0.29853139800503914</v>
      </c>
      <c r="AI46" s="564">
        <f>AI12/AI9</f>
        <v>0.30227652742117156</v>
      </c>
      <c r="AJ46" s="565">
        <f>AJ12/AJ9</f>
        <v>0.32231581329927411</v>
      </c>
      <c r="AK46" s="558">
        <f>AK12/AK9</f>
        <v>0.31027604317223267</v>
      </c>
      <c r="AL46" s="564"/>
      <c r="AM46" s="563">
        <f>AM12/AM9</f>
        <v>0.31299741961215621</v>
      </c>
      <c r="AN46" s="564">
        <f>AN12/AN9</f>
        <v>0.30933214675781723</v>
      </c>
      <c r="AO46" s="564">
        <f>AO12/AO9</f>
        <v>0.30292600896860977</v>
      </c>
      <c r="AP46" s="565">
        <f>AP12/AP9</f>
        <v>0.29162256084022242</v>
      </c>
      <c r="AQ46" s="558">
        <f>AQ12/AQ9</f>
        <v>0.30375083205622377</v>
      </c>
      <c r="AR46" s="564"/>
      <c r="AS46" s="563">
        <f>AS12/AS9</f>
        <v>0.30207637702272677</v>
      </c>
      <c r="AT46" s="559">
        <f>AT12/AT9</f>
        <v>0.2964152933185572</v>
      </c>
      <c r="AU46" s="559">
        <f>AU12/AU9</f>
        <v>0.27428167197220316</v>
      </c>
      <c r="AV46" s="559">
        <f>AV12/AV9</f>
        <v>0.28312245427700977</v>
      </c>
      <c r="AW46" s="558">
        <f>AW12/AW9</f>
        <v>0.28832067769875547</v>
      </c>
      <c r="AX46" s="564"/>
      <c r="AY46" s="563">
        <f>AY12/AY9</f>
        <v>0.2825155737933211</v>
      </c>
      <c r="AZ46" s="564">
        <f>AZ12/AZ9</f>
        <v>0.28111825102247412</v>
      </c>
      <c r="BA46" s="564">
        <f>BA12/BA9</f>
        <v>0.27358156253918525</v>
      </c>
      <c r="BB46" s="565">
        <f>BB12/BB9</f>
        <v>0.28794958312765828</v>
      </c>
      <c r="BC46" s="558">
        <f>BC12/BC9</f>
        <v>0.28140944840032406</v>
      </c>
      <c r="BD46" s="564"/>
      <c r="BE46" s="563">
        <f>BE12/BE9</f>
        <v>0.28720466347070372</v>
      </c>
      <c r="BF46" s="564">
        <f>BF12/BF9</f>
        <v>0.27622624657570766</v>
      </c>
      <c r="BG46" s="564">
        <f>BG12/BG9</f>
        <v>0.28004954384416086</v>
      </c>
      <c r="BH46" s="565">
        <f>BH12/BH9</f>
        <v>0.30507776739049353</v>
      </c>
      <c r="BI46" s="558">
        <f>BI12/BI9</f>
        <v>0.28726182291078156</v>
      </c>
      <c r="BJ46" s="564"/>
      <c r="BK46" s="563">
        <f>BK12/BK9</f>
        <v>0.33612040133779264</v>
      </c>
      <c r="BL46" s="564">
        <f>BL12/BL9</f>
        <v>0.33016304347826086</v>
      </c>
      <c r="BM46" s="564">
        <f>BM12/BM9</f>
        <v>0.31190476190476191</v>
      </c>
      <c r="BN46" s="565">
        <f>BN12/BN9</f>
        <v>0.29098624148129099</v>
      </c>
      <c r="BO46" s="558">
        <f>BO12/BO9</f>
        <v>0.3156498673740053</v>
      </c>
      <c r="BP46" s="564"/>
      <c r="BQ46" s="563">
        <f>BQ12/BQ9</f>
        <v>0.30179028132992325</v>
      </c>
      <c r="BR46" s="564">
        <f>BR12/BR9</f>
        <v>0.31224050221656519</v>
      </c>
      <c r="BS46" s="564">
        <f>BS12/BS9</f>
        <v>0.31191933370520675</v>
      </c>
      <c r="BT46" s="565">
        <f>BT12/BT9</f>
        <v>0.31177818295590887</v>
      </c>
      <c r="BU46" s="558">
        <f>BU12/BU9</f>
        <v>0.30950024242258639</v>
      </c>
      <c r="BV46" s="564"/>
      <c r="BW46" s="563">
        <f>BW12/BW9</f>
        <v>0.30703028555002221</v>
      </c>
      <c r="BX46" s="564">
        <f>BX12/BX9</f>
        <v>0.31766800189546235</v>
      </c>
      <c r="BY46" s="564">
        <f>BY12/BY9</f>
        <v>0.31673942089832574</v>
      </c>
      <c r="BZ46" s="565">
        <f>BZ12/BZ9</f>
        <v>0.31719529048217493</v>
      </c>
      <c r="CA46" s="558">
        <f>CA12/CA9</f>
        <v>0.31469404581763616</v>
      </c>
      <c r="CB46" s="564"/>
      <c r="CC46" s="563">
        <f>CC12/CC9</f>
        <v>0.30979354279431842</v>
      </c>
      <c r="CD46" s="564">
        <f>CD12/CD9</f>
        <v>0.32177895449793176</v>
      </c>
      <c r="CE46" s="564">
        <f>CE12/CE9</f>
        <v>0.32071900978812512</v>
      </c>
      <c r="CF46" s="565">
        <f>CF12/CF9</f>
        <v>0.32138990448894894</v>
      </c>
      <c r="CG46" s="558">
        <f>CG12/CG9</f>
        <v>0.31846459073371786</v>
      </c>
      <c r="CH46" s="564"/>
      <c r="CI46" s="563">
        <f t="shared" ref="CI46:CM46" si="123">CI12/CI9</f>
        <v>0.31300088182881919</v>
      </c>
      <c r="CJ46" s="564">
        <f t="shared" si="123"/>
        <v>0.3260299323652085</v>
      </c>
      <c r="CK46" s="564">
        <f t="shared" si="123"/>
        <v>0.32495707049420203</v>
      </c>
      <c r="CL46" s="565">
        <f t="shared" si="123"/>
        <v>0.32568034090655423</v>
      </c>
      <c r="CM46" s="558">
        <f t="shared" si="123"/>
        <v>0.32246656229673243</v>
      </c>
      <c r="CN46" s="564"/>
      <c r="CO46" s="563">
        <f t="shared" ref="CO46:CS46" si="124">CO12/CO9</f>
        <v>0.3150452101780295</v>
      </c>
      <c r="CP46" s="564">
        <f t="shared" si="124"/>
        <v>0.32826671604410024</v>
      </c>
      <c r="CQ46" s="564">
        <f t="shared" si="124"/>
        <v>0.3270023586393796</v>
      </c>
      <c r="CR46" s="565">
        <f t="shared" si="124"/>
        <v>0.32785810378482283</v>
      </c>
      <c r="CS46" s="558">
        <f t="shared" si="124"/>
        <v>0.32460953648903873</v>
      </c>
      <c r="CT46" s="931"/>
      <c r="CU46" s="545"/>
      <c r="CV46" s="545"/>
      <c r="DC46" s="2737"/>
      <c r="DD46" s="2738"/>
      <c r="DE46" s="2737"/>
      <c r="DF46" s="2737"/>
      <c r="DG46" s="2737"/>
      <c r="DH46" s="2737"/>
      <c r="DI46" s="400"/>
      <c r="DJ46" s="400"/>
      <c r="DK46" s="400"/>
      <c r="DL46" s="400"/>
      <c r="DM46" s="2361"/>
      <c r="DN46" s="2361"/>
      <c r="DO46" s="2361"/>
      <c r="DP46" s="2361"/>
      <c r="DQ46" s="2361"/>
      <c r="DR46" s="2361"/>
      <c r="DS46" s="2361"/>
      <c r="DT46" s="2361"/>
      <c r="DU46" s="2361"/>
      <c r="DV46" s="2361"/>
      <c r="DW46" s="2361"/>
      <c r="DX46" s="2361"/>
      <c r="DY46" s="2361"/>
      <c r="DZ46" s="2361"/>
      <c r="EA46" s="2361"/>
    </row>
    <row r="47" spans="1:131" hidden="1" outlineLevel="1">
      <c r="A47" s="621" t="s">
        <v>396</v>
      </c>
      <c r="B47" s="545"/>
      <c r="C47" s="561">
        <v>0.5</v>
      </c>
      <c r="D47" s="562">
        <v>0.45</v>
      </c>
      <c r="E47" s="562">
        <v>0.42</v>
      </c>
      <c r="F47" s="560">
        <v>0.5</v>
      </c>
      <c r="G47" s="558">
        <f>AVERAGE(C47:F47)</f>
        <v>0.46749999999999997</v>
      </c>
      <c r="H47" s="564"/>
      <c r="I47" s="561">
        <v>0.45</v>
      </c>
      <c r="J47" s="562">
        <v>0.45</v>
      </c>
      <c r="K47" s="562">
        <v>0.45</v>
      </c>
      <c r="L47" s="560">
        <v>0.5</v>
      </c>
      <c r="M47" s="558">
        <f>AVERAGE(I47:L47)</f>
        <v>0.46250000000000002</v>
      </c>
      <c r="N47" s="564"/>
      <c r="O47" s="561">
        <v>0.55000000000000004</v>
      </c>
      <c r="P47" s="562">
        <v>0.6</v>
      </c>
      <c r="Q47" s="562">
        <v>0.6</v>
      </c>
      <c r="R47" s="560">
        <v>0.6</v>
      </c>
      <c r="S47" s="558">
        <f>AVERAGE(O47:R47)</f>
        <v>0.58750000000000002</v>
      </c>
      <c r="T47" s="564"/>
      <c r="U47" s="561">
        <v>0.53</v>
      </c>
      <c r="V47" s="562">
        <v>0.55000000000000004</v>
      </c>
      <c r="W47" s="562">
        <v>0.52</v>
      </c>
      <c r="X47" s="560">
        <v>0.5</v>
      </c>
      <c r="Y47" s="558">
        <f>AVERAGE(U47:X47)</f>
        <v>0.52500000000000002</v>
      </c>
      <c r="Z47" s="566"/>
      <c r="AA47" s="561">
        <v>0.55000000000000004</v>
      </c>
      <c r="AB47" s="562">
        <v>0.55000000000000004</v>
      </c>
      <c r="AC47" s="562">
        <v>0.53</v>
      </c>
      <c r="AD47" s="560">
        <v>0.55000000000000004</v>
      </c>
      <c r="AE47" s="558">
        <f>AVERAGE(AA47:AD47)</f>
        <v>0.54500000000000004</v>
      </c>
      <c r="AF47" s="566"/>
      <c r="AG47" s="561">
        <v>0.55000000000000004</v>
      </c>
      <c r="AH47" s="562">
        <v>0.55000000000000004</v>
      </c>
      <c r="AI47" s="562">
        <v>0.55000000000000004</v>
      </c>
      <c r="AJ47" s="560">
        <v>0.55000000000000004</v>
      </c>
      <c r="AK47" s="558">
        <f>AVERAGE(AG47:AJ47)</f>
        <v>0.55000000000000004</v>
      </c>
      <c r="AL47" s="566"/>
      <c r="AM47" s="561">
        <v>0.55000000000000004</v>
      </c>
      <c r="AN47" s="562">
        <v>0.55000000000000004</v>
      </c>
      <c r="AO47" s="562">
        <v>0.55000000000000004</v>
      </c>
      <c r="AP47" s="562">
        <v>0.57499999999999996</v>
      </c>
      <c r="AQ47" s="558">
        <f>AVERAGE(AM47:AP47)</f>
        <v>0.55625000000000002</v>
      </c>
      <c r="AR47" s="566"/>
      <c r="AS47" s="561">
        <v>0.57999999999999996</v>
      </c>
      <c r="AT47" s="1493">
        <v>0.6</v>
      </c>
      <c r="AU47" s="1493">
        <v>0.62</v>
      </c>
      <c r="AV47" s="1493">
        <v>0.63</v>
      </c>
      <c r="AW47" s="558">
        <f>AVERAGE(AS47:AV47)</f>
        <v>0.60749999999999993</v>
      </c>
      <c r="AX47" s="566"/>
      <c r="AY47" s="561">
        <f>+AS47+0.04</f>
        <v>0.62</v>
      </c>
      <c r="AZ47" s="562">
        <f>+AT47+0.0226</f>
        <v>0.62259999999999993</v>
      </c>
      <c r="BA47" s="562">
        <f>+AZ47</f>
        <v>0.62259999999999993</v>
      </c>
      <c r="BB47" s="560">
        <v>0.61</v>
      </c>
      <c r="BC47" s="558">
        <f>AVERAGE(AY47:BB47)</f>
        <v>0.61879999999999991</v>
      </c>
      <c r="BD47" s="566"/>
      <c r="BE47" s="561">
        <f>+AY47-0.0025</f>
        <v>0.61750000000000005</v>
      </c>
      <c r="BF47" s="562">
        <f>+AZ47-0.004</f>
        <v>0.61859999999999993</v>
      </c>
      <c r="BG47" s="562">
        <f>+BA47-0.0015</f>
        <v>0.62109999999999999</v>
      </c>
      <c r="BH47" s="560">
        <v>0.62</v>
      </c>
      <c r="BI47" s="558">
        <f>AVERAGE(BE47:BH47)</f>
        <v>0.61929999999999996</v>
      </c>
      <c r="BJ47" s="566"/>
      <c r="BK47" s="561">
        <v>0.55000000000000004</v>
      </c>
      <c r="BL47" s="2739">
        <v>0.56000000000000005</v>
      </c>
      <c r="BM47" s="2739">
        <v>0.56999999999999995</v>
      </c>
      <c r="BN47" s="2965">
        <v>0.57999999999999996</v>
      </c>
      <c r="BO47" s="558">
        <f>AVERAGE(BK47:BN47)</f>
        <v>0.56500000000000006</v>
      </c>
      <c r="BP47" s="566"/>
      <c r="BQ47" s="561">
        <v>0.56999999999999995</v>
      </c>
      <c r="BR47" s="2475">
        <v>0.56999999999999995</v>
      </c>
      <c r="BS47" s="2475">
        <v>0.56999999999999995</v>
      </c>
      <c r="BT47" s="2476">
        <v>0.56999999999999995</v>
      </c>
      <c r="BU47" s="558">
        <f>AVERAGE(BQ47:BT47)</f>
        <v>0.56999999999999995</v>
      </c>
      <c r="BV47" s="566"/>
      <c r="BW47" s="2523">
        <f>+BQ47-0.005</f>
        <v>0.56499999999999995</v>
      </c>
      <c r="BX47" s="2475">
        <f t="shared" ref="BX47" si="125">+BR47-0.005</f>
        <v>0.56499999999999995</v>
      </c>
      <c r="BY47" s="2475">
        <f t="shared" ref="BY47" si="126">+BS47-0.005</f>
        <v>0.56499999999999995</v>
      </c>
      <c r="BZ47" s="2476">
        <f t="shared" ref="BZ47" si="127">+BT47-0.005</f>
        <v>0.56499999999999995</v>
      </c>
      <c r="CA47" s="558">
        <f>AVERAGE(BW47:BZ47)</f>
        <v>0.56499999999999995</v>
      </c>
      <c r="CB47" s="566"/>
      <c r="CC47" s="2523">
        <f>+BW47</f>
        <v>0.56499999999999995</v>
      </c>
      <c r="CD47" s="2475">
        <f t="shared" ref="CD47" si="128">+BX47</f>
        <v>0.56499999999999995</v>
      </c>
      <c r="CE47" s="2475">
        <f t="shared" ref="CE47" si="129">+BY47</f>
        <v>0.56499999999999995</v>
      </c>
      <c r="CF47" s="2476">
        <f t="shared" ref="CF47" si="130">+BZ47</f>
        <v>0.56499999999999995</v>
      </c>
      <c r="CG47" s="558">
        <f>AVERAGE(CC47:CF47)</f>
        <v>0.56499999999999995</v>
      </c>
      <c r="CH47" s="566"/>
      <c r="CI47" s="2523">
        <f t="shared" ref="CI47" si="131">+CC47</f>
        <v>0.56499999999999995</v>
      </c>
      <c r="CJ47" s="2475">
        <f t="shared" ref="CJ47" si="132">+CD47</f>
        <v>0.56499999999999995</v>
      </c>
      <c r="CK47" s="2475">
        <f t="shared" ref="CK47" si="133">+CE47</f>
        <v>0.56499999999999995</v>
      </c>
      <c r="CL47" s="2476">
        <f t="shared" ref="CL47" si="134">+CF47</f>
        <v>0.56499999999999995</v>
      </c>
      <c r="CM47" s="558">
        <f t="shared" ref="CM47:CM49" si="135">AVERAGE(CI47:CL47)</f>
        <v>0.56499999999999995</v>
      </c>
      <c r="CN47" s="566"/>
      <c r="CO47" s="2523">
        <f t="shared" ref="CO47" si="136">+CI47</f>
        <v>0.56499999999999995</v>
      </c>
      <c r="CP47" s="2475">
        <f t="shared" ref="CP47" si="137">+CJ47</f>
        <v>0.56499999999999995</v>
      </c>
      <c r="CQ47" s="2475">
        <f t="shared" ref="CQ47" si="138">+CK47</f>
        <v>0.56499999999999995</v>
      </c>
      <c r="CR47" s="2476">
        <f t="shared" ref="CR47" si="139">+CL47</f>
        <v>0.56499999999999995</v>
      </c>
      <c r="CS47" s="558">
        <f t="shared" ref="CS47:CS49" si="140">AVERAGE(CO47:CR47)</f>
        <v>0.56499999999999995</v>
      </c>
      <c r="CT47" s="931"/>
      <c r="CU47" s="545"/>
      <c r="CV47" s="545"/>
      <c r="DC47" s="921"/>
      <c r="DE47" s="921"/>
      <c r="DF47" s="921"/>
      <c r="DG47" s="921"/>
      <c r="DH47" s="921"/>
      <c r="DI47" s="921"/>
      <c r="DJ47" s="921"/>
      <c r="DK47" s="921"/>
      <c r="DL47" s="921"/>
    </row>
    <row r="48" spans="1:131" hidden="1" outlineLevel="1">
      <c r="A48" s="621" t="s">
        <v>397</v>
      </c>
      <c r="B48" s="553"/>
      <c r="C48" s="554">
        <f>1-(C13-(1-C47)*RevBuild!C9)/(RevBuild!C11+RevBuild!C13)</f>
        <v>0.73124811573831372</v>
      </c>
      <c r="D48" s="555">
        <f>1-(D13-(1-D47)*RevBuild!D9)/(RevBuild!D11+RevBuild!D13)</f>
        <v>0.73536208765363931</v>
      </c>
      <c r="E48" s="555">
        <f>1-(E13-(1-E47)*RevBuild!E9)/(RevBuild!E11+RevBuild!E13)</f>
        <v>0.73526939790060974</v>
      </c>
      <c r="F48" s="556">
        <f>1-(F13-(1-F47)*RevBuild!F9)/(RevBuild!F11+RevBuild!F13)</f>
        <v>0.73601955660456897</v>
      </c>
      <c r="G48" s="557">
        <f>(-(RevBuild!G230*G10)*G47+G12)/(RevBuild!G231*G10)</f>
        <v>0.3643007090395497</v>
      </c>
      <c r="H48" s="555"/>
      <c r="I48" s="554">
        <f>1-(I13-(1-I47)*RevBuild!I9)/(RevBuild!I11+RevBuild!I13)</f>
        <v>0.72630937000262008</v>
      </c>
      <c r="J48" s="555">
        <f>1-(J13-(1-J47)*RevBuild!J9)/(RevBuild!J11+RevBuild!J13)</f>
        <v>0.72598181647764548</v>
      </c>
      <c r="K48" s="555">
        <f>1-(K13-(1-K47)*RevBuild!K9)/(RevBuild!K11+RevBuild!K13)</f>
        <v>0.72895347469498173</v>
      </c>
      <c r="L48" s="556">
        <f>1-(L13-(1-L47)*RevBuild!L9)/(RevBuild!L11+RevBuild!L13)</f>
        <v>0.73974156190957041</v>
      </c>
      <c r="M48" s="557">
        <f>(-(RevBuild!M230*M10)*M47+M12)/(RevBuild!M231*M10)</f>
        <v>0.34537410943494185</v>
      </c>
      <c r="N48" s="555"/>
      <c r="O48" s="554">
        <f>1-(O13-(1-O47)*RevBuild!O9)/(RevBuild!O11+RevBuild!O13)</f>
        <v>0.73509201410221259</v>
      </c>
      <c r="P48" s="555">
        <f>1-(P13-(1-P47)*RevBuild!P9)/(RevBuild!P11+RevBuild!P13)</f>
        <v>0.75562351615629153</v>
      </c>
      <c r="Q48" s="555">
        <f>1-(Q13-(1-Q47)*RevBuild!Q9)/(RevBuild!Q11+RevBuild!Q13)</f>
        <v>0.759190232796911</v>
      </c>
      <c r="R48" s="556">
        <f>1-(R13-(1-R47)*RevBuild!R9)/(RevBuild!R11+RevBuild!R13)</f>
        <v>0.774976342393494</v>
      </c>
      <c r="S48" s="557">
        <f>(-(RevBuild!S230*S10)*S47+S12)/(RevBuild!S231*S10)</f>
        <v>0.18222406235991434</v>
      </c>
      <c r="T48" s="555"/>
      <c r="U48" s="554">
        <f>1-(U13-(1-U47)*RevBuild!U9)/(RevBuild!U11+RevBuild!U13)</f>
        <v>0.77631160981807878</v>
      </c>
      <c r="V48" s="555">
        <f>1-(V13-(1-V47)*RevBuild!V9)/(RevBuild!V11+RevBuild!V13)</f>
        <v>0.78099783889674901</v>
      </c>
      <c r="W48" s="555">
        <f>1-(W13-(1-W47)*RevBuild!W9)/(RevBuild!W11+RevBuild!W13)</f>
        <v>0.78005085191571433</v>
      </c>
      <c r="X48" s="556">
        <f>1-(X13-(1-X47)*RevBuild!X9)/(RevBuild!X11+RevBuild!X13)</f>
        <v>0.7621261725216113</v>
      </c>
      <c r="Y48" s="557">
        <f>(-(RevBuild!Y230*Y10)*Y47+Y12)/(RevBuild!Y231*Y10)</f>
        <v>0.23745631480373039</v>
      </c>
      <c r="Z48" s="555"/>
      <c r="AA48" s="554">
        <f>1-(AA13-(1-AA47)*RevBuild!AA9)/(RevBuild!AA11+RevBuild!AA13)</f>
        <v>0.77691464862843373</v>
      </c>
      <c r="AB48" s="555">
        <f>1-(AB13-(1-AB47)*RevBuild!AB9)/(RevBuild!AB11+RevBuild!AB13)</f>
        <v>0.77628990445606139</v>
      </c>
      <c r="AC48" s="555">
        <f>1-(AC13-(1-AC47)*RevBuild!AC9)/(RevBuild!AC11+RevBuild!AC13)</f>
        <v>0.76418220019394456</v>
      </c>
      <c r="AD48" s="556">
        <f>1-(AD13-(1-AD47)*RevBuild!AD9)/(RevBuild!AD11+RevBuild!AD13)</f>
        <v>0.77764897132501853</v>
      </c>
      <c r="AE48" s="557">
        <f>(-(RevBuild!AE230*AE10)*AE47+AE12)/(RevBuild!AE231*AE10)</f>
        <v>0.21330310332475821</v>
      </c>
      <c r="AF48" s="559"/>
      <c r="AG48" s="554">
        <f>1-(AG13-(1-AG47)*RevBuild!AG9)/(RevBuild!AG11+RevBuild!AG13)</f>
        <v>0.76079892749210387</v>
      </c>
      <c r="AH48" s="555">
        <f>1-(AH13-(1-AH47)*RevBuild!AH9)/(RevBuild!AH11+RevBuild!AH13)</f>
        <v>0.77698123114675921</v>
      </c>
      <c r="AI48" s="555">
        <f>1-(AI13-(1-AI47)*RevBuild!AI9)/(RevBuild!AI11+RevBuild!AI13)</f>
        <v>0.78450488284504882</v>
      </c>
      <c r="AJ48" s="556">
        <f>1-(AJ13-(1-AJ47)*RevBuild!AJ9)/(RevBuild!AJ11+RevBuild!AJ13)</f>
        <v>0.75423886434126064</v>
      </c>
      <c r="AK48" s="557">
        <f>1-(-(RevBuild!AK230*AK10)*AK47+AK12)/(RevBuild!AK231*AK10)</f>
        <v>0.75250732849171964</v>
      </c>
      <c r="AL48" s="559"/>
      <c r="AM48" s="563">
        <f>1-(AM13-(1-AM47)*RevBuild!AM9)/(RevBuild!AM11+RevBuild!AM13)</f>
        <v>0.76323352717835347</v>
      </c>
      <c r="AN48" s="564">
        <f>1-(AN13-(1-AN47)*RevBuild!AN9)/(RevBuild!AN11+RevBuild!AN13)</f>
        <v>0.74626995340585367</v>
      </c>
      <c r="AO48" s="555">
        <f>1-(AO13-(1-AO47)*RevBuild!AO9)/(RevBuild!AO11+RevBuild!AO13)</f>
        <v>0.65697787564127752</v>
      </c>
      <c r="AP48" s="564">
        <f>1-(AP13-(1-AP47)*RevBuild!AP9)/(RevBuild!AP11+RevBuild!AP13)</f>
        <v>0.74950078015732502</v>
      </c>
      <c r="AQ48" s="558">
        <f>AVERAGE(AM48:AP48)</f>
        <v>0.72899553409570239</v>
      </c>
      <c r="AR48" s="559"/>
      <c r="AS48" s="563">
        <f>1-(AS13-(1-AS47)*RevBuild!AS9)/(RevBuild!AS11+RevBuild!AS13)</f>
        <v>0.74512095645080778</v>
      </c>
      <c r="AT48" s="559">
        <f>1-(AT13-(1-AT47)*RevBuild!AT9)/(RevBuild!AT11+RevBuild!AT13)</f>
        <v>0.76765705803485917</v>
      </c>
      <c r="AU48" s="559">
        <f>1-(AU13-(1-AU47)*RevBuild!AU9)/(RevBuild!AU11+RevBuild!AU13)</f>
        <v>0.78921563102309489</v>
      </c>
      <c r="AV48" s="559">
        <f>1-(AV13+AV15-(1-AV47)*RevBuild!AV9)/(RevBuild!AV11+RevBuild!AV13)</f>
        <v>0.78395265162454264</v>
      </c>
      <c r="AW48" s="558">
        <f>AVERAGE(AS48:AV48)</f>
        <v>0.77148657428332601</v>
      </c>
      <c r="AX48" s="559"/>
      <c r="AY48" s="563">
        <f>1-(AY13-(1-AY47)*RevBuild!AY9)/(RevBuild!AY11+RevBuild!AY13)</f>
        <v>0.79515021061741731</v>
      </c>
      <c r="AZ48" s="559">
        <f>1-(AZ13-(1-AZ47)*RevBuild!AZ9)/(RevBuild!AZ11+RevBuild!AZ13)</f>
        <v>0.80191707824278669</v>
      </c>
      <c r="BA48" s="559">
        <f>1-(BA13-(1-BA47)*RevBuild!BA9)/(RevBuild!BA11+RevBuild!BA13)</f>
        <v>0.79672768120212145</v>
      </c>
      <c r="BB48" s="559">
        <f>1-(BB13-(1-BB47)*RevBuild!BB9)/(RevBuild!BB11+RevBuild!BB13)</f>
        <v>0.7912249015494881</v>
      </c>
      <c r="BC48" s="558">
        <f>AVERAGE(AY48:BB48)</f>
        <v>0.79625496790295336</v>
      </c>
      <c r="BD48" s="559"/>
      <c r="BE48" s="563">
        <f>1-(BE13-(1-BE47)*RevBuild!BE9)/(RevBuild!BE11+RevBuild!BE13)</f>
        <v>0.78014804660726522</v>
      </c>
      <c r="BF48" s="559">
        <f>1-(BF13-(1-BF47)*RevBuild!BF9)/(RevBuild!BF11+RevBuild!BF13)</f>
        <v>0.79930662999255064</v>
      </c>
      <c r="BG48" s="559">
        <f>1-(BG13-(1-BG47)*RevBuild!BG9)/(RevBuild!BG11+RevBuild!BG13)</f>
        <v>0.77601109164044768</v>
      </c>
      <c r="BH48" s="559">
        <f>1-(BH13-(1-BH47)*RevBuild!BH9)/(RevBuild!BH11+RevBuild!BH13)</f>
        <v>0.73754133451252613</v>
      </c>
      <c r="BI48" s="558">
        <f>AVERAGE(BE48:BH48)</f>
        <v>0.77325177568819736</v>
      </c>
      <c r="BJ48" s="559"/>
      <c r="BK48" s="563">
        <f>1-(BK13-(1-BK47)*RevBuild!BK9)/(RevBuild!BK11+RevBuild!BK13)</f>
        <v>0.73657289002557547</v>
      </c>
      <c r="BL48" s="559">
        <f>1-(BL13-(1-BL47)*RevBuild!BL9)/(RevBuild!BL11+RevBuild!BL13)</f>
        <v>0.73451153657339219</v>
      </c>
      <c r="BM48" s="559">
        <f>1-(BM13-(1-BM47)*RevBuild!BM9)/(RevBuild!BM11+RevBuild!BM13)</f>
        <v>0.75263157894736843</v>
      </c>
      <c r="BN48" s="559">
        <f>1-(BN13-(1-BN47)*RevBuild!BN9)/(RevBuild!BN11+RevBuild!BN13)</f>
        <v>0.78137386954011934</v>
      </c>
      <c r="BO48" s="558">
        <f>AVERAGE(BK48:BN48)</f>
        <v>0.7512724687716138</v>
      </c>
      <c r="BP48" s="559"/>
      <c r="BQ48" s="563">
        <f>1-(BQ13-(1-BQ47)*RevBuild!BQ9)/(RevBuild!BQ11+RevBuild!BQ13)</f>
        <v>0.75831372549019616</v>
      </c>
      <c r="BR48" s="2475">
        <f>+BQ48</f>
        <v>0.75831372549019616</v>
      </c>
      <c r="BS48" s="2475">
        <f>+BR48</f>
        <v>0.75831372549019616</v>
      </c>
      <c r="BT48" s="2476">
        <f>+BS48</f>
        <v>0.75831372549019616</v>
      </c>
      <c r="BU48" s="558">
        <f>AVERAGE(BQ48:BT48)</f>
        <v>0.75831372549019616</v>
      </c>
      <c r="BV48" s="559"/>
      <c r="BW48" s="2523">
        <f>+BQ48-0.002</f>
        <v>0.75631372549019615</v>
      </c>
      <c r="BX48" s="2475">
        <f>+BR48-0.002</f>
        <v>0.75631372549019615</v>
      </c>
      <c r="BY48" s="2475">
        <f>+BS48-0.002</f>
        <v>0.75631372549019615</v>
      </c>
      <c r="BZ48" s="2476">
        <f>+BT48-0.002</f>
        <v>0.75631372549019615</v>
      </c>
      <c r="CA48" s="558">
        <f>AVERAGE(BW48:BZ48)</f>
        <v>0.75631372549019615</v>
      </c>
      <c r="CB48" s="559"/>
      <c r="CC48" s="2523">
        <f>+BW48-0</f>
        <v>0.75631372549019615</v>
      </c>
      <c r="CD48" s="2475">
        <f>+BX48-0</f>
        <v>0.75631372549019615</v>
      </c>
      <c r="CE48" s="2475">
        <f>+BY48-0</f>
        <v>0.75631372549019615</v>
      </c>
      <c r="CF48" s="2476">
        <f>+BZ48-0</f>
        <v>0.75631372549019615</v>
      </c>
      <c r="CG48" s="558">
        <f>AVERAGE(CC48:CF48)</f>
        <v>0.75631372549019615</v>
      </c>
      <c r="CH48" s="559"/>
      <c r="CI48" s="2523">
        <f t="shared" ref="CI48:CL48" si="141">+CC48-0</f>
        <v>0.75631372549019615</v>
      </c>
      <c r="CJ48" s="2475">
        <f t="shared" si="141"/>
        <v>0.75631372549019615</v>
      </c>
      <c r="CK48" s="2475">
        <f t="shared" si="141"/>
        <v>0.75631372549019615</v>
      </c>
      <c r="CL48" s="2476">
        <f t="shared" si="141"/>
        <v>0.75631372549019615</v>
      </c>
      <c r="CM48" s="558">
        <f t="shared" si="135"/>
        <v>0.75631372549019615</v>
      </c>
      <c r="CN48" s="559"/>
      <c r="CO48" s="2523">
        <f t="shared" ref="CO48:CR48" si="142">+CI48-0</f>
        <v>0.75631372549019615</v>
      </c>
      <c r="CP48" s="2475">
        <f t="shared" si="142"/>
        <v>0.75631372549019615</v>
      </c>
      <c r="CQ48" s="2475">
        <f t="shared" si="142"/>
        <v>0.75631372549019615</v>
      </c>
      <c r="CR48" s="2476">
        <f t="shared" si="142"/>
        <v>0.75631372549019615</v>
      </c>
      <c r="CS48" s="558">
        <f t="shared" si="140"/>
        <v>0.75631372549019615</v>
      </c>
      <c r="CT48" s="416"/>
      <c r="CU48" s="400"/>
      <c r="CV48" s="400"/>
      <c r="DC48" s="921"/>
      <c r="DE48" s="921"/>
      <c r="DF48" s="921"/>
      <c r="DG48" s="921"/>
      <c r="DH48" s="921"/>
      <c r="DI48" s="921"/>
      <c r="DJ48" s="921"/>
      <c r="DK48" s="921"/>
      <c r="DL48" s="921"/>
    </row>
    <row r="49" spans="1:116" hidden="1" outlineLevel="1">
      <c r="A49" s="621" t="s">
        <v>371</v>
      </c>
      <c r="B49" s="552"/>
      <c r="C49" s="563">
        <f>1-C14/C11</f>
        <v>0.69634325615582504</v>
      </c>
      <c r="D49" s="564">
        <f>1-D14/D11</f>
        <v>0.69671810900566511</v>
      </c>
      <c r="E49" s="564">
        <f>1-E14/E11</f>
        <v>0.66671117639204169</v>
      </c>
      <c r="F49" s="565">
        <f>1-F14/F11</f>
        <v>0.69196622856645496</v>
      </c>
      <c r="G49" s="558">
        <f>-G14/G11+1</f>
        <v>0.68965087281795512</v>
      </c>
      <c r="H49" s="564"/>
      <c r="I49" s="563">
        <f>1-I14/I11</f>
        <v>0.68196457326892113</v>
      </c>
      <c r="J49" s="564">
        <f>1-J14/J11</f>
        <v>0.71518279569892473</v>
      </c>
      <c r="K49" s="564">
        <f>1-K14/K11</f>
        <v>0.66381651745297254</v>
      </c>
      <c r="L49" s="565">
        <f>1-L14/L11</f>
        <v>0.68508219008775184</v>
      </c>
      <c r="M49" s="558">
        <f>-M14/M11+1</f>
        <v>0.68762091343210474</v>
      </c>
      <c r="N49" s="564"/>
      <c r="O49" s="563">
        <f>1-O14/O11</f>
        <v>0.65317011927181423</v>
      </c>
      <c r="P49" s="564">
        <f>1-P14/P11</f>
        <v>0.64415215072875931</v>
      </c>
      <c r="Q49" s="564">
        <f>1-Q14/Q11</f>
        <v>0.53985597218773285</v>
      </c>
      <c r="R49" s="565">
        <f>1-R14/R11</f>
        <v>0.6139798971840712</v>
      </c>
      <c r="S49" s="558">
        <f>-S14/S11+1</f>
        <v>0.61480401187186584</v>
      </c>
      <c r="T49" s="564"/>
      <c r="U49" s="563">
        <f>1-U14/U11</f>
        <v>0.70767396488185563</v>
      </c>
      <c r="V49" s="564">
        <f>1-V14/V11</f>
        <v>0.65168956554028967</v>
      </c>
      <c r="W49" s="564">
        <f>1-W14/W11</f>
        <v>0.55533581204018667</v>
      </c>
      <c r="X49" s="565">
        <f>1-X14/X11</f>
        <v>0.6367000574235947</v>
      </c>
      <c r="Y49" s="558">
        <f>-Y14/Y11+1</f>
        <v>0.64471783633012902</v>
      </c>
      <c r="Z49" s="564"/>
      <c r="AA49" s="563">
        <f>1-AA14/AA11</f>
        <v>0.61691353335865307</v>
      </c>
      <c r="AB49" s="564">
        <f>1-AB14/AB11</f>
        <v>0.62790829967574946</v>
      </c>
      <c r="AC49" s="564">
        <f>1-AC14/AC11</f>
        <v>0.56686180359139637</v>
      </c>
      <c r="AD49" s="565">
        <f>1-AD14/AD11</f>
        <v>0.64726810673443458</v>
      </c>
      <c r="AE49" s="558">
        <f>-AE14/AE11+1</f>
        <v>0.61734671452640832</v>
      </c>
      <c r="AF49" s="564"/>
      <c r="AG49" s="563">
        <f>1-AG14/AG11</f>
        <v>0.50011672697560416</v>
      </c>
      <c r="AH49" s="564">
        <f>1-AH14/AH11</f>
        <v>0.55641308342521123</v>
      </c>
      <c r="AI49" s="564">
        <f>1-AI14/AI11</f>
        <v>0.55064802182810368</v>
      </c>
      <c r="AJ49" s="565">
        <f>1-AJ14/AJ11</f>
        <v>0.51236318079915599</v>
      </c>
      <c r="AK49" s="558">
        <f>1-AK14/AK11</f>
        <v>0.53013270039918003</v>
      </c>
      <c r="AL49" s="564"/>
      <c r="AM49" s="563">
        <f>1-AM14/AM11</f>
        <v>0.57801540761182013</v>
      </c>
      <c r="AN49" s="564">
        <f>1-AN14/AN11</f>
        <v>0.51066049022916227</v>
      </c>
      <c r="AO49" s="564">
        <f>1-AO14/AO11</f>
        <v>0.53810508678692037</v>
      </c>
      <c r="AP49" s="564">
        <f>1-AP14/AP11</f>
        <v>0.62546132705143309</v>
      </c>
      <c r="AQ49" s="558">
        <f>1-AQ14/AQ11</f>
        <v>0.56968988385019348</v>
      </c>
      <c r="AR49" s="564"/>
      <c r="AS49" s="563">
        <f>1-AS14/AS11</f>
        <v>0.63269591941266856</v>
      </c>
      <c r="AT49" s="559">
        <f>1-AT14/AT11</f>
        <v>0.59168428470754053</v>
      </c>
      <c r="AU49" s="559">
        <f>1-AU14/AU11</f>
        <v>0.62912808103370721</v>
      </c>
      <c r="AV49" s="559">
        <f>1-AV14/AV11</f>
        <v>0.61713134568896044</v>
      </c>
      <c r="AW49" s="558">
        <f>AVERAGE(AS49:AV49)</f>
        <v>0.61765990771071921</v>
      </c>
      <c r="AX49" s="564"/>
      <c r="AY49" s="563">
        <f>1-AY14/AY11</f>
        <v>0.59051083864145615</v>
      </c>
      <c r="AZ49" s="559">
        <f>1-AZ14/AZ11</f>
        <v>0.58012477485708314</v>
      </c>
      <c r="BA49" s="559">
        <f>1-BA14/BA11</f>
        <v>0.62755044243332037</v>
      </c>
      <c r="BB49" s="559">
        <f>1-BB14/BB11</f>
        <v>0.57745711661290677</v>
      </c>
      <c r="BC49" s="558">
        <f>AVERAGE(AY49:BB49)</f>
        <v>0.59391079313619166</v>
      </c>
      <c r="BD49" s="564"/>
      <c r="BE49" s="563">
        <f>1-BE14/BE11</f>
        <v>0.56313122802287308</v>
      </c>
      <c r="BF49" s="559">
        <f>1-BF14/BF11</f>
        <v>0.54920068291168711</v>
      </c>
      <c r="BG49" s="559">
        <f>1-BG14/BG11</f>
        <v>0.59734461159590979</v>
      </c>
      <c r="BH49" s="559">
        <f>1-BH14/BH11</f>
        <v>0.59893778128532738</v>
      </c>
      <c r="BI49" s="558">
        <f>AVERAGE(BE49:BH49)</f>
        <v>0.57715357595394934</v>
      </c>
      <c r="BJ49" s="564"/>
      <c r="BK49" s="563">
        <f>1-BK14/BK11</f>
        <v>0.50467289719626174</v>
      </c>
      <c r="BL49" s="559">
        <f>1-BL14/BL11</f>
        <v>0.57394957983193273</v>
      </c>
      <c r="BM49" s="559">
        <f>1-BM14/BM11</f>
        <v>0.57881355932203382</v>
      </c>
      <c r="BN49" s="2958">
        <f t="shared" ref="BN49:BO49" si="143">1-BN14/BN11</f>
        <v>0.54369747899159671</v>
      </c>
      <c r="BO49" s="2959">
        <f t="shared" si="143"/>
        <v>0.55140388768898485</v>
      </c>
      <c r="BP49" s="564"/>
      <c r="BQ49" s="563">
        <f>1-BQ14/BQ11</f>
        <v>0.59740259740259738</v>
      </c>
      <c r="BR49" s="2475">
        <v>0.55000000000000004</v>
      </c>
      <c r="BS49" s="2475">
        <v>0.55000000000000004</v>
      </c>
      <c r="BT49" s="2476">
        <v>0.55000000000000004</v>
      </c>
      <c r="BU49" s="558">
        <f t="shared" ref="BU49" si="144">AVERAGE(BQ49:BT49)</f>
        <v>0.56185064935064943</v>
      </c>
      <c r="BV49" s="564"/>
      <c r="BW49" s="2523">
        <f>+BQ49-0.01</f>
        <v>0.58740259740259737</v>
      </c>
      <c r="BX49" s="2475">
        <f>+BR49-0.01</f>
        <v>0.54</v>
      </c>
      <c r="BY49" s="2475">
        <f>+BS49-0.01</f>
        <v>0.54</v>
      </c>
      <c r="BZ49" s="2476">
        <f>+BT49-0.01</f>
        <v>0.54</v>
      </c>
      <c r="CA49" s="558">
        <f t="shared" ref="CA49" si="145">AVERAGE(BW49:BZ49)</f>
        <v>0.55185064935064942</v>
      </c>
      <c r="CB49" s="564"/>
      <c r="CC49" s="2523">
        <f>+BW49-0.005</f>
        <v>0.58240259740259737</v>
      </c>
      <c r="CD49" s="2475">
        <f t="shared" ref="CD49:CF49" si="146">+BX49-0.005</f>
        <v>0.53500000000000003</v>
      </c>
      <c r="CE49" s="2475">
        <f t="shared" si="146"/>
        <v>0.53500000000000003</v>
      </c>
      <c r="CF49" s="2476">
        <f t="shared" si="146"/>
        <v>0.53500000000000003</v>
      </c>
      <c r="CG49" s="558">
        <f t="shared" ref="CG49" si="147">AVERAGE(CC49:CF49)</f>
        <v>0.54685064935064942</v>
      </c>
      <c r="CH49" s="564"/>
      <c r="CI49" s="2523">
        <f t="shared" ref="CI49" si="148">+CC49-0.005</f>
        <v>0.57740259740259736</v>
      </c>
      <c r="CJ49" s="2475">
        <f t="shared" ref="CJ49" si="149">+CD49-0.005</f>
        <v>0.53</v>
      </c>
      <c r="CK49" s="2475">
        <f t="shared" ref="CK49" si="150">+CE49-0.005</f>
        <v>0.53</v>
      </c>
      <c r="CL49" s="2476">
        <f t="shared" ref="CL49" si="151">+CF49-0.005</f>
        <v>0.53</v>
      </c>
      <c r="CM49" s="558">
        <f t="shared" si="135"/>
        <v>0.54185064935064942</v>
      </c>
      <c r="CN49" s="564"/>
      <c r="CO49" s="2523">
        <f t="shared" ref="CO49" si="152">+CI49-0.005</f>
        <v>0.57240259740259736</v>
      </c>
      <c r="CP49" s="2475">
        <f t="shared" ref="CP49" si="153">+CJ49-0.005</f>
        <v>0.52500000000000002</v>
      </c>
      <c r="CQ49" s="2475">
        <f t="shared" ref="CQ49" si="154">+CK49-0.005</f>
        <v>0.52500000000000002</v>
      </c>
      <c r="CR49" s="2476">
        <f t="shared" ref="CR49" si="155">+CL49-0.005</f>
        <v>0.52500000000000002</v>
      </c>
      <c r="CS49" s="558">
        <f t="shared" si="140"/>
        <v>0.5368506493506493</v>
      </c>
      <c r="CT49" s="931"/>
      <c r="CU49" s="545"/>
      <c r="CV49" s="545"/>
      <c r="DC49" s="921"/>
      <c r="DE49" s="921"/>
      <c r="DF49" s="921"/>
      <c r="DG49" s="921"/>
      <c r="DH49" s="921"/>
      <c r="DI49" s="921"/>
      <c r="DJ49" s="921"/>
      <c r="DK49" s="921"/>
      <c r="DL49" s="921"/>
    </row>
    <row r="50" spans="1:116" collapsed="1">
      <c r="A50" s="573" t="s">
        <v>193</v>
      </c>
      <c r="B50" s="413"/>
      <c r="C50" s="857">
        <f>C16/C9</f>
        <v>0.66314622314622318</v>
      </c>
      <c r="D50" s="858">
        <f>D16/D9</f>
        <v>0.6449399656946827</v>
      </c>
      <c r="E50" s="858">
        <f>E16/E9</f>
        <v>0.61975182032612042</v>
      </c>
      <c r="F50" s="859">
        <f>F16/F9</f>
        <v>0.64391140634435728</v>
      </c>
      <c r="G50" s="860">
        <f>G16/G9</f>
        <v>0.64150938252285317</v>
      </c>
      <c r="H50" s="578"/>
      <c r="I50" s="857">
        <f>I16/I9</f>
        <v>0.62185604910512793</v>
      </c>
      <c r="J50" s="858">
        <f>J16/J9</f>
        <v>0.64003367171504588</v>
      </c>
      <c r="K50" s="858">
        <f>K16/K9</f>
        <v>0.63776121389591367</v>
      </c>
      <c r="L50" s="859">
        <f>L16/L9</f>
        <v>0.66038017237629487</v>
      </c>
      <c r="M50" s="860">
        <f>M16/M9</f>
        <v>0.64128570805530116</v>
      </c>
      <c r="N50" s="579"/>
      <c r="O50" s="857">
        <f>O16/O9</f>
        <v>0.67408917873754959</v>
      </c>
      <c r="P50" s="858">
        <f>P16/P9</f>
        <v>0.69800733715657348</v>
      </c>
      <c r="Q50" s="858">
        <f>Q16/Q9</f>
        <v>0.68701692346552168</v>
      </c>
      <c r="R50" s="859">
        <f>R16/R9</f>
        <v>0.70443720785981701</v>
      </c>
      <c r="S50" s="860">
        <f>S16/S9</f>
        <v>0.69118777051404423</v>
      </c>
      <c r="T50" s="578"/>
      <c r="U50" s="857">
        <f>U16/U9</f>
        <v>0.69638944261987912</v>
      </c>
      <c r="V50" s="858">
        <f>V16/V9</f>
        <v>0.6966222176101281</v>
      </c>
      <c r="W50" s="858">
        <f>W16/W9</f>
        <v>0.67186663801204338</v>
      </c>
      <c r="X50" s="859">
        <f>X16/X9</f>
        <v>0.64455525874671826</v>
      </c>
      <c r="Y50" s="860">
        <f>Y16/Y9</f>
        <v>0.67499426745877278</v>
      </c>
      <c r="Z50" s="578"/>
      <c r="AA50" s="857">
        <f>AA16/AA9</f>
        <v>0.67616232766401785</v>
      </c>
      <c r="AB50" s="858">
        <f>AB16/AB9</f>
        <v>0.68321795094799098</v>
      </c>
      <c r="AC50" s="858">
        <f>AC16/AC9</f>
        <v>0.68004535051104253</v>
      </c>
      <c r="AD50" s="859">
        <f>AD16/AD9</f>
        <v>0.69429082140672038</v>
      </c>
      <c r="AE50" s="860">
        <f>AE16/AE9</f>
        <v>0.68324498950769041</v>
      </c>
      <c r="AF50" s="578"/>
      <c r="AG50" s="857">
        <f>AG16/AG9</f>
        <v>0.682908677640503</v>
      </c>
      <c r="AH50" s="858">
        <f>AH16/AH9</f>
        <v>0.70146860199496086</v>
      </c>
      <c r="AI50" s="858">
        <f>AI16/AI9</f>
        <v>0.69772347257882839</v>
      </c>
      <c r="AJ50" s="859">
        <f>AJ16/AJ9</f>
        <v>0.67768418670072594</v>
      </c>
      <c r="AK50" s="860">
        <f>AK16/AK9</f>
        <v>0.68972395682776733</v>
      </c>
      <c r="AL50" s="578"/>
      <c r="AM50" s="857">
        <f>AM16/AM9</f>
        <v>0.68700258038784379</v>
      </c>
      <c r="AN50" s="858">
        <f>AN16/AN9</f>
        <v>0.69066785324218283</v>
      </c>
      <c r="AO50" s="858">
        <f>AO16/AO9</f>
        <v>0.69707399103139023</v>
      </c>
      <c r="AP50" s="859">
        <f>AP16/AP9</f>
        <v>0.70837743915977769</v>
      </c>
      <c r="AQ50" s="860">
        <f>AQ16/AQ9</f>
        <v>0.69624916794377623</v>
      </c>
      <c r="AR50" s="578"/>
      <c r="AS50" s="857">
        <f>AS16/AS9</f>
        <v>0.69792362297727317</v>
      </c>
      <c r="AT50" s="858">
        <f>AT16/AT9</f>
        <v>0.7035847066814428</v>
      </c>
      <c r="AU50" s="858">
        <f>AU16/AU9</f>
        <v>0.7257183280277969</v>
      </c>
      <c r="AV50" s="858">
        <f>AV16/AV9</f>
        <v>0.71687754572299012</v>
      </c>
      <c r="AW50" s="860">
        <f>AW16/AW9</f>
        <v>0.71167932230124442</v>
      </c>
      <c r="AX50" s="578"/>
      <c r="AY50" s="857">
        <f>AY16/AY9</f>
        <v>0.71748442620667885</v>
      </c>
      <c r="AZ50" s="858">
        <f>AZ16/AZ9</f>
        <v>0.71888174897752588</v>
      </c>
      <c r="BA50" s="858">
        <f>BA16/BA9</f>
        <v>0.7264184374608148</v>
      </c>
      <c r="BB50" s="858">
        <f>BB16/BB9</f>
        <v>0.71205041687234172</v>
      </c>
      <c r="BC50" s="860">
        <f>BC16/BC9</f>
        <v>0.718590551599676</v>
      </c>
      <c r="BD50" s="578"/>
      <c r="BE50" s="857">
        <f>BE16/BE9</f>
        <v>0.71279533652929628</v>
      </c>
      <c r="BF50" s="858">
        <f>BF16/BF9</f>
        <v>0.7237737534242924</v>
      </c>
      <c r="BG50" s="858">
        <f>BG16/BG9</f>
        <v>0.71995045615583908</v>
      </c>
      <c r="BH50" s="858">
        <f>BH16/BH9</f>
        <v>0.69492223260950647</v>
      </c>
      <c r="BI50" s="860">
        <f>BI16/BI9</f>
        <v>0.71273817708921849</v>
      </c>
      <c r="BJ50" s="578"/>
      <c r="BK50" s="857">
        <f>BK16/BK9</f>
        <v>0.66387959866220736</v>
      </c>
      <c r="BL50" s="858">
        <f>BL16/BL9</f>
        <v>0.66983695652173914</v>
      </c>
      <c r="BM50" s="858">
        <f>BM16/BM9</f>
        <v>0.68809523809523809</v>
      </c>
      <c r="BN50" s="859">
        <f>BN16/BN9</f>
        <v>0.70901375851870907</v>
      </c>
      <c r="BO50" s="860">
        <f>BO16/BO9</f>
        <v>0.68435013262599476</v>
      </c>
      <c r="BP50" s="578"/>
      <c r="BQ50" s="857">
        <f>BQ16/BQ9</f>
        <v>0.69820971867007675</v>
      </c>
      <c r="BR50" s="858">
        <f>BR16/BR9</f>
        <v>0.68775949778343493</v>
      </c>
      <c r="BS50" s="858">
        <f>BS16/BS9</f>
        <v>0.68808066629479325</v>
      </c>
      <c r="BT50" s="859">
        <f>BT16/BT9</f>
        <v>0.68822181704409102</v>
      </c>
      <c r="BU50" s="860">
        <f>BU16/BU9</f>
        <v>0.69049975757741366</v>
      </c>
      <c r="BV50" s="578"/>
      <c r="BW50" s="857">
        <f>BW16/BW9</f>
        <v>0.69296971444997779</v>
      </c>
      <c r="BX50" s="858">
        <f>BX16/BX9</f>
        <v>0.68233199810453771</v>
      </c>
      <c r="BY50" s="858">
        <f>BY16/BY9</f>
        <v>0.68326057910167437</v>
      </c>
      <c r="BZ50" s="859">
        <f>BZ16/BZ9</f>
        <v>0.68280470951782501</v>
      </c>
      <c r="CA50" s="860">
        <f>CA16/CA9</f>
        <v>0.68530595418236384</v>
      </c>
      <c r="CB50" s="578"/>
      <c r="CC50" s="857">
        <f>CC16/CC9</f>
        <v>0.69020645720568163</v>
      </c>
      <c r="CD50" s="858">
        <f>CD16/CD9</f>
        <v>0.67822104550206819</v>
      </c>
      <c r="CE50" s="858">
        <f>CE16/CE9</f>
        <v>0.67928099021187482</v>
      </c>
      <c r="CF50" s="859">
        <f>CF16/CF9</f>
        <v>0.678610095511051</v>
      </c>
      <c r="CG50" s="860">
        <f>CG16/CG9</f>
        <v>0.6815354092662822</v>
      </c>
      <c r="CH50" s="578"/>
      <c r="CI50" s="857">
        <f t="shared" ref="CI50:CM50" si="156">CI16/CI9</f>
        <v>0.68699911817118076</v>
      </c>
      <c r="CJ50" s="858">
        <f t="shared" si="156"/>
        <v>0.6739700676347915</v>
      </c>
      <c r="CK50" s="858">
        <f t="shared" si="156"/>
        <v>0.67504292950579792</v>
      </c>
      <c r="CL50" s="859">
        <f t="shared" si="156"/>
        <v>0.67431965909344571</v>
      </c>
      <c r="CM50" s="860">
        <f t="shared" si="156"/>
        <v>0.67753343770326757</v>
      </c>
      <c r="CN50" s="578"/>
      <c r="CO50" s="857">
        <f t="shared" ref="CO50:CS50" si="157">CO16/CO9</f>
        <v>0.68495478982197044</v>
      </c>
      <c r="CP50" s="858">
        <f t="shared" si="157"/>
        <v>0.67173328395589971</v>
      </c>
      <c r="CQ50" s="858">
        <f t="shared" si="157"/>
        <v>0.67299764136062046</v>
      </c>
      <c r="CR50" s="859">
        <f t="shared" si="157"/>
        <v>0.67214189621517717</v>
      </c>
      <c r="CS50" s="860">
        <f t="shared" si="157"/>
        <v>0.67539046351096133</v>
      </c>
      <c r="CT50" s="416"/>
      <c r="CU50" s="1934"/>
      <c r="CV50" s="400"/>
      <c r="DC50" s="921"/>
      <c r="DE50" s="1895"/>
      <c r="DF50" s="1895"/>
      <c r="DG50" s="1895"/>
      <c r="DH50" s="1895"/>
      <c r="DI50" s="921"/>
      <c r="DJ50" s="921"/>
      <c r="DK50" s="921"/>
      <c r="DL50" s="921"/>
    </row>
    <row r="51" spans="1:116" hidden="1" outlineLevel="1">
      <c r="A51" s="1351" t="s">
        <v>444</v>
      </c>
      <c r="B51" s="413"/>
      <c r="C51" s="857"/>
      <c r="D51" s="858"/>
      <c r="E51" s="858"/>
      <c r="F51" s="859"/>
      <c r="G51" s="860"/>
      <c r="H51" s="578"/>
      <c r="I51" s="857"/>
      <c r="J51" s="858"/>
      <c r="K51" s="858"/>
      <c r="L51" s="859"/>
      <c r="M51" s="860"/>
      <c r="N51" s="579"/>
      <c r="O51" s="857"/>
      <c r="P51" s="858"/>
      <c r="Q51" s="858"/>
      <c r="R51" s="859"/>
      <c r="S51" s="860"/>
      <c r="T51" s="578"/>
      <c r="U51" s="857"/>
      <c r="V51" s="858"/>
      <c r="W51" s="858"/>
      <c r="X51" s="859"/>
      <c r="Y51" s="860"/>
      <c r="Z51" s="578"/>
      <c r="AA51" s="857"/>
      <c r="AB51" s="858"/>
      <c r="AC51" s="858"/>
      <c r="AD51" s="859"/>
      <c r="AE51" s="860"/>
      <c r="AF51" s="578"/>
      <c r="AG51" s="857"/>
      <c r="AH51" s="858"/>
      <c r="AI51" s="858"/>
      <c r="AJ51" s="859"/>
      <c r="AK51" s="860"/>
      <c r="AL51" s="578"/>
      <c r="AM51" s="546">
        <f>(AM16-AG16)/(AM9-AG9)</f>
        <v>0.70619371691757771</v>
      </c>
      <c r="AN51" s="547">
        <f>(AN16-AH16)/(AN9-AH9)</f>
        <v>0.64438743567425638</v>
      </c>
      <c r="AO51" s="547">
        <f>(AO16-AI16)/(AO9-AI9)</f>
        <v>0.69445619377943257</v>
      </c>
      <c r="AP51" s="547">
        <f>(AP16-AJ16)/(AP9-AJ9)</f>
        <v>0.82997911889419829</v>
      </c>
      <c r="AQ51" s="549">
        <f>(AQ16-AK16)/(AQ9-AK9)</f>
        <v>0.72373488054807789</v>
      </c>
      <c r="AR51" s="578"/>
      <c r="AS51" s="546">
        <f>(AS16-AM16)/(AS9-AM9)</f>
        <v>0.73816283134609162</v>
      </c>
      <c r="AT51" s="547">
        <f>(AT16-AN16)/(AT9-AN9)</f>
        <v>0.74763978950272969</v>
      </c>
      <c r="AU51" s="547">
        <f>(AU16-AO16)/(AU9-AO9)</f>
        <v>0.80825325042396834</v>
      </c>
      <c r="AV51" s="547">
        <f>(AV16-AP16)/(AV9-AP9)</f>
        <v>0.74320488113040029</v>
      </c>
      <c r="AW51" s="549">
        <f>(AW16-AQ16)/(AW9-AQ9)</f>
        <v>0.76149756917624556</v>
      </c>
      <c r="AX51" s="578"/>
      <c r="AY51" s="546">
        <f>(AY16-AS16)/(AY9-AS9)</f>
        <v>0.78736500713169866</v>
      </c>
      <c r="AZ51" s="547">
        <f>(AZ16-AT16)/(AZ9-AT9)</f>
        <v>0.79345387212721885</v>
      </c>
      <c r="BA51" s="547">
        <f>(BA16-AU16)/(BA9-AU9)</f>
        <v>0.73125026923794867</v>
      </c>
      <c r="BB51" s="547">
        <f>(BB16-AV16)/(BB9-AV9)</f>
        <v>0.68080940772271992</v>
      </c>
      <c r="BC51" s="549">
        <f>(BC16-AW16)/(BC9-AW9)</f>
        <v>0.75448376692224439</v>
      </c>
      <c r="BD51" s="578"/>
      <c r="BE51" s="546">
        <f>(BE16-AY16)/(BE9-AY9)</f>
        <v>0.63672510392192438</v>
      </c>
      <c r="BF51" s="547">
        <f>(BF16-AZ16)/(BF9-AZ9)</f>
        <v>0.7672110097784226</v>
      </c>
      <c r="BG51" s="547">
        <f>(BG16-BA16)/(BG9-BA9)</f>
        <v>0.65736442287402408</v>
      </c>
      <c r="BH51" s="547">
        <f>(BH16-BB16)/(BH9-BB9)</f>
        <v>0.33044354113457475</v>
      </c>
      <c r="BI51" s="549">
        <f>(BI16-BC16)/(BI9-BC9)</f>
        <v>0.64000537480894404</v>
      </c>
      <c r="BJ51" s="578"/>
      <c r="BK51" s="546">
        <f>(BK16-BE16)/(BK9-BE9)</f>
        <v>-0.40210389907383015</v>
      </c>
      <c r="BL51" s="547">
        <f>(BL16-BF16)/(BL9-BF9)</f>
        <v>0.15007386473119586</v>
      </c>
      <c r="BM51" s="547">
        <f>(BM16-BG16)/(BM9-BG9)</f>
        <v>0.50710736377162857</v>
      </c>
      <c r="BN51" s="547">
        <f>(BN16-BH16)/(BN9-BH9)</f>
        <v>0.7641282451232374</v>
      </c>
      <c r="BO51" s="549">
        <f>(BO16-BI16)/(BO9-BI9)</f>
        <v>0.49187084955346894</v>
      </c>
      <c r="BP51" s="578"/>
      <c r="BQ51" s="546">
        <f>(BQ16-BK16)/(BQ9-BK9)</f>
        <v>0.80978260869565222</v>
      </c>
      <c r="BR51" s="547">
        <f>(BR16-BL16)/(BR9-BL9)</f>
        <v>0.78048534435163452</v>
      </c>
      <c r="BS51" s="547">
        <f>(BS16-BM16)/(BS9-BM9)</f>
        <v>0.68796717757449144</v>
      </c>
      <c r="BT51" s="547">
        <f>(BT16-BN16)/(BT9-BN9)</f>
        <v>0.42999159497800765</v>
      </c>
      <c r="BU51" s="549">
        <f>(BU16-BO16)/(BU9-BO9)</f>
        <v>0.72679271254006572</v>
      </c>
      <c r="BV51" s="578"/>
      <c r="BW51" s="546">
        <f>(BW16-BQ16)/(BW9-BQ9)</f>
        <v>0.64777290981091284</v>
      </c>
      <c r="BX51" s="547">
        <f>(BX16-BR16)/(BX9-BR9)</f>
        <v>0.62856603239062714</v>
      </c>
      <c r="BY51" s="547">
        <f>(BY16-BS16)/(BY9-BS9)</f>
        <v>0.63242507110182677</v>
      </c>
      <c r="BZ51" s="547">
        <f>(BZ16-BT16)/(BZ9-BT9)</f>
        <v>0.62407548161110193</v>
      </c>
      <c r="CA51" s="549">
        <f>(CA16-BU16)/(CA9-BU9)</f>
        <v>0.63377046912079305</v>
      </c>
      <c r="CB51" s="578"/>
      <c r="CC51" s="546">
        <f>(CC16-BW16)/(CC9-BW9)</f>
        <v>0.66299634362439019</v>
      </c>
      <c r="CD51" s="547">
        <f>(CD16-BX16)/(CD9-BX9)</f>
        <v>0.63812822359410948</v>
      </c>
      <c r="CE51" s="547">
        <f>(CE16-BY16)/(CE9-BY9)</f>
        <v>0.64035516562782036</v>
      </c>
      <c r="CF51" s="547">
        <f>(CF16-BZ16)/(CF9-BZ9)</f>
        <v>0.63818255117920308</v>
      </c>
      <c r="CG51" s="549">
        <f>(CG16-CA16)/(CG9-CA9)</f>
        <v>0.64476215815935545</v>
      </c>
      <c r="CH51" s="578"/>
      <c r="CI51" s="546">
        <f t="shared" ref="CI51:CM51" si="158">(CI16-CC16)/(CI9-CC9)</f>
        <v>0.65625675484665502</v>
      </c>
      <c r="CJ51" s="547">
        <f t="shared" si="158"/>
        <v>0.63314706195715631</v>
      </c>
      <c r="CK51" s="547">
        <f t="shared" si="158"/>
        <v>0.63410065766413215</v>
      </c>
      <c r="CL51" s="547">
        <f t="shared" si="158"/>
        <v>0.63393005786385936</v>
      </c>
      <c r="CM51" s="549">
        <f t="shared" si="158"/>
        <v>0.63926259295597798</v>
      </c>
      <c r="CN51" s="578"/>
      <c r="CO51" s="546">
        <f t="shared" ref="CO51:CS51" si="159">(CO16-CI16)/(CO9-CI9)</f>
        <v>0.66443214249193516</v>
      </c>
      <c r="CP51" s="547">
        <f t="shared" si="159"/>
        <v>0.65031503982969519</v>
      </c>
      <c r="CQ51" s="547">
        <f t="shared" si="159"/>
        <v>0.65413823360804679</v>
      </c>
      <c r="CR51" s="547">
        <f t="shared" si="159"/>
        <v>0.65229831949010508</v>
      </c>
      <c r="CS51" s="549">
        <f t="shared" si="159"/>
        <v>0.65510216733809035</v>
      </c>
      <c r="CT51" s="416"/>
      <c r="CU51" s="400"/>
      <c r="CV51" s="400"/>
      <c r="DC51" s="921"/>
      <c r="DE51" s="1895"/>
      <c r="DF51" s="1895"/>
      <c r="DG51" s="1895"/>
      <c r="DH51" s="1895"/>
      <c r="DI51" s="921"/>
      <c r="DJ51" s="921"/>
      <c r="DK51" s="921"/>
      <c r="DL51" s="921"/>
    </row>
    <row r="52" spans="1:116" collapsed="1">
      <c r="A52" s="621" t="s">
        <v>372</v>
      </c>
      <c r="B52" s="553"/>
      <c r="C52" s="567">
        <f>C17/C9</f>
        <v>0.22115038115038113</v>
      </c>
      <c r="D52" s="568">
        <f>D17/D9</f>
        <v>0.21510616904240848</v>
      </c>
      <c r="E52" s="568">
        <f>E17/E9</f>
        <v>0.20257409496461901</v>
      </c>
      <c r="F52" s="569">
        <f>F17/F9</f>
        <v>0.17805761784661286</v>
      </c>
      <c r="G52" s="570">
        <f>G17/G9</f>
        <v>0.20158997161933373</v>
      </c>
      <c r="H52" s="559"/>
      <c r="I52" s="567">
        <f>I17/I9</f>
        <v>0.16874964098440026</v>
      </c>
      <c r="J52" s="568">
        <f>J17/J9</f>
        <v>0.16759525457100666</v>
      </c>
      <c r="K52" s="568">
        <f>K17/K9</f>
        <v>0.17937574870224945</v>
      </c>
      <c r="L52" s="569">
        <f>L17/L9</f>
        <v>0.17040024358870778</v>
      </c>
      <c r="M52" s="570">
        <f>M17/M9</f>
        <v>0.17171616729905356</v>
      </c>
      <c r="N52" s="559"/>
      <c r="O52" s="567">
        <f>O17/O9</f>
        <v>0.17982347653492761</v>
      </c>
      <c r="P52" s="568">
        <f>P17/P9</f>
        <v>0.19919204667074975</v>
      </c>
      <c r="Q52" s="568">
        <f>Q17/Q9</f>
        <v>0.2114612275827229</v>
      </c>
      <c r="R52" s="569">
        <f>R17/R9</f>
        <v>0.21847655125052623</v>
      </c>
      <c r="S52" s="570">
        <f>S17/S9</f>
        <v>0.20251559301480959</v>
      </c>
      <c r="T52" s="559"/>
      <c r="U52" s="567">
        <f>U17/U9</f>
        <v>0.22253566576970921</v>
      </c>
      <c r="V52" s="568">
        <f>V17/V9</f>
        <v>0.20163865605675393</v>
      </c>
      <c r="W52" s="568">
        <f>W17/W9</f>
        <v>0.18492766814575093</v>
      </c>
      <c r="X52" s="569">
        <f>X17/X9</f>
        <v>0.17176939739301481</v>
      </c>
      <c r="Y52" s="570">
        <f>Y17/Y9</f>
        <v>0.19304761830912742</v>
      </c>
      <c r="Z52" s="559"/>
      <c r="AA52" s="567">
        <f>AA17/AA9</f>
        <v>0.1726067642426066</v>
      </c>
      <c r="AB52" s="568">
        <f>AB17/AB9</f>
        <v>0.17027656983823275</v>
      </c>
      <c r="AC52" s="568">
        <f>AC17/AC9</f>
        <v>0.21071851685145163</v>
      </c>
      <c r="AD52" s="569">
        <f>AD17/AD9</f>
        <v>0.17906914436300092</v>
      </c>
      <c r="AE52" s="570">
        <f>AE17/AE9</f>
        <v>0.18200628117494921</v>
      </c>
      <c r="AF52" s="571"/>
      <c r="AG52" s="567">
        <f>AG17/AG9</f>
        <v>0.17636470286321809</v>
      </c>
      <c r="AH52" s="568">
        <f>AH17/AH9</f>
        <v>0.17481032190928952</v>
      </c>
      <c r="AI52" s="568">
        <f>AI17/AI9</f>
        <v>0.18645277289994891</v>
      </c>
      <c r="AJ52" s="565">
        <f>AJ17/AJ9</f>
        <v>0.18012384201251352</v>
      </c>
      <c r="AK52" s="558">
        <f>AK17/AK9</f>
        <v>0.17950816531942085</v>
      </c>
      <c r="AL52" s="572"/>
      <c r="AM52" s="563">
        <f>AM17/AM9</f>
        <v>0.18419557768659467</v>
      </c>
      <c r="AN52" s="564">
        <f>AN17/AN9</f>
        <v>0.19581963281651807</v>
      </c>
      <c r="AO52" s="568">
        <f>AO17/AO9</f>
        <v>0.19857062780269055</v>
      </c>
      <c r="AP52" s="564">
        <f>AP17/AP9</f>
        <v>0.19780753164001383</v>
      </c>
      <c r="AQ52" s="558">
        <f>AQ17/AQ9</f>
        <v>0.19434511370145047</v>
      </c>
      <c r="AR52" s="572"/>
      <c r="AS52" s="563">
        <f>AS17/AS9</f>
        <v>0.18289086246764943</v>
      </c>
      <c r="AT52" s="559">
        <f>AT17/AT9</f>
        <v>0.18430495477782149</v>
      </c>
      <c r="AU52" s="559">
        <f>AU17/AU9</f>
        <v>0.17598984665959261</v>
      </c>
      <c r="AV52" s="559">
        <f>AV17/AV9</f>
        <v>0.17994297190165873</v>
      </c>
      <c r="AW52" s="558">
        <f>AVERAGE(AS52:AV52)</f>
        <v>0.18078215895168057</v>
      </c>
      <c r="AX52" s="572"/>
      <c r="AY52" s="563">
        <f>AY17/AY9</f>
        <v>0.17040097295591061</v>
      </c>
      <c r="AZ52" s="559">
        <f>AZ17/AZ9</f>
        <v>0.17832021328270714</v>
      </c>
      <c r="BA52" s="559">
        <f>BA17/BA9</f>
        <v>0.18024209889309087</v>
      </c>
      <c r="BB52" s="559">
        <f>BB17/BB9</f>
        <v>0.1931609945431309</v>
      </c>
      <c r="BC52" s="558">
        <f>AVERAGE(AY52:BB52)</f>
        <v>0.18053106991870987</v>
      </c>
      <c r="BD52" s="572"/>
      <c r="BE52" s="563">
        <f>BE17/BE9</f>
        <v>0.21686258117436769</v>
      </c>
      <c r="BF52" s="559">
        <f>BF17/BF9</f>
        <v>0.20742379908152314</v>
      </c>
      <c r="BG52" s="559">
        <f>BG17/BG9</f>
        <v>0.20721613996135974</v>
      </c>
      <c r="BH52" s="559">
        <f>BH17/BH9</f>
        <v>0.20978062378601978</v>
      </c>
      <c r="BI52" s="558">
        <f>AVERAGE(BE52:BH52)</f>
        <v>0.21032078600081761</v>
      </c>
      <c r="BJ52" s="572"/>
      <c r="BK52" s="563">
        <f>BK17/BK9</f>
        <v>0.23411371237458195</v>
      </c>
      <c r="BL52" s="559">
        <f>BL17/BL9</f>
        <v>0.19685990338164253</v>
      </c>
      <c r="BM52" s="559">
        <f>BM17/BM9</f>
        <v>0.18731092436974792</v>
      </c>
      <c r="BN52" s="559">
        <f>BN17/BN9</f>
        <v>0.17364022116497363</v>
      </c>
      <c r="BO52" s="558">
        <f>AVERAGE(BK52:BN52)</f>
        <v>0.19798119032273653</v>
      </c>
      <c r="BP52" s="572"/>
      <c r="BQ52" s="563">
        <f>BQ17/BQ9</f>
        <v>0.17519181585677748</v>
      </c>
      <c r="BR52" s="2475">
        <v>0.2</v>
      </c>
      <c r="BS52" s="2475">
        <f t="shared" ref="BS52:BT53" si="160">+BR52-0.0025</f>
        <v>0.19750000000000001</v>
      </c>
      <c r="BT52" s="2475">
        <f t="shared" si="160"/>
        <v>0.19500000000000001</v>
      </c>
      <c r="BU52" s="558">
        <f>AVERAGE(BQ52:BT52)</f>
        <v>0.1919229539641944</v>
      </c>
      <c r="BV52" s="572"/>
      <c r="BW52" s="2523">
        <f>BQ52-0.001</f>
        <v>0.17419181585677748</v>
      </c>
      <c r="BX52" s="2475">
        <f t="shared" ref="BX52:BX53" si="161">BR52-0.001</f>
        <v>0.19900000000000001</v>
      </c>
      <c r="BY52" s="2475">
        <f t="shared" ref="BY52:BY53" si="162">BS52-0.001</f>
        <v>0.19650000000000001</v>
      </c>
      <c r="BZ52" s="2476">
        <f t="shared" ref="BZ52:BZ53" si="163">BT52-0.001</f>
        <v>0.19400000000000001</v>
      </c>
      <c r="CA52" s="558">
        <f>AVERAGE(BW52:BZ52)</f>
        <v>0.1909229539641944</v>
      </c>
      <c r="CB52" s="572"/>
      <c r="CC52" s="2523">
        <f>BW52-0.001</f>
        <v>0.17319181585677748</v>
      </c>
      <c r="CD52" s="2475">
        <f t="shared" ref="CD52:CE53" si="164">BX52-0.001</f>
        <v>0.19800000000000001</v>
      </c>
      <c r="CE52" s="2475">
        <f t="shared" si="164"/>
        <v>0.19550000000000001</v>
      </c>
      <c r="CF52" s="2476">
        <f t="shared" ref="CF52:CF53" si="165">BZ52-0.001</f>
        <v>0.193</v>
      </c>
      <c r="CG52" s="558">
        <f>AVERAGE(CC52:CF52)</f>
        <v>0.1899229539641944</v>
      </c>
      <c r="CH52" s="572"/>
      <c r="CI52" s="2523">
        <f t="shared" ref="CI52" si="166">CC52-0.001</f>
        <v>0.17219181585677748</v>
      </c>
      <c r="CJ52" s="2475">
        <f t="shared" ref="CJ52:CJ53" si="167">CD52-0.001</f>
        <v>0.19700000000000001</v>
      </c>
      <c r="CK52" s="2475">
        <f t="shared" ref="CK52:CK53" si="168">CE52-0.001</f>
        <v>0.19450000000000001</v>
      </c>
      <c r="CL52" s="2476">
        <f t="shared" ref="CL52:CL53" si="169">CF52-0.001</f>
        <v>0.192</v>
      </c>
      <c r="CM52" s="558">
        <f t="shared" ref="CM52:CM53" si="170">AVERAGE(CI52:CL52)</f>
        <v>0.1889229539641944</v>
      </c>
      <c r="CN52" s="572"/>
      <c r="CO52" s="2523">
        <f t="shared" ref="CO52" si="171">CI52-0.001</f>
        <v>0.17119181585677748</v>
      </c>
      <c r="CP52" s="2475">
        <f t="shared" ref="CP52:CP53" si="172">CJ52-0.001</f>
        <v>0.19600000000000001</v>
      </c>
      <c r="CQ52" s="2475">
        <f t="shared" ref="CQ52:CQ53" si="173">CK52-0.001</f>
        <v>0.19350000000000001</v>
      </c>
      <c r="CR52" s="2476">
        <f t="shared" ref="CR52:CR53" si="174">CL52-0.001</f>
        <v>0.191</v>
      </c>
      <c r="CS52" s="558">
        <f t="shared" ref="CS52:CS53" si="175">AVERAGE(CO52:CR52)</f>
        <v>0.18792295396419439</v>
      </c>
      <c r="CT52" s="416"/>
      <c r="CU52" s="400"/>
      <c r="CV52" s="400"/>
      <c r="DC52" s="921"/>
      <c r="DE52" s="1895"/>
      <c r="DF52" s="1895"/>
      <c r="DG52" s="1895"/>
      <c r="DH52" s="1895"/>
      <c r="DI52" s="921"/>
      <c r="DJ52" s="921"/>
      <c r="DK52" s="921"/>
      <c r="DL52" s="921"/>
    </row>
    <row r="53" spans="1:116">
      <c r="A53" s="621" t="s">
        <v>373</v>
      </c>
      <c r="B53" s="553"/>
      <c r="C53" s="567">
        <f>C18/C9</f>
        <v>0.3275537075537075</v>
      </c>
      <c r="D53" s="568">
        <f>D18/D9</f>
        <v>0.27558999231087716</v>
      </c>
      <c r="E53" s="568">
        <f>E18/E9</f>
        <v>0.2492769972310532</v>
      </c>
      <c r="F53" s="569">
        <f>F18/F9</f>
        <v>0.26658910873503605</v>
      </c>
      <c r="G53" s="570">
        <f>G18/G9</f>
        <v>0.27605309720037402</v>
      </c>
      <c r="H53" s="559"/>
      <c r="I53" s="567">
        <f>I18/I9</f>
        <v>0.27758675868407445</v>
      </c>
      <c r="J53" s="568">
        <f>J18/J9</f>
        <v>0.25407877183846139</v>
      </c>
      <c r="K53" s="568">
        <f>K18/K9</f>
        <v>0.26197923599094908</v>
      </c>
      <c r="L53" s="569">
        <f>L18/L9</f>
        <v>0.24362599190937514</v>
      </c>
      <c r="M53" s="570">
        <f>M18/M9</f>
        <v>0.2582127436870339</v>
      </c>
      <c r="N53" s="559"/>
      <c r="O53" s="567">
        <f>O18/O9</f>
        <v>0.25839632715360439</v>
      </c>
      <c r="P53" s="568">
        <f>P18/P9</f>
        <v>0.25945447684093959</v>
      </c>
      <c r="Q53" s="568">
        <f>Q18/Q9</f>
        <v>0.26582470320788071</v>
      </c>
      <c r="R53" s="569">
        <f>R18/R9</f>
        <v>0.27398041691588571</v>
      </c>
      <c r="S53" s="570">
        <f>S18/S9</f>
        <v>0.2646415257442325</v>
      </c>
      <c r="T53" s="559"/>
      <c r="U53" s="567">
        <f>U18/U9</f>
        <v>0.26168603713091587</v>
      </c>
      <c r="V53" s="568">
        <f>V18/V9</f>
        <v>0.25063324575595625</v>
      </c>
      <c r="W53" s="568">
        <f>W18/W9</f>
        <v>0.23179061898200237</v>
      </c>
      <c r="X53" s="569">
        <f>X18/X9</f>
        <v>0.23741092545675826</v>
      </c>
      <c r="Y53" s="570">
        <f>Y18/Y9</f>
        <v>0.24420514854205139</v>
      </c>
      <c r="Z53" s="559"/>
      <c r="AA53" s="567">
        <f>AA18/AA9</f>
        <v>0.22998070898890324</v>
      </c>
      <c r="AB53" s="568">
        <f>AB18/AB9</f>
        <v>0.23687249956514178</v>
      </c>
      <c r="AC53" s="568">
        <f>AC18/AC9</f>
        <v>0.28092688291670032</v>
      </c>
      <c r="AD53" s="569">
        <f>AD18/AD9</f>
        <v>0.25219637622915098</v>
      </c>
      <c r="AE53" s="570">
        <f>AE18/AE9</f>
        <v>0.24848726001506352</v>
      </c>
      <c r="AF53" s="571"/>
      <c r="AG53" s="567">
        <f>AG18/AG9</f>
        <v>0.23997140447996479</v>
      </c>
      <c r="AH53" s="568">
        <f>AH18/AH9</f>
        <v>0.24546786074474269</v>
      </c>
      <c r="AI53" s="568">
        <f>AI18/AI9</f>
        <v>0.24100477832891409</v>
      </c>
      <c r="AJ53" s="565">
        <f>AJ18/AJ9</f>
        <v>0.24457019061322816</v>
      </c>
      <c r="AK53" s="558">
        <f>AK18/AK9</f>
        <v>0.24280985201773417</v>
      </c>
      <c r="AL53" s="572"/>
      <c r="AM53" s="563">
        <f>AM18/AM9</f>
        <v>0.24342665836752694</v>
      </c>
      <c r="AN53" s="564">
        <f>AN18/AN9</f>
        <v>0.24286176587863412</v>
      </c>
      <c r="AO53" s="568">
        <f>AO18/AO9</f>
        <v>0.25137331838565019</v>
      </c>
      <c r="AP53" s="564">
        <f>AP18/AP9</f>
        <v>0.26485441204566695</v>
      </c>
      <c r="AQ53" s="558">
        <f>AQ18/AQ9</f>
        <v>0.25112406749893396</v>
      </c>
      <c r="AR53" s="572"/>
      <c r="AS53" s="563">
        <f>AS18/AS9</f>
        <v>0.24516553741732633</v>
      </c>
      <c r="AT53" s="559">
        <f>AT18/AT9</f>
        <v>0.2517762663997426</v>
      </c>
      <c r="AU53" s="559">
        <f>AU18/AU9</f>
        <v>0.24613736137985562</v>
      </c>
      <c r="AV53" s="559">
        <f>AV18/AV9</f>
        <v>0.23534532055373072</v>
      </c>
      <c r="AW53" s="558">
        <f>AVERAGE(AS53:AV53)</f>
        <v>0.2446061214376638</v>
      </c>
      <c r="AX53" s="572"/>
      <c r="AY53" s="563">
        <f>AY18/AY9</f>
        <v>0.21318689480378411</v>
      </c>
      <c r="AZ53" s="559">
        <f>AZ18/AZ9</f>
        <v>0.22813870791912169</v>
      </c>
      <c r="BA53" s="559">
        <f>BA18/BA9</f>
        <v>0.24503744518609921</v>
      </c>
      <c r="BB53" s="559">
        <f>BB18/BB9</f>
        <v>0.24533258501423386</v>
      </c>
      <c r="BC53" s="558">
        <f>AVERAGE(AY53:BB53)</f>
        <v>0.23292390823080972</v>
      </c>
      <c r="BD53" s="572"/>
      <c r="BE53" s="563">
        <f>BE18/BE9</f>
        <v>0.25710477942783982</v>
      </c>
      <c r="BF53" s="559">
        <f>BF18/BF9</f>
        <v>0.24392792156287699</v>
      </c>
      <c r="BG53" s="559">
        <f>BG18/BG9</f>
        <v>0.22581319928385427</v>
      </c>
      <c r="BH53" s="559">
        <f>BH18/BH9</f>
        <v>0.23390280408236422</v>
      </c>
      <c r="BI53" s="558">
        <f>AVERAGE(BE53:BH53)</f>
        <v>0.24018717608923382</v>
      </c>
      <c r="BJ53" s="572"/>
      <c r="BK53" s="563">
        <f>BK18/BK9</f>
        <v>0.25418060200668896</v>
      </c>
      <c r="BL53" s="559">
        <f>BL18/BL9</f>
        <v>0.2515096618357488</v>
      </c>
      <c r="BM53" s="559">
        <f>BM18/BM9</f>
        <v>0.23240896358543417</v>
      </c>
      <c r="BN53" s="559">
        <f>BN18/BN9</f>
        <v>0.22147357592902148</v>
      </c>
      <c r="BO53" s="558">
        <f>AVERAGE(BK53:BN53)</f>
        <v>0.23989320083922336</v>
      </c>
      <c r="BP53" s="572"/>
      <c r="BQ53" s="563">
        <f>BQ18/BQ9</f>
        <v>0.2289002557544757</v>
      </c>
      <c r="BR53" s="2475">
        <v>0.25</v>
      </c>
      <c r="BS53" s="2475">
        <f t="shared" si="160"/>
        <v>0.2475</v>
      </c>
      <c r="BT53" s="2475">
        <f t="shared" si="160"/>
        <v>0.245</v>
      </c>
      <c r="BU53" s="558">
        <f>AVERAGE(BQ53:BT53)</f>
        <v>0.24285006393861894</v>
      </c>
      <c r="BV53" s="572"/>
      <c r="BW53" s="2523">
        <f>BQ53+0.001</f>
        <v>0.2299002557544757</v>
      </c>
      <c r="BX53" s="2475">
        <f t="shared" si="161"/>
        <v>0.249</v>
      </c>
      <c r="BY53" s="2475">
        <f t="shared" si="162"/>
        <v>0.2465</v>
      </c>
      <c r="BZ53" s="2476">
        <f t="shared" si="163"/>
        <v>0.24399999999999999</v>
      </c>
      <c r="CA53" s="558">
        <f>AVERAGE(BW53:BZ53)</f>
        <v>0.24235006393861891</v>
      </c>
      <c r="CB53" s="572"/>
      <c r="CC53" s="2523">
        <f t="shared" ref="CC53" si="176">BW53+0.001</f>
        <v>0.2309002557544757</v>
      </c>
      <c r="CD53" s="2475">
        <f t="shared" si="164"/>
        <v>0.248</v>
      </c>
      <c r="CE53" s="2475">
        <f t="shared" si="164"/>
        <v>0.2455</v>
      </c>
      <c r="CF53" s="2476">
        <f t="shared" si="165"/>
        <v>0.24299999999999999</v>
      </c>
      <c r="CG53" s="558">
        <f t="shared" ref="CG53" si="177">AVERAGE(CC53:CF53)</f>
        <v>0.24185006393861894</v>
      </c>
      <c r="CH53" s="572"/>
      <c r="CI53" s="2523">
        <f t="shared" ref="CI53" si="178">CC53+0.001</f>
        <v>0.2319002557544757</v>
      </c>
      <c r="CJ53" s="2475">
        <f t="shared" si="167"/>
        <v>0.247</v>
      </c>
      <c r="CK53" s="2475">
        <f t="shared" si="168"/>
        <v>0.2445</v>
      </c>
      <c r="CL53" s="2476">
        <f t="shared" si="169"/>
        <v>0.24199999999999999</v>
      </c>
      <c r="CM53" s="558">
        <f t="shared" si="170"/>
        <v>0.24135006393861891</v>
      </c>
      <c r="CN53" s="572"/>
      <c r="CO53" s="2523">
        <f t="shared" ref="CO53" si="179">CI53+0.001</f>
        <v>0.2329002557544757</v>
      </c>
      <c r="CP53" s="2475">
        <f t="shared" si="172"/>
        <v>0.246</v>
      </c>
      <c r="CQ53" s="2475">
        <f t="shared" si="173"/>
        <v>0.24349999999999999</v>
      </c>
      <c r="CR53" s="2476">
        <f t="shared" si="174"/>
        <v>0.24099999999999999</v>
      </c>
      <c r="CS53" s="558">
        <f t="shared" si="175"/>
        <v>0.24085006393861894</v>
      </c>
      <c r="CT53" s="416"/>
      <c r="CU53" s="400"/>
      <c r="CV53" s="400"/>
      <c r="DC53" s="921"/>
      <c r="DD53" s="921"/>
      <c r="DE53" s="1895"/>
      <c r="DF53" s="1895"/>
      <c r="DG53" s="1895"/>
      <c r="DH53" s="1895"/>
      <c r="DI53" s="921"/>
      <c r="DJ53" s="921"/>
      <c r="DK53" s="921"/>
      <c r="DL53" s="921"/>
    </row>
    <row r="54" spans="1:116">
      <c r="A54" s="573" t="s">
        <v>201</v>
      </c>
      <c r="B54" s="413"/>
      <c r="C54" s="574">
        <f>C20/C9</f>
        <v>0.1144421344421345</v>
      </c>
      <c r="D54" s="575">
        <f>D20/D9</f>
        <v>0.15424380434139701</v>
      </c>
      <c r="E54" s="575">
        <f>E20/E9</f>
        <v>0.16790072813044815</v>
      </c>
      <c r="F54" s="576">
        <f>F20/F9</f>
        <v>0.19926467976270837</v>
      </c>
      <c r="G54" s="577">
        <f>G20/G9</f>
        <v>0.16386631370314536</v>
      </c>
      <c r="H54" s="578"/>
      <c r="I54" s="574">
        <f t="shared" ref="I54:BO54" si="180">I20/I9</f>
        <v>0.17551964943665324</v>
      </c>
      <c r="J54" s="575">
        <f t="shared" si="180"/>
        <v>0.21835964530557792</v>
      </c>
      <c r="K54" s="575">
        <f t="shared" si="180"/>
        <v>0.19640622920271522</v>
      </c>
      <c r="L54" s="576">
        <f t="shared" si="180"/>
        <v>0.24635393687821197</v>
      </c>
      <c r="M54" s="577">
        <f t="shared" si="180"/>
        <v>0.21135679706921365</v>
      </c>
      <c r="N54" s="579"/>
      <c r="O54" s="574">
        <f t="shared" si="180"/>
        <v>0.23586937504901759</v>
      </c>
      <c r="P54" s="575">
        <f t="shared" si="180"/>
        <v>0.23936081364488412</v>
      </c>
      <c r="Q54" s="575">
        <f t="shared" si="180"/>
        <v>0.20973099267491804</v>
      </c>
      <c r="R54" s="576">
        <f t="shared" si="180"/>
        <v>0.21198023969340504</v>
      </c>
      <c r="S54" s="577">
        <f t="shared" si="180"/>
        <v>0.22403065175500211</v>
      </c>
      <c r="T54" s="578"/>
      <c r="U54" s="574">
        <f t="shared" si="180"/>
        <v>0.21216773971925409</v>
      </c>
      <c r="V54" s="575">
        <f t="shared" si="180"/>
        <v>0.24435031579741792</v>
      </c>
      <c r="W54" s="575">
        <f t="shared" si="180"/>
        <v>0.25514835088429005</v>
      </c>
      <c r="X54" s="576">
        <f t="shared" si="180"/>
        <v>0.23537493589694519</v>
      </c>
      <c r="Y54" s="577">
        <f t="shared" si="180"/>
        <v>0.23774150060759403</v>
      </c>
      <c r="Z54" s="578"/>
      <c r="AA54" s="574">
        <f t="shared" si="180"/>
        <v>0.27357485443250795</v>
      </c>
      <c r="AB54" s="575">
        <f t="shared" si="180"/>
        <v>0.27606888154461645</v>
      </c>
      <c r="AC54" s="575">
        <f t="shared" si="180"/>
        <v>0.18839995074289062</v>
      </c>
      <c r="AD54" s="576">
        <f t="shared" si="180"/>
        <v>0.26302530081456849</v>
      </c>
      <c r="AE54" s="577">
        <f t="shared" si="180"/>
        <v>0.2527514483176776</v>
      </c>
      <c r="AF54" s="580"/>
      <c r="AG54" s="574">
        <f t="shared" si="180"/>
        <v>0.26657257029732007</v>
      </c>
      <c r="AH54" s="575">
        <f t="shared" si="180"/>
        <v>0.28119041934092864</v>
      </c>
      <c r="AI54" s="575">
        <f t="shared" si="180"/>
        <v>0.27026592134996547</v>
      </c>
      <c r="AJ54" s="863">
        <f>AJ20/AJ9</f>
        <v>0.25299015407498432</v>
      </c>
      <c r="AK54" s="577">
        <f t="shared" si="180"/>
        <v>0.26740593949061231</v>
      </c>
      <c r="AL54" s="578"/>
      <c r="AM54" s="861">
        <f>AM20/AM9</f>
        <v>0.25938034433372215</v>
      </c>
      <c r="AN54" s="862">
        <f>AN20/AN9</f>
        <v>0.25198645454703061</v>
      </c>
      <c r="AO54" s="575">
        <f>AO20/AO9</f>
        <v>0.24713004484304946</v>
      </c>
      <c r="AP54" s="576">
        <f t="shared" si="180"/>
        <v>0.2457154954740968</v>
      </c>
      <c r="AQ54" s="577">
        <f t="shared" si="180"/>
        <v>0.2507799867433918</v>
      </c>
      <c r="AR54" s="578"/>
      <c r="AS54" s="861">
        <f t="shared" si="180"/>
        <v>0.26986722309229744</v>
      </c>
      <c r="AT54" s="1494">
        <f>AT20/AT9</f>
        <v>0.26750348550387876</v>
      </c>
      <c r="AU54" s="1494">
        <f>AU20/AU9</f>
        <v>0.30359111998834865</v>
      </c>
      <c r="AV54" s="1494">
        <f>AV20/AV9</f>
        <v>0.30158925326760072</v>
      </c>
      <c r="AW54" s="577">
        <f t="shared" si="180"/>
        <v>0.28673903676777907</v>
      </c>
      <c r="AX54" s="578"/>
      <c r="AY54" s="861">
        <f>AY20/AY9</f>
        <v>0.33389655844698418</v>
      </c>
      <c r="AZ54" s="575">
        <f>AZ20/AZ9</f>
        <v>0.31242282777569702</v>
      </c>
      <c r="BA54" s="575">
        <f>BA20/BA9</f>
        <v>0.30113889338162464</v>
      </c>
      <c r="BB54" s="1494">
        <f>BB20/BB9</f>
        <v>0.27355683731497699</v>
      </c>
      <c r="BC54" s="577">
        <f>BC20/BC9</f>
        <v>0.30447813774629884</v>
      </c>
      <c r="BD54" s="578"/>
      <c r="BE54" s="861">
        <f>BE20/BE9</f>
        <v>0.23882797592708885</v>
      </c>
      <c r="BF54" s="575">
        <f>BF20/BF9</f>
        <v>0.27242203277989219</v>
      </c>
      <c r="BG54" s="575">
        <f>BG20/BG9</f>
        <v>0.28692111691062511</v>
      </c>
      <c r="BH54" s="1494">
        <f>BH20/BH9</f>
        <v>0.25123880474112259</v>
      </c>
      <c r="BI54" s="577">
        <f t="shared" si="180"/>
        <v>0.26261344669907488</v>
      </c>
      <c r="BJ54" s="578"/>
      <c r="BK54" s="861">
        <f>BK20/BK9</f>
        <v>0.17558528428093645</v>
      </c>
      <c r="BL54" s="1494">
        <f>BL20/BL9</f>
        <v>0.22146739130434781</v>
      </c>
      <c r="BM54" s="575">
        <f>BM20/BM9</f>
        <v>0.26837535014005603</v>
      </c>
      <c r="BN54" s="576">
        <f>BN20/BN9</f>
        <v>0.31389996142471405</v>
      </c>
      <c r="BO54" s="577">
        <f t="shared" si="180"/>
        <v>0.24978743504959855</v>
      </c>
      <c r="BP54" s="578"/>
      <c r="BQ54" s="861">
        <f>BQ20/BQ9</f>
        <v>0.29411764705882354</v>
      </c>
      <c r="BR54" s="575">
        <f>BR20/BR9</f>
        <v>0.23775949778343489</v>
      </c>
      <c r="BS54" s="575">
        <f>BS20/BS9</f>
        <v>0.24308066629479327</v>
      </c>
      <c r="BT54" s="576">
        <f>BT20/BT9</f>
        <v>0.24822181704409105</v>
      </c>
      <c r="BU54" s="577">
        <f>BU20/BU9</f>
        <v>0.2555168964882607</v>
      </c>
      <c r="BV54" s="578"/>
      <c r="BW54" s="861">
        <f>BW20/BW9</f>
        <v>0.28887764283872464</v>
      </c>
      <c r="BX54" s="575">
        <f>BX20/BX9</f>
        <v>0.23433199810453767</v>
      </c>
      <c r="BY54" s="575">
        <f>BY20/BY9</f>
        <v>0.24026057910167434</v>
      </c>
      <c r="BZ54" s="576">
        <f>BZ20/BZ9</f>
        <v>0.24480470951782504</v>
      </c>
      <c r="CA54" s="577">
        <f>CA20/CA9</f>
        <v>0.25195699116038889</v>
      </c>
      <c r="CB54" s="578"/>
      <c r="CC54" s="861">
        <f>CC20/CC9</f>
        <v>0.28611438559442837</v>
      </c>
      <c r="CD54" s="575">
        <f>CD20/CD9</f>
        <v>0.23222104550206818</v>
      </c>
      <c r="CE54" s="575">
        <f>CE20/CE9</f>
        <v>0.23828099021187485</v>
      </c>
      <c r="CF54" s="576">
        <f>CF20/CF9</f>
        <v>0.24261009551105106</v>
      </c>
      <c r="CG54" s="577">
        <f>CG20/CG9</f>
        <v>0.24968713688040645</v>
      </c>
      <c r="CH54" s="578"/>
      <c r="CI54" s="861">
        <f t="shared" ref="CI54:CM54" si="181">CI20/CI9</f>
        <v>0.2829070465599276</v>
      </c>
      <c r="CJ54" s="575">
        <f t="shared" si="181"/>
        <v>0.22997006763479155</v>
      </c>
      <c r="CK54" s="575">
        <f t="shared" si="181"/>
        <v>0.23604292950579786</v>
      </c>
      <c r="CL54" s="576">
        <f t="shared" si="181"/>
        <v>0.24031965909344577</v>
      </c>
      <c r="CM54" s="577">
        <f t="shared" si="181"/>
        <v>0.24719352582609702</v>
      </c>
      <c r="CN54" s="578"/>
      <c r="CO54" s="861">
        <f t="shared" ref="CO54:CS54" si="182">CO20/CO9</f>
        <v>0.28086271821071729</v>
      </c>
      <c r="CP54" s="575">
        <f t="shared" si="182"/>
        <v>0.22973328395589965</v>
      </c>
      <c r="CQ54" s="575">
        <f t="shared" si="182"/>
        <v>0.2359976413606204</v>
      </c>
      <c r="CR54" s="576">
        <f t="shared" si="182"/>
        <v>0.24014189621517715</v>
      </c>
      <c r="CS54" s="577">
        <f t="shared" si="182"/>
        <v>0.24652058472024138</v>
      </c>
      <c r="CT54" s="926"/>
      <c r="CU54" s="927"/>
      <c r="CV54" s="927"/>
      <c r="DC54" s="921"/>
      <c r="DD54" s="921"/>
      <c r="DE54" s="1895"/>
      <c r="DF54" s="1895"/>
      <c r="DG54" s="1895"/>
      <c r="DH54" s="1895"/>
      <c r="DI54" s="921"/>
      <c r="DJ54" s="921"/>
      <c r="DK54" s="921"/>
      <c r="DL54" s="921"/>
    </row>
    <row r="55" spans="1:116" hidden="1" outlineLevel="1">
      <c r="A55" s="1351" t="s">
        <v>445</v>
      </c>
      <c r="B55" s="413"/>
      <c r="C55" s="574"/>
      <c r="D55" s="575"/>
      <c r="E55" s="575"/>
      <c r="F55" s="576"/>
      <c r="G55" s="577"/>
      <c r="H55" s="578"/>
      <c r="I55" s="563">
        <f>(I20-C20)/(I9-C9)</f>
        <v>0.26416688459294718</v>
      </c>
      <c r="J55" s="564">
        <f>(J20-D20)/(J9-D9)</f>
        <v>0.31576866395888004</v>
      </c>
      <c r="K55" s="547">
        <f>(K20-E20)/(K9-E9)</f>
        <v>0.24909952606635052</v>
      </c>
      <c r="L55" s="569">
        <f>(L20-F20)/(L9-F9)</f>
        <v>0.3560830246466487</v>
      </c>
      <c r="M55" s="570">
        <f>(M20-G20)/(M9-G9)</f>
        <v>0.295742784339182</v>
      </c>
      <c r="N55" s="579"/>
      <c r="O55" s="563">
        <f>(O20-I20)/(O9-I9)</f>
        <v>0.40340805540368152</v>
      </c>
      <c r="P55" s="564">
        <f>(P20-J20)/(P9-J9)</f>
        <v>0.37650237585018193</v>
      </c>
      <c r="Q55" s="547">
        <f>(Q20-K20)/(Q9-K9)</f>
        <v>0.45691358024691675</v>
      </c>
      <c r="R55" s="569">
        <f>(R20-L20)/(R9-L9)</f>
        <v>-6.9715333299386173E-2</v>
      </c>
      <c r="S55" s="570">
        <f>(S20-M20)/(S9-M9)</f>
        <v>0.30206554313150547</v>
      </c>
      <c r="T55" s="578"/>
      <c r="U55" s="563">
        <f>(U20-O20)/(U9-O9)</f>
        <v>6.320618791233798E-2</v>
      </c>
      <c r="V55" s="564">
        <f>(V20-P20)/(V9-P9)</f>
        <v>0.26036536934074644</v>
      </c>
      <c r="W55" s="547">
        <f>(W20-Q20)/(W9-Q9)</f>
        <v>0.34624884419055307</v>
      </c>
      <c r="X55" s="569">
        <f>(X20-R20)/(X9-R9)</f>
        <v>0.28769787202417807</v>
      </c>
      <c r="Y55" s="570">
        <f>(Y20-S20)/(Y9-S9)</f>
        <v>0.27638452395555313</v>
      </c>
      <c r="Z55" s="578"/>
      <c r="AA55" s="563">
        <f>(AA20-U20)/(AA9-U9)</f>
        <v>0.40410913436006352</v>
      </c>
      <c r="AB55" s="564">
        <f>(AB20-V20)/(AB9-V9)</f>
        <v>0.36519676063991952</v>
      </c>
      <c r="AC55" s="547">
        <f>(AC20-W20)/(AC9-W9)</f>
        <v>8.9397790055248496</v>
      </c>
      <c r="AD55" s="569">
        <f>(AD20-X20)/(AD9-X9)</f>
        <v>-0.38051126748017733</v>
      </c>
      <c r="AE55" s="570">
        <f>(AE20-Y20)/(AE9-Y9)</f>
        <v>0.34143356414518766</v>
      </c>
      <c r="AF55" s="580"/>
      <c r="AG55" s="563">
        <f>(AG20-AA20)/(AG9-AA9)</f>
        <v>0.46957414058491442</v>
      </c>
      <c r="AH55" s="564">
        <f>(AH20-AB20)/(AH9-AB9)</f>
        <v>6.605290077451989E-2</v>
      </c>
      <c r="AI55" s="547">
        <f>(AI20-AC20)/(AI9-AC9)</f>
        <v>0.65298263027295311</v>
      </c>
      <c r="AJ55" s="569">
        <f>(AJ20-AD20)/(AJ9-AD9)</f>
        <v>0.21059566847991454</v>
      </c>
      <c r="AK55" s="570">
        <f>(AK20-AE20)/(AK9-AE9)</f>
        <v>0.4337660382228653</v>
      </c>
      <c r="AL55" s="578"/>
      <c r="AM55" s="563">
        <f>(AM20-AG20)/(AM9-AG9)</f>
        <v>0.22566508558465695</v>
      </c>
      <c r="AN55" s="564">
        <f>(AN20-AH20)/(AN9-AH9)</f>
        <v>0.12684960373814735</v>
      </c>
      <c r="AO55" s="547">
        <f>(AO20-AI20)/(AO9-AI9)</f>
        <v>0.15387869046611988</v>
      </c>
      <c r="AP55" s="569">
        <f>(AP20-AJ20)/(AP9-AJ9)</f>
        <v>0.21689447995798164</v>
      </c>
      <c r="AQ55" s="570">
        <f>(AQ20-AK20)/(AQ9-AK9)</f>
        <v>0.18074759225708023</v>
      </c>
      <c r="AR55" s="578"/>
      <c r="AS55" s="563">
        <f>(AS20-AM20)/(AS9-AM9)</f>
        <v>0.30850672990214079</v>
      </c>
      <c r="AT55" s="559">
        <f>(AT20-AN20)/(AT9-AN9)</f>
        <v>0.3204269073851429</v>
      </c>
      <c r="AU55" s="559">
        <f>(AU20-AO20)/(AU9-AO9)</f>
        <v>0.4662763466042153</v>
      </c>
      <c r="AV55" s="559">
        <f>(AV20-AP20)/(AV9-AP9)</f>
        <v>0.47464674977809385</v>
      </c>
      <c r="AW55" s="570">
        <f>(AW20-AQ20)/(AW9-AQ9)</f>
        <v>0.40283747557817168</v>
      </c>
      <c r="AX55" s="578"/>
      <c r="AY55" s="563">
        <f>(AY20-AS20)/(AY9-AS9)</f>
        <v>0.5626400869388033</v>
      </c>
      <c r="AZ55" s="559">
        <f>(AZ20-AT20)/(AZ9-AT9)</f>
        <v>0.53140180808190751</v>
      </c>
      <c r="BA55" s="559">
        <f>(BA20-AU20)/(BA9-AU9)</f>
        <v>0.28421475854740685</v>
      </c>
      <c r="BB55" s="559">
        <f>(BB20-AV20)/(BB9-AV9)</f>
        <v>9.2132021372001827E-2</v>
      </c>
      <c r="BC55" s="570">
        <f>(BC20-AW20)/(BC9-AW9)</f>
        <v>0.39660550663497085</v>
      </c>
      <c r="BD55" s="578"/>
      <c r="BE55" s="563">
        <f>(BE20-AY20)/(BE9-AY9)</f>
        <v>-1.3034520151816362</v>
      </c>
      <c r="BF55" s="559">
        <f>(BF20-AZ20)/(BF9-AZ9)</f>
        <v>-8.2754420044115914E-2</v>
      </c>
      <c r="BG55" s="559">
        <f>(BG20-BA20)/(BG9-BA9)</f>
        <v>0.14934585355560323</v>
      </c>
      <c r="BH55" s="559">
        <f>(BH20-BB20)/(BH9-BB9)</f>
        <v>-0.22367711068743357</v>
      </c>
      <c r="BI55" s="570">
        <f>(BI20-BC20)/(BI9-BC9)</f>
        <v>-0.25767729871060013</v>
      </c>
      <c r="BJ55" s="578"/>
      <c r="BK55" s="563">
        <f>(BK20-BE20)/(BK9-BE9)</f>
        <v>-1.2026146281968271</v>
      </c>
      <c r="BL55" s="559">
        <f>(BL20-BF20)/(BL9-BF9)</f>
        <v>-0.2695580962168419</v>
      </c>
      <c r="BM55" s="559">
        <f>(BM20-BG20)/(BM9-BG9)</f>
        <v>0.16300614817379572</v>
      </c>
      <c r="BN55" s="559">
        <f>(BN20-BH20)/(BN9-BH9)</f>
        <v>0.55897898997808715</v>
      </c>
      <c r="BO55" s="570">
        <f>(BO20-BI20)/(BO9-BI9)</f>
        <v>0.16282330723976349</v>
      </c>
      <c r="BP55" s="578"/>
      <c r="BQ55" s="563">
        <f>(BQ20-BK20)/(BQ9-BK9)</f>
        <v>0.67934782608695654</v>
      </c>
      <c r="BR55" s="559">
        <f>(BR20-BL20)/(BR9-BL9)</f>
        <v>0.32204996438603001</v>
      </c>
      <c r="BS55" s="559">
        <f>(BS20-BM20)/(BS9-BM9)</f>
        <v>4.6079526257241758E-2</v>
      </c>
      <c r="BT55" s="559">
        <f>(BT20-BN20)/(BT9-BN9)</f>
        <v>-0.56748275912551482</v>
      </c>
      <c r="BU55" s="570">
        <f>(BU20-BO20)/(BU9-BO9)</f>
        <v>0.2893301920300706</v>
      </c>
      <c r="BV55" s="578"/>
      <c r="BW55" s="563">
        <f>(BW20-BQ20)/(BW9-BQ9)</f>
        <v>0.24368083819965983</v>
      </c>
      <c r="BX55" s="559">
        <f>(BX20-BR20)/(BX9-BR9)</f>
        <v>0.20037845759369421</v>
      </c>
      <c r="BY55" s="559">
        <f>(BY20-BS20)/(BY9-BS9)</f>
        <v>0.21051826131316539</v>
      </c>
      <c r="BZ55" s="559">
        <f>(BZ20-BT20)/(BZ9-BT9)</f>
        <v>0.20775835484998864</v>
      </c>
      <c r="CA55" s="570">
        <f>(CA20-BU20)/(CA9-BU9)</f>
        <v>0.21663385050781828</v>
      </c>
      <c r="CB55" s="578"/>
      <c r="CC55" s="563">
        <f t="shared" ref="CC55:CG55" si="183">(CC20-BW20)/(CC9-BW9)</f>
        <v>0.25890427201313687</v>
      </c>
      <c r="CD55" s="559">
        <f t="shared" si="183"/>
        <v>0.2116335917094577</v>
      </c>
      <c r="CE55" s="559">
        <f>(CE20-BY20)/(CE9-BY9)</f>
        <v>0.21891790221291321</v>
      </c>
      <c r="CF55" s="559">
        <f t="shared" si="183"/>
        <v>0.22145848182100275</v>
      </c>
      <c r="CG55" s="570">
        <f t="shared" si="183"/>
        <v>0.22754977390724013</v>
      </c>
      <c r="CH55" s="578"/>
      <c r="CI55" s="563">
        <f t="shared" ref="CI55" si="184">(CI20-CC20)/(CI9-CC9)</f>
        <v>0.25216468323540187</v>
      </c>
      <c r="CJ55" s="559">
        <f t="shared" ref="CJ55:CK55" si="185">(CJ20-CD20)/(CJ9-CD9)</f>
        <v>0.20835346902499133</v>
      </c>
      <c r="CK55" s="559">
        <f t="shared" si="185"/>
        <v>0.21442188719864905</v>
      </c>
      <c r="CL55" s="559">
        <f t="shared" ref="CL55" si="186">(CL20-CF20)/(CL9-CF9)</f>
        <v>0.21875779345917215</v>
      </c>
      <c r="CM55" s="570">
        <f t="shared" ref="CM55" si="187">(CM20-CG20)/(CM9-CG9)</f>
        <v>0.22334712911464344</v>
      </c>
      <c r="CN55" s="578"/>
      <c r="CO55" s="563">
        <f t="shared" ref="CO55" si="188">(CO20-CI20)/(CO9-CI9)</f>
        <v>0.2603400708806819</v>
      </c>
      <c r="CP55" s="559">
        <f t="shared" ref="CP55:CQ55" si="189">(CP20-CJ20)/(CP9-CJ9)</f>
        <v>0.22746597009472175</v>
      </c>
      <c r="CQ55" s="559">
        <f t="shared" si="189"/>
        <v>0.23558004367480126</v>
      </c>
      <c r="CR55" s="559">
        <f t="shared" ref="CR55" si="190">(CR20-CL20)/(CR9-CL9)</f>
        <v>0.23852213708116277</v>
      </c>
      <c r="CS55" s="570">
        <f t="shared" ref="CS55" si="191">(CS20-CM20)/(CS9-CM9)</f>
        <v>0.24014961277316205</v>
      </c>
      <c r="CT55" s="926"/>
      <c r="CU55" s="927"/>
      <c r="CV55" s="927"/>
      <c r="DC55" s="921"/>
      <c r="DD55" s="921"/>
      <c r="DE55" s="921"/>
      <c r="DF55" s="921"/>
      <c r="DG55" s="921"/>
      <c r="DH55" s="921"/>
      <c r="DI55" s="921"/>
      <c r="DJ55" s="921"/>
      <c r="DK55" s="921"/>
      <c r="DL55" s="921"/>
    </row>
    <row r="56" spans="1:116" collapsed="1">
      <c r="A56" s="927" t="s">
        <v>795</v>
      </c>
      <c r="B56" s="413"/>
      <c r="C56" s="574">
        <f>+C165</f>
        <v>0.1144421344421345</v>
      </c>
      <c r="D56" s="575">
        <f t="shared" ref="D56:G56" si="192">+D165</f>
        <v>0.15424380434139701</v>
      </c>
      <c r="E56" s="575">
        <f t="shared" si="192"/>
        <v>0.16790072813044815</v>
      </c>
      <c r="F56" s="576">
        <f t="shared" si="192"/>
        <v>0.19926467976270837</v>
      </c>
      <c r="G56" s="577">
        <f t="shared" si="192"/>
        <v>0.16386631370314536</v>
      </c>
      <c r="H56" s="413"/>
      <c r="I56" s="574">
        <f t="shared" ref="I56:AQ56" si="193">+I165</f>
        <v>0.17551964943665324</v>
      </c>
      <c r="J56" s="575">
        <f t="shared" si="193"/>
        <v>0.21835964530557792</v>
      </c>
      <c r="K56" s="575">
        <f t="shared" si="193"/>
        <v>0.19640622920271522</v>
      </c>
      <c r="L56" s="576">
        <f t="shared" si="193"/>
        <v>0.24635393687821197</v>
      </c>
      <c r="M56" s="577">
        <f t="shared" si="193"/>
        <v>0.21135679706921365</v>
      </c>
      <c r="N56" s="413"/>
      <c r="O56" s="574">
        <f t="shared" ref="O56" si="194">+O165</f>
        <v>0.23586937504901759</v>
      </c>
      <c r="P56" s="575">
        <f t="shared" si="193"/>
        <v>0.23936081364488412</v>
      </c>
      <c r="Q56" s="575">
        <f t="shared" si="193"/>
        <v>0.20973099267491804</v>
      </c>
      <c r="R56" s="576">
        <f t="shared" si="193"/>
        <v>0.21198023969340504</v>
      </c>
      <c r="S56" s="577">
        <f t="shared" si="193"/>
        <v>0.22403065175500211</v>
      </c>
      <c r="T56" s="413"/>
      <c r="U56" s="574">
        <f t="shared" ref="U56" si="195">+U165</f>
        <v>0.20268026640463888</v>
      </c>
      <c r="V56" s="575">
        <f t="shared" si="193"/>
        <v>0.24504587467005756</v>
      </c>
      <c r="W56" s="575">
        <f t="shared" si="193"/>
        <v>0.25607986137353395</v>
      </c>
      <c r="X56" s="576">
        <f t="shared" si="193"/>
        <v>0.23586325609644157</v>
      </c>
      <c r="Y56" s="577">
        <f t="shared" si="193"/>
        <v>0.23768504430673967</v>
      </c>
      <c r="Z56" s="413"/>
      <c r="AA56" s="574">
        <f t="shared" ref="AA56" si="196">+AA165</f>
        <v>0.26492516588581966</v>
      </c>
      <c r="AB56" s="575">
        <f t="shared" si="193"/>
        <v>0.2605134934875204</v>
      </c>
      <c r="AC56" s="575">
        <f t="shared" si="193"/>
        <v>0.17348828487935369</v>
      </c>
      <c r="AD56" s="576">
        <f t="shared" si="193"/>
        <v>0.25964930862778096</v>
      </c>
      <c r="AE56" s="577">
        <f t="shared" si="193"/>
        <v>0.241553942512132</v>
      </c>
      <c r="AF56" s="413"/>
      <c r="AG56" s="574">
        <f t="shared" ref="AG56" si="197">+AG165</f>
        <v>0.2675332102853325</v>
      </c>
      <c r="AH56" s="575">
        <f t="shared" si="193"/>
        <v>0.28994607986970655</v>
      </c>
      <c r="AI56" s="575">
        <f t="shared" si="193"/>
        <v>0.27764482515430039</v>
      </c>
      <c r="AJ56" s="576">
        <f t="shared" si="193"/>
        <v>0.2557643586504208</v>
      </c>
      <c r="AK56" s="577">
        <f t="shared" si="193"/>
        <v>0.27290903437418645</v>
      </c>
      <c r="AL56" s="413"/>
      <c r="AM56" s="574">
        <f t="shared" ref="AM56:CG56" si="198">+AM165</f>
        <v>0.28862870380899408</v>
      </c>
      <c r="AN56" s="575">
        <f t="shared" si="193"/>
        <v>0.28146895385885845</v>
      </c>
      <c r="AO56" s="575">
        <f t="shared" si="193"/>
        <v>0.26186216444630978</v>
      </c>
      <c r="AP56" s="576">
        <f t="shared" si="193"/>
        <v>0.27150045287507535</v>
      </c>
      <c r="AQ56" s="577">
        <f t="shared" si="193"/>
        <v>0.27729776970109787</v>
      </c>
      <c r="AR56" s="413"/>
      <c r="AS56" s="574">
        <f t="shared" si="198"/>
        <v>0.27199239717611567</v>
      </c>
      <c r="AT56" s="575">
        <f t="shared" si="198"/>
        <v>0.26534198468402886</v>
      </c>
      <c r="AU56" s="575">
        <f t="shared" si="198"/>
        <v>0.30343799075121142</v>
      </c>
      <c r="AV56" s="576">
        <f t="shared" si="198"/>
        <v>0.30524820572790362</v>
      </c>
      <c r="AW56" s="577">
        <f t="shared" si="198"/>
        <v>0.28762089741246688</v>
      </c>
      <c r="AX56" s="413"/>
      <c r="AY56" s="574">
        <f t="shared" si="198"/>
        <v>0.34561606305645559</v>
      </c>
      <c r="AZ56" s="575">
        <f t="shared" si="198"/>
        <v>0.32287812406141875</v>
      </c>
      <c r="BA56" s="575">
        <f t="shared" si="198"/>
        <v>0.31616341766147948</v>
      </c>
      <c r="BB56" s="576">
        <f t="shared" si="198"/>
        <v>0.28759455462616729</v>
      </c>
      <c r="BC56" s="577">
        <f t="shared" si="198"/>
        <v>0.31732754024981047</v>
      </c>
      <c r="BD56" s="413"/>
      <c r="BE56" s="574">
        <f t="shared" si="198"/>
        <v>0.25665378837035641</v>
      </c>
      <c r="BF56" s="575">
        <f t="shared" si="198"/>
        <v>0.29642668914915493</v>
      </c>
      <c r="BG56" s="575">
        <f t="shared" si="198"/>
        <v>0.3256667381359884</v>
      </c>
      <c r="BH56" s="576">
        <f t="shared" si="198"/>
        <v>0.28335889414933679</v>
      </c>
      <c r="BI56" s="577">
        <f t="shared" si="198"/>
        <v>0.29097240885333636</v>
      </c>
      <c r="BJ56" s="413"/>
      <c r="BK56" s="574">
        <f t="shared" si="198"/>
        <v>0.23564101885943051</v>
      </c>
      <c r="BL56" s="1494">
        <f t="shared" ref="BL56:BM56" si="199">+BL165</f>
        <v>0.26211259963768113</v>
      </c>
      <c r="BM56" s="575">
        <f t="shared" si="199"/>
        <v>0.28984918266863613</v>
      </c>
      <c r="BN56" s="576">
        <f t="shared" si="198"/>
        <v>0.32716213853205101</v>
      </c>
      <c r="BO56" s="577">
        <f t="shared" si="198"/>
        <v>0.2796976231929813</v>
      </c>
      <c r="BP56" s="413"/>
      <c r="BQ56" s="574">
        <f t="shared" ref="BQ56" si="200">+BQ165</f>
        <v>0.29383631713554986</v>
      </c>
      <c r="BR56" s="575">
        <f t="shared" si="198"/>
        <v>0.24371917424909684</v>
      </c>
      <c r="BS56" s="575">
        <f t="shared" si="198"/>
        <v>0.25241195324989757</v>
      </c>
      <c r="BT56" s="576">
        <f t="shared" si="198"/>
        <v>0.25715521947498921</v>
      </c>
      <c r="BU56" s="577">
        <f t="shared" si="198"/>
        <v>0.26381022810964927</v>
      </c>
      <c r="BV56" s="413"/>
      <c r="BW56" s="574">
        <f t="shared" si="198"/>
        <v>0.30377457122892976</v>
      </c>
      <c r="BX56" s="575">
        <f t="shared" si="198"/>
        <v>0.24927068517539236</v>
      </c>
      <c r="BY56" s="575">
        <f t="shared" si="198"/>
        <v>0.25499865919116627</v>
      </c>
      <c r="BZ56" s="576">
        <f t="shared" si="198"/>
        <v>0.25896858370995934</v>
      </c>
      <c r="CA56" s="577">
        <f t="shared" si="198"/>
        <v>0.26663471525502619</v>
      </c>
      <c r="CB56" s="413"/>
      <c r="CC56" s="574">
        <f t="shared" si="198"/>
        <v>0.29963796009889521</v>
      </c>
      <c r="CD56" s="575">
        <f t="shared" si="198"/>
        <v>0.24577043414373742</v>
      </c>
      <c r="CE56" s="575">
        <f>+CE165</f>
        <v>0.25165207497298336</v>
      </c>
      <c r="CF56" s="576">
        <f t="shared" si="198"/>
        <v>0.25544252390834826</v>
      </c>
      <c r="CG56" s="577">
        <f t="shared" si="198"/>
        <v>0.26299984281213473</v>
      </c>
      <c r="CH56" s="413"/>
      <c r="CI56" s="574">
        <f t="shared" ref="CI56:CM56" si="201">+CI165</f>
        <v>0.29515300490342022</v>
      </c>
      <c r="CJ56" s="575">
        <f t="shared" si="201"/>
        <v>0.24224159825946359</v>
      </c>
      <c r="CK56" s="575">
        <f t="shared" si="201"/>
        <v>0.24815976345182447</v>
      </c>
      <c r="CL56" s="576">
        <f t="shared" si="201"/>
        <v>0.25191984327114719</v>
      </c>
      <c r="CM56" s="577">
        <f t="shared" si="201"/>
        <v>0.25924591661405844</v>
      </c>
      <c r="CN56" s="413"/>
      <c r="CO56" s="574">
        <f t="shared" ref="CO56:CS56" si="202">+CO165</f>
        <v>0.29199932277279583</v>
      </c>
      <c r="CP56" s="575">
        <f t="shared" si="202"/>
        <v>0.24084443719093385</v>
      </c>
      <c r="CQ56" s="575">
        <f t="shared" si="202"/>
        <v>0.24692898009790981</v>
      </c>
      <c r="CR56" s="576">
        <f t="shared" si="202"/>
        <v>0.2505948999334553</v>
      </c>
      <c r="CS56" s="577">
        <f t="shared" si="202"/>
        <v>0.25742154886166352</v>
      </c>
      <c r="CT56" s="926"/>
      <c r="CU56" s="927"/>
      <c r="CV56" s="927"/>
      <c r="DC56" s="921"/>
      <c r="DD56" s="921"/>
      <c r="DE56" s="921"/>
      <c r="DF56" s="921"/>
      <c r="DG56" s="921"/>
      <c r="DH56" s="921"/>
      <c r="DI56" s="921"/>
      <c r="DJ56" s="921"/>
      <c r="DK56" s="921"/>
      <c r="DL56" s="921"/>
    </row>
    <row r="57" spans="1:116">
      <c r="A57" s="2020" t="s">
        <v>796</v>
      </c>
      <c r="B57" s="581"/>
      <c r="C57" s="546">
        <f>IF(C28/C27&gt;0, C28/C27,0)</f>
        <v>0.54066854904818262</v>
      </c>
      <c r="D57" s="547">
        <f>IF(D28/D27&gt;0, D28/D27,0)</f>
        <v>0.41086984787413877</v>
      </c>
      <c r="E57" s="547">
        <f>IF(E28/E27&gt;0, E28/E27,0)</f>
        <v>0.44796068796068789</v>
      </c>
      <c r="F57" s="548">
        <f>IF(F28/F27&gt;0, F28/F27,0)</f>
        <v>0.50184030064701046</v>
      </c>
      <c r="G57" s="557">
        <f>IF(G28/G27&gt;0, G28/G27,0)</f>
        <v>0.47330465238134617</v>
      </c>
      <c r="H57" s="555"/>
      <c r="I57" s="546">
        <f>IF(I28/I27&gt;0, I28/I27,0)</f>
        <v>0.53430253514357806</v>
      </c>
      <c r="J57" s="547">
        <f>IF(J28/J27&gt;0, J28/J27,0)</f>
        <v>0.51728744552943817</v>
      </c>
      <c r="K57" s="547">
        <f>IF(K28/K27&gt;0, K28/K27,0)</f>
        <v>0.50244070342324332</v>
      </c>
      <c r="L57" s="548">
        <f>IF(L28/L27&gt;0, L28/L27,0)</f>
        <v>0.36139506915213443</v>
      </c>
      <c r="M57" s="557">
        <f>IF(M28/M27&gt;0, M28/M27,0)</f>
        <v>0.46569253214188011</v>
      </c>
      <c r="N57" s="582"/>
      <c r="O57" s="546">
        <f>IF(O28/O27&gt;0, O28/O27,0)</f>
        <v>0.32904911456546404</v>
      </c>
      <c r="P57" s="547">
        <f>IF(P28/P27&gt;0, P28/P27,0)</f>
        <v>0.31163559122020296</v>
      </c>
      <c r="Q57" s="547">
        <f>IF(Q28/Q27&gt;0, Q28/Q27,0)</f>
        <v>0.37721525975818448</v>
      </c>
      <c r="R57" s="548">
        <f>IF(R28/R27&gt;0, R28/R27,0)</f>
        <v>0.32785335886785905</v>
      </c>
      <c r="S57" s="557">
        <f>IF(S28/S27&gt;0, S28/S27,0)</f>
        <v>0.3351691832488799</v>
      </c>
      <c r="T57" s="582"/>
      <c r="U57" s="546">
        <f>IF(U28/U27&gt;0, U28/U27,0)</f>
        <v>0.35153216945427901</v>
      </c>
      <c r="V57" s="547">
        <f>IF(V28/V27&gt;0, V28/V27,0)</f>
        <v>0.35953935607699983</v>
      </c>
      <c r="W57" s="547">
        <f>IF(W28/W27&gt;0, W28/W27,0)</f>
        <v>0.3551961001551075</v>
      </c>
      <c r="X57" s="548">
        <f>IF(X28/X27&gt;0, X28/X27,0)</f>
        <v>0.34330037778313655</v>
      </c>
      <c r="Y57" s="557">
        <f>IF(Y28/Y27&gt;0, Y28/Y27,0)</f>
        <v>0.35219263275394669</v>
      </c>
      <c r="Z57" s="555"/>
      <c r="AA57" s="546">
        <f>IF(AA28/AA27&gt;0, AA28/AA27,0)</f>
        <v>0.35212084498691798</v>
      </c>
      <c r="AB57" s="547">
        <f>IF(AB28/AB27&gt;0, AB28/AB27,0)</f>
        <v>0.34633441675695203</v>
      </c>
      <c r="AC57" s="547">
        <f>IF(AC28/AC27&gt;0, AC28/AC27,0)</f>
        <v>0.34449074992833678</v>
      </c>
      <c r="AD57" s="548">
        <f>IF(AD28/AD27&gt;0, AD28/AD27,0)</f>
        <v>0.35271196775680796</v>
      </c>
      <c r="AE57" s="557">
        <f>IF(AE28/AE27&gt;0, AE28/AE27,0)</f>
        <v>0.34927055065476703</v>
      </c>
      <c r="AF57" s="554"/>
      <c r="AG57" s="546">
        <f>IF(AG28/AG27&gt;0, AG28/AG27,0)</f>
        <v>0.33970228838035993</v>
      </c>
      <c r="AH57" s="547">
        <f>IF(AH28/AH27&gt;0, AH28/AH27,0)</f>
        <v>0.33832154454149593</v>
      </c>
      <c r="AI57" s="547">
        <f>IF(AI28/AI27&gt;0, AI28/AI27,0)</f>
        <v>0.33897132408356895</v>
      </c>
      <c r="AJ57" s="548">
        <f>IF(AJ28/AJ27&gt;0, AJ28/AJ27,0)</f>
        <v>0.28855042148377313</v>
      </c>
      <c r="AK57" s="557">
        <f>IF(AK28/AK27&gt;0, AK28/AK27,0)</f>
        <v>0.32608263996976738</v>
      </c>
      <c r="AL57" s="555"/>
      <c r="AM57" s="546">
        <f>IF(AM28/AM27&gt;0, AM28/AM27,0)</f>
        <v>0.27497452760281571</v>
      </c>
      <c r="AN57" s="547">
        <f>IF(AN28/AN27&gt;0, AN28/AN27,0)</f>
        <v>0.30702793062617534</v>
      </c>
      <c r="AO57" s="547">
        <f>IF(AO28/AO27&gt;0, AO28/AO27,0)</f>
        <v>0.29391276992562287</v>
      </c>
      <c r="AP57" s="548">
        <f>IF(AP28/AP27&gt;0, AP28/AP27,0)</f>
        <v>0.32594179424212333</v>
      </c>
      <c r="AQ57" s="557">
        <f>IF(AQ28/AQ27&gt;0, AQ28/AQ27,0)</f>
        <v>0.30107695451707805</v>
      </c>
      <c r="AR57" s="555"/>
      <c r="AS57" s="546">
        <f>IF(AS28/AS27&gt;0, AS28/AS27,0)</f>
        <v>0.29948629987135617</v>
      </c>
      <c r="AT57" s="547">
        <f>IF(AT28/AT27&gt;0, AT28/AT27,0)</f>
        <v>0.29791791193464834</v>
      </c>
      <c r="AU57" s="547">
        <f>IF(AU28/AU27&gt;0, AU28/AU27,0)</f>
        <v>0.2125505792361842</v>
      </c>
      <c r="AV57" s="547">
        <f>IF(AV28/AV27&gt;0, AV28/AV27,0)</f>
        <v>0.16160722993400733</v>
      </c>
      <c r="AW57" s="557">
        <f>IF(AW28/AW27&gt;0, AW28/AW27,0)</f>
        <v>0.23578702018173714</v>
      </c>
      <c r="AX57" s="555"/>
      <c r="AY57" s="546">
        <f>IF(AY28/AY27&gt;0, AY28/AY27,0)</f>
        <v>0.24518960028101314</v>
      </c>
      <c r="AZ57" s="547">
        <f>IF(AZ28/AZ27&gt;0, AZ28/AZ27,0)</f>
        <v>0.28857460481651254</v>
      </c>
      <c r="BA57" s="559">
        <f>IF(BA28/BA27&gt;0, BA28/BA27,0)</f>
        <v>0.28603675053075966</v>
      </c>
      <c r="BB57" s="547">
        <f>IF(BB28/BB27&gt;0, BB28/BB27,0)</f>
        <v>0.2645171262520094</v>
      </c>
      <c r="BC57" s="557">
        <f>IF(BC28/BC27&gt;0, BC28/BC27,0)</f>
        <v>0.27061881702860885</v>
      </c>
      <c r="BD57" s="578"/>
      <c r="BE57" s="546">
        <f>IF(BE28/BE27&gt;0, BE28/BE27,0)</f>
        <v>0.25482845792704928</v>
      </c>
      <c r="BF57" s="564">
        <f>IF(BF28/BF27&gt;0, BF28/BF27,0)</f>
        <v>0.25739225839899205</v>
      </c>
      <c r="BG57" s="564">
        <f>IF(BG28/BG27&gt;0, BG28/BG27,0)</f>
        <v>0.24601475951577825</v>
      </c>
      <c r="BH57" s="547">
        <f>IF(BH28/BH27&gt;0, BH28/BH27,0)</f>
        <v>0.28542159691380026</v>
      </c>
      <c r="BI57" s="2342">
        <f>IF(BI28/BI27&gt;0, BI28/BI27,0)</f>
        <v>0.26050803358278996</v>
      </c>
      <c r="BJ57" s="555"/>
      <c r="BK57" s="546">
        <f>IF(BK28/BK27&gt;0, BK28/BK27,0)</f>
        <v>0.25</v>
      </c>
      <c r="BL57" s="559">
        <f>IF(BL28/BL27&gt;0, BL28/BL27,0)</f>
        <v>0.25</v>
      </c>
      <c r="BM57" s="564">
        <f>IF(BM28/BM27&gt;0, BM28/BM27,0)</f>
        <v>0.21631898057753571</v>
      </c>
      <c r="BN57" s="2958">
        <f>IF(BN28/BN27&gt;0, BN28/BN27,0)</f>
        <v>0.1795871932390703</v>
      </c>
      <c r="BO57" s="2342">
        <f>IF(BO28/BO27&gt;0, BO28/BO27,0)</f>
        <v>0.21587564648398427</v>
      </c>
      <c r="BP57" s="555"/>
      <c r="BQ57" s="546">
        <f>IF(BQ28/BQ27&gt;0, BQ28/BQ27,0)</f>
        <v>0.12875536480686695</v>
      </c>
      <c r="BR57" s="2475">
        <v>0.2</v>
      </c>
      <c r="BS57" s="564">
        <f>BR57</f>
        <v>0.2</v>
      </c>
      <c r="BT57" s="565">
        <f>BS57</f>
        <v>0.2</v>
      </c>
      <c r="BU57" s="2342">
        <f>IF(BU28/BU27&gt;0, BU28/BU27,0)</f>
        <v>0.18020940349842698</v>
      </c>
      <c r="BV57" s="555"/>
      <c r="BW57" s="2524">
        <v>0.2</v>
      </c>
      <c r="BX57" s="564">
        <f t="shared" ref="BX57:BZ57" si="203">BW57</f>
        <v>0.2</v>
      </c>
      <c r="BY57" s="564">
        <f t="shared" si="203"/>
        <v>0.2</v>
      </c>
      <c r="BZ57" s="565">
        <f t="shared" si="203"/>
        <v>0.2</v>
      </c>
      <c r="CA57" s="2342">
        <f t="shared" ref="CA57" si="204">IF(CA28/CA27&gt;0, CA28/CA27,0)</f>
        <v>0.19999999999999993</v>
      </c>
      <c r="CB57" s="555"/>
      <c r="CC57" s="2524">
        <f>+BZ57</f>
        <v>0.2</v>
      </c>
      <c r="CD57" s="564">
        <f t="shared" ref="CD57" si="205">CC57</f>
        <v>0.2</v>
      </c>
      <c r="CE57" s="564">
        <f t="shared" ref="CE57" si="206">CD57</f>
        <v>0.2</v>
      </c>
      <c r="CF57" s="565">
        <f t="shared" ref="CF57" si="207">CE57</f>
        <v>0.2</v>
      </c>
      <c r="CG57" s="2342">
        <f t="shared" ref="CG57" si="208">IF(CG28/CG27&gt;0, CG28/CG27,0)</f>
        <v>0.19999999999999998</v>
      </c>
      <c r="CH57" s="555"/>
      <c r="CI57" s="2524">
        <f t="shared" ref="CI57" si="209">+CF57</f>
        <v>0.2</v>
      </c>
      <c r="CJ57" s="564">
        <f t="shared" ref="CJ57" si="210">CI57</f>
        <v>0.2</v>
      </c>
      <c r="CK57" s="564">
        <f t="shared" ref="CK57" si="211">CJ57</f>
        <v>0.2</v>
      </c>
      <c r="CL57" s="565">
        <f t="shared" ref="CL57" si="212">CK57</f>
        <v>0.2</v>
      </c>
      <c r="CM57" s="2342">
        <f t="shared" ref="CM57:CS57" si="213">IF(CM28/CM27&gt;0, CM28/CM27,0)</f>
        <v>0.19999999999999996</v>
      </c>
      <c r="CN57" s="555"/>
      <c r="CO57" s="2524">
        <f t="shared" ref="CO57" si="214">+CL57</f>
        <v>0.2</v>
      </c>
      <c r="CP57" s="564">
        <f t="shared" ref="CP57" si="215">CO57</f>
        <v>0.2</v>
      </c>
      <c r="CQ57" s="564">
        <f t="shared" ref="CQ57" si="216">CP57</f>
        <v>0.2</v>
      </c>
      <c r="CR57" s="565">
        <f t="shared" ref="CR57" si="217">CQ57</f>
        <v>0.2</v>
      </c>
      <c r="CS57" s="2342">
        <f t="shared" si="213"/>
        <v>0.20000000000000007</v>
      </c>
      <c r="CT57" s="1592"/>
      <c r="CU57" s="400"/>
      <c r="CV57" s="400"/>
      <c r="DC57" s="921"/>
      <c r="DH57" s="921"/>
      <c r="DI57" s="921"/>
      <c r="DJ57" s="921"/>
      <c r="DK57" s="921"/>
      <c r="DL57" s="921"/>
    </row>
    <row r="58" spans="1:116">
      <c r="A58" s="583" t="s">
        <v>374</v>
      </c>
      <c r="B58" s="583"/>
      <c r="C58" s="861">
        <f>+C30/C9</f>
        <v>6.9896049896049958E-2</v>
      </c>
      <c r="D58" s="862">
        <f>+D30/D9</f>
        <v>0.10719820192819536</v>
      </c>
      <c r="E58" s="862">
        <f>+E30/E9</f>
        <v>0.11520869654394422</v>
      </c>
      <c r="F58" s="863">
        <f>+F30/F9</f>
        <v>0.1141877730808854</v>
      </c>
      <c r="G58" s="864">
        <f>+G30/G9</f>
        <v>0.10413605271552</v>
      </c>
      <c r="H58" s="862"/>
      <c r="I58" s="861">
        <f>+I30/I9</f>
        <v>9.5420191857936501E-2</v>
      </c>
      <c r="J58" s="862">
        <f>+J30/J9</f>
        <v>0.10826312447833804</v>
      </c>
      <c r="K58" s="862">
        <f>+K30/K9</f>
        <v>0.10582323971782236</v>
      </c>
      <c r="L58" s="863">
        <f>+L30/L9</f>
        <v>0.17158090314241878</v>
      </c>
      <c r="M58" s="864">
        <f>+M30/M9</f>
        <v>0.12266910898861705</v>
      </c>
      <c r="N58" s="862"/>
      <c r="O58" s="861">
        <f>+O30/O9</f>
        <v>0.15337512141267037</v>
      </c>
      <c r="P58" s="862">
        <f>+P30/P9</f>
        <v>0.18043466156901322</v>
      </c>
      <c r="Q58" s="862">
        <f>+Q30/Q9</f>
        <v>0.14246653195251338</v>
      </c>
      <c r="R58" s="863">
        <f>+R30/R9</f>
        <v>0.14966992312974892</v>
      </c>
      <c r="S58" s="864">
        <f>+S30/S9</f>
        <v>0.15634286023015834</v>
      </c>
      <c r="T58" s="862"/>
      <c r="U58" s="861">
        <f>+U30/U9</f>
        <v>0.13822860444176116</v>
      </c>
      <c r="V58" s="862">
        <f>+V30/V9</f>
        <v>0.16054489794955729</v>
      </c>
      <c r="W58" s="862">
        <f>+W30/W9</f>
        <v>0.17167490487086454</v>
      </c>
      <c r="X58" s="863">
        <f>+X30/X9</f>
        <v>0.15633491262849306</v>
      </c>
      <c r="Y58" s="864">
        <f>+Y30/Y9</f>
        <v>0.15750253948807025</v>
      </c>
      <c r="Z58" s="862"/>
      <c r="AA58" s="861">
        <f>+AA30/AA9</f>
        <v>0.17792683574323484</v>
      </c>
      <c r="AB58" s="862">
        <f>+AB30/AB9</f>
        <v>0.1826056705514002</v>
      </c>
      <c r="AC58" s="862">
        <f>+AC30/AC9</f>
        <v>0.12623408167338288</v>
      </c>
      <c r="AD58" s="863">
        <f>+AD30/AD9</f>
        <v>0.1740425719095775</v>
      </c>
      <c r="AE58" s="864">
        <f>+AE30/AE9</f>
        <v>0.16674766824406562</v>
      </c>
      <c r="AF58" s="862"/>
      <c r="AG58" s="861">
        <f>+AG30/AG9</f>
        <v>0.17433002162994463</v>
      </c>
      <c r="AH58" s="862">
        <f>+AH30/AH9</f>
        <v>0.18735455637243531</v>
      </c>
      <c r="AI58" s="862">
        <f>+AI30/AI9</f>
        <v>0.1871558798631566</v>
      </c>
      <c r="AJ58" s="863">
        <f>+AJ30/AJ9</f>
        <v>0.18366126137778288</v>
      </c>
      <c r="AK58" s="864">
        <f>+AK30/AK9</f>
        <v>0.18321729954132121</v>
      </c>
      <c r="AL58" s="862"/>
      <c r="AM58" s="861">
        <f>+AM30/AM9</f>
        <v>0.18920527680249466</v>
      </c>
      <c r="AN58" s="862">
        <f>+AN30/AN9</f>
        <v>0.17247915306246284</v>
      </c>
      <c r="AO58" s="862">
        <f>+AO30/AO9</f>
        <v>0.17613789237668173</v>
      </c>
      <c r="AP58" s="863">
        <f>+AP30/AP9</f>
        <v>0.16653671584143592</v>
      </c>
      <c r="AQ58" s="864">
        <f>+AQ30/AQ9</f>
        <v>0.17567327949067613</v>
      </c>
      <c r="AR58" s="862"/>
      <c r="AS58" s="861">
        <f>+AS30/AS9</f>
        <v>0.1902343499350018</v>
      </c>
      <c r="AT58" s="1494">
        <f>+AT30/AT9</f>
        <v>0.18895452758016659</v>
      </c>
      <c r="AU58" s="1494">
        <f>+AU30/AU9</f>
        <v>0.23646255955724788</v>
      </c>
      <c r="AV58" s="1494">
        <f>+AV30/AV9</f>
        <v>0.25166722289555193</v>
      </c>
      <c r="AW58" s="864">
        <f>+AW30/AW9</f>
        <v>0.21877414231974704</v>
      </c>
      <c r="AX58" s="862"/>
      <c r="AY58" s="861">
        <f>+AY30/AY9</f>
        <v>0.25136427357886243</v>
      </c>
      <c r="AZ58" s="862">
        <f>+AZ30/AZ9</f>
        <v>0.22186852263162368</v>
      </c>
      <c r="BA58" s="862">
        <f>+BA30/BA9</f>
        <v>0.21732201042758928</v>
      </c>
      <c r="BB58" s="1494">
        <f>+BB30/BB9</f>
        <v>0.20382116075111403</v>
      </c>
      <c r="BC58" s="864">
        <f>+BC30/BC9</f>
        <v>0.22308833109135112</v>
      </c>
      <c r="BD58" s="862"/>
      <c r="BE58" s="861">
        <f>+BE30/BE9</f>
        <v>0.18458172354629468</v>
      </c>
      <c r="BF58" s="862">
        <f>+BF30/BF9</f>
        <v>0.21196286100872486</v>
      </c>
      <c r="BG58" s="862">
        <f>+BG30/BG9</f>
        <v>0.23727350738463518</v>
      </c>
      <c r="BH58" s="1494">
        <f>+BH30/BH9</f>
        <v>0.20413919822006088</v>
      </c>
      <c r="BI58" s="864">
        <f>+BI30/BI9</f>
        <v>0.20982224199488583</v>
      </c>
      <c r="BJ58" s="862"/>
      <c r="BK58" s="861">
        <f>+BK30/BK9</f>
        <v>0.15719063545150502</v>
      </c>
      <c r="BL58" s="862">
        <f>+BL30/BL9</f>
        <v>0.18312198067632851</v>
      </c>
      <c r="BM58" s="862">
        <f>+BM30/BM9</f>
        <v>0.22887955182072831</v>
      </c>
      <c r="BN58" s="863">
        <f>+BN30/BN9</f>
        <v>0.27275298958467287</v>
      </c>
      <c r="BO58" s="864">
        <f>+BO30/BO9</f>
        <v>0.21468696631663101</v>
      </c>
      <c r="BP58" s="862"/>
      <c r="BQ58" s="861">
        <f>+BQ30/BQ9</f>
        <v>0.27365728900255754</v>
      </c>
      <c r="BR58" s="862">
        <f>+BR30/BR9</f>
        <v>0.20909023738192509</v>
      </c>
      <c r="BS58" s="862">
        <f>+BS30/BS9</f>
        <v>0.21403045174507312</v>
      </c>
      <c r="BT58" s="863">
        <f>+BT30/BT9</f>
        <v>0.21816278749061474</v>
      </c>
      <c r="BU58" s="864">
        <f>+BU30/BU9</f>
        <v>0.22838397282686157</v>
      </c>
      <c r="BV58" s="862"/>
      <c r="BW58" s="861">
        <f>+BW30/BW9</f>
        <v>0.25079752299710029</v>
      </c>
      <c r="BX58" s="862">
        <f>+BX30/BX9</f>
        <v>0.20785255970017333</v>
      </c>
      <c r="BY58" s="862">
        <f>+BY30/BY9</f>
        <v>0.21348463804485243</v>
      </c>
      <c r="BZ58" s="863">
        <f>+BZ30/BZ9</f>
        <v>0.21723990029291493</v>
      </c>
      <c r="CA58" s="864">
        <f>+CA30/CA9</f>
        <v>0.22226504880063785</v>
      </c>
      <c r="CB58" s="862"/>
      <c r="CC58" s="861">
        <f>+CC30/CC9</f>
        <v>0.25026366629416991</v>
      </c>
      <c r="CD58" s="862">
        <f>+CD30/CD9</f>
        <v>0.26780076300584199</v>
      </c>
      <c r="CE58" s="862">
        <f>+CE30/CE9</f>
        <v>0.27944422068627656</v>
      </c>
      <c r="CF58" s="863">
        <f>+CF30/CF9</f>
        <v>0.28453111882888088</v>
      </c>
      <c r="CG58" s="864">
        <f>+CG30/CG9</f>
        <v>0.27072213692574143</v>
      </c>
      <c r="CH58" s="862"/>
      <c r="CI58" s="861">
        <f t="shared" ref="CI58:CM58" si="218">+CI30/CI9</f>
        <v>0.31770986565682285</v>
      </c>
      <c r="CJ58" s="862">
        <f t="shared" si="218"/>
        <v>0.21469978291286954</v>
      </c>
      <c r="CK58" s="862">
        <f t="shared" si="218"/>
        <v>0.22110195620321188</v>
      </c>
      <c r="CL58" s="863">
        <f t="shared" si="218"/>
        <v>0.22466520308038049</v>
      </c>
      <c r="CM58" s="864">
        <f t="shared" si="218"/>
        <v>0.24422574823807278</v>
      </c>
      <c r="CN58" s="862"/>
      <c r="CO58" s="861">
        <f t="shared" ref="CO58:CS58" si="219">+CO30/CO9</f>
        <v>0.25730030348603805</v>
      </c>
      <c r="CP58" s="862">
        <f t="shared" si="219"/>
        <v>0.21759605272768859</v>
      </c>
      <c r="CQ58" s="862">
        <f t="shared" si="219"/>
        <v>0.22419431686300717</v>
      </c>
      <c r="CR58" s="863">
        <f t="shared" si="219"/>
        <v>0.22769464773554846</v>
      </c>
      <c r="CS58" s="864">
        <f t="shared" si="219"/>
        <v>0.23158991323084333</v>
      </c>
      <c r="CT58" s="931"/>
      <c r="CU58" s="545"/>
      <c r="CV58" s="545"/>
      <c r="DC58" s="921"/>
      <c r="DD58" s="921"/>
      <c r="DE58" s="921"/>
      <c r="DF58" s="921"/>
      <c r="DG58" s="921"/>
      <c r="DH58" s="921"/>
      <c r="DI58" s="921"/>
      <c r="DJ58" s="921"/>
      <c r="DK58" s="921"/>
      <c r="DL58" s="921"/>
    </row>
    <row r="59" spans="1:116">
      <c r="A59" s="584" t="s">
        <v>253</v>
      </c>
      <c r="B59" s="585"/>
      <c r="C59" s="586"/>
      <c r="D59" s="587"/>
      <c r="E59" s="587"/>
      <c r="F59" s="588"/>
      <c r="G59" s="589"/>
      <c r="H59" s="585"/>
      <c r="I59" s="590"/>
      <c r="J59" s="591"/>
      <c r="K59" s="591"/>
      <c r="L59" s="592"/>
      <c r="M59" s="593"/>
      <c r="N59" s="594"/>
      <c r="O59" s="595"/>
      <c r="P59" s="596"/>
      <c r="Q59" s="596"/>
      <c r="R59" s="597"/>
      <c r="S59" s="598"/>
      <c r="T59" s="585"/>
      <c r="U59" s="590"/>
      <c r="V59" s="591"/>
      <c r="W59" s="591"/>
      <c r="X59" s="592"/>
      <c r="Y59" s="599"/>
      <c r="Z59" s="585"/>
      <c r="AA59" s="590"/>
      <c r="AB59" s="591"/>
      <c r="AC59" s="591"/>
      <c r="AD59" s="592"/>
      <c r="AE59" s="599"/>
      <c r="AF59" s="585"/>
      <c r="AG59" s="590"/>
      <c r="AH59" s="591"/>
      <c r="AI59" s="591"/>
      <c r="AJ59" s="592"/>
      <c r="AK59" s="599"/>
      <c r="AL59" s="585"/>
      <c r="AM59" s="590"/>
      <c r="AN59" s="591"/>
      <c r="AO59" s="591"/>
      <c r="AP59" s="592"/>
      <c r="AQ59" s="599"/>
      <c r="AR59" s="585"/>
      <c r="AS59" s="590"/>
      <c r="AT59" s="591"/>
      <c r="AU59" s="591"/>
      <c r="AV59" s="591"/>
      <c r="AW59" s="599"/>
      <c r="AX59" s="585"/>
      <c r="AY59" s="590"/>
      <c r="AZ59" s="591"/>
      <c r="BA59" s="591"/>
      <c r="BB59" s="592"/>
      <c r="BC59" s="599"/>
      <c r="BD59" s="585"/>
      <c r="BE59" s="590"/>
      <c r="BF59" s="591"/>
      <c r="BG59" s="591"/>
      <c r="BH59" s="592"/>
      <c r="BI59" s="599"/>
      <c r="BJ59" s="585"/>
      <c r="BK59" s="590"/>
      <c r="BL59" s="591"/>
      <c r="BM59" s="591"/>
      <c r="BN59" s="592"/>
      <c r="BO59" s="599"/>
      <c r="BP59" s="585"/>
      <c r="BQ59" s="590"/>
      <c r="BR59" s="591"/>
      <c r="BS59" s="591"/>
      <c r="BT59" s="592"/>
      <c r="BU59" s="599"/>
      <c r="BV59" s="585"/>
      <c r="BW59" s="590"/>
      <c r="BX59" s="591"/>
      <c r="BY59" s="591"/>
      <c r="BZ59" s="592"/>
      <c r="CA59" s="599"/>
      <c r="CB59" s="585"/>
      <c r="CC59" s="590"/>
      <c r="CD59" s="591"/>
      <c r="CE59" s="591"/>
      <c r="CF59" s="592"/>
      <c r="CG59" s="599"/>
      <c r="CH59" s="585"/>
      <c r="CI59" s="590"/>
      <c r="CJ59" s="591"/>
      <c r="CK59" s="591"/>
      <c r="CL59" s="592"/>
      <c r="CM59" s="599"/>
      <c r="CN59" s="585"/>
      <c r="CO59" s="590"/>
      <c r="CP59" s="591"/>
      <c r="CQ59" s="591"/>
      <c r="CR59" s="592"/>
      <c r="CS59" s="599"/>
      <c r="CT59" s="416"/>
      <c r="CU59" s="400"/>
      <c r="CV59" s="400"/>
      <c r="DC59" s="921"/>
      <c r="DD59" s="1599"/>
      <c r="DE59" s="1599"/>
      <c r="DF59" s="1599"/>
      <c r="DG59" s="1599"/>
      <c r="DH59" s="921"/>
      <c r="DI59" s="921"/>
      <c r="DJ59" s="921"/>
      <c r="DK59" s="921"/>
      <c r="DL59" s="921"/>
    </row>
    <row r="60" spans="1:116">
      <c r="A60" s="545" t="s">
        <v>254</v>
      </c>
      <c r="B60" s="417"/>
      <c r="C60" s="600"/>
      <c r="D60" s="601"/>
      <c r="E60" s="601"/>
      <c r="F60" s="602"/>
      <c r="G60" s="603"/>
      <c r="H60" s="417"/>
      <c r="I60" s="600">
        <f>I9/C9-1</f>
        <v>0.68899514899514891</v>
      </c>
      <c r="J60" s="601">
        <f>J9/D9-1</f>
        <v>0.65821257467321215</v>
      </c>
      <c r="K60" s="601">
        <f>K9/E9-1</f>
        <v>0.5409701569069838</v>
      </c>
      <c r="L60" s="602">
        <f>L9/F9-1</f>
        <v>0.42914106070832303</v>
      </c>
      <c r="M60" s="603">
        <f>M9/G9-1</f>
        <v>0.56277688870471287</v>
      </c>
      <c r="N60" s="526"/>
      <c r="O60" s="600">
        <f>O9/I9-1</f>
        <v>0.36021368608496562</v>
      </c>
      <c r="P60" s="601">
        <f>P9/J9-1</f>
        <v>0.15313496507986346</v>
      </c>
      <c r="Q60" s="601">
        <f>Q9/K9-1</f>
        <v>5.3906561959270682E-2</v>
      </c>
      <c r="R60" s="602">
        <f>R9/L9-1</f>
        <v>0.12202427187482479</v>
      </c>
      <c r="S60" s="603">
        <f>S9/M9-1</f>
        <v>0.16241266518382846</v>
      </c>
      <c r="T60" s="601"/>
      <c r="U60" s="600">
        <f>U9/O9-1</f>
        <v>0.1591124356739082</v>
      </c>
      <c r="V60" s="601">
        <f>V9/P9-1</f>
        <v>0.31155076310140251</v>
      </c>
      <c r="W60" s="601">
        <f>W9/Q9-1</f>
        <v>0.49854129830765337</v>
      </c>
      <c r="X60" s="602">
        <f>X9/R9-1</f>
        <v>0.44712124232958983</v>
      </c>
      <c r="Y60" s="603">
        <f>Y9/S9-1</f>
        <v>0.35480787124582025</v>
      </c>
      <c r="Z60" s="417"/>
      <c r="AA60" s="600">
        <f>AA9/U9-1</f>
        <v>0.47042903019294124</v>
      </c>
      <c r="AB60" s="601">
        <f>AB9/V9-1</f>
        <v>0.35587703947585636</v>
      </c>
      <c r="AC60" s="601">
        <f>AC9/W9-1</f>
        <v>-7.6271864952446311E-3</v>
      </c>
      <c r="AD60" s="602">
        <f>AD9/X9-1</f>
        <v>-4.2966268398533569E-2</v>
      </c>
      <c r="AE60" s="603">
        <f>AE9/Y9-1</f>
        <v>0.16925563367566099</v>
      </c>
      <c r="AF60" s="417"/>
      <c r="AG60" s="600">
        <f>AG9/AA9-1</f>
        <v>-3.4493743695025114E-2</v>
      </c>
      <c r="AH60" s="601">
        <f>AH9/AB9-1</f>
        <v>-2.3805879283353648E-2</v>
      </c>
      <c r="AI60" s="601">
        <f>AI9/AC9-1</f>
        <v>0.21390749005303644</v>
      </c>
      <c r="AJ60" s="602">
        <f>AJ9/AD9-1</f>
        <v>0.23670877470798302</v>
      </c>
      <c r="AK60" s="603">
        <f>AK9/AE9-1</f>
        <v>8.8088978574846211E-2</v>
      </c>
      <c r="AL60" s="417"/>
      <c r="AM60" s="600">
        <f>AM9/AG9-1</f>
        <v>0.21332257946255107</v>
      </c>
      <c r="AN60" s="601">
        <f>AN9/AH9-1</f>
        <v>0.23337621655910223</v>
      </c>
      <c r="AO60" s="601">
        <f>AO9/AI9-1</f>
        <v>0.24810231080825806</v>
      </c>
      <c r="AP60" s="602">
        <f>AP9/AJ9-1</f>
        <v>0.25240812895089992</v>
      </c>
      <c r="AQ60" s="603">
        <f>AQ9/AK9-1</f>
        <v>0.23740374535487541</v>
      </c>
      <c r="AR60" s="417"/>
      <c r="AS60" s="600">
        <f>AS9/AM9-1</f>
        <v>0.27140301790559529</v>
      </c>
      <c r="AT60" s="601">
        <f>AT9/AN9-1</f>
        <v>0.29319780175328081</v>
      </c>
      <c r="AU60" s="601">
        <f>AU9/AO9-1</f>
        <v>0.34705717488789234</v>
      </c>
      <c r="AV60" s="601">
        <f>AV9/AP9-1</f>
        <v>0.32286239498510305</v>
      </c>
      <c r="AW60" s="603">
        <f>AW9/AQ9-1</f>
        <v>0.30972897131815968</v>
      </c>
      <c r="AX60" s="417"/>
      <c r="AY60" s="600">
        <f>AY9/AS9-1</f>
        <v>0.27991758182997817</v>
      </c>
      <c r="AZ60" s="601">
        <f>AZ9/AT9-1</f>
        <v>0.20513084045329411</v>
      </c>
      <c r="BA60" s="601">
        <f>BA9/AU9-1</f>
        <v>0.14489524166198531</v>
      </c>
      <c r="BB60" s="601">
        <f>BB9/AV9-1</f>
        <v>0.15451257760368775</v>
      </c>
      <c r="BC60" s="603">
        <f>BC9/AW9-1</f>
        <v>0.19254974056575902</v>
      </c>
      <c r="BD60" s="417"/>
      <c r="BE60" s="600">
        <f>BE9/AY9-1</f>
        <v>6.1641584581248354E-2</v>
      </c>
      <c r="BF60" s="601">
        <f>BF9/AZ9-1</f>
        <v>0.11262231681677815</v>
      </c>
      <c r="BG60" s="601">
        <f>BG9/BA9-1</f>
        <v>0.10334544251832289</v>
      </c>
      <c r="BH60" s="602">
        <f>BH9/BB9-1</f>
        <v>4.6993650557520139E-2</v>
      </c>
      <c r="BI60" s="603">
        <f>BI9/BC9-1</f>
        <v>8.0464031729528207E-2</v>
      </c>
      <c r="BJ60" s="417"/>
      <c r="BK60" s="600">
        <f>BK9/BE9-1</f>
        <v>4.5887894109972072E-2</v>
      </c>
      <c r="BL60" s="601">
        <f>BL9/BF9-1</f>
        <v>0.10377188714332353</v>
      </c>
      <c r="BM60" s="601">
        <f>BM9/BG9-1</f>
        <v>0.17600747110628712</v>
      </c>
      <c r="BN60" s="602">
        <f>BN9/BH9-1</f>
        <v>0.25567735049980067</v>
      </c>
      <c r="BO60" s="603">
        <f>BO9/BI9-1</f>
        <v>0.14748623337570921</v>
      </c>
      <c r="BP60" s="417"/>
      <c r="BQ60" s="600">
        <f>BQ9/BK9-1</f>
        <v>0.30769230769230771</v>
      </c>
      <c r="BR60" s="601">
        <f>BR9/BL9-1</f>
        <v>0.19328528048017057</v>
      </c>
      <c r="BS60" s="601">
        <f>BS9/BM9-1</f>
        <v>0.12839866733990069</v>
      </c>
      <c r="BT60" s="602">
        <f>BT9/BN9-1</f>
        <v>8.0517072356066866E-2</v>
      </c>
      <c r="BU60" s="603">
        <f>BU9/BO9-1</f>
        <v>0.1694440410748399</v>
      </c>
      <c r="BV60" s="417"/>
      <c r="BW60" s="600">
        <f>BW9/BQ9-1</f>
        <v>0.11593749296979827</v>
      </c>
      <c r="BX60" s="601">
        <f>BX9/BR9-1</f>
        <v>0.10094675333792047</v>
      </c>
      <c r="BY60" s="601">
        <f>BY9/BS9-1</f>
        <v>9.4817331089390722E-2</v>
      </c>
      <c r="BZ60" s="602">
        <f>BZ9/BT9-1</f>
        <v>9.2238698163539912E-2</v>
      </c>
      <c r="CA60" s="603">
        <f>CA9/BU9-1</f>
        <v>0.10078111011945801</v>
      </c>
      <c r="CB60" s="417"/>
      <c r="CC60" s="600">
        <f>CC9/BW9-1</f>
        <v>0.10155258029485448</v>
      </c>
      <c r="CD60" s="601">
        <f>CD9/BX9-1</f>
        <v>0.10253587567138434</v>
      </c>
      <c r="CE60" s="601">
        <f>CE9/BY9-1</f>
        <v>0.10223518531267528</v>
      </c>
      <c r="CF60" s="602">
        <f>CF9/BZ9-1</f>
        <v>0.10375633930032224</v>
      </c>
      <c r="CG60" s="603">
        <f>CG9/CA9-1</f>
        <v>0.10253498949869622</v>
      </c>
      <c r="CH60" s="417"/>
      <c r="CI60" s="600">
        <f t="shared" ref="CI60:CM60" si="220">CI9/CC9-1</f>
        <v>0.10432961840451704</v>
      </c>
      <c r="CJ60" s="601">
        <f t="shared" si="220"/>
        <v>0.10413191769477126</v>
      </c>
      <c r="CK60" s="601">
        <f t="shared" si="220"/>
        <v>0.103513081112514</v>
      </c>
      <c r="CL60" s="602">
        <f t="shared" si="220"/>
        <v>0.10622626336955343</v>
      </c>
      <c r="CM60" s="603">
        <f t="shared" si="220"/>
        <v>0.10456972113995411</v>
      </c>
      <c r="CN60" s="417"/>
      <c r="CO60" s="600">
        <f t="shared" ref="CO60:CS60" si="221">CO9/CI9-1</f>
        <v>9.9613286547998392E-2</v>
      </c>
      <c r="CP60" s="601">
        <f t="shared" si="221"/>
        <v>0.10443356914375679</v>
      </c>
      <c r="CQ60" s="601">
        <f t="shared" si="221"/>
        <v>0.10844922449372163</v>
      </c>
      <c r="CR60" s="602">
        <f t="shared" si="221"/>
        <v>0.10974648917586527</v>
      </c>
      <c r="CS60" s="603">
        <f t="shared" si="221"/>
        <v>0.10562612917549408</v>
      </c>
      <c r="CT60" s="600"/>
      <c r="CU60" s="400"/>
      <c r="CV60" s="400"/>
      <c r="DC60" s="921"/>
      <c r="DD60" s="921"/>
      <c r="DE60" s="921"/>
      <c r="DF60" s="921"/>
      <c r="DG60" s="921"/>
      <c r="DH60" s="921"/>
      <c r="DI60" s="921"/>
      <c r="DJ60" s="921"/>
      <c r="DK60" s="921"/>
      <c r="DL60" s="921"/>
    </row>
    <row r="61" spans="1:116">
      <c r="A61" s="545" t="s">
        <v>429</v>
      </c>
      <c r="B61" s="417"/>
      <c r="C61" s="600"/>
      <c r="D61" s="601"/>
      <c r="E61" s="601"/>
      <c r="F61" s="602"/>
      <c r="G61" s="603"/>
      <c r="H61" s="417"/>
      <c r="I61" s="600"/>
      <c r="J61" s="601"/>
      <c r="K61" s="601"/>
      <c r="L61" s="602"/>
      <c r="M61" s="603"/>
      <c r="N61" s="526"/>
      <c r="O61" s="600"/>
      <c r="P61" s="601"/>
      <c r="Q61" s="601"/>
      <c r="R61" s="602"/>
      <c r="S61" s="603"/>
      <c r="T61" s="601"/>
      <c r="U61" s="600"/>
      <c r="V61" s="601"/>
      <c r="W61" s="601"/>
      <c r="X61" s="602"/>
      <c r="Y61" s="603"/>
      <c r="Z61" s="417"/>
      <c r="AA61" s="600"/>
      <c r="AB61" s="601"/>
      <c r="AC61" s="601"/>
      <c r="AD61" s="602"/>
      <c r="AE61" s="603"/>
      <c r="AF61" s="417"/>
      <c r="AG61" s="600">
        <f>AG12/AA12-1</f>
        <v>-5.460765775120513E-2</v>
      </c>
      <c r="AH61" s="601">
        <f>AH12/AB12-1</f>
        <v>-8.0047002492889097E-2</v>
      </c>
      <c r="AI61" s="601">
        <f>AI12/AC12-1</f>
        <v>0.14683671979721069</v>
      </c>
      <c r="AJ61" s="602">
        <f>AJ12/AD12-1</f>
        <v>0.30388886708786234</v>
      </c>
      <c r="AK61" s="603">
        <f>AK12/AE12-1</f>
        <v>6.5832999347980925E-2</v>
      </c>
      <c r="AL61" s="417"/>
      <c r="AM61" s="600">
        <f>AM12/AG12-1</f>
        <v>0.19765761391095249</v>
      </c>
      <c r="AN61" s="601">
        <f>AN12/AH12-1</f>
        <v>0.27799928375313332</v>
      </c>
      <c r="AO61" s="601">
        <f>AO12/AI12-1</f>
        <v>0.25078402555171042</v>
      </c>
      <c r="AP61" s="602">
        <f>AP12/AJ12-1</f>
        <v>0.13314473169410412</v>
      </c>
      <c r="AQ61" s="603">
        <f>AQ12/AK12-1</f>
        <v>0.21138072214099912</v>
      </c>
      <c r="AR61" s="417"/>
      <c r="AS61" s="600">
        <f>AS12/AM12-1</f>
        <v>0.22704148123835544</v>
      </c>
      <c r="AT61" s="601">
        <f>AT12/AN12-1</f>
        <v>0.2391974443759457</v>
      </c>
      <c r="AU61" s="601">
        <f>AU12/AO12-1</f>
        <v>0.21968098886051624</v>
      </c>
      <c r="AV61" s="601">
        <f>AV12/AP12-1</f>
        <v>0.28430409108213173</v>
      </c>
      <c r="AW61" s="603">
        <f>AW12/AQ12-1</f>
        <v>0.24319641219039845</v>
      </c>
      <c r="AX61" s="417"/>
      <c r="AY61" s="600">
        <f>AY12/AS12-1</f>
        <v>0.19703716524530313</v>
      </c>
      <c r="AZ61" s="601">
        <f>AZ12/AT12-1</f>
        <v>0.14293790421057406</v>
      </c>
      <c r="BA61" s="601">
        <f>BA12/AU12-1</f>
        <v>0.14197287374457601</v>
      </c>
      <c r="BB61" s="601">
        <f>BB12/AV12-1</f>
        <v>0.17419657259454313</v>
      </c>
      <c r="BC61" s="603">
        <f>BC12/AW12-1</f>
        <v>0.16396356779237831</v>
      </c>
      <c r="BD61" s="417"/>
      <c r="BE61" s="600">
        <f>BE12/AY12-1</f>
        <v>7.9262321479037556E-2</v>
      </c>
      <c r="BF61" s="601">
        <f>BF12/AZ12-1</f>
        <v>9.3260524042234394E-2</v>
      </c>
      <c r="BG61" s="601">
        <f>BG12/BA12-1</f>
        <v>0.12943059836326931</v>
      </c>
      <c r="BH61" s="602">
        <f>BH12/BB12-1</f>
        <v>0.10927226188239691</v>
      </c>
      <c r="BI61" s="603">
        <f>BI12/BC12-1</f>
        <v>0.10293406674329475</v>
      </c>
      <c r="BJ61" s="417"/>
      <c r="BK61" s="600">
        <f>BK12/BE12-1</f>
        <v>0.22402002277529798</v>
      </c>
      <c r="BL61" s="601">
        <f>BL12/BF12-1</f>
        <v>0.31929782228388737</v>
      </c>
      <c r="BM61" s="601">
        <f>BM12/BG12-1</f>
        <v>0.3097765675267159</v>
      </c>
      <c r="BN61" s="602">
        <f>BN12/BH12-1</f>
        <v>0.19767768022058885</v>
      </c>
      <c r="BO61" s="603">
        <f>BO12/BI12-1</f>
        <v>0.26088414293407025</v>
      </c>
      <c r="BP61" s="417"/>
      <c r="BQ61" s="600">
        <f>BQ12/BK12-1</f>
        <v>0.17412935323383083</v>
      </c>
      <c r="BR61" s="601">
        <f>BR12/BL12-1</f>
        <v>0.12850908853854248</v>
      </c>
      <c r="BS61" s="601">
        <f>BS12/BM12-1</f>
        <v>0.12845138471459649</v>
      </c>
      <c r="BT61" s="602">
        <f>BT12/BN12-1</f>
        <v>0.15772363585675819</v>
      </c>
      <c r="BU61" s="603">
        <f>BU12/BO12-1</f>
        <v>0.14666043494152659</v>
      </c>
      <c r="BV61" s="417"/>
      <c r="BW61" s="600">
        <f>BW12/BQ12-1</f>
        <v>0.13531358800758286</v>
      </c>
      <c r="BX61" s="601">
        <f>BX12/BR12-1</f>
        <v>0.12008388675849146</v>
      </c>
      <c r="BY61" s="601">
        <f>BY12/BS12-1</f>
        <v>0.11173553533695446</v>
      </c>
      <c r="BZ61" s="602">
        <f>BZ12/BT12-1</f>
        <v>0.11121621101002876</v>
      </c>
      <c r="CA61" s="603">
        <f>CA12/BU12-1</f>
        <v>0.11925360184416189</v>
      </c>
      <c r="CB61" s="417"/>
      <c r="CC61" s="600">
        <f>CC12/BW12-1</f>
        <v>0.11146649853265989</v>
      </c>
      <c r="CD61" s="601">
        <f>CD12/BX12-1</f>
        <v>0.11680383058142518</v>
      </c>
      <c r="CE61" s="601">
        <f>CE12/BY12-1</f>
        <v>0.11608392850029481</v>
      </c>
      <c r="CF61" s="602">
        <f>CF12/BZ12-1</f>
        <v>0.11835249485438748</v>
      </c>
      <c r="CG61" s="603">
        <f>CG12/CA12-1</f>
        <v>0.11574514633104216</v>
      </c>
      <c r="CH61" s="417"/>
      <c r="CI61" s="600">
        <f t="shared" ref="CI61:CM61" si="222">CI12/CC12-1</f>
        <v>0.11576290865361627</v>
      </c>
      <c r="CJ61" s="601">
        <f t="shared" si="222"/>
        <v>0.11871845382171498</v>
      </c>
      <c r="CK61" s="601">
        <f t="shared" si="222"/>
        <v>0.11809517723084006</v>
      </c>
      <c r="CL61" s="602">
        <f t="shared" si="222"/>
        <v>0.12099397504991627</v>
      </c>
      <c r="CM61" s="603">
        <f t="shared" si="222"/>
        <v>0.11845024896624934</v>
      </c>
      <c r="CN61" s="417"/>
      <c r="CO61" s="600">
        <f t="shared" ref="CO61:CS61" si="223">CO12/CI12-1</f>
        <v>0.10679528105780234</v>
      </c>
      <c r="CP61" s="601">
        <f t="shared" si="223"/>
        <v>0.11201072306934678</v>
      </c>
      <c r="CQ61" s="601">
        <f t="shared" si="223"/>
        <v>0.11542583237284965</v>
      </c>
      <c r="CR61" s="602">
        <f t="shared" si="223"/>
        <v>0.11716715418035673</v>
      </c>
      <c r="CS61" s="603">
        <f t="shared" si="223"/>
        <v>0.11297364528472187</v>
      </c>
      <c r="CT61" s="416"/>
      <c r="CU61" s="400"/>
      <c r="CV61" s="400"/>
      <c r="DC61" s="921"/>
      <c r="DD61" s="921"/>
      <c r="DE61" s="921"/>
      <c r="DF61" s="921"/>
      <c r="DG61" s="921"/>
      <c r="DH61" s="921"/>
      <c r="DI61" s="921"/>
      <c r="DJ61" s="921"/>
      <c r="DK61" s="921"/>
      <c r="DL61" s="921"/>
    </row>
    <row r="62" spans="1:116">
      <c r="A62" s="545" t="s">
        <v>430</v>
      </c>
      <c r="B62" s="417"/>
      <c r="C62" s="600"/>
      <c r="D62" s="601"/>
      <c r="E62" s="601"/>
      <c r="F62" s="602"/>
      <c r="G62" s="603"/>
      <c r="H62" s="417"/>
      <c r="I62" s="600"/>
      <c r="J62" s="601"/>
      <c r="K62" s="601"/>
      <c r="L62" s="602"/>
      <c r="M62" s="603"/>
      <c r="N62" s="526"/>
      <c r="O62" s="600"/>
      <c r="P62" s="601"/>
      <c r="Q62" s="601"/>
      <c r="R62" s="602"/>
      <c r="S62" s="603"/>
      <c r="T62" s="601"/>
      <c r="U62" s="600"/>
      <c r="V62" s="601"/>
      <c r="W62" s="601"/>
      <c r="X62" s="602"/>
      <c r="Y62" s="603"/>
      <c r="Z62" s="417"/>
      <c r="AA62" s="600"/>
      <c r="AB62" s="601"/>
      <c r="AC62" s="601"/>
      <c r="AD62" s="602"/>
      <c r="AE62" s="603"/>
      <c r="AF62" s="417"/>
      <c r="AG62" s="600">
        <f t="shared" ref="AG62:AK63" si="224">AG17/AA17-1</f>
        <v>-1.3473053892215647E-2</v>
      </c>
      <c r="AH62" s="601">
        <f t="shared" si="224"/>
        <v>2.1860826216646423E-3</v>
      </c>
      <c r="AI62" s="601">
        <f t="shared" si="224"/>
        <v>7.4117362566499922E-2</v>
      </c>
      <c r="AJ62" s="602">
        <f t="shared" si="224"/>
        <v>0.24399285395265724</v>
      </c>
      <c r="AK62" s="603">
        <f t="shared" si="224"/>
        <v>7.315448119345791E-2</v>
      </c>
      <c r="AL62" s="417"/>
      <c r="AM62" s="600">
        <f t="shared" ref="AM62:AQ63" si="225">AM17/AG17-1</f>
        <v>0.26719604215602732</v>
      </c>
      <c r="AN62" s="601">
        <f t="shared" si="225"/>
        <v>0.38160764886959031</v>
      </c>
      <c r="AO62" s="601">
        <f t="shared" si="225"/>
        <v>0.32921841581929367</v>
      </c>
      <c r="AP62" s="602">
        <f t="shared" si="225"/>
        <v>0.37536351559975589</v>
      </c>
      <c r="AQ62" s="603">
        <f t="shared" si="225"/>
        <v>0.33967929067556568</v>
      </c>
      <c r="AR62" s="417"/>
      <c r="AS62" s="600">
        <f t="shared" ref="AS62:AW63" si="226">AS17/AM17-1</f>
        <v>0.26239727038598426</v>
      </c>
      <c r="AT62" s="601">
        <f t="shared" si="226"/>
        <v>0.21715457711149133</v>
      </c>
      <c r="AU62" s="601">
        <f t="shared" si="226"/>
        <v>0.19387438249823585</v>
      </c>
      <c r="AV62" s="601">
        <f t="shared" si="226"/>
        <v>0.203390936618983</v>
      </c>
      <c r="AW62" s="603">
        <f t="shared" si="226"/>
        <v>0.21735053349215594</v>
      </c>
      <c r="AX62" s="417"/>
      <c r="AY62" s="600">
        <f t="shared" ref="AY62:BC63" si="227">AY17/AS17-1</f>
        <v>0.19251010304455751</v>
      </c>
      <c r="AZ62" s="601">
        <f t="shared" si="227"/>
        <v>0.1659978906278412</v>
      </c>
      <c r="BA62" s="601">
        <f t="shared" si="227"/>
        <v>0.17255810654245396</v>
      </c>
      <c r="BB62" s="601">
        <f t="shared" si="227"/>
        <v>0.23931929847395317</v>
      </c>
      <c r="BC62" s="603">
        <f t="shared" si="227"/>
        <v>0.19382210444605064</v>
      </c>
      <c r="BD62" s="417"/>
      <c r="BE62" s="600">
        <f t="shared" ref="BE62:BI63" si="228">BE17/AY17-1</f>
        <v>0.35110927080155152</v>
      </c>
      <c r="BF62" s="601">
        <f t="shared" si="228"/>
        <v>0.29421305441766643</v>
      </c>
      <c r="BG62" s="601">
        <f t="shared" si="228"/>
        <v>0.26846605230787834</v>
      </c>
      <c r="BH62" s="602">
        <f t="shared" si="228"/>
        <v>0.13707729468599039</v>
      </c>
      <c r="BI62" s="603">
        <f t="shared" si="228"/>
        <v>0.25612855007473834</v>
      </c>
      <c r="BJ62" s="417"/>
      <c r="BK62" s="600">
        <f t="shared" ref="BK62:BQ63" si="229">BK17/BE17-1</f>
        <v>0.129086891301192</v>
      </c>
      <c r="BL62" s="601">
        <f t="shared" si="229"/>
        <v>4.7557840616966551E-2</v>
      </c>
      <c r="BM62" s="601">
        <f t="shared" si="229"/>
        <v>6.3040005087076523E-2</v>
      </c>
      <c r="BN62" s="602">
        <f t="shared" si="229"/>
        <v>3.9352867379374601E-2</v>
      </c>
      <c r="BO62" s="603">
        <f t="shared" si="229"/>
        <v>6.9356022292298647E-2</v>
      </c>
      <c r="BP62" s="417"/>
      <c r="BQ62" s="600">
        <f t="shared" si="229"/>
        <v>-2.1428571428571463E-2</v>
      </c>
      <c r="BR62" s="601">
        <f t="shared" ref="BR62:BU63" si="230">BR17/BL17-1</f>
        <v>0.21231927881911816</v>
      </c>
      <c r="BS62" s="601">
        <f t="shared" si="230"/>
        <v>0.1897797074542853</v>
      </c>
      <c r="BT62" s="602">
        <f t="shared" si="230"/>
        <v>0.21343331456165648</v>
      </c>
      <c r="BU62" s="603">
        <f t="shared" si="230"/>
        <v>0.1463140450894973</v>
      </c>
      <c r="BV62" s="417"/>
      <c r="BW62" s="600">
        <f t="shared" ref="BW62:CA63" si="231">BW17/BQ17-1</f>
        <v>0.1095676891778099</v>
      </c>
      <c r="BX62" s="601">
        <f t="shared" si="231"/>
        <v>9.5442019571231107E-2</v>
      </c>
      <c r="BY62" s="601">
        <f t="shared" si="231"/>
        <v>8.9273952197798767E-2</v>
      </c>
      <c r="BZ62" s="602">
        <f t="shared" si="231"/>
        <v>8.6637474070393461E-2</v>
      </c>
      <c r="CA62" s="603">
        <f t="shared" si="231"/>
        <v>9.465087258726701E-2</v>
      </c>
      <c r="CB62" s="417"/>
      <c r="CC62" s="600">
        <f t="shared" ref="CC62:CG63" si="232">CC17/BW17-1</f>
        <v>9.5228789622618937E-2</v>
      </c>
      <c r="CD62" s="601">
        <f t="shared" si="232"/>
        <v>9.6995494386603598E-2</v>
      </c>
      <c r="CE62" s="601">
        <f>CE17/BY17-1</f>
        <v>9.662584594721646E-2</v>
      </c>
      <c r="CF62" s="602">
        <f t="shared" si="232"/>
        <v>9.8066873633825713E-2</v>
      </c>
      <c r="CG62" s="603">
        <f t="shared" si="232"/>
        <v>9.6785819670947459E-2</v>
      </c>
      <c r="CH62" s="417"/>
      <c r="CI62" s="600">
        <f t="shared" ref="CI62:CI63" si="233">CI17/CC17-1</f>
        <v>9.7953280048449942E-2</v>
      </c>
      <c r="CJ62" s="601">
        <f t="shared" ref="CJ62:CK63" si="234">CJ17/CD17-1</f>
        <v>9.8555493868029975E-2</v>
      </c>
      <c r="CK62" s="601">
        <f t="shared" si="234"/>
        <v>9.7868512922679951E-2</v>
      </c>
      <c r="CL62" s="602">
        <f t="shared" ref="CL62:CL63" si="235">CL17/CF17-1</f>
        <v>0.10049452107230183</v>
      </c>
      <c r="CM62" s="603">
        <f t="shared" ref="CM62:CM63" si="236">CM17/CG17-1</f>
        <v>9.8755319501305783E-2</v>
      </c>
      <c r="CN62" s="417"/>
      <c r="CO62" s="600">
        <f t="shared" ref="CO62:CO63" si="237">CO17/CI17-1</f>
        <v>9.3227307742463239E-2</v>
      </c>
      <c r="CP62" s="601">
        <f t="shared" ref="CP62:CQ63" si="238">CP17/CJ17-1</f>
        <v>9.8827307371453177E-2</v>
      </c>
      <c r="CQ62" s="601">
        <f t="shared" si="238"/>
        <v>0.10275025675853544</v>
      </c>
      <c r="CR62" s="602">
        <f t="shared" ref="CR62:CR63" si="239">CR17/CL17-1</f>
        <v>0.10396655954474121</v>
      </c>
      <c r="CS62" s="603">
        <f t="shared" ref="CS62:CS63" si="240">CS17/CM17-1</f>
        <v>9.9932113453642613E-2</v>
      </c>
      <c r="CT62" s="416"/>
      <c r="CU62" s="400"/>
      <c r="CV62" s="400"/>
      <c r="DC62" s="921"/>
      <c r="DD62" s="921"/>
      <c r="DE62" s="921"/>
      <c r="DF62" s="921"/>
      <c r="DG62" s="921"/>
      <c r="DH62" s="921"/>
      <c r="DI62" s="921"/>
      <c r="DJ62" s="921"/>
      <c r="DK62" s="921"/>
      <c r="DL62" s="921"/>
    </row>
    <row r="63" spans="1:116">
      <c r="A63" s="545" t="s">
        <v>431</v>
      </c>
      <c r="B63" s="417"/>
      <c r="C63" s="600"/>
      <c r="D63" s="601"/>
      <c r="E63" s="601"/>
      <c r="F63" s="602"/>
      <c r="G63" s="603"/>
      <c r="H63" s="417"/>
      <c r="I63" s="600"/>
      <c r="J63" s="601"/>
      <c r="K63" s="601"/>
      <c r="L63" s="602"/>
      <c r="M63" s="603"/>
      <c r="N63" s="526"/>
      <c r="O63" s="600"/>
      <c r="P63" s="601"/>
      <c r="Q63" s="601"/>
      <c r="R63" s="602"/>
      <c r="S63" s="603"/>
      <c r="T63" s="601"/>
      <c r="U63" s="600"/>
      <c r="V63" s="601"/>
      <c r="W63" s="601"/>
      <c r="X63" s="602"/>
      <c r="Y63" s="603"/>
      <c r="Z63" s="417"/>
      <c r="AA63" s="600"/>
      <c r="AB63" s="601"/>
      <c r="AC63" s="601"/>
      <c r="AD63" s="602"/>
      <c r="AE63" s="603"/>
      <c r="AF63" s="417"/>
      <c r="AG63" s="600">
        <f t="shared" si="224"/>
        <v>7.4492481492312024E-3</v>
      </c>
      <c r="AH63" s="601">
        <f t="shared" si="224"/>
        <v>1.1617148144340561E-2</v>
      </c>
      <c r="AI63" s="601">
        <f t="shared" si="224"/>
        <v>4.1400888781401912E-2</v>
      </c>
      <c r="AJ63" s="602">
        <f t="shared" si="224"/>
        <v>0.19931184296066085</v>
      </c>
      <c r="AK63" s="603">
        <f t="shared" si="224"/>
        <v>6.3228448226560818E-2</v>
      </c>
      <c r="AL63" s="417"/>
      <c r="AM63" s="600">
        <f t="shared" si="225"/>
        <v>0.23079273416135782</v>
      </c>
      <c r="AN63" s="601">
        <f t="shared" si="225"/>
        <v>0.22028164924506366</v>
      </c>
      <c r="AO63" s="601">
        <f t="shared" si="225"/>
        <v>0.30179833664745948</v>
      </c>
      <c r="AP63" s="602">
        <f t="shared" si="225"/>
        <v>0.35628065629255534</v>
      </c>
      <c r="AQ63" s="603">
        <f t="shared" si="225"/>
        <v>0.27977451940144382</v>
      </c>
      <c r="AR63" s="417"/>
      <c r="AS63" s="600">
        <f t="shared" si="226"/>
        <v>0.28048508018469787</v>
      </c>
      <c r="AT63" s="601">
        <f t="shared" si="226"/>
        <v>0.34066600835187333</v>
      </c>
      <c r="AU63" s="601">
        <f t="shared" si="226"/>
        <v>0.31899877355335038</v>
      </c>
      <c r="AV63" s="601">
        <f t="shared" si="226"/>
        <v>0.17547399717307588</v>
      </c>
      <c r="AW63" s="603">
        <f t="shared" si="226"/>
        <v>0.27415296504264597</v>
      </c>
      <c r="AX63" s="417"/>
      <c r="AY63" s="600">
        <f t="shared" si="227"/>
        <v>0.11296904838068667</v>
      </c>
      <c r="AZ63" s="601">
        <f t="shared" si="227"/>
        <v>9.1989315537728489E-2</v>
      </c>
      <c r="BA63" s="601">
        <f t="shared" si="227"/>
        <v>0.13977903821607573</v>
      </c>
      <c r="BB63" s="601">
        <f t="shared" si="227"/>
        <v>0.20350621133464908</v>
      </c>
      <c r="BC63" s="603">
        <f t="shared" si="227"/>
        <v>0.13875333985727956</v>
      </c>
      <c r="BD63" s="417"/>
      <c r="BE63" s="600">
        <f t="shared" si="228"/>
        <v>0.28034664460218606</v>
      </c>
      <c r="BF63" s="601">
        <f t="shared" si="228"/>
        <v>0.18962560847764798</v>
      </c>
      <c r="BG63" s="601">
        <f t="shared" si="228"/>
        <v>1.678322715575109E-2</v>
      </c>
      <c r="BH63" s="602">
        <f t="shared" si="228"/>
        <v>-1.7846560919475563E-3</v>
      </c>
      <c r="BI63" s="603">
        <f t="shared" si="228"/>
        <v>0.11109029779986135</v>
      </c>
      <c r="BJ63" s="417"/>
      <c r="BK63" s="600">
        <f t="shared" si="229"/>
        <v>3.3992503554349351E-2</v>
      </c>
      <c r="BL63" s="601">
        <f t="shared" si="229"/>
        <v>0.13807920102194871</v>
      </c>
      <c r="BM63" s="601">
        <f t="shared" si="229"/>
        <v>0.21035740335521513</v>
      </c>
      <c r="BN63" s="602">
        <f t="shared" si="229"/>
        <v>0.18895262551167624</v>
      </c>
      <c r="BO63" s="603">
        <f t="shared" si="229"/>
        <v>0.14151735357352035</v>
      </c>
      <c r="BP63" s="417"/>
      <c r="BQ63" s="600">
        <f t="shared" si="229"/>
        <v>0.17763157894736836</v>
      </c>
      <c r="BR63" s="601">
        <f t="shared" si="230"/>
        <v>0.18612270376660422</v>
      </c>
      <c r="BS63" s="601">
        <f t="shared" si="230"/>
        <v>0.20166910027100493</v>
      </c>
      <c r="BT63" s="602">
        <f t="shared" si="230"/>
        <v>0.19529691800378379</v>
      </c>
      <c r="BU63" s="603">
        <f t="shared" si="230"/>
        <v>0.1904914188974367</v>
      </c>
      <c r="BV63" s="417"/>
      <c r="BW63" s="600">
        <f t="shared" si="231"/>
        <v>0.12081270592791205</v>
      </c>
      <c r="BX63" s="601">
        <f t="shared" si="231"/>
        <v>9.6542966324568935E-2</v>
      </c>
      <c r="BY63" s="601">
        <f t="shared" si="231"/>
        <v>9.0393826721352877E-2</v>
      </c>
      <c r="BZ63" s="602">
        <f t="shared" si="231"/>
        <v>8.7780581028178428E-2</v>
      </c>
      <c r="CA63" s="603">
        <f t="shared" si="231"/>
        <v>9.8223677089264827E-2</v>
      </c>
      <c r="CB63" s="417"/>
      <c r="CC63" s="600">
        <f t="shared" si="232"/>
        <v>0.10634401724510867</v>
      </c>
      <c r="CD63" s="601">
        <f t="shared" si="232"/>
        <v>9.8108020749009262E-2</v>
      </c>
      <c r="CE63" s="601">
        <f>CE18/BY18-1</f>
        <v>9.7763642978749621E-2</v>
      </c>
      <c r="CF63" s="602">
        <f t="shared" si="232"/>
        <v>9.923274774581281E-2</v>
      </c>
      <c r="CG63" s="603">
        <f t="shared" si="232"/>
        <v>0.10023842035199682</v>
      </c>
      <c r="CH63" s="417"/>
      <c r="CI63" s="600">
        <f t="shared" si="233"/>
        <v>0.10911233124645858</v>
      </c>
      <c r="CJ63" s="601">
        <f t="shared" si="234"/>
        <v>9.9679772865356675E-2</v>
      </c>
      <c r="CK63" s="601">
        <f t="shared" ref="CK63" si="241">CK18/CE18-1</f>
        <v>9.9018119478654354E-2</v>
      </c>
      <c r="CL63" s="602">
        <f t="shared" si="235"/>
        <v>0.10167389191535769</v>
      </c>
      <c r="CM63" s="603">
        <f t="shared" si="236"/>
        <v>0.1022482729108114</v>
      </c>
      <c r="CN63" s="417"/>
      <c r="CO63" s="600">
        <f t="shared" si="237"/>
        <v>0.10435503762097786</v>
      </c>
      <c r="CP63" s="601">
        <f t="shared" si="238"/>
        <v>9.9962178175563521E-2</v>
      </c>
      <c r="CQ63" s="601">
        <f t="shared" ref="CQ63" si="242">CQ18/CK18-1</f>
        <v>0.10391568983321564</v>
      </c>
      <c r="CR63" s="602">
        <f t="shared" si="239"/>
        <v>0.10516075988175033</v>
      </c>
      <c r="CS63" s="603">
        <f t="shared" si="240"/>
        <v>0.10335041158128089</v>
      </c>
      <c r="CT63" s="416"/>
      <c r="CU63" s="400"/>
      <c r="CV63" s="400"/>
      <c r="DC63" s="921"/>
      <c r="DD63" s="921"/>
      <c r="DE63" s="921"/>
      <c r="DF63" s="921"/>
      <c r="DG63" s="921"/>
      <c r="DH63" s="921"/>
      <c r="DI63" s="921"/>
      <c r="DJ63" s="921"/>
      <c r="DK63" s="921"/>
      <c r="DL63" s="921"/>
    </row>
    <row r="64" spans="1:116">
      <c r="A64" s="545" t="s">
        <v>460</v>
      </c>
      <c r="B64" s="417"/>
      <c r="C64" s="600"/>
      <c r="D64" s="601"/>
      <c r="E64" s="601"/>
      <c r="F64" s="602"/>
      <c r="G64" s="603"/>
      <c r="H64" s="417"/>
      <c r="I64" s="600"/>
      <c r="J64" s="601"/>
      <c r="K64" s="601"/>
      <c r="L64" s="602"/>
      <c r="M64" s="603"/>
      <c r="N64" s="526"/>
      <c r="O64" s="600"/>
      <c r="P64" s="601"/>
      <c r="Q64" s="601"/>
      <c r="R64" s="602"/>
      <c r="S64" s="603"/>
      <c r="T64" s="601"/>
      <c r="U64" s="600"/>
      <c r="V64" s="601"/>
      <c r="W64" s="601"/>
      <c r="X64" s="602"/>
      <c r="Y64" s="603">
        <f>(Y19)/(S19)-1</f>
        <v>0.26808190749105298</v>
      </c>
      <c r="Z64" s="417"/>
      <c r="AA64" s="600"/>
      <c r="AB64" s="601"/>
      <c r="AC64" s="601"/>
      <c r="AD64" s="602"/>
      <c r="AE64" s="603">
        <f>(AE19)/(Y19)-1</f>
        <v>0.15118081909983139</v>
      </c>
      <c r="AF64" s="417"/>
      <c r="AG64" s="600"/>
      <c r="AH64" s="601"/>
      <c r="AI64" s="601"/>
      <c r="AJ64" s="602"/>
      <c r="AK64" s="603">
        <f>(AK19)/(AE19)-1</f>
        <v>6.7425027673794435E-2</v>
      </c>
      <c r="AL64" s="417"/>
      <c r="AM64" s="600">
        <f>(AM19)/(AG19)-1</f>
        <v>0.24621358881335653</v>
      </c>
      <c r="AN64" s="601">
        <f>(AN19)/(AH19)-1</f>
        <v>0.28738351436832765</v>
      </c>
      <c r="AO64" s="601">
        <f>(AO19)/(AI19)-1</f>
        <v>0.31375870506305303</v>
      </c>
      <c r="AP64" s="602">
        <f>(AP19)/(AJ19)-1</f>
        <v>0.36437419580792296</v>
      </c>
      <c r="AQ64" s="603">
        <f>(AQ19)/(AK19)-1</f>
        <v>0.30523731081418193</v>
      </c>
      <c r="AR64" s="417"/>
      <c r="AS64" s="600">
        <f>(AS19)/(AM19)-1</f>
        <v>0.27269387034092918</v>
      </c>
      <c r="AT64" s="601">
        <f>(AT19)/(AN19)-1</f>
        <v>0.28553268565782974</v>
      </c>
      <c r="AU64" s="601">
        <f>(AU19)/(AO19)-1</f>
        <v>0.26377849757069893</v>
      </c>
      <c r="AV64" s="601">
        <f>(AV19)/(AP19)-1</f>
        <v>0.18740966847283191</v>
      </c>
      <c r="AW64" s="603">
        <f>(AW19)/(AQ19)-1</f>
        <v>0.24937173328952711</v>
      </c>
      <c r="AX64" s="417"/>
      <c r="AY64" s="600">
        <f>(AY19)/(AS19)-1</f>
        <v>0.14695366370934604</v>
      </c>
      <c r="AZ64" s="601">
        <f>(AZ19)/(AT19)-1</f>
        <v>0.1232682297003731</v>
      </c>
      <c r="BA64" s="601">
        <f>(BA19)/(AU19)-1</f>
        <v>0.15344502112013103</v>
      </c>
      <c r="BB64" s="601">
        <f>(BB19)/(AV19)-1</f>
        <v>0.21902389736118621</v>
      </c>
      <c r="BC64" s="603">
        <f>(BC19)/(AW19)-1</f>
        <v>0.16216246968896253</v>
      </c>
      <c r="BD64" s="417"/>
      <c r="BE64" s="600">
        <f>(BE19)/(AY19)-1</f>
        <v>0.31178147705325099</v>
      </c>
      <c r="BF64" s="601">
        <f>(BF19)/(AZ19)-1</f>
        <v>0.23550984103815531</v>
      </c>
      <c r="BG64" s="601">
        <f>(BG19)/(BA19)-1</f>
        <v>0.12345151462060766</v>
      </c>
      <c r="BH64" s="601">
        <f>(BH19)/(BB19)-1</f>
        <v>5.9385481321562184E-2</v>
      </c>
      <c r="BI64" s="603">
        <f>(BI19)/(BC19)-1</f>
        <v>0.17442405662994398</v>
      </c>
      <c r="BJ64" s="417"/>
      <c r="BK64" s="600">
        <f>(BK19)/(BE19)-1</f>
        <v>7.7502702981951943E-2</v>
      </c>
      <c r="BL64" s="601">
        <f>(BL19)/(BF19)-1</f>
        <v>9.6479083830809831E-2</v>
      </c>
      <c r="BM64" s="601">
        <f>(BM19)/(BG19)-1</f>
        <v>0.13986208155673641</v>
      </c>
      <c r="BN64" s="601">
        <f>(BN19)/(BH19)-1</f>
        <v>0.1182194662183309</v>
      </c>
      <c r="BO64" s="603">
        <f>(BO19)/(BI19)-1</f>
        <v>0.10781452193333063</v>
      </c>
      <c r="BP64" s="417"/>
      <c r="BQ64" s="600">
        <f>(BQ19)/(BK19)-1</f>
        <v>8.2191780821917915E-2</v>
      </c>
      <c r="BR64" s="601">
        <f>(BR19)/(BL19)-1</f>
        <v>0.19762449968191675</v>
      </c>
      <c r="BS64" s="601">
        <f>(BS19)/(BM19)-1</f>
        <v>0.19636314927224574</v>
      </c>
      <c r="BT64" s="601">
        <f>(BT19)/(BN19)-1</f>
        <v>0.20326730003702753</v>
      </c>
      <c r="BU64" s="603">
        <f>(BU19)/(BO19)-1</f>
        <v>0.17057473572261084</v>
      </c>
      <c r="BV64" s="417"/>
      <c r="BW64" s="600">
        <f>(BW19)/(BQ19)-1</f>
        <v>0.11593749296979805</v>
      </c>
      <c r="BX64" s="601">
        <f>(BX19)/(BR19)-1</f>
        <v>9.605365665641874E-2</v>
      </c>
      <c r="BY64" s="601">
        <f>(BY19)/(BS19)-1</f>
        <v>8.9896803758651833E-2</v>
      </c>
      <c r="BZ64" s="601">
        <f>(BZ19)/(BT19)-1</f>
        <v>8.7273976808251108E-2</v>
      </c>
      <c r="CA64" s="603">
        <f>(CA19)/(BU19)-1</f>
        <v>9.6646317029663864E-2</v>
      </c>
      <c r="CB64" s="417"/>
      <c r="CC64" s="600">
        <f>(CC19)/(BW19)-1</f>
        <v>0.10155258029485448</v>
      </c>
      <c r="CD64" s="601">
        <f>(CD19)/(BX19)-1</f>
        <v>9.7613840512137395E-2</v>
      </c>
      <c r="CE64" s="601">
        <f>(CE19)/(BY19)-1</f>
        <v>9.7258954227742223E-2</v>
      </c>
      <c r="CF64" s="601">
        <f>(CF19)/(BZ19)-1</f>
        <v>9.8716356015845719E-2</v>
      </c>
      <c r="CG64" s="603">
        <f>(CG19)/(CA19)-1</f>
        <v>9.8716902746683877E-2</v>
      </c>
      <c r="CH64" s="417"/>
      <c r="CI64" s="600">
        <f t="shared" ref="CI64:CM64" si="243">(CI19)/(CC19)-1</f>
        <v>0.10432961840451704</v>
      </c>
      <c r="CJ64" s="601">
        <f t="shared" si="243"/>
        <v>9.9180653489861825E-2</v>
      </c>
      <c r="CK64" s="601">
        <f t="shared" si="243"/>
        <v>9.8508486640348503E-2</v>
      </c>
      <c r="CL64" s="601">
        <f t="shared" si="243"/>
        <v>0.10115183096877578</v>
      </c>
      <c r="CM64" s="603">
        <f t="shared" si="243"/>
        <v>0.10071167781081414</v>
      </c>
      <c r="CN64" s="417"/>
      <c r="CO64" s="600">
        <f t="shared" ref="CO64:CS64" si="244">(CO19)/(CI19)-1</f>
        <v>9.9613286547998392E-2</v>
      </c>
      <c r="CP64" s="601">
        <f t="shared" si="244"/>
        <v>9.9458643156622895E-2</v>
      </c>
      <c r="CQ64" s="601">
        <f t="shared" si="244"/>
        <v>0.10339934192199607</v>
      </c>
      <c r="CR64" s="601">
        <f t="shared" si="244"/>
        <v>0.10463245005523936</v>
      </c>
      <c r="CS64" s="603">
        <f t="shared" si="244"/>
        <v>0.10184933100671012</v>
      </c>
      <c r="CT64" s="416"/>
      <c r="CU64" s="400"/>
      <c r="CV64" s="400"/>
      <c r="DC64" s="921"/>
      <c r="DD64" s="921"/>
      <c r="DE64" s="921"/>
      <c r="DF64" s="921"/>
      <c r="DG64" s="921"/>
      <c r="DH64" s="921"/>
      <c r="DI64" s="921"/>
      <c r="DJ64" s="921"/>
      <c r="DK64" s="921"/>
      <c r="DL64" s="921"/>
    </row>
    <row r="65" spans="1:116">
      <c r="A65" s="545" t="s">
        <v>73</v>
      </c>
      <c r="B65" s="417"/>
      <c r="C65" s="600"/>
      <c r="D65" s="601"/>
      <c r="E65" s="601"/>
      <c r="F65" s="602"/>
      <c r="G65" s="603"/>
      <c r="H65" s="417"/>
      <c r="I65" s="600">
        <f>I20/C20-1</f>
        <v>1.5904081385491087</v>
      </c>
      <c r="J65" s="601">
        <f>J20/D20-1</f>
        <v>1.3474959736176095</v>
      </c>
      <c r="K65" s="601">
        <f>K20/E20-1</f>
        <v>0.80258978744197318</v>
      </c>
      <c r="L65" s="602">
        <f>L20/F20-1</f>
        <v>0.76686870487565706</v>
      </c>
      <c r="M65" s="603">
        <f>M20/G20-1</f>
        <v>1.0156889495225094</v>
      </c>
      <c r="N65" s="526"/>
      <c r="O65" s="600">
        <f>O20/I20-1</f>
        <v>0.82790219271588206</v>
      </c>
      <c r="P65" s="601">
        <f>P20/J20-1</f>
        <v>0.26403998823875363</v>
      </c>
      <c r="Q65" s="601">
        <f>Q20/K20-1</f>
        <v>0.12540661425860788</v>
      </c>
      <c r="R65" s="602">
        <f>R20/L20-1</f>
        <v>-3.4531466767563135E-2</v>
      </c>
      <c r="S65" s="603">
        <f>S20/M20-1</f>
        <v>0.23211588461062305</v>
      </c>
      <c r="T65" s="601"/>
      <c r="U65" s="600">
        <f>U20/O20-1</f>
        <v>4.2637542522444116E-2</v>
      </c>
      <c r="V65" s="601">
        <f>V20/P20-1</f>
        <v>0.33889018117908543</v>
      </c>
      <c r="W65" s="601">
        <f>W20/Q20-1</f>
        <v>0.82305121488573607</v>
      </c>
      <c r="X65" s="602">
        <f>X20/R20-1</f>
        <v>0.60682934475911843</v>
      </c>
      <c r="Y65" s="603">
        <f>Y20/S20-1</f>
        <v>0.43772315895951808</v>
      </c>
      <c r="Z65" s="417"/>
      <c r="AA65" s="600">
        <f>AA20/U20-1</f>
        <v>0.89601118634088817</v>
      </c>
      <c r="AB65" s="601">
        <f>AB20/V20-1</f>
        <v>0.53188039302743073</v>
      </c>
      <c r="AC65" s="601">
        <f>AC20/W20-1</f>
        <v>-0.26723810467555198</v>
      </c>
      <c r="AD65" s="602">
        <f>AD20/X20-1</f>
        <v>6.9460026340177894E-2</v>
      </c>
      <c r="AE65" s="603">
        <f>AE20/Y20-1</f>
        <v>0.24307726715714706</v>
      </c>
      <c r="AF65" s="600"/>
      <c r="AG65" s="600">
        <f>AG20/AA20-1</f>
        <v>-5.9206355367516617E-2</v>
      </c>
      <c r="AH65" s="601">
        <f>AH20/AB20-1</f>
        <v>-5.6958516054241848E-3</v>
      </c>
      <c r="AI65" s="601">
        <f>AI20/AC20-1</f>
        <v>0.74139019112874238</v>
      </c>
      <c r="AJ65" s="602">
        <f>AJ20/AD20-1</f>
        <v>0.18952489547700613</v>
      </c>
      <c r="AK65" s="603">
        <f>AK20/AE20-1</f>
        <v>0.15117621482225729</v>
      </c>
      <c r="AL65" s="600"/>
      <c r="AM65" s="600">
        <f>AM20/AG20-1</f>
        <v>0.18058669013794004</v>
      </c>
      <c r="AN65" s="601">
        <f>AN20/AH20-1</f>
        <v>0.10527983372199201</v>
      </c>
      <c r="AO65" s="601">
        <f>AO20/AI20-1</f>
        <v>0.14125961015764554</v>
      </c>
      <c r="AP65" s="602">
        <f>AP20/AJ20-1</f>
        <v>0.21639549596758734</v>
      </c>
      <c r="AQ65" s="603">
        <f>AQ20/AK20-1</f>
        <v>0.16046822089085699</v>
      </c>
      <c r="AR65" s="600"/>
      <c r="AS65" s="600">
        <f>AS20/AM20-1</f>
        <v>0.32280648618424101</v>
      </c>
      <c r="AT65" s="601">
        <f>AT20/AN20-1</f>
        <v>0.37283140888190691</v>
      </c>
      <c r="AU65" s="601">
        <f>AU20/AO20-1</f>
        <v>0.65481536926147643</v>
      </c>
      <c r="AV65" s="601">
        <f>AV20/AP20-1</f>
        <v>0.62367082755432213</v>
      </c>
      <c r="AW65" s="603">
        <f>AW20/AQ20-1</f>
        <v>0.49752948207506509</v>
      </c>
      <c r="AX65" s="600"/>
      <c r="AY65" s="600">
        <f>AY20/AS20-1</f>
        <v>0.58359385319889068</v>
      </c>
      <c r="AZ65" s="601">
        <f>AZ20/AT20-1</f>
        <v>0.40749711842039238</v>
      </c>
      <c r="BA65" s="601">
        <f>BA20/AU20-1</f>
        <v>0.13564746599047361</v>
      </c>
      <c r="BB65" s="601">
        <f>BB20/AV20-1</f>
        <v>4.7201801615241346E-2</v>
      </c>
      <c r="BC65" s="603">
        <f>BC20/AW20-1</f>
        <v>0.26632679062586684</v>
      </c>
      <c r="BD65" s="600"/>
      <c r="BE65" s="600">
        <f>BE20/AY20-1</f>
        <v>-0.2406339496732931</v>
      </c>
      <c r="BF65" s="601">
        <f>BF20/AZ20-1</f>
        <v>-2.9831349324091039E-2</v>
      </c>
      <c r="BG65" s="601">
        <f>BG20/BA20-1</f>
        <v>5.125280614092298E-2</v>
      </c>
      <c r="BH65" s="602">
        <f>BH20/BB20-1</f>
        <v>-3.8424936040834745E-2</v>
      </c>
      <c r="BI65" s="603">
        <f>BI20/BC20-1</f>
        <v>-6.8096036362074952E-2</v>
      </c>
      <c r="BJ65" s="600"/>
      <c r="BK65" s="600">
        <f>BK20/BE20-1</f>
        <v>-0.23106779052822046</v>
      </c>
      <c r="BL65" s="601">
        <f>BL20/BF20-1</f>
        <v>-0.1026809471089446</v>
      </c>
      <c r="BM65" s="601">
        <f>BM20/BG20-1</f>
        <v>9.999368545530718E-2</v>
      </c>
      <c r="BN65" s="602">
        <f>BN20/BH20-1</f>
        <v>0.56885427109842968</v>
      </c>
      <c r="BO65" s="603">
        <f>BO20/BI20-1</f>
        <v>9.1443132834268415E-2</v>
      </c>
      <c r="BP65" s="601"/>
      <c r="BQ65" s="600">
        <f>BQ20/BK20-1</f>
        <v>1.1904761904761907</v>
      </c>
      <c r="BR65" s="601">
        <f>BR20/BL20-1</f>
        <v>0.28106854615648658</v>
      </c>
      <c r="BS65" s="601">
        <f>BS20/BM20-1</f>
        <v>2.2045801747426319E-2</v>
      </c>
      <c r="BT65" s="602">
        <f>BT20/BN20-1</f>
        <v>-0.14556245935789425</v>
      </c>
      <c r="BU65" s="603">
        <f>BU20/BO20-1</f>
        <v>0.19626798654944344</v>
      </c>
      <c r="BV65" s="601"/>
      <c r="BW65" s="600">
        <f>BW20/BQ20-1</f>
        <v>9.6055934583201719E-2</v>
      </c>
      <c r="BX65" s="601">
        <f>BX20/BR20-1</f>
        <v>8.507569590918318E-2</v>
      </c>
      <c r="BY65" s="601">
        <f>BY20/BS20-1</f>
        <v>8.2115867080461591E-2</v>
      </c>
      <c r="BZ65" s="602">
        <f>BZ20/BT20-1</f>
        <v>7.7202561854414986E-2</v>
      </c>
      <c r="CA65" s="603">
        <f>CA20/BU20-1</f>
        <v>8.5444838457615191E-2</v>
      </c>
      <c r="CB65" s="601"/>
      <c r="CC65" s="600">
        <f>CC20/BW20-1</f>
        <v>9.1015686135924145E-2</v>
      </c>
      <c r="CD65" s="601">
        <f>CD20/BX20-1</f>
        <v>9.2603809223394729E-2</v>
      </c>
      <c r="CE65" s="601">
        <f>CE20/BY20-1</f>
        <v>9.3153493530572007E-2</v>
      </c>
      <c r="CF65" s="602">
        <f>CF20/BZ20-1</f>
        <v>9.3861435206911814E-2</v>
      </c>
      <c r="CG65" s="603">
        <f>CG20/CA20-1</f>
        <v>9.2602366660098578E-2</v>
      </c>
      <c r="CH65" s="601"/>
      <c r="CI65" s="600">
        <f t="shared" ref="CI65:CM65" si="245">CI20/CC20-1</f>
        <v>9.1950095841520252E-2</v>
      </c>
      <c r="CJ65" s="601">
        <f t="shared" si="245"/>
        <v>9.3429285192574207E-2</v>
      </c>
      <c r="CK65" s="601">
        <f t="shared" si="245"/>
        <v>9.3148304370215484E-2</v>
      </c>
      <c r="CL65" s="602">
        <f t="shared" si="245"/>
        <v>9.5782588656035283E-2</v>
      </c>
      <c r="CM65" s="603">
        <f t="shared" si="245"/>
        <v>9.3538446956977994E-2</v>
      </c>
      <c r="CN65" s="601"/>
      <c r="CO65" s="600">
        <f t="shared" ref="CO65:CS65" si="246">CO20/CI20-1</f>
        <v>9.1667317572700302E-2</v>
      </c>
      <c r="CP65" s="601">
        <f t="shared" si="246"/>
        <v>0.10329641313783289</v>
      </c>
      <c r="CQ65" s="601">
        <f t="shared" si="246"/>
        <v>0.10823655297034307</v>
      </c>
      <c r="CR65" s="602">
        <f t="shared" si="246"/>
        <v>0.10892561696420966</v>
      </c>
      <c r="CS65" s="603">
        <f t="shared" si="246"/>
        <v>0.10261625556515663</v>
      </c>
      <c r="CT65" s="416"/>
      <c r="CU65" s="400"/>
      <c r="CV65" s="400"/>
      <c r="DC65" s="921"/>
      <c r="DD65" s="921"/>
      <c r="DE65" s="921"/>
      <c r="DF65" s="921"/>
      <c r="DG65" s="921"/>
      <c r="DH65" s="921"/>
      <c r="DI65" s="921"/>
      <c r="DJ65" s="921"/>
      <c r="DK65" s="921"/>
      <c r="DL65" s="921"/>
    </row>
    <row r="66" spans="1:116">
      <c r="A66" s="400" t="s">
        <v>794</v>
      </c>
      <c r="B66" s="417"/>
      <c r="C66" s="600"/>
      <c r="D66" s="601"/>
      <c r="E66" s="601"/>
      <c r="F66" s="602"/>
      <c r="G66" s="603"/>
      <c r="H66" s="417"/>
      <c r="I66" s="600">
        <f>+I164/C164-1</f>
        <v>1.5904081385491087</v>
      </c>
      <c r="J66" s="601">
        <f t="shared" ref="J66:M66" si="247">+J164/D164-1</f>
        <v>1.3474959736176095</v>
      </c>
      <c r="K66" s="601">
        <f t="shared" si="247"/>
        <v>0.80258978744197318</v>
      </c>
      <c r="L66" s="602">
        <f t="shared" si="247"/>
        <v>0.76686870487565706</v>
      </c>
      <c r="M66" s="603">
        <f t="shared" si="247"/>
        <v>1.0156889495225094</v>
      </c>
      <c r="N66" s="417"/>
      <c r="O66" s="600">
        <f t="shared" ref="O66" si="248">+O164/I164-1</f>
        <v>0.82790219271588206</v>
      </c>
      <c r="P66" s="601">
        <f t="shared" ref="P66" si="249">+P164/J164-1</f>
        <v>0.26403998823875363</v>
      </c>
      <c r="Q66" s="601">
        <f t="shared" ref="Q66" si="250">+Q164/K164-1</f>
        <v>0.12540661425860788</v>
      </c>
      <c r="R66" s="602">
        <f t="shared" ref="R66" si="251">+R164/L164-1</f>
        <v>-3.4531466767563135E-2</v>
      </c>
      <c r="S66" s="603">
        <f t="shared" ref="S66" si="252">+S164/M164-1</f>
        <v>0.23211588461062305</v>
      </c>
      <c r="T66" s="417"/>
      <c r="U66" s="600">
        <f t="shared" ref="U66" si="253">+U164/O164-1</f>
        <v>-3.9859256569644286E-3</v>
      </c>
      <c r="V66" s="601">
        <f t="shared" ref="V66" si="254">+V164/P164-1</f>
        <v>0.34270141809920163</v>
      </c>
      <c r="W66" s="601">
        <f t="shared" ref="W66" si="255">+W164/Q164-1</f>
        <v>0.82970691664986407</v>
      </c>
      <c r="X66" s="602">
        <f t="shared" ref="X66" si="256">+X164/R164-1</f>
        <v>0.61016295045166746</v>
      </c>
      <c r="Y66" s="603">
        <f t="shared" ref="Y66" si="257">+Y164/S164-1</f>
        <v>0.43738174388894757</v>
      </c>
      <c r="Z66" s="417"/>
      <c r="AA66" s="600">
        <f t="shared" ref="AA66" si="258">+AA164/U164-1</f>
        <v>0.92201076926487557</v>
      </c>
      <c r="AB66" s="601">
        <f t="shared" ref="AB66" si="259">+AB164/V164-1</f>
        <v>0.44146178656943857</v>
      </c>
      <c r="AC66" s="601">
        <f t="shared" ref="AC66" si="260">+AC164/W164-1</f>
        <v>-0.32768997744532469</v>
      </c>
      <c r="AD66" s="602">
        <f t="shared" ref="AD66" si="261">+AD164/X164-1</f>
        <v>5.3547512471295189E-2</v>
      </c>
      <c r="AE66" s="603">
        <f t="shared" ref="AE66" si="262">+AE164/Y164-1</f>
        <v>0.18828809335761987</v>
      </c>
      <c r="AF66" s="417"/>
      <c r="AG66" s="600">
        <f t="shared" ref="AG66" si="263">+AG164/AA164-1</f>
        <v>-2.4988858887154186E-2</v>
      </c>
      <c r="AH66" s="601">
        <f t="shared" ref="AH66" si="264">+AH164/AB164-1</f>
        <v>8.6483677695587735E-2</v>
      </c>
      <c r="AI66" s="601">
        <f t="shared" ref="AI66" si="265">+AI164/AC164-1</f>
        <v>0.94269678245796307</v>
      </c>
      <c r="AJ66" s="602">
        <f t="shared" ref="AJ66" si="266">+AJ164/AD164-1</f>
        <v>0.21820477116684356</v>
      </c>
      <c r="AK66" s="603">
        <f t="shared" ref="AK66" si="267">+AK164/AE164-1</f>
        <v>0.22932918986052941</v>
      </c>
      <c r="AL66" s="417"/>
      <c r="AM66" s="600">
        <f t="shared" ref="AM66" si="268">+AM164/AG164-1</f>
        <v>0.30899533197752316</v>
      </c>
      <c r="AN66" s="601">
        <f t="shared" ref="AN66" si="269">+AN164/AH164-1</f>
        <v>0.19731611320728937</v>
      </c>
      <c r="AO66" s="601">
        <f t="shared" ref="AO66" si="270">+AO164/AI164-1</f>
        <v>0.17715420187304409</v>
      </c>
      <c r="AP66" s="602">
        <f t="shared" ref="AP66" si="271">+AP164/AJ164-1</f>
        <v>0.32946347954348032</v>
      </c>
      <c r="AQ66" s="603">
        <f t="shared" ref="AQ66" si="272">+AQ164/AK164-1</f>
        <v>0.25730282104265756</v>
      </c>
      <c r="AR66" s="417"/>
      <c r="AS66" s="600">
        <f t="shared" ref="AS66" si="273">+AS164/AM164-1</f>
        <v>0.19812045736774264</v>
      </c>
      <c r="AT66" s="601">
        <f t="shared" ref="AT66" si="274">+AT164/AN164-1</f>
        <v>0.21910308970809256</v>
      </c>
      <c r="AU66" s="601">
        <f t="shared" ref="AU66" si="275">+AU164/AO164-1</f>
        <v>0.56092929056496765</v>
      </c>
      <c r="AV66" s="602">
        <f t="shared" ref="AV66" si="276">+AV164/AP164-1</f>
        <v>0.48729539202617755</v>
      </c>
      <c r="AW66" s="603">
        <f t="shared" ref="AW66" si="277">+AW164/AQ164-1</f>
        <v>0.35848702462948334</v>
      </c>
      <c r="AX66" s="417"/>
      <c r="AY66" s="600">
        <f t="shared" ref="AY66" si="278">+AY164/AS164-1</f>
        <v>0.62636926716148933</v>
      </c>
      <c r="AZ66" s="601">
        <f t="shared" ref="AZ66" si="279">+AZ164/AT164-1</f>
        <v>0.46644861150592498</v>
      </c>
      <c r="BA66" s="601">
        <f t="shared" ref="BA66" si="280">+BA164/AU164-1</f>
        <v>0.19290927142013992</v>
      </c>
      <c r="BB66" s="602">
        <f t="shared" ref="BB66" si="281">+BB164/AV164-1</f>
        <v>8.7742775668309347E-2</v>
      </c>
      <c r="BC66" s="603">
        <f t="shared" ref="BC66" si="282">+BC164/AW164-1</f>
        <v>0.31572107313395414</v>
      </c>
      <c r="BD66" s="417"/>
      <c r="BE66" s="600">
        <f t="shared" ref="BE66" si="283">+BE164/AY164-1</f>
        <v>-0.21162710967580967</v>
      </c>
      <c r="BF66" s="601">
        <f t="shared" ref="BF66" si="284">+BF164/AZ164-1</f>
        <v>2.1471958207742059E-2</v>
      </c>
      <c r="BG66" s="601">
        <f t="shared" ref="BG66" si="285">+BG164/BA164-1</f>
        <v>0.13651008064090098</v>
      </c>
      <c r="BH66" s="602">
        <f t="shared" ref="BH66" si="286">+BH164/BB164-1</f>
        <v>3.1573645019086216E-2</v>
      </c>
      <c r="BI66" s="603">
        <f t="shared" ref="BI66" si="287">+BI164/BC164-1</f>
        <v>-9.2721805859199424E-3</v>
      </c>
      <c r="BJ66" s="417"/>
      <c r="BK66" s="600">
        <f t="shared" ref="BK66" si="288">+BK164/BE164-1</f>
        <v>-1.2504366413776946E-3</v>
      </c>
      <c r="BL66" s="601">
        <f t="shared" ref="BL66:BM66" si="289">+BL164/BF164-1</f>
        <v>-2.3999763393266926E-2</v>
      </c>
      <c r="BM66" s="601">
        <f t="shared" si="289"/>
        <v>4.204989106845014E-2</v>
      </c>
      <c r="BN66" s="602">
        <f t="shared" ref="BN66" si="290">+BN164/BH164-1</f>
        <v>0.44391493789452841</v>
      </c>
      <c r="BO66" s="603">
        <f t="shared" ref="BO66" si="291">+BO164/BI164-1</f>
        <v>0.11716869287491227</v>
      </c>
      <c r="BP66" s="417"/>
      <c r="BQ66" s="600">
        <f t="shared" ref="BQ66" si="292">+BQ164/BK164-1</f>
        <v>0.56780446060019485</v>
      </c>
      <c r="BR66" s="601">
        <f t="shared" ref="BR66" si="293">+BR164/BL164-1</f>
        <v>0.1095479713842038</v>
      </c>
      <c r="BS66" s="601">
        <f t="shared" ref="BS66" si="294">+BS164/BM164-1</f>
        <v>-1.2992060638871594E-2</v>
      </c>
      <c r="BT66" s="602">
        <f t="shared" ref="BT66" si="295">+BT164/BN164-1</f>
        <v>-0.14724047472676693</v>
      </c>
      <c r="BU66" s="603">
        <f t="shared" ref="BU66" si="296">+BU164/BO164-1</f>
        <v>8.9050434212212703E-2</v>
      </c>
      <c r="BV66" s="417"/>
      <c r="BW66" s="600">
        <f t="shared" ref="BW66" si="297">+BW164/BQ164-1</f>
        <v>0.15368119485654286</v>
      </c>
      <c r="BX66" s="601">
        <f t="shared" ref="BX66" si="298">+BX164/BR164-1</f>
        <v>0.12602445987970556</v>
      </c>
      <c r="BY66" s="601">
        <f t="shared" ref="BY66" si="299">+BY164/BS164-1</f>
        <v>0.10603696810923169</v>
      </c>
      <c r="BZ66" s="602">
        <f t="shared" ref="BZ66" si="300">+BZ164/BT164-1</f>
        <v>9.9940764624970369E-2</v>
      </c>
      <c r="CA66" s="603">
        <f t="shared" ref="CA66" si="301">+CA164/BU164-1</f>
        <v>0.11256663533462841</v>
      </c>
      <c r="CB66" s="417"/>
      <c r="CC66" s="600">
        <f t="shared" ref="CC66" si="302">+CC164/BW164-1</f>
        <v>8.6552329794848282E-2</v>
      </c>
      <c r="CD66" s="601">
        <f t="shared" ref="CD66" si="303">+CD164/BX164-1</f>
        <v>8.7054101978100151E-2</v>
      </c>
      <c r="CE66" s="601">
        <f t="shared" ref="CE66" si="304">+CE164/BY164-1</f>
        <v>8.7769529345723907E-2</v>
      </c>
      <c r="CF66" s="602">
        <f t="shared" ref="CF66" si="305">+CF164/BZ164-1</f>
        <v>8.8727833513924992E-2</v>
      </c>
      <c r="CG66" s="603">
        <f t="shared" ref="CG66" si="306">+CG164/CA164-1</f>
        <v>8.7504785922918993E-2</v>
      </c>
      <c r="CH66" s="417"/>
      <c r="CI66" s="600">
        <f t="shared" ref="CI66" si="307">+CI164/CC164-1</f>
        <v>8.7800107731218047E-2</v>
      </c>
      <c r="CJ66" s="601">
        <f t="shared" ref="CJ66" si="308">+CJ164/CD164-1</f>
        <v>8.8278504139523761E-2</v>
      </c>
      <c r="CK66" s="601">
        <f t="shared" ref="CK66" si="309">+CK164/CE164-1</f>
        <v>8.8199035133228687E-2</v>
      </c>
      <c r="CL66" s="602">
        <f t="shared" ref="CL66" si="310">+CL164/CF164-1</f>
        <v>9.0970847870552873E-2</v>
      </c>
      <c r="CM66" s="603">
        <f t="shared" ref="CM66" si="311">+CM164/CG164-1</f>
        <v>8.8803653869902632E-2</v>
      </c>
      <c r="CN66" s="417"/>
      <c r="CO66" s="600">
        <f t="shared" ref="CO66" si="312">+CO164/CI164-1</f>
        <v>8.7864021879260346E-2</v>
      </c>
      <c r="CP66" s="601">
        <f t="shared" ref="CP66" si="313">+CP164/CJ164-1</f>
        <v>9.8063599672484347E-2</v>
      </c>
      <c r="CQ66" s="601">
        <f t="shared" ref="CQ66" si="314">+CQ164/CK164-1</f>
        <v>0.1029517141995866</v>
      </c>
      <c r="CR66" s="602">
        <f t="shared" ref="CR66" si="315">+CR164/CL164-1</f>
        <v>0.10390990560917124</v>
      </c>
      <c r="CS66" s="603">
        <f t="shared" ref="CS66" si="316">+CS164/CM164-1</f>
        <v>9.7845606794978224E-2</v>
      </c>
      <c r="CT66" s="416"/>
      <c r="CU66" s="400"/>
      <c r="CV66" s="400"/>
      <c r="DC66" s="921"/>
      <c r="DD66" s="921"/>
      <c r="DE66" s="921"/>
      <c r="DF66" s="921"/>
      <c r="DG66" s="921"/>
      <c r="DH66" s="921"/>
      <c r="DI66" s="921"/>
      <c r="DJ66" s="921"/>
      <c r="DK66" s="921"/>
      <c r="DL66" s="921"/>
    </row>
    <row r="67" spans="1:116">
      <c r="A67" s="545" t="s">
        <v>74</v>
      </c>
      <c r="B67" s="417"/>
      <c r="C67" s="600"/>
      <c r="D67" s="601"/>
      <c r="E67" s="601"/>
      <c r="F67" s="602"/>
      <c r="G67" s="603"/>
      <c r="H67" s="417"/>
      <c r="I67" s="600">
        <f>I33/C33-1</f>
        <v>1.2122767089654167</v>
      </c>
      <c r="J67" s="601">
        <f>J33/D33-1</f>
        <v>0.55189393997435032</v>
      </c>
      <c r="K67" s="601">
        <f>K33/E33-1</f>
        <v>0.26377010652722399</v>
      </c>
      <c r="L67" s="602">
        <f>L33/F33-1</f>
        <v>0.97491430449574246</v>
      </c>
      <c r="M67" s="603">
        <f>M33/G33-1</f>
        <v>0.69611159747032958</v>
      </c>
      <c r="N67" s="526"/>
      <c r="O67" s="600">
        <f>O33/I33-1</f>
        <v>1.073190734437119</v>
      </c>
      <c r="P67" s="601">
        <f>P33/J33-1</f>
        <v>0.81991143159332247</v>
      </c>
      <c r="Q67" s="601">
        <f>Q33/K33-1</f>
        <v>0.42105253093904516</v>
      </c>
      <c r="R67" s="602">
        <f>R33/L33-1</f>
        <v>-3.3740467304777977E-2</v>
      </c>
      <c r="S67" s="603">
        <f>S33/M33-1</f>
        <v>0.43881799612359695</v>
      </c>
      <c r="T67" s="601"/>
      <c r="U67" s="600">
        <f>U33/O33-1</f>
        <v>3.3190460827122958E-2</v>
      </c>
      <c r="V67" s="601">
        <f>V33/P33-1</f>
        <v>0.16505592141090042</v>
      </c>
      <c r="W67" s="601">
        <f>W33/Q33-1</f>
        <v>0.76492915784706561</v>
      </c>
      <c r="X67" s="602">
        <f>X33/R33-1</f>
        <v>0.39953416337750203</v>
      </c>
      <c r="Y67" s="603">
        <f>Y33/S33-1</f>
        <v>0.32650408896478944</v>
      </c>
      <c r="Z67" s="417"/>
      <c r="AA67" s="600">
        <f>AA33/U33-1</f>
        <v>0.71678667206272628</v>
      </c>
      <c r="AB67" s="601">
        <f>AB33/V33-1</f>
        <v>0.4668279335359129</v>
      </c>
      <c r="AC67" s="601">
        <f>AC33/W33-1</f>
        <v>-0.26358621935671001</v>
      </c>
      <c r="AD67" s="602">
        <f>AD33/X33-1</f>
        <v>0.19964043658146369</v>
      </c>
      <c r="AE67" s="603">
        <f>AE33/Y33-1</f>
        <v>0.23075399414690523</v>
      </c>
      <c r="AF67" s="417"/>
      <c r="AG67" s="600">
        <f>AG33/AA33-1</f>
        <v>1.2259158425943939E-2</v>
      </c>
      <c r="AH67" s="601">
        <f>AH33/AB33-1</f>
        <v>5.6715766652395194E-2</v>
      </c>
      <c r="AI67" s="601">
        <f>AI33/AC33-1</f>
        <v>0.84177685934476965</v>
      </c>
      <c r="AJ67" s="602">
        <f>AJ33/AD33-1</f>
        <v>0.20850960406640073</v>
      </c>
      <c r="AK67" s="603">
        <f>AK33/AE33-1</f>
        <v>0.21743922134945892</v>
      </c>
      <c r="AL67" s="417"/>
      <c r="AM67" s="600">
        <f>AM33/AG33-1</f>
        <v>0.29749826897539888</v>
      </c>
      <c r="AN67" s="601">
        <f>AN33/AH33-1</f>
        <v>8.4330586533951202E-2</v>
      </c>
      <c r="AO67" s="601">
        <f>AO33/AI33-1</f>
        <v>0.10753454916548977</v>
      </c>
      <c r="AP67" s="602">
        <f>AP33/AJ33-1</f>
        <v>6.8306061273991192E-2</v>
      </c>
      <c r="AQ67" s="603">
        <f>AQ33/AK33-1</f>
        <v>0.13380578155326872</v>
      </c>
      <c r="AR67" s="417"/>
      <c r="AS67" s="600">
        <f>AS33/AM33-1</f>
        <v>0.14943017921965951</v>
      </c>
      <c r="AT67" s="601">
        <f>AT33/AN33-1</f>
        <v>0.31404380525914233</v>
      </c>
      <c r="AU67" s="601">
        <f>AU33/AO33-1</f>
        <v>0.7110775072426978</v>
      </c>
      <c r="AV67" s="601">
        <f>AV33/AP33-1</f>
        <v>0.92052423447447018</v>
      </c>
      <c r="AW67" s="603">
        <f>AW33/AQ33-1</f>
        <v>0.52226057986426144</v>
      </c>
      <c r="AX67" s="417"/>
      <c r="AY67" s="600">
        <f>AY33/AS33-1</f>
        <v>0.70585687300161504</v>
      </c>
      <c r="AZ67" s="601">
        <f>AZ33/AT33-1</f>
        <v>0.41649646314061828</v>
      </c>
      <c r="BA67" s="601">
        <f>BA33/AU33-1</f>
        <v>3.7036082604128717E-2</v>
      </c>
      <c r="BB67" s="601">
        <f>BB33/AV33-1</f>
        <v>-6.6830990093237119E-2</v>
      </c>
      <c r="BC67" s="603">
        <f>BC33/AW33-1</f>
        <v>0.2141061811959859</v>
      </c>
      <c r="BD67" s="417"/>
      <c r="BE67" s="600">
        <f>BE33/AY33-1</f>
        <v>-0.21870267080374439</v>
      </c>
      <c r="BF67" s="601">
        <f>BF33/AZ33-1</f>
        <v>7.0710047647211782E-2</v>
      </c>
      <c r="BG67" s="601">
        <f>BG33/BA33-1</f>
        <v>0.21906396275042517</v>
      </c>
      <c r="BH67" s="602">
        <f>BH33/BB33-1</f>
        <v>5.5265625405068075E-2</v>
      </c>
      <c r="BI67" s="603">
        <f>BI33/BC33-1</f>
        <v>2.3308975846672908E-2</v>
      </c>
      <c r="BJ67" s="417"/>
      <c r="BK67" s="600">
        <f>BK33/BE33-1</f>
        <v>-0.10353431964654491</v>
      </c>
      <c r="BL67" s="601">
        <f>BL33/BF33-1</f>
        <v>-4.3250108790089947E-2</v>
      </c>
      <c r="BM67" s="601">
        <f>BM33/BG33-1</f>
        <v>0.13748823955323086</v>
      </c>
      <c r="BN67" s="602">
        <f>BN33/BH33-1</f>
        <v>0.68358436779069831</v>
      </c>
      <c r="BO67" s="603">
        <f>BO33/BI33-1</f>
        <v>0.17853722590724086</v>
      </c>
      <c r="BP67" s="417"/>
      <c r="BQ67" s="600">
        <f>BQ33/BK33-1</f>
        <v>1.2673663024726856</v>
      </c>
      <c r="BR67" s="601">
        <f>BR33/BL33-1</f>
        <v>0.36138752977910316</v>
      </c>
      <c r="BS67" s="601">
        <f>BS33/BM33-1</f>
        <v>5.9817778839457159E-2</v>
      </c>
      <c r="BT67" s="602">
        <f>BT33/BN33-1</f>
        <v>-0.12809136101706875</v>
      </c>
      <c r="BU67" s="603">
        <f>BU33/BO33-1</f>
        <v>0.24651001529203964</v>
      </c>
      <c r="BV67" s="417"/>
      <c r="BW67" s="600">
        <f>BW33/BQ33-1</f>
        <v>3.9798865612139744E-2</v>
      </c>
      <c r="BX67" s="601">
        <f>BX33/BR33-1</f>
        <v>0.11387319221841086</v>
      </c>
      <c r="BY67" s="601">
        <f>BY33/BS33-1</f>
        <v>0.1110926872619673</v>
      </c>
      <c r="BZ67" s="602">
        <f>BZ33/BT33-1</f>
        <v>0.10628101958130776</v>
      </c>
      <c r="CA67" s="603">
        <f>CA33/BU33-1</f>
        <v>8.9867750946317715E-2</v>
      </c>
      <c r="CB67" s="417"/>
      <c r="CC67" s="600">
        <f>CC33/BW33-1</f>
        <v>0.1174042297158111</v>
      </c>
      <c r="CD67" s="601">
        <f>CD33/BX33-1</f>
        <v>0.44265789776460807</v>
      </c>
      <c r="CE67" s="601">
        <f>CE33/BY33-1</f>
        <v>0.46388320283911511</v>
      </c>
      <c r="CF67" s="602">
        <f>CF33/BZ33-1</f>
        <v>0.46542048853968598</v>
      </c>
      <c r="CG67" s="603">
        <f>CG33/CA33-1</f>
        <v>0.36370633495213989</v>
      </c>
      <c r="CH67" s="417"/>
      <c r="CI67" s="600">
        <f t="shared" ref="CI67:CM67" si="317">CI33/CC33-1</f>
        <v>0.42024405417626043</v>
      </c>
      <c r="CJ67" s="601">
        <f t="shared" si="317"/>
        <v>-0.1034596635713374</v>
      </c>
      <c r="CK67" s="601">
        <f t="shared" si="317"/>
        <v>-0.11589618205827923</v>
      </c>
      <c r="CL67" s="602">
        <f t="shared" si="317"/>
        <v>-0.11574175908861295</v>
      </c>
      <c r="CM67" s="603">
        <f t="shared" si="317"/>
        <v>8.5052811056951505E-3</v>
      </c>
      <c r="CN67" s="417"/>
      <c r="CO67" s="600">
        <f t="shared" ref="CO67:CS67" si="318">CO33/CI33-1</f>
        <v>-9.8675896087481618E-2</v>
      </c>
      <c r="CP67" s="601">
        <f t="shared" si="318"/>
        <v>0.13264606096177145</v>
      </c>
      <c r="CQ67" s="601">
        <f t="shared" si="318"/>
        <v>0.13707294640821055</v>
      </c>
      <c r="CR67" s="602">
        <f t="shared" si="318"/>
        <v>0.13759604159849048</v>
      </c>
      <c r="CS67" s="603">
        <f t="shared" si="318"/>
        <v>6.110421814924627E-2</v>
      </c>
      <c r="CT67" s="416"/>
      <c r="CU67" s="400"/>
      <c r="CV67" s="400"/>
      <c r="DC67" s="921"/>
      <c r="DD67" s="921"/>
      <c r="DE67" s="921"/>
      <c r="DF67" s="921"/>
      <c r="DG67" s="921"/>
      <c r="DH67" s="921"/>
      <c r="DI67" s="921"/>
      <c r="DJ67" s="921"/>
      <c r="DK67" s="921"/>
      <c r="DL67" s="921"/>
    </row>
    <row r="68" spans="1:116" ht="6" customHeight="1">
      <c r="A68" s="726"/>
      <c r="B68" s="726"/>
      <c r="C68" s="416"/>
      <c r="D68" s="400"/>
      <c r="E68" s="400"/>
      <c r="F68" s="932"/>
      <c r="G68" s="937"/>
      <c r="H68" s="726"/>
      <c r="I68" s="416"/>
      <c r="J68" s="400"/>
      <c r="K68" s="400"/>
      <c r="L68" s="932"/>
      <c r="M68" s="933"/>
      <c r="N68" s="934"/>
      <c r="O68" s="935"/>
      <c r="P68" s="151"/>
      <c r="Q68" s="151"/>
      <c r="R68" s="936"/>
      <c r="S68" s="933"/>
      <c r="T68" s="934"/>
      <c r="U68" s="935"/>
      <c r="V68" s="151"/>
      <c r="W68" s="151"/>
      <c r="X68" s="936"/>
      <c r="Y68" s="933"/>
      <c r="Z68" s="934"/>
      <c r="AA68" s="935"/>
      <c r="AB68" s="151"/>
      <c r="AC68" s="151"/>
      <c r="AD68" s="936"/>
      <c r="AE68" s="933"/>
      <c r="AF68" s="934"/>
      <c r="AG68" s="935"/>
      <c r="AH68" s="151"/>
      <c r="AI68" s="151"/>
      <c r="AJ68" s="936"/>
      <c r="AK68" s="933"/>
      <c r="AL68" s="934"/>
      <c r="AM68" s="935"/>
      <c r="AN68" s="151"/>
      <c r="AO68" s="151"/>
      <c r="AP68" s="936"/>
      <c r="AQ68" s="933"/>
      <c r="AR68" s="934"/>
      <c r="AS68" s="935"/>
      <c r="AT68" s="151"/>
      <c r="AU68" s="151"/>
      <c r="AV68" s="151"/>
      <c r="AW68" s="933"/>
      <c r="AX68" s="934"/>
      <c r="AY68" s="935"/>
      <c r="AZ68" s="151"/>
      <c r="BA68" s="151"/>
      <c r="BB68" s="936"/>
      <c r="BC68" s="933"/>
      <c r="BD68" s="934"/>
      <c r="BE68" s="935"/>
      <c r="BF68" s="151"/>
      <c r="BG68" s="151"/>
      <c r="BH68" s="936"/>
      <c r="BI68" s="933"/>
      <c r="BJ68" s="934"/>
      <c r="BK68" s="935"/>
      <c r="BL68" s="151"/>
      <c r="BM68" s="151"/>
      <c r="BN68" s="936"/>
      <c r="BO68" s="933"/>
      <c r="BP68" s="934"/>
      <c r="BQ68" s="935"/>
      <c r="BR68" s="151"/>
      <c r="BS68" s="151"/>
      <c r="BT68" s="936"/>
      <c r="BU68" s="933"/>
      <c r="BV68" s="934"/>
      <c r="BW68" s="935"/>
      <c r="BX68" s="151"/>
      <c r="BY68" s="151"/>
      <c r="BZ68" s="936"/>
      <c r="CA68" s="933"/>
      <c r="CB68" s="934"/>
      <c r="CC68" s="935"/>
      <c r="CD68" s="151"/>
      <c r="CE68" s="151"/>
      <c r="CF68" s="936"/>
      <c r="CG68" s="933"/>
      <c r="CH68" s="934"/>
      <c r="CI68" s="935"/>
      <c r="CJ68" s="151"/>
      <c r="CK68" s="151"/>
      <c r="CL68" s="936"/>
      <c r="CM68" s="933"/>
      <c r="CN68" s="934"/>
      <c r="CO68" s="935"/>
      <c r="CP68" s="151"/>
      <c r="CQ68" s="151"/>
      <c r="CR68" s="936"/>
      <c r="CS68" s="933"/>
      <c r="CT68" s="416"/>
      <c r="CU68" s="400"/>
      <c r="CV68" s="400"/>
      <c r="DC68" s="921"/>
      <c r="DD68" s="921"/>
      <c r="DE68" s="921"/>
      <c r="DF68" s="921"/>
      <c r="DG68" s="921"/>
      <c r="DH68" s="921"/>
      <c r="DI68" s="921"/>
      <c r="DJ68" s="921"/>
      <c r="DK68" s="921"/>
      <c r="DL68" s="921"/>
    </row>
    <row r="69" spans="1:116" hidden="1" outlineLevel="1">
      <c r="A69" s="604" t="s">
        <v>398</v>
      </c>
      <c r="B69" s="417"/>
      <c r="C69" s="605">
        <v>0.88300000000000001</v>
      </c>
      <c r="D69" s="606">
        <v>0.95599999999999996</v>
      </c>
      <c r="E69" s="606">
        <v>1.0589999999999999</v>
      </c>
      <c r="F69" s="607">
        <f>4.045-SUM(C69:E69)</f>
        <v>1.1470000000000002</v>
      </c>
      <c r="G69" s="432">
        <f>SUM(C69:F69)</f>
        <v>4.0449999999999999</v>
      </c>
      <c r="H69" s="417"/>
      <c r="I69" s="605">
        <v>1.3049999999999999</v>
      </c>
      <c r="J69" s="606">
        <v>1.337</v>
      </c>
      <c r="K69" s="606">
        <v>1.093</v>
      </c>
      <c r="L69" s="607">
        <f>4.71-SUM(I69:K69)</f>
        <v>0.97500000000000009</v>
      </c>
      <c r="M69" s="432">
        <f>SUM(I69:L69)</f>
        <v>4.71</v>
      </c>
      <c r="N69" s="526"/>
      <c r="O69" s="605">
        <v>1.274</v>
      </c>
      <c r="P69" s="606">
        <v>1.198</v>
      </c>
      <c r="Q69" s="606">
        <v>1.1439999999999999</v>
      </c>
      <c r="R69" s="607">
        <f>4.776-SUM(O69:Q69)</f>
        <v>1.1600000000000001</v>
      </c>
      <c r="S69" s="432">
        <f>SUM(O69:R69)</f>
        <v>4.7759999999999998</v>
      </c>
      <c r="T69" s="417"/>
      <c r="U69" s="605">
        <v>1.2090000000000001</v>
      </c>
      <c r="V69" s="606">
        <v>1.3009999999999999</v>
      </c>
      <c r="W69" s="606">
        <v>1.359</v>
      </c>
      <c r="X69" s="607">
        <f>5.378-SUM(U69:W69)</f>
        <v>1.5090000000000003</v>
      </c>
      <c r="Y69" s="432">
        <f>SUM(U69:X69)</f>
        <v>5.3780000000000001</v>
      </c>
      <c r="Z69" s="417"/>
      <c r="AA69" s="605">
        <v>1.512</v>
      </c>
      <c r="AB69" s="606">
        <v>1.8</v>
      </c>
      <c r="AC69" s="606">
        <v>1.9550000000000001</v>
      </c>
      <c r="AD69" s="607">
        <f>6.951-SUM(AA69:AC69)</f>
        <v>1.6839999999999993</v>
      </c>
      <c r="AE69" s="432">
        <f>SUM(AA69:AD69)</f>
        <v>6.9509999999999996</v>
      </c>
      <c r="AF69" s="417"/>
      <c r="AG69" s="605">
        <v>1.8120000000000001</v>
      </c>
      <c r="AH69" s="606">
        <v>1.8440000000000001</v>
      </c>
      <c r="AI69" s="606">
        <v>1.9279999999999999</v>
      </c>
      <c r="AJ69" s="607">
        <v>1.9910000000000001</v>
      </c>
      <c r="AK69" s="432">
        <f>SUM(AG69:AJ69)</f>
        <v>7.5749999999999993</v>
      </c>
      <c r="AL69" s="417"/>
      <c r="AM69" s="605">
        <v>1.4419999999999999</v>
      </c>
      <c r="AN69" s="606">
        <v>1.444</v>
      </c>
      <c r="AO69" s="606">
        <v>1.524</v>
      </c>
      <c r="AP69" s="607">
        <v>1.8129999999999999</v>
      </c>
      <c r="AQ69" s="432">
        <f>SUM(AM69:AP69)</f>
        <v>6.2229999999999999</v>
      </c>
      <c r="AR69" s="417"/>
      <c r="AS69" s="605">
        <v>2.0950000000000002</v>
      </c>
      <c r="AT69" s="606">
        <v>2.149</v>
      </c>
      <c r="AU69" s="606">
        <v>2.5720000000000001</v>
      </c>
      <c r="AV69" s="606">
        <v>2.6349999999999998</v>
      </c>
      <c r="AW69" s="432">
        <f>SUM(AS69:AV69)</f>
        <v>9.4510000000000005</v>
      </c>
      <c r="AX69" s="417"/>
      <c r="AY69" s="605">
        <v>2.3319999999999999</v>
      </c>
      <c r="AZ69" s="606">
        <v>2.113</v>
      </c>
      <c r="BA69" s="606">
        <v>2.5670000000000002</v>
      </c>
      <c r="BB69" s="606">
        <v>2.8290000000000002</v>
      </c>
      <c r="BC69" s="432">
        <f>SUM(AY69:BB69)</f>
        <v>9.8410000000000011</v>
      </c>
      <c r="BD69" s="417"/>
      <c r="BE69" s="605">
        <v>2.1920000000000002</v>
      </c>
      <c r="BF69" s="606">
        <v>1.958</v>
      </c>
      <c r="BG69" s="606">
        <v>1.7989999999999999</v>
      </c>
      <c r="BH69" s="606">
        <v>3.121</v>
      </c>
      <c r="BI69" s="432">
        <f>SUM(BE69:BH69)</f>
        <v>9.07</v>
      </c>
      <c r="BJ69" s="417"/>
      <c r="BK69" s="605">
        <v>3</v>
      </c>
      <c r="BL69" s="606">
        <v>3</v>
      </c>
      <c r="BM69" s="606">
        <v>3</v>
      </c>
      <c r="BN69" s="606">
        <v>3</v>
      </c>
      <c r="BO69" s="432">
        <f>SUM(BK69:BN69)</f>
        <v>12</v>
      </c>
      <c r="BP69" s="417"/>
      <c r="BQ69" s="605">
        <v>4</v>
      </c>
      <c r="BR69" s="610">
        <f t="shared" ref="BR69:BT70" si="319">BR75*BR13</f>
        <v>4.093607762376533</v>
      </c>
      <c r="BS69" s="610">
        <f t="shared" si="319"/>
        <v>4.1892212270331175</v>
      </c>
      <c r="BT69" s="608">
        <f t="shared" si="319"/>
        <v>4.3199622711352736</v>
      </c>
      <c r="BU69" s="432">
        <f>SUM(BQ69:BT69)</f>
        <v>16.602791260544922</v>
      </c>
      <c r="BV69" s="417"/>
      <c r="BW69" s="609">
        <f t="shared" ref="BW69:BZ69" si="320">BW75*BW13</f>
        <v>4.277637267940321</v>
      </c>
      <c r="BX69" s="610">
        <f t="shared" si="320"/>
        <v>4.2717854147469572</v>
      </c>
      <c r="BY69" s="610">
        <f t="shared" si="320"/>
        <v>4.3366586009946575</v>
      </c>
      <c r="BZ69" s="608">
        <f t="shared" si="320"/>
        <v>4.4584927536611092</v>
      </c>
      <c r="CA69" s="432">
        <f>SUM(BW69:BZ69)</f>
        <v>17.344574037343044</v>
      </c>
      <c r="CB69" s="417"/>
      <c r="CC69" s="609">
        <f t="shared" ref="CC69:CF69" si="321">CC75*CC13</f>
        <v>4.4704191063500973</v>
      </c>
      <c r="CD69" s="610">
        <f t="shared" si="321"/>
        <v>4.4690600437810293</v>
      </c>
      <c r="CE69" s="610">
        <f>CE75*CE13</f>
        <v>4.5415281189176175</v>
      </c>
      <c r="CF69" s="608">
        <f t="shared" si="321"/>
        <v>4.6733710550864362</v>
      </c>
      <c r="CG69" s="432">
        <f>SUM(CC69:CF69)</f>
        <v>18.15437832413518</v>
      </c>
      <c r="CH69" s="417"/>
      <c r="CI69" s="609">
        <f t="shared" ref="CI69:CL69" si="322">CI75*CI13</f>
        <v>4.752626310845379</v>
      </c>
      <c r="CJ69" s="610">
        <f t="shared" si="322"/>
        <v>4.7509274895252132</v>
      </c>
      <c r="CK69" s="610">
        <f t="shared" si="322"/>
        <v>4.8276190542956039</v>
      </c>
      <c r="CL69" s="608">
        <f t="shared" si="322"/>
        <v>4.9791142100639325</v>
      </c>
      <c r="CM69" s="432">
        <f t="shared" ref="CM69:CM73" si="323">SUM(CI69:CL69)</f>
        <v>19.310287064730129</v>
      </c>
      <c r="CN69" s="417"/>
      <c r="CO69" s="609">
        <f t="shared" ref="CO69:CR69" si="324">CO75*CO13</f>
        <v>5.0902125881280025</v>
      </c>
      <c r="CP69" s="610">
        <f t="shared" si="324"/>
        <v>5.118813892831696</v>
      </c>
      <c r="CQ69" s="610">
        <f t="shared" si="324"/>
        <v>5.2236207798038095</v>
      </c>
      <c r="CR69" s="608">
        <f t="shared" si="324"/>
        <v>5.3929011015034449</v>
      </c>
      <c r="CS69" s="432">
        <f t="shared" ref="CS69:CS73" si="325">SUM(CO69:CR69)</f>
        <v>20.825548362266954</v>
      </c>
      <c r="CT69" s="416"/>
      <c r="CU69" s="601"/>
      <c r="CV69" s="400"/>
      <c r="DC69" s="921"/>
      <c r="DD69" s="921"/>
      <c r="DE69" s="921"/>
      <c r="DF69" s="921"/>
      <c r="DG69" s="921"/>
      <c r="DH69" s="921"/>
      <c r="DI69" s="921"/>
      <c r="DJ69" s="921"/>
      <c r="DK69" s="921"/>
      <c r="DL69" s="921"/>
    </row>
    <row r="70" spans="1:116" hidden="1" outlineLevel="1">
      <c r="A70" s="604" t="s">
        <v>399</v>
      </c>
      <c r="B70" s="417"/>
      <c r="C70" s="605">
        <v>6.3E-2</v>
      </c>
      <c r="D70" s="606">
        <v>7.6999999999999999E-2</v>
      </c>
      <c r="E70" s="606">
        <v>0.06</v>
      </c>
      <c r="F70" s="607">
        <f>0.279-SUM(C70:E70)</f>
        <v>7.9000000000000015E-2</v>
      </c>
      <c r="G70" s="432">
        <f>SUM(C70:F70)</f>
        <v>0.27900000000000003</v>
      </c>
      <c r="H70" s="417"/>
      <c r="I70" s="605">
        <v>9.9000000000000005E-2</v>
      </c>
      <c r="J70" s="606">
        <v>0.08</v>
      </c>
      <c r="K70" s="606">
        <v>0.109</v>
      </c>
      <c r="L70" s="607">
        <f>0.4-SUM(I70:K70)</f>
        <v>0.11200000000000004</v>
      </c>
      <c r="M70" s="432">
        <f>SUM(I70:L70)</f>
        <v>0.4</v>
      </c>
      <c r="N70" s="526"/>
      <c r="O70" s="605">
        <v>0.14099999999999999</v>
      </c>
      <c r="P70" s="606">
        <v>0.14299999999999999</v>
      </c>
      <c r="Q70" s="606">
        <v>0.112</v>
      </c>
      <c r="R70" s="607">
        <f>0.514-SUM(O70:Q70)</f>
        <v>0.11800000000000005</v>
      </c>
      <c r="S70" s="432">
        <f>SUM(O70:R70)</f>
        <v>0.51400000000000001</v>
      </c>
      <c r="T70" s="417"/>
      <c r="U70" s="605">
        <v>0.111</v>
      </c>
      <c r="V70" s="606">
        <v>0.14599999999999999</v>
      </c>
      <c r="W70" s="606">
        <v>0.13700000000000001</v>
      </c>
      <c r="X70" s="607">
        <f>0.47-SUM(U70:W70)</f>
        <v>7.5999999999999956E-2</v>
      </c>
      <c r="Y70" s="432">
        <f>SUM(U70:X70)</f>
        <v>0.47</v>
      </c>
      <c r="Z70" s="417"/>
      <c r="AA70" s="605">
        <v>0.21</v>
      </c>
      <c r="AB70" s="606">
        <v>0.13200000000000001</v>
      </c>
      <c r="AC70" s="606">
        <v>0.19400000000000001</v>
      </c>
      <c r="AD70" s="607">
        <f>0.695-SUM(AA70:AC70)</f>
        <v>0.15899999999999992</v>
      </c>
      <c r="AE70" s="432">
        <f>SUM(AA70:AD70)</f>
        <v>0.69499999999999995</v>
      </c>
      <c r="AF70" s="417"/>
      <c r="AG70" s="605">
        <v>1.7000000000000001E-2</v>
      </c>
      <c r="AH70" s="606">
        <v>0.16800000000000001</v>
      </c>
      <c r="AI70" s="606">
        <v>0.14199999999999999</v>
      </c>
      <c r="AJ70" s="607">
        <v>0.13400000000000001</v>
      </c>
      <c r="AK70" s="432">
        <f>SUM(AG70:AJ70)</f>
        <v>0.46099999999999997</v>
      </c>
      <c r="AL70" s="417"/>
      <c r="AM70" s="605">
        <v>0.154</v>
      </c>
      <c r="AN70" s="606">
        <v>0.157</v>
      </c>
      <c r="AO70" s="606">
        <v>0.23300000000000001</v>
      </c>
      <c r="AP70" s="607">
        <v>0.23300000000000001</v>
      </c>
      <c r="AQ70" s="432">
        <f>SUM(AM70:AP70)</f>
        <v>0.77700000000000002</v>
      </c>
      <c r="AR70" s="417"/>
      <c r="AS70" s="605">
        <v>0</v>
      </c>
      <c r="AT70" s="606">
        <v>0</v>
      </c>
      <c r="AU70" s="606">
        <v>0</v>
      </c>
      <c r="AV70" s="606">
        <v>0</v>
      </c>
      <c r="AW70" s="432">
        <f>SUM(AS70:AV70)</f>
        <v>0</v>
      </c>
      <c r="AX70" s="417"/>
      <c r="AY70" s="605">
        <v>0</v>
      </c>
      <c r="AZ70" s="606">
        <v>0</v>
      </c>
      <c r="BA70" s="606">
        <v>0</v>
      </c>
      <c r="BB70" s="606">
        <v>0</v>
      </c>
      <c r="BC70" s="432">
        <f>SUM(AY70:BB70)</f>
        <v>0</v>
      </c>
      <c r="BD70" s="417"/>
      <c r="BE70" s="605">
        <v>0</v>
      </c>
      <c r="BF70" s="606">
        <v>0</v>
      </c>
      <c r="BG70" s="606">
        <v>0</v>
      </c>
      <c r="BH70" s="606">
        <v>0</v>
      </c>
      <c r="BI70" s="432">
        <f>SUM(BE70:BH70)</f>
        <v>0</v>
      </c>
      <c r="BJ70" s="417"/>
      <c r="BK70" s="605">
        <v>0</v>
      </c>
      <c r="BL70" s="606">
        <v>0</v>
      </c>
      <c r="BM70" s="606">
        <v>1</v>
      </c>
      <c r="BN70" s="606">
        <v>0</v>
      </c>
      <c r="BO70" s="432">
        <f>SUM(BK70:BN70)</f>
        <v>1</v>
      </c>
      <c r="BP70" s="417"/>
      <c r="BQ70" s="605">
        <v>1</v>
      </c>
      <c r="BR70" s="610">
        <f t="shared" si="319"/>
        <v>1.1085967741935485</v>
      </c>
      <c r="BS70" s="610">
        <f t="shared" si="319"/>
        <v>1.1141129032258061</v>
      </c>
      <c r="BT70" s="608">
        <f t="shared" si="319"/>
        <v>1.19475</v>
      </c>
      <c r="BU70" s="432">
        <f>SUM(BQ70:BT70)</f>
        <v>4.4174596774193553</v>
      </c>
      <c r="BV70" s="417"/>
      <c r="BW70" s="609">
        <f t="shared" ref="BW70:BZ70" si="326">BW76*BW14</f>
        <v>1.3202707357158969</v>
      </c>
      <c r="BX70" s="610">
        <f t="shared" si="326"/>
        <v>1.4616059404466499</v>
      </c>
      <c r="BY70" s="610">
        <f t="shared" si="326"/>
        <v>1.4635693300248138</v>
      </c>
      <c r="BZ70" s="608">
        <f t="shared" si="326"/>
        <v>1.5675205980148881</v>
      </c>
      <c r="CA70" s="432">
        <f>SUM(BW70:BZ70)</f>
        <v>5.8129666042022494</v>
      </c>
      <c r="CB70" s="417"/>
      <c r="CC70" s="609">
        <f t="shared" ref="CC70:CF70" si="327">CC76*CC14</f>
        <v>1.6667167938066898</v>
      </c>
      <c r="CD70" s="610">
        <f t="shared" si="327"/>
        <v>1.8439940934319525</v>
      </c>
      <c r="CE70" s="610">
        <f>CE76*CE14</f>
        <v>1.8429305289940829</v>
      </c>
      <c r="CF70" s="608">
        <f t="shared" si="327"/>
        <v>1.9725018877810652</v>
      </c>
      <c r="CG70" s="432">
        <f>SUM(CC70:CF70)</f>
        <v>7.3261433040137902</v>
      </c>
      <c r="CH70" s="417"/>
      <c r="CI70" s="609">
        <f t="shared" ref="CI70:CL70" si="328">CI76*CI14</f>
        <v>2.0247513562403547</v>
      </c>
      <c r="CJ70" s="610">
        <f t="shared" si="328"/>
        <v>2.237396054802681</v>
      </c>
      <c r="CK70" s="610">
        <f t="shared" si="328"/>
        <v>2.2361444948835212</v>
      </c>
      <c r="CL70" s="608">
        <f t="shared" si="328"/>
        <v>2.3933762236697009</v>
      </c>
      <c r="CM70" s="432">
        <f t="shared" si="323"/>
        <v>8.8916681295962583</v>
      </c>
      <c r="CN70" s="417"/>
      <c r="CO70" s="609">
        <f t="shared" ref="CO70:CR70" si="329">CO76*CO14</f>
        <v>2.3602396441858629</v>
      </c>
      <c r="CP70" s="610">
        <f t="shared" si="329"/>
        <v>2.6032612477899137</v>
      </c>
      <c r="CQ70" s="610">
        <f t="shared" si="329"/>
        <v>2.6073745388059475</v>
      </c>
      <c r="CR70" s="608">
        <f t="shared" si="329"/>
        <v>2.7927960815159842</v>
      </c>
      <c r="CS70" s="432">
        <f t="shared" si="325"/>
        <v>10.363671512297708</v>
      </c>
      <c r="CT70" s="416"/>
      <c r="CU70" s="400"/>
      <c r="CV70" s="400"/>
      <c r="DC70" s="921"/>
      <c r="DD70" s="921"/>
      <c r="DE70" s="921"/>
      <c r="DF70" s="921"/>
      <c r="DG70" s="921"/>
      <c r="DH70" s="921"/>
      <c r="DI70" s="921"/>
      <c r="DJ70" s="921"/>
      <c r="DK70" s="921"/>
      <c r="DL70" s="921"/>
    </row>
    <row r="71" spans="1:116" hidden="1" outlineLevel="1">
      <c r="A71" s="604" t="s">
        <v>400</v>
      </c>
      <c r="B71" s="417"/>
      <c r="C71" s="605">
        <v>1.931</v>
      </c>
      <c r="D71" s="606">
        <v>2.4969999999999999</v>
      </c>
      <c r="E71" s="606">
        <v>2.6070000000000002</v>
      </c>
      <c r="F71" s="607">
        <f>10.016-SUM(C71:E71)</f>
        <v>2.9809999999999999</v>
      </c>
      <c r="G71" s="432">
        <f>SUM(C71:F71)</f>
        <v>10.016</v>
      </c>
      <c r="H71" s="417"/>
      <c r="I71" s="605">
        <v>3.3069999999999999</v>
      </c>
      <c r="J71" s="606">
        <v>3.448</v>
      </c>
      <c r="K71" s="606">
        <v>3.5350000000000001</v>
      </c>
      <c r="L71" s="607">
        <f>14.086-SUM(I71:K71)</f>
        <v>3.7960000000000012</v>
      </c>
      <c r="M71" s="432">
        <f>SUM(I71:L71)</f>
        <v>14.086</v>
      </c>
      <c r="N71" s="526"/>
      <c r="O71" s="605">
        <v>4.6219999999999999</v>
      </c>
      <c r="P71" s="606">
        <v>4.9790000000000001</v>
      </c>
      <c r="Q71" s="606">
        <v>4.7880000000000003</v>
      </c>
      <c r="R71" s="607">
        <f>19.96-SUM(O71:Q71)</f>
        <v>5.5710000000000015</v>
      </c>
      <c r="S71" s="432">
        <f>SUM(O71:R71)</f>
        <v>19.96</v>
      </c>
      <c r="T71" s="417"/>
      <c r="U71" s="605">
        <v>5.8979999999999997</v>
      </c>
      <c r="V71" s="606">
        <v>6.032</v>
      </c>
      <c r="W71" s="606">
        <v>6.5209999999999999</v>
      </c>
      <c r="X71" s="607">
        <f>25.428-SUM(U71:W71)</f>
        <v>6.9770000000000003</v>
      </c>
      <c r="Y71" s="432">
        <f>SUM(U71:X71)</f>
        <v>25.428000000000001</v>
      </c>
      <c r="Z71" s="417"/>
      <c r="AA71" s="605">
        <v>7.7279999999999998</v>
      </c>
      <c r="AB71" s="606">
        <v>8.4610000000000003</v>
      </c>
      <c r="AC71" s="606">
        <v>8.6210000000000004</v>
      </c>
      <c r="AD71" s="607">
        <f>32.105-SUM(AA71:AC71)</f>
        <v>7.2949999999999946</v>
      </c>
      <c r="AE71" s="432">
        <f>SUM(AA71:AD71)</f>
        <v>32.104999999999997</v>
      </c>
      <c r="AF71" s="417"/>
      <c r="AG71" s="605">
        <v>7.4269999999999996</v>
      </c>
      <c r="AH71" s="606">
        <v>7.6870000000000003</v>
      </c>
      <c r="AI71" s="606">
        <v>7.7640000000000002</v>
      </c>
      <c r="AJ71" s="607">
        <v>8.0009999999999994</v>
      </c>
      <c r="AK71" s="432">
        <f>SUM(AG71:AJ71)</f>
        <v>30.878999999999998</v>
      </c>
      <c r="AL71" s="417"/>
      <c r="AM71" s="605">
        <v>8.0060000000000002</v>
      </c>
      <c r="AN71" s="606">
        <v>8.9540000000000006</v>
      </c>
      <c r="AO71" s="606">
        <v>9.5609999999999999</v>
      </c>
      <c r="AP71" s="607">
        <v>10.917999999999999</v>
      </c>
      <c r="AQ71" s="432">
        <f>SUM(AM71:AP71)</f>
        <v>37.439</v>
      </c>
      <c r="AR71" s="417"/>
      <c r="AS71" s="605">
        <v>11.669</v>
      </c>
      <c r="AT71" s="606">
        <v>12.785</v>
      </c>
      <c r="AU71" s="606">
        <v>14.589</v>
      </c>
      <c r="AV71" s="606">
        <v>11.837</v>
      </c>
      <c r="AW71" s="432">
        <f>SUM(AS71:AV71)</f>
        <v>50.879999999999995</v>
      </c>
      <c r="AX71" s="417"/>
      <c r="AY71" s="605">
        <v>11.307</v>
      </c>
      <c r="AZ71" s="606">
        <v>10.747</v>
      </c>
      <c r="BA71" s="606">
        <v>9.0980000000000008</v>
      </c>
      <c r="BB71" s="606">
        <v>10.849</v>
      </c>
      <c r="BC71" s="432">
        <f>SUM(AY71:BB71)</f>
        <v>42.001000000000005</v>
      </c>
      <c r="BD71" s="417"/>
      <c r="BE71" s="605">
        <v>10.680999999999999</v>
      </c>
      <c r="BF71" s="606">
        <v>10.693</v>
      </c>
      <c r="BG71" s="606">
        <v>11.515000000000001</v>
      </c>
      <c r="BH71" s="606">
        <v>9.4060000000000006</v>
      </c>
      <c r="BI71" s="432">
        <f>SUM(BE71:BH71)</f>
        <v>42.294999999999995</v>
      </c>
      <c r="BJ71" s="417"/>
      <c r="BK71" s="605">
        <v>14</v>
      </c>
      <c r="BL71" s="606">
        <v>13</v>
      </c>
      <c r="BM71" s="606">
        <v>12</v>
      </c>
      <c r="BN71" s="606">
        <v>13</v>
      </c>
      <c r="BO71" s="432">
        <f>SUM(BK71:BN71)</f>
        <v>52</v>
      </c>
      <c r="BP71" s="417"/>
      <c r="BQ71" s="605">
        <v>15</v>
      </c>
      <c r="BR71" s="610">
        <f t="shared" ref="BR71:BT72" si="330">BR77*BR17</f>
        <v>17.308733645037922</v>
      </c>
      <c r="BS71" s="610">
        <f t="shared" si="330"/>
        <v>17.422022416963809</v>
      </c>
      <c r="BT71" s="608">
        <f t="shared" si="330"/>
        <v>17.941098700555411</v>
      </c>
      <c r="BU71" s="432">
        <f>SUM(BQ71:BT71)</f>
        <v>67.671854762557146</v>
      </c>
      <c r="BV71" s="417"/>
      <c r="BW71" s="609">
        <f t="shared" ref="BW71:BZ71" si="331">BW77*BW17</f>
        <v>16.64351533766715</v>
      </c>
      <c r="BX71" s="610">
        <f t="shared" si="331"/>
        <v>18.960714140340855</v>
      </c>
      <c r="BY71" s="610">
        <f t="shared" si="331"/>
        <v>18.977355213404813</v>
      </c>
      <c r="BZ71" s="608">
        <f t="shared" si="331"/>
        <v>19.49547017401915</v>
      </c>
      <c r="CA71" s="432">
        <f>SUM(BW71:BZ71)</f>
        <v>74.077054865431975</v>
      </c>
      <c r="CB71" s="417"/>
      <c r="CC71" s="609">
        <f t="shared" ref="CC71:CF71" si="332">CC77*CC17</f>
        <v>18.228457158338685</v>
      </c>
      <c r="CD71" s="610">
        <f t="shared" si="332"/>
        <v>20.799817982306283</v>
      </c>
      <c r="CE71" s="610">
        <f>CE77*CE17</f>
        <v>20.811058214740871</v>
      </c>
      <c r="CF71" s="608">
        <f t="shared" si="332"/>
        <v>21.407329984006708</v>
      </c>
      <c r="CG71" s="432">
        <f>SUM(CC71:CF71)</f>
        <v>81.246663339392541</v>
      </c>
      <c r="CH71" s="417"/>
      <c r="CI71" s="609">
        <f t="shared" ref="CI71:CL71" si="333">CI77*CI17</f>
        <v>20.013994327220608</v>
      </c>
      <c r="CJ71" s="610">
        <f t="shared" si="333"/>
        <v>22.849754315917608</v>
      </c>
      <c r="CK71" s="610">
        <f t="shared" si="333"/>
        <v>22.847805534564884</v>
      </c>
      <c r="CL71" s="608">
        <f t="shared" si="333"/>
        <v>23.558649358186187</v>
      </c>
      <c r="CM71" s="432">
        <f t="shared" si="323"/>
        <v>89.270203535889294</v>
      </c>
      <c r="CN71" s="417"/>
      <c r="CO71" s="609">
        <f t="shared" ref="CO71:CR71" si="334">CO77*CO17</f>
        <v>21.879845135520313</v>
      </c>
      <c r="CP71" s="610">
        <f t="shared" si="334"/>
        <v>25.107934009058987</v>
      </c>
      <c r="CQ71" s="610">
        <f t="shared" si="334"/>
        <v>25.195423419610513</v>
      </c>
      <c r="CR71" s="608">
        <f t="shared" si="334"/>
        <v>26.007961079477731</v>
      </c>
      <c r="CS71" s="432">
        <f t="shared" si="325"/>
        <v>98.191163643667551</v>
      </c>
      <c r="CT71" s="416"/>
      <c r="CU71" s="400"/>
      <c r="CV71" s="400"/>
      <c r="DC71" s="921"/>
      <c r="DD71" s="921"/>
      <c r="DE71" s="921"/>
      <c r="DF71" s="921"/>
      <c r="DG71" s="921"/>
      <c r="DH71" s="921"/>
      <c r="DI71" s="921"/>
      <c r="DJ71" s="921"/>
      <c r="DK71" s="921"/>
      <c r="DL71" s="921"/>
    </row>
    <row r="72" spans="1:116" hidden="1" outlineLevel="1">
      <c r="A72" s="604" t="s">
        <v>401</v>
      </c>
      <c r="B72" s="417"/>
      <c r="C72" s="605">
        <v>4.8010000000000002</v>
      </c>
      <c r="D72" s="606">
        <v>4.2549999999999999</v>
      </c>
      <c r="E72" s="606">
        <v>4.9420000000000002</v>
      </c>
      <c r="F72" s="607">
        <f>19.406-SUM(C72:E72)</f>
        <v>5.4079999999999977</v>
      </c>
      <c r="G72" s="432">
        <f>SUM(C72:F72)</f>
        <v>19.405999999999999</v>
      </c>
      <c r="H72" s="417"/>
      <c r="I72" s="605">
        <v>6.1459999999999999</v>
      </c>
      <c r="J72" s="606">
        <v>7.41</v>
      </c>
      <c r="K72" s="606">
        <v>8.0030000000000001</v>
      </c>
      <c r="L72" s="607">
        <f>28.492-SUM(I72:K72)</f>
        <v>6.9329999999999998</v>
      </c>
      <c r="M72" s="432">
        <f>SUM(I72:L72)</f>
        <v>28.492000000000001</v>
      </c>
      <c r="N72" s="526"/>
      <c r="O72" s="605">
        <v>8.8230000000000004</v>
      </c>
      <c r="P72" s="606">
        <v>8.5809999999999995</v>
      </c>
      <c r="Q72" s="606">
        <v>8.5280000000000005</v>
      </c>
      <c r="R72" s="607">
        <f>35.561-SUM(O72:Q72)</f>
        <v>9.6289999999999978</v>
      </c>
      <c r="S72" s="432">
        <f>SUM(O72:R72)</f>
        <v>35.561</v>
      </c>
      <c r="T72" s="417"/>
      <c r="U72" s="605">
        <v>9.7810000000000006</v>
      </c>
      <c r="V72" s="606">
        <v>9.3659999999999997</v>
      </c>
      <c r="W72" s="606">
        <v>9.9429999999999996</v>
      </c>
      <c r="X72" s="607">
        <f>40.369-SUM(U72:W72)</f>
        <v>11.279000000000003</v>
      </c>
      <c r="Y72" s="432">
        <f>SUM(U72:X72)</f>
        <v>40.369</v>
      </c>
      <c r="Z72" s="417"/>
      <c r="AA72" s="605">
        <v>12.589</v>
      </c>
      <c r="AB72" s="606">
        <v>13.273</v>
      </c>
      <c r="AC72" s="606">
        <v>13.801</v>
      </c>
      <c r="AD72" s="607">
        <f>52.341-SUM(AA72:AC72)</f>
        <v>12.677999999999997</v>
      </c>
      <c r="AE72" s="432">
        <f>SUM(AA72:AD72)</f>
        <v>52.341000000000001</v>
      </c>
      <c r="AF72" s="417"/>
      <c r="AG72" s="605">
        <v>13.773</v>
      </c>
      <c r="AH72" s="606">
        <v>14.348000000000001</v>
      </c>
      <c r="AI72" s="606">
        <v>13.238</v>
      </c>
      <c r="AJ72" s="607">
        <v>14.05</v>
      </c>
      <c r="AK72" s="432">
        <f>SUM(AG72:AJ72)</f>
        <v>55.409000000000006</v>
      </c>
      <c r="AL72" s="417"/>
      <c r="AM72" s="605">
        <v>14.617000000000001</v>
      </c>
      <c r="AN72" s="606">
        <v>13.897</v>
      </c>
      <c r="AO72" s="606">
        <v>16.091000000000001</v>
      </c>
      <c r="AP72" s="607">
        <v>16.782</v>
      </c>
      <c r="AQ72" s="432">
        <f>SUM(AM72:AP72)</f>
        <v>61.387</v>
      </c>
      <c r="AR72" s="417"/>
      <c r="AS72" s="605">
        <f>19.375+0.285</f>
        <v>19.66</v>
      </c>
      <c r="AT72" s="606">
        <f>20.778+0.284</f>
        <v>21.061999999999998</v>
      </c>
      <c r="AU72" s="606">
        <f>27.197+0.311</f>
        <v>27.507999999999999</v>
      </c>
      <c r="AV72" s="606">
        <f>23.666+0.324</f>
        <v>23.990000000000002</v>
      </c>
      <c r="AW72" s="432">
        <f>SUM(AS72:AV72)</f>
        <v>92.22</v>
      </c>
      <c r="AX72" s="417"/>
      <c r="AY72" s="605">
        <f>18+0.279</f>
        <v>18.279</v>
      </c>
      <c r="AZ72" s="606">
        <f>19.631+0.466</f>
        <v>20.097000000000001</v>
      </c>
      <c r="BA72" s="606">
        <f>20.066+0.498</f>
        <v>20.564</v>
      </c>
      <c r="BB72" s="606">
        <f>21.445+0.366</f>
        <v>21.811</v>
      </c>
      <c r="BC72" s="432">
        <f>SUM(AY72:BB72)</f>
        <v>80.751000000000005</v>
      </c>
      <c r="BD72" s="417"/>
      <c r="BE72" s="605">
        <f>21.987+0.432</f>
        <v>22.418999999999997</v>
      </c>
      <c r="BF72" s="606">
        <f>18.898+0.421</f>
        <v>19.318999999999999</v>
      </c>
      <c r="BG72" s="606">
        <f>20.008+1.261</f>
        <v>21.268999999999998</v>
      </c>
      <c r="BH72" s="606">
        <f>15.223-0.53</f>
        <v>14.693000000000001</v>
      </c>
      <c r="BI72" s="432">
        <f>SUM(BE72:BH72)</f>
        <v>77.7</v>
      </c>
      <c r="BJ72" s="417"/>
      <c r="BK72" s="605">
        <v>33</v>
      </c>
      <c r="BL72" s="606">
        <v>23</v>
      </c>
      <c r="BM72" s="606">
        <v>18</v>
      </c>
      <c r="BN72" s="606">
        <v>25</v>
      </c>
      <c r="BO72" s="432">
        <f>SUM(BK72:BN72)</f>
        <v>99</v>
      </c>
      <c r="BP72" s="417"/>
      <c r="BQ72" s="605">
        <v>28</v>
      </c>
      <c r="BR72" s="610">
        <f t="shared" si="330"/>
        <v>30.910755243186902</v>
      </c>
      <c r="BS72" s="610">
        <f t="shared" si="330"/>
        <v>31.191838960732824</v>
      </c>
      <c r="BT72" s="608">
        <f t="shared" si="330"/>
        <v>32.204370683772112</v>
      </c>
      <c r="BU72" s="432">
        <f>SUM(BQ72:BT72)</f>
        <v>122.30696488769183</v>
      </c>
      <c r="BV72" s="417"/>
      <c r="BW72" s="609">
        <f t="shared" ref="BW72:BZ72" si="335">BW78*BW18</f>
        <v>31.382755765981535</v>
      </c>
      <c r="BX72" s="610">
        <f t="shared" si="335"/>
        <v>33.894971245696887</v>
      </c>
      <c r="BY72" s="610">
        <f t="shared" si="335"/>
        <v>34.011388646869648</v>
      </c>
      <c r="BZ72" s="608">
        <f t="shared" si="335"/>
        <v>35.031289054040471</v>
      </c>
      <c r="CA72" s="432">
        <f>SUM(BW72:BZ72)</f>
        <v>134.32040471258853</v>
      </c>
      <c r="CB72" s="417"/>
      <c r="CC72" s="609">
        <f t="shared" ref="CC72:CF72" si="336">CC78*CC18</f>
        <v>34.720124086358112</v>
      </c>
      <c r="CD72" s="610">
        <f t="shared" si="336"/>
        <v>37.220339787956789</v>
      </c>
      <c r="CE72" s="610">
        <f>CE78*CE18</f>
        <v>37.336465903753712</v>
      </c>
      <c r="CF72" s="608">
        <f t="shared" si="336"/>
        <v>38.507540123950719</v>
      </c>
      <c r="CG72" s="432">
        <f>SUM(CC72:CF72)</f>
        <v>147.78446990201934</v>
      </c>
      <c r="CH72" s="417"/>
      <c r="CI72" s="609">
        <f t="shared" ref="CI72:CL72" si="337">CI78*CI18</f>
        <v>38.508517766586962</v>
      </c>
      <c r="CJ72" s="610">
        <f t="shared" si="337"/>
        <v>40.930454803991722</v>
      </c>
      <c r="CK72" s="610">
        <f t="shared" si="337"/>
        <v>41.033452545522302</v>
      </c>
      <c r="CL72" s="608">
        <f t="shared" si="337"/>
        <v>42.422751596439582</v>
      </c>
      <c r="CM72" s="432">
        <f t="shared" si="323"/>
        <v>162.89517671254058</v>
      </c>
      <c r="CN72" s="417"/>
      <c r="CO72" s="609">
        <f t="shared" ref="CO72:CR72" si="338">CO78*CO18</f>
        <v>42.527075586847239</v>
      </c>
      <c r="CP72" s="610">
        <f t="shared" si="338"/>
        <v>45.021952219915192</v>
      </c>
      <c r="CQ72" s="610">
        <f t="shared" si="338"/>
        <v>45.297472073028764</v>
      </c>
      <c r="CR72" s="608">
        <f t="shared" si="338"/>
        <v>46.883960390595902</v>
      </c>
      <c r="CS72" s="432">
        <f t="shared" si="325"/>
        <v>179.73046027038708</v>
      </c>
      <c r="CT72" s="416"/>
      <c r="CU72" s="400"/>
      <c r="CV72" s="400"/>
      <c r="DC72" s="921"/>
      <c r="DD72" s="921"/>
      <c r="DE72" s="921"/>
      <c r="DF72" s="921"/>
      <c r="DG72" s="921"/>
      <c r="DH72" s="921"/>
      <c r="DI72" s="921"/>
      <c r="DJ72" s="921"/>
      <c r="DK72" s="921"/>
      <c r="DL72" s="921"/>
    </row>
    <row r="73" spans="1:116" collapsed="1">
      <c r="A73" s="611" t="s">
        <v>255</v>
      </c>
      <c r="B73" s="612"/>
      <c r="C73" s="613">
        <f>SUM(C69:C72)</f>
        <v>7.6779999999999999</v>
      </c>
      <c r="D73" s="614">
        <f>SUM(D69:D72)</f>
        <v>7.7850000000000001</v>
      </c>
      <c r="E73" s="614">
        <f>SUM(E69:E72)</f>
        <v>8.6679999999999993</v>
      </c>
      <c r="F73" s="615">
        <f>SUM(F69:F72)</f>
        <v>9.6149999999999984</v>
      </c>
      <c r="G73" s="616">
        <f>SUM(C73:F73)</f>
        <v>33.745999999999995</v>
      </c>
      <c r="H73" s="612"/>
      <c r="I73" s="613">
        <f>SUM(I69:I72)</f>
        <v>10.856999999999999</v>
      </c>
      <c r="J73" s="614">
        <f>SUM(J69:J72)</f>
        <v>12.275</v>
      </c>
      <c r="K73" s="614">
        <f>SUM(K69:K72)</f>
        <v>12.74</v>
      </c>
      <c r="L73" s="615">
        <f>SUM(L69:L72)</f>
        <v>11.816000000000001</v>
      </c>
      <c r="M73" s="616">
        <f>SUM(I73:L73)</f>
        <v>47.688000000000002</v>
      </c>
      <c r="N73" s="617"/>
      <c r="O73" s="613">
        <f>SUM(O69:O72)</f>
        <v>14.86</v>
      </c>
      <c r="P73" s="614">
        <f>SUM(P69:P72)</f>
        <v>14.901</v>
      </c>
      <c r="Q73" s="614">
        <f>SUM(Q69:Q72)</f>
        <v>14.572000000000001</v>
      </c>
      <c r="R73" s="615">
        <f>SUM(R69:R72)</f>
        <v>16.478000000000002</v>
      </c>
      <c r="S73" s="616">
        <f>SUM(O73:R73)</f>
        <v>60.811</v>
      </c>
      <c r="T73" s="614"/>
      <c r="U73" s="613">
        <f>SUM(U69:U72)</f>
        <v>16.999000000000002</v>
      </c>
      <c r="V73" s="614">
        <f>SUM(V69:V72)</f>
        <v>16.844999999999999</v>
      </c>
      <c r="W73" s="614">
        <f>SUM(W69:W72)</f>
        <v>17.96</v>
      </c>
      <c r="X73" s="615">
        <f>SUM(X69:X72)</f>
        <v>19.841000000000005</v>
      </c>
      <c r="Y73" s="616">
        <f>SUM(U73:X73)</f>
        <v>71.64500000000001</v>
      </c>
      <c r="Z73" s="614"/>
      <c r="AA73" s="613">
        <f>SUM(AA69:AA72)</f>
        <v>22.039000000000001</v>
      </c>
      <c r="AB73" s="614">
        <f>SUM(AB69:AB72)</f>
        <v>23.666</v>
      </c>
      <c r="AC73" s="614">
        <f>SUM(AC69:AC72)</f>
        <v>24.570999999999998</v>
      </c>
      <c r="AD73" s="615">
        <f>SUM(AD69:AD72)</f>
        <v>21.815999999999992</v>
      </c>
      <c r="AE73" s="616">
        <f>SUM(AA73:AD73)</f>
        <v>92.091999999999985</v>
      </c>
      <c r="AF73" s="618"/>
      <c r="AG73" s="613">
        <f>SUM(AG69:AG72)</f>
        <v>23.029</v>
      </c>
      <c r="AH73" s="614">
        <f>SUM(AH69:AH72)</f>
        <v>24.047000000000001</v>
      </c>
      <c r="AI73" s="614">
        <f>SUM(AI69:AI72)</f>
        <v>23.071999999999999</v>
      </c>
      <c r="AJ73" s="615">
        <f>SUM(AJ69:AJ72)</f>
        <v>24.176000000000002</v>
      </c>
      <c r="AK73" s="616">
        <f>SUM(AG73:AJ73)</f>
        <v>94.323999999999998</v>
      </c>
      <c r="AL73" s="618"/>
      <c r="AM73" s="613">
        <f>SUM(AM69:AM72)</f>
        <v>24.219000000000001</v>
      </c>
      <c r="AN73" s="614">
        <f>SUM(AN69:AN72)</f>
        <v>24.451999999999998</v>
      </c>
      <c r="AO73" s="614">
        <f>SUM(AO69:AO72)</f>
        <v>27.408999999999999</v>
      </c>
      <c r="AP73" s="615">
        <f>SUM(AP69:AP72)</f>
        <v>29.745999999999999</v>
      </c>
      <c r="AQ73" s="616">
        <f>SUM(AM73:AP73)</f>
        <v>105.82599999999999</v>
      </c>
      <c r="AR73" s="618"/>
      <c r="AS73" s="613">
        <f>SUM(AS69:AS72)</f>
        <v>33.423999999999999</v>
      </c>
      <c r="AT73" s="614">
        <f>SUM(AT69:AT72)</f>
        <v>35.995999999999995</v>
      </c>
      <c r="AU73" s="614">
        <f>SUM(AU69:AU72)</f>
        <v>44.668999999999997</v>
      </c>
      <c r="AV73" s="614">
        <f>SUM(AV69:AV72)</f>
        <v>38.462000000000003</v>
      </c>
      <c r="AW73" s="616">
        <f>SUM(AS73:AV73)</f>
        <v>152.55099999999999</v>
      </c>
      <c r="AX73" s="618"/>
      <c r="AY73" s="613">
        <f>SUM(AY69:AY72)</f>
        <v>31.917999999999999</v>
      </c>
      <c r="AZ73" s="614">
        <f>SUM(AZ69:AZ72)</f>
        <v>32.957000000000001</v>
      </c>
      <c r="BA73" s="614">
        <f>SUM(BA69:BA72)</f>
        <v>32.228999999999999</v>
      </c>
      <c r="BB73" s="614">
        <f>SUM(BB69:BB72)</f>
        <v>35.489000000000004</v>
      </c>
      <c r="BC73" s="616">
        <f>SUM(AY73:BB73)</f>
        <v>132.59300000000002</v>
      </c>
      <c r="BD73" s="618"/>
      <c r="BE73" s="613">
        <f>SUM(BE69:BE72)</f>
        <v>35.291999999999994</v>
      </c>
      <c r="BF73" s="614">
        <f>SUM(BF69:BF72)</f>
        <v>31.97</v>
      </c>
      <c r="BG73" s="614">
        <f>SUM(BG69:BG72)</f>
        <v>34.582999999999998</v>
      </c>
      <c r="BH73" s="614">
        <f>SUM(BH69:BH72)</f>
        <v>27.220000000000002</v>
      </c>
      <c r="BI73" s="616">
        <f>SUM(BE73:BH73)</f>
        <v>129.065</v>
      </c>
      <c r="BJ73" s="618"/>
      <c r="BK73" s="613">
        <f>SUM(BK69:BK72)</f>
        <v>50</v>
      </c>
      <c r="BL73" s="614">
        <f>SUM(BL69:BL72)</f>
        <v>39</v>
      </c>
      <c r="BM73" s="614">
        <f>SUM(BM69:BM72)</f>
        <v>34</v>
      </c>
      <c r="BN73" s="614">
        <f>SUM(BN69:BN72)</f>
        <v>41</v>
      </c>
      <c r="BO73" s="616">
        <f>SUM(BK73:BN73)</f>
        <v>164</v>
      </c>
      <c r="BP73" s="618"/>
      <c r="BQ73" s="613">
        <f>SUM(BQ69:BQ72)</f>
        <v>48</v>
      </c>
      <c r="BR73" s="614">
        <f>SUM(BR69:BR72)</f>
        <v>53.42169342479491</v>
      </c>
      <c r="BS73" s="614">
        <f>SUM(BS69:BS72)</f>
        <v>53.917195507955554</v>
      </c>
      <c r="BT73" s="615">
        <f>SUM(BT69:BT72)</f>
        <v>55.660181655462793</v>
      </c>
      <c r="BU73" s="616">
        <f>SUM(BQ73:BT73)</f>
        <v>210.99907058821327</v>
      </c>
      <c r="BV73" s="618"/>
      <c r="BW73" s="613">
        <f>SUM(BW69:BW72)</f>
        <v>53.624179107304904</v>
      </c>
      <c r="BX73" s="614">
        <f>SUM(BX69:BX72)</f>
        <v>58.589076741231352</v>
      </c>
      <c r="BY73" s="614">
        <f>SUM(BY69:BY72)</f>
        <v>58.788971791293932</v>
      </c>
      <c r="BZ73" s="615">
        <f>SUM(BZ69:BZ72)</f>
        <v>60.552772579735617</v>
      </c>
      <c r="CA73" s="616">
        <f>SUM(BW73:BZ73)</f>
        <v>231.55500021956578</v>
      </c>
      <c r="CB73" s="618"/>
      <c r="CC73" s="613">
        <f>SUM(CC69:CC72)</f>
        <v>59.085717144853582</v>
      </c>
      <c r="CD73" s="614">
        <f>SUM(CD69:CD72)</f>
        <v>64.333211907476056</v>
      </c>
      <c r="CE73" s="614">
        <f>SUM(CE69:CE72)</f>
        <v>64.531982766406287</v>
      </c>
      <c r="CF73" s="615">
        <f>SUM(CF69:CF72)</f>
        <v>66.560743050824925</v>
      </c>
      <c r="CG73" s="616">
        <f>SUM(CC73:CF73)</f>
        <v>254.51165486956086</v>
      </c>
      <c r="CH73" s="618"/>
      <c r="CI73" s="613">
        <f t="shared" ref="CI73:CL73" si="339">SUM(CI69:CI72)</f>
        <v>65.299889760893308</v>
      </c>
      <c r="CJ73" s="614">
        <f t="shared" si="339"/>
        <v>70.768532664237227</v>
      </c>
      <c r="CK73" s="614">
        <f t="shared" si="339"/>
        <v>70.945021629266307</v>
      </c>
      <c r="CL73" s="615">
        <f t="shared" si="339"/>
        <v>73.353891388359401</v>
      </c>
      <c r="CM73" s="616">
        <f t="shared" si="323"/>
        <v>280.36733544275626</v>
      </c>
      <c r="CN73" s="618"/>
      <c r="CO73" s="613">
        <f t="shared" ref="CO73:CR73" si="340">SUM(CO69:CO72)</f>
        <v>71.857372954681409</v>
      </c>
      <c r="CP73" s="614">
        <f t="shared" si="340"/>
        <v>77.851961369595784</v>
      </c>
      <c r="CQ73" s="614">
        <f t="shared" si="340"/>
        <v>78.323890811249044</v>
      </c>
      <c r="CR73" s="615">
        <f t="shared" si="340"/>
        <v>81.077618653093054</v>
      </c>
      <c r="CS73" s="616">
        <f t="shared" si="325"/>
        <v>309.11084378861926</v>
      </c>
      <c r="CT73" s="416"/>
      <c r="CU73" s="601"/>
      <c r="CV73" s="400"/>
      <c r="DC73" s="921"/>
      <c r="DD73" s="921"/>
      <c r="DE73" s="921"/>
      <c r="DF73" s="921"/>
      <c r="DG73" s="921"/>
      <c r="DH73" s="921"/>
      <c r="DI73" s="921"/>
      <c r="DJ73" s="921"/>
      <c r="DK73" s="921"/>
      <c r="DL73" s="921"/>
    </row>
    <row r="74" spans="1:116" hidden="1" outlineLevel="1">
      <c r="A74" s="619" t="s">
        <v>375</v>
      </c>
      <c r="B74" s="417"/>
      <c r="C74" s="519"/>
      <c r="D74" s="520"/>
      <c r="E74" s="520"/>
      <c r="F74" s="521"/>
      <c r="G74" s="522"/>
      <c r="H74" s="417"/>
      <c r="I74" s="523"/>
      <c r="J74" s="524"/>
      <c r="K74" s="524"/>
      <c r="L74" s="525"/>
      <c r="M74" s="482"/>
      <c r="N74" s="526"/>
      <c r="O74" s="523"/>
      <c r="P74" s="527"/>
      <c r="Q74" s="524"/>
      <c r="R74" s="525"/>
      <c r="S74" s="620"/>
      <c r="T74" s="417"/>
      <c r="U74" s="523"/>
      <c r="V74" s="524"/>
      <c r="W74" s="524"/>
      <c r="X74" s="525"/>
      <c r="Y74" s="528"/>
      <c r="Z74" s="417"/>
      <c r="AA74" s="523"/>
      <c r="AB74" s="524"/>
      <c r="AC74" s="524"/>
      <c r="AD74" s="525"/>
      <c r="AE74" s="528"/>
      <c r="AF74" s="417"/>
      <c r="AG74" s="523"/>
      <c r="AH74" s="524"/>
      <c r="AI74" s="524"/>
      <c r="AJ74" s="525"/>
      <c r="AK74" s="528"/>
      <c r="AL74" s="417"/>
      <c r="AM74" s="523"/>
      <c r="AN74" s="524"/>
      <c r="AO74" s="524"/>
      <c r="AP74" s="525"/>
      <c r="AQ74" s="528"/>
      <c r="AR74" s="417"/>
      <c r="AS74" s="523"/>
      <c r="AT74" s="524"/>
      <c r="AU74" s="524"/>
      <c r="AV74" s="524"/>
      <c r="AW74" s="528"/>
      <c r="AX74" s="417"/>
      <c r="AY74" s="523"/>
      <c r="AZ74" s="524"/>
      <c r="BA74" s="524"/>
      <c r="BB74" s="525"/>
      <c r="BC74" s="528"/>
      <c r="BD74" s="417"/>
      <c r="BE74" s="523"/>
      <c r="BF74" s="524"/>
      <c r="BG74" s="524"/>
      <c r="BH74" s="525"/>
      <c r="BI74" s="528"/>
      <c r="BJ74" s="417"/>
      <c r="BK74" s="523"/>
      <c r="BL74" s="524"/>
      <c r="BM74" s="524"/>
      <c r="BN74" s="525"/>
      <c r="BO74" s="528"/>
      <c r="BP74" s="417"/>
      <c r="BQ74" s="523"/>
      <c r="BR74" s="524"/>
      <c r="BS74" s="524"/>
      <c r="BT74" s="525"/>
      <c r="BU74" s="528"/>
      <c r="BV74" s="417"/>
      <c r="BW74" s="523"/>
      <c r="BX74" s="524"/>
      <c r="BY74" s="524"/>
      <c r="BZ74" s="525"/>
      <c r="CA74" s="528"/>
      <c r="CB74" s="417"/>
      <c r="CC74" s="523"/>
      <c r="CD74" s="524"/>
      <c r="CE74" s="524"/>
      <c r="CF74" s="525"/>
      <c r="CG74" s="528"/>
      <c r="CH74" s="417"/>
      <c r="CI74" s="523"/>
      <c r="CJ74" s="524"/>
      <c r="CK74" s="524"/>
      <c r="CL74" s="525"/>
      <c r="CM74" s="528"/>
      <c r="CN74" s="417"/>
      <c r="CO74" s="523"/>
      <c r="CP74" s="524"/>
      <c r="CQ74" s="524"/>
      <c r="CR74" s="525"/>
      <c r="CS74" s="528"/>
      <c r="CT74" s="416"/>
      <c r="CU74" s="400"/>
      <c r="CV74" s="400"/>
      <c r="DC74" s="921"/>
      <c r="DD74" s="921"/>
      <c r="DE74" s="921"/>
      <c r="DF74" s="921"/>
      <c r="DG74" s="921"/>
      <c r="DH74" s="921"/>
      <c r="DI74" s="921"/>
      <c r="DJ74" s="921"/>
      <c r="DK74" s="921"/>
      <c r="DL74" s="921"/>
    </row>
    <row r="75" spans="1:116" hidden="1" outlineLevel="1">
      <c r="A75" s="621" t="s">
        <v>78</v>
      </c>
      <c r="B75" s="553"/>
      <c r="C75" s="622">
        <f t="shared" ref="C75:G76" si="341">C69/C13</f>
        <v>4.2049621410543352E-2</v>
      </c>
      <c r="D75" s="623">
        <f t="shared" si="341"/>
        <v>3.5525826830174655E-2</v>
      </c>
      <c r="E75" s="623">
        <f t="shared" si="341"/>
        <v>3.0622867387658317E-2</v>
      </c>
      <c r="F75" s="624">
        <f t="shared" si="341"/>
        <v>3.1374801684993722E-2</v>
      </c>
      <c r="G75" s="625">
        <f t="shared" si="341"/>
        <v>3.3977605859772025E-2</v>
      </c>
      <c r="H75" s="553"/>
      <c r="I75" s="622">
        <f t="shared" ref="I75:M76" si="342">I69/I13</f>
        <v>3.0687109062691054E-2</v>
      </c>
      <c r="J75" s="623">
        <f t="shared" si="342"/>
        <v>2.8357512513786372E-2</v>
      </c>
      <c r="K75" s="623">
        <f t="shared" si="342"/>
        <v>2.1394456623864702E-2</v>
      </c>
      <c r="L75" s="624">
        <f t="shared" si="342"/>
        <v>1.8711856600007681E-2</v>
      </c>
      <c r="M75" s="625">
        <f t="shared" si="342"/>
        <v>2.4420847418960119E-2</v>
      </c>
      <c r="N75" s="626"/>
      <c r="O75" s="627">
        <f t="shared" ref="O75:S76" si="343">O69/O13</f>
        <v>2.5124736229711873E-2</v>
      </c>
      <c r="P75" s="628">
        <f t="shared" si="343"/>
        <v>2.6150353619139092E-2</v>
      </c>
      <c r="Q75" s="628">
        <f t="shared" si="343"/>
        <v>2.4946574207335689E-2</v>
      </c>
      <c r="R75" s="629">
        <f t="shared" si="343"/>
        <v>2.3998179448455642E-2</v>
      </c>
      <c r="S75" s="625">
        <f t="shared" si="343"/>
        <v>2.5042734146418198E-2</v>
      </c>
      <c r="T75" s="553"/>
      <c r="U75" s="627">
        <f t="shared" ref="U75:Y76" si="344">U69/U13</f>
        <v>2.2837605546005783E-2</v>
      </c>
      <c r="V75" s="628">
        <f t="shared" si="344"/>
        <v>2.1818974625589078E-2</v>
      </c>
      <c r="W75" s="628">
        <f t="shared" si="344"/>
        <v>1.8810209279149594E-2</v>
      </c>
      <c r="X75" s="629">
        <f t="shared" si="344"/>
        <v>1.7308420219538219E-2</v>
      </c>
      <c r="Y75" s="625">
        <f t="shared" si="344"/>
        <v>1.9772276900112868E-2</v>
      </c>
      <c r="Z75" s="553"/>
      <c r="AA75" s="627">
        <f t="shared" ref="AA75:AE76" si="345">AA69/AA13</f>
        <v>1.769725060570947E-2</v>
      </c>
      <c r="AB75" s="628">
        <f t="shared" si="345"/>
        <v>2.1297238458079935E-2</v>
      </c>
      <c r="AC75" s="628">
        <f t="shared" si="345"/>
        <v>2.8430574137630157E-2</v>
      </c>
      <c r="AD75" s="629">
        <f t="shared" si="345"/>
        <v>2.4227078507819116E-2</v>
      </c>
      <c r="AE75" s="625">
        <f t="shared" si="345"/>
        <v>2.2551487859636371E-2</v>
      </c>
      <c r="AF75" s="553"/>
      <c r="AG75" s="627">
        <f t="shared" ref="AG75:AK76" si="346">AG69/AG13</f>
        <v>2.3252232830304899E-2</v>
      </c>
      <c r="AH75" s="628">
        <f t="shared" si="346"/>
        <v>2.4880589362333703E-2</v>
      </c>
      <c r="AI75" s="628">
        <f t="shared" si="346"/>
        <v>2.5410883977172376E-2</v>
      </c>
      <c r="AJ75" s="629">
        <f t="shared" si="346"/>
        <v>2.3453881493697728E-2</v>
      </c>
      <c r="AK75" s="625">
        <f t="shared" si="346"/>
        <v>2.4216364827927939E-2</v>
      </c>
      <c r="AL75" s="553"/>
      <c r="AM75" s="627">
        <f t="shared" ref="AM75:AQ76" si="347">AM69/AM13</f>
        <v>1.6218830489601727E-2</v>
      </c>
      <c r="AN75" s="628">
        <f t="shared" si="347"/>
        <v>1.4712175241976565E-2</v>
      </c>
      <c r="AO75" s="628">
        <f t="shared" si="347"/>
        <v>1.2704870200243428E-2</v>
      </c>
      <c r="AP75" s="629">
        <f t="shared" si="347"/>
        <v>1.8167242847838067E-2</v>
      </c>
      <c r="AQ75" s="625">
        <f t="shared" si="347"/>
        <v>1.529714263239661E-2</v>
      </c>
      <c r="AR75" s="553"/>
      <c r="AS75" s="627">
        <f t="shared" ref="AS75:AW76" si="348">AS69/AS13</f>
        <v>1.8799185219084538E-2</v>
      </c>
      <c r="AT75" s="628">
        <f t="shared" si="348"/>
        <v>1.8800248453725493E-2</v>
      </c>
      <c r="AU75" s="628">
        <f t="shared" si="348"/>
        <v>2.2740334031811714E-2</v>
      </c>
      <c r="AV75" s="628">
        <f t="shared" si="348"/>
        <v>2.8312327412994658E-2</v>
      </c>
      <c r="AW75" s="625">
        <f t="shared" si="348"/>
        <v>2.1881366919799965E-2</v>
      </c>
      <c r="AX75" s="553"/>
      <c r="AY75" s="627">
        <f t="shared" ref="AY75:BC76" si="349">AY69/AY13</f>
        <v>1.9494415836287034E-2</v>
      </c>
      <c r="AZ75" s="628">
        <f t="shared" si="349"/>
        <v>1.768807708083945E-2</v>
      </c>
      <c r="BA75" s="628">
        <f t="shared" si="349"/>
        <v>2.122294425980125E-2</v>
      </c>
      <c r="BB75" s="628">
        <f t="shared" si="349"/>
        <v>2.1632575033454407E-2</v>
      </c>
      <c r="BC75" s="625">
        <f t="shared" si="349"/>
        <v>2.0050447014335431E-2</v>
      </c>
      <c r="BD75" s="553"/>
      <c r="BE75" s="627">
        <f>BE69/BE13</f>
        <v>1.7490385075722519E-2</v>
      </c>
      <c r="BF75" s="628">
        <f t="shared" ref="BF75" si="350">BF69/BF13</f>
        <v>1.56506030837603E-2</v>
      </c>
      <c r="BG75" s="628">
        <f t="shared" ref="BG75:BH75" si="351">BG69/BG13</f>
        <v>1.3585253317021966E-2</v>
      </c>
      <c r="BH75" s="628">
        <f t="shared" si="351"/>
        <v>2.0622030751339674E-2</v>
      </c>
      <c r="BI75" s="625">
        <f>BI69/BI13</f>
        <v>1.6978691461421683E-2</v>
      </c>
      <c r="BJ75" s="553"/>
      <c r="BK75" s="627">
        <f>BK69/BK13</f>
        <v>2.0270270270270271E-2</v>
      </c>
      <c r="BL75" s="628">
        <f t="shared" ref="BL75:BN76" si="352">BL69/BL13</f>
        <v>1.7857142857142856E-2</v>
      </c>
      <c r="BM75" s="628">
        <f t="shared" si="352"/>
        <v>1.7341040462427744E-2</v>
      </c>
      <c r="BN75" s="628">
        <f t="shared" si="352"/>
        <v>1.7441860465116279E-2</v>
      </c>
      <c r="BO75" s="625">
        <f>BO69/BO13</f>
        <v>1.8154311649016642E-2</v>
      </c>
      <c r="BP75" s="553"/>
      <c r="BQ75" s="627">
        <f>BQ69/BQ13</f>
        <v>2.2988505747126436E-2</v>
      </c>
      <c r="BR75" s="2532">
        <f t="shared" ref="BR75:BT78" si="353">BQ75</f>
        <v>2.2988505747126436E-2</v>
      </c>
      <c r="BS75" s="2532">
        <f t="shared" si="353"/>
        <v>2.2988505747126436E-2</v>
      </c>
      <c r="BT75" s="2533">
        <f t="shared" si="353"/>
        <v>2.2988505747126436E-2</v>
      </c>
      <c r="BU75" s="625">
        <f>BU69/BU13</f>
        <v>2.2988505747126433E-2</v>
      </c>
      <c r="BV75" s="553"/>
      <c r="BW75" s="2531">
        <f>BT75</f>
        <v>2.2988505747126436E-2</v>
      </c>
      <c r="BX75" s="2532">
        <f t="shared" ref="BX75:BX78" si="354">BW75</f>
        <v>2.2988505747126436E-2</v>
      </c>
      <c r="BY75" s="2532">
        <f t="shared" ref="BY75:BY78" si="355">BX75</f>
        <v>2.2988505747126436E-2</v>
      </c>
      <c r="BZ75" s="2533">
        <f t="shared" ref="BZ75:BZ78" si="356">BY75</f>
        <v>2.2988505747126436E-2</v>
      </c>
      <c r="CA75" s="625">
        <f>CA69/CA13</f>
        <v>2.298850574712644E-2</v>
      </c>
      <c r="CB75" s="553"/>
      <c r="CC75" s="2531">
        <f>BZ75</f>
        <v>2.2988505747126436E-2</v>
      </c>
      <c r="CD75" s="2532">
        <f t="shared" ref="CD75:CD78" si="357">CC75</f>
        <v>2.2988505747126436E-2</v>
      </c>
      <c r="CE75" s="2532">
        <f>CD75</f>
        <v>2.2988505747126436E-2</v>
      </c>
      <c r="CF75" s="2533">
        <f t="shared" ref="CF75:CF78" si="358">CE75</f>
        <v>2.2988505747126436E-2</v>
      </c>
      <c r="CG75" s="625">
        <f>CG69/CG13</f>
        <v>2.2988505747126436E-2</v>
      </c>
      <c r="CH75" s="553"/>
      <c r="CI75" s="2531">
        <f t="shared" ref="CI75:CI78" si="359">CF75</f>
        <v>2.2988505747126436E-2</v>
      </c>
      <c r="CJ75" s="2532">
        <f t="shared" ref="CJ75:CJ78" si="360">CI75</f>
        <v>2.2988505747126436E-2</v>
      </c>
      <c r="CK75" s="2532">
        <f t="shared" ref="CK75" si="361">CJ75</f>
        <v>2.2988505747126436E-2</v>
      </c>
      <c r="CL75" s="2533">
        <f t="shared" ref="CL75:CL78" si="362">CK75</f>
        <v>2.2988505747126436E-2</v>
      </c>
      <c r="CM75" s="625">
        <f t="shared" ref="CM75" si="363">CM69/CM13</f>
        <v>2.298850574712644E-2</v>
      </c>
      <c r="CN75" s="553"/>
      <c r="CO75" s="2531">
        <f t="shared" ref="CO75:CO78" si="364">CL75</f>
        <v>2.2988505747126436E-2</v>
      </c>
      <c r="CP75" s="2532">
        <f t="shared" ref="CP75:CP78" si="365">CO75</f>
        <v>2.2988505747126436E-2</v>
      </c>
      <c r="CQ75" s="2532">
        <f t="shared" ref="CQ75" si="366">CP75</f>
        <v>2.2988505747126436E-2</v>
      </c>
      <c r="CR75" s="2533">
        <f t="shared" ref="CR75:CR78" si="367">CQ75</f>
        <v>2.2988505747126436E-2</v>
      </c>
      <c r="CS75" s="625">
        <f t="shared" ref="CS75:CS76" si="368">CS69/CS13</f>
        <v>2.2988505747126436E-2</v>
      </c>
      <c r="CT75" s="938"/>
      <c r="CU75" s="553"/>
      <c r="CV75" s="553"/>
      <c r="DC75" s="921"/>
      <c r="DD75" s="921"/>
      <c r="DE75" s="921"/>
      <c r="DF75" s="921"/>
      <c r="DG75" s="921"/>
      <c r="DH75" s="921"/>
      <c r="DI75" s="921"/>
      <c r="DJ75" s="921"/>
      <c r="DK75" s="921"/>
      <c r="DL75" s="921"/>
    </row>
    <row r="76" spans="1:116" hidden="1" outlineLevel="1">
      <c r="A76" s="621" t="s">
        <v>252</v>
      </c>
      <c r="B76" s="553"/>
      <c r="C76" s="622">
        <f t="shared" si="341"/>
        <v>1.9062027231467472E-2</v>
      </c>
      <c r="D76" s="623">
        <f t="shared" si="341"/>
        <v>2.4798711755233495E-2</v>
      </c>
      <c r="E76" s="623">
        <f t="shared" si="341"/>
        <v>2.4038461538461536E-2</v>
      </c>
      <c r="F76" s="624">
        <f t="shared" si="341"/>
        <v>2.2322690025430917E-2</v>
      </c>
      <c r="G76" s="625">
        <f t="shared" si="341"/>
        <v>2.2418642024909605E-2</v>
      </c>
      <c r="H76" s="553"/>
      <c r="I76" s="622">
        <f t="shared" si="342"/>
        <v>2.7848101265822784E-2</v>
      </c>
      <c r="J76" s="623">
        <f t="shared" si="342"/>
        <v>2.4161884627000908E-2</v>
      </c>
      <c r="K76" s="623">
        <f t="shared" si="342"/>
        <v>3.2615200478755234E-2</v>
      </c>
      <c r="L76" s="624">
        <f t="shared" si="342"/>
        <v>4.3956043956043973E-2</v>
      </c>
      <c r="M76" s="625">
        <f t="shared" si="342"/>
        <v>3.1357792411414238E-2</v>
      </c>
      <c r="N76" s="626"/>
      <c r="O76" s="627">
        <f t="shared" si="343"/>
        <v>4.2533936651583705E-2</v>
      </c>
      <c r="P76" s="628">
        <f t="shared" si="343"/>
        <v>4.7619047619047616E-2</v>
      </c>
      <c r="Q76" s="628">
        <f t="shared" si="343"/>
        <v>3.0221262817053427E-2</v>
      </c>
      <c r="R76" s="629">
        <f t="shared" si="343"/>
        <v>2.3454581594116484E-2</v>
      </c>
      <c r="S76" s="625">
        <f t="shared" si="343"/>
        <v>3.4141481235469943E-2</v>
      </c>
      <c r="T76" s="553"/>
      <c r="U76" s="627">
        <f t="shared" si="344"/>
        <v>2.0578420467185762E-2</v>
      </c>
      <c r="V76" s="628">
        <f t="shared" si="344"/>
        <v>3.1130063965884858E-2</v>
      </c>
      <c r="W76" s="628">
        <f t="shared" si="344"/>
        <v>2.4372887386586016E-2</v>
      </c>
      <c r="X76" s="629">
        <f t="shared" si="344"/>
        <v>1.3347383210396899E-2</v>
      </c>
      <c r="Y76" s="625">
        <f t="shared" si="344"/>
        <v>2.1963643160895368E-2</v>
      </c>
      <c r="Z76" s="553"/>
      <c r="AA76" s="627">
        <f t="shared" si="345"/>
        <v>3.4699272967614013E-2</v>
      </c>
      <c r="AB76" s="628">
        <f t="shared" si="345"/>
        <v>2.018040055037456E-2</v>
      </c>
      <c r="AC76" s="628">
        <f t="shared" si="345"/>
        <v>2.9460895975702357E-2</v>
      </c>
      <c r="AD76" s="629">
        <f t="shared" si="345"/>
        <v>2.2910662824207489E-2</v>
      </c>
      <c r="AE76" s="625">
        <f t="shared" si="345"/>
        <v>2.6610000765755416E-2</v>
      </c>
      <c r="AF76" s="553"/>
      <c r="AG76" s="627">
        <f t="shared" si="346"/>
        <v>1.9848219497956804E-3</v>
      </c>
      <c r="AH76" s="628">
        <f t="shared" si="346"/>
        <v>1.7398508699254349E-2</v>
      </c>
      <c r="AI76" s="628">
        <f t="shared" si="346"/>
        <v>1.3472485768500948E-2</v>
      </c>
      <c r="AJ76" s="629">
        <f t="shared" si="346"/>
        <v>9.059563247921034E-3</v>
      </c>
      <c r="AK76" s="625">
        <f t="shared" si="346"/>
        <v>1.0585047759000734E-2</v>
      </c>
      <c r="AL76" s="553"/>
      <c r="AM76" s="627">
        <f t="shared" si="347"/>
        <v>1.0490463215258856E-2</v>
      </c>
      <c r="AN76" s="628">
        <f t="shared" si="347"/>
        <v>9.8426430944768342E-3</v>
      </c>
      <c r="AO76" s="628">
        <f t="shared" si="347"/>
        <v>1.3206370798617015E-2</v>
      </c>
      <c r="AP76" s="629">
        <f t="shared" si="347"/>
        <v>1.2212380103779024E-2</v>
      </c>
      <c r="AQ76" s="625">
        <f t="shared" si="347"/>
        <v>1.1536234466170772E-2</v>
      </c>
      <c r="AR76" s="553"/>
      <c r="AS76" s="627">
        <f t="shared" si="348"/>
        <v>0</v>
      </c>
      <c r="AT76" s="628">
        <f t="shared" si="348"/>
        <v>0</v>
      </c>
      <c r="AU76" s="628">
        <f t="shared" si="348"/>
        <v>0</v>
      </c>
      <c r="AV76" s="628">
        <f t="shared" si="348"/>
        <v>0</v>
      </c>
      <c r="AW76" s="625">
        <f t="shared" si="348"/>
        <v>0</v>
      </c>
      <c r="AX76" s="553"/>
      <c r="AY76" s="627">
        <f t="shared" si="349"/>
        <v>0</v>
      </c>
      <c r="AZ76" s="628">
        <f t="shared" si="349"/>
        <v>0</v>
      </c>
      <c r="BA76" s="628">
        <f t="shared" si="349"/>
        <v>0</v>
      </c>
      <c r="BB76" s="628">
        <f t="shared" si="349"/>
        <v>0</v>
      </c>
      <c r="BC76" s="625">
        <f t="shared" si="349"/>
        <v>0</v>
      </c>
      <c r="BD76" s="553"/>
      <c r="BE76" s="627">
        <f>BE70/BE14</f>
        <v>0</v>
      </c>
      <c r="BF76" s="628">
        <f t="shared" ref="BF76" si="369">BF70/BF14</f>
        <v>0</v>
      </c>
      <c r="BG76" s="628">
        <f t="shared" ref="BG76:BH76" si="370">BG70/BG14</f>
        <v>0</v>
      </c>
      <c r="BH76" s="628">
        <f t="shared" si="370"/>
        <v>0</v>
      </c>
      <c r="BI76" s="625">
        <f>BI70/BI14</f>
        <v>0</v>
      </c>
      <c r="BJ76" s="553"/>
      <c r="BK76" s="627">
        <f>BK70/BK14</f>
        <v>0</v>
      </c>
      <c r="BL76" s="628">
        <f t="shared" si="352"/>
        <v>0</v>
      </c>
      <c r="BM76" s="628">
        <f t="shared" si="352"/>
        <v>2.0120724346076459E-2</v>
      </c>
      <c r="BN76" s="628">
        <f t="shared" si="352"/>
        <v>0</v>
      </c>
      <c r="BO76" s="625">
        <f>BO70/BO14</f>
        <v>4.8146364949446319E-3</v>
      </c>
      <c r="BP76" s="553"/>
      <c r="BQ76" s="627">
        <f>BQ70/BQ14</f>
        <v>1.6129032258064516E-2</v>
      </c>
      <c r="BR76" s="2532">
        <f t="shared" si="353"/>
        <v>1.6129032258064516E-2</v>
      </c>
      <c r="BS76" s="2532">
        <f t="shared" si="353"/>
        <v>1.6129032258064516E-2</v>
      </c>
      <c r="BT76" s="2533">
        <f t="shared" si="353"/>
        <v>1.6129032258064516E-2</v>
      </c>
      <c r="BU76" s="625">
        <f>BU70/BU14</f>
        <v>1.6129032258064519E-2</v>
      </c>
      <c r="BV76" s="553"/>
      <c r="BW76" s="2531">
        <f>BT76</f>
        <v>1.6129032258064516E-2</v>
      </c>
      <c r="BX76" s="2532">
        <f t="shared" si="354"/>
        <v>1.6129032258064516E-2</v>
      </c>
      <c r="BY76" s="2532">
        <f t="shared" si="355"/>
        <v>1.6129032258064516E-2</v>
      </c>
      <c r="BZ76" s="2533">
        <f t="shared" si="356"/>
        <v>1.6129032258064516E-2</v>
      </c>
      <c r="CA76" s="625">
        <f>CA70/CA14</f>
        <v>1.6129032258064519E-2</v>
      </c>
      <c r="CB76" s="553"/>
      <c r="CC76" s="2531">
        <f>BZ76</f>
        <v>1.6129032258064516E-2</v>
      </c>
      <c r="CD76" s="2532">
        <f t="shared" si="357"/>
        <v>1.6129032258064516E-2</v>
      </c>
      <c r="CE76" s="2532">
        <f>CD76</f>
        <v>1.6129032258064516E-2</v>
      </c>
      <c r="CF76" s="2533">
        <f t="shared" si="358"/>
        <v>1.6129032258064516E-2</v>
      </c>
      <c r="CG76" s="625">
        <f>CG70/CG14</f>
        <v>1.6129032258064512E-2</v>
      </c>
      <c r="CH76" s="553"/>
      <c r="CI76" s="2531">
        <f t="shared" si="359"/>
        <v>1.6129032258064516E-2</v>
      </c>
      <c r="CJ76" s="2532">
        <f t="shared" si="360"/>
        <v>1.6129032258064516E-2</v>
      </c>
      <c r="CK76" s="2532">
        <f t="shared" ref="CK76" si="371">CJ76</f>
        <v>1.6129032258064516E-2</v>
      </c>
      <c r="CL76" s="2533">
        <f t="shared" si="362"/>
        <v>1.6129032258064516E-2</v>
      </c>
      <c r="CM76" s="625">
        <f t="shared" ref="CM76" si="372">CM70/CM14</f>
        <v>1.6129032258064516E-2</v>
      </c>
      <c r="CN76" s="553"/>
      <c r="CO76" s="2531">
        <f t="shared" si="364"/>
        <v>1.6129032258064516E-2</v>
      </c>
      <c r="CP76" s="2532">
        <f t="shared" si="365"/>
        <v>1.6129032258064516E-2</v>
      </c>
      <c r="CQ76" s="2532">
        <f t="shared" ref="CQ76" si="373">CP76</f>
        <v>1.6129032258064516E-2</v>
      </c>
      <c r="CR76" s="2533">
        <f t="shared" si="367"/>
        <v>1.6129032258064516E-2</v>
      </c>
      <c r="CS76" s="625">
        <f t="shared" si="368"/>
        <v>1.6129032258064519E-2</v>
      </c>
      <c r="CT76" s="938"/>
      <c r="CU76" s="553"/>
      <c r="CV76" s="553"/>
      <c r="DC76" s="921"/>
      <c r="DD76" s="921"/>
      <c r="DE76" s="921"/>
      <c r="DF76" s="921"/>
      <c r="DG76" s="921"/>
      <c r="DH76" s="921"/>
      <c r="DI76" s="921"/>
      <c r="DJ76" s="921"/>
      <c r="DK76" s="921"/>
      <c r="DL76" s="921"/>
    </row>
    <row r="77" spans="1:116" hidden="1" outlineLevel="1">
      <c r="A77" s="621" t="s">
        <v>6</v>
      </c>
      <c r="B77" s="553"/>
      <c r="C77" s="622">
        <f t="shared" ref="C77:G78" si="374">C71/C17</f>
        <v>0.12102030584106294</v>
      </c>
      <c r="D77" s="623">
        <f t="shared" si="374"/>
        <v>0.13731852177738671</v>
      </c>
      <c r="E77" s="623">
        <f t="shared" si="374"/>
        <v>0.13197995241229182</v>
      </c>
      <c r="F77" s="624">
        <f t="shared" si="374"/>
        <v>0.14867830423940151</v>
      </c>
      <c r="G77" s="625">
        <f t="shared" si="374"/>
        <v>0.13545568884140488</v>
      </c>
      <c r="H77" s="553"/>
      <c r="I77" s="622">
        <f t="shared" ref="I77:M78" si="375">I71/I17</f>
        <v>0.1608150165337483</v>
      </c>
      <c r="J77" s="623">
        <f t="shared" si="375"/>
        <v>0.14676712212148299</v>
      </c>
      <c r="K77" s="623">
        <f t="shared" si="375"/>
        <v>0.13115423143991392</v>
      </c>
      <c r="L77" s="624">
        <f t="shared" si="375"/>
        <v>0.13842899861425145</v>
      </c>
      <c r="M77" s="625">
        <f t="shared" si="375"/>
        <v>0.14310386866059821</v>
      </c>
      <c r="N77" s="626"/>
      <c r="O77" s="627">
        <f t="shared" ref="O77:S78" si="376">O71/O17</f>
        <v>0.15506424665347066</v>
      </c>
      <c r="P77" s="628">
        <f t="shared" si="376"/>
        <v>0.1546369339710541</v>
      </c>
      <c r="Q77" s="628">
        <f t="shared" si="376"/>
        <v>0.14298085824349749</v>
      </c>
      <c r="R77" s="629">
        <f t="shared" si="376"/>
        <v>0.14122030976704097</v>
      </c>
      <c r="S77" s="625">
        <f t="shared" si="376"/>
        <v>0.14791649683935942</v>
      </c>
      <c r="T77" s="553"/>
      <c r="U77" s="627">
        <f t="shared" ref="U77:Y78" si="377">U71/U17</f>
        <v>0.13794555150154364</v>
      </c>
      <c r="V77" s="628">
        <f t="shared" si="377"/>
        <v>0.14110601665574996</v>
      </c>
      <c r="W77" s="628">
        <f t="shared" si="377"/>
        <v>0.14859291329611482</v>
      </c>
      <c r="X77" s="629">
        <f t="shared" si="377"/>
        <v>0.1554486108326093</v>
      </c>
      <c r="Y77" s="625">
        <f t="shared" si="377"/>
        <v>0.14590984208593463</v>
      </c>
      <c r="Z77" s="553"/>
      <c r="AA77" s="627">
        <f t="shared" ref="AA77:AE78" si="378">AA71/AA17</f>
        <v>0.15847756541711097</v>
      </c>
      <c r="AB77" s="628">
        <f t="shared" si="378"/>
        <v>0.17286397254116781</v>
      </c>
      <c r="AC77" s="628">
        <f t="shared" si="378"/>
        <v>0.17372642269869418</v>
      </c>
      <c r="AD77" s="629">
        <f t="shared" si="378"/>
        <v>0.16290754801250545</v>
      </c>
      <c r="AE77" s="625">
        <f t="shared" si="378"/>
        <v>0.16711431754062689</v>
      </c>
      <c r="AF77" s="553"/>
      <c r="AG77" s="627">
        <f t="shared" ref="AG77:AK78" si="379">AG71/AG17</f>
        <v>0.1543850167335315</v>
      </c>
      <c r="AH77" s="628">
        <f t="shared" si="379"/>
        <v>0.15670805047601574</v>
      </c>
      <c r="AI77" s="628">
        <f t="shared" si="379"/>
        <v>0.14566057558815804</v>
      </c>
      <c r="AJ77" s="629">
        <f t="shared" si="379"/>
        <v>0.14362905252576025</v>
      </c>
      <c r="AK77" s="625">
        <f t="shared" si="379"/>
        <v>0.14977591090760933</v>
      </c>
      <c r="AL77" s="553"/>
      <c r="AM77" s="627">
        <f t="shared" ref="AM77:AQ78" si="380">AM71/AM17</f>
        <v>0.13132986663604598</v>
      </c>
      <c r="AN77" s="628">
        <f t="shared" si="380"/>
        <v>0.13211945936374903</v>
      </c>
      <c r="AO77" s="628">
        <f t="shared" si="380"/>
        <v>0.13494707127734651</v>
      </c>
      <c r="AP77" s="629">
        <f t="shared" si="380"/>
        <v>0.14250287146287982</v>
      </c>
      <c r="AQ77" s="625">
        <f t="shared" si="380"/>
        <v>0.1355508166213491</v>
      </c>
      <c r="AR77" s="553"/>
      <c r="AS77" s="627">
        <f t="shared" ref="AS77:AW78" si="381">AS71/AS17</f>
        <v>0.15163013111217954</v>
      </c>
      <c r="AT77" s="628">
        <f t="shared" si="381"/>
        <v>0.15499036235134381</v>
      </c>
      <c r="AU77" s="628">
        <f t="shared" si="381"/>
        <v>0.17247535053082072</v>
      </c>
      <c r="AV77" s="628">
        <f t="shared" si="381"/>
        <v>0.12838534040499355</v>
      </c>
      <c r="AW77" s="625">
        <f t="shared" si="381"/>
        <v>0.15132453581020192</v>
      </c>
      <c r="AX77" s="553"/>
      <c r="AY77" s="627">
        <f t="shared" ref="AY77:BC78" si="382">AY71/AY17</f>
        <v>0.12320751427450638</v>
      </c>
      <c r="AZ77" s="628">
        <f t="shared" si="382"/>
        <v>0.11173608367470005</v>
      </c>
      <c r="BA77" s="628">
        <f t="shared" si="382"/>
        <v>9.1730354298158942E-2</v>
      </c>
      <c r="BB77" s="628">
        <f t="shared" si="382"/>
        <v>9.4946789890079125E-2</v>
      </c>
      <c r="BC77" s="625">
        <f t="shared" si="382"/>
        <v>0.10463627304434479</v>
      </c>
      <c r="BD77" s="553"/>
      <c r="BE77" s="627">
        <f>BE71/BE17</f>
        <v>8.6141264899914499E-2</v>
      </c>
      <c r="BF77" s="628">
        <f t="shared" ref="BF77" si="383">BF71/BF17</f>
        <v>8.5901349614395883E-2</v>
      </c>
      <c r="BG77" s="628">
        <f t="shared" ref="BG77:BH77" si="384">BG71/BG17</f>
        <v>9.1527633158200131E-2</v>
      </c>
      <c r="BH77" s="628">
        <f t="shared" si="384"/>
        <v>7.2394498449129138E-2</v>
      </c>
      <c r="BI77" s="625">
        <f>BI71/BI17</f>
        <v>8.3883699252295649E-2</v>
      </c>
      <c r="BJ77" s="553"/>
      <c r="BK77" s="627">
        <f>BK71/BK17</f>
        <v>0.1</v>
      </c>
      <c r="BL77" s="628">
        <f t="shared" ref="BL77:BN78" si="385">BL71/BL17</f>
        <v>9.9693251533742325E-2</v>
      </c>
      <c r="BM77" s="628">
        <f t="shared" si="385"/>
        <v>8.9726334679228345E-2</v>
      </c>
      <c r="BN77" s="628">
        <f t="shared" si="385"/>
        <v>9.6267772511848343E-2</v>
      </c>
      <c r="BO77" s="625">
        <f>BO71/BO17</f>
        <v>9.6442746392670364E-2</v>
      </c>
      <c r="BP77" s="553"/>
      <c r="BQ77" s="627">
        <f>BQ71/BQ17</f>
        <v>0.10948905109489052</v>
      </c>
      <c r="BR77" s="2532">
        <f t="shared" si="353"/>
        <v>0.10948905109489052</v>
      </c>
      <c r="BS77" s="2532">
        <f t="shared" si="353"/>
        <v>0.10948905109489052</v>
      </c>
      <c r="BT77" s="2533">
        <f t="shared" si="353"/>
        <v>0.10948905109489052</v>
      </c>
      <c r="BU77" s="625">
        <f>BU71/BU17</f>
        <v>0.10948905109489053</v>
      </c>
      <c r="BV77" s="553"/>
      <c r="BW77" s="2531">
        <f>BT77</f>
        <v>0.10948905109489052</v>
      </c>
      <c r="BX77" s="2532">
        <f t="shared" si="354"/>
        <v>0.10948905109489052</v>
      </c>
      <c r="BY77" s="2532">
        <f t="shared" si="355"/>
        <v>0.10948905109489052</v>
      </c>
      <c r="BZ77" s="2533">
        <f t="shared" si="356"/>
        <v>0.10948905109489052</v>
      </c>
      <c r="CA77" s="625">
        <f>CA71/CA17</f>
        <v>0.10948905109489052</v>
      </c>
      <c r="CB77" s="553"/>
      <c r="CC77" s="2531">
        <f>BZ77</f>
        <v>0.10948905109489052</v>
      </c>
      <c r="CD77" s="2532">
        <f t="shared" si="357"/>
        <v>0.10948905109489052</v>
      </c>
      <c r="CE77" s="2532">
        <f>CD77</f>
        <v>0.10948905109489052</v>
      </c>
      <c r="CF77" s="2533">
        <f t="shared" si="358"/>
        <v>0.10948905109489052</v>
      </c>
      <c r="CG77" s="625">
        <f>CG71/CG17</f>
        <v>0.10948905109489049</v>
      </c>
      <c r="CH77" s="553"/>
      <c r="CI77" s="2531">
        <f t="shared" si="359"/>
        <v>0.10948905109489052</v>
      </c>
      <c r="CJ77" s="2532">
        <f t="shared" si="360"/>
        <v>0.10948905109489052</v>
      </c>
      <c r="CK77" s="2532">
        <f t="shared" ref="CK77" si="386">CJ77</f>
        <v>0.10948905109489052</v>
      </c>
      <c r="CL77" s="2533">
        <f t="shared" si="362"/>
        <v>0.10948905109489052</v>
      </c>
      <c r="CM77" s="625">
        <f t="shared" ref="CM77" si="387">CM71/CM17</f>
        <v>0.10948905109489052</v>
      </c>
      <c r="CN77" s="553"/>
      <c r="CO77" s="2531">
        <f t="shared" si="364"/>
        <v>0.10948905109489052</v>
      </c>
      <c r="CP77" s="2532">
        <f t="shared" si="365"/>
        <v>0.10948905109489052</v>
      </c>
      <c r="CQ77" s="2532">
        <f t="shared" ref="CQ77" si="388">CP77</f>
        <v>0.10948905109489052</v>
      </c>
      <c r="CR77" s="2533">
        <f t="shared" si="367"/>
        <v>0.10948905109489052</v>
      </c>
      <c r="CS77" s="625">
        <f t="shared" ref="CS77:CS78" si="389">CS71/CS17</f>
        <v>0.10948905109489053</v>
      </c>
      <c r="CT77" s="938"/>
      <c r="CU77" s="553"/>
      <c r="CV77" s="553"/>
      <c r="DC77" s="921"/>
      <c r="DD77" s="921"/>
      <c r="DE77" s="921"/>
      <c r="DF77" s="921"/>
      <c r="DG77" s="921"/>
      <c r="DH77" s="921"/>
      <c r="DI77" s="921"/>
      <c r="DJ77" s="921"/>
      <c r="DK77" s="921"/>
      <c r="DL77" s="921"/>
    </row>
    <row r="78" spans="1:116" hidden="1" outlineLevel="1">
      <c r="A78" s="621" t="s">
        <v>5</v>
      </c>
      <c r="B78" s="553"/>
      <c r="C78" s="622">
        <f t="shared" si="374"/>
        <v>0.20314814031227521</v>
      </c>
      <c r="D78" s="623">
        <f t="shared" si="374"/>
        <v>0.18264154182942008</v>
      </c>
      <c r="E78" s="623">
        <f t="shared" si="374"/>
        <v>0.20331591722549061</v>
      </c>
      <c r="F78" s="624">
        <f t="shared" si="374"/>
        <v>0.1801525700389752</v>
      </c>
      <c r="G78" s="625">
        <f t="shared" si="374"/>
        <v>0.19165284032551155</v>
      </c>
      <c r="H78" s="553"/>
      <c r="I78" s="622">
        <f t="shared" si="375"/>
        <v>0.18168918319685459</v>
      </c>
      <c r="J78" s="623">
        <f t="shared" si="375"/>
        <v>0.20805256064690028</v>
      </c>
      <c r="K78" s="623">
        <f t="shared" si="375"/>
        <v>0.20330242601295567</v>
      </c>
      <c r="L78" s="624">
        <f t="shared" si="375"/>
        <v>0.1768351782890373</v>
      </c>
      <c r="M78" s="625">
        <f t="shared" si="375"/>
        <v>0.19249530449822314</v>
      </c>
      <c r="N78" s="626"/>
      <c r="O78" s="627">
        <f t="shared" si="376"/>
        <v>0.2059956573509841</v>
      </c>
      <c r="P78" s="628">
        <f t="shared" si="376"/>
        <v>0.20460669066978229</v>
      </c>
      <c r="Q78" s="628">
        <f t="shared" si="376"/>
        <v>0.20258456860509313</v>
      </c>
      <c r="R78" s="629">
        <f t="shared" si="376"/>
        <v>0.19463928362070712</v>
      </c>
      <c r="S78" s="625">
        <f t="shared" si="376"/>
        <v>0.20166499373358968</v>
      </c>
      <c r="T78" s="553"/>
      <c r="U78" s="627">
        <f t="shared" si="377"/>
        <v>0.19453836668125227</v>
      </c>
      <c r="V78" s="628">
        <f t="shared" si="377"/>
        <v>0.17626799661240236</v>
      </c>
      <c r="W78" s="628">
        <f t="shared" si="377"/>
        <v>0.18076209868014398</v>
      </c>
      <c r="X78" s="629">
        <f t="shared" si="377"/>
        <v>0.18181671636979124</v>
      </c>
      <c r="Y78" s="625">
        <f t="shared" si="377"/>
        <v>0.18311756647645314</v>
      </c>
      <c r="Z78" s="553"/>
      <c r="AA78" s="627">
        <f t="shared" si="378"/>
        <v>0.19375740692287566</v>
      </c>
      <c r="AB78" s="628">
        <f t="shared" si="378"/>
        <v>0.19493603959523564</v>
      </c>
      <c r="AC78" s="628">
        <f t="shared" si="378"/>
        <v>0.20860666888358173</v>
      </c>
      <c r="AD78" s="629">
        <f t="shared" si="378"/>
        <v>0.20102430748251854</v>
      </c>
      <c r="AE78" s="625">
        <f t="shared" si="378"/>
        <v>0.19955621132576146</v>
      </c>
      <c r="AF78" s="553"/>
      <c r="AG78" s="627">
        <f t="shared" si="379"/>
        <v>0.21041294284797654</v>
      </c>
      <c r="AH78" s="628">
        <f t="shared" si="379"/>
        <v>0.20830429732868755</v>
      </c>
      <c r="AI78" s="628">
        <f t="shared" si="379"/>
        <v>0.19214189297066636</v>
      </c>
      <c r="AJ78" s="629">
        <f t="shared" si="379"/>
        <v>0.18575564869045574</v>
      </c>
      <c r="AK78" s="625">
        <f t="shared" si="379"/>
        <v>0.19869043392823207</v>
      </c>
      <c r="AL78" s="553"/>
      <c r="AM78" s="627">
        <f t="shared" si="380"/>
        <v>0.18143339456829355</v>
      </c>
      <c r="AN78" s="628">
        <f t="shared" si="380"/>
        <v>0.16533615694859197</v>
      </c>
      <c r="AO78" s="628">
        <f t="shared" si="380"/>
        <v>0.17940684580220762</v>
      </c>
      <c r="AP78" s="629">
        <f t="shared" si="380"/>
        <v>0.16359116829945897</v>
      </c>
      <c r="AQ78" s="625">
        <f t="shared" si="380"/>
        <v>0.17200441590172938</v>
      </c>
      <c r="AR78" s="553"/>
      <c r="AS78" s="627">
        <f t="shared" si="381"/>
        <v>0.19057589592966337</v>
      </c>
      <c r="AT78" s="628">
        <f t="shared" si="381"/>
        <v>0.18690709664823801</v>
      </c>
      <c r="AU78" s="628">
        <f t="shared" si="381"/>
        <v>0.23252550696950997</v>
      </c>
      <c r="AV78" s="628">
        <f t="shared" si="381"/>
        <v>0.19894515117841211</v>
      </c>
      <c r="AW78" s="625">
        <f t="shared" si="381"/>
        <v>0.20279943263659053</v>
      </c>
      <c r="AX78" s="553"/>
      <c r="AY78" s="627">
        <f t="shared" si="382"/>
        <v>0.15920393676784392</v>
      </c>
      <c r="AZ78" s="628">
        <f t="shared" si="382"/>
        <v>0.16331987029978953</v>
      </c>
      <c r="BA78" s="628">
        <f t="shared" si="382"/>
        <v>0.15251006771138487</v>
      </c>
      <c r="BB78" s="628">
        <f t="shared" si="382"/>
        <v>0.15029009274699226</v>
      </c>
      <c r="BC78" s="625">
        <f t="shared" si="382"/>
        <v>0.15594083784091722</v>
      </c>
      <c r="BD78" s="553"/>
      <c r="BE78" s="627">
        <f>BE72/BE18</f>
        <v>0.15250709169200627</v>
      </c>
      <c r="BF78" s="628">
        <f t="shared" ref="BF78" si="390">BF72/BF18</f>
        <v>0.13197210134779727</v>
      </c>
      <c r="BG78" s="628">
        <f t="shared" ref="BG78:BH78" si="391">BG72/BG18</f>
        <v>0.15513493800145878</v>
      </c>
      <c r="BH78" s="628">
        <f t="shared" si="391"/>
        <v>0.10142406483188027</v>
      </c>
      <c r="BI78" s="625">
        <f>BI72/BI18</f>
        <v>0.13504658846594378</v>
      </c>
      <c r="BJ78" s="553"/>
      <c r="BK78" s="627">
        <f>BK72/BK18</f>
        <v>0.21710526315789475</v>
      </c>
      <c r="BL78" s="628">
        <f t="shared" si="385"/>
        <v>0.13805522208883553</v>
      </c>
      <c r="BM78" s="628">
        <f t="shared" si="385"/>
        <v>0.10847294202723876</v>
      </c>
      <c r="BN78" s="628">
        <f t="shared" si="385"/>
        <v>0.14514630747793775</v>
      </c>
      <c r="BO78" s="625">
        <f>BO72/BO18</f>
        <v>0.15073540607204849</v>
      </c>
      <c r="BP78" s="553"/>
      <c r="BQ78" s="627">
        <f>BQ72/BQ18</f>
        <v>0.15642458100558659</v>
      </c>
      <c r="BR78" s="2532">
        <f t="shared" si="353"/>
        <v>0.15642458100558659</v>
      </c>
      <c r="BS78" s="2532">
        <f t="shared" si="353"/>
        <v>0.15642458100558659</v>
      </c>
      <c r="BT78" s="2533">
        <f t="shared" si="353"/>
        <v>0.15642458100558659</v>
      </c>
      <c r="BU78" s="625">
        <f>BU72/BU18</f>
        <v>0.15642458100558659</v>
      </c>
      <c r="BV78" s="553"/>
      <c r="BW78" s="2531">
        <f>BT78</f>
        <v>0.15642458100558659</v>
      </c>
      <c r="BX78" s="2532">
        <f t="shared" si="354"/>
        <v>0.15642458100558659</v>
      </c>
      <c r="BY78" s="2532">
        <f t="shared" si="355"/>
        <v>0.15642458100558659</v>
      </c>
      <c r="BZ78" s="2533">
        <f t="shared" si="356"/>
        <v>0.15642458100558659</v>
      </c>
      <c r="CA78" s="625">
        <f>CA72/CA18</f>
        <v>0.15642458100558659</v>
      </c>
      <c r="CB78" s="553"/>
      <c r="CC78" s="2531">
        <f>BZ78</f>
        <v>0.15642458100558659</v>
      </c>
      <c r="CD78" s="2532">
        <f t="shared" si="357"/>
        <v>0.15642458100558659</v>
      </c>
      <c r="CE78" s="2532">
        <f>CD78</f>
        <v>0.15642458100558659</v>
      </c>
      <c r="CF78" s="2533">
        <f t="shared" si="358"/>
        <v>0.15642458100558659</v>
      </c>
      <c r="CG78" s="625">
        <f>CG72/CG18</f>
        <v>0.15642458100558662</v>
      </c>
      <c r="CH78" s="553"/>
      <c r="CI78" s="2531">
        <f t="shared" si="359"/>
        <v>0.15642458100558659</v>
      </c>
      <c r="CJ78" s="2532">
        <f t="shared" si="360"/>
        <v>0.15642458100558659</v>
      </c>
      <c r="CK78" s="2532">
        <f t="shared" ref="CK78" si="392">CJ78</f>
        <v>0.15642458100558659</v>
      </c>
      <c r="CL78" s="2533">
        <f t="shared" si="362"/>
        <v>0.15642458100558659</v>
      </c>
      <c r="CM78" s="625">
        <f t="shared" ref="CM78" si="393">CM72/CM18</f>
        <v>0.15642458100558659</v>
      </c>
      <c r="CN78" s="553"/>
      <c r="CO78" s="2531">
        <f t="shared" si="364"/>
        <v>0.15642458100558659</v>
      </c>
      <c r="CP78" s="2532">
        <f t="shared" si="365"/>
        <v>0.15642458100558659</v>
      </c>
      <c r="CQ78" s="2532">
        <f t="shared" ref="CQ78" si="394">CP78</f>
        <v>0.15642458100558659</v>
      </c>
      <c r="CR78" s="2533">
        <f t="shared" si="367"/>
        <v>0.15642458100558659</v>
      </c>
      <c r="CS78" s="625">
        <f t="shared" si="389"/>
        <v>0.15642458100558657</v>
      </c>
      <c r="CT78" s="938"/>
      <c r="CU78" s="553"/>
      <c r="CV78" s="553"/>
      <c r="DC78" s="921"/>
      <c r="DD78" s="921"/>
      <c r="DE78" s="921"/>
      <c r="DF78" s="921"/>
      <c r="DG78" s="921"/>
      <c r="DH78" s="921"/>
      <c r="DI78" s="921"/>
      <c r="DJ78" s="921"/>
      <c r="DK78" s="921"/>
      <c r="DL78" s="921"/>
    </row>
    <row r="79" spans="1:116" collapsed="1">
      <c r="A79" s="2021" t="s">
        <v>576</v>
      </c>
      <c r="B79" s="601"/>
      <c r="C79" s="627">
        <f>C73/C9</f>
        <v>0.10641718641718641</v>
      </c>
      <c r="D79" s="628">
        <f>D73/D9</f>
        <v>9.2092032885786962E-2</v>
      </c>
      <c r="E79" s="628">
        <f>E73/E9</f>
        <v>8.889344682596656E-2</v>
      </c>
      <c r="F79" s="629">
        <f>F73/F9</f>
        <v>8.5387730453625063E-2</v>
      </c>
      <c r="G79" s="625">
        <f>G73/G9</f>
        <v>9.2001341334082137E-2</v>
      </c>
      <c r="H79" s="601"/>
      <c r="I79" s="627">
        <f>I73/I9</f>
        <v>8.9093311231649167E-2</v>
      </c>
      <c r="J79" s="628">
        <f>J73/J9</f>
        <v>8.756786063334214E-2</v>
      </c>
      <c r="K79" s="628">
        <f>K73/K9</f>
        <v>8.4786370291494745E-2</v>
      </c>
      <c r="L79" s="629">
        <f>L73/L9</f>
        <v>7.3424596245502613E-2</v>
      </c>
      <c r="M79" s="625">
        <f>M73/M9</f>
        <v>8.3192463692267432E-2</v>
      </c>
      <c r="N79" s="630"/>
      <c r="O79" s="627">
        <f>O73/O9</f>
        <v>8.9649305911665866E-2</v>
      </c>
      <c r="P79" s="628">
        <f>P73/P9</f>
        <v>9.2184629090031736E-2</v>
      </c>
      <c r="Q79" s="628">
        <f>Q73/Q9</f>
        <v>9.2018186410709774E-2</v>
      </c>
      <c r="R79" s="629">
        <f>R73/R9</f>
        <v>9.1258501140869752E-2</v>
      </c>
      <c r="S79" s="625">
        <f>S73/S9</f>
        <v>9.1263409392427705E-2</v>
      </c>
      <c r="T79" s="628"/>
      <c r="U79" s="627">
        <f>U73/U9</f>
        <v>8.847609183317634E-2</v>
      </c>
      <c r="V79" s="628">
        <f>V73/V9</f>
        <v>7.9456422786469985E-2</v>
      </c>
      <c r="W79" s="628">
        <f>W73/W9</f>
        <v>7.5681916825741963E-2</v>
      </c>
      <c r="X79" s="629">
        <f>X73/X9</f>
        <v>7.5932460256106074E-2</v>
      </c>
      <c r="Y79" s="625">
        <f>Y73/Y9</f>
        <v>7.9363848545706925E-2</v>
      </c>
      <c r="Z79" s="628"/>
      <c r="AA79" s="627">
        <f>AA73/AA9</f>
        <v>7.8010017167230064E-2</v>
      </c>
      <c r="AB79" s="628">
        <f>AB73/AB9</f>
        <v>8.2330840146112375E-2</v>
      </c>
      <c r="AC79" s="628">
        <f>AC73/AC9</f>
        <v>0.10433589951549688</v>
      </c>
      <c r="AD79" s="629">
        <f>AD73/AD9</f>
        <v>8.7239224060366841E-2</v>
      </c>
      <c r="AE79" s="625">
        <f>AE73/AE9</f>
        <v>8.7246751647268916E-2</v>
      </c>
      <c r="AF79" s="628"/>
      <c r="AG79" s="627">
        <f>AG73/AG9</f>
        <v>8.4426439857755622E-2</v>
      </c>
      <c r="AH79" s="628">
        <f>AH73/AH9</f>
        <v>8.5696365379338377E-2</v>
      </c>
      <c r="AI79" s="628">
        <f>AI73/AI9</f>
        <v>8.070688485136808E-2</v>
      </c>
      <c r="AJ79" s="629">
        <f>AJ73/AJ9</f>
        <v>7.8172441110374608E-2</v>
      </c>
      <c r="AK79" s="625">
        <f>AK73/AK9</f>
        <v>8.2126848907633845E-2</v>
      </c>
      <c r="AL79" s="628"/>
      <c r="AM79" s="627">
        <f>AM73/AM9</f>
        <v>7.3178469775621077E-2</v>
      </c>
      <c r="AN79" s="628">
        <f>AN73/AN9</f>
        <v>7.0651325940351464E-2</v>
      </c>
      <c r="AO79" s="628">
        <f>AO73/AO9</f>
        <v>7.68189461883408E-2</v>
      </c>
      <c r="AP79" s="629">
        <f>AP73/AP9</f>
        <v>7.6798355906910448E-2</v>
      </c>
      <c r="AQ79" s="625">
        <f>AQ73/AQ9</f>
        <v>7.4463578805751274E-2</v>
      </c>
      <c r="AR79" s="628"/>
      <c r="AS79" s="627">
        <f>AS73/AS9</f>
        <v>7.9433244371775333E-2</v>
      </c>
      <c r="AT79" s="628">
        <f>AT73/AT9</f>
        <v>8.0425767704572257E-2</v>
      </c>
      <c r="AU79" s="628">
        <f>AU73/AU9</f>
        <v>9.2938434970767522E-2</v>
      </c>
      <c r="AV79" s="628">
        <f>AV73/AV9</f>
        <v>7.5065527666044088E-2</v>
      </c>
      <c r="AW79" s="625">
        <f>AW73/AW9</f>
        <v>8.1956829368665246E-2</v>
      </c>
      <c r="AX79" s="628"/>
      <c r="AY79" s="627">
        <f>AY73/AY9</f>
        <v>5.9264898387381276E-2</v>
      </c>
      <c r="AZ79" s="628">
        <f>AZ73/AZ9</f>
        <v>6.1101861774117604E-2</v>
      </c>
      <c r="BA79" s="628">
        <f>BA73/BA9</f>
        <v>5.8569323115337718E-2</v>
      </c>
      <c r="BB79" s="628">
        <f>BB73/BB9</f>
        <v>5.9993440938013488E-2</v>
      </c>
      <c r="BC79" s="625">
        <f>BC73/BC9</f>
        <v>5.9732980382581569E-2</v>
      </c>
      <c r="BD79" s="628"/>
      <c r="BE79" s="627">
        <f>BE73/BE9</f>
        <v>6.1724875516603897E-2</v>
      </c>
      <c r="BF79" s="628">
        <f>BF73/BF9</f>
        <v>5.3272323719764578E-2</v>
      </c>
      <c r="BG79" s="628">
        <f>BG73/BG9</f>
        <v>5.6960597161440786E-2</v>
      </c>
      <c r="BH79" s="628">
        <f>BH73/BH9</f>
        <v>4.394951456937711E-2</v>
      </c>
      <c r="BI79" s="625">
        <f>BI73/BI9</f>
        <v>5.3813564445563712E-2</v>
      </c>
      <c r="BJ79" s="628"/>
      <c r="BK79" s="627">
        <f>BK73/BK9</f>
        <v>8.3612040133779264E-2</v>
      </c>
      <c r="BL79" s="628">
        <f>BL73/BL9</f>
        <v>5.8876811594202903E-2</v>
      </c>
      <c r="BM79" s="628">
        <f>BM73/BM9</f>
        <v>4.7619047619047616E-2</v>
      </c>
      <c r="BN79" s="628">
        <f>BN73/BN9</f>
        <v>5.2719557670052715E-2</v>
      </c>
      <c r="BO79" s="625">
        <f>BO73/BO9</f>
        <v>5.9590857890338279E-2</v>
      </c>
      <c r="BP79" s="628"/>
      <c r="BQ79" s="627">
        <f>BQ73/BQ9</f>
        <v>6.1381074168797956E-2</v>
      </c>
      <c r="BR79" s="628">
        <f>BR73/BR9</f>
        <v>6.7585424109172398E-2</v>
      </c>
      <c r="BS79" s="628">
        <f>BS73/BS9</f>
        <v>6.6921631165096224E-2</v>
      </c>
      <c r="BT79" s="629">
        <f>BT73/BT9</f>
        <v>6.6237035541321265E-2</v>
      </c>
      <c r="BU79" s="625">
        <f>BU73/BU9</f>
        <v>6.5559689303195126E-2</v>
      </c>
      <c r="BV79" s="628"/>
      <c r="BW79" s="627">
        <f>BW73/BW9</f>
        <v>6.1448888934234974E-2</v>
      </c>
      <c r="BX79" s="628">
        <f>BX73/BX9</f>
        <v>6.7326452554426652E-2</v>
      </c>
      <c r="BY79" s="628">
        <f>BY73/BY9</f>
        <v>6.664896727992102E-2</v>
      </c>
      <c r="BZ79" s="629">
        <f>BZ73/BZ9</f>
        <v>6.5973988677253459E-2</v>
      </c>
      <c r="CA79" s="625">
        <f>CA73/CA9</f>
        <v>6.5359623191470442E-2</v>
      </c>
      <c r="CB79" s="628"/>
      <c r="CC79" s="627">
        <f>CC73/CC9</f>
        <v>6.1465392150636858E-2</v>
      </c>
      <c r="CD79" s="628">
        <f>CD73/CD9</f>
        <v>6.7051976207788924E-2</v>
      </c>
      <c r="CE79" s="628">
        <f>CE73/CE9</f>
        <v>6.6374047028616434E-2</v>
      </c>
      <c r="CF79" s="629">
        <f>CF73/CF9</f>
        <v>6.5702766866970047E-2</v>
      </c>
      <c r="CG79" s="625">
        <f>CG73/CG9</f>
        <v>6.515843879761514E-2</v>
      </c>
      <c r="CH79" s="628"/>
      <c r="CI79" s="627">
        <f t="shared" ref="CI79:CM79" si="395">CI73/CI9</f>
        <v>6.1512286911273778E-2</v>
      </c>
      <c r="CJ79" s="628">
        <f t="shared" si="395"/>
        <v>6.6802939680945347E-2</v>
      </c>
      <c r="CK79" s="628">
        <f t="shared" si="395"/>
        <v>6.612531125992975E-2</v>
      </c>
      <c r="CL79" s="629">
        <f t="shared" si="395"/>
        <v>6.545528078892876E-2</v>
      </c>
      <c r="CM79" s="625">
        <f t="shared" si="395"/>
        <v>6.498262867183778E-2</v>
      </c>
      <c r="CN79" s="628"/>
      <c r="CO79" s="627">
        <f t="shared" ref="CO79:CS79" si="396">CO73/CO9</f>
        <v>6.1557472882006442E-2</v>
      </c>
      <c r="CP79" s="628">
        <f t="shared" si="396"/>
        <v>6.6540390186580145E-2</v>
      </c>
      <c r="CQ79" s="628">
        <f t="shared" si="396"/>
        <v>6.5860383206171713E-2</v>
      </c>
      <c r="CR79" s="629">
        <f t="shared" si="396"/>
        <v>6.5192665326916657E-2</v>
      </c>
      <c r="CS79" s="625">
        <f t="shared" si="396"/>
        <v>6.4800119689701494E-2</v>
      </c>
      <c r="CT79" s="600"/>
      <c r="CU79" s="601"/>
      <c r="CV79" s="601"/>
      <c r="DC79" s="921"/>
      <c r="DD79" s="921"/>
      <c r="DE79" s="921"/>
      <c r="DF79" s="921"/>
      <c r="DG79" s="921"/>
      <c r="DH79" s="921"/>
      <c r="DI79" s="921"/>
      <c r="DJ79" s="921"/>
      <c r="DK79" s="921"/>
      <c r="DL79" s="921"/>
    </row>
    <row r="80" spans="1:116" ht="6" customHeight="1">
      <c r="A80" s="2021"/>
      <c r="B80" s="601"/>
      <c r="C80" s="627"/>
      <c r="D80" s="628"/>
      <c r="E80" s="628"/>
      <c r="F80" s="629"/>
      <c r="G80" s="625"/>
      <c r="H80" s="601"/>
      <c r="I80" s="627"/>
      <c r="J80" s="628"/>
      <c r="K80" s="628"/>
      <c r="L80" s="629"/>
      <c r="M80" s="625"/>
      <c r="N80" s="630"/>
      <c r="O80" s="627"/>
      <c r="P80" s="628"/>
      <c r="Q80" s="628"/>
      <c r="R80" s="629"/>
      <c r="S80" s="625"/>
      <c r="T80" s="628"/>
      <c r="U80" s="627"/>
      <c r="V80" s="628"/>
      <c r="W80" s="628"/>
      <c r="X80" s="629"/>
      <c r="Y80" s="625"/>
      <c r="Z80" s="628"/>
      <c r="AA80" s="627"/>
      <c r="AB80" s="628"/>
      <c r="AC80" s="628"/>
      <c r="AD80" s="629"/>
      <c r="AE80" s="625"/>
      <c r="AF80" s="628"/>
      <c r="AG80" s="627"/>
      <c r="AH80" s="628"/>
      <c r="AI80" s="628"/>
      <c r="AJ80" s="629"/>
      <c r="AK80" s="625"/>
      <c r="AL80" s="628"/>
      <c r="AM80" s="627"/>
      <c r="AN80" s="628"/>
      <c r="AO80" s="628"/>
      <c r="AP80" s="629"/>
      <c r="AQ80" s="625"/>
      <c r="AR80" s="628"/>
      <c r="AS80" s="627"/>
      <c r="AT80" s="628"/>
      <c r="AU80" s="628"/>
      <c r="AV80" s="628"/>
      <c r="AW80" s="625"/>
      <c r="AX80" s="628"/>
      <c r="AY80" s="627"/>
      <c r="AZ80" s="628"/>
      <c r="BA80" s="628"/>
      <c r="BB80" s="628"/>
      <c r="BC80" s="625"/>
      <c r="BD80" s="628"/>
      <c r="BE80" s="627"/>
      <c r="BF80" s="628"/>
      <c r="BG80" s="628"/>
      <c r="BH80" s="628"/>
      <c r="BI80" s="625"/>
      <c r="BJ80" s="628"/>
      <c r="BK80" s="627"/>
      <c r="BL80" s="628"/>
      <c r="BM80" s="628"/>
      <c r="BN80" s="629"/>
      <c r="BO80" s="625"/>
      <c r="BP80" s="628"/>
      <c r="BQ80" s="627"/>
      <c r="BR80" s="628"/>
      <c r="BS80" s="628"/>
      <c r="BT80" s="629"/>
      <c r="BU80" s="625"/>
      <c r="BV80" s="628"/>
      <c r="BW80" s="627"/>
      <c r="BX80" s="628"/>
      <c r="BY80" s="628"/>
      <c r="BZ80" s="629"/>
      <c r="CA80" s="625"/>
      <c r="CB80" s="628"/>
      <c r="CC80" s="627"/>
      <c r="CD80" s="628"/>
      <c r="CE80" s="628"/>
      <c r="CF80" s="629"/>
      <c r="CG80" s="625"/>
      <c r="CH80" s="628"/>
      <c r="CI80" s="627"/>
      <c r="CJ80" s="628"/>
      <c r="CK80" s="628"/>
      <c r="CL80" s="629"/>
      <c r="CM80" s="625"/>
      <c r="CN80" s="628"/>
      <c r="CO80" s="627"/>
      <c r="CP80" s="628"/>
      <c r="CQ80" s="628"/>
      <c r="CR80" s="629"/>
      <c r="CS80" s="625"/>
      <c r="CT80" s="600"/>
      <c r="CU80" s="601"/>
      <c r="CV80" s="601"/>
      <c r="DC80" s="921"/>
      <c r="DD80" s="921"/>
      <c r="DE80" s="921"/>
      <c r="DF80" s="921"/>
      <c r="DG80" s="921"/>
      <c r="DH80" s="921"/>
      <c r="DI80" s="921"/>
      <c r="DJ80" s="921"/>
      <c r="DK80" s="921"/>
      <c r="DL80" s="921"/>
    </row>
    <row r="81" spans="1:116">
      <c r="A81" s="2562" t="s">
        <v>804</v>
      </c>
      <c r="B81" s="601"/>
      <c r="C81" s="2563">
        <v>0.3</v>
      </c>
      <c r="D81" s="2564">
        <f>+C81</f>
        <v>0.3</v>
      </c>
      <c r="E81" s="2564">
        <f>+D81</f>
        <v>0.3</v>
      </c>
      <c r="F81" s="2565">
        <f>+E81</f>
        <v>0.3</v>
      </c>
      <c r="G81" s="2566">
        <f>+F81</f>
        <v>0.3</v>
      </c>
      <c r="H81" s="2567"/>
      <c r="I81" s="2563">
        <v>0.3</v>
      </c>
      <c r="J81" s="2564">
        <f t="shared" ref="J81:M81" si="397">+I81</f>
        <v>0.3</v>
      </c>
      <c r="K81" s="2564">
        <f t="shared" si="397"/>
        <v>0.3</v>
      </c>
      <c r="L81" s="2565">
        <f t="shared" si="397"/>
        <v>0.3</v>
      </c>
      <c r="M81" s="2566">
        <f t="shared" si="397"/>
        <v>0.3</v>
      </c>
      <c r="N81" s="2567"/>
      <c r="O81" s="2563">
        <v>0.3</v>
      </c>
      <c r="P81" s="2564">
        <f t="shared" ref="P81:S81" si="398">+O81</f>
        <v>0.3</v>
      </c>
      <c r="Q81" s="2564">
        <f t="shared" si="398"/>
        <v>0.3</v>
      </c>
      <c r="R81" s="2565">
        <f t="shared" si="398"/>
        <v>0.3</v>
      </c>
      <c r="S81" s="2566">
        <f t="shared" si="398"/>
        <v>0.3</v>
      </c>
      <c r="T81" s="2567"/>
      <c r="U81" s="2563">
        <v>0.3</v>
      </c>
      <c r="V81" s="2564">
        <f t="shared" ref="V81:Y81" si="399">+U81</f>
        <v>0.3</v>
      </c>
      <c r="W81" s="2564">
        <f t="shared" si="399"/>
        <v>0.3</v>
      </c>
      <c r="X81" s="2565">
        <f t="shared" si="399"/>
        <v>0.3</v>
      </c>
      <c r="Y81" s="2566">
        <f t="shared" si="399"/>
        <v>0.3</v>
      </c>
      <c r="Z81" s="2567"/>
      <c r="AA81" s="2563">
        <v>0.3</v>
      </c>
      <c r="AB81" s="2564">
        <f t="shared" ref="AB81:AE81" si="400">+AA81</f>
        <v>0.3</v>
      </c>
      <c r="AC81" s="2564">
        <f t="shared" si="400"/>
        <v>0.3</v>
      </c>
      <c r="AD81" s="2565">
        <f t="shared" si="400"/>
        <v>0.3</v>
      </c>
      <c r="AE81" s="2566">
        <f t="shared" si="400"/>
        <v>0.3</v>
      </c>
      <c r="AF81" s="2567"/>
      <c r="AG81" s="2563">
        <v>0.3</v>
      </c>
      <c r="AH81" s="2564">
        <f t="shared" ref="AH81:AK81" si="401">+AG81</f>
        <v>0.3</v>
      </c>
      <c r="AI81" s="2564">
        <f t="shared" si="401"/>
        <v>0.3</v>
      </c>
      <c r="AJ81" s="2565">
        <f t="shared" si="401"/>
        <v>0.3</v>
      </c>
      <c r="AK81" s="2621">
        <f t="shared" si="401"/>
        <v>0.3</v>
      </c>
      <c r="AL81" s="2622"/>
      <c r="AM81" s="2623">
        <v>0.3</v>
      </c>
      <c r="AN81" s="2619">
        <f t="shared" ref="AN81:AQ81" si="402">+AM81</f>
        <v>0.3</v>
      </c>
      <c r="AO81" s="2619">
        <f t="shared" si="402"/>
        <v>0.3</v>
      </c>
      <c r="AP81" s="2620">
        <f t="shared" si="402"/>
        <v>0.3</v>
      </c>
      <c r="AQ81" s="2621">
        <f t="shared" si="402"/>
        <v>0.3</v>
      </c>
      <c r="AR81" s="2622"/>
      <c r="AS81" s="2623">
        <v>0.3</v>
      </c>
      <c r="AT81" s="2619">
        <f t="shared" ref="AT81:AW81" si="403">+AS81</f>
        <v>0.3</v>
      </c>
      <c r="AU81" s="2619">
        <f t="shared" si="403"/>
        <v>0.3</v>
      </c>
      <c r="AV81" s="2620">
        <f t="shared" si="403"/>
        <v>0.3</v>
      </c>
      <c r="AW81" s="2621">
        <f t="shared" si="403"/>
        <v>0.3</v>
      </c>
      <c r="AX81" s="2622"/>
      <c r="AY81" s="2623">
        <v>0.3</v>
      </c>
      <c r="AZ81" s="2619">
        <f t="shared" ref="AZ81:BC81" si="404">+AY81</f>
        <v>0.3</v>
      </c>
      <c r="BA81" s="2619">
        <f t="shared" si="404"/>
        <v>0.3</v>
      </c>
      <c r="BB81" s="2620">
        <f t="shared" si="404"/>
        <v>0.3</v>
      </c>
      <c r="BC81" s="2621">
        <f t="shared" si="404"/>
        <v>0.3</v>
      </c>
      <c r="BD81" s="2622"/>
      <c r="BE81" s="2623">
        <v>0.3</v>
      </c>
      <c r="BF81" s="2619">
        <f t="shared" ref="BF81:BI81" si="405">+BE81</f>
        <v>0.3</v>
      </c>
      <c r="BG81" s="2619">
        <f t="shared" si="405"/>
        <v>0.3</v>
      </c>
      <c r="BH81" s="2620">
        <f t="shared" si="405"/>
        <v>0.3</v>
      </c>
      <c r="BI81" s="2621">
        <f t="shared" si="405"/>
        <v>0.3</v>
      </c>
      <c r="BJ81" s="2622"/>
      <c r="BK81" s="2623">
        <v>0.3</v>
      </c>
      <c r="BL81" s="2619">
        <f t="shared" ref="BL81:BO81" si="406">+BK81</f>
        <v>0.3</v>
      </c>
      <c r="BM81" s="2619">
        <f t="shared" si="406"/>
        <v>0.3</v>
      </c>
      <c r="BN81" s="2620">
        <f t="shared" si="406"/>
        <v>0.3</v>
      </c>
      <c r="BO81" s="2621">
        <f t="shared" si="406"/>
        <v>0.3</v>
      </c>
      <c r="BP81" s="2622"/>
      <c r="BQ81" s="2623">
        <v>0.7</v>
      </c>
      <c r="BR81" s="2619">
        <v>0.3</v>
      </c>
      <c r="BS81" s="2619">
        <f t="shared" ref="BS81:BU81" si="407">+BR81</f>
        <v>0.3</v>
      </c>
      <c r="BT81" s="2620">
        <f t="shared" si="407"/>
        <v>0.3</v>
      </c>
      <c r="BU81" s="2621">
        <f t="shared" si="407"/>
        <v>0.3</v>
      </c>
      <c r="BV81" s="2622"/>
      <c r="BW81" s="2623">
        <v>0.3</v>
      </c>
      <c r="BX81" s="2619">
        <f t="shared" ref="BX81:CA81" si="408">+BW81</f>
        <v>0.3</v>
      </c>
      <c r="BY81" s="2619">
        <f t="shared" si="408"/>
        <v>0.3</v>
      </c>
      <c r="BZ81" s="2620">
        <f t="shared" si="408"/>
        <v>0.3</v>
      </c>
      <c r="CA81" s="2621">
        <f t="shared" si="408"/>
        <v>0.3</v>
      </c>
      <c r="CB81" s="2622"/>
      <c r="CC81" s="2623">
        <v>0.3</v>
      </c>
      <c r="CD81" s="2619">
        <f t="shared" ref="CD81:CG81" si="409">+CC81</f>
        <v>0.3</v>
      </c>
      <c r="CE81" s="2619">
        <f>+CD81</f>
        <v>0.3</v>
      </c>
      <c r="CF81" s="2620">
        <f t="shared" si="409"/>
        <v>0.3</v>
      </c>
      <c r="CG81" s="2621">
        <f t="shared" si="409"/>
        <v>0.3</v>
      </c>
      <c r="CH81" s="2622"/>
      <c r="CI81" s="2623">
        <v>0.3</v>
      </c>
      <c r="CJ81" s="2619">
        <f t="shared" ref="CJ81:CK81" si="410">+CI81</f>
        <v>0.3</v>
      </c>
      <c r="CK81" s="2619">
        <f t="shared" si="410"/>
        <v>0.3</v>
      </c>
      <c r="CL81" s="2620">
        <f t="shared" ref="CL81" si="411">+CK81</f>
        <v>0.3</v>
      </c>
      <c r="CM81" s="2621">
        <f t="shared" ref="CM81" si="412">+CL81</f>
        <v>0.3</v>
      </c>
      <c r="CN81" s="2622"/>
      <c r="CO81" s="2623">
        <v>0.3</v>
      </c>
      <c r="CP81" s="2619">
        <f t="shared" ref="CP81:CQ81" si="413">+CO81</f>
        <v>0.3</v>
      </c>
      <c r="CQ81" s="2619">
        <f t="shared" si="413"/>
        <v>0.3</v>
      </c>
      <c r="CR81" s="2620">
        <f t="shared" ref="CR81" si="414">+CQ81</f>
        <v>0.3</v>
      </c>
      <c r="CS81" s="2621">
        <f t="shared" ref="CS81" si="415">+CR81</f>
        <v>0.3</v>
      </c>
      <c r="CT81" s="600"/>
      <c r="CU81" s="601"/>
      <c r="CV81" s="601"/>
      <c r="DC81" s="921"/>
      <c r="DD81" s="921"/>
      <c r="DE81" s="921"/>
      <c r="DF81" s="921"/>
      <c r="DG81" s="921"/>
      <c r="DH81" s="921"/>
      <c r="DI81" s="921"/>
      <c r="DJ81" s="921"/>
      <c r="DK81" s="921"/>
      <c r="DL81" s="921"/>
    </row>
    <row r="82" spans="1:116" ht="4.5" customHeight="1">
      <c r="A82" s="518"/>
      <c r="B82" s="417"/>
      <c r="C82" s="519"/>
      <c r="D82" s="520"/>
      <c r="E82" s="520"/>
      <c r="F82" s="521"/>
      <c r="G82" s="631"/>
      <c r="H82" s="417"/>
      <c r="I82" s="523"/>
      <c r="J82" s="524"/>
      <c r="K82" s="632"/>
      <c r="L82" s="525"/>
      <c r="M82" s="482"/>
      <c r="N82" s="526"/>
      <c r="O82" s="523"/>
      <c r="P82" s="527"/>
      <c r="Q82" s="524"/>
      <c r="R82" s="525"/>
      <c r="S82" s="620"/>
      <c r="T82" s="417"/>
      <c r="U82" s="523"/>
      <c r="V82" s="524"/>
      <c r="W82" s="524"/>
      <c r="X82" s="525"/>
      <c r="Y82" s="528"/>
      <c r="Z82" s="417"/>
      <c r="AA82" s="523"/>
      <c r="AB82" s="524"/>
      <c r="AC82" s="524"/>
      <c r="AD82" s="525"/>
      <c r="AE82" s="528"/>
      <c r="AF82" s="417"/>
      <c r="AG82" s="523"/>
      <c r="AH82" s="524"/>
      <c r="AI82" s="524"/>
      <c r="AJ82" s="525"/>
      <c r="AK82" s="528"/>
      <c r="AL82" s="417"/>
      <c r="AM82" s="523"/>
      <c r="AN82" s="524"/>
      <c r="AO82" s="524"/>
      <c r="AP82" s="525"/>
      <c r="AQ82" s="528"/>
      <c r="AR82" s="417"/>
      <c r="AS82" s="523"/>
      <c r="AT82" s="524"/>
      <c r="AU82" s="524"/>
      <c r="AV82" s="524"/>
      <c r="AW82" s="528"/>
      <c r="AX82" s="417"/>
      <c r="AY82" s="523"/>
      <c r="AZ82" s="524"/>
      <c r="BA82" s="524"/>
      <c r="BB82" s="525"/>
      <c r="BC82" s="528"/>
      <c r="BD82" s="417"/>
      <c r="BE82" s="523"/>
      <c r="BF82" s="524"/>
      <c r="BG82" s="524"/>
      <c r="BH82" s="525"/>
      <c r="BI82" s="528"/>
      <c r="BJ82" s="417"/>
      <c r="BK82" s="523"/>
      <c r="BL82" s="524"/>
      <c r="BM82" s="524"/>
      <c r="BN82" s="525"/>
      <c r="BO82" s="528"/>
      <c r="BP82" s="417"/>
      <c r="BQ82" s="523"/>
      <c r="BR82" s="524"/>
      <c r="BS82" s="524"/>
      <c r="BT82" s="525"/>
      <c r="BU82" s="528"/>
      <c r="BV82" s="417"/>
      <c r="BW82" s="523"/>
      <c r="BX82" s="524"/>
      <c r="BY82" s="524"/>
      <c r="BZ82" s="525"/>
      <c r="CA82" s="528"/>
      <c r="CB82" s="417"/>
      <c r="CC82" s="523"/>
      <c r="CD82" s="524"/>
      <c r="CE82" s="524"/>
      <c r="CF82" s="525"/>
      <c r="CG82" s="528"/>
      <c r="CH82" s="417"/>
      <c r="CI82" s="523"/>
      <c r="CJ82" s="524"/>
      <c r="CK82" s="524"/>
      <c r="CL82" s="525"/>
      <c r="CM82" s="528"/>
      <c r="CN82" s="417"/>
      <c r="CO82" s="523"/>
      <c r="CP82" s="524"/>
      <c r="CQ82" s="524"/>
      <c r="CR82" s="525"/>
      <c r="CS82" s="528"/>
      <c r="CT82" s="416"/>
      <c r="CU82" s="400"/>
      <c r="CV82" s="400"/>
      <c r="DC82" s="921"/>
      <c r="DD82" s="921"/>
      <c r="DE82" s="921"/>
      <c r="DF82" s="921"/>
      <c r="DG82" s="921"/>
      <c r="DH82" s="921"/>
      <c r="DI82" s="921"/>
      <c r="DJ82" s="921"/>
      <c r="DK82" s="921"/>
      <c r="DL82" s="921"/>
    </row>
    <row r="83" spans="1:116">
      <c r="A83" s="633" t="s">
        <v>189</v>
      </c>
      <c r="B83" s="634"/>
      <c r="C83" s="635"/>
      <c r="D83" s="636"/>
      <c r="E83" s="636"/>
      <c r="F83" s="637"/>
      <c r="G83" s="638"/>
      <c r="H83" s="634"/>
      <c r="I83" s="639"/>
      <c r="J83" s="640"/>
      <c r="K83" s="641"/>
      <c r="L83" s="642"/>
      <c r="M83" s="643"/>
      <c r="N83" s="644"/>
      <c r="O83" s="639"/>
      <c r="P83" s="645"/>
      <c r="Q83" s="640"/>
      <c r="R83" s="642"/>
      <c r="S83" s="646"/>
      <c r="T83" s="634"/>
      <c r="U83" s="639"/>
      <c r="V83" s="640"/>
      <c r="W83" s="640"/>
      <c r="X83" s="642"/>
      <c r="Y83" s="647"/>
      <c r="Z83" s="634"/>
      <c r="AA83" s="639"/>
      <c r="AB83" s="640"/>
      <c r="AC83" s="640"/>
      <c r="AD83" s="642"/>
      <c r="AE83" s="647"/>
      <c r="AF83" s="634"/>
      <c r="AG83" s="639"/>
      <c r="AH83" s="640"/>
      <c r="AI83" s="640"/>
      <c r="AJ83" s="642"/>
      <c r="AK83" s="647"/>
      <c r="AL83" s="634"/>
      <c r="AM83" s="639"/>
      <c r="AN83" s="640"/>
      <c r="AO83" s="640"/>
      <c r="AP83" s="642"/>
      <c r="AQ83" s="647"/>
      <c r="AR83" s="634"/>
      <c r="AS83" s="639"/>
      <c r="AT83" s="640"/>
      <c r="AU83" s="640"/>
      <c r="AV83" s="640"/>
      <c r="AW83" s="647"/>
      <c r="AX83" s="634"/>
      <c r="AY83" s="639"/>
      <c r="AZ83" s="640"/>
      <c r="BA83" s="640"/>
      <c r="BB83" s="642"/>
      <c r="BC83" s="647"/>
      <c r="BD83" s="634"/>
      <c r="BE83" s="639"/>
      <c r="BF83" s="640"/>
      <c r="BG83" s="640"/>
      <c r="BH83" s="642"/>
      <c r="BI83" s="647"/>
      <c r="BJ83" s="634"/>
      <c r="BK83" s="639"/>
      <c r="BL83" s="640"/>
      <c r="BM83" s="640"/>
      <c r="BN83" s="642"/>
      <c r="BO83" s="647"/>
      <c r="BP83" s="634"/>
      <c r="BQ83" s="639"/>
      <c r="BR83" s="640"/>
      <c r="BS83" s="640"/>
      <c r="BT83" s="642"/>
      <c r="BU83" s="647"/>
      <c r="BV83" s="634"/>
      <c r="BW83" s="639"/>
      <c r="BX83" s="640"/>
      <c r="BY83" s="640"/>
      <c r="BZ83" s="642"/>
      <c r="CA83" s="647"/>
      <c r="CB83" s="634"/>
      <c r="CC83" s="639"/>
      <c r="CD83" s="640"/>
      <c r="CE83" s="640"/>
      <c r="CF83" s="642"/>
      <c r="CG83" s="647"/>
      <c r="CH83" s="634"/>
      <c r="CI83" s="639"/>
      <c r="CJ83" s="640"/>
      <c r="CK83" s="640"/>
      <c r="CL83" s="642"/>
      <c r="CM83" s="647"/>
      <c r="CN83" s="634"/>
      <c r="CO83" s="639"/>
      <c r="CP83" s="640"/>
      <c r="CQ83" s="640"/>
      <c r="CR83" s="642"/>
      <c r="CS83" s="647"/>
      <c r="CT83" s="416"/>
      <c r="CU83" s="400"/>
      <c r="CV83" s="400"/>
      <c r="DC83" s="921"/>
      <c r="DD83" s="921"/>
      <c r="DE83" s="921"/>
      <c r="DF83" s="921"/>
      <c r="DG83" s="921"/>
      <c r="DH83" s="921"/>
      <c r="DI83" s="921"/>
      <c r="DJ83" s="921"/>
      <c r="DK83" s="921"/>
      <c r="DL83" s="921"/>
    </row>
    <row r="84" spans="1:116" hidden="1" outlineLevel="1">
      <c r="A84" s="545" t="s">
        <v>193</v>
      </c>
      <c r="B84" s="417"/>
      <c r="C84" s="609">
        <f t="shared" ref="C84:AF84" si="416">C16</f>
        <v>47.846000000000004</v>
      </c>
      <c r="D84" s="610">
        <f t="shared" si="416"/>
        <v>54.519999999999996</v>
      </c>
      <c r="E84" s="610">
        <f t="shared" si="416"/>
        <v>60.432000000000002</v>
      </c>
      <c r="F84" s="608">
        <f t="shared" si="416"/>
        <v>72.507000000000019</v>
      </c>
      <c r="G84" s="648">
        <f t="shared" si="416"/>
        <v>235.30500000000004</v>
      </c>
      <c r="H84" s="417">
        <f t="shared" si="416"/>
        <v>0</v>
      </c>
      <c r="I84" s="609">
        <f t="shared" si="416"/>
        <v>75.78</v>
      </c>
      <c r="J84" s="610">
        <f t="shared" si="416"/>
        <v>89.717999999999989</v>
      </c>
      <c r="K84" s="610">
        <f t="shared" si="416"/>
        <v>95.829999999999984</v>
      </c>
      <c r="L84" s="610">
        <f t="shared" si="416"/>
        <v>106.27300000000002</v>
      </c>
      <c r="M84" s="648">
        <f t="shared" si="416"/>
        <v>367.601</v>
      </c>
      <c r="N84" s="526">
        <f t="shared" si="416"/>
        <v>0</v>
      </c>
      <c r="O84" s="609">
        <f t="shared" si="416"/>
        <v>111.73500000000001</v>
      </c>
      <c r="P84" s="610">
        <f t="shared" si="416"/>
        <v>112.828</v>
      </c>
      <c r="Q84" s="610">
        <f t="shared" si="416"/>
        <v>108.79600000000002</v>
      </c>
      <c r="R84" s="608">
        <f t="shared" si="416"/>
        <v>127.19599999999997</v>
      </c>
      <c r="S84" s="648">
        <f t="shared" si="416"/>
        <v>460.55500000000006</v>
      </c>
      <c r="T84" s="610">
        <f t="shared" si="416"/>
        <v>0</v>
      </c>
      <c r="U84" s="609">
        <f t="shared" si="416"/>
        <v>133.798</v>
      </c>
      <c r="V84" s="610">
        <f t="shared" si="416"/>
        <v>147.68600000000001</v>
      </c>
      <c r="W84" s="610">
        <f t="shared" si="416"/>
        <v>159.44</v>
      </c>
      <c r="X84" s="608">
        <f t="shared" si="416"/>
        <v>168.42099999999999</v>
      </c>
      <c r="Y84" s="648">
        <f t="shared" si="416"/>
        <v>609.34500000000003</v>
      </c>
      <c r="Z84" s="417">
        <f t="shared" si="416"/>
        <v>0</v>
      </c>
      <c r="AA84" s="609">
        <f t="shared" si="416"/>
        <v>191.02599999999998</v>
      </c>
      <c r="AB84" s="610">
        <f t="shared" si="416"/>
        <v>196.39099999999999</v>
      </c>
      <c r="AC84" s="610">
        <f t="shared" si="416"/>
        <v>160.15</v>
      </c>
      <c r="AD84" s="608">
        <f t="shared" si="416"/>
        <v>173.62199999999996</v>
      </c>
      <c r="AE84" s="648">
        <f t="shared" si="416"/>
        <v>721.18899999999985</v>
      </c>
      <c r="AF84" s="417">
        <f t="shared" si="416"/>
        <v>0</v>
      </c>
      <c r="AG84" s="609">
        <f>AG16</f>
        <v>186.27699999999999</v>
      </c>
      <c r="AH84" s="610">
        <f>AH16</f>
        <v>196.83699999999996</v>
      </c>
      <c r="AI84" s="610">
        <f>AI16</f>
        <v>199.46100000000001</v>
      </c>
      <c r="AJ84" s="608">
        <f>AJ16</f>
        <v>209.584</v>
      </c>
      <c r="AK84" s="648">
        <f>AK16</f>
        <v>792.15900000000011</v>
      </c>
      <c r="AL84" s="649"/>
      <c r="AM84" s="609">
        <f>AM16</f>
        <v>227.36900000000003</v>
      </c>
      <c r="AN84" s="610">
        <f>AN16</f>
        <v>239.036</v>
      </c>
      <c r="AO84" s="610">
        <f>AO16</f>
        <v>248.71600000000004</v>
      </c>
      <c r="AP84" s="608">
        <f>AP16</f>
        <v>274.37300000000005</v>
      </c>
      <c r="AQ84" s="648">
        <f>AQ16</f>
        <v>989.49400000000014</v>
      </c>
      <c r="AR84" s="649"/>
      <c r="AS84" s="609">
        <f>AS16</f>
        <v>293.673</v>
      </c>
      <c r="AT84" s="610">
        <f>AT16</f>
        <v>314.90199999999999</v>
      </c>
      <c r="AU84" s="610">
        <f>AU16</f>
        <v>348.80200000000002</v>
      </c>
      <c r="AV84" s="610">
        <f>AV16</f>
        <v>367.31299999999999</v>
      </c>
      <c r="AW84" s="648">
        <f>AW16</f>
        <v>1324.6899999999996</v>
      </c>
      <c r="AX84" s="649"/>
      <c r="AY84" s="609">
        <f>AY16</f>
        <v>386.41200000000003</v>
      </c>
      <c r="AZ84" s="610">
        <f>AZ16</f>
        <v>387.74899999999991</v>
      </c>
      <c r="BA84" s="610">
        <f>BA16</f>
        <v>399.72699999999998</v>
      </c>
      <c r="BB84" s="610">
        <f>BB16</f>
        <v>421.21199999999999</v>
      </c>
      <c r="BC84" s="648">
        <f>BC16</f>
        <v>1595.0999999999997</v>
      </c>
      <c r="BD84" s="649"/>
      <c r="BE84" s="609">
        <f>BE16</f>
        <v>407.55000000000007</v>
      </c>
      <c r="BF84" s="610">
        <f>BF16</f>
        <v>434.35400000000004</v>
      </c>
      <c r="BG84" s="610">
        <f>BG16</f>
        <v>437.11</v>
      </c>
      <c r="BH84" s="610">
        <f>BH16</f>
        <v>430.39800000000002</v>
      </c>
      <c r="BI84" s="648">
        <f>BI16</f>
        <v>1709.4120000000005</v>
      </c>
      <c r="BJ84" s="649"/>
      <c r="BK84" s="609">
        <f>BK16</f>
        <v>397</v>
      </c>
      <c r="BL84" s="610">
        <f>BL16</f>
        <v>443.7</v>
      </c>
      <c r="BM84" s="610">
        <f>BM16</f>
        <v>491.3</v>
      </c>
      <c r="BN84" s="610">
        <f>BN16</f>
        <v>551.40000000000009</v>
      </c>
      <c r="BO84" s="648">
        <f>BO16</f>
        <v>1883.4000000000003</v>
      </c>
      <c r="BP84" s="649"/>
      <c r="BQ84" s="609">
        <f>BQ16</f>
        <v>546</v>
      </c>
      <c r="BR84" s="610">
        <f>BR16</f>
        <v>543.62723212668584</v>
      </c>
      <c r="BS84" s="610">
        <f>BS16</f>
        <v>554.37052510474848</v>
      </c>
      <c r="BT84" s="608">
        <f>BT16</f>
        <v>578.32526837692876</v>
      </c>
      <c r="BU84" s="648">
        <f>BU16</f>
        <v>2222.3230256083634</v>
      </c>
      <c r="BV84" s="649"/>
      <c r="BW84" s="609">
        <f>BW16</f>
        <v>604.72911273259263</v>
      </c>
      <c r="BX84" s="610">
        <f>BX16</f>
        <v>593.78149721503507</v>
      </c>
      <c r="BY84" s="610">
        <f>BY16</f>
        <v>602.68281040586726</v>
      </c>
      <c r="BZ84" s="608">
        <f>BZ16</f>
        <v>626.69726540363774</v>
      </c>
      <c r="CA84" s="648">
        <f>CA16</f>
        <v>2427.8906857571333</v>
      </c>
      <c r="CB84" s="649"/>
      <c r="CC84" s="609">
        <f>CC16</f>
        <v>663.48463867376211</v>
      </c>
      <c r="CD84" s="610">
        <f>CD16</f>
        <v>650.7211376616533</v>
      </c>
      <c r="CE84" s="610">
        <f>CE16</f>
        <v>660.42905497386619</v>
      </c>
      <c r="CF84" s="608">
        <f>CF16</f>
        <v>687.47169035455011</v>
      </c>
      <c r="CG84" s="648">
        <f>CG16</f>
        <v>2662.1065216638317</v>
      </c>
      <c r="CH84" s="649"/>
      <c r="CI84" s="609">
        <f t="shared" ref="CI84:CM84" si="417">CI16</f>
        <v>729.30090775387907</v>
      </c>
      <c r="CJ84" s="610">
        <f t="shared" si="417"/>
        <v>713.97865084873706</v>
      </c>
      <c r="CK84" s="610">
        <f t="shared" si="417"/>
        <v>724.24513884281419</v>
      </c>
      <c r="CL84" s="608">
        <f t="shared" si="417"/>
        <v>755.69106782508209</v>
      </c>
      <c r="CM84" s="648">
        <f t="shared" si="417"/>
        <v>2923.2157652705127</v>
      </c>
      <c r="CN84" s="649"/>
      <c r="CO84" s="609">
        <f t="shared" ref="CO84:CS84" si="418">CO16</f>
        <v>799.56257924486249</v>
      </c>
      <c r="CP84" s="610">
        <f t="shared" si="418"/>
        <v>785.92496266656121</v>
      </c>
      <c r="CQ84" s="610">
        <f t="shared" si="418"/>
        <v>800.35662126572322</v>
      </c>
      <c r="CR84" s="608">
        <f t="shared" si="418"/>
        <v>835.91710921505899</v>
      </c>
      <c r="CS84" s="648">
        <f t="shared" si="418"/>
        <v>3221.7612723922057</v>
      </c>
      <c r="CT84" s="416"/>
      <c r="CU84" s="400"/>
      <c r="CV84" s="400"/>
      <c r="DC84" s="921"/>
      <c r="DD84" s="921"/>
      <c r="DE84" s="921"/>
      <c r="DF84" s="921"/>
      <c r="DG84" s="921"/>
      <c r="DH84" s="921"/>
      <c r="DI84" s="921"/>
      <c r="DJ84" s="921"/>
      <c r="DK84" s="921"/>
      <c r="DL84" s="921"/>
    </row>
    <row r="85" spans="1:116" hidden="1" outlineLevel="1">
      <c r="A85" s="545" t="s">
        <v>190</v>
      </c>
      <c r="B85" s="649"/>
      <c r="C85" s="609">
        <v>0</v>
      </c>
      <c r="D85" s="610">
        <v>0</v>
      </c>
      <c r="E85" s="610">
        <v>0</v>
      </c>
      <c r="F85" s="608">
        <v>0</v>
      </c>
      <c r="G85" s="648">
        <f t="shared" ref="G85" si="419">SUM(C85:F85)</f>
        <v>0</v>
      </c>
      <c r="H85" s="649"/>
      <c r="I85" s="609">
        <v>0</v>
      </c>
      <c r="J85" s="610">
        <v>0</v>
      </c>
      <c r="K85" s="610">
        <v>0</v>
      </c>
      <c r="L85" s="608">
        <v>0</v>
      </c>
      <c r="M85" s="648">
        <f t="shared" ref="M85" si="420">SUM(I85:L85)</f>
        <v>0</v>
      </c>
      <c r="N85" s="649"/>
      <c r="O85" s="609">
        <v>0</v>
      </c>
      <c r="P85" s="610">
        <v>0</v>
      </c>
      <c r="Q85" s="610">
        <v>0</v>
      </c>
      <c r="R85" s="608">
        <v>0</v>
      </c>
      <c r="S85" s="648">
        <f t="shared" ref="S85" si="421">SUM(O85:R85)</f>
        <v>0</v>
      </c>
      <c r="T85" s="649"/>
      <c r="U85" s="609">
        <v>0</v>
      </c>
      <c r="V85" s="610">
        <v>0</v>
      </c>
      <c r="W85" s="610">
        <v>0</v>
      </c>
      <c r="X85" s="608">
        <v>0</v>
      </c>
      <c r="Y85" s="648">
        <f t="shared" ref="Y85" si="422">SUM(U85:X85)</f>
        <v>0</v>
      </c>
      <c r="Z85" s="649"/>
      <c r="AA85" s="609">
        <v>0</v>
      </c>
      <c r="AB85" s="610">
        <v>0</v>
      </c>
      <c r="AC85" s="610">
        <v>0</v>
      </c>
      <c r="AD85" s="608">
        <v>0</v>
      </c>
      <c r="AE85" s="648">
        <f t="shared" ref="AE85" si="423">SUM(AA85:AD85)</f>
        <v>0</v>
      </c>
      <c r="AF85" s="649"/>
      <c r="AG85" s="609">
        <v>0</v>
      </c>
      <c r="AH85" s="610">
        <v>0</v>
      </c>
      <c r="AI85" s="610">
        <v>0</v>
      </c>
      <c r="AJ85" s="608">
        <v>0</v>
      </c>
      <c r="AK85" s="648">
        <f t="shared" ref="AK85" si="424">SUM(AG85:AJ85)</f>
        <v>0</v>
      </c>
      <c r="AL85" s="649"/>
      <c r="AM85" s="609">
        <v>0</v>
      </c>
      <c r="AN85" s="610">
        <v>0</v>
      </c>
      <c r="AO85" s="610">
        <v>0</v>
      </c>
      <c r="AP85" s="608">
        <v>0</v>
      </c>
      <c r="AQ85" s="648">
        <f t="shared" ref="AQ85" si="425">SUM(AM85:AP85)</f>
        <v>0</v>
      </c>
      <c r="AR85" s="649"/>
      <c r="AS85" s="609">
        <v>0</v>
      </c>
      <c r="AT85" s="610">
        <v>0</v>
      </c>
      <c r="AU85" s="610">
        <v>0</v>
      </c>
      <c r="AV85" s="608">
        <v>0</v>
      </c>
      <c r="AW85" s="648">
        <f t="shared" ref="AW85" si="426">SUM(AS85:AV85)</f>
        <v>0</v>
      </c>
      <c r="AX85" s="649"/>
      <c r="AY85" s="609">
        <v>0</v>
      </c>
      <c r="AZ85" s="610">
        <v>0</v>
      </c>
      <c r="BA85" s="610">
        <v>0</v>
      </c>
      <c r="BB85" s="608">
        <v>0</v>
      </c>
      <c r="BC85" s="648">
        <f t="shared" ref="BC85" si="427">SUM(AY85:BB85)</f>
        <v>0</v>
      </c>
      <c r="BD85" s="649"/>
      <c r="BE85" s="2334">
        <v>0</v>
      </c>
      <c r="BF85" s="610">
        <v>0</v>
      </c>
      <c r="BG85" s="610">
        <v>0</v>
      </c>
      <c r="BH85" s="610">
        <v>0</v>
      </c>
      <c r="BI85" s="648">
        <f>SUM(BE85:BH85)</f>
        <v>0</v>
      </c>
      <c r="BJ85" s="649"/>
      <c r="BK85" s="609">
        <v>0</v>
      </c>
      <c r="BL85" s="610">
        <v>0</v>
      </c>
      <c r="BM85" s="610">
        <v>0</v>
      </c>
      <c r="BN85" s="610">
        <v>0</v>
      </c>
      <c r="BO85" s="648">
        <f>SUM(BK85:BN85)</f>
        <v>0</v>
      </c>
      <c r="BP85" s="649"/>
      <c r="BQ85" s="609">
        <v>0</v>
      </c>
      <c r="BR85" s="610">
        <f>+BQ85</f>
        <v>0</v>
      </c>
      <c r="BS85" s="610">
        <f>+BR85</f>
        <v>0</v>
      </c>
      <c r="BT85" s="608">
        <f>+BS85</f>
        <v>0</v>
      </c>
      <c r="BU85" s="648">
        <f>SUM(BQ85:BT85)</f>
        <v>0</v>
      </c>
      <c r="BV85" s="649"/>
      <c r="BW85" s="609">
        <v>0</v>
      </c>
      <c r="BX85" s="610">
        <f t="shared" ref="BX85:BZ85" si="428">+BW85</f>
        <v>0</v>
      </c>
      <c r="BY85" s="610">
        <f t="shared" si="428"/>
        <v>0</v>
      </c>
      <c r="BZ85" s="608">
        <f t="shared" si="428"/>
        <v>0</v>
      </c>
      <c r="CA85" s="648">
        <f t="shared" ref="CA85" si="429">SUM(BW85:BZ85)</f>
        <v>0</v>
      </c>
      <c r="CB85" s="649"/>
      <c r="CC85" s="609">
        <v>0</v>
      </c>
      <c r="CD85" s="610">
        <f t="shared" ref="CD85:CF85" si="430">+CC85</f>
        <v>0</v>
      </c>
      <c r="CE85" s="610">
        <f t="shared" si="430"/>
        <v>0</v>
      </c>
      <c r="CF85" s="608">
        <f t="shared" si="430"/>
        <v>0</v>
      </c>
      <c r="CG85" s="648">
        <f t="shared" ref="CG85" si="431">SUM(CC85:CF85)</f>
        <v>0</v>
      </c>
      <c r="CH85" s="649"/>
      <c r="CI85" s="609">
        <v>0</v>
      </c>
      <c r="CJ85" s="610">
        <f t="shared" ref="CJ85" si="432">+CI85</f>
        <v>0</v>
      </c>
      <c r="CK85" s="610">
        <f t="shared" ref="CK85" si="433">+CJ85</f>
        <v>0</v>
      </c>
      <c r="CL85" s="608">
        <f t="shared" ref="CL85" si="434">+CK85</f>
        <v>0</v>
      </c>
      <c r="CM85" s="648">
        <f t="shared" ref="CM85:CM86" si="435">SUM(CI85:CL85)</f>
        <v>0</v>
      </c>
      <c r="CN85" s="649"/>
      <c r="CO85" s="609">
        <v>0</v>
      </c>
      <c r="CP85" s="610">
        <f t="shared" ref="CP85" si="436">+CO85</f>
        <v>0</v>
      </c>
      <c r="CQ85" s="610">
        <f t="shared" ref="CQ85" si="437">+CP85</f>
        <v>0</v>
      </c>
      <c r="CR85" s="608">
        <f t="shared" ref="CR85" si="438">+CQ85</f>
        <v>0</v>
      </c>
      <c r="CS85" s="648">
        <f t="shared" ref="CS85:CS86" si="439">SUM(CO85:CR85)</f>
        <v>0</v>
      </c>
      <c r="CT85" s="416"/>
      <c r="CU85" s="400"/>
      <c r="CV85" s="400"/>
      <c r="DC85" s="921"/>
      <c r="DD85" s="921"/>
      <c r="DE85" s="921"/>
      <c r="DF85" s="921"/>
      <c r="DG85" s="921"/>
      <c r="DH85" s="921"/>
      <c r="DI85" s="921"/>
      <c r="DJ85" s="921"/>
      <c r="DK85" s="921"/>
      <c r="DL85" s="921"/>
    </row>
    <row r="86" spans="1:116" hidden="1" outlineLevel="1">
      <c r="A86" s="545" t="s">
        <v>191</v>
      </c>
      <c r="B86" s="417"/>
      <c r="C86" s="609">
        <f>C108+C114</f>
        <v>1.258</v>
      </c>
      <c r="D86" s="610">
        <f>D108+D114</f>
        <v>0.78800000000000003</v>
      </c>
      <c r="E86" s="610">
        <f>E108+E114</f>
        <v>0.66200000000000003</v>
      </c>
      <c r="F86" s="608">
        <f>F108</f>
        <v>0.66299999999999981</v>
      </c>
      <c r="G86" s="648">
        <f>SUM(C86:F86)</f>
        <v>3.371</v>
      </c>
      <c r="H86" s="417"/>
      <c r="I86" s="609">
        <f>I108</f>
        <v>2.415</v>
      </c>
      <c r="J86" s="610">
        <f>J108</f>
        <v>2.669</v>
      </c>
      <c r="K86" s="610">
        <f>K108</f>
        <v>2.702</v>
      </c>
      <c r="L86" s="610">
        <f>L108</f>
        <v>2.652000000000001</v>
      </c>
      <c r="M86" s="648">
        <f t="shared" ref="M86:M102" si="440">SUM(I86:L86)</f>
        <v>10.438000000000001</v>
      </c>
      <c r="N86" s="526"/>
      <c r="O86" s="605">
        <v>1.67</v>
      </c>
      <c r="P86" s="606">
        <v>1.67</v>
      </c>
      <c r="Q86" s="606">
        <v>1.67</v>
      </c>
      <c r="R86" s="607">
        <f>6.68-SUM(O86:Q86)</f>
        <v>1.67</v>
      </c>
      <c r="S86" s="648">
        <f t="shared" ref="S86:S102" si="441">SUM(O86:R86)</f>
        <v>6.68</v>
      </c>
      <c r="T86" s="417"/>
      <c r="U86" s="605">
        <v>1.62</v>
      </c>
      <c r="V86" s="606">
        <v>1.595</v>
      </c>
      <c r="W86" s="606">
        <v>2.2949999999999999</v>
      </c>
      <c r="X86" s="607">
        <f>7.805-SUM(U86:W86)</f>
        <v>2.2949999999999999</v>
      </c>
      <c r="Y86" s="648">
        <f t="shared" ref="Y86:Y102" si="442">SUM(U86:X86)</f>
        <v>7.8049999999999997</v>
      </c>
      <c r="Z86" s="417"/>
      <c r="AA86" s="605">
        <v>2.9849999999999999</v>
      </c>
      <c r="AB86" s="606">
        <v>3.0350000000000001</v>
      </c>
      <c r="AC86" s="606">
        <v>3.0350000000000001</v>
      </c>
      <c r="AD86" s="607">
        <f>12.091-SUM(AA86:AC86)</f>
        <v>3.0359999999999996</v>
      </c>
      <c r="AE86" s="648">
        <f t="shared" ref="AE86:AE102" si="443">SUM(AA86:AD86)</f>
        <v>12.090999999999999</v>
      </c>
      <c r="AF86" s="417"/>
      <c r="AG86" s="605">
        <f>3.043+2.223</f>
        <v>5.266</v>
      </c>
      <c r="AH86" s="606">
        <f>3.043+0.797</f>
        <v>3.8400000000000003</v>
      </c>
      <c r="AI86" s="606">
        <v>3.5880000000000001</v>
      </c>
      <c r="AJ86" s="607">
        <f>4.479+1.458</f>
        <v>5.9370000000000003</v>
      </c>
      <c r="AK86" s="648">
        <f t="shared" ref="AK86:AK102" si="444">SUM(AG86:AJ86)</f>
        <v>18.631</v>
      </c>
      <c r="AL86" s="649"/>
      <c r="AM86" s="605">
        <f>6.55+0.458+1.069</f>
        <v>8.077</v>
      </c>
      <c r="AN86" s="606">
        <f>8.584+7.043</f>
        <v>15.626999999999999</v>
      </c>
      <c r="AO86" s="606">
        <f>9.263+25.214+4.299</f>
        <v>38.775999999999996</v>
      </c>
      <c r="AP86" s="607">
        <f>9.206+5.921</f>
        <v>15.126999999999999</v>
      </c>
      <c r="AQ86" s="648">
        <f t="shared" ref="AQ86:AQ102" si="445">SUM(AM86:AP86)</f>
        <v>77.606999999999999</v>
      </c>
      <c r="AR86" s="649"/>
      <c r="AS86" s="605">
        <f>9.535+5.846</f>
        <v>15.381</v>
      </c>
      <c r="AT86" s="606">
        <f>9.545+4.817</f>
        <v>14.362</v>
      </c>
      <c r="AU86" s="606">
        <f>9.677+5.184</f>
        <v>14.861000000000001</v>
      </c>
      <c r="AV86" s="606">
        <f>-26.24+10.616-2</f>
        <v>-17.623999999999999</v>
      </c>
      <c r="AW86" s="648">
        <f t="shared" ref="AW86:AW102" si="446">SUM(AS86:AV86)</f>
        <v>26.98</v>
      </c>
      <c r="AX86" s="649"/>
      <c r="AY86" s="605">
        <v>11.385</v>
      </c>
      <c r="AZ86" s="606">
        <v>11.384</v>
      </c>
      <c r="BA86" s="606">
        <v>12.188000000000001</v>
      </c>
      <c r="BB86" s="606">
        <v>10.853</v>
      </c>
      <c r="BC86" s="2081">
        <f>SUM(AY86:BB86)</f>
        <v>45.81</v>
      </c>
      <c r="BD86" s="649"/>
      <c r="BE86" s="605">
        <v>10.496</v>
      </c>
      <c r="BF86" s="606">
        <v>10.548999999999999</v>
      </c>
      <c r="BG86" s="606">
        <f>10.96</f>
        <v>10.96</v>
      </c>
      <c r="BH86" s="606">
        <v>10.959</v>
      </c>
      <c r="BI86" s="648">
        <f>SUM(BE86:BH86)</f>
        <v>42.963999999999999</v>
      </c>
      <c r="BJ86" s="649"/>
      <c r="BK86" s="605">
        <f>11+18</f>
        <v>29</v>
      </c>
      <c r="BL86" s="606">
        <v>10</v>
      </c>
      <c r="BM86" s="606">
        <v>9</v>
      </c>
      <c r="BN86" s="606">
        <v>9</v>
      </c>
      <c r="BO86" s="648">
        <f>SUM(BK86:BN86)</f>
        <v>57</v>
      </c>
      <c r="BP86" s="649"/>
      <c r="BQ86" s="605">
        <v>8</v>
      </c>
      <c r="BR86" s="610">
        <f>BR108</f>
        <v>9</v>
      </c>
      <c r="BS86" s="610">
        <f>BS108</f>
        <v>9</v>
      </c>
      <c r="BT86" s="608">
        <f>BT108</f>
        <v>9</v>
      </c>
      <c r="BU86" s="648">
        <f>SUM(BQ86:BT86)</f>
        <v>35</v>
      </c>
      <c r="BV86" s="649"/>
      <c r="BW86" s="609">
        <f>BW108</f>
        <v>9</v>
      </c>
      <c r="BX86" s="610">
        <f>BX108</f>
        <v>9</v>
      </c>
      <c r="BY86" s="610">
        <f>BY108</f>
        <v>9</v>
      </c>
      <c r="BZ86" s="608">
        <f>BZ108</f>
        <v>9</v>
      </c>
      <c r="CA86" s="648">
        <f>SUM(BW86:BZ86)</f>
        <v>36</v>
      </c>
      <c r="CB86" s="649"/>
      <c r="CC86" s="609">
        <f>CC108</f>
        <v>9</v>
      </c>
      <c r="CD86" s="610">
        <f>CD108</f>
        <v>9</v>
      </c>
      <c r="CE86" s="610">
        <f>CE108</f>
        <v>9</v>
      </c>
      <c r="CF86" s="608">
        <f>CF108</f>
        <v>9</v>
      </c>
      <c r="CG86" s="648">
        <f>SUM(CC86:CF86)</f>
        <v>36</v>
      </c>
      <c r="CH86" s="649"/>
      <c r="CI86" s="609">
        <f t="shared" ref="CI86:CL86" si="447">CI108</f>
        <v>9</v>
      </c>
      <c r="CJ86" s="610">
        <f t="shared" si="447"/>
        <v>9</v>
      </c>
      <c r="CK86" s="610">
        <f t="shared" si="447"/>
        <v>9</v>
      </c>
      <c r="CL86" s="608">
        <f t="shared" si="447"/>
        <v>9</v>
      </c>
      <c r="CM86" s="648">
        <f t="shared" si="435"/>
        <v>36</v>
      </c>
      <c r="CN86" s="649"/>
      <c r="CO86" s="609">
        <f t="shared" ref="CO86:CR86" si="448">CO108</f>
        <v>9</v>
      </c>
      <c r="CP86" s="610">
        <f t="shared" si="448"/>
        <v>9</v>
      </c>
      <c r="CQ86" s="610">
        <f t="shared" si="448"/>
        <v>9</v>
      </c>
      <c r="CR86" s="608">
        <f t="shared" si="448"/>
        <v>9</v>
      </c>
      <c r="CS86" s="648">
        <f t="shared" si="439"/>
        <v>36</v>
      </c>
      <c r="CT86" s="416"/>
      <c r="CU86" s="400"/>
      <c r="CV86" s="400"/>
      <c r="DC86" s="921"/>
      <c r="DD86" s="921"/>
      <c r="DE86" s="921"/>
      <c r="DF86" s="921"/>
      <c r="DG86" s="921"/>
      <c r="DH86" s="921"/>
      <c r="DI86" s="921"/>
      <c r="DJ86" s="921"/>
      <c r="DK86" s="921"/>
      <c r="DL86" s="921"/>
    </row>
    <row r="87" spans="1:116" collapsed="1">
      <c r="A87" s="545" t="s">
        <v>192</v>
      </c>
      <c r="B87" s="413"/>
      <c r="C87" s="609">
        <f t="shared" ref="C87:AE87" si="449">C84-C85-C86</f>
        <v>46.588000000000001</v>
      </c>
      <c r="D87" s="610">
        <f t="shared" si="449"/>
        <v>53.731999999999999</v>
      </c>
      <c r="E87" s="610">
        <f t="shared" si="449"/>
        <v>59.77</v>
      </c>
      <c r="F87" s="608">
        <f t="shared" si="449"/>
        <v>71.844000000000023</v>
      </c>
      <c r="G87" s="648">
        <f t="shared" si="449"/>
        <v>231.93400000000003</v>
      </c>
      <c r="H87" s="413">
        <f t="shared" si="449"/>
        <v>0</v>
      </c>
      <c r="I87" s="609">
        <f t="shared" si="449"/>
        <v>73.364999999999995</v>
      </c>
      <c r="J87" s="610">
        <f t="shared" si="449"/>
        <v>87.048999999999992</v>
      </c>
      <c r="K87" s="610">
        <f t="shared" si="449"/>
        <v>93.127999999999986</v>
      </c>
      <c r="L87" s="610">
        <f t="shared" si="449"/>
        <v>103.62100000000002</v>
      </c>
      <c r="M87" s="648">
        <f t="shared" si="449"/>
        <v>357.16300000000001</v>
      </c>
      <c r="N87" s="650">
        <f t="shared" si="449"/>
        <v>0</v>
      </c>
      <c r="O87" s="609">
        <f t="shared" si="449"/>
        <v>110.06500000000001</v>
      </c>
      <c r="P87" s="610">
        <f t="shared" si="449"/>
        <v>111.158</v>
      </c>
      <c r="Q87" s="610">
        <f t="shared" si="449"/>
        <v>107.12600000000002</v>
      </c>
      <c r="R87" s="608">
        <f t="shared" si="449"/>
        <v>125.52599999999997</v>
      </c>
      <c r="S87" s="648">
        <f t="shared" si="449"/>
        <v>453.87500000000006</v>
      </c>
      <c r="T87" s="417">
        <f t="shared" si="449"/>
        <v>0</v>
      </c>
      <c r="U87" s="609">
        <f t="shared" si="449"/>
        <v>132.178</v>
      </c>
      <c r="V87" s="610">
        <f t="shared" si="449"/>
        <v>146.09100000000001</v>
      </c>
      <c r="W87" s="610">
        <f t="shared" si="449"/>
        <v>157.14500000000001</v>
      </c>
      <c r="X87" s="608">
        <f t="shared" si="449"/>
        <v>166.126</v>
      </c>
      <c r="Y87" s="648">
        <f t="shared" si="449"/>
        <v>601.54000000000008</v>
      </c>
      <c r="Z87" s="417">
        <f t="shared" si="449"/>
        <v>0</v>
      </c>
      <c r="AA87" s="609">
        <f t="shared" si="449"/>
        <v>188.04099999999997</v>
      </c>
      <c r="AB87" s="610">
        <f t="shared" si="449"/>
        <v>193.35599999999999</v>
      </c>
      <c r="AC87" s="610">
        <f t="shared" si="449"/>
        <v>157.11500000000001</v>
      </c>
      <c r="AD87" s="608">
        <f t="shared" si="449"/>
        <v>170.58599999999996</v>
      </c>
      <c r="AE87" s="648">
        <f t="shared" si="449"/>
        <v>709.09799999999984</v>
      </c>
      <c r="AF87" s="417"/>
      <c r="AG87" s="609">
        <f>AG84-AG85-AG86</f>
        <v>181.011</v>
      </c>
      <c r="AH87" s="610">
        <f>AH84-AH85-AH86</f>
        <v>192.99699999999996</v>
      </c>
      <c r="AI87" s="610">
        <f>AI84-AI85-AI86</f>
        <v>195.87300000000002</v>
      </c>
      <c r="AJ87" s="608">
        <f>AJ84-AJ86-AJ85</f>
        <v>203.64699999999999</v>
      </c>
      <c r="AK87" s="648">
        <f>AK84-AK86-AK85</f>
        <v>773.52800000000013</v>
      </c>
      <c r="AL87" s="649"/>
      <c r="AM87" s="609">
        <f>AM84-AM86-AM85</f>
        <v>219.29200000000003</v>
      </c>
      <c r="AN87" s="610">
        <f>AN84-AN86-AN85</f>
        <v>223.40899999999999</v>
      </c>
      <c r="AO87" s="610">
        <f>AO84-AO86-AO85</f>
        <v>209.94000000000005</v>
      </c>
      <c r="AP87" s="608">
        <f>AP84-AP86-AP85</f>
        <v>259.24600000000004</v>
      </c>
      <c r="AQ87" s="648">
        <f>AQ84-AQ86-AQ85</f>
        <v>911.88700000000017</v>
      </c>
      <c r="AR87" s="649"/>
      <c r="AS87" s="609">
        <f>AS84-AS86-AS85</f>
        <v>278.29200000000003</v>
      </c>
      <c r="AT87" s="610">
        <f>AT84-AT86-AT85</f>
        <v>300.53999999999996</v>
      </c>
      <c r="AU87" s="610">
        <f>AU84-AU86-AU85</f>
        <v>333.94100000000003</v>
      </c>
      <c r="AV87" s="610">
        <f>AV84-AV86-AV85</f>
        <v>384.93700000000001</v>
      </c>
      <c r="AW87" s="648">
        <f>AW84-AW86-AW85</f>
        <v>1297.7099999999996</v>
      </c>
      <c r="AX87" s="649"/>
      <c r="AY87" s="609">
        <f>AY84-AY86-AY85</f>
        <v>375.02700000000004</v>
      </c>
      <c r="AZ87" s="610">
        <f>AZ84-AZ86-AZ85</f>
        <v>376.3649999999999</v>
      </c>
      <c r="BA87" s="610">
        <f>BA84-BA86-BA85</f>
        <v>387.53899999999999</v>
      </c>
      <c r="BB87" s="610">
        <f>BB84-BB86-BB85</f>
        <v>410.35899999999998</v>
      </c>
      <c r="BC87" s="648">
        <f>BC84-BC86-BC85</f>
        <v>1549.2899999999997</v>
      </c>
      <c r="BD87" s="649"/>
      <c r="BE87" s="609">
        <f>BE84-BE86-BE85</f>
        <v>397.05400000000009</v>
      </c>
      <c r="BF87" s="610">
        <f>BF84-BF86-BF85</f>
        <v>423.80500000000006</v>
      </c>
      <c r="BG87" s="610">
        <f>BG84-BG86-BG85</f>
        <v>426.15000000000003</v>
      </c>
      <c r="BH87" s="610">
        <f>BH84-BH86-BH85</f>
        <v>419.43900000000002</v>
      </c>
      <c r="BI87" s="648">
        <f>BI84-BI86-BI85</f>
        <v>1666.4480000000005</v>
      </c>
      <c r="BJ87" s="649"/>
      <c r="BK87" s="609">
        <f>BK84-BK86-BK85</f>
        <v>368</v>
      </c>
      <c r="BL87" s="610">
        <f>BL84-BL86-BL85</f>
        <v>433.7</v>
      </c>
      <c r="BM87" s="610">
        <f>BM84-BM86-BM85</f>
        <v>482.3</v>
      </c>
      <c r="BN87" s="610">
        <f>BN84-BN86-BN85</f>
        <v>542.40000000000009</v>
      </c>
      <c r="BO87" s="648">
        <f>BO84-BO86-BO85</f>
        <v>1826.4000000000003</v>
      </c>
      <c r="BP87" s="649"/>
      <c r="BQ87" s="609">
        <f>BQ84-BQ86-BQ85</f>
        <v>538</v>
      </c>
      <c r="BR87" s="610">
        <f>BR84-BR86-BR85</f>
        <v>534.62723212668584</v>
      </c>
      <c r="BS87" s="610">
        <f>BS84-BS86-BS85</f>
        <v>545.37052510474848</v>
      </c>
      <c r="BT87" s="608">
        <f>BT84-BT86-BT85</f>
        <v>569.32526837692876</v>
      </c>
      <c r="BU87" s="648">
        <f>BU84-BU86-BU85</f>
        <v>2187.3230256083634</v>
      </c>
      <c r="BV87" s="649"/>
      <c r="BW87" s="609">
        <f>BW84-BW86-BW85</f>
        <v>595.72911273259263</v>
      </c>
      <c r="BX87" s="610">
        <f>BX84-BX86-BX85</f>
        <v>584.78149721503507</v>
      </c>
      <c r="BY87" s="610">
        <f>BY84-BY86-BY85</f>
        <v>593.68281040586726</v>
      </c>
      <c r="BZ87" s="608">
        <f>BZ84-BZ86-BZ85</f>
        <v>617.69726540363774</v>
      </c>
      <c r="CA87" s="648">
        <f>CA84-CA86-CA85</f>
        <v>2391.8906857571333</v>
      </c>
      <c r="CB87" s="649"/>
      <c r="CC87" s="609">
        <f>CC84-CC86-CC85</f>
        <v>654.48463867376211</v>
      </c>
      <c r="CD87" s="610">
        <f>CD84-CD86-CD85</f>
        <v>641.7211376616533</v>
      </c>
      <c r="CE87" s="610">
        <f>CE84-CE86-CE85</f>
        <v>651.42905497386619</v>
      </c>
      <c r="CF87" s="608">
        <f>CF84-CF86-CF85</f>
        <v>678.47169035455011</v>
      </c>
      <c r="CG87" s="648">
        <f>CG84-CG86-CG85</f>
        <v>2626.1065216638317</v>
      </c>
      <c r="CH87" s="649"/>
      <c r="CI87" s="609">
        <f t="shared" ref="CI87:CM87" si="450">CI84-CI86-CI85</f>
        <v>720.30090775387907</v>
      </c>
      <c r="CJ87" s="610">
        <f t="shared" si="450"/>
        <v>704.97865084873706</v>
      </c>
      <c r="CK87" s="610">
        <f t="shared" si="450"/>
        <v>715.24513884281419</v>
      </c>
      <c r="CL87" s="608">
        <f t="shared" si="450"/>
        <v>746.69106782508209</v>
      </c>
      <c r="CM87" s="648">
        <f t="shared" si="450"/>
        <v>2887.2157652705127</v>
      </c>
      <c r="CN87" s="649"/>
      <c r="CO87" s="609">
        <f t="shared" ref="CO87:CS87" si="451">CO84-CO86-CO85</f>
        <v>790.56257924486249</v>
      </c>
      <c r="CP87" s="610">
        <f t="shared" si="451"/>
        <v>776.92496266656121</v>
      </c>
      <c r="CQ87" s="610">
        <f t="shared" si="451"/>
        <v>791.35662126572322</v>
      </c>
      <c r="CR87" s="608">
        <f t="shared" si="451"/>
        <v>826.91710921505899</v>
      </c>
      <c r="CS87" s="648">
        <f t="shared" si="451"/>
        <v>3185.7612723922057</v>
      </c>
      <c r="CT87" s="926"/>
      <c r="CU87" s="927"/>
      <c r="CV87" s="927"/>
      <c r="DC87" s="921"/>
      <c r="DD87" s="921"/>
      <c r="DE87" s="921"/>
      <c r="DF87" s="921"/>
      <c r="DG87" s="921"/>
      <c r="DH87" s="921"/>
      <c r="DI87" s="921"/>
      <c r="DJ87" s="921"/>
      <c r="DK87" s="921"/>
      <c r="DL87" s="921"/>
    </row>
    <row r="88" spans="1:116" hidden="1" outlineLevel="1">
      <c r="A88" s="545" t="s">
        <v>195</v>
      </c>
      <c r="B88" s="417"/>
      <c r="C88" s="609">
        <f t="shared" ref="C88:AF88" si="452">C17</f>
        <v>15.956</v>
      </c>
      <c r="D88" s="610">
        <f t="shared" si="452"/>
        <v>18.184000000000001</v>
      </c>
      <c r="E88" s="610">
        <f t="shared" si="452"/>
        <v>19.753</v>
      </c>
      <c r="F88" s="608">
        <f t="shared" si="452"/>
        <v>20.049999999999997</v>
      </c>
      <c r="G88" s="648">
        <f t="shared" si="452"/>
        <v>73.942999999999998</v>
      </c>
      <c r="H88" s="417">
        <f t="shared" si="452"/>
        <v>0</v>
      </c>
      <c r="I88" s="609">
        <f t="shared" si="452"/>
        <v>20.564</v>
      </c>
      <c r="J88" s="610">
        <f t="shared" si="452"/>
        <v>23.492999999999999</v>
      </c>
      <c r="K88" s="610">
        <f t="shared" si="452"/>
        <v>26.952999999999999</v>
      </c>
      <c r="L88" s="610">
        <f t="shared" si="452"/>
        <v>27.421999999999983</v>
      </c>
      <c r="M88" s="648">
        <f t="shared" si="452"/>
        <v>98.431999999999988</v>
      </c>
      <c r="N88" s="526">
        <f t="shared" si="452"/>
        <v>0</v>
      </c>
      <c r="O88" s="609">
        <f t="shared" si="452"/>
        <v>29.806999999999999</v>
      </c>
      <c r="P88" s="610">
        <f t="shared" si="452"/>
        <v>32.198</v>
      </c>
      <c r="Q88" s="610">
        <f t="shared" si="452"/>
        <v>33.487000000000002</v>
      </c>
      <c r="R88" s="608">
        <f t="shared" si="452"/>
        <v>39.449000000000012</v>
      </c>
      <c r="S88" s="648">
        <f t="shared" si="452"/>
        <v>134.941</v>
      </c>
      <c r="T88" s="417">
        <f t="shared" si="452"/>
        <v>0</v>
      </c>
      <c r="U88" s="609">
        <f t="shared" si="452"/>
        <v>42.756</v>
      </c>
      <c r="V88" s="610">
        <f t="shared" si="452"/>
        <v>42.748000000000005</v>
      </c>
      <c r="W88" s="610">
        <f t="shared" si="452"/>
        <v>43.885000000000005</v>
      </c>
      <c r="X88" s="608">
        <f t="shared" si="452"/>
        <v>44.882999999999981</v>
      </c>
      <c r="Y88" s="648">
        <f t="shared" si="452"/>
        <v>174.27199999999999</v>
      </c>
      <c r="Z88" s="417">
        <f t="shared" si="452"/>
        <v>0</v>
      </c>
      <c r="AA88" s="609">
        <f t="shared" si="452"/>
        <v>48.764000000000003</v>
      </c>
      <c r="AB88" s="610">
        <f t="shared" si="452"/>
        <v>48.946000000000005</v>
      </c>
      <c r="AC88" s="610">
        <f t="shared" si="452"/>
        <v>49.624000000000002</v>
      </c>
      <c r="AD88" s="608">
        <f t="shared" si="452"/>
        <v>44.78</v>
      </c>
      <c r="AE88" s="648">
        <f t="shared" si="452"/>
        <v>192.114</v>
      </c>
      <c r="AF88" s="417">
        <f t="shared" si="452"/>
        <v>0</v>
      </c>
      <c r="AG88" s="609">
        <f>AG17</f>
        <v>48.106999999999999</v>
      </c>
      <c r="AH88" s="610">
        <f>AH17</f>
        <v>49.052999999999997</v>
      </c>
      <c r="AI88" s="610">
        <f>AI17</f>
        <v>53.302</v>
      </c>
      <c r="AJ88" s="608">
        <f>AJ17</f>
        <v>55.705999999999996</v>
      </c>
      <c r="AK88" s="648">
        <f>AK17</f>
        <v>206.16799999999998</v>
      </c>
      <c r="AL88" s="649"/>
      <c r="AM88" s="609">
        <f>AM17</f>
        <v>60.961000000000006</v>
      </c>
      <c r="AN88" s="610">
        <f>AN17</f>
        <v>67.772000000000006</v>
      </c>
      <c r="AO88" s="610">
        <f>AO17</f>
        <v>70.849999999999994</v>
      </c>
      <c r="AP88" s="608">
        <f>AP17</f>
        <v>76.616</v>
      </c>
      <c r="AQ88" s="648">
        <f>AQ17</f>
        <v>276.19900000000001</v>
      </c>
      <c r="AR88" s="649"/>
      <c r="AS88" s="609">
        <f>AS17</f>
        <v>76.956999999999994</v>
      </c>
      <c r="AT88" s="610">
        <f>AT17</f>
        <v>82.489000000000004</v>
      </c>
      <c r="AU88" s="610">
        <f>AU17</f>
        <v>84.585999999999999</v>
      </c>
      <c r="AV88" s="610">
        <f>AV17</f>
        <v>92.198999999999998</v>
      </c>
      <c r="AW88" s="648">
        <f>AW17</f>
        <v>336.23099999999999</v>
      </c>
      <c r="AX88" s="649"/>
      <c r="AY88" s="609">
        <f>AY17</f>
        <v>91.772000000000006</v>
      </c>
      <c r="AZ88" s="610">
        <f>AZ17</f>
        <v>96.182000000000002</v>
      </c>
      <c r="BA88" s="610">
        <f>BA17</f>
        <v>99.182000000000002</v>
      </c>
      <c r="BB88" s="610">
        <f>BB17</f>
        <v>114.264</v>
      </c>
      <c r="BC88" s="648">
        <f>BC17</f>
        <v>401.40000000000003</v>
      </c>
      <c r="BD88" s="649"/>
      <c r="BE88" s="609">
        <f>BE17</f>
        <v>123.994</v>
      </c>
      <c r="BF88" s="610">
        <f>BF17</f>
        <v>124.48</v>
      </c>
      <c r="BG88" s="610">
        <f>BG17</f>
        <v>125.809</v>
      </c>
      <c r="BH88" s="610">
        <f>BH17</f>
        <v>129.92699999999999</v>
      </c>
      <c r="BI88" s="648">
        <f>BI17</f>
        <v>504.21000000000004</v>
      </c>
      <c r="BJ88" s="649"/>
      <c r="BK88" s="609">
        <f>BK17</f>
        <v>140</v>
      </c>
      <c r="BL88" s="610">
        <f>BL17</f>
        <v>130.4</v>
      </c>
      <c r="BM88" s="610">
        <f>BM17</f>
        <v>133.74</v>
      </c>
      <c r="BN88" s="610">
        <f>BN17</f>
        <v>135.04</v>
      </c>
      <c r="BO88" s="648">
        <f>BO17</f>
        <v>539.17999999999995</v>
      </c>
      <c r="BP88" s="649"/>
      <c r="BQ88" s="609">
        <f>BQ17</f>
        <v>137</v>
      </c>
      <c r="BR88" s="610">
        <f>BR17</f>
        <v>158.086433958013</v>
      </c>
      <c r="BS88" s="610">
        <f>BS17</f>
        <v>159.12113807493611</v>
      </c>
      <c r="BT88" s="608">
        <f>BT17</f>
        <v>163.86203479840609</v>
      </c>
      <c r="BU88" s="648">
        <f>BU17</f>
        <v>618.06960683135515</v>
      </c>
      <c r="BV88" s="649"/>
      <c r="BW88" s="609">
        <f>BW17</f>
        <v>152.01077341735996</v>
      </c>
      <c r="BX88" s="610">
        <f>BX17</f>
        <v>173.1745224817798</v>
      </c>
      <c r="BY88" s="610">
        <f>BY17</f>
        <v>173.3265109490973</v>
      </c>
      <c r="BZ88" s="608">
        <f>BZ17</f>
        <v>178.05862758937491</v>
      </c>
      <c r="CA88" s="648">
        <f>CA17</f>
        <v>676.57043443761199</v>
      </c>
      <c r="CB88" s="649"/>
      <c r="CC88" s="609">
        <f>CC17</f>
        <v>166.48657537949333</v>
      </c>
      <c r="CD88" s="610">
        <f>CD17</f>
        <v>189.97167090506403</v>
      </c>
      <c r="CE88" s="610">
        <f>CE17</f>
        <v>190.07433169463329</v>
      </c>
      <c r="CF88" s="608">
        <f>CF17</f>
        <v>195.52028052059458</v>
      </c>
      <c r="CG88" s="648">
        <f>CG17</f>
        <v>742.05285849978532</v>
      </c>
      <c r="CH88" s="649"/>
      <c r="CI88" s="609">
        <f t="shared" ref="CI88:CM88" si="453">CI17</f>
        <v>182.7944815219482</v>
      </c>
      <c r="CJ88" s="610">
        <f t="shared" si="453"/>
        <v>208.69442275204747</v>
      </c>
      <c r="CK88" s="610">
        <f t="shared" si="453"/>
        <v>208.67662388235928</v>
      </c>
      <c r="CL88" s="608">
        <f t="shared" si="453"/>
        <v>215.16899747143384</v>
      </c>
      <c r="CM88" s="648">
        <f t="shared" si="453"/>
        <v>815.33452562778882</v>
      </c>
      <c r="CN88" s="649"/>
      <c r="CO88" s="609">
        <f t="shared" ref="CO88:CS88" si="454">CO17</f>
        <v>199.83591890441886</v>
      </c>
      <c r="CP88" s="610">
        <f t="shared" si="454"/>
        <v>229.31913061607207</v>
      </c>
      <c r="CQ88" s="610">
        <f t="shared" si="454"/>
        <v>230.11820056577602</v>
      </c>
      <c r="CR88" s="608">
        <f t="shared" si="454"/>
        <v>237.53937785922992</v>
      </c>
      <c r="CS88" s="648">
        <f t="shared" si="454"/>
        <v>896.81262794549684</v>
      </c>
      <c r="CT88" s="416"/>
      <c r="CU88" s="400"/>
      <c r="CV88" s="400"/>
      <c r="DC88" s="921"/>
      <c r="DD88" s="921"/>
      <c r="DE88" s="921"/>
      <c r="DF88" s="921"/>
      <c r="DG88" s="921"/>
      <c r="DH88" s="921"/>
      <c r="DI88" s="921"/>
      <c r="DJ88" s="921"/>
      <c r="DK88" s="921"/>
      <c r="DL88" s="921"/>
    </row>
    <row r="89" spans="1:116" hidden="1" outlineLevel="1">
      <c r="A89" s="545" t="s">
        <v>190</v>
      </c>
      <c r="B89" s="649"/>
      <c r="C89" s="609">
        <v>0</v>
      </c>
      <c r="D89" s="610">
        <v>0</v>
      </c>
      <c r="E89" s="610">
        <v>0</v>
      </c>
      <c r="F89" s="608">
        <v>0</v>
      </c>
      <c r="G89" s="648">
        <f>SUM(C89:F89)</f>
        <v>0</v>
      </c>
      <c r="H89" s="649"/>
      <c r="I89" s="609">
        <v>0</v>
      </c>
      <c r="J89" s="610">
        <v>0</v>
      </c>
      <c r="K89" s="610">
        <v>0</v>
      </c>
      <c r="L89" s="608">
        <v>0</v>
      </c>
      <c r="M89" s="648">
        <f t="shared" ref="M89" si="455">SUM(I89:L89)</f>
        <v>0</v>
      </c>
      <c r="N89" s="649"/>
      <c r="O89" s="609">
        <v>0</v>
      </c>
      <c r="P89" s="610">
        <v>0</v>
      </c>
      <c r="Q89" s="610">
        <v>0</v>
      </c>
      <c r="R89" s="608">
        <v>0</v>
      </c>
      <c r="S89" s="648">
        <f t="shared" ref="S89" si="456">SUM(O89:R89)</f>
        <v>0</v>
      </c>
      <c r="T89" s="649"/>
      <c r="U89" s="609">
        <v>0</v>
      </c>
      <c r="V89" s="610">
        <v>0</v>
      </c>
      <c r="W89" s="610">
        <v>0</v>
      </c>
      <c r="X89" s="608">
        <v>0</v>
      </c>
      <c r="Y89" s="648">
        <f t="shared" ref="Y89" si="457">SUM(U89:X89)</f>
        <v>0</v>
      </c>
      <c r="Z89" s="649"/>
      <c r="AA89" s="609">
        <v>0</v>
      </c>
      <c r="AB89" s="610">
        <v>0</v>
      </c>
      <c r="AC89" s="610">
        <v>0</v>
      </c>
      <c r="AD89" s="608">
        <v>0</v>
      </c>
      <c r="AE89" s="648">
        <f t="shared" ref="AE89" si="458">SUM(AA89:AD89)</f>
        <v>0</v>
      </c>
      <c r="AF89" s="649"/>
      <c r="AG89" s="609">
        <v>0</v>
      </c>
      <c r="AH89" s="610">
        <v>0</v>
      </c>
      <c r="AI89" s="610">
        <v>0</v>
      </c>
      <c r="AJ89" s="608">
        <v>0</v>
      </c>
      <c r="AK89" s="648">
        <f t="shared" ref="AK89" si="459">SUM(AG89:AJ89)</f>
        <v>0</v>
      </c>
      <c r="AL89" s="649"/>
      <c r="AM89" s="609">
        <v>0</v>
      </c>
      <c r="AN89" s="610">
        <v>0</v>
      </c>
      <c r="AO89" s="610">
        <v>0</v>
      </c>
      <c r="AP89" s="608">
        <v>0</v>
      </c>
      <c r="AQ89" s="648">
        <f t="shared" ref="AQ89" si="460">SUM(AM89:AP89)</f>
        <v>0</v>
      </c>
      <c r="AR89" s="649"/>
      <c r="AS89" s="609">
        <v>0</v>
      </c>
      <c r="AT89" s="610">
        <v>0</v>
      </c>
      <c r="AU89" s="610">
        <v>0</v>
      </c>
      <c r="AV89" s="608">
        <v>0</v>
      </c>
      <c r="AW89" s="648">
        <f t="shared" ref="AW89" si="461">SUM(AS89:AV89)</f>
        <v>0</v>
      </c>
      <c r="AX89" s="649"/>
      <c r="AY89" s="609">
        <v>0</v>
      </c>
      <c r="AZ89" s="610">
        <v>0</v>
      </c>
      <c r="BA89" s="610">
        <v>0</v>
      </c>
      <c r="BB89" s="608">
        <v>0</v>
      </c>
      <c r="BC89" s="648">
        <f t="shared" ref="BC89" si="462">SUM(AY89:BB89)</f>
        <v>0</v>
      </c>
      <c r="BD89" s="649"/>
      <c r="BE89" s="609">
        <v>0</v>
      </c>
      <c r="BF89" s="610">
        <v>0</v>
      </c>
      <c r="BG89" s="610">
        <v>0</v>
      </c>
      <c r="BH89" s="608">
        <v>0</v>
      </c>
      <c r="BI89" s="648">
        <f t="shared" ref="BI89" si="463">SUM(BE89:BH89)</f>
        <v>0</v>
      </c>
      <c r="BJ89" s="649"/>
      <c r="BK89" s="609">
        <v>0</v>
      </c>
      <c r="BL89" s="610">
        <v>0</v>
      </c>
      <c r="BM89" s="610">
        <v>0</v>
      </c>
      <c r="BN89" s="608">
        <v>0</v>
      </c>
      <c r="BO89" s="648">
        <f t="shared" ref="BO89" si="464">SUM(BK89:BN89)</f>
        <v>0</v>
      </c>
      <c r="BP89" s="649"/>
      <c r="BQ89" s="609">
        <v>0</v>
      </c>
      <c r="BR89" s="610">
        <v>0</v>
      </c>
      <c r="BS89" s="610">
        <v>0</v>
      </c>
      <c r="BT89" s="608">
        <v>0</v>
      </c>
      <c r="BU89" s="648">
        <f t="shared" ref="BU89" si="465">SUM(BQ89:BT89)</f>
        <v>0</v>
      </c>
      <c r="BV89" s="649"/>
      <c r="BW89" s="609">
        <v>0</v>
      </c>
      <c r="BX89" s="610">
        <v>0</v>
      </c>
      <c r="BY89" s="610">
        <v>0</v>
      </c>
      <c r="BZ89" s="608">
        <v>0</v>
      </c>
      <c r="CA89" s="648">
        <f t="shared" ref="CA89" si="466">SUM(BW89:BZ89)</f>
        <v>0</v>
      </c>
      <c r="CB89" s="649"/>
      <c r="CC89" s="609">
        <v>0</v>
      </c>
      <c r="CD89" s="610">
        <v>0</v>
      </c>
      <c r="CE89" s="610">
        <v>0</v>
      </c>
      <c r="CF89" s="608">
        <v>0</v>
      </c>
      <c r="CG89" s="648">
        <f t="shared" ref="CG89" si="467">SUM(CC89:CF89)</f>
        <v>0</v>
      </c>
      <c r="CH89" s="649"/>
      <c r="CI89" s="609">
        <v>0</v>
      </c>
      <c r="CJ89" s="610">
        <v>0</v>
      </c>
      <c r="CK89" s="610">
        <v>0</v>
      </c>
      <c r="CL89" s="608">
        <v>0</v>
      </c>
      <c r="CM89" s="648">
        <f t="shared" ref="CM89:CM90" si="468">SUM(CI89:CL89)</f>
        <v>0</v>
      </c>
      <c r="CN89" s="649"/>
      <c r="CO89" s="609">
        <v>0</v>
      </c>
      <c r="CP89" s="610">
        <v>0</v>
      </c>
      <c r="CQ89" s="610">
        <v>0</v>
      </c>
      <c r="CR89" s="608">
        <v>0</v>
      </c>
      <c r="CS89" s="648">
        <f t="shared" ref="CS89:CS90" si="469">SUM(CO89:CR89)</f>
        <v>0</v>
      </c>
      <c r="CT89" s="416"/>
      <c r="CU89" s="400"/>
      <c r="CV89" s="400"/>
      <c r="DC89" s="921"/>
      <c r="DD89" s="921"/>
      <c r="DE89" s="921"/>
      <c r="DF89" s="921"/>
      <c r="DG89" s="921"/>
      <c r="DH89" s="921"/>
      <c r="DI89" s="921"/>
      <c r="DJ89" s="921"/>
      <c r="DK89" s="921"/>
      <c r="DL89" s="921"/>
    </row>
    <row r="90" spans="1:116" hidden="1" outlineLevel="1">
      <c r="A90" s="545" t="s">
        <v>202</v>
      </c>
      <c r="B90" s="417"/>
      <c r="C90" s="605">
        <v>0</v>
      </c>
      <c r="D90" s="606">
        <v>0</v>
      </c>
      <c r="E90" s="606">
        <v>0</v>
      </c>
      <c r="F90" s="606">
        <v>0</v>
      </c>
      <c r="G90" s="648">
        <f>SUM(C90:F90)</f>
        <v>0</v>
      </c>
      <c r="H90" s="417"/>
      <c r="I90" s="605">
        <v>0</v>
      </c>
      <c r="J90" s="606">
        <v>0</v>
      </c>
      <c r="K90" s="610">
        <f>-K110</f>
        <v>-0.61399999999999999</v>
      </c>
      <c r="L90" s="610">
        <f>-L110</f>
        <v>-0.91699999999999993</v>
      </c>
      <c r="M90" s="648">
        <f t="shared" si="440"/>
        <v>-1.5309999999999999</v>
      </c>
      <c r="N90" s="526"/>
      <c r="O90" s="605">
        <f>-0.919-2</f>
        <v>-2.919</v>
      </c>
      <c r="P90" s="606">
        <v>-0.91900000000000004</v>
      </c>
      <c r="Q90" s="606">
        <v>-0.91900000000000004</v>
      </c>
      <c r="R90" s="607">
        <f>-3.675-2-SUM(O90:Q90)</f>
        <v>-0.91800000000000015</v>
      </c>
      <c r="S90" s="648">
        <f t="shared" si="441"/>
        <v>-5.6749999999999998</v>
      </c>
      <c r="T90" s="417"/>
      <c r="U90" s="605">
        <v>-0.91900000000000004</v>
      </c>
      <c r="V90" s="606">
        <v>-0.91900000000000004</v>
      </c>
      <c r="W90" s="606">
        <v>-0.91900000000000004</v>
      </c>
      <c r="X90" s="607">
        <f>-3.675-SUM(U90:W90)</f>
        <v>-0.91799999999999971</v>
      </c>
      <c r="Y90" s="648">
        <f t="shared" si="442"/>
        <v>-3.6749999999999998</v>
      </c>
      <c r="Z90" s="417"/>
      <c r="AA90" s="605">
        <v>-1.4359999999999999</v>
      </c>
      <c r="AB90" s="606">
        <v>-1.855</v>
      </c>
      <c r="AC90" s="606">
        <v>-0.77500000000000002</v>
      </c>
      <c r="AD90" s="607">
        <f>-4.799-SUM(AA90:AC90)</f>
        <v>-0.73300000000000054</v>
      </c>
      <c r="AE90" s="648">
        <f t="shared" si="443"/>
        <v>-4.7990000000000004</v>
      </c>
      <c r="AF90" s="417"/>
      <c r="AG90" s="605">
        <f>-0.732</f>
        <v>-0.73199999999999998</v>
      </c>
      <c r="AH90" s="606">
        <f>-0.732-21.438</f>
        <v>-22.169999999999998</v>
      </c>
      <c r="AI90" s="606">
        <v>-0.754</v>
      </c>
      <c r="AJ90" s="607">
        <v>-1.2010000000000001</v>
      </c>
      <c r="AK90" s="648">
        <f t="shared" si="444"/>
        <v>-24.856999999999999</v>
      </c>
      <c r="AL90" s="649"/>
      <c r="AM90" s="605">
        <v>-0.48899999999999999</v>
      </c>
      <c r="AN90" s="606">
        <v>0.16400000000000001</v>
      </c>
      <c r="AO90" s="606">
        <v>-0.107</v>
      </c>
      <c r="AP90" s="607">
        <v>-0.112</v>
      </c>
      <c r="AQ90" s="648">
        <f t="shared" si="445"/>
        <v>-0.54399999999999993</v>
      </c>
      <c r="AR90" s="649"/>
      <c r="AS90" s="605">
        <v>-8.4000000000000005E-2</v>
      </c>
      <c r="AT90" s="606">
        <v>-0.496</v>
      </c>
      <c r="AU90" s="606">
        <v>-0.496</v>
      </c>
      <c r="AV90" s="606">
        <f>-48.8-1.515-0.433</f>
        <v>-50.747999999999998</v>
      </c>
      <c r="AW90" s="648">
        <f t="shared" si="446"/>
        <v>-51.823999999999998</v>
      </c>
      <c r="AX90" s="649"/>
      <c r="AY90" s="605">
        <v>0</v>
      </c>
      <c r="AZ90" s="606">
        <v>0</v>
      </c>
      <c r="BA90" s="606">
        <v>-4.3999999999999997E-2</v>
      </c>
      <c r="BB90" s="606">
        <v>-8.3000000000000004E-2</v>
      </c>
      <c r="BC90" s="648">
        <f>SUM(AY90:BB90)</f>
        <v>-0.127</v>
      </c>
      <c r="BD90" s="649"/>
      <c r="BE90" s="605">
        <v>-0.108</v>
      </c>
      <c r="BF90" s="606">
        <v>-0.109</v>
      </c>
      <c r="BG90" s="606">
        <v>-0.108</v>
      </c>
      <c r="BH90" s="606">
        <v>1.2E-2</v>
      </c>
      <c r="BI90" s="648">
        <f>SUM(BE90:BH90)</f>
        <v>-0.313</v>
      </c>
      <c r="BJ90" s="649"/>
      <c r="BK90" s="605">
        <v>-5</v>
      </c>
      <c r="BL90" s="606">
        <v>0</v>
      </c>
      <c r="BM90" s="606">
        <v>0</v>
      </c>
      <c r="BN90" s="606">
        <v>-2</v>
      </c>
      <c r="BO90" s="648">
        <f>SUM(BK90:BN90)</f>
        <v>-7</v>
      </c>
      <c r="BP90" s="649"/>
      <c r="BQ90" s="605">
        <v>0</v>
      </c>
      <c r="BR90" s="653">
        <v>0</v>
      </c>
      <c r="BS90" s="653">
        <v>0</v>
      </c>
      <c r="BT90" s="651">
        <v>0</v>
      </c>
      <c r="BU90" s="648">
        <f>SUM(BQ90:BT90)</f>
        <v>0</v>
      </c>
      <c r="BV90" s="649"/>
      <c r="BW90" s="652">
        <v>0</v>
      </c>
      <c r="BX90" s="653">
        <v>0</v>
      </c>
      <c r="BY90" s="653">
        <v>0</v>
      </c>
      <c r="BZ90" s="651">
        <v>0</v>
      </c>
      <c r="CA90" s="648">
        <f>SUM(BW90:BZ90)</f>
        <v>0</v>
      </c>
      <c r="CB90" s="649"/>
      <c r="CC90" s="652">
        <v>0</v>
      </c>
      <c r="CD90" s="653">
        <v>0</v>
      </c>
      <c r="CE90" s="653">
        <v>0</v>
      </c>
      <c r="CF90" s="651">
        <v>0</v>
      </c>
      <c r="CG90" s="648">
        <f>SUM(CC90:CF90)</f>
        <v>0</v>
      </c>
      <c r="CH90" s="649"/>
      <c r="CI90" s="652">
        <v>0</v>
      </c>
      <c r="CJ90" s="653">
        <v>0</v>
      </c>
      <c r="CK90" s="653">
        <v>0</v>
      </c>
      <c r="CL90" s="651">
        <v>0</v>
      </c>
      <c r="CM90" s="648">
        <f t="shared" si="468"/>
        <v>0</v>
      </c>
      <c r="CN90" s="649"/>
      <c r="CO90" s="652">
        <v>0</v>
      </c>
      <c r="CP90" s="653">
        <v>0</v>
      </c>
      <c r="CQ90" s="653">
        <v>0</v>
      </c>
      <c r="CR90" s="651">
        <v>0</v>
      </c>
      <c r="CS90" s="648">
        <f t="shared" si="469"/>
        <v>0</v>
      </c>
      <c r="CT90" s="416"/>
      <c r="CU90" s="400"/>
      <c r="CV90" s="400"/>
      <c r="DC90" s="921"/>
      <c r="DD90" s="921"/>
      <c r="DE90" s="921"/>
      <c r="DF90" s="921"/>
      <c r="DG90" s="921"/>
      <c r="DH90" s="921"/>
      <c r="DI90" s="921"/>
      <c r="DJ90" s="921"/>
      <c r="DK90" s="921"/>
      <c r="DL90" s="921"/>
    </row>
    <row r="91" spans="1:116" collapsed="1">
      <c r="A91" s="545" t="s">
        <v>194</v>
      </c>
      <c r="B91" s="413"/>
      <c r="C91" s="609">
        <f t="shared" ref="C91:AE91" si="470">C88-C89-C90</f>
        <v>15.956</v>
      </c>
      <c r="D91" s="610">
        <f t="shared" si="470"/>
        <v>18.184000000000001</v>
      </c>
      <c r="E91" s="610">
        <f t="shared" si="470"/>
        <v>19.753</v>
      </c>
      <c r="F91" s="608">
        <f t="shared" si="470"/>
        <v>20.049999999999997</v>
      </c>
      <c r="G91" s="648">
        <f t="shared" si="470"/>
        <v>73.942999999999998</v>
      </c>
      <c r="H91" s="413">
        <f t="shared" si="470"/>
        <v>0</v>
      </c>
      <c r="I91" s="609">
        <f t="shared" si="470"/>
        <v>20.564</v>
      </c>
      <c r="J91" s="610">
        <f t="shared" si="470"/>
        <v>23.492999999999999</v>
      </c>
      <c r="K91" s="610">
        <f t="shared" si="470"/>
        <v>27.567</v>
      </c>
      <c r="L91" s="610">
        <f t="shared" si="470"/>
        <v>28.338999999999984</v>
      </c>
      <c r="M91" s="648">
        <f t="shared" si="470"/>
        <v>99.962999999999994</v>
      </c>
      <c r="N91" s="650">
        <f t="shared" si="470"/>
        <v>0</v>
      </c>
      <c r="O91" s="609">
        <f t="shared" si="470"/>
        <v>32.725999999999999</v>
      </c>
      <c r="P91" s="610">
        <f t="shared" si="470"/>
        <v>33.116999999999997</v>
      </c>
      <c r="Q91" s="610">
        <f t="shared" si="470"/>
        <v>34.405999999999999</v>
      </c>
      <c r="R91" s="608">
        <f t="shared" si="470"/>
        <v>40.367000000000012</v>
      </c>
      <c r="S91" s="648">
        <f t="shared" si="470"/>
        <v>140.61600000000001</v>
      </c>
      <c r="T91" s="417">
        <f t="shared" si="470"/>
        <v>0</v>
      </c>
      <c r="U91" s="609">
        <f t="shared" si="470"/>
        <v>43.674999999999997</v>
      </c>
      <c r="V91" s="610">
        <f t="shared" si="470"/>
        <v>43.667000000000002</v>
      </c>
      <c r="W91" s="610">
        <f t="shared" si="470"/>
        <v>44.804000000000002</v>
      </c>
      <c r="X91" s="608">
        <f t="shared" si="470"/>
        <v>45.800999999999981</v>
      </c>
      <c r="Y91" s="648">
        <f t="shared" si="470"/>
        <v>177.947</v>
      </c>
      <c r="Z91" s="417">
        <f t="shared" si="470"/>
        <v>0</v>
      </c>
      <c r="AA91" s="609">
        <f t="shared" si="470"/>
        <v>50.2</v>
      </c>
      <c r="AB91" s="610">
        <f t="shared" si="470"/>
        <v>50.801000000000002</v>
      </c>
      <c r="AC91" s="610">
        <f t="shared" si="470"/>
        <v>50.399000000000001</v>
      </c>
      <c r="AD91" s="608">
        <f t="shared" si="470"/>
        <v>45.513000000000005</v>
      </c>
      <c r="AE91" s="648">
        <f t="shared" si="470"/>
        <v>196.91300000000001</v>
      </c>
      <c r="AF91" s="417"/>
      <c r="AG91" s="609">
        <f>AG88-AG89-AG90</f>
        <v>48.838999999999999</v>
      </c>
      <c r="AH91" s="610">
        <f>AH88-AH89-AH90</f>
        <v>71.222999999999999</v>
      </c>
      <c r="AI91" s="610">
        <f>AI88-AI89-AI90</f>
        <v>54.055999999999997</v>
      </c>
      <c r="AJ91" s="608">
        <f>AJ88-AJ89-AJ90</f>
        <v>56.906999999999996</v>
      </c>
      <c r="AK91" s="648">
        <f>AK88-AK89-AK90</f>
        <v>231.02499999999998</v>
      </c>
      <c r="AL91" s="649"/>
      <c r="AM91" s="609">
        <f>AM88-AM89-AM90</f>
        <v>61.45</v>
      </c>
      <c r="AN91" s="610">
        <f>AN88-AN89-AN90</f>
        <v>67.608000000000004</v>
      </c>
      <c r="AO91" s="610">
        <f>AO88-AO89-AO90</f>
        <v>70.956999999999994</v>
      </c>
      <c r="AP91" s="608">
        <f>AP88-AP89-AP90</f>
        <v>76.727999999999994</v>
      </c>
      <c r="AQ91" s="648">
        <f>AQ88-AQ89-AQ90</f>
        <v>276.74299999999999</v>
      </c>
      <c r="AR91" s="649"/>
      <c r="AS91" s="609">
        <f>AS88-AS89-AS90</f>
        <v>77.040999999999997</v>
      </c>
      <c r="AT91" s="610">
        <f>AT88-AT89-AT90</f>
        <v>82.984999999999999</v>
      </c>
      <c r="AU91" s="610">
        <f>AU88-AU89-AU90</f>
        <v>85.081999999999994</v>
      </c>
      <c r="AV91" s="610">
        <f>AV88-AV89-AV90</f>
        <v>142.947</v>
      </c>
      <c r="AW91" s="648">
        <f>AW88-AW89-AW90</f>
        <v>388.05500000000001</v>
      </c>
      <c r="AX91" s="649"/>
      <c r="AY91" s="609">
        <f>AY88-AY89-AY90</f>
        <v>91.772000000000006</v>
      </c>
      <c r="AZ91" s="610">
        <f>AZ88-AZ89-AZ90</f>
        <v>96.182000000000002</v>
      </c>
      <c r="BA91" s="610">
        <f>BA88-BA89-BA90</f>
        <v>99.225999999999999</v>
      </c>
      <c r="BB91" s="610">
        <f>BB88-BB89-BB90</f>
        <v>114.34699999999999</v>
      </c>
      <c r="BC91" s="648">
        <f>BC88-BC89-BC90</f>
        <v>401.52700000000004</v>
      </c>
      <c r="BD91" s="649"/>
      <c r="BE91" s="609">
        <f>BE88-BE89-BE90</f>
        <v>124.102</v>
      </c>
      <c r="BF91" s="610">
        <f>BF88-BF89-BF90</f>
        <v>124.589</v>
      </c>
      <c r="BG91" s="610">
        <f>BG88-BG89-BG90</f>
        <v>125.917</v>
      </c>
      <c r="BH91" s="610">
        <f>BH88-BH89-BH90</f>
        <v>129.91499999999999</v>
      </c>
      <c r="BI91" s="648">
        <f>BI88-BI89-BI90</f>
        <v>504.52300000000002</v>
      </c>
      <c r="BJ91" s="649"/>
      <c r="BK91" s="609">
        <f>BK88-BK89-BK90</f>
        <v>145</v>
      </c>
      <c r="BL91" s="610">
        <f>BL88-BL89-BL90</f>
        <v>130.4</v>
      </c>
      <c r="BM91" s="610">
        <f>BM88-BM89-BM90</f>
        <v>133.74</v>
      </c>
      <c r="BN91" s="610">
        <f>BN88-BN89-BN90</f>
        <v>137.04</v>
      </c>
      <c r="BO91" s="648">
        <f>BO88-BO89-BO90</f>
        <v>546.17999999999995</v>
      </c>
      <c r="BP91" s="649"/>
      <c r="BQ91" s="609">
        <f>BQ88-BQ89-BQ90</f>
        <v>137</v>
      </c>
      <c r="BR91" s="610">
        <f>BR88-BR89-BR90</f>
        <v>158.086433958013</v>
      </c>
      <c r="BS91" s="610">
        <f>BS88-BS89-BS90</f>
        <v>159.12113807493611</v>
      </c>
      <c r="BT91" s="608">
        <f>BT88-BT89-BT90</f>
        <v>163.86203479840609</v>
      </c>
      <c r="BU91" s="648">
        <f>BU88-BU89-BU90</f>
        <v>618.06960683135515</v>
      </c>
      <c r="BV91" s="649"/>
      <c r="BW91" s="609">
        <f>BW88-BW89-BW90</f>
        <v>152.01077341735996</v>
      </c>
      <c r="BX91" s="610">
        <f>BX88-BX89-BX90</f>
        <v>173.1745224817798</v>
      </c>
      <c r="BY91" s="610">
        <f>BY88-BY89-BY90</f>
        <v>173.3265109490973</v>
      </c>
      <c r="BZ91" s="608">
        <f>BZ88-BZ89-BZ90</f>
        <v>178.05862758937491</v>
      </c>
      <c r="CA91" s="648">
        <f>CA88-CA89-CA90</f>
        <v>676.57043443761199</v>
      </c>
      <c r="CB91" s="649"/>
      <c r="CC91" s="609">
        <f>CC88-CC89-CC90</f>
        <v>166.48657537949333</v>
      </c>
      <c r="CD91" s="610">
        <f>CD88-CD89-CD90</f>
        <v>189.97167090506403</v>
      </c>
      <c r="CE91" s="610">
        <f>CE88-CE89-CE90</f>
        <v>190.07433169463329</v>
      </c>
      <c r="CF91" s="608">
        <f>CF88-CF89-CF90</f>
        <v>195.52028052059458</v>
      </c>
      <c r="CG91" s="648">
        <f>CG88-CG89-CG90</f>
        <v>742.05285849978532</v>
      </c>
      <c r="CH91" s="649"/>
      <c r="CI91" s="609">
        <f t="shared" ref="CI91:CM91" si="471">CI88-CI89-CI90</f>
        <v>182.7944815219482</v>
      </c>
      <c r="CJ91" s="610">
        <f t="shared" si="471"/>
        <v>208.69442275204747</v>
      </c>
      <c r="CK91" s="610">
        <f t="shared" si="471"/>
        <v>208.67662388235928</v>
      </c>
      <c r="CL91" s="608">
        <f t="shared" si="471"/>
        <v>215.16899747143384</v>
      </c>
      <c r="CM91" s="648">
        <f t="shared" si="471"/>
        <v>815.33452562778882</v>
      </c>
      <c r="CN91" s="649"/>
      <c r="CO91" s="609">
        <f t="shared" ref="CO91:CS91" si="472">CO88-CO89-CO90</f>
        <v>199.83591890441886</v>
      </c>
      <c r="CP91" s="610">
        <f t="shared" si="472"/>
        <v>229.31913061607207</v>
      </c>
      <c r="CQ91" s="610">
        <f t="shared" si="472"/>
        <v>230.11820056577602</v>
      </c>
      <c r="CR91" s="608">
        <f t="shared" si="472"/>
        <v>237.53937785922992</v>
      </c>
      <c r="CS91" s="648">
        <f t="shared" si="472"/>
        <v>896.81262794549684</v>
      </c>
      <c r="CT91" s="926"/>
      <c r="CU91" s="927"/>
      <c r="CV91" s="927"/>
      <c r="DC91" s="921"/>
      <c r="DD91" s="921"/>
      <c r="DE91" s="921"/>
      <c r="DF91" s="921"/>
      <c r="DG91" s="921"/>
      <c r="DH91" s="921"/>
      <c r="DI91" s="921"/>
      <c r="DJ91" s="921"/>
      <c r="DK91" s="921"/>
      <c r="DL91" s="921"/>
    </row>
    <row r="92" spans="1:116" hidden="1" outlineLevel="1">
      <c r="A92" s="545" t="s">
        <v>197</v>
      </c>
      <c r="B92" s="417"/>
      <c r="C92" s="609">
        <f t="shared" ref="C92:AE92" si="473">C18</f>
        <v>23.632999999999999</v>
      </c>
      <c r="D92" s="610">
        <f t="shared" si="473"/>
        <v>23.297000000000001</v>
      </c>
      <c r="E92" s="610">
        <f t="shared" si="473"/>
        <v>24.306999999999999</v>
      </c>
      <c r="F92" s="608">
        <f t="shared" si="473"/>
        <v>30.019000000000005</v>
      </c>
      <c r="G92" s="648">
        <f t="shared" si="473"/>
        <v>101.256</v>
      </c>
      <c r="H92" s="417">
        <f t="shared" si="473"/>
        <v>0</v>
      </c>
      <c r="I92" s="609">
        <f t="shared" si="473"/>
        <v>33.826999999999998</v>
      </c>
      <c r="J92" s="610">
        <f t="shared" si="473"/>
        <v>35.616</v>
      </c>
      <c r="K92" s="610">
        <f t="shared" si="473"/>
        <v>39.365000000000002</v>
      </c>
      <c r="L92" s="610">
        <f t="shared" si="473"/>
        <v>39.206000000000017</v>
      </c>
      <c r="M92" s="648">
        <f t="shared" si="473"/>
        <v>148.01400000000001</v>
      </c>
      <c r="N92" s="526">
        <f t="shared" si="473"/>
        <v>0</v>
      </c>
      <c r="O92" s="609">
        <f t="shared" si="473"/>
        <v>42.831000000000003</v>
      </c>
      <c r="P92" s="610">
        <f t="shared" si="473"/>
        <v>41.939</v>
      </c>
      <c r="Q92" s="610">
        <f t="shared" si="473"/>
        <v>42.095999999999997</v>
      </c>
      <c r="R92" s="608">
        <f t="shared" si="473"/>
        <v>49.470999999999975</v>
      </c>
      <c r="S92" s="648">
        <f t="shared" si="473"/>
        <v>176.33699999999999</v>
      </c>
      <c r="T92" s="417">
        <f t="shared" si="473"/>
        <v>0</v>
      </c>
      <c r="U92" s="609">
        <f t="shared" si="473"/>
        <v>50.277999999999999</v>
      </c>
      <c r="V92" s="610">
        <f t="shared" si="473"/>
        <v>53.134999999999998</v>
      </c>
      <c r="W92" s="610">
        <f t="shared" si="473"/>
        <v>55.006</v>
      </c>
      <c r="X92" s="608">
        <f t="shared" si="473"/>
        <v>62.035000000000025</v>
      </c>
      <c r="Y92" s="648">
        <f t="shared" si="473"/>
        <v>220.45400000000001</v>
      </c>
      <c r="Z92" s="417">
        <f t="shared" si="473"/>
        <v>0</v>
      </c>
      <c r="AA92" s="609">
        <f t="shared" si="473"/>
        <v>64.972999999999999</v>
      </c>
      <c r="AB92" s="610">
        <f t="shared" si="473"/>
        <v>68.088999999999999</v>
      </c>
      <c r="AC92" s="610">
        <f t="shared" si="473"/>
        <v>66.158000000000001</v>
      </c>
      <c r="AD92" s="608">
        <f t="shared" si="473"/>
        <v>63.067000000000007</v>
      </c>
      <c r="AE92" s="648">
        <f t="shared" si="473"/>
        <v>262.28700000000003</v>
      </c>
      <c r="AF92" s="417"/>
      <c r="AG92" s="609">
        <f>AG18</f>
        <v>65.456999999999994</v>
      </c>
      <c r="AH92" s="610">
        <f>AH18</f>
        <v>68.88000000000001</v>
      </c>
      <c r="AI92" s="610">
        <f>AI18</f>
        <v>68.896999999999991</v>
      </c>
      <c r="AJ92" s="608">
        <f>AJ18</f>
        <v>75.637</v>
      </c>
      <c r="AK92" s="648">
        <f>AK18</f>
        <v>278.87099999999998</v>
      </c>
      <c r="AL92" s="649"/>
      <c r="AM92" s="609">
        <f>AM18</f>
        <v>80.563999999999993</v>
      </c>
      <c r="AN92" s="610">
        <f>AN18</f>
        <v>84.052999999999997</v>
      </c>
      <c r="AO92" s="610">
        <f>AO18</f>
        <v>89.69</v>
      </c>
      <c r="AP92" s="608">
        <f>AP18</f>
        <v>102.58500000000001</v>
      </c>
      <c r="AQ92" s="648">
        <f>AQ18</f>
        <v>356.892</v>
      </c>
      <c r="AR92" s="649"/>
      <c r="AS92" s="609">
        <f>AS18</f>
        <v>103.16099999999999</v>
      </c>
      <c r="AT92" s="610">
        <f>AT18</f>
        <v>112.687</v>
      </c>
      <c r="AU92" s="610">
        <f>AU18</f>
        <v>118.301</v>
      </c>
      <c r="AV92" s="610">
        <f>AV18</f>
        <v>120.586</v>
      </c>
      <c r="AW92" s="648">
        <f>AW18</f>
        <v>454.73500000000001</v>
      </c>
      <c r="AX92" s="649"/>
      <c r="AY92" s="609">
        <f>AY18</f>
        <v>114.815</v>
      </c>
      <c r="AZ92" s="610">
        <f>AZ18</f>
        <v>123.053</v>
      </c>
      <c r="BA92" s="610">
        <f>BA18</f>
        <v>134.83699999999999</v>
      </c>
      <c r="BB92" s="610">
        <f>BB18</f>
        <v>145.126</v>
      </c>
      <c r="BC92" s="648">
        <f>BC18</f>
        <v>517.83100000000002</v>
      </c>
      <c r="BD92" s="649"/>
      <c r="BE92" s="609">
        <f>BE18</f>
        <v>147.00299999999999</v>
      </c>
      <c r="BF92" s="610">
        <f>BF18</f>
        <v>146.387</v>
      </c>
      <c r="BG92" s="610">
        <f>BG18</f>
        <v>137.1</v>
      </c>
      <c r="BH92" s="610">
        <f>BH18</f>
        <v>144.86700000000002</v>
      </c>
      <c r="BI92" s="648">
        <f>BI18</f>
        <v>575.35699999999997</v>
      </c>
      <c r="BJ92" s="649"/>
      <c r="BK92" s="609">
        <f>BK18</f>
        <v>152</v>
      </c>
      <c r="BL92" s="610">
        <f>BL18</f>
        <v>166.6</v>
      </c>
      <c r="BM92" s="610">
        <f>BM18</f>
        <v>165.94</v>
      </c>
      <c r="BN92" s="610">
        <f>BN18</f>
        <v>172.24</v>
      </c>
      <c r="BO92" s="648">
        <f>BO18</f>
        <v>656.78</v>
      </c>
      <c r="BP92" s="649"/>
      <c r="BQ92" s="609">
        <f>BQ18</f>
        <v>179</v>
      </c>
      <c r="BR92" s="610">
        <f>BR18</f>
        <v>197.60804244751625</v>
      </c>
      <c r="BS92" s="610">
        <f>BS18</f>
        <v>199.40497049897056</v>
      </c>
      <c r="BT92" s="608">
        <f>BT18</f>
        <v>205.87794115697173</v>
      </c>
      <c r="BU92" s="648">
        <f>BU18</f>
        <v>781.89095410345851</v>
      </c>
      <c r="BV92" s="649"/>
      <c r="BW92" s="609">
        <f>BW18</f>
        <v>200.62547436109625</v>
      </c>
      <c r="BX92" s="610">
        <f>BX18</f>
        <v>216.68570903499079</v>
      </c>
      <c r="BY92" s="610">
        <f>BY18</f>
        <v>217.42994884963096</v>
      </c>
      <c r="BZ92" s="608">
        <f>BZ18</f>
        <v>223.95002645261584</v>
      </c>
      <c r="CA92" s="648">
        <f>CA18</f>
        <v>858.69115869833377</v>
      </c>
      <c r="CB92" s="649"/>
      <c r="CC92" s="609">
        <f>CC18</f>
        <v>221.96079326636078</v>
      </c>
      <c r="CD92" s="610">
        <f>CD18</f>
        <v>237.94431507300948</v>
      </c>
      <c r="CE92" s="610">
        <f>CE18</f>
        <v>238.68669274185407</v>
      </c>
      <c r="CF92" s="608">
        <f>CF18</f>
        <v>246.17320293525637</v>
      </c>
      <c r="CG92" s="648">
        <f>CG18</f>
        <v>944.76500401648059</v>
      </c>
      <c r="CH92" s="649"/>
      <c r="CI92" s="609">
        <f t="shared" ref="CI92:CM92" si="474">CI18</f>
        <v>246.17945286496663</v>
      </c>
      <c r="CJ92" s="610">
        <f t="shared" si="474"/>
        <v>261.66255035408994</v>
      </c>
      <c r="CK92" s="610">
        <f t="shared" si="474"/>
        <v>262.32100020173186</v>
      </c>
      <c r="CL92" s="608">
        <f t="shared" si="474"/>
        <v>271.20259056295305</v>
      </c>
      <c r="CM92" s="648">
        <f t="shared" si="474"/>
        <v>1041.3655939837415</v>
      </c>
      <c r="CN92" s="649"/>
      <c r="CO92" s="609">
        <f t="shared" ref="CO92:CS92" si="475">CO18</f>
        <v>271.86951893020199</v>
      </c>
      <c r="CP92" s="610">
        <f t="shared" si="475"/>
        <v>287.81890883445783</v>
      </c>
      <c r="CQ92" s="610">
        <f t="shared" si="475"/>
        <v>289.58026789543391</v>
      </c>
      <c r="CR92" s="608">
        <f t="shared" si="475"/>
        <v>299.72246106845239</v>
      </c>
      <c r="CS92" s="648">
        <f t="shared" si="475"/>
        <v>1148.9911567285462</v>
      </c>
      <c r="CT92" s="416"/>
      <c r="CU92" s="400"/>
      <c r="CV92" s="400"/>
      <c r="DC92" s="921"/>
      <c r="DD92" s="921"/>
      <c r="DE92" s="921"/>
      <c r="DF92" s="921"/>
      <c r="DG92" s="921"/>
      <c r="DH92" s="921"/>
      <c r="DI92" s="921"/>
      <c r="DJ92" s="921"/>
      <c r="DK92" s="921"/>
      <c r="DL92" s="921"/>
    </row>
    <row r="93" spans="1:116" hidden="1" outlineLevel="1">
      <c r="A93" s="545" t="s">
        <v>190</v>
      </c>
      <c r="B93" s="649"/>
      <c r="C93" s="609">
        <v>0</v>
      </c>
      <c r="D93" s="610">
        <v>0</v>
      </c>
      <c r="E93" s="610">
        <v>0</v>
      </c>
      <c r="F93" s="608">
        <v>0</v>
      </c>
      <c r="G93" s="648">
        <f>SUM(C93:F93)</f>
        <v>0</v>
      </c>
      <c r="H93" s="649"/>
      <c r="I93" s="609">
        <v>0</v>
      </c>
      <c r="J93" s="610">
        <v>0</v>
      </c>
      <c r="K93" s="610">
        <v>0</v>
      </c>
      <c r="L93" s="608">
        <v>0</v>
      </c>
      <c r="M93" s="648">
        <f t="shared" ref="M93" si="476">SUM(I93:L93)</f>
        <v>0</v>
      </c>
      <c r="N93" s="649"/>
      <c r="O93" s="609">
        <v>0</v>
      </c>
      <c r="P93" s="610">
        <v>0</v>
      </c>
      <c r="Q93" s="610">
        <v>0</v>
      </c>
      <c r="R93" s="608">
        <v>0</v>
      </c>
      <c r="S93" s="648">
        <f t="shared" ref="S93" si="477">SUM(O93:R93)</f>
        <v>0</v>
      </c>
      <c r="T93" s="649"/>
      <c r="U93" s="609">
        <v>0</v>
      </c>
      <c r="V93" s="610">
        <v>0</v>
      </c>
      <c r="W93" s="610">
        <v>0</v>
      </c>
      <c r="X93" s="608">
        <v>0</v>
      </c>
      <c r="Y93" s="648">
        <f t="shared" ref="Y93" si="478">SUM(U93:X93)</f>
        <v>0</v>
      </c>
      <c r="Z93" s="649"/>
      <c r="AA93" s="609">
        <v>0</v>
      </c>
      <c r="AB93" s="610">
        <v>0</v>
      </c>
      <c r="AC93" s="610">
        <v>0</v>
      </c>
      <c r="AD93" s="608">
        <v>0</v>
      </c>
      <c r="AE93" s="648">
        <f t="shared" ref="AE93" si="479">SUM(AA93:AD93)</f>
        <v>0</v>
      </c>
      <c r="AF93" s="649"/>
      <c r="AG93" s="609">
        <v>0</v>
      </c>
      <c r="AH93" s="610">
        <v>0</v>
      </c>
      <c r="AI93" s="610">
        <v>0</v>
      </c>
      <c r="AJ93" s="608">
        <v>0</v>
      </c>
      <c r="AK93" s="648">
        <f t="shared" ref="AK93" si="480">SUM(AG93:AJ93)</f>
        <v>0</v>
      </c>
      <c r="AL93" s="649"/>
      <c r="AM93" s="609">
        <v>0</v>
      </c>
      <c r="AN93" s="610">
        <v>0</v>
      </c>
      <c r="AO93" s="610">
        <v>0</v>
      </c>
      <c r="AP93" s="608">
        <v>0</v>
      </c>
      <c r="AQ93" s="648">
        <f t="shared" ref="AQ93" si="481">SUM(AM93:AP93)</f>
        <v>0</v>
      </c>
      <c r="AR93" s="649"/>
      <c r="AS93" s="609">
        <v>0</v>
      </c>
      <c r="AT93" s="610">
        <v>0</v>
      </c>
      <c r="AU93" s="610">
        <v>0</v>
      </c>
      <c r="AV93" s="608">
        <v>0</v>
      </c>
      <c r="AW93" s="648">
        <f t="shared" ref="AW93" si="482">SUM(AS93:AV93)</f>
        <v>0</v>
      </c>
      <c r="AX93" s="649"/>
      <c r="AY93" s="609">
        <v>0</v>
      </c>
      <c r="AZ93" s="610">
        <v>0</v>
      </c>
      <c r="BA93" s="610">
        <v>0</v>
      </c>
      <c r="BB93" s="608">
        <v>0</v>
      </c>
      <c r="BC93" s="648">
        <f t="shared" ref="BC93" si="483">SUM(AY93:BB93)</f>
        <v>0</v>
      </c>
      <c r="BD93" s="649"/>
      <c r="BE93" s="609">
        <v>0</v>
      </c>
      <c r="BF93" s="610">
        <v>0</v>
      </c>
      <c r="BG93" s="610">
        <v>0</v>
      </c>
      <c r="BH93" s="608">
        <v>0</v>
      </c>
      <c r="BI93" s="648">
        <f t="shared" ref="BI93" si="484">SUM(BE93:BH93)</f>
        <v>0</v>
      </c>
      <c r="BJ93" s="649"/>
      <c r="BK93" s="609">
        <v>0</v>
      </c>
      <c r="BL93" s="610">
        <v>0</v>
      </c>
      <c r="BM93" s="610">
        <v>0</v>
      </c>
      <c r="BN93" s="608">
        <v>0</v>
      </c>
      <c r="BO93" s="648">
        <f t="shared" ref="BO93" si="485">SUM(BK93:BN93)</f>
        <v>0</v>
      </c>
      <c r="BP93" s="649"/>
      <c r="BQ93" s="609">
        <v>0</v>
      </c>
      <c r="BR93" s="610">
        <v>0</v>
      </c>
      <c r="BS93" s="610">
        <v>0</v>
      </c>
      <c r="BT93" s="608">
        <v>0</v>
      </c>
      <c r="BU93" s="648">
        <f t="shared" ref="BU93" si="486">SUM(BQ93:BT93)</f>
        <v>0</v>
      </c>
      <c r="BV93" s="649"/>
      <c r="BW93" s="609">
        <v>0</v>
      </c>
      <c r="BX93" s="610">
        <v>0</v>
      </c>
      <c r="BY93" s="610">
        <v>0</v>
      </c>
      <c r="BZ93" s="608">
        <v>0</v>
      </c>
      <c r="CA93" s="648">
        <f t="shared" ref="CA93" si="487">SUM(BW93:BZ93)</f>
        <v>0</v>
      </c>
      <c r="CB93" s="649"/>
      <c r="CC93" s="609">
        <v>0</v>
      </c>
      <c r="CD93" s="610">
        <v>0</v>
      </c>
      <c r="CE93" s="610">
        <v>0</v>
      </c>
      <c r="CF93" s="608">
        <v>0</v>
      </c>
      <c r="CG93" s="648">
        <f t="shared" ref="CG93" si="488">SUM(CC93:CF93)</f>
        <v>0</v>
      </c>
      <c r="CH93" s="649"/>
      <c r="CI93" s="609">
        <v>0</v>
      </c>
      <c r="CJ93" s="610">
        <v>0</v>
      </c>
      <c r="CK93" s="610">
        <v>0</v>
      </c>
      <c r="CL93" s="608">
        <v>0</v>
      </c>
      <c r="CM93" s="648">
        <f t="shared" ref="CM93:CM95" si="489">SUM(CI93:CL93)</f>
        <v>0</v>
      </c>
      <c r="CN93" s="649"/>
      <c r="CO93" s="609">
        <v>0</v>
      </c>
      <c r="CP93" s="610">
        <v>0</v>
      </c>
      <c r="CQ93" s="610">
        <v>0</v>
      </c>
      <c r="CR93" s="608">
        <v>0</v>
      </c>
      <c r="CS93" s="648">
        <f t="shared" ref="CS93:CS95" si="490">SUM(CO93:CR93)</f>
        <v>0</v>
      </c>
      <c r="CT93" s="416"/>
      <c r="CU93" s="400"/>
      <c r="CV93" s="400"/>
      <c r="DC93" s="921"/>
      <c r="DD93" s="921"/>
      <c r="DE93" s="921"/>
      <c r="DF93" s="921"/>
      <c r="DG93" s="921"/>
      <c r="DH93" s="921"/>
      <c r="DI93" s="921"/>
      <c r="DJ93" s="921"/>
      <c r="DK93" s="921"/>
      <c r="DL93" s="921"/>
    </row>
    <row r="94" spans="1:116" hidden="1" outlineLevel="1">
      <c r="A94" s="545" t="s">
        <v>198</v>
      </c>
      <c r="B94" s="417"/>
      <c r="C94" s="605">
        <v>0</v>
      </c>
      <c r="D94" s="606">
        <v>0</v>
      </c>
      <c r="E94" s="606">
        <v>0</v>
      </c>
      <c r="F94" s="606">
        <v>0</v>
      </c>
      <c r="G94" s="648">
        <f>SUM(C94:F94)</f>
        <v>0</v>
      </c>
      <c r="H94" s="417"/>
      <c r="I94" s="605">
        <v>0</v>
      </c>
      <c r="J94" s="606">
        <v>0</v>
      </c>
      <c r="K94" s="606">
        <v>0</v>
      </c>
      <c r="L94" s="606">
        <v>0</v>
      </c>
      <c r="M94" s="648">
        <f t="shared" si="440"/>
        <v>0</v>
      </c>
      <c r="N94" s="526"/>
      <c r="O94" s="605">
        <v>0</v>
      </c>
      <c r="P94" s="606">
        <v>0</v>
      </c>
      <c r="Q94" s="606">
        <v>0</v>
      </c>
      <c r="R94" s="607">
        <f>0-SUM(O94:Q94)</f>
        <v>0</v>
      </c>
      <c r="S94" s="648">
        <f t="shared" si="441"/>
        <v>0</v>
      </c>
      <c r="T94" s="417"/>
      <c r="U94" s="605">
        <v>0</v>
      </c>
      <c r="V94" s="606">
        <v>0</v>
      </c>
      <c r="W94" s="606">
        <v>0</v>
      </c>
      <c r="X94" s="607">
        <f>0-SUM(U94:W94)</f>
        <v>0</v>
      </c>
      <c r="Y94" s="648">
        <f t="shared" si="442"/>
        <v>0</v>
      </c>
      <c r="Z94" s="417"/>
      <c r="AA94" s="605">
        <v>-0.68799999999999994</v>
      </c>
      <c r="AB94" s="606">
        <v>-0.85099999999999998</v>
      </c>
      <c r="AC94" s="606">
        <v>0.27900000000000003</v>
      </c>
      <c r="AD94" s="607">
        <f>-1.258-SUM(AA94:AC94)</f>
        <v>1.9999999999997797E-3</v>
      </c>
      <c r="AE94" s="648">
        <f t="shared" si="443"/>
        <v>-1.258</v>
      </c>
      <c r="AF94" s="417"/>
      <c r="AG94" s="605">
        <v>-2.36</v>
      </c>
      <c r="AH94" s="606">
        <v>0.51600000000000001</v>
      </c>
      <c r="AI94" s="606">
        <v>-0.74199999999999999</v>
      </c>
      <c r="AJ94" s="607">
        <v>-3.1459999999999999</v>
      </c>
      <c r="AK94" s="648">
        <f t="shared" si="444"/>
        <v>-5.7319999999999993</v>
      </c>
      <c r="AL94" s="649"/>
      <c r="AM94" s="605">
        <v>-2.9289999999999998</v>
      </c>
      <c r="AN94" s="606">
        <v>-2.4260000000000002</v>
      </c>
      <c r="AO94" s="606">
        <v>-2.3370000000000002</v>
      </c>
      <c r="AP94" s="607">
        <v>-5.3739999999999997</v>
      </c>
      <c r="AQ94" s="648">
        <f t="shared" si="445"/>
        <v>-13.065999999999999</v>
      </c>
      <c r="AR94" s="649"/>
      <c r="AS94" s="605">
        <v>-2.7559999999999998</v>
      </c>
      <c r="AT94" s="606">
        <v>0</v>
      </c>
      <c r="AU94" s="606">
        <v>0</v>
      </c>
      <c r="AV94" s="606">
        <v>0</v>
      </c>
      <c r="AW94" s="648">
        <f t="shared" si="446"/>
        <v>-2.7559999999999998</v>
      </c>
      <c r="AX94" s="649"/>
      <c r="AY94" s="605">
        <v>0</v>
      </c>
      <c r="AZ94" s="606">
        <v>0</v>
      </c>
      <c r="BA94" s="606">
        <v>-0.20499999999999999</v>
      </c>
      <c r="BB94" s="606">
        <v>-0.60199999999999998</v>
      </c>
      <c r="BC94" s="648">
        <f>SUM(AY94:BB94)</f>
        <v>-0.80699999999999994</v>
      </c>
      <c r="BD94" s="649"/>
      <c r="BE94" s="605">
        <v>-0.59199999999999997</v>
      </c>
      <c r="BF94" s="2335">
        <v>-0.58499999999999996</v>
      </c>
      <c r="BG94" s="2335">
        <v>-0.58299999999999996</v>
      </c>
      <c r="BH94" s="606">
        <v>-1.464</v>
      </c>
      <c r="BI94" s="648">
        <f>SUM(BE94:BH94)</f>
        <v>-3.2240000000000002</v>
      </c>
      <c r="BJ94" s="649"/>
      <c r="BK94" s="605">
        <f>1-10</f>
        <v>-9</v>
      </c>
      <c r="BL94" s="2335">
        <v>0</v>
      </c>
      <c r="BM94" s="2335">
        <v>0</v>
      </c>
      <c r="BN94" s="606">
        <v>-2</v>
      </c>
      <c r="BO94" s="648">
        <f>SUM(BK94:BN94)</f>
        <v>-11</v>
      </c>
      <c r="BP94" s="649"/>
      <c r="BQ94" s="605">
        <v>-4</v>
      </c>
      <c r="BR94" s="653">
        <v>0</v>
      </c>
      <c r="BS94" s="653">
        <v>0</v>
      </c>
      <c r="BT94" s="651">
        <v>0</v>
      </c>
      <c r="BU94" s="648">
        <f>SUM(BQ94:BT94)</f>
        <v>-4</v>
      </c>
      <c r="BV94" s="649"/>
      <c r="BW94" s="652">
        <v>0</v>
      </c>
      <c r="BX94" s="653">
        <v>0</v>
      </c>
      <c r="BY94" s="653">
        <v>0</v>
      </c>
      <c r="BZ94" s="651">
        <v>0</v>
      </c>
      <c r="CA94" s="648">
        <f>SUM(BW94:BZ94)</f>
        <v>0</v>
      </c>
      <c r="CB94" s="649"/>
      <c r="CC94" s="652">
        <v>0</v>
      </c>
      <c r="CD94" s="653">
        <v>0</v>
      </c>
      <c r="CE94" s="653">
        <v>0</v>
      </c>
      <c r="CF94" s="651">
        <v>0</v>
      </c>
      <c r="CG94" s="648">
        <f>SUM(CC94:CF94)</f>
        <v>0</v>
      </c>
      <c r="CH94" s="649"/>
      <c r="CI94" s="652">
        <v>0</v>
      </c>
      <c r="CJ94" s="653">
        <v>0</v>
      </c>
      <c r="CK94" s="653">
        <v>0</v>
      </c>
      <c r="CL94" s="651">
        <v>0</v>
      </c>
      <c r="CM94" s="648">
        <f t="shared" si="489"/>
        <v>0</v>
      </c>
      <c r="CN94" s="649"/>
      <c r="CO94" s="652">
        <v>0</v>
      </c>
      <c r="CP94" s="653">
        <v>0</v>
      </c>
      <c r="CQ94" s="653">
        <v>0</v>
      </c>
      <c r="CR94" s="651">
        <v>0</v>
      </c>
      <c r="CS94" s="648">
        <f t="shared" si="490"/>
        <v>0</v>
      </c>
      <c r="CT94" s="416"/>
      <c r="CU94" s="400"/>
      <c r="CV94" s="400"/>
      <c r="DC94" s="921"/>
      <c r="DD94" s="921"/>
      <c r="DE94" s="921"/>
      <c r="DF94" s="921"/>
      <c r="DG94" s="921"/>
      <c r="DH94" s="921"/>
      <c r="DI94" s="921"/>
      <c r="DJ94" s="921"/>
      <c r="DK94" s="921"/>
      <c r="DL94" s="921"/>
    </row>
    <row r="95" spans="1:116" hidden="1" outlineLevel="1">
      <c r="A95" s="545" t="s">
        <v>191</v>
      </c>
      <c r="B95" s="417"/>
      <c r="C95" s="605">
        <v>0</v>
      </c>
      <c r="D95" s="606">
        <v>0</v>
      </c>
      <c r="E95" s="606">
        <v>0</v>
      </c>
      <c r="F95" s="606">
        <v>0</v>
      </c>
      <c r="G95" s="648">
        <f>SUM(C95:F95)</f>
        <v>0</v>
      </c>
      <c r="H95" s="417"/>
      <c r="I95" s="605">
        <v>0</v>
      </c>
      <c r="J95" s="606">
        <v>0</v>
      </c>
      <c r="K95" s="606">
        <v>0</v>
      </c>
      <c r="L95" s="606">
        <v>0</v>
      </c>
      <c r="M95" s="648">
        <f t="shared" si="440"/>
        <v>0</v>
      </c>
      <c r="N95" s="526"/>
      <c r="O95" s="605">
        <v>0</v>
      </c>
      <c r="P95" s="606">
        <v>0</v>
      </c>
      <c r="Q95" s="606">
        <v>0</v>
      </c>
      <c r="R95" s="607">
        <f>0-SUM(O95:Q95)</f>
        <v>0</v>
      </c>
      <c r="S95" s="648">
        <f t="shared" si="441"/>
        <v>0</v>
      </c>
      <c r="T95" s="417"/>
      <c r="U95" s="605">
        <v>0</v>
      </c>
      <c r="V95" s="606">
        <v>0</v>
      </c>
      <c r="W95" s="606">
        <v>0</v>
      </c>
      <c r="X95" s="607">
        <f>0-SUM(U95:W95)</f>
        <v>0</v>
      </c>
      <c r="Y95" s="648">
        <f t="shared" si="442"/>
        <v>0</v>
      </c>
      <c r="Z95" s="417"/>
      <c r="AA95" s="605">
        <v>0</v>
      </c>
      <c r="AB95" s="606">
        <v>-0.29299999999999998</v>
      </c>
      <c r="AC95" s="606">
        <v>-0.152</v>
      </c>
      <c r="AD95" s="607">
        <f>2.3-0.598-SUM(AA95:AC95)</f>
        <v>2.1469999999999998</v>
      </c>
      <c r="AE95" s="648">
        <f t="shared" si="443"/>
        <v>1.702</v>
      </c>
      <c r="AF95" s="417"/>
      <c r="AG95" s="605">
        <v>-0.152</v>
      </c>
      <c r="AH95" s="606">
        <f>-0.152</f>
        <v>-0.152</v>
      </c>
      <c r="AI95" s="606">
        <f>-0.152</f>
        <v>-0.152</v>
      </c>
      <c r="AJ95" s="607">
        <v>-0.93200000000000005</v>
      </c>
      <c r="AK95" s="648">
        <f t="shared" si="444"/>
        <v>-1.3879999999999999</v>
      </c>
      <c r="AL95" s="649"/>
      <c r="AM95" s="605">
        <v>-1.581</v>
      </c>
      <c r="AN95" s="606">
        <v>-2.2210000000000001</v>
      </c>
      <c r="AO95" s="606">
        <v>-3.59</v>
      </c>
      <c r="AP95" s="607">
        <v>-3.69</v>
      </c>
      <c r="AQ95" s="648">
        <f t="shared" si="445"/>
        <v>-11.081999999999999</v>
      </c>
      <c r="AR95" s="649"/>
      <c r="AS95" s="605">
        <v>-3.6560000000000001</v>
      </c>
      <c r="AT95" s="606">
        <v>-1.962</v>
      </c>
      <c r="AU95" s="606">
        <v>-1.587</v>
      </c>
      <c r="AV95" s="606">
        <v>-15.87</v>
      </c>
      <c r="AW95" s="648">
        <f t="shared" si="446"/>
        <v>-23.074999999999999</v>
      </c>
      <c r="AX95" s="649"/>
      <c r="AY95" s="605">
        <v>-1.502</v>
      </c>
      <c r="AZ95" s="606">
        <v>-1.3879999999999999</v>
      </c>
      <c r="BA95" s="606">
        <v>-1.6060000000000001</v>
      </c>
      <c r="BB95" s="606">
        <v>-1.5229999999999999</v>
      </c>
      <c r="BC95" s="648">
        <f>SUM(AY95:BB95)</f>
        <v>-6.0189999999999992</v>
      </c>
      <c r="BD95" s="649"/>
      <c r="BE95" s="605">
        <v>-1.53</v>
      </c>
      <c r="BF95" s="2335">
        <v>-1.5629999999999999</v>
      </c>
      <c r="BG95" s="2335">
        <v>-1.4630000000000001</v>
      </c>
      <c r="BH95" s="606">
        <v>0.24</v>
      </c>
      <c r="BI95" s="648">
        <f>SUM(BE95:BH95)</f>
        <v>-4.3159999999999998</v>
      </c>
      <c r="BJ95" s="649"/>
      <c r="BK95" s="605">
        <v>-2</v>
      </c>
      <c r="BL95" s="2335">
        <v>-2</v>
      </c>
      <c r="BM95" s="2335">
        <v>-2</v>
      </c>
      <c r="BN95" s="606">
        <v>-1</v>
      </c>
      <c r="BO95" s="648">
        <f>SUM(BK95:BN95)</f>
        <v>-7</v>
      </c>
      <c r="BP95" s="649"/>
      <c r="BQ95" s="605">
        <v>-1</v>
      </c>
      <c r="BR95" s="653">
        <v>0</v>
      </c>
      <c r="BS95" s="653">
        <v>0</v>
      </c>
      <c r="BT95" s="651">
        <v>0</v>
      </c>
      <c r="BU95" s="648">
        <f>SUM(BQ95:BT95)</f>
        <v>-1</v>
      </c>
      <c r="BV95" s="649"/>
      <c r="BW95" s="652">
        <v>0</v>
      </c>
      <c r="BX95" s="653">
        <v>0</v>
      </c>
      <c r="BY95" s="653">
        <v>0</v>
      </c>
      <c r="BZ95" s="651">
        <v>0</v>
      </c>
      <c r="CA95" s="648">
        <f>SUM(BW95:BZ95)</f>
        <v>0</v>
      </c>
      <c r="CB95" s="649"/>
      <c r="CC95" s="652">
        <v>0</v>
      </c>
      <c r="CD95" s="653">
        <v>0</v>
      </c>
      <c r="CE95" s="653">
        <v>0</v>
      </c>
      <c r="CF95" s="651">
        <v>0</v>
      </c>
      <c r="CG95" s="648">
        <f>SUM(CC95:CF95)</f>
        <v>0</v>
      </c>
      <c r="CH95" s="649"/>
      <c r="CI95" s="652">
        <v>0</v>
      </c>
      <c r="CJ95" s="653">
        <v>0</v>
      </c>
      <c r="CK95" s="653">
        <v>0</v>
      </c>
      <c r="CL95" s="651">
        <v>0</v>
      </c>
      <c r="CM95" s="648">
        <f t="shared" si="489"/>
        <v>0</v>
      </c>
      <c r="CN95" s="649"/>
      <c r="CO95" s="652">
        <v>0</v>
      </c>
      <c r="CP95" s="653">
        <v>0</v>
      </c>
      <c r="CQ95" s="653">
        <v>0</v>
      </c>
      <c r="CR95" s="651">
        <v>0</v>
      </c>
      <c r="CS95" s="648">
        <f t="shared" si="490"/>
        <v>0</v>
      </c>
      <c r="CT95" s="416"/>
      <c r="CU95" s="400"/>
      <c r="CV95" s="400"/>
      <c r="DC95" s="921"/>
      <c r="DD95" s="921"/>
      <c r="DE95" s="921"/>
      <c r="DF95" s="921"/>
      <c r="DG95" s="921"/>
      <c r="DH95" s="921"/>
      <c r="DI95" s="921"/>
      <c r="DJ95" s="921"/>
      <c r="DK95" s="921"/>
      <c r="DL95" s="921"/>
    </row>
    <row r="96" spans="1:116" collapsed="1">
      <c r="A96" s="545" t="s">
        <v>196</v>
      </c>
      <c r="B96" s="413"/>
      <c r="C96" s="609">
        <f t="shared" ref="C96:AE96" si="491">C92-C93-C94-C95</f>
        <v>23.632999999999999</v>
      </c>
      <c r="D96" s="610">
        <f t="shared" si="491"/>
        <v>23.297000000000001</v>
      </c>
      <c r="E96" s="610">
        <f t="shared" si="491"/>
        <v>24.306999999999999</v>
      </c>
      <c r="F96" s="608">
        <f t="shared" si="491"/>
        <v>30.019000000000005</v>
      </c>
      <c r="G96" s="648">
        <f t="shared" si="491"/>
        <v>101.256</v>
      </c>
      <c r="H96" s="413">
        <f t="shared" si="491"/>
        <v>0</v>
      </c>
      <c r="I96" s="609">
        <f t="shared" si="491"/>
        <v>33.826999999999998</v>
      </c>
      <c r="J96" s="610">
        <f t="shared" si="491"/>
        <v>35.616</v>
      </c>
      <c r="K96" s="610">
        <f t="shared" si="491"/>
        <v>39.365000000000002</v>
      </c>
      <c r="L96" s="610">
        <f t="shared" si="491"/>
        <v>39.206000000000017</v>
      </c>
      <c r="M96" s="648">
        <f t="shared" si="491"/>
        <v>148.01400000000001</v>
      </c>
      <c r="N96" s="650">
        <f t="shared" si="491"/>
        <v>0</v>
      </c>
      <c r="O96" s="609">
        <f t="shared" si="491"/>
        <v>42.831000000000003</v>
      </c>
      <c r="P96" s="610">
        <f t="shared" si="491"/>
        <v>41.939</v>
      </c>
      <c r="Q96" s="610">
        <f t="shared" si="491"/>
        <v>42.095999999999997</v>
      </c>
      <c r="R96" s="608">
        <f t="shared" si="491"/>
        <v>49.470999999999975</v>
      </c>
      <c r="S96" s="648">
        <f t="shared" si="491"/>
        <v>176.33699999999999</v>
      </c>
      <c r="T96" s="417">
        <f t="shared" si="491"/>
        <v>0</v>
      </c>
      <c r="U96" s="609">
        <f t="shared" si="491"/>
        <v>50.277999999999999</v>
      </c>
      <c r="V96" s="610">
        <f t="shared" si="491"/>
        <v>53.134999999999998</v>
      </c>
      <c r="W96" s="610">
        <f t="shared" si="491"/>
        <v>55.006</v>
      </c>
      <c r="X96" s="608">
        <f t="shared" si="491"/>
        <v>62.035000000000025</v>
      </c>
      <c r="Y96" s="648">
        <f t="shared" si="491"/>
        <v>220.45400000000001</v>
      </c>
      <c r="Z96" s="417">
        <f t="shared" si="491"/>
        <v>0</v>
      </c>
      <c r="AA96" s="609">
        <f t="shared" si="491"/>
        <v>65.661000000000001</v>
      </c>
      <c r="AB96" s="610">
        <f t="shared" si="491"/>
        <v>69.233000000000004</v>
      </c>
      <c r="AC96" s="610">
        <f t="shared" si="491"/>
        <v>66.031000000000006</v>
      </c>
      <c r="AD96" s="608">
        <f t="shared" si="491"/>
        <v>60.918000000000006</v>
      </c>
      <c r="AE96" s="648">
        <f t="shared" si="491"/>
        <v>261.84300000000002</v>
      </c>
      <c r="AF96" s="417"/>
      <c r="AG96" s="609">
        <f>AG92-AG93-AG94-AG95</f>
        <v>67.968999999999994</v>
      </c>
      <c r="AH96" s="610">
        <f>AH92-AH93-AH94-AH95</f>
        <v>68.516000000000005</v>
      </c>
      <c r="AI96" s="610">
        <f>AI92-AI93-AI94-AI95</f>
        <v>69.790999999999997</v>
      </c>
      <c r="AJ96" s="608">
        <f>AJ92-AJ93-AJ94-AJ95</f>
        <v>79.715000000000003</v>
      </c>
      <c r="AK96" s="648">
        <f>AK92-AK93-AK94-AK95</f>
        <v>285.99099999999993</v>
      </c>
      <c r="AL96" s="649"/>
      <c r="AM96" s="609">
        <f>AM92-AM93-AM94-AM95</f>
        <v>85.073999999999998</v>
      </c>
      <c r="AN96" s="610">
        <f>AN92-AN93-AN94-AN95</f>
        <v>88.7</v>
      </c>
      <c r="AO96" s="610">
        <f>AO92-AO93-AO94-AO95</f>
        <v>95.617000000000004</v>
      </c>
      <c r="AP96" s="608">
        <f>AP92-AP93-AP94-AP95</f>
        <v>111.649</v>
      </c>
      <c r="AQ96" s="648">
        <f>AQ92-AQ93-AQ94-AQ95</f>
        <v>381.03999999999996</v>
      </c>
      <c r="AR96" s="649"/>
      <c r="AS96" s="609">
        <f>AS92-AS93-AS94-AS95</f>
        <v>109.57299999999999</v>
      </c>
      <c r="AT96" s="610">
        <f>AT92-AT93-AT94-AT95</f>
        <v>114.649</v>
      </c>
      <c r="AU96" s="610">
        <f>AU92-AU93-AU94-AU95</f>
        <v>119.88800000000001</v>
      </c>
      <c r="AV96" s="610">
        <f>AV92-AV93-AV94-AV95</f>
        <v>136.45599999999999</v>
      </c>
      <c r="AW96" s="648">
        <f>AW92-AW93-AW94-AW95</f>
        <v>480.56599999999997</v>
      </c>
      <c r="AX96" s="649"/>
      <c r="AY96" s="609">
        <f>AY92-AY93-AY94-AY95</f>
        <v>116.31699999999999</v>
      </c>
      <c r="AZ96" s="610">
        <f>AZ92-AZ93-AZ94-AZ95</f>
        <v>124.441</v>
      </c>
      <c r="BA96" s="610">
        <f>BA92-BA93-BA94-BA95</f>
        <v>136.648</v>
      </c>
      <c r="BB96" s="610">
        <f>BB92-BB93-BB94-BB95</f>
        <v>147.251</v>
      </c>
      <c r="BC96" s="648">
        <f>BC92-BC93-BC94-BC95</f>
        <v>524.65700000000004</v>
      </c>
      <c r="BD96" s="649"/>
      <c r="BE96" s="609">
        <f>BE92-BE93-BE94-BE95</f>
        <v>149.125</v>
      </c>
      <c r="BF96" s="610">
        <f>BF92-BF93-BF94-BF95</f>
        <v>148.535</v>
      </c>
      <c r="BG96" s="610">
        <f>BG92-BG93-BG94-BG95</f>
        <v>139.14599999999999</v>
      </c>
      <c r="BH96" s="610">
        <f>BH92-BH93-BH94-BH95</f>
        <v>146.09100000000001</v>
      </c>
      <c r="BI96" s="648">
        <f>BI92-BI93-BI94-BI95</f>
        <v>582.89700000000005</v>
      </c>
      <c r="BJ96" s="649"/>
      <c r="BK96" s="609">
        <f>BK92-BK93-BK94-BK95</f>
        <v>163</v>
      </c>
      <c r="BL96" s="610">
        <f>BL92-BL93-BL94-BL95</f>
        <v>168.6</v>
      </c>
      <c r="BM96" s="610">
        <f>BM92-BM93-BM94-BM95</f>
        <v>167.94</v>
      </c>
      <c r="BN96" s="610">
        <f>BN92-BN93-BN94-BN95</f>
        <v>175.24</v>
      </c>
      <c r="BO96" s="648">
        <f>BO92-BO93-BO94-BO95</f>
        <v>674.78</v>
      </c>
      <c r="BP96" s="649"/>
      <c r="BQ96" s="609">
        <f>BQ92-BQ93-BQ94-BQ95</f>
        <v>184</v>
      </c>
      <c r="BR96" s="610">
        <f>BR92-BR93-BR94-BR95</f>
        <v>197.60804244751625</v>
      </c>
      <c r="BS96" s="610">
        <f>BS92-BS93-BS94-BS95</f>
        <v>199.40497049897056</v>
      </c>
      <c r="BT96" s="608">
        <f>BT92-BT93-BT94-BT95</f>
        <v>205.87794115697173</v>
      </c>
      <c r="BU96" s="648">
        <f>BU92-BU93-BU94-BU95</f>
        <v>786.89095410345851</v>
      </c>
      <c r="BV96" s="649"/>
      <c r="BW96" s="609">
        <f>BW92-BW93-BW94-BW95</f>
        <v>200.62547436109625</v>
      </c>
      <c r="BX96" s="610">
        <f>BX92-BX93-BX94-BX95</f>
        <v>216.68570903499079</v>
      </c>
      <c r="BY96" s="610">
        <f>BY92-BY93-BY94-BY95</f>
        <v>217.42994884963096</v>
      </c>
      <c r="BZ96" s="608">
        <f>BZ92-BZ93-BZ94-BZ95</f>
        <v>223.95002645261584</v>
      </c>
      <c r="CA96" s="648">
        <f>CA92-CA93-CA94-CA95</f>
        <v>858.69115869833377</v>
      </c>
      <c r="CB96" s="649"/>
      <c r="CC96" s="609">
        <f>CC92-CC93-CC94-CC95</f>
        <v>221.96079326636078</v>
      </c>
      <c r="CD96" s="610">
        <f>CD92-CD93-CD94-CD95</f>
        <v>237.94431507300948</v>
      </c>
      <c r="CE96" s="610">
        <f>CE92-CE93-CE94-CE95</f>
        <v>238.68669274185407</v>
      </c>
      <c r="CF96" s="608">
        <f>CF92-CF93-CF94-CF95</f>
        <v>246.17320293525637</v>
      </c>
      <c r="CG96" s="648">
        <f>CG92-CG93-CG94-CG95</f>
        <v>944.76500401648059</v>
      </c>
      <c r="CH96" s="649"/>
      <c r="CI96" s="609">
        <f t="shared" ref="CI96:CM96" si="492">CI92-CI93-CI94-CI95</f>
        <v>246.17945286496663</v>
      </c>
      <c r="CJ96" s="610">
        <f t="shared" si="492"/>
        <v>261.66255035408994</v>
      </c>
      <c r="CK96" s="610">
        <f t="shared" si="492"/>
        <v>262.32100020173186</v>
      </c>
      <c r="CL96" s="608">
        <f t="shared" si="492"/>
        <v>271.20259056295305</v>
      </c>
      <c r="CM96" s="648">
        <f t="shared" si="492"/>
        <v>1041.3655939837415</v>
      </c>
      <c r="CN96" s="649"/>
      <c r="CO96" s="609">
        <f t="shared" ref="CO96:CS96" si="493">CO92-CO93-CO94-CO95</f>
        <v>271.86951893020199</v>
      </c>
      <c r="CP96" s="610">
        <f t="shared" si="493"/>
        <v>287.81890883445783</v>
      </c>
      <c r="CQ96" s="610">
        <f t="shared" si="493"/>
        <v>289.58026789543391</v>
      </c>
      <c r="CR96" s="608">
        <f t="shared" si="493"/>
        <v>299.72246106845239</v>
      </c>
      <c r="CS96" s="648">
        <f t="shared" si="493"/>
        <v>1148.9911567285462</v>
      </c>
      <c r="CT96" s="926"/>
      <c r="CU96" s="927"/>
      <c r="CV96" s="927"/>
      <c r="DC96" s="921"/>
      <c r="DD96" s="921"/>
      <c r="DE96" s="921"/>
      <c r="DF96" s="921"/>
      <c r="DG96" s="921"/>
      <c r="DH96" s="921"/>
      <c r="DI96" s="921"/>
      <c r="DJ96" s="921"/>
      <c r="DK96" s="921"/>
      <c r="DL96" s="921"/>
    </row>
    <row r="97" spans="1:116" s="3" customFormat="1" hidden="1" outlineLevel="1">
      <c r="A97" s="927" t="s">
        <v>201</v>
      </c>
      <c r="B97" s="413"/>
      <c r="C97" s="2526">
        <f t="shared" ref="C97:AE97" si="494">C20</f>
        <v>8.257000000000005</v>
      </c>
      <c r="D97" s="2527">
        <f t="shared" si="494"/>
        <v>13.038999999999994</v>
      </c>
      <c r="E97" s="2527">
        <f t="shared" si="494"/>
        <v>16.372</v>
      </c>
      <c r="F97" s="2528">
        <f t="shared" si="494"/>
        <v>22.438000000000017</v>
      </c>
      <c r="G97" s="2529">
        <f t="shared" si="494"/>
        <v>60.106000000000023</v>
      </c>
      <c r="H97" s="413">
        <f t="shared" si="494"/>
        <v>0</v>
      </c>
      <c r="I97" s="2526">
        <f t="shared" si="494"/>
        <v>21.389000000000003</v>
      </c>
      <c r="J97" s="2527">
        <f t="shared" si="494"/>
        <v>30.608999999999995</v>
      </c>
      <c r="K97" s="2527">
        <f t="shared" si="494"/>
        <v>29.511999999999986</v>
      </c>
      <c r="L97" s="2528">
        <f t="shared" si="494"/>
        <v>39.645000000000024</v>
      </c>
      <c r="M97" s="2529">
        <f t="shared" si="494"/>
        <v>121.155</v>
      </c>
      <c r="N97" s="650">
        <f t="shared" si="494"/>
        <v>0</v>
      </c>
      <c r="O97" s="2526">
        <f t="shared" si="494"/>
        <v>39.097000000000008</v>
      </c>
      <c r="P97" s="2527">
        <f t="shared" si="494"/>
        <v>38.691000000000003</v>
      </c>
      <c r="Q97" s="2527">
        <f t="shared" si="494"/>
        <v>33.213000000000022</v>
      </c>
      <c r="R97" s="2528">
        <f t="shared" si="494"/>
        <v>38.275999999999982</v>
      </c>
      <c r="S97" s="2529">
        <f t="shared" si="494"/>
        <v>149.27700000000004</v>
      </c>
      <c r="T97" s="2530">
        <f t="shared" si="494"/>
        <v>0</v>
      </c>
      <c r="U97" s="2526">
        <f t="shared" si="494"/>
        <v>40.76400000000001</v>
      </c>
      <c r="V97" s="2527">
        <f t="shared" si="494"/>
        <v>51.802999999999997</v>
      </c>
      <c r="W97" s="2527">
        <f t="shared" si="494"/>
        <v>60.548999999999992</v>
      </c>
      <c r="X97" s="2528">
        <f t="shared" si="494"/>
        <v>61.502999999999986</v>
      </c>
      <c r="Y97" s="2529">
        <f t="shared" si="494"/>
        <v>214.61900000000003</v>
      </c>
      <c r="Z97" s="2530">
        <f t="shared" si="494"/>
        <v>0</v>
      </c>
      <c r="AA97" s="2526">
        <f t="shared" si="494"/>
        <v>77.288999999999987</v>
      </c>
      <c r="AB97" s="2527">
        <f t="shared" si="494"/>
        <v>79.355999999999995</v>
      </c>
      <c r="AC97" s="2527">
        <f t="shared" si="494"/>
        <v>44.367999999999995</v>
      </c>
      <c r="AD97" s="2528">
        <f t="shared" si="494"/>
        <v>65.774999999999949</v>
      </c>
      <c r="AE97" s="2529">
        <f t="shared" si="494"/>
        <v>266.78799999999978</v>
      </c>
      <c r="AF97" s="413"/>
      <c r="AG97" s="2526">
        <f>AG20</f>
        <v>72.712999999999994</v>
      </c>
      <c r="AH97" s="2527">
        <f>AH20</f>
        <v>78.903999999999954</v>
      </c>
      <c r="AI97" s="2527">
        <f>AI20</f>
        <v>77.262000000000029</v>
      </c>
      <c r="AJ97" s="2528">
        <f>AJ20</f>
        <v>78.241000000000014</v>
      </c>
      <c r="AK97" s="2529">
        <f>AK20</f>
        <v>307.12000000000012</v>
      </c>
      <c r="AL97" s="2530"/>
      <c r="AM97" s="2526">
        <f>AM20</f>
        <v>85.844000000000023</v>
      </c>
      <c r="AN97" s="2527">
        <f>AN20</f>
        <v>87.211000000000013</v>
      </c>
      <c r="AO97" s="2527">
        <f>AO20</f>
        <v>88.176000000000045</v>
      </c>
      <c r="AP97" s="2528">
        <f>AP20</f>
        <v>95.172000000000025</v>
      </c>
      <c r="AQ97" s="2529">
        <f>AQ20</f>
        <v>356.40300000000013</v>
      </c>
      <c r="AR97" s="2530"/>
      <c r="AS97" s="2526">
        <f>AS20</f>
        <v>113.55500000000001</v>
      </c>
      <c r="AT97" s="2527">
        <f>AT20</f>
        <v>119.726</v>
      </c>
      <c r="AU97" s="2527">
        <f>AU20</f>
        <v>145.91500000000002</v>
      </c>
      <c r="AV97" s="2527">
        <f>AV20</f>
        <v>154.52799999999999</v>
      </c>
      <c r="AW97" s="2529">
        <f>AW20</f>
        <v>533.72399999999959</v>
      </c>
      <c r="AX97" s="2530"/>
      <c r="AY97" s="2526">
        <f>AY20</f>
        <v>179.82500000000005</v>
      </c>
      <c r="AZ97" s="2527">
        <f>AZ20</f>
        <v>168.5139999999999</v>
      </c>
      <c r="BA97" s="2527">
        <f>BA20</f>
        <v>165.70799999999997</v>
      </c>
      <c r="BB97" s="2527">
        <f>BB20</f>
        <v>161.822</v>
      </c>
      <c r="BC97" s="2529">
        <f>BC20</f>
        <v>675.86899999999969</v>
      </c>
      <c r="BD97" s="2530"/>
      <c r="BE97" s="2526">
        <f>BE20</f>
        <v>136.55300000000011</v>
      </c>
      <c r="BF97" s="2527">
        <f>BF20</f>
        <v>163.48700000000002</v>
      </c>
      <c r="BG97" s="2527">
        <f>BG20</f>
        <v>174.20100000000002</v>
      </c>
      <c r="BH97" s="2527">
        <f>BH20</f>
        <v>155.60400000000004</v>
      </c>
      <c r="BI97" s="2529">
        <f>BI20</f>
        <v>629.84500000000048</v>
      </c>
      <c r="BJ97" s="2530"/>
      <c r="BK97" s="2526">
        <f>BK20</f>
        <v>105</v>
      </c>
      <c r="BL97" s="2527">
        <f>BL20</f>
        <v>146.69999999999999</v>
      </c>
      <c r="BM97" s="2527">
        <f>BM20</f>
        <v>191.62</v>
      </c>
      <c r="BN97" s="2527">
        <f>BN20</f>
        <v>244.12000000000012</v>
      </c>
      <c r="BO97" s="2529">
        <f>BO20</f>
        <v>687.44000000000028</v>
      </c>
      <c r="BP97" s="2530"/>
      <c r="BQ97" s="2526">
        <f>BQ20</f>
        <v>230</v>
      </c>
      <c r="BR97" s="2527">
        <f>BR20</f>
        <v>187.93275572115658</v>
      </c>
      <c r="BS97" s="2527">
        <f>BS20</f>
        <v>195.84441653084184</v>
      </c>
      <c r="BT97" s="2528">
        <f>BT20</f>
        <v>208.58529242155095</v>
      </c>
      <c r="BU97" s="2529">
        <f>BU20</f>
        <v>822.36246467354977</v>
      </c>
      <c r="BV97" s="2530"/>
      <c r="BW97" s="2526">
        <f>BW20</f>
        <v>252.09286495413642</v>
      </c>
      <c r="BX97" s="2527">
        <f>BX20</f>
        <v>203.92126569826451</v>
      </c>
      <c r="BY97" s="2527">
        <f>BY20</f>
        <v>211.926350607139</v>
      </c>
      <c r="BZ97" s="2528">
        <f>BZ20</f>
        <v>224.68861136164696</v>
      </c>
      <c r="CA97" s="2529">
        <f>CA20</f>
        <v>892.62909262118751</v>
      </c>
      <c r="CB97" s="2530"/>
      <c r="CC97" s="2526">
        <f>CC20</f>
        <v>275.03727002790799</v>
      </c>
      <c r="CD97" s="2527">
        <f>CD20</f>
        <v>222.80515168357977</v>
      </c>
      <c r="CE97" s="2527">
        <f>CE20</f>
        <v>231.66803053737885</v>
      </c>
      <c r="CF97" s="2528">
        <f>CF20</f>
        <v>245.77820689869918</v>
      </c>
      <c r="CG97" s="2529">
        <f>CG20</f>
        <v>975.2886591475658</v>
      </c>
      <c r="CH97" s="2530"/>
      <c r="CI97" s="2526">
        <f t="shared" ref="CI97:CM97" si="495">CI20</f>
        <v>300.32697336696424</v>
      </c>
      <c r="CJ97" s="2527">
        <f t="shared" si="495"/>
        <v>243.62167774259967</v>
      </c>
      <c r="CK97" s="2527">
        <f t="shared" si="495"/>
        <v>253.24751475872301</v>
      </c>
      <c r="CL97" s="2528">
        <f t="shared" si="495"/>
        <v>269.3194797906952</v>
      </c>
      <c r="CM97" s="2529">
        <f t="shared" si="495"/>
        <v>1066.5156456589825</v>
      </c>
      <c r="CN97" s="2530"/>
      <c r="CO97" s="2526">
        <f t="shared" ref="CO97:CS97" si="496">CO20</f>
        <v>327.85714141024164</v>
      </c>
      <c r="CP97" s="2527">
        <f t="shared" si="496"/>
        <v>268.78692321603125</v>
      </c>
      <c r="CQ97" s="2527">
        <f t="shared" si="496"/>
        <v>280.65815280451329</v>
      </c>
      <c r="CR97" s="2528">
        <f t="shared" si="496"/>
        <v>298.65527028737665</v>
      </c>
      <c r="CS97" s="2529">
        <f t="shared" si="496"/>
        <v>1175.9574877181626</v>
      </c>
      <c r="CT97" s="926"/>
      <c r="CU97" s="927"/>
      <c r="CV97" s="927"/>
      <c r="CW97"/>
      <c r="CX97"/>
      <c r="CY97"/>
      <c r="CZ97"/>
      <c r="DA97"/>
      <c r="DB97"/>
      <c r="DC97" s="928"/>
      <c r="DD97" s="928"/>
      <c r="DE97" s="928"/>
      <c r="DF97" s="928"/>
      <c r="DG97" s="928"/>
      <c r="DH97" s="928"/>
      <c r="DI97" s="928"/>
      <c r="DJ97" s="928"/>
      <c r="DK97" s="928"/>
      <c r="DL97" s="928"/>
    </row>
    <row r="98" spans="1:116" hidden="1" outlineLevel="1">
      <c r="A98" s="545" t="s">
        <v>190</v>
      </c>
      <c r="B98" s="649"/>
      <c r="C98" s="609">
        <v>0</v>
      </c>
      <c r="D98" s="610">
        <f>+C98</f>
        <v>0</v>
      </c>
      <c r="E98" s="610">
        <f>+D98</f>
        <v>0</v>
      </c>
      <c r="F98" s="608">
        <f>+E98</f>
        <v>0</v>
      </c>
      <c r="G98" s="648">
        <f>SUM(C98:F98)</f>
        <v>0</v>
      </c>
      <c r="H98" s="649"/>
      <c r="I98" s="609">
        <v>0</v>
      </c>
      <c r="J98" s="610">
        <f t="shared" ref="J98:L98" si="497">+I98</f>
        <v>0</v>
      </c>
      <c r="K98" s="610">
        <f t="shared" si="497"/>
        <v>0</v>
      </c>
      <c r="L98" s="608">
        <f t="shared" si="497"/>
        <v>0</v>
      </c>
      <c r="M98" s="648">
        <f t="shared" ref="M98" si="498">SUM(I98:L98)</f>
        <v>0</v>
      </c>
      <c r="N98" s="649"/>
      <c r="O98" s="609">
        <v>0</v>
      </c>
      <c r="P98" s="610">
        <f t="shared" ref="P98:R98" si="499">+O98</f>
        <v>0</v>
      </c>
      <c r="Q98" s="610">
        <f t="shared" si="499"/>
        <v>0</v>
      </c>
      <c r="R98" s="608">
        <f t="shared" si="499"/>
        <v>0</v>
      </c>
      <c r="S98" s="648">
        <f t="shared" ref="S98" si="500">SUM(O98:R98)</f>
        <v>0</v>
      </c>
      <c r="T98" s="649"/>
      <c r="U98" s="609">
        <v>0</v>
      </c>
      <c r="V98" s="610">
        <f t="shared" ref="V98:X98" si="501">+U98</f>
        <v>0</v>
      </c>
      <c r="W98" s="610">
        <f t="shared" si="501"/>
        <v>0</v>
      </c>
      <c r="X98" s="608">
        <f t="shared" si="501"/>
        <v>0</v>
      </c>
      <c r="Y98" s="648">
        <f t="shared" ref="Y98" si="502">SUM(U98:X98)</f>
        <v>0</v>
      </c>
      <c r="Z98" s="649"/>
      <c r="AA98" s="609">
        <v>0</v>
      </c>
      <c r="AB98" s="610">
        <f t="shared" ref="AB98:AD98" si="503">+AA98</f>
        <v>0</v>
      </c>
      <c r="AC98" s="610">
        <f t="shared" si="503"/>
        <v>0</v>
      </c>
      <c r="AD98" s="608">
        <f t="shared" si="503"/>
        <v>0</v>
      </c>
      <c r="AE98" s="648">
        <f t="shared" ref="AE98" si="504">SUM(AA98:AD98)</f>
        <v>0</v>
      </c>
      <c r="AF98" s="649"/>
      <c r="AG98" s="609">
        <v>0</v>
      </c>
      <c r="AH98" s="610">
        <f t="shared" ref="AH98:AJ98" si="505">+AG98</f>
        <v>0</v>
      </c>
      <c r="AI98" s="610">
        <f t="shared" si="505"/>
        <v>0</v>
      </c>
      <c r="AJ98" s="608">
        <f t="shared" si="505"/>
        <v>0</v>
      </c>
      <c r="AK98" s="648">
        <f t="shared" ref="AK98" si="506">SUM(AG98:AJ98)</f>
        <v>0</v>
      </c>
      <c r="AL98" s="649"/>
      <c r="AM98" s="609">
        <v>0</v>
      </c>
      <c r="AN98" s="610">
        <f t="shared" ref="AN98:AP98" si="507">+AM98</f>
        <v>0</v>
      </c>
      <c r="AO98" s="610">
        <f t="shared" si="507"/>
        <v>0</v>
      </c>
      <c r="AP98" s="608">
        <f t="shared" si="507"/>
        <v>0</v>
      </c>
      <c r="AQ98" s="648">
        <f t="shared" ref="AQ98" si="508">SUM(AM98:AP98)</f>
        <v>0</v>
      </c>
      <c r="AR98" s="649"/>
      <c r="AS98" s="609">
        <v>0</v>
      </c>
      <c r="AT98" s="610">
        <f t="shared" ref="AT98:AV98" si="509">+AS98</f>
        <v>0</v>
      </c>
      <c r="AU98" s="610">
        <f t="shared" si="509"/>
        <v>0</v>
      </c>
      <c r="AV98" s="608">
        <f t="shared" si="509"/>
        <v>0</v>
      </c>
      <c r="AW98" s="648">
        <f t="shared" ref="AW98" si="510">SUM(AS98:AV98)</f>
        <v>0</v>
      </c>
      <c r="AX98" s="649"/>
      <c r="AY98" s="609">
        <v>0</v>
      </c>
      <c r="AZ98" s="610">
        <f t="shared" ref="AZ98:BB98" si="511">+AY98</f>
        <v>0</v>
      </c>
      <c r="BA98" s="610">
        <f t="shared" si="511"/>
        <v>0</v>
      </c>
      <c r="BB98" s="608">
        <f t="shared" si="511"/>
        <v>0</v>
      </c>
      <c r="BC98" s="648">
        <f t="shared" ref="BC98" si="512">SUM(AY98:BB98)</f>
        <v>0</v>
      </c>
      <c r="BD98" s="649"/>
      <c r="BE98" s="609">
        <v>0</v>
      </c>
      <c r="BF98" s="610">
        <f t="shared" ref="BF98:BH98" si="513">+BE98</f>
        <v>0</v>
      </c>
      <c r="BG98" s="610">
        <f t="shared" si="513"/>
        <v>0</v>
      </c>
      <c r="BH98" s="608">
        <f t="shared" si="513"/>
        <v>0</v>
      </c>
      <c r="BI98" s="648">
        <f t="shared" ref="BI98" si="514">SUM(BE98:BH98)</f>
        <v>0</v>
      </c>
      <c r="BJ98" s="649"/>
      <c r="BK98" s="609">
        <v>0</v>
      </c>
      <c r="BL98" s="610">
        <f t="shared" ref="BL98:BM98" si="515">+BK98</f>
        <v>0</v>
      </c>
      <c r="BM98" s="610">
        <f t="shared" si="515"/>
        <v>0</v>
      </c>
      <c r="BN98" s="608">
        <f t="shared" ref="BN98" si="516">+BM98</f>
        <v>0</v>
      </c>
      <c r="BO98" s="648">
        <f t="shared" ref="BO98" si="517">SUM(BK98:BN98)</f>
        <v>0</v>
      </c>
      <c r="BP98" s="649"/>
      <c r="BQ98" s="609">
        <v>0</v>
      </c>
      <c r="BR98" s="610">
        <f t="shared" ref="BR98:BT98" si="518">+BQ98</f>
        <v>0</v>
      </c>
      <c r="BS98" s="610">
        <f t="shared" si="518"/>
        <v>0</v>
      </c>
      <c r="BT98" s="608">
        <f t="shared" si="518"/>
        <v>0</v>
      </c>
      <c r="BU98" s="648">
        <f t="shared" ref="BU98" si="519">SUM(BQ98:BT98)</f>
        <v>0</v>
      </c>
      <c r="BV98" s="649"/>
      <c r="BW98" s="609">
        <v>0</v>
      </c>
      <c r="BX98" s="610">
        <f t="shared" ref="BX98:BZ98" si="520">+BW98</f>
        <v>0</v>
      </c>
      <c r="BY98" s="610">
        <f t="shared" si="520"/>
        <v>0</v>
      </c>
      <c r="BZ98" s="608">
        <f t="shared" si="520"/>
        <v>0</v>
      </c>
      <c r="CA98" s="648">
        <f t="shared" ref="CA98" si="521">SUM(BW98:BZ98)</f>
        <v>0</v>
      </c>
      <c r="CB98" s="649"/>
      <c r="CC98" s="609">
        <v>0</v>
      </c>
      <c r="CD98" s="610">
        <f t="shared" ref="CD98:CF98" si="522">+CC98</f>
        <v>0</v>
      </c>
      <c r="CE98" s="610">
        <f t="shared" si="522"/>
        <v>0</v>
      </c>
      <c r="CF98" s="608">
        <f t="shared" si="522"/>
        <v>0</v>
      </c>
      <c r="CG98" s="648">
        <f t="shared" ref="CG98" si="523">SUM(CC98:CF98)</f>
        <v>0</v>
      </c>
      <c r="CH98" s="649"/>
      <c r="CI98" s="609">
        <v>0</v>
      </c>
      <c r="CJ98" s="610">
        <f t="shared" ref="CJ98" si="524">+CI98</f>
        <v>0</v>
      </c>
      <c r="CK98" s="610">
        <f t="shared" ref="CK98" si="525">+CJ98</f>
        <v>0</v>
      </c>
      <c r="CL98" s="608">
        <f t="shared" ref="CL98" si="526">+CK98</f>
        <v>0</v>
      </c>
      <c r="CM98" s="648">
        <f t="shared" ref="CM98:CM102" si="527">SUM(CI98:CL98)</f>
        <v>0</v>
      </c>
      <c r="CN98" s="649"/>
      <c r="CO98" s="609">
        <v>0</v>
      </c>
      <c r="CP98" s="610">
        <f t="shared" ref="CP98" si="528">+CO98</f>
        <v>0</v>
      </c>
      <c r="CQ98" s="610">
        <f t="shared" ref="CQ98" si="529">+CP98</f>
        <v>0</v>
      </c>
      <c r="CR98" s="608">
        <f t="shared" ref="CR98" si="530">+CQ98</f>
        <v>0</v>
      </c>
      <c r="CS98" s="648">
        <f t="shared" ref="CS98:CS102" si="531">SUM(CO98:CR98)</f>
        <v>0</v>
      </c>
      <c r="CT98" s="416"/>
      <c r="CU98" s="400"/>
      <c r="CV98" s="400"/>
      <c r="DC98" s="921"/>
      <c r="DD98" s="921"/>
      <c r="DE98" s="921"/>
      <c r="DF98" s="921"/>
      <c r="DG98" s="921"/>
      <c r="DH98" s="921"/>
      <c r="DI98" s="921"/>
      <c r="DJ98" s="921"/>
      <c r="DK98" s="921"/>
      <c r="DL98" s="921"/>
    </row>
    <row r="99" spans="1:116" hidden="1" outlineLevel="1">
      <c r="A99" s="545" t="s">
        <v>200</v>
      </c>
      <c r="B99" s="417"/>
      <c r="C99" s="605">
        <v>0</v>
      </c>
      <c r="D99" s="606">
        <v>0</v>
      </c>
      <c r="E99" s="606">
        <v>0</v>
      </c>
      <c r="F99" s="608">
        <f>F$9*0</f>
        <v>0</v>
      </c>
      <c r="G99" s="648">
        <f>SUM(C99:F99)</f>
        <v>0</v>
      </c>
      <c r="H99" s="417"/>
      <c r="I99" s="605">
        <v>0</v>
      </c>
      <c r="J99" s="606">
        <v>0</v>
      </c>
      <c r="K99" s="606">
        <v>0</v>
      </c>
      <c r="L99" s="606">
        <v>0</v>
      </c>
      <c r="M99" s="648">
        <f t="shared" si="440"/>
        <v>0</v>
      </c>
      <c r="N99" s="526"/>
      <c r="O99" s="605">
        <v>0</v>
      </c>
      <c r="P99" s="606">
        <v>0</v>
      </c>
      <c r="Q99" s="606">
        <v>0</v>
      </c>
      <c r="R99" s="607">
        <f>0-SUM(O99:Q99)</f>
        <v>0</v>
      </c>
      <c r="S99" s="648">
        <f t="shared" si="441"/>
        <v>0</v>
      </c>
      <c r="T99" s="417"/>
      <c r="U99" s="605">
        <v>0</v>
      </c>
      <c r="V99" s="606">
        <v>0</v>
      </c>
      <c r="W99" s="606">
        <v>0</v>
      </c>
      <c r="X99" s="607">
        <f>0-SUM(U99:W99)</f>
        <v>0</v>
      </c>
      <c r="Y99" s="648">
        <f t="shared" si="442"/>
        <v>0</v>
      </c>
      <c r="Z99" s="417"/>
      <c r="AA99" s="605">
        <v>2.5219999999999998</v>
      </c>
      <c r="AB99" s="606">
        <v>2.5419999999999998</v>
      </c>
      <c r="AC99" s="606">
        <v>6.5190000000000001</v>
      </c>
      <c r="AD99" s="607">
        <f>41.826-SUM(AA99:AC99)</f>
        <v>30.243000000000002</v>
      </c>
      <c r="AE99" s="648">
        <f t="shared" si="443"/>
        <v>41.826000000000001</v>
      </c>
      <c r="AF99" s="417"/>
      <c r="AG99" s="605">
        <v>2.14</v>
      </c>
      <c r="AH99" s="606">
        <v>1.83</v>
      </c>
      <c r="AI99" s="606">
        <v>19.475000000000001</v>
      </c>
      <c r="AJ99" s="607">
        <v>2.883</v>
      </c>
      <c r="AK99" s="648">
        <f t="shared" si="444"/>
        <v>26.327999999999999</v>
      </c>
      <c r="AL99" s="649"/>
      <c r="AM99" s="605">
        <v>0.75700000000000001</v>
      </c>
      <c r="AN99" s="606">
        <v>-1.5069999999999999</v>
      </c>
      <c r="AO99" s="606">
        <v>0.51800000000000002</v>
      </c>
      <c r="AP99" s="607">
        <v>2.8559999999999999</v>
      </c>
      <c r="AQ99" s="648">
        <f t="shared" si="445"/>
        <v>2.6240000000000001</v>
      </c>
      <c r="AR99" s="649"/>
      <c r="AS99" s="605">
        <v>0.59499999999999997</v>
      </c>
      <c r="AT99" s="606">
        <v>2.8919999999999999</v>
      </c>
      <c r="AU99" s="606">
        <v>0.87</v>
      </c>
      <c r="AV99" s="606">
        <v>1.2809999999999999</v>
      </c>
      <c r="AW99" s="648">
        <f t="shared" si="446"/>
        <v>5.6379999999999999</v>
      </c>
      <c r="AX99" s="649"/>
      <c r="AY99" s="605">
        <v>0.69899999999999995</v>
      </c>
      <c r="AZ99" s="606">
        <v>1.48</v>
      </c>
      <c r="BA99" s="606">
        <v>-5.226</v>
      </c>
      <c r="BB99" s="610">
        <f>BB107</f>
        <v>0.436</v>
      </c>
      <c r="BC99" s="648">
        <f>SUM(AY99:BB99)</f>
        <v>-2.6110000000000002</v>
      </c>
      <c r="BD99" s="649"/>
      <c r="BE99" s="609">
        <f t="shared" ref="BE99:BF100" si="532">BE107</f>
        <v>0.38200000000000001</v>
      </c>
      <c r="BF99" s="610">
        <f t="shared" si="532"/>
        <v>0.30199999999999999</v>
      </c>
      <c r="BG99" s="610">
        <f t="shared" ref="BG99" si="533">BG107</f>
        <v>0.38500000000000001</v>
      </c>
      <c r="BH99" s="610">
        <f>BH107</f>
        <v>0.41699999999999998</v>
      </c>
      <c r="BI99" s="648">
        <f>SUM(BE99:BH99)</f>
        <v>1.486</v>
      </c>
      <c r="BJ99" s="649"/>
      <c r="BK99" s="609">
        <f t="shared" ref="BK99:BM100" si="534">BK107</f>
        <v>0</v>
      </c>
      <c r="BL99" s="610">
        <f t="shared" si="534"/>
        <v>0</v>
      </c>
      <c r="BM99" s="610">
        <f t="shared" si="534"/>
        <v>0</v>
      </c>
      <c r="BN99" s="610">
        <f>BN107</f>
        <v>0</v>
      </c>
      <c r="BO99" s="648">
        <f>SUM(BK99:BN99)</f>
        <v>0</v>
      </c>
      <c r="BP99" s="649"/>
      <c r="BQ99" s="609">
        <f t="shared" ref="BQ99" si="535">BQ107</f>
        <v>0</v>
      </c>
      <c r="BR99" s="610">
        <f t="shared" ref="BR99:BT100" si="536">BR107</f>
        <v>0</v>
      </c>
      <c r="BS99" s="610">
        <f t="shared" si="536"/>
        <v>0</v>
      </c>
      <c r="BT99" s="608">
        <f t="shared" si="536"/>
        <v>0</v>
      </c>
      <c r="BU99" s="648">
        <f>SUM(BQ99:BT99)</f>
        <v>0</v>
      </c>
      <c r="BV99" s="649"/>
      <c r="BW99" s="609">
        <f t="shared" ref="BW99:BZ99" si="537">BW107</f>
        <v>0</v>
      </c>
      <c r="BX99" s="610">
        <f t="shared" si="537"/>
        <v>0</v>
      </c>
      <c r="BY99" s="610">
        <f t="shared" si="537"/>
        <v>0</v>
      </c>
      <c r="BZ99" s="608">
        <f t="shared" si="537"/>
        <v>0</v>
      </c>
      <c r="CA99" s="648">
        <f>SUM(BW99:BZ99)</f>
        <v>0</v>
      </c>
      <c r="CB99" s="649"/>
      <c r="CC99" s="609">
        <f t="shared" ref="CC99:CF99" si="538">CC107</f>
        <v>0</v>
      </c>
      <c r="CD99" s="610">
        <f t="shared" si="538"/>
        <v>0</v>
      </c>
      <c r="CE99" s="610">
        <f t="shared" si="538"/>
        <v>0</v>
      </c>
      <c r="CF99" s="608">
        <f t="shared" si="538"/>
        <v>0</v>
      </c>
      <c r="CG99" s="648">
        <f>SUM(CC99:CF99)</f>
        <v>0</v>
      </c>
      <c r="CH99" s="649"/>
      <c r="CI99" s="609">
        <f t="shared" ref="CI99:CL99" si="539">CI107</f>
        <v>0</v>
      </c>
      <c r="CJ99" s="610">
        <f t="shared" si="539"/>
        <v>0</v>
      </c>
      <c r="CK99" s="610">
        <f t="shared" si="539"/>
        <v>0</v>
      </c>
      <c r="CL99" s="608">
        <f t="shared" si="539"/>
        <v>0</v>
      </c>
      <c r="CM99" s="648">
        <f t="shared" si="527"/>
        <v>0</v>
      </c>
      <c r="CN99" s="649"/>
      <c r="CO99" s="609">
        <f t="shared" ref="CO99:CR99" si="540">CO107</f>
        <v>0</v>
      </c>
      <c r="CP99" s="610">
        <f t="shared" si="540"/>
        <v>0</v>
      </c>
      <c r="CQ99" s="610">
        <f t="shared" si="540"/>
        <v>0</v>
      </c>
      <c r="CR99" s="608">
        <f t="shared" si="540"/>
        <v>0</v>
      </c>
      <c r="CS99" s="648">
        <f t="shared" si="531"/>
        <v>0</v>
      </c>
      <c r="CT99" s="416"/>
      <c r="CU99" s="400"/>
      <c r="CV99" s="400"/>
      <c r="DC99" s="921"/>
      <c r="DD99" s="921"/>
      <c r="DE99" s="921"/>
      <c r="DF99" s="921"/>
      <c r="DG99" s="921"/>
      <c r="DH99" s="921"/>
      <c r="DI99" s="921"/>
      <c r="DJ99" s="921"/>
      <c r="DK99" s="921"/>
      <c r="DL99" s="921"/>
    </row>
    <row r="100" spans="1:116" hidden="1" outlineLevel="1">
      <c r="A100" s="545" t="s">
        <v>191</v>
      </c>
      <c r="B100" s="417"/>
      <c r="C100" s="609">
        <f>C108</f>
        <v>0.442</v>
      </c>
      <c r="D100" s="610">
        <f>D108</f>
        <v>0.66200000000000003</v>
      </c>
      <c r="E100" s="610">
        <f>E108</f>
        <v>0.66200000000000003</v>
      </c>
      <c r="F100" s="608">
        <f>F108</f>
        <v>0.66299999999999981</v>
      </c>
      <c r="G100" s="648">
        <f>SUM(C100:F100)</f>
        <v>2.4289999999999998</v>
      </c>
      <c r="H100" s="417"/>
      <c r="I100" s="609">
        <f>I108</f>
        <v>2.415</v>
      </c>
      <c r="J100" s="610">
        <f>J108</f>
        <v>2.669</v>
      </c>
      <c r="K100" s="610">
        <f>K108</f>
        <v>2.702</v>
      </c>
      <c r="L100" s="610">
        <f>L108</f>
        <v>2.652000000000001</v>
      </c>
      <c r="M100" s="648">
        <f t="shared" si="440"/>
        <v>10.438000000000001</v>
      </c>
      <c r="N100" s="526"/>
      <c r="O100" s="605">
        <v>1.67</v>
      </c>
      <c r="P100" s="606">
        <v>1.67</v>
      </c>
      <c r="Q100" s="606">
        <v>1.67</v>
      </c>
      <c r="R100" s="607">
        <f>6.68-SUM(O100:Q100)</f>
        <v>1.67</v>
      </c>
      <c r="S100" s="648">
        <f t="shared" si="441"/>
        <v>6.68</v>
      </c>
      <c r="T100" s="417"/>
      <c r="U100" s="605">
        <v>1.62</v>
      </c>
      <c r="V100" s="606">
        <v>1.595</v>
      </c>
      <c r="W100" s="606">
        <v>2.2949999999999999</v>
      </c>
      <c r="X100" s="607">
        <f>7.805-SUM(U100:W100)</f>
        <v>2.2949999999999999</v>
      </c>
      <c r="Y100" s="648">
        <f t="shared" si="442"/>
        <v>7.8049999999999997</v>
      </c>
      <c r="Z100" s="417"/>
      <c r="AA100" s="605">
        <v>2.9849999999999999</v>
      </c>
      <c r="AB100" s="606">
        <v>3.3279999999999998</v>
      </c>
      <c r="AC100" s="606">
        <v>3.1869999999999998</v>
      </c>
      <c r="AD100" s="607">
        <f>12.689-SUM(AA100:AC100)</f>
        <v>3.1890000000000001</v>
      </c>
      <c r="AE100" s="648">
        <f t="shared" si="443"/>
        <v>12.689</v>
      </c>
      <c r="AF100" s="417"/>
      <c r="AG100" s="605">
        <v>3.1949999999999998</v>
      </c>
      <c r="AH100" s="606">
        <v>3.1949999999999998</v>
      </c>
      <c r="AI100" s="606">
        <v>3.74</v>
      </c>
      <c r="AJ100" s="607">
        <v>5.4109999999999996</v>
      </c>
      <c r="AK100" s="648">
        <f t="shared" si="444"/>
        <v>15.540999999999999</v>
      </c>
      <c r="AL100" s="649"/>
      <c r="AM100" s="605">
        <v>8.1310000000000002</v>
      </c>
      <c r="AN100" s="606">
        <v>10.805</v>
      </c>
      <c r="AO100" s="606">
        <v>12.853</v>
      </c>
      <c r="AP100" s="607">
        <v>12.896000000000001</v>
      </c>
      <c r="AQ100" s="648">
        <f t="shared" si="445"/>
        <v>44.685000000000002</v>
      </c>
      <c r="AR100" s="649"/>
      <c r="AS100" s="605">
        <v>13.191000000000001</v>
      </c>
      <c r="AT100" s="606">
        <v>11.507</v>
      </c>
      <c r="AU100" s="606">
        <v>11.263999999999999</v>
      </c>
      <c r="AV100" s="606">
        <v>12.202999999999999</v>
      </c>
      <c r="AW100" s="648">
        <f t="shared" si="446"/>
        <v>48.165000000000006</v>
      </c>
      <c r="AX100" s="649"/>
      <c r="AY100" s="605">
        <v>12.887</v>
      </c>
      <c r="AZ100" s="606">
        <v>12.772</v>
      </c>
      <c r="BA100" s="606">
        <v>13.794</v>
      </c>
      <c r="BB100" s="606">
        <f>12.376</f>
        <v>12.375999999999999</v>
      </c>
      <c r="BC100" s="648">
        <f>SUM(AY100:BB100)</f>
        <v>51.829000000000001</v>
      </c>
      <c r="BD100" s="649"/>
      <c r="BE100" s="609">
        <f t="shared" si="532"/>
        <v>12.026</v>
      </c>
      <c r="BF100" s="610">
        <f t="shared" si="532"/>
        <v>12.112</v>
      </c>
      <c r="BG100" s="610">
        <f t="shared" ref="BG100" si="541">BG108</f>
        <v>12.423</v>
      </c>
      <c r="BH100" s="610">
        <f>BH108</f>
        <v>12.423</v>
      </c>
      <c r="BI100" s="648">
        <f>SUM(BE100:BH100)</f>
        <v>48.984000000000002</v>
      </c>
      <c r="BJ100" s="649"/>
      <c r="BK100" s="609">
        <f>BK108+5+10+18</f>
        <v>46</v>
      </c>
      <c r="BL100" s="610">
        <f t="shared" ref="BL100" si="542">BL108</f>
        <v>12</v>
      </c>
      <c r="BM100" s="610">
        <f t="shared" si="534"/>
        <v>11</v>
      </c>
      <c r="BN100" s="610">
        <f>BN108</f>
        <v>10</v>
      </c>
      <c r="BO100" s="648">
        <f>SUM(BK100:BN100)</f>
        <v>79</v>
      </c>
      <c r="BP100" s="649"/>
      <c r="BQ100" s="609">
        <f>BQ108</f>
        <v>9</v>
      </c>
      <c r="BR100" s="610">
        <f t="shared" si="536"/>
        <v>9</v>
      </c>
      <c r="BS100" s="610">
        <f t="shared" si="536"/>
        <v>9</v>
      </c>
      <c r="BT100" s="608">
        <f t="shared" si="536"/>
        <v>9</v>
      </c>
      <c r="BU100" s="648">
        <f>SUM(BQ100:BT100)</f>
        <v>36</v>
      </c>
      <c r="BV100" s="649"/>
      <c r="BW100" s="609">
        <f t="shared" ref="BW100:BZ100" si="543">BW108</f>
        <v>9</v>
      </c>
      <c r="BX100" s="610">
        <f t="shared" si="543"/>
        <v>9</v>
      </c>
      <c r="BY100" s="610">
        <f t="shared" si="543"/>
        <v>9</v>
      </c>
      <c r="BZ100" s="608">
        <f t="shared" si="543"/>
        <v>9</v>
      </c>
      <c r="CA100" s="648">
        <f>SUM(BW100:BZ100)</f>
        <v>36</v>
      </c>
      <c r="CB100" s="649"/>
      <c r="CC100" s="609">
        <f t="shared" ref="CC100:CF100" si="544">CC108</f>
        <v>9</v>
      </c>
      <c r="CD100" s="610">
        <f t="shared" si="544"/>
        <v>9</v>
      </c>
      <c r="CE100" s="610">
        <f t="shared" si="544"/>
        <v>9</v>
      </c>
      <c r="CF100" s="608">
        <f t="shared" si="544"/>
        <v>9</v>
      </c>
      <c r="CG100" s="648">
        <f>SUM(CC100:CF100)</f>
        <v>36</v>
      </c>
      <c r="CH100" s="649"/>
      <c r="CI100" s="609">
        <f t="shared" ref="CI100:CL100" si="545">CI108</f>
        <v>9</v>
      </c>
      <c r="CJ100" s="610">
        <f t="shared" si="545"/>
        <v>9</v>
      </c>
      <c r="CK100" s="610">
        <f t="shared" si="545"/>
        <v>9</v>
      </c>
      <c r="CL100" s="608">
        <f t="shared" si="545"/>
        <v>9</v>
      </c>
      <c r="CM100" s="648">
        <f t="shared" si="527"/>
        <v>36</v>
      </c>
      <c r="CN100" s="649"/>
      <c r="CO100" s="609">
        <f t="shared" ref="CO100:CR100" si="546">CO108</f>
        <v>9</v>
      </c>
      <c r="CP100" s="610">
        <f t="shared" si="546"/>
        <v>9</v>
      </c>
      <c r="CQ100" s="610">
        <f t="shared" si="546"/>
        <v>9</v>
      </c>
      <c r="CR100" s="608">
        <f t="shared" si="546"/>
        <v>9</v>
      </c>
      <c r="CS100" s="648">
        <f t="shared" si="531"/>
        <v>36</v>
      </c>
      <c r="CT100" s="416"/>
      <c r="CU100" s="400"/>
      <c r="CV100" s="400"/>
      <c r="DC100" s="921"/>
      <c r="DD100" s="921"/>
      <c r="DE100" s="921"/>
      <c r="DF100" s="921"/>
      <c r="DG100" s="921"/>
      <c r="DH100" s="921"/>
      <c r="DI100" s="921"/>
      <c r="DJ100" s="921"/>
      <c r="DK100" s="921"/>
      <c r="DL100" s="921"/>
    </row>
    <row r="101" spans="1:116" hidden="1" outlineLevel="1">
      <c r="A101" s="545" t="s">
        <v>198</v>
      </c>
      <c r="B101" s="417"/>
      <c r="C101" s="605">
        <v>0</v>
      </c>
      <c r="D101" s="606">
        <v>0</v>
      </c>
      <c r="E101" s="606">
        <v>0</v>
      </c>
      <c r="F101" s="608">
        <f>F$9*0</f>
        <v>0</v>
      </c>
      <c r="G101" s="648">
        <f>SUM(C101:F101)</f>
        <v>0</v>
      </c>
      <c r="H101" s="417"/>
      <c r="I101" s="605">
        <v>0</v>
      </c>
      <c r="J101" s="606">
        <v>0</v>
      </c>
      <c r="K101" s="610">
        <f>K110</f>
        <v>0.61399999999999999</v>
      </c>
      <c r="L101" s="610">
        <f>L110</f>
        <v>0.91699999999999993</v>
      </c>
      <c r="M101" s="648">
        <f t="shared" si="440"/>
        <v>1.5309999999999999</v>
      </c>
      <c r="N101" s="526"/>
      <c r="O101" s="605">
        <v>0.91900000000000004</v>
      </c>
      <c r="P101" s="606">
        <v>0.91900000000000004</v>
      </c>
      <c r="Q101" s="606">
        <v>0.91900000000000004</v>
      </c>
      <c r="R101" s="607">
        <f>5.675-SUM(O101:Q101)</f>
        <v>2.9179999999999997</v>
      </c>
      <c r="S101" s="648">
        <f t="shared" si="441"/>
        <v>5.6749999999999998</v>
      </c>
      <c r="T101" s="417"/>
      <c r="U101" s="605">
        <v>0.91900000000000004</v>
      </c>
      <c r="V101" s="606">
        <v>0.91900000000000004</v>
      </c>
      <c r="W101" s="606">
        <v>0.91900000000000004</v>
      </c>
      <c r="X101" s="607">
        <f>3.675-SUM(U101:W101)</f>
        <v>0.91799999999999971</v>
      </c>
      <c r="Y101" s="648">
        <f t="shared" si="442"/>
        <v>3.6749999999999998</v>
      </c>
      <c r="Z101" s="417"/>
      <c r="AA101" s="605">
        <v>2.1240000000000001</v>
      </c>
      <c r="AB101" s="606">
        <v>2.706</v>
      </c>
      <c r="AC101" s="606">
        <v>0.496</v>
      </c>
      <c r="AD101" s="607">
        <f>6.057-SUM(AA101:AC101)</f>
        <v>0.73099999999999987</v>
      </c>
      <c r="AE101" s="648">
        <f t="shared" si="443"/>
        <v>6.0570000000000004</v>
      </c>
      <c r="AF101" s="417"/>
      <c r="AG101" s="605">
        <v>3.0920000000000001</v>
      </c>
      <c r="AH101" s="606">
        <v>0.216</v>
      </c>
      <c r="AI101" s="606">
        <v>1.496</v>
      </c>
      <c r="AJ101" s="607">
        <v>4.3470000000000004</v>
      </c>
      <c r="AK101" s="648">
        <f t="shared" si="444"/>
        <v>9.1509999999999998</v>
      </c>
      <c r="AL101" s="649"/>
      <c r="AM101" s="605">
        <v>3.4180000000000001</v>
      </c>
      <c r="AN101" s="606">
        <v>2.262</v>
      </c>
      <c r="AO101" s="606">
        <v>2.444</v>
      </c>
      <c r="AP101" s="607">
        <v>5.4859999999999998</v>
      </c>
      <c r="AQ101" s="648">
        <f t="shared" si="445"/>
        <v>13.61</v>
      </c>
      <c r="AR101" s="649"/>
      <c r="AS101" s="605">
        <v>2.84</v>
      </c>
      <c r="AT101" s="606">
        <v>0.496</v>
      </c>
      <c r="AU101" s="606">
        <v>0.496</v>
      </c>
      <c r="AV101" s="606">
        <v>0.433</v>
      </c>
      <c r="AW101" s="648">
        <f t="shared" si="446"/>
        <v>4.2649999999999997</v>
      </c>
      <c r="AX101" s="649"/>
      <c r="AY101" s="605">
        <v>0</v>
      </c>
      <c r="AZ101" s="606">
        <v>0</v>
      </c>
      <c r="BA101" s="610">
        <f>BA110</f>
        <v>0.249</v>
      </c>
      <c r="BB101" s="606">
        <v>0.68500000000000005</v>
      </c>
      <c r="BC101" s="648">
        <f>SUM(AY101:BB101)</f>
        <v>0.93400000000000005</v>
      </c>
      <c r="BD101" s="649"/>
      <c r="BE101" s="609">
        <f>BE110</f>
        <v>2.7</v>
      </c>
      <c r="BF101" s="610">
        <f>BF110</f>
        <v>0.69399999999999995</v>
      </c>
      <c r="BG101" s="610">
        <f>BG110</f>
        <v>0.69099999999999995</v>
      </c>
      <c r="BH101" s="610">
        <f>BH110</f>
        <v>-0.252</v>
      </c>
      <c r="BI101" s="648">
        <f>SUM(BE101:BH101)</f>
        <v>3.8330000000000002</v>
      </c>
      <c r="BJ101" s="649"/>
      <c r="BK101" s="609">
        <f>BK110</f>
        <v>0</v>
      </c>
      <c r="BL101" s="610">
        <f>BL110</f>
        <v>1</v>
      </c>
      <c r="BM101" s="610">
        <f>BM110</f>
        <v>0</v>
      </c>
      <c r="BN101" s="610">
        <f>BN110</f>
        <v>0</v>
      </c>
      <c r="BO101" s="648">
        <f>SUM(BK101:BN101)</f>
        <v>1</v>
      </c>
      <c r="BP101" s="649"/>
      <c r="BQ101" s="609">
        <f>BQ110</f>
        <v>0</v>
      </c>
      <c r="BR101" s="610">
        <f>BR110</f>
        <v>1</v>
      </c>
      <c r="BS101" s="610">
        <f>BS110</f>
        <v>1</v>
      </c>
      <c r="BT101" s="608">
        <f>BT110</f>
        <v>1</v>
      </c>
      <c r="BU101" s="648">
        <f>SUM(BQ101:BT101)</f>
        <v>3</v>
      </c>
      <c r="BV101" s="649"/>
      <c r="BW101" s="609">
        <f>BW110</f>
        <v>1</v>
      </c>
      <c r="BX101" s="610">
        <f>BX110</f>
        <v>1</v>
      </c>
      <c r="BY101" s="610">
        <f>BY110</f>
        <v>1</v>
      </c>
      <c r="BZ101" s="608">
        <f>BZ110</f>
        <v>1</v>
      </c>
      <c r="CA101" s="648">
        <f>SUM(BW101:BZ101)</f>
        <v>4</v>
      </c>
      <c r="CB101" s="649"/>
      <c r="CC101" s="609">
        <f>CC110</f>
        <v>1</v>
      </c>
      <c r="CD101" s="610">
        <f>CD110</f>
        <v>1</v>
      </c>
      <c r="CE101" s="610">
        <f>CE110</f>
        <v>1</v>
      </c>
      <c r="CF101" s="608">
        <f>CF110</f>
        <v>1</v>
      </c>
      <c r="CG101" s="648">
        <f>SUM(CC101:CF101)</f>
        <v>4</v>
      </c>
      <c r="CH101" s="649"/>
      <c r="CI101" s="609">
        <f t="shared" ref="CI101:CL101" si="547">CI110</f>
        <v>1</v>
      </c>
      <c r="CJ101" s="610">
        <f t="shared" si="547"/>
        <v>1</v>
      </c>
      <c r="CK101" s="610">
        <f t="shared" si="547"/>
        <v>1</v>
      </c>
      <c r="CL101" s="608">
        <f t="shared" si="547"/>
        <v>1</v>
      </c>
      <c r="CM101" s="648">
        <f t="shared" si="527"/>
        <v>4</v>
      </c>
      <c r="CN101" s="649"/>
      <c r="CO101" s="609">
        <f t="shared" ref="CO101:CR101" si="548">CO110</f>
        <v>1</v>
      </c>
      <c r="CP101" s="610">
        <f t="shared" si="548"/>
        <v>1</v>
      </c>
      <c r="CQ101" s="610">
        <f t="shared" si="548"/>
        <v>1</v>
      </c>
      <c r="CR101" s="608">
        <f t="shared" si="548"/>
        <v>1</v>
      </c>
      <c r="CS101" s="648">
        <f t="shared" si="531"/>
        <v>4</v>
      </c>
      <c r="CT101" s="416"/>
      <c r="CU101" s="400"/>
      <c r="CV101" s="400"/>
      <c r="DC101" s="921"/>
      <c r="DD101" s="921"/>
      <c r="DE101" s="921"/>
      <c r="DF101" s="921"/>
      <c r="DG101" s="921"/>
      <c r="DH101" s="921"/>
      <c r="DI101" s="921"/>
      <c r="DJ101" s="921"/>
      <c r="DK101" s="921"/>
      <c r="DL101" s="921"/>
    </row>
    <row r="102" spans="1:116" hidden="1" outlineLevel="1">
      <c r="A102" s="654" t="s">
        <v>376</v>
      </c>
      <c r="B102" s="517"/>
      <c r="C102" s="655">
        <f>C115+C114</f>
        <v>304.21599999999995</v>
      </c>
      <c r="D102" s="656">
        <f>D115+D114</f>
        <v>0.126</v>
      </c>
      <c r="E102" s="656">
        <f>E115+E114</f>
        <v>0</v>
      </c>
      <c r="F102" s="657">
        <f>F115+F114</f>
        <v>54.536000000000001</v>
      </c>
      <c r="G102" s="658">
        <f>SUM(C102:F102)</f>
        <v>358.87799999999993</v>
      </c>
      <c r="H102" s="517"/>
      <c r="I102" s="659">
        <v>0</v>
      </c>
      <c r="J102" s="656">
        <f>J116</f>
        <v>4.069</v>
      </c>
      <c r="K102" s="656">
        <f>K115</f>
        <v>24.66</v>
      </c>
      <c r="L102" s="656">
        <f>L115</f>
        <v>0</v>
      </c>
      <c r="M102" s="658">
        <f t="shared" si="440"/>
        <v>28.728999999999999</v>
      </c>
      <c r="N102" s="660"/>
      <c r="O102" s="659">
        <v>2</v>
      </c>
      <c r="P102" s="661">
        <v>0</v>
      </c>
      <c r="Q102" s="661">
        <v>1.325</v>
      </c>
      <c r="R102" s="662">
        <f>11.325-SUM(O102:Q102)</f>
        <v>7.9999999999999991</v>
      </c>
      <c r="S102" s="658">
        <f t="shared" si="441"/>
        <v>11.324999999999999</v>
      </c>
      <c r="T102" s="517"/>
      <c r="U102" s="659">
        <v>0</v>
      </c>
      <c r="V102" s="661">
        <v>1.861</v>
      </c>
      <c r="W102" s="661">
        <v>0</v>
      </c>
      <c r="X102" s="662">
        <f>-8.515-SUM(U102:W102)</f>
        <v>-10.376000000000001</v>
      </c>
      <c r="Y102" s="658">
        <f t="shared" si="442"/>
        <v>-8.5150000000000006</v>
      </c>
      <c r="Z102" s="517"/>
      <c r="AA102" s="659">
        <v>0.27</v>
      </c>
      <c r="AB102" s="661">
        <v>4.7699999999999996</v>
      </c>
      <c r="AC102" s="661">
        <v>-2.5979999999999999</v>
      </c>
      <c r="AD102" s="662">
        <f>8.136-2.3+0.919-SUM(AA102:AC102)</f>
        <v>4.3129999999999997</v>
      </c>
      <c r="AE102" s="658">
        <f t="shared" si="443"/>
        <v>6.754999999999999</v>
      </c>
      <c r="AF102" s="517"/>
      <c r="AG102" s="659">
        <f>8.092+2.622+2.223+1.737</f>
        <v>14.674000000000001</v>
      </c>
      <c r="AH102" s="661">
        <f>21.438+6.694+1.08+0.797+0.674</f>
        <v>30.682999999999996</v>
      </c>
      <c r="AI102" s="661">
        <f>-0.357+3.956+0.138</f>
        <v>3.7370000000000001</v>
      </c>
      <c r="AJ102" s="662">
        <f>4.394+1.458+0.314+0.088</f>
        <v>6.2540000000000004</v>
      </c>
      <c r="AK102" s="658">
        <f t="shared" si="444"/>
        <v>55.347999999999999</v>
      </c>
      <c r="AL102" s="663"/>
      <c r="AM102" s="659">
        <f>106.922+7.484+3.821+0.458</f>
        <v>118.68499999999999</v>
      </c>
      <c r="AN102" s="661">
        <f>-5.725+16.559+4.811</f>
        <v>15.645000000000001</v>
      </c>
      <c r="AO102" s="661">
        <f>25.214+4.299-3.942+1.326</f>
        <v>26.896999999999998</v>
      </c>
      <c r="AP102" s="662">
        <f>5.921-5.771</f>
        <v>0.15000000000000036</v>
      </c>
      <c r="AQ102" s="658">
        <f t="shared" si="445"/>
        <v>161.37699999999998</v>
      </c>
      <c r="AR102" s="663"/>
      <c r="AS102" s="659">
        <f>5.846-1.013</f>
        <v>4.8330000000000002</v>
      </c>
      <c r="AT102" s="661">
        <f>-0.225+4.817</f>
        <v>4.5920000000000005</v>
      </c>
      <c r="AU102" s="661">
        <f>12.889+0.903</f>
        <v>13.792</v>
      </c>
      <c r="AV102" s="661">
        <f>-2.304-59.483</f>
        <v>-61.786999999999999</v>
      </c>
      <c r="AW102" s="658">
        <f t="shared" si="446"/>
        <v>-38.57</v>
      </c>
      <c r="AX102" s="663"/>
      <c r="AY102" s="659">
        <v>-9.8870000000000005</v>
      </c>
      <c r="AZ102" s="656">
        <f>AZ111+AZ114</f>
        <v>2.3290000000000002</v>
      </c>
      <c r="BA102" s="661">
        <f>15+1.109</f>
        <v>16.109000000000002</v>
      </c>
      <c r="BB102" s="661">
        <f>4+0.325</f>
        <v>4.3250000000000002</v>
      </c>
      <c r="BC102" s="658">
        <f>SUM(AY102:BB102)</f>
        <v>12.876000000000001</v>
      </c>
      <c r="BD102" s="663"/>
      <c r="BE102" s="655">
        <f>BE111+BE114</f>
        <v>0</v>
      </c>
      <c r="BF102" s="656">
        <f>BF111+BF114</f>
        <v>-11.49</v>
      </c>
      <c r="BG102" s="656">
        <f>BG111+BG114</f>
        <v>0</v>
      </c>
      <c r="BH102" s="656">
        <f>BH111+BH114</f>
        <v>-6.6959999999999997</v>
      </c>
      <c r="BI102" s="658">
        <f>SUM(BE102:BH102)</f>
        <v>-18.186</v>
      </c>
      <c r="BJ102" s="663"/>
      <c r="BK102" s="655">
        <f>BK111</f>
        <v>-1</v>
      </c>
      <c r="BL102" s="656">
        <f>BL114</f>
        <v>-9</v>
      </c>
      <c r="BM102" s="656">
        <f>BM111+BM114</f>
        <v>-11</v>
      </c>
      <c r="BN102" s="656">
        <f>BN111</f>
        <v>4</v>
      </c>
      <c r="BO102" s="658">
        <f>SUM(BK102:BN102)</f>
        <v>-17</v>
      </c>
      <c r="BP102" s="663"/>
      <c r="BQ102" s="655">
        <f>BQ111</f>
        <v>-8</v>
      </c>
      <c r="BR102" s="656">
        <f>BR111+BR114</f>
        <v>-8</v>
      </c>
      <c r="BS102" s="656">
        <f>BS111+BS114</f>
        <v>-8</v>
      </c>
      <c r="BT102" s="657">
        <f>BT111+BT114</f>
        <v>-8</v>
      </c>
      <c r="BU102" s="658">
        <f>SUM(BQ102:BT102)</f>
        <v>-32</v>
      </c>
      <c r="BV102" s="663"/>
      <c r="BW102" s="655">
        <f>BW111+BW114</f>
        <v>-2</v>
      </c>
      <c r="BX102" s="656">
        <f>BX111+BX114</f>
        <v>-2</v>
      </c>
      <c r="BY102" s="656">
        <f>BY111+BY114</f>
        <v>-2</v>
      </c>
      <c r="BZ102" s="657">
        <f>BZ111+BZ114</f>
        <v>-2</v>
      </c>
      <c r="CA102" s="658">
        <f>SUM(BW102:BZ102)</f>
        <v>-8</v>
      </c>
      <c r="CB102" s="663"/>
      <c r="CC102" s="655">
        <f>CC111+CC114</f>
        <v>-2</v>
      </c>
      <c r="CD102" s="656">
        <f>CD111+CD114</f>
        <v>-2</v>
      </c>
      <c r="CE102" s="656">
        <f>CE111+CE114</f>
        <v>-2</v>
      </c>
      <c r="CF102" s="657">
        <f>CF111+CF114</f>
        <v>-2</v>
      </c>
      <c r="CG102" s="658">
        <f>SUM(CC102:CF102)</f>
        <v>-8</v>
      </c>
      <c r="CH102" s="663"/>
      <c r="CI102" s="655">
        <f t="shared" ref="CI102:CL102" si="549">CI111+CI114</f>
        <v>-2</v>
      </c>
      <c r="CJ102" s="656">
        <f t="shared" si="549"/>
        <v>-2</v>
      </c>
      <c r="CK102" s="656">
        <f t="shared" si="549"/>
        <v>-2</v>
      </c>
      <c r="CL102" s="657">
        <f t="shared" si="549"/>
        <v>-2</v>
      </c>
      <c r="CM102" s="658">
        <f t="shared" si="527"/>
        <v>-8</v>
      </c>
      <c r="CN102" s="663"/>
      <c r="CO102" s="655">
        <f t="shared" ref="CO102:CR102" si="550">CO111+CO114</f>
        <v>-2</v>
      </c>
      <c r="CP102" s="656">
        <f t="shared" si="550"/>
        <v>-2</v>
      </c>
      <c r="CQ102" s="656">
        <f t="shared" si="550"/>
        <v>-2</v>
      </c>
      <c r="CR102" s="657">
        <f t="shared" si="550"/>
        <v>-2</v>
      </c>
      <c r="CS102" s="658">
        <f t="shared" si="531"/>
        <v>-8</v>
      </c>
      <c r="CT102" s="416"/>
      <c r="CU102" s="400"/>
      <c r="CV102" s="400"/>
      <c r="DC102" s="921"/>
      <c r="DD102" s="921"/>
      <c r="DE102" s="921"/>
      <c r="DF102" s="921"/>
      <c r="DG102" s="921"/>
      <c r="DH102" s="921"/>
      <c r="DI102" s="921"/>
      <c r="DJ102" s="921"/>
      <c r="DK102" s="921"/>
      <c r="DL102" s="921"/>
    </row>
    <row r="103" spans="1:116" collapsed="1">
      <c r="A103" s="611" t="s">
        <v>199</v>
      </c>
      <c r="B103" s="612"/>
      <c r="C103" s="664">
        <f t="shared" ref="C103:AE103" si="551">C97-SUM(C98:C102)</f>
        <v>-296.40099999999995</v>
      </c>
      <c r="D103" s="665">
        <f t="shared" si="551"/>
        <v>12.250999999999994</v>
      </c>
      <c r="E103" s="665">
        <f t="shared" si="551"/>
        <v>15.709999999999999</v>
      </c>
      <c r="F103" s="666">
        <f t="shared" si="551"/>
        <v>-32.760999999999981</v>
      </c>
      <c r="G103" s="667">
        <f t="shared" si="551"/>
        <v>-301.20099999999991</v>
      </c>
      <c r="H103" s="612">
        <f t="shared" si="551"/>
        <v>0</v>
      </c>
      <c r="I103" s="664">
        <f t="shared" si="551"/>
        <v>18.974000000000004</v>
      </c>
      <c r="J103" s="665">
        <f t="shared" si="551"/>
        <v>23.870999999999995</v>
      </c>
      <c r="K103" s="665">
        <f t="shared" si="551"/>
        <v>1.5359999999999872</v>
      </c>
      <c r="L103" s="665">
        <f t="shared" si="551"/>
        <v>36.076000000000022</v>
      </c>
      <c r="M103" s="667">
        <f t="shared" si="551"/>
        <v>80.456999999999994</v>
      </c>
      <c r="N103" s="617">
        <f t="shared" si="551"/>
        <v>0</v>
      </c>
      <c r="O103" s="664">
        <f t="shared" si="551"/>
        <v>34.50800000000001</v>
      </c>
      <c r="P103" s="665">
        <f t="shared" si="551"/>
        <v>36.102000000000004</v>
      </c>
      <c r="Q103" s="665">
        <f t="shared" si="551"/>
        <v>29.299000000000021</v>
      </c>
      <c r="R103" s="666">
        <f t="shared" si="551"/>
        <v>25.687999999999985</v>
      </c>
      <c r="S103" s="667">
        <f t="shared" si="551"/>
        <v>125.59700000000004</v>
      </c>
      <c r="T103" s="612">
        <f t="shared" si="551"/>
        <v>0</v>
      </c>
      <c r="U103" s="664">
        <f t="shared" si="551"/>
        <v>38.225000000000009</v>
      </c>
      <c r="V103" s="665">
        <f t="shared" si="551"/>
        <v>47.427999999999997</v>
      </c>
      <c r="W103" s="665">
        <f t="shared" si="551"/>
        <v>57.334999999999994</v>
      </c>
      <c r="X103" s="666">
        <f t="shared" si="551"/>
        <v>68.665999999999983</v>
      </c>
      <c r="Y103" s="667">
        <f t="shared" si="551"/>
        <v>211.65400000000002</v>
      </c>
      <c r="Z103" s="612">
        <f t="shared" si="551"/>
        <v>0</v>
      </c>
      <c r="AA103" s="664">
        <f t="shared" si="551"/>
        <v>69.387999999999991</v>
      </c>
      <c r="AB103" s="665">
        <f t="shared" si="551"/>
        <v>66.009999999999991</v>
      </c>
      <c r="AC103" s="665">
        <f t="shared" si="551"/>
        <v>36.763999999999996</v>
      </c>
      <c r="AD103" s="666">
        <f t="shared" si="551"/>
        <v>27.298999999999943</v>
      </c>
      <c r="AE103" s="667">
        <f t="shared" si="551"/>
        <v>199.46099999999979</v>
      </c>
      <c r="AF103" s="612"/>
      <c r="AG103" s="664">
        <f>AG97-SUM(AG98:AG102)</f>
        <v>49.611999999999995</v>
      </c>
      <c r="AH103" s="665">
        <f>AH97-SUM(AH98:AH102)</f>
        <v>42.979999999999954</v>
      </c>
      <c r="AI103" s="665">
        <f>AI97-SUM(AI98:AI102)</f>
        <v>48.814000000000028</v>
      </c>
      <c r="AJ103" s="666">
        <f>AJ97-SUM(AJ98:AJ102)</f>
        <v>59.346000000000011</v>
      </c>
      <c r="AK103" s="667">
        <f>AK97-SUM(AK98:AK102)</f>
        <v>200.75200000000012</v>
      </c>
      <c r="AL103" s="668"/>
      <c r="AM103" s="664">
        <f>AM97-SUM(AM98:AM102)</f>
        <v>-45.146999999999963</v>
      </c>
      <c r="AN103" s="665">
        <f>AN97-SUM(AN98:AN102)</f>
        <v>60.006000000000014</v>
      </c>
      <c r="AO103" s="665">
        <f>AO97-SUM(AO98:AO102)</f>
        <v>45.464000000000041</v>
      </c>
      <c r="AP103" s="666">
        <f>AP97-SUM(AP98:AP102)</f>
        <v>73.78400000000002</v>
      </c>
      <c r="AQ103" s="667">
        <f>AQ97-SUM(AQ98:AQ102)</f>
        <v>134.10700000000014</v>
      </c>
      <c r="AR103" s="668"/>
      <c r="AS103" s="664">
        <f>AS97-SUM(AS98:AS102)</f>
        <v>92.096000000000004</v>
      </c>
      <c r="AT103" s="665">
        <f>AT97-SUM(AT98:AT102)</f>
        <v>100.239</v>
      </c>
      <c r="AU103" s="665">
        <f>AU97-SUM(AU98:AU102)</f>
        <v>119.49300000000002</v>
      </c>
      <c r="AV103" s="665">
        <f>AV97-SUM(AV98:AV102)</f>
        <v>202.398</v>
      </c>
      <c r="AW103" s="667">
        <f>AW97-SUM(AW98:AW102)</f>
        <v>514.22599999999954</v>
      </c>
      <c r="AX103" s="668"/>
      <c r="AY103" s="664">
        <f>AY97-SUM(AY98:AY102)</f>
        <v>176.12600000000003</v>
      </c>
      <c r="AZ103" s="665">
        <f>AZ97-SUM(AZ98:AZ102)</f>
        <v>151.93299999999991</v>
      </c>
      <c r="BA103" s="665">
        <f>BA97-SUM(BA98:BA102)</f>
        <v>140.78199999999998</v>
      </c>
      <c r="BB103" s="665">
        <f>BB97-SUM(BB98:BB102)</f>
        <v>144</v>
      </c>
      <c r="BC103" s="667">
        <f>BC97-SUM(BC98:BC102)</f>
        <v>612.84099999999967</v>
      </c>
      <c r="BD103" s="668"/>
      <c r="BE103" s="2251">
        <f>BE97-SUM(BE98:BE102)</f>
        <v>121.44500000000011</v>
      </c>
      <c r="BF103" s="665">
        <f>BF97-SUM(BF98:BF102)</f>
        <v>161.86900000000003</v>
      </c>
      <c r="BG103" s="665">
        <f>BG97-SUM(BG98:BG102)</f>
        <v>160.70200000000003</v>
      </c>
      <c r="BH103" s="665">
        <f>BH97-SUM(BH98:BH102)</f>
        <v>149.71200000000005</v>
      </c>
      <c r="BI103" s="667">
        <f>BI97-SUM(BI98:BI102)</f>
        <v>593.72800000000052</v>
      </c>
      <c r="BJ103" s="668"/>
      <c r="BK103" s="2251">
        <f>BK97-SUM(BK98:BK102)</f>
        <v>60</v>
      </c>
      <c r="BL103" s="665">
        <f>BL97-SUM(BL98:BL102)</f>
        <v>142.69999999999999</v>
      </c>
      <c r="BM103" s="665">
        <f>BM97-SUM(BM98:BM102)</f>
        <v>191.62</v>
      </c>
      <c r="BN103" s="665">
        <f>BN97-SUM(BN98:BN102)</f>
        <v>230.12000000000012</v>
      </c>
      <c r="BO103" s="667">
        <f>BO97-SUM(BO98:BO102)</f>
        <v>624.44000000000028</v>
      </c>
      <c r="BP103" s="668"/>
      <c r="BQ103" s="2251">
        <f>BQ97-SUM(BQ98:BQ102)</f>
        <v>229</v>
      </c>
      <c r="BR103" s="665">
        <f>BR97-SUM(BR98:BR102)</f>
        <v>185.93275572115658</v>
      </c>
      <c r="BS103" s="665">
        <f>BS97-SUM(BS98:BS102)</f>
        <v>193.84441653084184</v>
      </c>
      <c r="BT103" s="666">
        <f>BT97-SUM(BT98:BT102)</f>
        <v>206.58529242155095</v>
      </c>
      <c r="BU103" s="667">
        <f>BU97-SUM(BU98:BU102)</f>
        <v>815.36246467354977</v>
      </c>
      <c r="BV103" s="668"/>
      <c r="BW103" s="664">
        <f>BW97-SUM(BW98:BW102)</f>
        <v>244.09286495413642</v>
      </c>
      <c r="BX103" s="665">
        <f>BX97-SUM(BX98:BX102)</f>
        <v>195.92126569826451</v>
      </c>
      <c r="BY103" s="665">
        <f>BY97-SUM(BY98:BY102)</f>
        <v>203.926350607139</v>
      </c>
      <c r="BZ103" s="666">
        <f>BZ97-SUM(BZ98:BZ102)</f>
        <v>216.68861136164696</v>
      </c>
      <c r="CA103" s="667">
        <f>CA97-SUM(CA98:CA102)</f>
        <v>860.62909262118751</v>
      </c>
      <c r="CB103" s="668"/>
      <c r="CC103" s="664">
        <f>CC97-SUM(CC98:CC102)</f>
        <v>267.03727002790799</v>
      </c>
      <c r="CD103" s="665">
        <f>CD97-SUM(CD98:CD102)</f>
        <v>214.80515168357977</v>
      </c>
      <c r="CE103" s="665">
        <f>CE97-SUM(CE98:CE102)</f>
        <v>223.66803053737885</v>
      </c>
      <c r="CF103" s="666">
        <f>CF97-SUM(CF98:CF102)</f>
        <v>237.77820689869918</v>
      </c>
      <c r="CG103" s="667">
        <f>CG97-SUM(CG98:CG102)</f>
        <v>943.2886591475658</v>
      </c>
      <c r="CH103" s="668"/>
      <c r="CI103" s="664">
        <f t="shared" ref="CI103:CM103" si="552">CI97-SUM(CI98:CI102)</f>
        <v>292.32697336696424</v>
      </c>
      <c r="CJ103" s="665">
        <f t="shared" si="552"/>
        <v>235.62167774259967</v>
      </c>
      <c r="CK103" s="665">
        <f t="shared" si="552"/>
        <v>245.24751475872301</v>
      </c>
      <c r="CL103" s="666">
        <f t="shared" si="552"/>
        <v>261.3194797906952</v>
      </c>
      <c r="CM103" s="667">
        <f t="shared" si="552"/>
        <v>1034.5156456589825</v>
      </c>
      <c r="CN103" s="668"/>
      <c r="CO103" s="664">
        <f t="shared" ref="CO103:CS103" si="553">CO97-SUM(CO98:CO102)</f>
        <v>319.85714141024164</v>
      </c>
      <c r="CP103" s="665">
        <f t="shared" si="553"/>
        <v>260.78692321603125</v>
      </c>
      <c r="CQ103" s="665">
        <f t="shared" si="553"/>
        <v>272.65815280451329</v>
      </c>
      <c r="CR103" s="666">
        <f t="shared" si="553"/>
        <v>290.65527028737665</v>
      </c>
      <c r="CS103" s="667">
        <f t="shared" si="553"/>
        <v>1143.9574877181626</v>
      </c>
      <c r="CT103" s="926"/>
      <c r="CU103" s="927"/>
      <c r="CV103" s="927"/>
      <c r="DC103" s="921"/>
      <c r="DD103" s="921"/>
      <c r="DE103" s="921"/>
      <c r="DF103" s="921"/>
      <c r="DG103" s="921"/>
      <c r="DH103" s="921"/>
      <c r="DI103" s="921"/>
      <c r="DJ103" s="921"/>
      <c r="DK103" s="921"/>
      <c r="DL103" s="921"/>
    </row>
    <row r="104" spans="1:116">
      <c r="A104" s="604"/>
      <c r="B104" s="417"/>
      <c r="C104" s="519"/>
      <c r="D104" s="520"/>
      <c r="E104" s="520"/>
      <c r="F104" s="521"/>
      <c r="G104" s="631"/>
      <c r="H104" s="417"/>
      <c r="I104" s="523"/>
      <c r="J104" s="524"/>
      <c r="K104" s="524"/>
      <c r="L104" s="525"/>
      <c r="M104" s="482"/>
      <c r="N104" s="526"/>
      <c r="O104" s="523"/>
      <c r="P104" s="527"/>
      <c r="Q104" s="524"/>
      <c r="R104" s="525"/>
      <c r="S104" s="620"/>
      <c r="T104" s="417"/>
      <c r="U104" s="523"/>
      <c r="V104" s="524"/>
      <c r="W104" s="524"/>
      <c r="X104" s="525"/>
      <c r="Y104" s="669"/>
      <c r="Z104" s="417"/>
      <c r="AA104" s="523"/>
      <c r="AB104" s="524"/>
      <c r="AC104" s="524"/>
      <c r="AD104" s="525"/>
      <c r="AE104" s="528"/>
      <c r="AF104" s="417"/>
      <c r="AG104" s="523"/>
      <c r="AH104" s="524"/>
      <c r="AI104" s="524"/>
      <c r="AJ104" s="525"/>
      <c r="AK104" s="528"/>
      <c r="AL104" s="417"/>
      <c r="AM104" s="523"/>
      <c r="AN104" s="524"/>
      <c r="AO104" s="524"/>
      <c r="AP104" s="525"/>
      <c r="AQ104" s="528"/>
      <c r="AR104" s="417"/>
      <c r="AS104" s="523"/>
      <c r="AT104" s="527"/>
      <c r="AU104" s="527"/>
      <c r="AV104" s="527"/>
      <c r="AW104" s="528"/>
      <c r="AX104" s="417"/>
      <c r="AY104" s="523"/>
      <c r="AZ104" s="524"/>
      <c r="BA104" s="524"/>
      <c r="BB104" s="525"/>
      <c r="BC104" s="528"/>
      <c r="BD104" s="417"/>
      <c r="BE104" s="523"/>
      <c r="BF104" s="524"/>
      <c r="BG104" s="524"/>
      <c r="BH104" s="525"/>
      <c r="BI104" s="528"/>
      <c r="BJ104" s="417"/>
      <c r="BK104" s="523"/>
      <c r="BL104" s="524"/>
      <c r="BM104" s="524"/>
      <c r="BN104" s="525"/>
      <c r="BO104" s="2607"/>
      <c r="BP104" s="417"/>
      <c r="BQ104" s="523"/>
      <c r="BR104" s="524"/>
      <c r="BS104" s="524"/>
      <c r="BT104" s="525"/>
      <c r="BU104" s="2966"/>
      <c r="BV104" s="417"/>
      <c r="BW104" s="523"/>
      <c r="BX104" s="524"/>
      <c r="BY104" s="524"/>
      <c r="BZ104" s="525"/>
      <c r="CA104" s="528"/>
      <c r="CB104" s="417"/>
      <c r="CC104" s="523"/>
      <c r="CD104" s="524"/>
      <c r="CE104" s="524"/>
      <c r="CF104" s="525"/>
      <c r="CG104" s="528"/>
      <c r="CH104" s="417"/>
      <c r="CI104" s="523"/>
      <c r="CJ104" s="524"/>
      <c r="CK104" s="524"/>
      <c r="CL104" s="525"/>
      <c r="CM104" s="528"/>
      <c r="CN104" s="417"/>
      <c r="CO104" s="523"/>
      <c r="CP104" s="524"/>
      <c r="CQ104" s="524"/>
      <c r="CR104" s="525"/>
      <c r="CS104" s="528"/>
      <c r="CT104" s="416"/>
      <c r="CU104" s="400"/>
      <c r="CV104" s="400"/>
      <c r="DC104" s="921"/>
      <c r="DD104" s="921"/>
      <c r="DE104" s="921"/>
      <c r="DF104" s="921"/>
      <c r="DG104" s="921"/>
      <c r="DH104" s="921"/>
      <c r="DI104" s="921"/>
      <c r="DJ104" s="921"/>
      <c r="DK104" s="921"/>
      <c r="DL104" s="921"/>
    </row>
    <row r="105" spans="1:116">
      <c r="A105" s="671" t="s">
        <v>577</v>
      </c>
      <c r="B105" s="671"/>
      <c r="C105" s="613">
        <f>C30</f>
        <v>5.0430000000000046</v>
      </c>
      <c r="D105" s="614">
        <f>D30</f>
        <v>9.0619999999999941</v>
      </c>
      <c r="E105" s="614">
        <f>E30</f>
        <v>11.234000000000002</v>
      </c>
      <c r="F105" s="615">
        <f>F30</f>
        <v>12.858000000000022</v>
      </c>
      <c r="G105" s="616">
        <f>G30</f>
        <v>38.197000000000024</v>
      </c>
      <c r="H105" s="671"/>
      <c r="I105" s="613">
        <f>I30</f>
        <v>11.628</v>
      </c>
      <c r="J105" s="614">
        <f>J30</f>
        <v>15.175999999999991</v>
      </c>
      <c r="K105" s="614">
        <f>K30</f>
        <v>15.900999999999986</v>
      </c>
      <c r="L105" s="615">
        <f>L30</f>
        <v>27.61200000000003</v>
      </c>
      <c r="M105" s="616">
        <f>M30</f>
        <v>70.317000000000007</v>
      </c>
      <c r="N105" s="613"/>
      <c r="O105" s="613">
        <f>O30</f>
        <v>25.423000000000005</v>
      </c>
      <c r="P105" s="614">
        <f>P30</f>
        <v>29.166000000000004</v>
      </c>
      <c r="Q105" s="614">
        <f>Q30</f>
        <v>22.561000000000021</v>
      </c>
      <c r="R105" s="615">
        <f>R30</f>
        <v>27.024999999999977</v>
      </c>
      <c r="S105" s="616">
        <f>S30</f>
        <v>104.17500000000004</v>
      </c>
      <c r="T105" s="613"/>
      <c r="U105" s="613">
        <f>U30</f>
        <v>26.558000000000014</v>
      </c>
      <c r="V105" s="614">
        <f>V30</f>
        <v>34.035999999999994</v>
      </c>
      <c r="W105" s="614">
        <f>W30</f>
        <v>40.739999999999995</v>
      </c>
      <c r="X105" s="615">
        <f>X30</f>
        <v>40.84999999999998</v>
      </c>
      <c r="Y105" s="616">
        <f>Y30</f>
        <v>142.18400000000003</v>
      </c>
      <c r="Z105" s="613"/>
      <c r="AA105" s="613">
        <f>AA30</f>
        <v>50.266999999999989</v>
      </c>
      <c r="AB105" s="614">
        <f>AB30</f>
        <v>52.489999999999988</v>
      </c>
      <c r="AC105" s="614">
        <f>AC30</f>
        <v>29.727999999999994</v>
      </c>
      <c r="AD105" s="615">
        <f>AD30</f>
        <v>43.522999999999954</v>
      </c>
      <c r="AE105" s="616">
        <f>AE30</f>
        <v>176.00799999999978</v>
      </c>
      <c r="AF105" s="613"/>
      <c r="AG105" s="613">
        <f>AG30</f>
        <v>47.551999999999992</v>
      </c>
      <c r="AH105" s="614">
        <f>AH30</f>
        <v>52.572999999999951</v>
      </c>
      <c r="AI105" s="614">
        <f>AI30</f>
        <v>53.503000000000036</v>
      </c>
      <c r="AJ105" s="615">
        <f>AJ30</f>
        <v>56.800000000000018</v>
      </c>
      <c r="AK105" s="616">
        <f>AK30</f>
        <v>210.42800000000008</v>
      </c>
      <c r="AL105" s="613"/>
      <c r="AM105" s="613">
        <f>AM30</f>
        <v>62.619000000000028</v>
      </c>
      <c r="AN105" s="614">
        <f>AN30</f>
        <v>59.69400000000001</v>
      </c>
      <c r="AO105" s="614">
        <f>AO30</f>
        <v>62.846000000000046</v>
      </c>
      <c r="AP105" s="615">
        <f>AP30</f>
        <v>64.504000000000019</v>
      </c>
      <c r="AQ105" s="616">
        <f>AQ30</f>
        <v>249.66300000000012</v>
      </c>
      <c r="AR105" s="613"/>
      <c r="AS105" s="613">
        <f>AS30</f>
        <v>80.046999999999997</v>
      </c>
      <c r="AT105" s="614">
        <f>AT30</f>
        <v>84.57</v>
      </c>
      <c r="AU105" s="614">
        <f>AU30</f>
        <v>113.65100000000004</v>
      </c>
      <c r="AV105" s="614">
        <f>AV30</f>
        <v>128.94900000000001</v>
      </c>
      <c r="AW105" s="616">
        <f>AW30</f>
        <v>407.21699999999964</v>
      </c>
      <c r="AX105" s="613"/>
      <c r="AY105" s="613">
        <f>AY30</f>
        <v>135.37600000000006</v>
      </c>
      <c r="AZ105" s="614">
        <f>AZ30</f>
        <v>119.67099999999991</v>
      </c>
      <c r="BA105" s="614">
        <f>BA30</f>
        <v>119.58599999999997</v>
      </c>
      <c r="BB105" s="615">
        <f>BB30</f>
        <v>120.57000000000001</v>
      </c>
      <c r="BC105" s="616">
        <f>BC30</f>
        <v>495.20299999999969</v>
      </c>
      <c r="BD105" s="613"/>
      <c r="BE105" s="613">
        <f>BE30</f>
        <v>105.53700000000009</v>
      </c>
      <c r="BF105" s="614">
        <f>BF30</f>
        <v>127.20400000000001</v>
      </c>
      <c r="BG105" s="614">
        <f>BG30</f>
        <v>144.05800000000002</v>
      </c>
      <c r="BH105" s="615">
        <f>BH30</f>
        <v>126.43300000000005</v>
      </c>
      <c r="BI105" s="616">
        <f>BI30</f>
        <v>503.23200000000043</v>
      </c>
      <c r="BJ105" s="613"/>
      <c r="BK105" s="613">
        <f>BK30</f>
        <v>94</v>
      </c>
      <c r="BL105" s="614">
        <f>BL30</f>
        <v>121.3</v>
      </c>
      <c r="BM105" s="614">
        <f>BM30</f>
        <v>163.42000000000002</v>
      </c>
      <c r="BN105" s="615">
        <f>BN30</f>
        <v>212.12000000000012</v>
      </c>
      <c r="BO105" s="616">
        <f>BO30</f>
        <v>590.84000000000026</v>
      </c>
      <c r="BP105" s="614"/>
      <c r="BQ105" s="613">
        <f>BQ30</f>
        <v>214</v>
      </c>
      <c r="BR105" s="614">
        <f>BR30</f>
        <v>165.27165001571481</v>
      </c>
      <c r="BS105" s="614">
        <f>BS30</f>
        <v>172.43933703477836</v>
      </c>
      <c r="BT105" s="615">
        <f>BT30</f>
        <v>183.32614500258657</v>
      </c>
      <c r="BU105" s="616">
        <f>BU30</f>
        <v>735.0371320530802</v>
      </c>
      <c r="BV105" s="614"/>
      <c r="BW105" s="613">
        <f>BW30</f>
        <v>218.86174878211997</v>
      </c>
      <c r="BX105" s="614">
        <f>BX30</f>
        <v>180.87823001353337</v>
      </c>
      <c r="BY105" s="614">
        <f>BY30</f>
        <v>188.3081295345811</v>
      </c>
      <c r="BZ105" s="615">
        <f>BZ30</f>
        <v>199.38885826705709</v>
      </c>
      <c r="CA105" s="616">
        <f>CA30</f>
        <v>787.43696659729198</v>
      </c>
      <c r="CB105" s="614"/>
      <c r="CC105" s="613">
        <f>CC30</f>
        <v>240.57453602593077</v>
      </c>
      <c r="CD105" s="614">
        <f>CD30</f>
        <v>256.94221423167102</v>
      </c>
      <c r="CE105" s="614">
        <f>CE30</f>
        <v>271.68886697121042</v>
      </c>
      <c r="CF105" s="615">
        <f>CF30</f>
        <v>288.24665373192443</v>
      </c>
      <c r="CG105" s="616">
        <f>CG30</f>
        <v>1057.4522709607365</v>
      </c>
      <c r="CH105" s="614"/>
      <c r="CI105" s="613">
        <f t="shared" ref="CI105:CM105" si="554">CI30</f>
        <v>337.27276687442452</v>
      </c>
      <c r="CJ105" s="614">
        <f t="shared" si="554"/>
        <v>227.44490994919394</v>
      </c>
      <c r="CK105" s="614">
        <f t="shared" si="554"/>
        <v>237.2175308702906</v>
      </c>
      <c r="CL105" s="615">
        <f t="shared" si="554"/>
        <v>251.77597142459146</v>
      </c>
      <c r="CM105" s="616">
        <f t="shared" si="554"/>
        <v>1053.7111791185009</v>
      </c>
      <c r="CN105" s="614"/>
      <c r="CO105" s="613">
        <f t="shared" ref="CO105:CS105" si="555">CO30</f>
        <v>300.35222375662784</v>
      </c>
      <c r="CP105" s="614">
        <f t="shared" si="555"/>
        <v>254.586416515319</v>
      </c>
      <c r="CQ105" s="614">
        <f t="shared" si="555"/>
        <v>266.62115128469571</v>
      </c>
      <c r="CR105" s="615">
        <f t="shared" si="555"/>
        <v>283.17510452868424</v>
      </c>
      <c r="CS105" s="616">
        <f t="shared" si="555"/>
        <v>1104.7348960853265</v>
      </c>
      <c r="CT105" s="939"/>
      <c r="CU105" s="940"/>
      <c r="CV105" s="940"/>
      <c r="DC105" s="921"/>
      <c r="DD105" s="921"/>
      <c r="DE105" s="921"/>
      <c r="DF105" s="921"/>
      <c r="DG105" s="921"/>
      <c r="DH105" s="921"/>
      <c r="DI105" s="921"/>
      <c r="DJ105" s="921"/>
      <c r="DK105" s="921"/>
      <c r="DL105" s="921"/>
    </row>
    <row r="106" spans="1:116" hidden="1" outlineLevel="1">
      <c r="A106" s="672" t="s">
        <v>79</v>
      </c>
      <c r="B106" s="673"/>
      <c r="C106" s="674">
        <v>0</v>
      </c>
      <c r="D106" s="675">
        <v>0</v>
      </c>
      <c r="E106" s="675">
        <v>0</v>
      </c>
      <c r="F106" s="676">
        <v>0</v>
      </c>
      <c r="G106" s="677">
        <f t="shared" ref="G106:G116" si="556">SUM(C106:F106)</f>
        <v>0</v>
      </c>
      <c r="H106" s="673"/>
      <c r="I106" s="674">
        <v>4.423</v>
      </c>
      <c r="J106" s="675">
        <v>4.5119999999999996</v>
      </c>
      <c r="K106" s="675">
        <v>4.5960000000000001</v>
      </c>
      <c r="L106" s="676">
        <f>18.219-SUM(I106:K106)</f>
        <v>4.6880000000000024</v>
      </c>
      <c r="M106" s="677">
        <f t="shared" ref="M106:M116" si="557">SUM(I106:L106)</f>
        <v>18.219000000000001</v>
      </c>
      <c r="N106" s="678"/>
      <c r="O106" s="679">
        <v>4.718</v>
      </c>
      <c r="P106" s="680">
        <v>4.758</v>
      </c>
      <c r="Q106" s="680">
        <v>4.8490000000000002</v>
      </c>
      <c r="R106" s="676">
        <f>19.656-SUM(O106:Q106)</f>
        <v>5.3309999999999995</v>
      </c>
      <c r="S106" s="677">
        <f t="shared" ref="S106:S116" si="558">SUM(O106:R106)</f>
        <v>19.655999999999999</v>
      </c>
      <c r="T106" s="678"/>
      <c r="U106" s="679">
        <v>5.0549999999999997</v>
      </c>
      <c r="V106" s="680">
        <v>5.1559999999999997</v>
      </c>
      <c r="W106" s="680">
        <v>5.258</v>
      </c>
      <c r="X106" s="676">
        <f>20.832-SUM(U106:W106)</f>
        <v>5.3630000000000031</v>
      </c>
      <c r="Y106" s="677">
        <f t="shared" ref="Y106:Y116" si="559">SUM(U106:X106)</f>
        <v>20.832000000000001</v>
      </c>
      <c r="Z106" s="678"/>
      <c r="AA106" s="679">
        <v>6.5010000000000003</v>
      </c>
      <c r="AB106" s="680">
        <v>8.2520000000000007</v>
      </c>
      <c r="AC106" s="680">
        <v>9.1999999999999993</v>
      </c>
      <c r="AD106" s="676">
        <f>32.495-SUM(AA106:AC106)</f>
        <v>8.541999999999998</v>
      </c>
      <c r="AE106" s="677">
        <f>SUM(AA106:AD106)</f>
        <v>32.494999999999997</v>
      </c>
      <c r="AF106" s="678"/>
      <c r="AG106" s="679">
        <v>8.6419999999999995</v>
      </c>
      <c r="AH106" s="680">
        <v>8.7430000000000003</v>
      </c>
      <c r="AI106" s="680">
        <v>8.8460000000000001</v>
      </c>
      <c r="AJ106" s="676">
        <v>8.9499999999999993</v>
      </c>
      <c r="AK106" s="677">
        <f t="shared" ref="AK106:AK116" si="560">SUM(AG106:AJ106)</f>
        <v>35.180999999999997</v>
      </c>
      <c r="AL106" s="681"/>
      <c r="AM106" s="679">
        <v>9.0519999999999996</v>
      </c>
      <c r="AN106" s="680">
        <v>9.0660000000000007</v>
      </c>
      <c r="AO106" s="680">
        <v>9.1029999999999998</v>
      </c>
      <c r="AP106" s="676">
        <v>9.1820000000000004</v>
      </c>
      <c r="AQ106" s="677">
        <f t="shared" ref="AQ106:AQ116" si="561">SUM(AM106:AP106)</f>
        <v>36.403000000000006</v>
      </c>
      <c r="AR106" s="682"/>
      <c r="AS106" s="679">
        <v>9.0220000000000002</v>
      </c>
      <c r="AT106" s="680">
        <v>9.1430000000000007</v>
      </c>
      <c r="AU106" s="680">
        <v>9.89</v>
      </c>
      <c r="AV106" s="680">
        <v>10.099</v>
      </c>
      <c r="AW106" s="677">
        <f t="shared" ref="AW106:AW116" si="562">SUM(AS106:AV106)</f>
        <v>38.153999999999996</v>
      </c>
      <c r="AX106" s="682"/>
      <c r="AY106" s="679">
        <v>10.188000000000001</v>
      </c>
      <c r="AZ106" s="680">
        <v>10.227</v>
      </c>
      <c r="BA106" s="680">
        <v>13.794</v>
      </c>
      <c r="BB106" s="676">
        <v>8.7050000000000001</v>
      </c>
      <c r="BC106" s="677">
        <f t="shared" ref="BC106:BC116" si="563">SUM(AY106:BB106)</f>
        <v>42.914000000000001</v>
      </c>
      <c r="BD106" s="682"/>
      <c r="BE106" s="679">
        <v>7.7460000000000004</v>
      </c>
      <c r="BF106" s="680">
        <v>7.29</v>
      </c>
      <c r="BG106" s="680">
        <v>7.3460000000000001</v>
      </c>
      <c r="BH106" s="676">
        <v>7.4039999999999999</v>
      </c>
      <c r="BI106" s="677">
        <f t="shared" ref="BI106:BI116" si="564">SUM(BE106:BH106)</f>
        <v>29.786000000000001</v>
      </c>
      <c r="BJ106" s="682"/>
      <c r="BK106" s="679">
        <v>7</v>
      </c>
      <c r="BL106" s="680">
        <v>8</v>
      </c>
      <c r="BM106" s="680">
        <v>8</v>
      </c>
      <c r="BN106" s="676">
        <v>8</v>
      </c>
      <c r="BO106" s="677">
        <f t="shared" ref="BO106:BO116" si="565">SUM(BK106:BN106)</f>
        <v>31</v>
      </c>
      <c r="BP106" s="1365"/>
      <c r="BQ106" s="679">
        <v>8</v>
      </c>
      <c r="BR106" s="680">
        <f>+BQ106</f>
        <v>8</v>
      </c>
      <c r="BS106" s="680">
        <f>+BR106</f>
        <v>8</v>
      </c>
      <c r="BT106" s="676">
        <f>+BS106</f>
        <v>8</v>
      </c>
      <c r="BU106" s="677">
        <f t="shared" ref="BU106:BU116" si="566">SUM(BQ106:BT106)</f>
        <v>32</v>
      </c>
      <c r="BV106" s="1365"/>
      <c r="BW106" s="679">
        <f>+BT106</f>
        <v>8</v>
      </c>
      <c r="BX106" s="680">
        <f>+BW106</f>
        <v>8</v>
      </c>
      <c r="BY106" s="680">
        <f>+BX106</f>
        <v>8</v>
      </c>
      <c r="BZ106" s="676">
        <f>+BY106</f>
        <v>8</v>
      </c>
      <c r="CA106" s="677">
        <f t="shared" ref="CA106:CA116" si="567">SUM(BW106:BZ106)</f>
        <v>32</v>
      </c>
      <c r="CB106" s="1365"/>
      <c r="CC106" s="679">
        <f>+BZ106</f>
        <v>8</v>
      </c>
      <c r="CD106" s="680">
        <f>+CC106</f>
        <v>8</v>
      </c>
      <c r="CE106" s="680">
        <f>+CD106</f>
        <v>8</v>
      </c>
      <c r="CF106" s="676">
        <f>+CE106</f>
        <v>8</v>
      </c>
      <c r="CG106" s="677">
        <f t="shared" ref="CG106:CG116" si="568">SUM(CC106:CF106)</f>
        <v>32</v>
      </c>
      <c r="CH106" s="1365"/>
      <c r="CI106" s="679">
        <f t="shared" ref="CI106" si="569">+CF106</f>
        <v>8</v>
      </c>
      <c r="CJ106" s="680">
        <f t="shared" ref="CJ106:CL106" si="570">+CI106</f>
        <v>8</v>
      </c>
      <c r="CK106" s="680">
        <f t="shared" si="570"/>
        <v>8</v>
      </c>
      <c r="CL106" s="676">
        <f t="shared" si="570"/>
        <v>8</v>
      </c>
      <c r="CM106" s="677">
        <f t="shared" ref="CM106:CM116" si="571">SUM(CI106:CL106)</f>
        <v>32</v>
      </c>
      <c r="CN106" s="1365"/>
      <c r="CO106" s="679">
        <f t="shared" ref="CO106" si="572">+CL106</f>
        <v>8</v>
      </c>
      <c r="CP106" s="680">
        <f t="shared" ref="CP106:CR106" si="573">+CO106</f>
        <v>8</v>
      </c>
      <c r="CQ106" s="680">
        <f t="shared" si="573"/>
        <v>8</v>
      </c>
      <c r="CR106" s="676">
        <f t="shared" si="573"/>
        <v>8</v>
      </c>
      <c r="CS106" s="677">
        <f t="shared" ref="CS106:CS116" si="574">SUM(CO106:CR106)</f>
        <v>32</v>
      </c>
      <c r="CT106" s="416"/>
      <c r="CU106" s="400"/>
      <c r="CV106" s="400"/>
      <c r="DC106" s="921"/>
      <c r="DD106" s="921"/>
      <c r="DE106" s="921"/>
      <c r="DF106" s="921"/>
      <c r="DG106" s="921"/>
      <c r="DH106" s="921"/>
      <c r="DI106" s="921"/>
      <c r="DJ106" s="921"/>
      <c r="DK106" s="921"/>
      <c r="DL106" s="921"/>
    </row>
    <row r="107" spans="1:116" hidden="1" outlineLevel="1">
      <c r="A107" s="604" t="s">
        <v>80</v>
      </c>
      <c r="B107" s="417"/>
      <c r="C107" s="429">
        <v>0</v>
      </c>
      <c r="D107" s="430">
        <v>0</v>
      </c>
      <c r="E107" s="430">
        <v>0</v>
      </c>
      <c r="F107" s="683">
        <v>0</v>
      </c>
      <c r="G107" s="684">
        <f t="shared" si="556"/>
        <v>0</v>
      </c>
      <c r="H107" s="417"/>
      <c r="I107" s="429">
        <v>0</v>
      </c>
      <c r="J107" s="430">
        <v>0</v>
      </c>
      <c r="K107" s="430">
        <v>0</v>
      </c>
      <c r="L107" s="683">
        <f>0-SUM(I107:K107)</f>
        <v>0</v>
      </c>
      <c r="M107" s="684">
        <f t="shared" si="557"/>
        <v>0</v>
      </c>
      <c r="N107" s="685"/>
      <c r="O107" s="686">
        <v>0</v>
      </c>
      <c r="P107" s="687">
        <v>0</v>
      </c>
      <c r="Q107" s="687">
        <v>0</v>
      </c>
      <c r="R107" s="683">
        <v>0</v>
      </c>
      <c r="S107" s="684">
        <f t="shared" si="558"/>
        <v>0</v>
      </c>
      <c r="T107" s="685"/>
      <c r="U107" s="686">
        <v>0</v>
      </c>
      <c r="V107" s="687">
        <v>0</v>
      </c>
      <c r="W107" s="687">
        <v>0</v>
      </c>
      <c r="X107" s="683">
        <v>0</v>
      </c>
      <c r="Y107" s="684">
        <f t="shared" si="559"/>
        <v>0</v>
      </c>
      <c r="Z107" s="685"/>
      <c r="AA107" s="686">
        <v>2.5219999999999998</v>
      </c>
      <c r="AB107" s="687">
        <v>2.5419999999999998</v>
      </c>
      <c r="AC107" s="687">
        <v>6.5190000000000001</v>
      </c>
      <c r="AD107" s="683">
        <f>41.826-SUM(AA107:AC107)</f>
        <v>30.243000000000002</v>
      </c>
      <c r="AE107" s="684">
        <f t="shared" ref="AE107:AE116" si="575">SUM(AA107:AD107)</f>
        <v>41.826000000000001</v>
      </c>
      <c r="AF107" s="685"/>
      <c r="AG107" s="686">
        <v>2.14</v>
      </c>
      <c r="AH107" s="687">
        <v>1.83</v>
      </c>
      <c r="AI107" s="687">
        <v>19.475000000000001</v>
      </c>
      <c r="AJ107" s="683">
        <v>2.883</v>
      </c>
      <c r="AK107" s="684">
        <f t="shared" si="560"/>
        <v>26.327999999999999</v>
      </c>
      <c r="AL107" s="688"/>
      <c r="AM107" s="686">
        <v>0.75700000000000001</v>
      </c>
      <c r="AN107" s="687">
        <v>-1.5069999999999999</v>
      </c>
      <c r="AO107" s="687">
        <v>0.51800000000000002</v>
      </c>
      <c r="AP107" s="683">
        <v>2.8559999999999999</v>
      </c>
      <c r="AQ107" s="684">
        <f t="shared" si="561"/>
        <v>2.6240000000000001</v>
      </c>
      <c r="AR107" s="689"/>
      <c r="AS107" s="686">
        <v>0.59499999999999997</v>
      </c>
      <c r="AT107" s="687">
        <v>2.8919999999999999</v>
      </c>
      <c r="AU107" s="687">
        <v>0.87</v>
      </c>
      <c r="AV107" s="687">
        <v>1.2809999999999999</v>
      </c>
      <c r="AW107" s="684">
        <f t="shared" si="562"/>
        <v>5.6379999999999999</v>
      </c>
      <c r="AX107" s="689"/>
      <c r="AY107" s="686">
        <v>0.69899999999999995</v>
      </c>
      <c r="AZ107" s="687">
        <v>1.48</v>
      </c>
      <c r="BA107" s="687">
        <v>-5.226</v>
      </c>
      <c r="BB107" s="683">
        <v>0.436</v>
      </c>
      <c r="BC107" s="684">
        <f t="shared" si="563"/>
        <v>-2.6110000000000002</v>
      </c>
      <c r="BD107" s="689"/>
      <c r="BE107" s="686">
        <v>0.38200000000000001</v>
      </c>
      <c r="BF107" s="687">
        <v>0.30199999999999999</v>
      </c>
      <c r="BG107" s="687">
        <v>0.38500000000000001</v>
      </c>
      <c r="BH107" s="683">
        <v>0.41699999999999998</v>
      </c>
      <c r="BI107" s="684">
        <f t="shared" si="564"/>
        <v>1.486</v>
      </c>
      <c r="BJ107" s="689"/>
      <c r="BK107" s="686">
        <v>0</v>
      </c>
      <c r="BL107" s="687">
        <v>0</v>
      </c>
      <c r="BM107" s="687">
        <v>0</v>
      </c>
      <c r="BN107" s="683">
        <v>0</v>
      </c>
      <c r="BO107" s="684">
        <f t="shared" si="565"/>
        <v>0</v>
      </c>
      <c r="BP107" s="1366"/>
      <c r="BQ107" s="686">
        <v>0</v>
      </c>
      <c r="BR107" s="687">
        <v>0</v>
      </c>
      <c r="BS107" s="687">
        <v>0</v>
      </c>
      <c r="BT107" s="683">
        <v>0</v>
      </c>
      <c r="BU107" s="684">
        <f t="shared" si="566"/>
        <v>0</v>
      </c>
      <c r="BV107" s="1366"/>
      <c r="BW107" s="686">
        <v>0</v>
      </c>
      <c r="BX107" s="687">
        <v>0</v>
      </c>
      <c r="BY107" s="687">
        <v>0</v>
      </c>
      <c r="BZ107" s="683">
        <v>0</v>
      </c>
      <c r="CA107" s="684">
        <f t="shared" si="567"/>
        <v>0</v>
      </c>
      <c r="CB107" s="1366"/>
      <c r="CC107" s="686">
        <v>0</v>
      </c>
      <c r="CD107" s="687">
        <v>0</v>
      </c>
      <c r="CE107" s="687">
        <v>0</v>
      </c>
      <c r="CF107" s="683">
        <v>0</v>
      </c>
      <c r="CG107" s="684">
        <f t="shared" si="568"/>
        <v>0</v>
      </c>
      <c r="CH107" s="1366"/>
      <c r="CI107" s="686">
        <v>0</v>
      </c>
      <c r="CJ107" s="687">
        <v>0</v>
      </c>
      <c r="CK107" s="687">
        <v>0</v>
      </c>
      <c r="CL107" s="683">
        <v>0</v>
      </c>
      <c r="CM107" s="684">
        <f t="shared" si="571"/>
        <v>0</v>
      </c>
      <c r="CN107" s="1366"/>
      <c r="CO107" s="686">
        <v>0</v>
      </c>
      <c r="CP107" s="687">
        <v>0</v>
      </c>
      <c r="CQ107" s="687">
        <v>0</v>
      </c>
      <c r="CR107" s="683">
        <v>0</v>
      </c>
      <c r="CS107" s="684">
        <f t="shared" si="574"/>
        <v>0</v>
      </c>
      <c r="CT107" s="416"/>
      <c r="CU107" s="400"/>
      <c r="CV107" s="400"/>
      <c r="DC107" s="921"/>
      <c r="DD107" s="921"/>
      <c r="DE107" s="921"/>
      <c r="DF107" s="921"/>
      <c r="DG107" s="921"/>
      <c r="DH107" s="921"/>
      <c r="DI107" s="921"/>
      <c r="DJ107" s="921"/>
      <c r="DK107" s="921"/>
      <c r="DL107" s="921"/>
    </row>
    <row r="108" spans="1:116" hidden="1" outlineLevel="1">
      <c r="A108" s="604" t="s">
        <v>81</v>
      </c>
      <c r="B108" s="417"/>
      <c r="C108" s="429">
        <f>0.442</f>
        <v>0.442</v>
      </c>
      <c r="D108" s="430">
        <v>0.66200000000000003</v>
      </c>
      <c r="E108" s="430">
        <v>0.66200000000000003</v>
      </c>
      <c r="F108" s="683">
        <f>2.429-SUM(C108:E108)</f>
        <v>0.66299999999999981</v>
      </c>
      <c r="G108" s="684">
        <f t="shared" si="556"/>
        <v>2.4289999999999998</v>
      </c>
      <c r="H108" s="417"/>
      <c r="I108" s="429">
        <v>2.415</v>
      </c>
      <c r="J108" s="430">
        <v>2.669</v>
      </c>
      <c r="K108" s="430">
        <f>2.702</f>
        <v>2.702</v>
      </c>
      <c r="L108" s="683">
        <f>10.438-SUM(I108:K108)</f>
        <v>2.652000000000001</v>
      </c>
      <c r="M108" s="684">
        <f t="shared" si="557"/>
        <v>10.438000000000001</v>
      </c>
      <c r="N108" s="685"/>
      <c r="O108" s="686">
        <v>1.67</v>
      </c>
      <c r="P108" s="687">
        <v>1.67</v>
      </c>
      <c r="Q108" s="687">
        <v>1.67</v>
      </c>
      <c r="R108" s="683">
        <f>6.68-SUM(O108:Q108)</f>
        <v>1.67</v>
      </c>
      <c r="S108" s="684">
        <f t="shared" si="558"/>
        <v>6.68</v>
      </c>
      <c r="T108" s="685"/>
      <c r="U108" s="686">
        <v>1.62</v>
      </c>
      <c r="V108" s="687">
        <v>1.595</v>
      </c>
      <c r="W108" s="687">
        <v>2.2949999999999999</v>
      </c>
      <c r="X108" s="683">
        <f>7.805-SUM(U108:W108)</f>
        <v>2.2949999999999999</v>
      </c>
      <c r="Y108" s="684">
        <f t="shared" si="559"/>
        <v>7.8049999999999997</v>
      </c>
      <c r="Z108" s="685"/>
      <c r="AA108" s="686">
        <v>2.9849999999999999</v>
      </c>
      <c r="AB108" s="687">
        <v>3.3279999999999998</v>
      </c>
      <c r="AC108" s="687">
        <v>3.1880000000000002</v>
      </c>
      <c r="AD108" s="683">
        <f>12.689-SUM(AA108:AC108)</f>
        <v>3.1880000000000006</v>
      </c>
      <c r="AE108" s="684">
        <f t="shared" si="575"/>
        <v>12.689</v>
      </c>
      <c r="AF108" s="685"/>
      <c r="AG108" s="686">
        <v>3.1949999999999998</v>
      </c>
      <c r="AH108" s="687">
        <v>3.1949999999999998</v>
      </c>
      <c r="AI108" s="687">
        <v>3.74</v>
      </c>
      <c r="AJ108" s="683">
        <v>5.4109999999999996</v>
      </c>
      <c r="AK108" s="684">
        <f t="shared" si="560"/>
        <v>15.540999999999999</v>
      </c>
      <c r="AL108" s="688"/>
      <c r="AM108" s="686">
        <v>8.1310000000000002</v>
      </c>
      <c r="AN108" s="687">
        <v>10.805</v>
      </c>
      <c r="AO108" s="687">
        <v>12.853</v>
      </c>
      <c r="AP108" s="683">
        <v>12.896000000000001</v>
      </c>
      <c r="AQ108" s="684">
        <f t="shared" si="561"/>
        <v>44.685000000000002</v>
      </c>
      <c r="AR108" s="689"/>
      <c r="AS108" s="686">
        <v>13.191000000000001</v>
      </c>
      <c r="AT108" s="687">
        <v>11.507</v>
      </c>
      <c r="AU108" s="687">
        <v>11.263999999999999</v>
      </c>
      <c r="AV108" s="687">
        <v>12.202999999999999</v>
      </c>
      <c r="AW108" s="684">
        <f t="shared" si="562"/>
        <v>48.165000000000006</v>
      </c>
      <c r="AX108" s="689"/>
      <c r="AY108" s="686">
        <v>12.887</v>
      </c>
      <c r="AZ108" s="687">
        <v>12.772</v>
      </c>
      <c r="BA108" s="687">
        <v>9.4689999999999994</v>
      </c>
      <c r="BB108" s="683">
        <v>12.375999999999999</v>
      </c>
      <c r="BC108" s="684">
        <f t="shared" si="563"/>
        <v>47.503999999999998</v>
      </c>
      <c r="BD108" s="689"/>
      <c r="BE108" s="686">
        <v>12.026</v>
      </c>
      <c r="BF108" s="687">
        <v>12.112</v>
      </c>
      <c r="BG108" s="687">
        <v>12.423</v>
      </c>
      <c r="BH108" s="683">
        <v>12.423</v>
      </c>
      <c r="BI108" s="684">
        <f t="shared" si="564"/>
        <v>48.984000000000002</v>
      </c>
      <c r="BJ108" s="689"/>
      <c r="BK108" s="686">
        <v>13</v>
      </c>
      <c r="BL108" s="687">
        <v>12</v>
      </c>
      <c r="BM108" s="687">
        <v>11</v>
      </c>
      <c r="BN108" s="683">
        <v>10</v>
      </c>
      <c r="BO108" s="684">
        <f t="shared" si="565"/>
        <v>46</v>
      </c>
      <c r="BP108" s="1366"/>
      <c r="BQ108" s="686">
        <v>9</v>
      </c>
      <c r="BR108" s="687">
        <f>+BQ108</f>
        <v>9</v>
      </c>
      <c r="BS108" s="687">
        <f>+BR108</f>
        <v>9</v>
      </c>
      <c r="BT108" s="683">
        <f>+BS108</f>
        <v>9</v>
      </c>
      <c r="BU108" s="684">
        <f t="shared" si="566"/>
        <v>36</v>
      </c>
      <c r="BV108" s="1366"/>
      <c r="BW108" s="686">
        <f>+BT108</f>
        <v>9</v>
      </c>
      <c r="BX108" s="687">
        <f>+BW108</f>
        <v>9</v>
      </c>
      <c r="BY108" s="687">
        <f>+BX108</f>
        <v>9</v>
      </c>
      <c r="BZ108" s="683">
        <f>+BY108</f>
        <v>9</v>
      </c>
      <c r="CA108" s="684">
        <f t="shared" si="567"/>
        <v>36</v>
      </c>
      <c r="CB108" s="1366"/>
      <c r="CC108" s="686">
        <f>+BZ108</f>
        <v>9</v>
      </c>
      <c r="CD108" s="687">
        <f>+CC108</f>
        <v>9</v>
      </c>
      <c r="CE108" s="687">
        <f>+CD108</f>
        <v>9</v>
      </c>
      <c r="CF108" s="683">
        <f>+CE108</f>
        <v>9</v>
      </c>
      <c r="CG108" s="684">
        <f t="shared" si="568"/>
        <v>36</v>
      </c>
      <c r="CH108" s="1366"/>
      <c r="CI108" s="686">
        <f t="shared" ref="CI108" si="576">+CF108</f>
        <v>9</v>
      </c>
      <c r="CJ108" s="687">
        <f t="shared" ref="CJ108:CL108" si="577">+CI108</f>
        <v>9</v>
      </c>
      <c r="CK108" s="687">
        <f t="shared" si="577"/>
        <v>9</v>
      </c>
      <c r="CL108" s="683">
        <f t="shared" si="577"/>
        <v>9</v>
      </c>
      <c r="CM108" s="684">
        <f t="shared" si="571"/>
        <v>36</v>
      </c>
      <c r="CN108" s="1366"/>
      <c r="CO108" s="686">
        <f t="shared" ref="CO108" si="578">+CL108</f>
        <v>9</v>
      </c>
      <c r="CP108" s="687">
        <f t="shared" ref="CP108:CR108" si="579">+CO108</f>
        <v>9</v>
      </c>
      <c r="CQ108" s="687">
        <f t="shared" si="579"/>
        <v>9</v>
      </c>
      <c r="CR108" s="683">
        <f t="shared" si="579"/>
        <v>9</v>
      </c>
      <c r="CS108" s="684">
        <f t="shared" si="574"/>
        <v>36</v>
      </c>
      <c r="CT108" s="416"/>
      <c r="CU108" s="400"/>
      <c r="CV108" s="400"/>
      <c r="DC108" s="921"/>
      <c r="DD108" s="921"/>
      <c r="DE108" s="921"/>
      <c r="DF108" s="921"/>
      <c r="DG108" s="921"/>
      <c r="DH108" s="921"/>
      <c r="DI108" s="921"/>
      <c r="DJ108" s="921"/>
      <c r="DK108" s="921"/>
      <c r="DL108" s="921"/>
    </row>
    <row r="109" spans="1:116" hidden="1" outlineLevel="1">
      <c r="A109" s="604" t="s">
        <v>82</v>
      </c>
      <c r="B109" s="417"/>
      <c r="C109" s="429">
        <v>0</v>
      </c>
      <c r="D109" s="430">
        <v>0</v>
      </c>
      <c r="E109" s="430">
        <v>0</v>
      </c>
      <c r="F109" s="683">
        <v>0</v>
      </c>
      <c r="G109" s="684">
        <f t="shared" si="556"/>
        <v>0</v>
      </c>
      <c r="H109" s="417"/>
      <c r="I109" s="429">
        <v>0</v>
      </c>
      <c r="J109" s="430">
        <v>0</v>
      </c>
      <c r="K109" s="430">
        <v>0</v>
      </c>
      <c r="L109" s="683">
        <f>0-SUM(I109:K109)</f>
        <v>0</v>
      </c>
      <c r="M109" s="684">
        <f t="shared" si="557"/>
        <v>0</v>
      </c>
      <c r="N109" s="685"/>
      <c r="O109" s="686">
        <v>-0.76700000000000002</v>
      </c>
      <c r="P109" s="687">
        <v>0</v>
      </c>
      <c r="Q109" s="687">
        <v>0</v>
      </c>
      <c r="R109" s="683">
        <f>-0.767-SUM(O109:Q109)</f>
        <v>0</v>
      </c>
      <c r="S109" s="684">
        <f t="shared" si="558"/>
        <v>-0.76700000000000002</v>
      </c>
      <c r="T109" s="685"/>
      <c r="U109" s="686">
        <v>0</v>
      </c>
      <c r="V109" s="687">
        <v>0</v>
      </c>
      <c r="W109" s="687">
        <v>0</v>
      </c>
      <c r="X109" s="683">
        <v>0</v>
      </c>
      <c r="Y109" s="684">
        <f t="shared" si="559"/>
        <v>0</v>
      </c>
      <c r="Z109" s="685"/>
      <c r="AA109" s="686">
        <v>27.177</v>
      </c>
      <c r="AB109" s="687">
        <v>9.6790000000000003</v>
      </c>
      <c r="AC109" s="687">
        <v>0.755</v>
      </c>
      <c r="AD109" s="683">
        <f>37.611-SUM(AA109:AC109)</f>
        <v>0</v>
      </c>
      <c r="AE109" s="684">
        <f t="shared" si="575"/>
        <v>37.611000000000004</v>
      </c>
      <c r="AF109" s="685"/>
      <c r="AG109" s="686">
        <v>0</v>
      </c>
      <c r="AH109" s="687">
        <v>0</v>
      </c>
      <c r="AI109" s="687">
        <v>0</v>
      </c>
      <c r="AJ109" s="683">
        <v>0</v>
      </c>
      <c r="AK109" s="684">
        <f t="shared" si="560"/>
        <v>0</v>
      </c>
      <c r="AL109" s="688"/>
      <c r="AM109" s="686">
        <v>0</v>
      </c>
      <c r="AN109" s="687">
        <v>0.51100000000000001</v>
      </c>
      <c r="AO109" s="687">
        <v>4.3999999999999997E-2</v>
      </c>
      <c r="AP109" s="683">
        <v>0</v>
      </c>
      <c r="AQ109" s="684">
        <f t="shared" si="561"/>
        <v>0.55500000000000005</v>
      </c>
      <c r="AR109" s="689"/>
      <c r="AS109" s="686">
        <v>0</v>
      </c>
      <c r="AT109" s="687">
        <v>31.36</v>
      </c>
      <c r="AU109" s="687">
        <v>0</v>
      </c>
      <c r="AV109" s="687">
        <v>0</v>
      </c>
      <c r="AW109" s="684">
        <f>SUM(AS109:AV109)</f>
        <v>31.36</v>
      </c>
      <c r="AX109" s="689"/>
      <c r="AY109" s="686">
        <v>0</v>
      </c>
      <c r="AZ109" s="687">
        <v>0.23300000000000001</v>
      </c>
      <c r="BA109" s="687">
        <v>3.504</v>
      </c>
      <c r="BB109" s="683">
        <v>0.32500000000000001</v>
      </c>
      <c r="BC109" s="684">
        <f t="shared" si="563"/>
        <v>4.0620000000000003</v>
      </c>
      <c r="BD109" s="689"/>
      <c r="BE109" s="686">
        <v>0</v>
      </c>
      <c r="BF109" s="687">
        <v>0</v>
      </c>
      <c r="BG109" s="687">
        <v>0</v>
      </c>
      <c r="BH109" s="683">
        <v>0</v>
      </c>
      <c r="BI109" s="684">
        <f t="shared" si="564"/>
        <v>0</v>
      </c>
      <c r="BJ109" s="689"/>
      <c r="BK109" s="686">
        <v>0</v>
      </c>
      <c r="BL109" s="687">
        <v>0</v>
      </c>
      <c r="BM109" s="687">
        <v>0</v>
      </c>
      <c r="BN109" s="683">
        <v>0</v>
      </c>
      <c r="BO109" s="684">
        <f t="shared" si="565"/>
        <v>0</v>
      </c>
      <c r="BP109" s="1366"/>
      <c r="BQ109" s="686">
        <v>0</v>
      </c>
      <c r="BR109" s="687">
        <v>0</v>
      </c>
      <c r="BS109" s="687">
        <v>0</v>
      </c>
      <c r="BT109" s="683">
        <v>0</v>
      </c>
      <c r="BU109" s="684">
        <f t="shared" si="566"/>
        <v>0</v>
      </c>
      <c r="BV109" s="1366"/>
      <c r="BW109" s="686">
        <v>0</v>
      </c>
      <c r="BX109" s="687">
        <v>0</v>
      </c>
      <c r="BY109" s="687">
        <v>0</v>
      </c>
      <c r="BZ109" s="683">
        <v>0</v>
      </c>
      <c r="CA109" s="684">
        <f t="shared" si="567"/>
        <v>0</v>
      </c>
      <c r="CB109" s="1366"/>
      <c r="CC109" s="686">
        <v>0</v>
      </c>
      <c r="CD109" s="687">
        <v>0</v>
      </c>
      <c r="CE109" s="687">
        <v>0</v>
      </c>
      <c r="CF109" s="683">
        <v>0</v>
      </c>
      <c r="CG109" s="684">
        <f t="shared" si="568"/>
        <v>0</v>
      </c>
      <c r="CH109" s="1366"/>
      <c r="CI109" s="686">
        <v>0</v>
      </c>
      <c r="CJ109" s="687">
        <v>0</v>
      </c>
      <c r="CK109" s="687">
        <v>0</v>
      </c>
      <c r="CL109" s="683">
        <v>0</v>
      </c>
      <c r="CM109" s="684">
        <f t="shared" si="571"/>
        <v>0</v>
      </c>
      <c r="CN109" s="1366"/>
      <c r="CO109" s="686">
        <v>0</v>
      </c>
      <c r="CP109" s="687">
        <v>0</v>
      </c>
      <c r="CQ109" s="687">
        <v>0</v>
      </c>
      <c r="CR109" s="683">
        <v>0</v>
      </c>
      <c r="CS109" s="684">
        <f t="shared" si="574"/>
        <v>0</v>
      </c>
      <c r="CT109" s="416"/>
      <c r="CU109" s="400"/>
      <c r="CV109" s="400"/>
      <c r="DC109" s="921"/>
      <c r="DD109" s="921"/>
      <c r="DE109" s="921"/>
      <c r="DF109" s="921"/>
      <c r="DG109" s="921"/>
      <c r="DH109" s="921"/>
      <c r="DI109" s="921"/>
      <c r="DJ109" s="921"/>
      <c r="DK109" s="921"/>
      <c r="DL109" s="921"/>
    </row>
    <row r="110" spans="1:116" hidden="1" outlineLevel="1">
      <c r="A110" s="604" t="s">
        <v>83</v>
      </c>
      <c r="B110" s="417"/>
      <c r="C110" s="429">
        <v>0</v>
      </c>
      <c r="D110" s="430">
        <v>0</v>
      </c>
      <c r="E110" s="430">
        <v>0</v>
      </c>
      <c r="F110" s="683">
        <v>0</v>
      </c>
      <c r="G110" s="684">
        <f t="shared" si="556"/>
        <v>0</v>
      </c>
      <c r="H110" s="417"/>
      <c r="I110" s="429">
        <v>0</v>
      </c>
      <c r="J110" s="430">
        <v>0</v>
      </c>
      <c r="K110" s="430">
        <v>0.61399999999999999</v>
      </c>
      <c r="L110" s="683">
        <f>1.531-SUM(I110:K110)</f>
        <v>0.91699999999999993</v>
      </c>
      <c r="M110" s="684">
        <f t="shared" si="557"/>
        <v>1.5309999999999999</v>
      </c>
      <c r="N110" s="685"/>
      <c r="O110" s="686">
        <v>0.91900000000000004</v>
      </c>
      <c r="P110" s="687">
        <v>0.91900000000000004</v>
      </c>
      <c r="Q110" s="687">
        <v>0.91900000000000004</v>
      </c>
      <c r="R110" s="683">
        <f>3.7-SUM(O110:Q110)</f>
        <v>0.94300000000000006</v>
      </c>
      <c r="S110" s="684">
        <f t="shared" si="558"/>
        <v>3.7</v>
      </c>
      <c r="T110" s="685"/>
      <c r="U110" s="686">
        <v>0.91900000000000004</v>
      </c>
      <c r="V110" s="687">
        <v>0.91900000000000004</v>
      </c>
      <c r="W110" s="687">
        <v>0.91900000000000004</v>
      </c>
      <c r="X110" s="683">
        <f>3.675-SUM(U110:W110)</f>
        <v>0.91799999999999971</v>
      </c>
      <c r="Y110" s="684">
        <f t="shared" si="559"/>
        <v>3.6749999999999998</v>
      </c>
      <c r="Z110" s="685"/>
      <c r="AA110" s="686">
        <v>2.1240000000000001</v>
      </c>
      <c r="AB110" s="687">
        <v>2.706</v>
      </c>
      <c r="AC110" s="687">
        <v>0.496</v>
      </c>
      <c r="AD110" s="683">
        <f>6.057-SUM(AA110:AC110)</f>
        <v>0.73099999999999987</v>
      </c>
      <c r="AE110" s="684">
        <f t="shared" si="575"/>
        <v>6.0570000000000004</v>
      </c>
      <c r="AF110" s="685"/>
      <c r="AG110" s="686">
        <v>3.0920000000000001</v>
      </c>
      <c r="AH110" s="687">
        <v>0.216</v>
      </c>
      <c r="AI110" s="687">
        <v>1.496</v>
      </c>
      <c r="AJ110" s="683">
        <v>4.3470000000000004</v>
      </c>
      <c r="AK110" s="684">
        <f t="shared" si="560"/>
        <v>9.1509999999999998</v>
      </c>
      <c r="AL110" s="688"/>
      <c r="AM110" s="686">
        <v>3.4180000000000001</v>
      </c>
      <c r="AN110" s="687">
        <v>2.262</v>
      </c>
      <c r="AO110" s="687">
        <v>2.444</v>
      </c>
      <c r="AP110" s="683">
        <v>5.4859999999999998</v>
      </c>
      <c r="AQ110" s="684">
        <f t="shared" si="561"/>
        <v>13.61</v>
      </c>
      <c r="AR110" s="689"/>
      <c r="AS110" s="686">
        <v>2.84</v>
      </c>
      <c r="AT110" s="687">
        <v>0.496</v>
      </c>
      <c r="AU110" s="687">
        <v>0.496</v>
      </c>
      <c r="AV110" s="687">
        <v>0.433</v>
      </c>
      <c r="AW110" s="684">
        <f t="shared" si="562"/>
        <v>4.2649999999999997</v>
      </c>
      <c r="AX110" s="689"/>
      <c r="AY110" s="686">
        <v>0</v>
      </c>
      <c r="AZ110" s="687">
        <v>0</v>
      </c>
      <c r="BA110" s="687">
        <v>0.249</v>
      </c>
      <c r="BB110" s="683">
        <v>0.68500000000000005</v>
      </c>
      <c r="BC110" s="684">
        <f t="shared" si="563"/>
        <v>0.93400000000000005</v>
      </c>
      <c r="BD110" s="689"/>
      <c r="BE110" s="686">
        <f>0.7+2</f>
        <v>2.7</v>
      </c>
      <c r="BF110" s="687">
        <v>0.69399999999999995</v>
      </c>
      <c r="BG110" s="687">
        <v>0.69099999999999995</v>
      </c>
      <c r="BH110" s="683">
        <v>-0.252</v>
      </c>
      <c r="BI110" s="684">
        <f t="shared" si="564"/>
        <v>3.8330000000000002</v>
      </c>
      <c r="BJ110" s="689"/>
      <c r="BK110" s="686">
        <v>0</v>
      </c>
      <c r="BL110" s="687">
        <v>1</v>
      </c>
      <c r="BM110" s="687">
        <v>0</v>
      </c>
      <c r="BN110" s="683">
        <v>0</v>
      </c>
      <c r="BO110" s="684">
        <f t="shared" si="565"/>
        <v>1</v>
      </c>
      <c r="BP110" s="1366"/>
      <c r="BQ110" s="686">
        <v>0</v>
      </c>
      <c r="BR110" s="687">
        <v>1</v>
      </c>
      <c r="BS110" s="687">
        <v>1</v>
      </c>
      <c r="BT110" s="683">
        <v>1</v>
      </c>
      <c r="BU110" s="684">
        <f t="shared" si="566"/>
        <v>3</v>
      </c>
      <c r="BV110" s="1366"/>
      <c r="BW110" s="686">
        <v>1</v>
      </c>
      <c r="BX110" s="687">
        <v>1</v>
      </c>
      <c r="BY110" s="687">
        <v>1</v>
      </c>
      <c r="BZ110" s="683">
        <v>1</v>
      </c>
      <c r="CA110" s="684">
        <f t="shared" si="567"/>
        <v>4</v>
      </c>
      <c r="CB110" s="1366"/>
      <c r="CC110" s="686">
        <v>1</v>
      </c>
      <c r="CD110" s="687">
        <v>1</v>
      </c>
      <c r="CE110" s="687">
        <v>1</v>
      </c>
      <c r="CF110" s="683">
        <v>1</v>
      </c>
      <c r="CG110" s="684">
        <f t="shared" si="568"/>
        <v>4</v>
      </c>
      <c r="CH110" s="1366"/>
      <c r="CI110" s="686">
        <v>1</v>
      </c>
      <c r="CJ110" s="687">
        <v>1</v>
      </c>
      <c r="CK110" s="687">
        <v>1</v>
      </c>
      <c r="CL110" s="683">
        <v>1</v>
      </c>
      <c r="CM110" s="684">
        <f t="shared" si="571"/>
        <v>4</v>
      </c>
      <c r="CN110" s="1366"/>
      <c r="CO110" s="686">
        <v>1</v>
      </c>
      <c r="CP110" s="687">
        <v>1</v>
      </c>
      <c r="CQ110" s="687">
        <v>1</v>
      </c>
      <c r="CR110" s="683">
        <v>1</v>
      </c>
      <c r="CS110" s="684">
        <f t="shared" si="574"/>
        <v>4</v>
      </c>
      <c r="CT110" s="416"/>
      <c r="CU110" s="400"/>
      <c r="CV110" s="400"/>
      <c r="DC110" s="921"/>
      <c r="DD110" s="921"/>
      <c r="DE110" s="921"/>
      <c r="DF110" s="921"/>
      <c r="DG110" s="921"/>
      <c r="DH110" s="921"/>
      <c r="DI110" s="921"/>
      <c r="DJ110" s="921"/>
      <c r="DK110" s="921"/>
      <c r="DL110" s="921"/>
    </row>
    <row r="111" spans="1:116" hidden="1" outlineLevel="1">
      <c r="A111" s="604" t="s">
        <v>84</v>
      </c>
      <c r="B111" s="417"/>
      <c r="C111" s="429">
        <v>0</v>
      </c>
      <c r="D111" s="430">
        <v>0</v>
      </c>
      <c r="E111" s="430">
        <v>0</v>
      </c>
      <c r="F111" s="683">
        <v>0</v>
      </c>
      <c r="G111" s="684">
        <f t="shared" si="556"/>
        <v>0</v>
      </c>
      <c r="H111" s="417"/>
      <c r="I111" s="429">
        <v>0</v>
      </c>
      <c r="J111" s="430">
        <v>0</v>
      </c>
      <c r="K111" s="430">
        <v>0</v>
      </c>
      <c r="L111" s="683">
        <f>0-SUM(I111:K111)</f>
        <v>0</v>
      </c>
      <c r="M111" s="684">
        <f t="shared" si="557"/>
        <v>0</v>
      </c>
      <c r="N111" s="685"/>
      <c r="O111" s="686">
        <v>0</v>
      </c>
      <c r="P111" s="687">
        <v>0</v>
      </c>
      <c r="Q111" s="687">
        <v>0</v>
      </c>
      <c r="R111" s="683">
        <f>11.325-SUM(O111:Q111)</f>
        <v>11.324999999999999</v>
      </c>
      <c r="S111" s="684">
        <f t="shared" si="558"/>
        <v>11.324999999999999</v>
      </c>
      <c r="T111" s="685"/>
      <c r="U111" s="686">
        <v>0</v>
      </c>
      <c r="V111" s="687">
        <v>-1.0529999999999999</v>
      </c>
      <c r="W111" s="687">
        <v>0</v>
      </c>
      <c r="X111" s="683">
        <f>-11.429-SUM(U111:W111)</f>
        <v>-10.376000000000001</v>
      </c>
      <c r="Y111" s="684">
        <f t="shared" si="559"/>
        <v>-11.429000000000002</v>
      </c>
      <c r="Z111" s="685"/>
      <c r="AA111" s="686">
        <v>0.27</v>
      </c>
      <c r="AB111" s="687">
        <v>4.7699999999999996</v>
      </c>
      <c r="AC111" s="687">
        <v>-2.5979999999999999</v>
      </c>
      <c r="AD111" s="683">
        <f>0.919-SUM(AA111:AC111)</f>
        <v>-1.5229999999999992</v>
      </c>
      <c r="AE111" s="684">
        <f t="shared" si="575"/>
        <v>0.91900000000000004</v>
      </c>
      <c r="AF111" s="685"/>
      <c r="AG111" s="686">
        <v>1.7370000000000001</v>
      </c>
      <c r="AH111" s="687">
        <v>1.08</v>
      </c>
      <c r="AI111" s="687">
        <v>-0.35699999999999998</v>
      </c>
      <c r="AJ111" s="683">
        <v>0.314</v>
      </c>
      <c r="AK111" s="684">
        <f t="shared" si="560"/>
        <v>2.774</v>
      </c>
      <c r="AL111" s="688"/>
      <c r="AM111" s="686">
        <v>3.8210000000000002</v>
      </c>
      <c r="AN111" s="687">
        <v>-5.7249999999999996</v>
      </c>
      <c r="AO111" s="687">
        <v>-3.9420000000000002</v>
      </c>
      <c r="AP111" s="683">
        <v>-5.7709999999999999</v>
      </c>
      <c r="AQ111" s="684">
        <f t="shared" si="561"/>
        <v>-11.617000000000001</v>
      </c>
      <c r="AR111" s="689"/>
      <c r="AS111" s="686">
        <v>-1.0129999999999999</v>
      </c>
      <c r="AT111" s="687">
        <v>-0.22500000000000001</v>
      </c>
      <c r="AU111" s="687">
        <v>0.90300000000000002</v>
      </c>
      <c r="AV111" s="687">
        <v>-2.3039999999999998</v>
      </c>
      <c r="AW111" s="684">
        <f t="shared" si="562"/>
        <v>-2.6389999999999998</v>
      </c>
      <c r="AX111" s="689"/>
      <c r="AY111" s="686">
        <v>-9.8870000000000005</v>
      </c>
      <c r="AZ111" s="687">
        <v>2.3290000000000002</v>
      </c>
      <c r="BA111" s="687">
        <v>1.109</v>
      </c>
      <c r="BB111" s="683">
        <v>0.32500000000000001</v>
      </c>
      <c r="BC111" s="684">
        <f t="shared" si="563"/>
        <v>-6.1239999999999997</v>
      </c>
      <c r="BD111" s="689"/>
      <c r="BE111" s="686">
        <v>0</v>
      </c>
      <c r="BF111" s="687">
        <v>0</v>
      </c>
      <c r="BG111" s="687">
        <v>0</v>
      </c>
      <c r="BH111" s="683">
        <v>0</v>
      </c>
      <c r="BI111" s="684">
        <f t="shared" si="564"/>
        <v>0</v>
      </c>
      <c r="BJ111" s="689"/>
      <c r="BK111" s="686">
        <v>-1</v>
      </c>
      <c r="BL111" s="687">
        <v>-13</v>
      </c>
      <c r="BM111" s="687">
        <v>1</v>
      </c>
      <c r="BN111" s="683">
        <v>4</v>
      </c>
      <c r="BO111" s="684">
        <f t="shared" si="565"/>
        <v>-9</v>
      </c>
      <c r="BP111" s="1366"/>
      <c r="BQ111" s="686">
        <v>-8</v>
      </c>
      <c r="BR111" s="687">
        <f t="shared" ref="BR111:BT112" si="580">+BQ111</f>
        <v>-8</v>
      </c>
      <c r="BS111" s="687">
        <f t="shared" si="580"/>
        <v>-8</v>
      </c>
      <c r="BT111" s="683">
        <f t="shared" si="580"/>
        <v>-8</v>
      </c>
      <c r="BU111" s="684">
        <f t="shared" si="566"/>
        <v>-32</v>
      </c>
      <c r="BV111" s="1366"/>
      <c r="BW111" s="686">
        <v>-2</v>
      </c>
      <c r="BX111" s="687">
        <v>-2</v>
      </c>
      <c r="BY111" s="687">
        <v>-2</v>
      </c>
      <c r="BZ111" s="683">
        <v>-2</v>
      </c>
      <c r="CA111" s="684">
        <f t="shared" si="567"/>
        <v>-8</v>
      </c>
      <c r="CB111" s="1366"/>
      <c r="CC111" s="686">
        <v>-2</v>
      </c>
      <c r="CD111" s="687">
        <v>-2</v>
      </c>
      <c r="CE111" s="687">
        <v>-2</v>
      </c>
      <c r="CF111" s="683">
        <v>-2</v>
      </c>
      <c r="CG111" s="684">
        <f t="shared" si="568"/>
        <v>-8</v>
      </c>
      <c r="CH111" s="1366"/>
      <c r="CI111" s="686">
        <v>-2</v>
      </c>
      <c r="CJ111" s="687">
        <v>-2</v>
      </c>
      <c r="CK111" s="687">
        <v>-2</v>
      </c>
      <c r="CL111" s="683">
        <v>-2</v>
      </c>
      <c r="CM111" s="684">
        <f t="shared" si="571"/>
        <v>-8</v>
      </c>
      <c r="CN111" s="1366"/>
      <c r="CO111" s="686">
        <v>-2</v>
      </c>
      <c r="CP111" s="687">
        <v>-2</v>
      </c>
      <c r="CQ111" s="687">
        <v>-2</v>
      </c>
      <c r="CR111" s="683">
        <v>-2</v>
      </c>
      <c r="CS111" s="684">
        <f t="shared" si="574"/>
        <v>-8</v>
      </c>
      <c r="CT111" s="416"/>
      <c r="CU111" s="400"/>
      <c r="CV111" s="400"/>
      <c r="DC111" s="921"/>
      <c r="DD111" s="921"/>
      <c r="DE111" s="921"/>
      <c r="DF111" s="921"/>
      <c r="DG111" s="921"/>
      <c r="DH111" s="921"/>
      <c r="DI111" s="921"/>
      <c r="DJ111" s="921"/>
      <c r="DK111" s="921"/>
      <c r="DL111" s="921"/>
    </row>
    <row r="112" spans="1:116" hidden="1" outlineLevel="1">
      <c r="A112" s="604" t="s">
        <v>85</v>
      </c>
      <c r="B112" s="417"/>
      <c r="C112" s="429">
        <v>-1.5389999999999999</v>
      </c>
      <c r="D112" s="430">
        <v>-0.99</v>
      </c>
      <c r="E112" s="430">
        <v>-3.931</v>
      </c>
      <c r="F112" s="683">
        <f>-44.751-SUM(C112:E112)</f>
        <v>-38.290999999999997</v>
      </c>
      <c r="G112" s="684">
        <f t="shared" si="556"/>
        <v>-44.750999999999998</v>
      </c>
      <c r="H112" s="417"/>
      <c r="I112" s="429">
        <v>-5.9530000000000003</v>
      </c>
      <c r="J112" s="430">
        <v>-8.7330000000000005</v>
      </c>
      <c r="K112" s="430">
        <v>-6.593</v>
      </c>
      <c r="L112" s="683">
        <f>-28.016-SUM(I112:K112)</f>
        <v>-6.7369999999999983</v>
      </c>
      <c r="M112" s="684">
        <f t="shared" si="557"/>
        <v>-28.015999999999998</v>
      </c>
      <c r="N112" s="685"/>
      <c r="O112" s="686">
        <v>-1.9279999999999999</v>
      </c>
      <c r="P112" s="687">
        <v>-2.8690000000000002</v>
      </c>
      <c r="Q112" s="687">
        <v>-3.2789999999999999</v>
      </c>
      <c r="R112" s="683">
        <f>-10.675-SUM(O112:Q112)</f>
        <v>-2.5990000000000002</v>
      </c>
      <c r="S112" s="684">
        <f t="shared" si="558"/>
        <v>-10.675000000000001</v>
      </c>
      <c r="T112" s="685"/>
      <c r="U112" s="686">
        <v>-2.2440000000000002</v>
      </c>
      <c r="V112" s="687">
        <v>-2.3769999999999998</v>
      </c>
      <c r="W112" s="687">
        <v>-3.1789999999999998</v>
      </c>
      <c r="X112" s="683">
        <f>-16.813-SUM(U112:W112)</f>
        <v>-9.0129999999999981</v>
      </c>
      <c r="Y112" s="684">
        <f t="shared" si="559"/>
        <v>-16.812999999999999</v>
      </c>
      <c r="Z112" s="685"/>
      <c r="AA112" s="686">
        <v>-15.449</v>
      </c>
      <c r="AB112" s="687">
        <v>-9.407</v>
      </c>
      <c r="AC112" s="687">
        <v>-7.9829999999999997</v>
      </c>
      <c r="AD112" s="683">
        <f>-48.053-SUM(AA112:AC112)</f>
        <v>-15.213999999999999</v>
      </c>
      <c r="AE112" s="684">
        <f t="shared" si="575"/>
        <v>-48.052999999999997</v>
      </c>
      <c r="AF112" s="685"/>
      <c r="AG112" s="686">
        <v>-10.393000000000001</v>
      </c>
      <c r="AH112" s="687">
        <v>-15.494999999999999</v>
      </c>
      <c r="AI112" s="687">
        <v>-13.539</v>
      </c>
      <c r="AJ112" s="683">
        <v>8.9629999999999992</v>
      </c>
      <c r="AK112" s="684">
        <f t="shared" si="560"/>
        <v>-30.463999999999999</v>
      </c>
      <c r="AL112" s="688"/>
      <c r="AM112" s="686">
        <v>-48.723999999999997</v>
      </c>
      <c r="AN112" s="687">
        <v>-12.965</v>
      </c>
      <c r="AO112" s="687">
        <v>-20.37</v>
      </c>
      <c r="AP112" s="683">
        <v>8.5169999999999995</v>
      </c>
      <c r="AQ112" s="684">
        <f t="shared" si="561"/>
        <v>-73.542000000000002</v>
      </c>
      <c r="AR112" s="689"/>
      <c r="AS112" s="686">
        <v>-10.411</v>
      </c>
      <c r="AT112" s="687">
        <v>-22.024999999999999</v>
      </c>
      <c r="AU112" s="687">
        <v>-11.723000000000001</v>
      </c>
      <c r="AV112" s="687">
        <v>13.925000000000001</v>
      </c>
      <c r="AW112" s="684">
        <f t="shared" si="562"/>
        <v>-30.233999999999998</v>
      </c>
      <c r="AX112" s="689"/>
      <c r="AY112" s="686">
        <v>-2.5870000000000002</v>
      </c>
      <c r="AZ112" s="687">
        <v>-9.6170000000000009</v>
      </c>
      <c r="BA112" s="687">
        <v>-8.8330000000000002</v>
      </c>
      <c r="BB112" s="683">
        <v>-10.584</v>
      </c>
      <c r="BC112" s="684">
        <f t="shared" si="563"/>
        <v>-31.620999999999999</v>
      </c>
      <c r="BD112" s="689"/>
      <c r="BE112" s="686">
        <v>-6.9039999999999999</v>
      </c>
      <c r="BF112" s="687">
        <v>-2.1160000000000001</v>
      </c>
      <c r="BG112" s="687">
        <v>-5.6749999999999998</v>
      </c>
      <c r="BH112" s="683">
        <v>-10.625</v>
      </c>
      <c r="BI112" s="684">
        <f t="shared" si="564"/>
        <v>-25.32</v>
      </c>
      <c r="BJ112" s="689"/>
      <c r="BK112" s="686">
        <v>138</v>
      </c>
      <c r="BL112" s="687">
        <v>-5</v>
      </c>
      <c r="BM112" s="687">
        <v>-8</v>
      </c>
      <c r="BN112" s="683">
        <f>-7+150</f>
        <v>143</v>
      </c>
      <c r="BO112" s="684">
        <f t="shared" si="565"/>
        <v>268</v>
      </c>
      <c r="BP112" s="1366"/>
      <c r="BQ112" s="686">
        <v>-3</v>
      </c>
      <c r="BR112" s="687">
        <f t="shared" si="580"/>
        <v>-3</v>
      </c>
      <c r="BS112" s="687">
        <f t="shared" si="580"/>
        <v>-3</v>
      </c>
      <c r="BT112" s="683">
        <f t="shared" si="580"/>
        <v>-3</v>
      </c>
      <c r="BU112" s="684">
        <f t="shared" si="566"/>
        <v>-12</v>
      </c>
      <c r="BV112" s="1366"/>
      <c r="BW112" s="686">
        <f>+BT112</f>
        <v>-3</v>
      </c>
      <c r="BX112" s="687">
        <f>+BW112</f>
        <v>-3</v>
      </c>
      <c r="BY112" s="687">
        <f>+BX112</f>
        <v>-3</v>
      </c>
      <c r="BZ112" s="683">
        <f>+BY112</f>
        <v>-3</v>
      </c>
      <c r="CA112" s="684">
        <f t="shared" si="567"/>
        <v>-12</v>
      </c>
      <c r="CB112" s="1366"/>
      <c r="CC112" s="686">
        <f>+BZ112</f>
        <v>-3</v>
      </c>
      <c r="CD112" s="687">
        <f>+CC112</f>
        <v>-3</v>
      </c>
      <c r="CE112" s="687">
        <f>+CD112</f>
        <v>-3</v>
      </c>
      <c r="CF112" s="683">
        <f>+CE112</f>
        <v>-3</v>
      </c>
      <c r="CG112" s="684">
        <f t="shared" si="568"/>
        <v>-12</v>
      </c>
      <c r="CH112" s="1366"/>
      <c r="CI112" s="686">
        <f t="shared" ref="CI112" si="581">+CF112</f>
        <v>-3</v>
      </c>
      <c r="CJ112" s="687">
        <f t="shared" ref="CJ112:CL112" si="582">+CI112</f>
        <v>-3</v>
      </c>
      <c r="CK112" s="687">
        <f t="shared" si="582"/>
        <v>-3</v>
      </c>
      <c r="CL112" s="683">
        <f t="shared" si="582"/>
        <v>-3</v>
      </c>
      <c r="CM112" s="684">
        <f t="shared" si="571"/>
        <v>-12</v>
      </c>
      <c r="CN112" s="1366"/>
      <c r="CO112" s="686">
        <f t="shared" ref="CO112" si="583">+CL112</f>
        <v>-3</v>
      </c>
      <c r="CP112" s="687">
        <f t="shared" ref="CP112:CR112" si="584">+CO112</f>
        <v>-3</v>
      </c>
      <c r="CQ112" s="687">
        <f t="shared" si="584"/>
        <v>-3</v>
      </c>
      <c r="CR112" s="683">
        <f t="shared" si="584"/>
        <v>-3</v>
      </c>
      <c r="CS112" s="684">
        <f t="shared" si="574"/>
        <v>-12</v>
      </c>
      <c r="CT112" s="416"/>
      <c r="CU112" s="400"/>
      <c r="CV112" s="400"/>
      <c r="DC112" s="921"/>
      <c r="DD112" s="921"/>
      <c r="DE112" s="921"/>
      <c r="DF112" s="921"/>
      <c r="DG112" s="921"/>
      <c r="DH112" s="921"/>
      <c r="DI112" s="921"/>
      <c r="DJ112" s="921"/>
      <c r="DK112" s="921"/>
      <c r="DL112" s="921"/>
    </row>
    <row r="113" spans="1:116" hidden="1" outlineLevel="1">
      <c r="A113" s="604" t="s">
        <v>87</v>
      </c>
      <c r="B113" s="417"/>
      <c r="C113" s="429">
        <v>0</v>
      </c>
      <c r="D113" s="430">
        <v>0</v>
      </c>
      <c r="E113" s="430">
        <v>0</v>
      </c>
      <c r="F113" s="683">
        <v>0</v>
      </c>
      <c r="G113" s="684">
        <f t="shared" si="556"/>
        <v>0</v>
      </c>
      <c r="H113" s="417"/>
      <c r="I113" s="429">
        <v>0</v>
      </c>
      <c r="J113" s="430">
        <v>0</v>
      </c>
      <c r="K113" s="430">
        <v>0</v>
      </c>
      <c r="L113" s="683">
        <f>0-SUM(I113:K113)</f>
        <v>0</v>
      </c>
      <c r="M113" s="684">
        <f t="shared" si="557"/>
        <v>0</v>
      </c>
      <c r="N113" s="685"/>
      <c r="O113" s="686">
        <v>0</v>
      </c>
      <c r="P113" s="687">
        <v>0</v>
      </c>
      <c r="Q113" s="687">
        <v>0</v>
      </c>
      <c r="R113" s="683">
        <v>0</v>
      </c>
      <c r="S113" s="684">
        <f t="shared" si="558"/>
        <v>0</v>
      </c>
      <c r="T113" s="685"/>
      <c r="U113" s="686">
        <v>0</v>
      </c>
      <c r="V113" s="687">
        <v>0</v>
      </c>
      <c r="W113" s="687">
        <v>0</v>
      </c>
      <c r="X113" s="683">
        <v>0</v>
      </c>
      <c r="Y113" s="684">
        <f t="shared" si="559"/>
        <v>0</v>
      </c>
      <c r="Z113" s="685"/>
      <c r="AA113" s="686">
        <v>0</v>
      </c>
      <c r="AB113" s="687">
        <v>0</v>
      </c>
      <c r="AC113" s="687">
        <v>0</v>
      </c>
      <c r="AD113" s="683">
        <v>0</v>
      </c>
      <c r="AE113" s="684">
        <f t="shared" si="575"/>
        <v>0</v>
      </c>
      <c r="AF113" s="685"/>
      <c r="AG113" s="686">
        <v>0</v>
      </c>
      <c r="AH113" s="687">
        <v>0</v>
      </c>
      <c r="AI113" s="687">
        <v>0</v>
      </c>
      <c r="AJ113" s="683">
        <v>0</v>
      </c>
      <c r="AK113" s="684">
        <f t="shared" si="560"/>
        <v>0</v>
      </c>
      <c r="AL113" s="688"/>
      <c r="AM113" s="686">
        <v>0</v>
      </c>
      <c r="AN113" s="687">
        <v>0</v>
      </c>
      <c r="AO113" s="687">
        <v>0</v>
      </c>
      <c r="AP113" s="683">
        <v>0</v>
      </c>
      <c r="AQ113" s="684">
        <f t="shared" si="561"/>
        <v>0</v>
      </c>
      <c r="AR113" s="689"/>
      <c r="AS113" s="686">
        <v>0</v>
      </c>
      <c r="AT113" s="687">
        <v>0</v>
      </c>
      <c r="AU113" s="687">
        <v>0</v>
      </c>
      <c r="AV113" s="687">
        <v>0</v>
      </c>
      <c r="AW113" s="684">
        <f t="shared" si="562"/>
        <v>0</v>
      </c>
      <c r="AX113" s="689"/>
      <c r="AY113" s="686">
        <v>0</v>
      </c>
      <c r="AZ113" s="687">
        <v>0</v>
      </c>
      <c r="BA113" s="687">
        <v>0</v>
      </c>
      <c r="BB113" s="683">
        <v>0</v>
      </c>
      <c r="BC113" s="684">
        <f t="shared" si="563"/>
        <v>0</v>
      </c>
      <c r="BD113" s="689"/>
      <c r="BE113" s="686">
        <v>0</v>
      </c>
      <c r="BF113" s="687">
        <v>0</v>
      </c>
      <c r="BG113" s="687">
        <v>0</v>
      </c>
      <c r="BH113" s="683">
        <v>0</v>
      </c>
      <c r="BI113" s="684">
        <f t="shared" si="564"/>
        <v>0</v>
      </c>
      <c r="BJ113" s="689"/>
      <c r="BK113" s="686">
        <v>0</v>
      </c>
      <c r="BL113" s="687">
        <v>0</v>
      </c>
      <c r="BM113" s="687">
        <v>0</v>
      </c>
      <c r="BN113" s="683">
        <v>0</v>
      </c>
      <c r="BO113" s="684">
        <f t="shared" si="565"/>
        <v>0</v>
      </c>
      <c r="BP113" s="1366"/>
      <c r="BQ113" s="686">
        <v>0</v>
      </c>
      <c r="BR113" s="687">
        <v>0</v>
      </c>
      <c r="BS113" s="687">
        <v>0</v>
      </c>
      <c r="BT113" s="683">
        <v>0</v>
      </c>
      <c r="BU113" s="684">
        <f t="shared" si="566"/>
        <v>0</v>
      </c>
      <c r="BV113" s="1366"/>
      <c r="BW113" s="686">
        <v>0</v>
      </c>
      <c r="BX113" s="687">
        <v>0</v>
      </c>
      <c r="BY113" s="687">
        <v>0</v>
      </c>
      <c r="BZ113" s="683">
        <v>0</v>
      </c>
      <c r="CA113" s="684">
        <f t="shared" si="567"/>
        <v>0</v>
      </c>
      <c r="CB113" s="1366"/>
      <c r="CC113" s="686">
        <v>0</v>
      </c>
      <c r="CD113" s="687">
        <v>0</v>
      </c>
      <c r="CE113" s="687">
        <v>0</v>
      </c>
      <c r="CF113" s="683">
        <v>0</v>
      </c>
      <c r="CG113" s="684">
        <f t="shared" si="568"/>
        <v>0</v>
      </c>
      <c r="CH113" s="1366"/>
      <c r="CI113" s="686">
        <v>0</v>
      </c>
      <c r="CJ113" s="687">
        <v>0</v>
      </c>
      <c r="CK113" s="687">
        <v>0</v>
      </c>
      <c r="CL113" s="683">
        <v>0</v>
      </c>
      <c r="CM113" s="684">
        <f t="shared" si="571"/>
        <v>0</v>
      </c>
      <c r="CN113" s="1366"/>
      <c r="CO113" s="686">
        <v>0</v>
      </c>
      <c r="CP113" s="687">
        <v>0</v>
      </c>
      <c r="CQ113" s="687">
        <v>0</v>
      </c>
      <c r="CR113" s="683">
        <v>0</v>
      </c>
      <c r="CS113" s="684">
        <f t="shared" si="574"/>
        <v>0</v>
      </c>
      <c r="CT113" s="416"/>
      <c r="CU113" s="400"/>
      <c r="CV113" s="400"/>
      <c r="DC113" s="921"/>
      <c r="DD113" s="921"/>
      <c r="DE113" s="921"/>
      <c r="DF113" s="921"/>
      <c r="DG113" s="921"/>
      <c r="DH113" s="921"/>
      <c r="DI113" s="921"/>
      <c r="DJ113" s="921"/>
      <c r="DK113" s="921"/>
      <c r="DL113" s="921"/>
    </row>
    <row r="114" spans="1:116" hidden="1" outlineLevel="1">
      <c r="A114" s="604" t="s">
        <v>88</v>
      </c>
      <c r="B114" s="417"/>
      <c r="C114" s="429">
        <v>0.81599999999999995</v>
      </c>
      <c r="D114" s="430">
        <v>0.126</v>
      </c>
      <c r="E114" s="430">
        <v>0</v>
      </c>
      <c r="F114" s="683">
        <f>0.942+54.536-SUM(C114:E114)</f>
        <v>54.536000000000001</v>
      </c>
      <c r="G114" s="684">
        <f t="shared" si="556"/>
        <v>55.478000000000002</v>
      </c>
      <c r="H114" s="417"/>
      <c r="I114" s="429">
        <v>0</v>
      </c>
      <c r="J114" s="430">
        <v>0</v>
      </c>
      <c r="K114" s="430">
        <v>0</v>
      </c>
      <c r="L114" s="683">
        <f>0-SUM(I114:K114)</f>
        <v>0</v>
      </c>
      <c r="M114" s="684">
        <f t="shared" si="557"/>
        <v>0</v>
      </c>
      <c r="N114" s="685"/>
      <c r="O114" s="686">
        <v>0</v>
      </c>
      <c r="P114" s="687">
        <v>0</v>
      </c>
      <c r="Q114" s="687">
        <v>0</v>
      </c>
      <c r="R114" s="683">
        <v>0</v>
      </c>
      <c r="S114" s="684">
        <f t="shared" si="558"/>
        <v>0</v>
      </c>
      <c r="T114" s="685"/>
      <c r="U114" s="686">
        <v>0</v>
      </c>
      <c r="V114" s="687">
        <v>0</v>
      </c>
      <c r="W114" s="687">
        <v>0</v>
      </c>
      <c r="X114" s="683">
        <f>13.223-SUM(U114:W114)</f>
        <v>13.223000000000001</v>
      </c>
      <c r="Y114" s="684">
        <f t="shared" si="559"/>
        <v>13.223000000000001</v>
      </c>
      <c r="Z114" s="685"/>
      <c r="AA114" s="686">
        <v>0</v>
      </c>
      <c r="AB114" s="687">
        <v>0</v>
      </c>
      <c r="AC114" s="687">
        <v>0</v>
      </c>
      <c r="AD114" s="683">
        <f>8.136-2.3-SUM(AA114:AC114)</f>
        <v>5.8359999999999994</v>
      </c>
      <c r="AE114" s="684">
        <f t="shared" si="575"/>
        <v>5.8359999999999994</v>
      </c>
      <c r="AF114" s="685"/>
      <c r="AG114" s="686">
        <f>8.092+2.622+2.223</f>
        <v>12.937000000000001</v>
      </c>
      <c r="AH114" s="687">
        <f>6.694+0.797+0.674</f>
        <v>8.1649999999999991</v>
      </c>
      <c r="AI114" s="687">
        <f>3.956+0.138</f>
        <v>4.0940000000000003</v>
      </c>
      <c r="AJ114" s="683">
        <f>-45.911-6+4.394+1.458+0.088</f>
        <v>-45.971000000000004</v>
      </c>
      <c r="AK114" s="684">
        <f t="shared" si="560"/>
        <v>-20.775000000000002</v>
      </c>
      <c r="AL114" s="688"/>
      <c r="AM114" s="686">
        <f>106.922+7.484-6.113+0.458</f>
        <v>108.75099999999999</v>
      </c>
      <c r="AN114" s="687">
        <f>16.559+4.811</f>
        <v>21.37</v>
      </c>
      <c r="AO114" s="687">
        <f>4.299+1.326</f>
        <v>5.625</v>
      </c>
      <c r="AP114" s="683">
        <f>5.921-55.244</f>
        <v>-49.323</v>
      </c>
      <c r="AQ114" s="684">
        <f t="shared" si="561"/>
        <v>86.422999999999973</v>
      </c>
      <c r="AR114" s="689"/>
      <c r="AS114" s="686">
        <v>5.8460000000000001</v>
      </c>
      <c r="AT114" s="687">
        <v>4.8170000000000002</v>
      </c>
      <c r="AU114" s="687">
        <f>12.889-4.427</f>
        <v>8.4619999999999997</v>
      </c>
      <c r="AV114" s="687">
        <v>-59.482999999999997</v>
      </c>
      <c r="AW114" s="684">
        <f t="shared" si="562"/>
        <v>-40.357999999999997</v>
      </c>
      <c r="AX114" s="689"/>
      <c r="AY114" s="686">
        <f>-12.582-0</f>
        <v>-12.582000000000001</v>
      </c>
      <c r="AZ114" s="687">
        <v>0</v>
      </c>
      <c r="BA114" s="687">
        <f>15-24.757-2.9</f>
        <v>-12.657000000000002</v>
      </c>
      <c r="BB114" s="683">
        <f>4-0.119-0.056</f>
        <v>3.8250000000000002</v>
      </c>
      <c r="BC114" s="684">
        <f t="shared" si="563"/>
        <v>-21.414000000000005</v>
      </c>
      <c r="BD114" s="689"/>
      <c r="BE114" s="686">
        <v>0</v>
      </c>
      <c r="BF114" s="687">
        <v>-11.49</v>
      </c>
      <c r="BG114" s="687">
        <v>0</v>
      </c>
      <c r="BH114" s="683">
        <v>-6.6959999999999997</v>
      </c>
      <c r="BI114" s="684">
        <f t="shared" si="564"/>
        <v>-18.186</v>
      </c>
      <c r="BJ114" s="689"/>
      <c r="BK114" s="686">
        <f>-453+4-2-8+1</f>
        <v>-458</v>
      </c>
      <c r="BL114" s="687">
        <f>-8-1</f>
        <v>-9</v>
      </c>
      <c r="BM114" s="687">
        <v>-12</v>
      </c>
      <c r="BN114" s="683">
        <v>-21</v>
      </c>
      <c r="BO114" s="684">
        <f t="shared" si="565"/>
        <v>-500</v>
      </c>
      <c r="BP114" s="1366"/>
      <c r="BQ114" s="686">
        <f>3-3</f>
        <v>0</v>
      </c>
      <c r="BR114" s="687">
        <v>0</v>
      </c>
      <c r="BS114" s="687">
        <v>0</v>
      </c>
      <c r="BT114" s="683">
        <v>0</v>
      </c>
      <c r="BU114" s="684">
        <f t="shared" si="566"/>
        <v>0</v>
      </c>
      <c r="BV114" s="1366"/>
      <c r="BW114" s="686">
        <v>0</v>
      </c>
      <c r="BX114" s="687">
        <v>0</v>
      </c>
      <c r="BY114" s="687">
        <v>0</v>
      </c>
      <c r="BZ114" s="683">
        <v>0</v>
      </c>
      <c r="CA114" s="684">
        <f t="shared" si="567"/>
        <v>0</v>
      </c>
      <c r="CB114" s="1366"/>
      <c r="CC114" s="686">
        <v>0</v>
      </c>
      <c r="CD114" s="687">
        <v>0</v>
      </c>
      <c r="CE114" s="687">
        <v>0</v>
      </c>
      <c r="CF114" s="683">
        <v>0</v>
      </c>
      <c r="CG114" s="684">
        <f t="shared" si="568"/>
        <v>0</v>
      </c>
      <c r="CH114" s="1366"/>
      <c r="CI114" s="686">
        <v>0</v>
      </c>
      <c r="CJ114" s="687">
        <v>0</v>
      </c>
      <c r="CK114" s="687">
        <v>0</v>
      </c>
      <c r="CL114" s="683">
        <v>0</v>
      </c>
      <c r="CM114" s="684">
        <f t="shared" si="571"/>
        <v>0</v>
      </c>
      <c r="CN114" s="1366"/>
      <c r="CO114" s="686">
        <v>0</v>
      </c>
      <c r="CP114" s="687">
        <v>0</v>
      </c>
      <c r="CQ114" s="687">
        <v>0</v>
      </c>
      <c r="CR114" s="683">
        <v>0</v>
      </c>
      <c r="CS114" s="684">
        <f t="shared" si="574"/>
        <v>0</v>
      </c>
      <c r="CT114" s="416"/>
      <c r="CU114" s="400"/>
      <c r="CV114" s="400"/>
      <c r="DC114" s="921"/>
      <c r="DD114" s="921"/>
      <c r="DE114" s="921"/>
      <c r="DF114" s="921"/>
      <c r="DG114" s="921"/>
      <c r="DH114" s="921"/>
      <c r="DI114" s="921"/>
      <c r="DJ114" s="921"/>
      <c r="DK114" s="921"/>
      <c r="DL114" s="921"/>
    </row>
    <row r="115" spans="1:116" hidden="1" outlineLevel="1">
      <c r="A115" s="604" t="s">
        <v>89</v>
      </c>
      <c r="B115" s="417"/>
      <c r="C115" s="429">
        <v>303.39999999999998</v>
      </c>
      <c r="D115" s="430">
        <v>0</v>
      </c>
      <c r="E115" s="430">
        <v>0</v>
      </c>
      <c r="F115" s="683">
        <f>303.4-SUM(C115:E115)</f>
        <v>0</v>
      </c>
      <c r="G115" s="684">
        <f t="shared" si="556"/>
        <v>303.39999999999998</v>
      </c>
      <c r="H115" s="417"/>
      <c r="I115" s="429">
        <v>0</v>
      </c>
      <c r="J115" s="430">
        <v>0</v>
      </c>
      <c r="K115" s="430">
        <v>24.66</v>
      </c>
      <c r="L115" s="683">
        <f>24.66-SUM(I115:K115)</f>
        <v>0</v>
      </c>
      <c r="M115" s="684">
        <f t="shared" si="557"/>
        <v>24.66</v>
      </c>
      <c r="N115" s="685"/>
      <c r="O115" s="686">
        <v>2</v>
      </c>
      <c r="P115" s="687">
        <v>0</v>
      </c>
      <c r="Q115" s="687">
        <v>1.325</v>
      </c>
      <c r="R115" s="683">
        <f>5.675-3.7-SUM(O115:Q115)</f>
        <v>-1.3500000000000005</v>
      </c>
      <c r="S115" s="684">
        <f t="shared" si="558"/>
        <v>1.9749999999999996</v>
      </c>
      <c r="T115" s="685"/>
      <c r="U115" s="686">
        <v>0</v>
      </c>
      <c r="V115" s="687">
        <v>0</v>
      </c>
      <c r="W115" s="687">
        <v>0</v>
      </c>
      <c r="X115" s="683">
        <v>0</v>
      </c>
      <c r="Y115" s="684">
        <f t="shared" si="559"/>
        <v>0</v>
      </c>
      <c r="Z115" s="685"/>
      <c r="AA115" s="686">
        <v>0</v>
      </c>
      <c r="AB115" s="687">
        <v>0</v>
      </c>
      <c r="AC115" s="687">
        <v>0</v>
      </c>
      <c r="AD115" s="683">
        <v>0</v>
      </c>
      <c r="AE115" s="684">
        <f t="shared" si="575"/>
        <v>0</v>
      </c>
      <c r="AF115" s="685"/>
      <c r="AG115" s="686">
        <v>0</v>
      </c>
      <c r="AH115" s="687">
        <v>21.437999999999999</v>
      </c>
      <c r="AI115" s="687">
        <v>0</v>
      </c>
      <c r="AJ115" s="683">
        <v>0</v>
      </c>
      <c r="AK115" s="684">
        <f t="shared" si="560"/>
        <v>21.437999999999999</v>
      </c>
      <c r="AL115" s="688"/>
      <c r="AM115" s="686">
        <v>0</v>
      </c>
      <c r="AN115" s="687">
        <v>0</v>
      </c>
      <c r="AO115" s="687">
        <v>0</v>
      </c>
      <c r="AP115" s="683">
        <v>0</v>
      </c>
      <c r="AQ115" s="684">
        <f t="shared" si="561"/>
        <v>0</v>
      </c>
      <c r="AR115" s="689"/>
      <c r="AS115" s="686">
        <v>0</v>
      </c>
      <c r="AT115" s="687">
        <v>0</v>
      </c>
      <c r="AU115" s="687">
        <v>0</v>
      </c>
      <c r="AV115" s="687">
        <v>0</v>
      </c>
      <c r="AW115" s="684">
        <f t="shared" si="562"/>
        <v>0</v>
      </c>
      <c r="AX115" s="689"/>
      <c r="AY115" s="686">
        <v>0</v>
      </c>
      <c r="AZ115" s="687">
        <v>0</v>
      </c>
      <c r="BA115" s="687">
        <v>0</v>
      </c>
      <c r="BB115" s="683">
        <v>0</v>
      </c>
      <c r="BC115" s="684">
        <f t="shared" si="563"/>
        <v>0</v>
      </c>
      <c r="BD115" s="689"/>
      <c r="BE115" s="686">
        <v>0</v>
      </c>
      <c r="BF115" s="687">
        <v>0</v>
      </c>
      <c r="BG115" s="687">
        <v>0</v>
      </c>
      <c r="BH115" s="683">
        <v>0</v>
      </c>
      <c r="BI115" s="684">
        <f t="shared" si="564"/>
        <v>0</v>
      </c>
      <c r="BJ115" s="689"/>
      <c r="BK115" s="686">
        <v>0</v>
      </c>
      <c r="BL115" s="687">
        <v>0</v>
      </c>
      <c r="BM115" s="687">
        <v>0</v>
      </c>
      <c r="BN115" s="683">
        <v>0</v>
      </c>
      <c r="BO115" s="684">
        <f t="shared" si="565"/>
        <v>0</v>
      </c>
      <c r="BP115" s="1366"/>
      <c r="BQ115" s="686">
        <v>0</v>
      </c>
      <c r="BR115" s="687">
        <v>0</v>
      </c>
      <c r="BS115" s="687">
        <v>0</v>
      </c>
      <c r="BT115" s="683">
        <v>0</v>
      </c>
      <c r="BU115" s="684">
        <f t="shared" si="566"/>
        <v>0</v>
      </c>
      <c r="BV115" s="1366"/>
      <c r="BW115" s="686">
        <v>0</v>
      </c>
      <c r="BX115" s="687">
        <v>0</v>
      </c>
      <c r="BY115" s="687">
        <v>0</v>
      </c>
      <c r="BZ115" s="683">
        <v>0</v>
      </c>
      <c r="CA115" s="684">
        <f t="shared" si="567"/>
        <v>0</v>
      </c>
      <c r="CB115" s="1366"/>
      <c r="CC115" s="686">
        <v>0</v>
      </c>
      <c r="CD115" s="687">
        <v>0</v>
      </c>
      <c r="CE115" s="687">
        <v>0</v>
      </c>
      <c r="CF115" s="683">
        <v>0</v>
      </c>
      <c r="CG115" s="684">
        <f t="shared" si="568"/>
        <v>0</v>
      </c>
      <c r="CH115" s="1366"/>
      <c r="CI115" s="686">
        <v>0</v>
      </c>
      <c r="CJ115" s="687">
        <v>0</v>
      </c>
      <c r="CK115" s="687">
        <v>0</v>
      </c>
      <c r="CL115" s="683">
        <v>0</v>
      </c>
      <c r="CM115" s="684">
        <f t="shared" si="571"/>
        <v>0</v>
      </c>
      <c r="CN115" s="1366"/>
      <c r="CO115" s="686">
        <v>0</v>
      </c>
      <c r="CP115" s="687">
        <v>0</v>
      </c>
      <c r="CQ115" s="687">
        <v>0</v>
      </c>
      <c r="CR115" s="683">
        <v>0</v>
      </c>
      <c r="CS115" s="684">
        <f t="shared" si="574"/>
        <v>0</v>
      </c>
      <c r="CT115" s="416"/>
      <c r="CU115" s="400"/>
      <c r="CV115" s="400"/>
      <c r="DC115" s="921"/>
      <c r="DD115" s="921"/>
      <c r="DE115" s="921"/>
      <c r="DF115" s="921"/>
      <c r="DG115" s="921"/>
      <c r="DH115" s="921"/>
      <c r="DI115" s="921"/>
      <c r="DJ115" s="921"/>
      <c r="DK115" s="921"/>
      <c r="DL115" s="921"/>
    </row>
    <row r="116" spans="1:116" hidden="1" outlineLevel="1">
      <c r="A116" s="690" t="s">
        <v>90</v>
      </c>
      <c r="B116" s="517"/>
      <c r="C116" s="512">
        <v>0</v>
      </c>
      <c r="D116" s="513">
        <v>0</v>
      </c>
      <c r="E116" s="513">
        <v>0</v>
      </c>
      <c r="F116" s="683">
        <v>0</v>
      </c>
      <c r="G116" s="684">
        <f t="shared" si="556"/>
        <v>0</v>
      </c>
      <c r="H116" s="517"/>
      <c r="I116" s="512">
        <v>0</v>
      </c>
      <c r="J116" s="513">
        <v>4.069</v>
      </c>
      <c r="K116" s="513">
        <v>0</v>
      </c>
      <c r="L116" s="683">
        <f>4.069-SUM(I116:K116)</f>
        <v>0</v>
      </c>
      <c r="M116" s="684">
        <f t="shared" si="557"/>
        <v>4.069</v>
      </c>
      <c r="N116" s="691"/>
      <c r="O116" s="686">
        <v>0</v>
      </c>
      <c r="P116" s="687">
        <v>0</v>
      </c>
      <c r="Q116" s="687">
        <v>0</v>
      </c>
      <c r="R116" s="683">
        <v>0</v>
      </c>
      <c r="S116" s="684">
        <f t="shared" si="558"/>
        <v>0</v>
      </c>
      <c r="T116" s="691"/>
      <c r="U116" s="686">
        <v>0</v>
      </c>
      <c r="V116" s="687">
        <v>0</v>
      </c>
      <c r="W116" s="687">
        <v>0</v>
      </c>
      <c r="X116" s="683">
        <v>0</v>
      </c>
      <c r="Y116" s="684">
        <f t="shared" si="559"/>
        <v>0</v>
      </c>
      <c r="Z116" s="691"/>
      <c r="AA116" s="686">
        <v>0</v>
      </c>
      <c r="AB116" s="687">
        <v>0</v>
      </c>
      <c r="AC116" s="687">
        <v>0</v>
      </c>
      <c r="AD116" s="683">
        <v>0</v>
      </c>
      <c r="AE116" s="684">
        <f t="shared" si="575"/>
        <v>0</v>
      </c>
      <c r="AF116" s="691"/>
      <c r="AG116" s="692">
        <v>0</v>
      </c>
      <c r="AH116" s="687">
        <v>0</v>
      </c>
      <c r="AI116" s="687">
        <v>0</v>
      </c>
      <c r="AJ116" s="693">
        <v>0</v>
      </c>
      <c r="AK116" s="684">
        <f t="shared" si="560"/>
        <v>0</v>
      </c>
      <c r="AL116" s="694"/>
      <c r="AM116" s="686">
        <v>0</v>
      </c>
      <c r="AN116" s="687">
        <v>0</v>
      </c>
      <c r="AO116" s="687">
        <v>25.213999999999999</v>
      </c>
      <c r="AP116" s="683">
        <v>0</v>
      </c>
      <c r="AQ116" s="684">
        <f t="shared" si="561"/>
        <v>25.213999999999999</v>
      </c>
      <c r="AR116" s="695"/>
      <c r="AS116" s="686">
        <v>0</v>
      </c>
      <c r="AT116" s="687">
        <v>0</v>
      </c>
      <c r="AU116" s="687">
        <v>0</v>
      </c>
      <c r="AV116" s="687">
        <v>-0.48499999999999999</v>
      </c>
      <c r="AW116" s="684">
        <f t="shared" si="562"/>
        <v>-0.48499999999999999</v>
      </c>
      <c r="AX116" s="695"/>
      <c r="AY116" s="686">
        <v>0</v>
      </c>
      <c r="AZ116" s="687">
        <v>0</v>
      </c>
      <c r="BA116" s="687">
        <v>0</v>
      </c>
      <c r="BB116" s="683">
        <v>0</v>
      </c>
      <c r="BC116" s="684">
        <f t="shared" si="563"/>
        <v>0</v>
      </c>
      <c r="BD116" s="695"/>
      <c r="BE116" s="686">
        <v>0</v>
      </c>
      <c r="BF116" s="687">
        <v>0</v>
      </c>
      <c r="BG116" s="687">
        <v>0</v>
      </c>
      <c r="BH116" s="683">
        <v>0</v>
      </c>
      <c r="BI116" s="684">
        <f t="shared" si="564"/>
        <v>0</v>
      </c>
      <c r="BJ116" s="695"/>
      <c r="BK116" s="2916">
        <f>5+18+11</f>
        <v>34</v>
      </c>
      <c r="BL116" s="687">
        <v>0</v>
      </c>
      <c r="BM116" s="687">
        <v>0</v>
      </c>
      <c r="BN116" s="683">
        <v>0</v>
      </c>
      <c r="BO116" s="684">
        <f t="shared" si="565"/>
        <v>34</v>
      </c>
      <c r="BP116" s="1367"/>
      <c r="BQ116" s="2916">
        <v>0</v>
      </c>
      <c r="BR116" s="687">
        <v>0</v>
      </c>
      <c r="BS116" s="687">
        <v>0</v>
      </c>
      <c r="BT116" s="683">
        <v>0</v>
      </c>
      <c r="BU116" s="684">
        <f t="shared" si="566"/>
        <v>0</v>
      </c>
      <c r="BV116" s="1367"/>
      <c r="BW116" s="686">
        <v>0</v>
      </c>
      <c r="BX116" s="687">
        <v>0</v>
      </c>
      <c r="BY116" s="687">
        <v>0</v>
      </c>
      <c r="BZ116" s="683">
        <v>0</v>
      </c>
      <c r="CA116" s="684">
        <f t="shared" si="567"/>
        <v>0</v>
      </c>
      <c r="CB116" s="1367"/>
      <c r="CC116" s="686">
        <v>0</v>
      </c>
      <c r="CD116" s="687">
        <v>0</v>
      </c>
      <c r="CE116" s="687">
        <v>0</v>
      </c>
      <c r="CF116" s="683">
        <v>0</v>
      </c>
      <c r="CG116" s="684">
        <f t="shared" si="568"/>
        <v>0</v>
      </c>
      <c r="CH116" s="1367"/>
      <c r="CI116" s="686">
        <v>0</v>
      </c>
      <c r="CJ116" s="687">
        <v>0</v>
      </c>
      <c r="CK116" s="687">
        <v>0</v>
      </c>
      <c r="CL116" s="683">
        <v>0</v>
      </c>
      <c r="CM116" s="684">
        <f t="shared" si="571"/>
        <v>0</v>
      </c>
      <c r="CN116" s="1367"/>
      <c r="CO116" s="686">
        <v>0</v>
      </c>
      <c r="CP116" s="687">
        <v>0</v>
      </c>
      <c r="CQ116" s="687">
        <v>0</v>
      </c>
      <c r="CR116" s="683">
        <v>0</v>
      </c>
      <c r="CS116" s="684">
        <f t="shared" si="574"/>
        <v>0</v>
      </c>
      <c r="CT116" s="416"/>
      <c r="CU116" s="400"/>
      <c r="CV116" s="400"/>
      <c r="DC116" s="921"/>
      <c r="DD116" s="921"/>
      <c r="DE116" s="921"/>
      <c r="DF116" s="921"/>
      <c r="DG116" s="921"/>
      <c r="DH116" s="921"/>
      <c r="DI116" s="921"/>
      <c r="DJ116" s="921"/>
      <c r="DK116" s="921"/>
      <c r="DL116" s="921"/>
    </row>
    <row r="117" spans="1:116" collapsed="1">
      <c r="A117" s="670" t="s">
        <v>86</v>
      </c>
      <c r="B117" s="671"/>
      <c r="C117" s="613">
        <f>C105-SUM(C106:C116)</f>
        <v>-298.07599999999996</v>
      </c>
      <c r="D117" s="614">
        <f>D105-SUM(D106:D116)</f>
        <v>9.263999999999994</v>
      </c>
      <c r="E117" s="614">
        <f>E105-SUM(E106:E116)</f>
        <v>14.503000000000002</v>
      </c>
      <c r="F117" s="615">
        <f>F105-SUM(F106:F116)</f>
        <v>-4.0499999999999794</v>
      </c>
      <c r="G117" s="616">
        <f>G105-SUM(G106:G116)</f>
        <v>-278.35899999999998</v>
      </c>
      <c r="H117" s="671"/>
      <c r="I117" s="613">
        <f>I105-SUM(I106:I116)</f>
        <v>10.743</v>
      </c>
      <c r="J117" s="614">
        <f>J105-SUM(J106:J116)</f>
        <v>12.658999999999992</v>
      </c>
      <c r="K117" s="614">
        <f>K105-SUM(K106:K116)</f>
        <v>-10.078000000000014</v>
      </c>
      <c r="L117" s="615">
        <f>L105-SUM(L106:L116)</f>
        <v>26.092000000000027</v>
      </c>
      <c r="M117" s="616">
        <f>M105-SUM(M106:M116)</f>
        <v>39.416000000000004</v>
      </c>
      <c r="N117" s="613"/>
      <c r="O117" s="613">
        <f>O105-SUM(O106:O116)</f>
        <v>18.811000000000007</v>
      </c>
      <c r="P117" s="614">
        <f>P105-SUM(P106:P116)</f>
        <v>24.688000000000002</v>
      </c>
      <c r="Q117" s="614">
        <f>Q105-SUM(Q106:Q116)</f>
        <v>17.077000000000019</v>
      </c>
      <c r="R117" s="615">
        <f>R105-SUM(R106:R116)</f>
        <v>11.704999999999981</v>
      </c>
      <c r="S117" s="616">
        <f>S105-SUM(S106:S116)</f>
        <v>72.281000000000049</v>
      </c>
      <c r="T117" s="613"/>
      <c r="U117" s="613">
        <f>U105-SUM(U106:U116)</f>
        <v>21.208000000000013</v>
      </c>
      <c r="V117" s="614">
        <f>V105-SUM(V106:V116)</f>
        <v>29.795999999999992</v>
      </c>
      <c r="W117" s="614">
        <f>W105-SUM(W106:W116)</f>
        <v>35.446999999999996</v>
      </c>
      <c r="X117" s="615">
        <f>X105-SUM(X106:X116)</f>
        <v>38.439999999999976</v>
      </c>
      <c r="Y117" s="616">
        <f>Y105-SUM(Y106:Y116)</f>
        <v>124.89100000000002</v>
      </c>
      <c r="Z117" s="613"/>
      <c r="AA117" s="613">
        <f>AA105-SUM(AA106:AA116)</f>
        <v>24.136999999999979</v>
      </c>
      <c r="AB117" s="614">
        <f>AB105-SUM(AB106:AB116)</f>
        <v>30.619999999999987</v>
      </c>
      <c r="AC117" s="614">
        <f>AC105-SUM(AC106:AC116)</f>
        <v>20.150999999999996</v>
      </c>
      <c r="AD117" s="615">
        <f>AD105-SUM(AD106:AD116)</f>
        <v>11.719999999999949</v>
      </c>
      <c r="AE117" s="616">
        <f>AE105-SUM(AE106:AE116)</f>
        <v>86.627999999999773</v>
      </c>
      <c r="AF117" s="613"/>
      <c r="AG117" s="613">
        <f>AG105-SUM(AG106:AG116)</f>
        <v>26.201999999999995</v>
      </c>
      <c r="AH117" s="614">
        <f>AH105-SUM(AH106:AH116)</f>
        <v>23.400999999999954</v>
      </c>
      <c r="AI117" s="614">
        <f>AI105-SUM(AI106:AI116)</f>
        <v>29.748000000000033</v>
      </c>
      <c r="AJ117" s="615">
        <f>AJ105-SUM(AJ106:AJ116)</f>
        <v>71.90300000000002</v>
      </c>
      <c r="AK117" s="616">
        <f>AK105-SUM(AK106:AK116)</f>
        <v>151.25400000000008</v>
      </c>
      <c r="AL117" s="613"/>
      <c r="AM117" s="613">
        <f>AM105-SUM(AM106:AM116)</f>
        <v>-22.586999999999961</v>
      </c>
      <c r="AN117" s="614">
        <f>AN105-SUM(AN106:AN116)</f>
        <v>35.87700000000001</v>
      </c>
      <c r="AO117" s="614">
        <f>AO105-SUM(AO106:AO116)</f>
        <v>31.357000000000049</v>
      </c>
      <c r="AP117" s="615">
        <f>AP105-SUM(AP106:AP116)</f>
        <v>80.66100000000003</v>
      </c>
      <c r="AQ117" s="616">
        <f>AQ105-SUM(AQ106:AQ116)</f>
        <v>125.30800000000013</v>
      </c>
      <c r="AR117" s="613"/>
      <c r="AS117" s="613">
        <f>AS105-SUM(AS106:AS116)</f>
        <v>59.976999999999997</v>
      </c>
      <c r="AT117" s="614">
        <f>AT105-SUM(AT106:AT116)</f>
        <v>46.60499999999999</v>
      </c>
      <c r="AU117" s="614">
        <f>AU105-SUM(AU106:AU116)</f>
        <v>93.489000000000033</v>
      </c>
      <c r="AV117" s="614">
        <f>AV105-SUM(AV106:AV116)</f>
        <v>153.28</v>
      </c>
      <c r="AW117" s="616">
        <f>AW105-SUM(AW106:AW116)</f>
        <v>353.35099999999966</v>
      </c>
      <c r="AX117" s="613"/>
      <c r="AY117" s="613">
        <f>AY105-SUM(AY106:AY116)</f>
        <v>136.65800000000007</v>
      </c>
      <c r="AZ117" s="614">
        <f>AZ105-SUM(AZ106:AZ116)</f>
        <v>102.2469999999999</v>
      </c>
      <c r="BA117" s="614">
        <f>BA105-SUM(BA106:BA116)</f>
        <v>118.17699999999996</v>
      </c>
      <c r="BB117" s="615">
        <f>BB105-SUM(BB106:BB116)</f>
        <v>104.477</v>
      </c>
      <c r="BC117" s="616">
        <f>BC105-SUM(BC106:BC116)</f>
        <v>461.55899999999968</v>
      </c>
      <c r="BD117" s="613"/>
      <c r="BE117" s="613">
        <f>BE105-SUM(BE106:BE116)</f>
        <v>89.587000000000089</v>
      </c>
      <c r="BF117" s="614">
        <f>BF105-SUM(BF106:BF116)</f>
        <v>120.41200000000001</v>
      </c>
      <c r="BG117" s="614">
        <f>BG105-SUM(BG106:BG116)</f>
        <v>128.88800000000003</v>
      </c>
      <c r="BH117" s="615">
        <f>BH105-SUM(BH106:BH116)</f>
        <v>123.76200000000004</v>
      </c>
      <c r="BI117" s="616">
        <f>BI105-SUM(BI106:BI116)</f>
        <v>462.64900000000046</v>
      </c>
      <c r="BJ117" s="613"/>
      <c r="BK117" s="613">
        <f>BK105-SUM(BK106:BK116)</f>
        <v>361</v>
      </c>
      <c r="BL117" s="614">
        <f>BL105-SUM(BL106:BL116)</f>
        <v>127.3</v>
      </c>
      <c r="BM117" s="614">
        <f>BM105-SUM(BM106:BM116)</f>
        <v>163.42000000000002</v>
      </c>
      <c r="BN117" s="615">
        <f>BN105-SUM(BN106:BN116)</f>
        <v>68.120000000000118</v>
      </c>
      <c r="BO117" s="616">
        <f>BO105-SUM(BO106:BO116)</f>
        <v>719.84000000000026</v>
      </c>
      <c r="BP117" s="614"/>
      <c r="BQ117" s="613">
        <f>BQ105-SUM(BQ106:BQ116)</f>
        <v>208</v>
      </c>
      <c r="BR117" s="614">
        <f>BR105-SUM(BR106:BR116)</f>
        <v>158.27165001571481</v>
      </c>
      <c r="BS117" s="614">
        <f>BS105-SUM(BS106:BS116)</f>
        <v>165.43933703477836</v>
      </c>
      <c r="BT117" s="615">
        <f>BT105-SUM(BT106:BT116)</f>
        <v>176.32614500258657</v>
      </c>
      <c r="BU117" s="616">
        <f>BU105-SUM(BU106:BU116)</f>
        <v>708.0371320530802</v>
      </c>
      <c r="BV117" s="614"/>
      <c r="BW117" s="613">
        <f>BW105-SUM(BW106:BW116)</f>
        <v>205.86174878211997</v>
      </c>
      <c r="BX117" s="614">
        <f>BX105-SUM(BX106:BX116)</f>
        <v>167.87823001353337</v>
      </c>
      <c r="BY117" s="614">
        <f>BY105-SUM(BY106:BY116)</f>
        <v>175.3081295345811</v>
      </c>
      <c r="BZ117" s="615">
        <f>BZ105-SUM(BZ106:BZ116)</f>
        <v>186.38885826705709</v>
      </c>
      <c r="CA117" s="616">
        <f>CA105-SUM(CA106:CA116)</f>
        <v>735.43696659729198</v>
      </c>
      <c r="CB117" s="614"/>
      <c r="CC117" s="613">
        <f>CC105-SUM(CC106:CC116)</f>
        <v>227.57453602593077</v>
      </c>
      <c r="CD117" s="614">
        <f>CD105-SUM(CD106:CD116)</f>
        <v>243.94221423167102</v>
      </c>
      <c r="CE117" s="614">
        <f>CE105-SUM(CE106:CE116)</f>
        <v>258.68886697121042</v>
      </c>
      <c r="CF117" s="615">
        <f>CF105-SUM(CF106:CF116)</f>
        <v>275.24665373192443</v>
      </c>
      <c r="CG117" s="616">
        <f>CG105-SUM(CG106:CG116)</f>
        <v>1005.4522709607365</v>
      </c>
      <c r="CH117" s="614"/>
      <c r="CI117" s="613">
        <f t="shared" ref="CI117:CM117" si="585">CI105-SUM(CI106:CI116)</f>
        <v>324.27276687442452</v>
      </c>
      <c r="CJ117" s="614">
        <f t="shared" si="585"/>
        <v>214.44490994919394</v>
      </c>
      <c r="CK117" s="614">
        <f t="shared" si="585"/>
        <v>224.2175308702906</v>
      </c>
      <c r="CL117" s="615">
        <f t="shared" si="585"/>
        <v>238.77597142459146</v>
      </c>
      <c r="CM117" s="616">
        <f t="shared" si="585"/>
        <v>1001.7111791185009</v>
      </c>
      <c r="CN117" s="614"/>
      <c r="CO117" s="613">
        <f t="shared" ref="CO117:CS117" si="586">CO105-SUM(CO106:CO116)</f>
        <v>287.35222375662784</v>
      </c>
      <c r="CP117" s="614">
        <f t="shared" si="586"/>
        <v>241.586416515319</v>
      </c>
      <c r="CQ117" s="614">
        <f t="shared" si="586"/>
        <v>253.62115128469571</v>
      </c>
      <c r="CR117" s="615">
        <f t="shared" si="586"/>
        <v>270.17510452868424</v>
      </c>
      <c r="CS117" s="616">
        <f t="shared" si="586"/>
        <v>1052.7348960853265</v>
      </c>
      <c r="CT117" s="939"/>
      <c r="CU117" s="940"/>
      <c r="CV117" s="940"/>
      <c r="DC117" s="921"/>
      <c r="DD117" s="921"/>
      <c r="DE117" s="921"/>
      <c r="DF117" s="921"/>
      <c r="DG117" s="921"/>
      <c r="DH117" s="921"/>
      <c r="DI117" s="921"/>
      <c r="DJ117" s="921"/>
      <c r="DK117" s="921"/>
      <c r="DL117" s="921"/>
    </row>
    <row r="118" spans="1:116">
      <c r="A118" s="696"/>
      <c r="B118" s="697"/>
      <c r="C118" s="698"/>
      <c r="D118" s="699"/>
      <c r="E118" s="699"/>
      <c r="F118" s="700"/>
      <c r="G118" s="701"/>
      <c r="H118" s="697"/>
      <c r="I118" s="698"/>
      <c r="J118" s="699"/>
      <c r="K118" s="702"/>
      <c r="L118" s="703"/>
      <c r="M118" s="704"/>
      <c r="N118" s="705"/>
      <c r="O118" s="706"/>
      <c r="P118" s="707"/>
      <c r="Q118" s="707"/>
      <c r="R118" s="708"/>
      <c r="S118" s="704"/>
      <c r="T118" s="709"/>
      <c r="U118" s="706"/>
      <c r="V118" s="707"/>
      <c r="W118" s="707"/>
      <c r="X118" s="708"/>
      <c r="Y118" s="704"/>
      <c r="Z118" s="709"/>
      <c r="AA118" s="706"/>
      <c r="AB118" s="707"/>
      <c r="AC118" s="707"/>
      <c r="AD118" s="708"/>
      <c r="AE118" s="704"/>
      <c r="AF118" s="709"/>
      <c r="AG118" s="706"/>
      <c r="AH118" s="707"/>
      <c r="AI118" s="707"/>
      <c r="AJ118" s="708"/>
      <c r="AK118" s="704"/>
      <c r="AL118" s="709"/>
      <c r="AM118" s="706"/>
      <c r="AN118" s="707"/>
      <c r="AO118" s="707"/>
      <c r="AP118" s="708"/>
      <c r="AQ118" s="704"/>
      <c r="AR118" s="709"/>
      <c r="AS118" s="706"/>
      <c r="AT118" s="707"/>
      <c r="AU118" s="707"/>
      <c r="AV118" s="707"/>
      <c r="AW118" s="704"/>
      <c r="AX118" s="709"/>
      <c r="AY118" s="706"/>
      <c r="AZ118" s="707"/>
      <c r="BA118" s="707"/>
      <c r="BB118" s="708"/>
      <c r="BC118" s="704"/>
      <c r="BD118" s="709"/>
      <c r="BE118" s="706"/>
      <c r="BF118" s="707"/>
      <c r="BG118" s="707"/>
      <c r="BH118" s="708"/>
      <c r="BI118" s="704"/>
      <c r="BJ118" s="709"/>
      <c r="BK118" s="706"/>
      <c r="BL118" s="707"/>
      <c r="BM118" s="707"/>
      <c r="BN118" s="708"/>
      <c r="BO118" s="704">
        <f>+BO112/BO43</f>
        <v>1.8218898708361659</v>
      </c>
      <c r="BP118" s="709"/>
      <c r="BQ118" s="706"/>
      <c r="BR118" s="707"/>
      <c r="BS118" s="707"/>
      <c r="BT118" s="708"/>
      <c r="BU118" s="704"/>
      <c r="BV118" s="709"/>
      <c r="BW118" s="706"/>
      <c r="BX118" s="707"/>
      <c r="BY118" s="707"/>
      <c r="BZ118" s="708"/>
      <c r="CA118" s="704"/>
      <c r="CB118" s="709"/>
      <c r="CC118" s="706"/>
      <c r="CD118" s="707"/>
      <c r="CE118" s="707"/>
      <c r="CF118" s="708"/>
      <c r="CG118" s="704"/>
      <c r="CH118" s="709"/>
      <c r="CI118" s="706"/>
      <c r="CJ118" s="707"/>
      <c r="CK118" s="707"/>
      <c r="CL118" s="708"/>
      <c r="CM118" s="704"/>
      <c r="CN118" s="709"/>
      <c r="CO118" s="706"/>
      <c r="CP118" s="707"/>
      <c r="CQ118" s="707"/>
      <c r="CR118" s="708"/>
      <c r="CS118" s="704"/>
      <c r="CT118" s="941"/>
      <c r="CU118" s="697"/>
      <c r="CV118" s="697"/>
      <c r="DC118" s="921"/>
      <c r="DD118" s="921"/>
      <c r="DE118" s="921"/>
      <c r="DF118" s="921"/>
      <c r="DG118" s="921"/>
      <c r="DH118" s="921"/>
      <c r="DI118" s="921"/>
      <c r="DJ118" s="921"/>
      <c r="DK118" s="921"/>
      <c r="DL118" s="921"/>
    </row>
    <row r="119" spans="1:116">
      <c r="A119" s="529" t="s">
        <v>377</v>
      </c>
      <c r="B119" s="530"/>
      <c r="C119" s="531"/>
      <c r="D119" s="532"/>
      <c r="E119" s="532"/>
      <c r="F119" s="533"/>
      <c r="G119" s="534"/>
      <c r="H119" s="530"/>
      <c r="I119" s="535"/>
      <c r="J119" s="536"/>
      <c r="K119" s="536"/>
      <c r="L119" s="537"/>
      <c r="M119" s="710"/>
      <c r="N119" s="711"/>
      <c r="O119" s="712"/>
      <c r="P119" s="713"/>
      <c r="Q119" s="713"/>
      <c r="R119" s="714"/>
      <c r="S119" s="710"/>
      <c r="T119" s="715"/>
      <c r="U119" s="716"/>
      <c r="V119" s="717"/>
      <c r="W119" s="717"/>
      <c r="X119" s="718"/>
      <c r="Y119" s="544"/>
      <c r="Z119" s="715"/>
      <c r="AA119" s="716"/>
      <c r="AB119" s="717"/>
      <c r="AC119" s="717"/>
      <c r="AD119" s="718"/>
      <c r="AE119" s="544"/>
      <c r="AF119" s="715"/>
      <c r="AG119" s="716"/>
      <c r="AH119" s="717"/>
      <c r="AI119" s="717"/>
      <c r="AJ119" s="718"/>
      <c r="AK119" s="544"/>
      <c r="AL119" s="715"/>
      <c r="AM119" s="716"/>
      <c r="AN119" s="717"/>
      <c r="AO119" s="717"/>
      <c r="AP119" s="718"/>
      <c r="AQ119" s="544"/>
      <c r="AR119" s="715"/>
      <c r="AS119" s="716"/>
      <c r="AT119" s="717"/>
      <c r="AU119" s="717"/>
      <c r="AV119" s="717"/>
      <c r="AW119" s="544"/>
      <c r="AX119" s="715"/>
      <c r="AY119" s="716"/>
      <c r="AZ119" s="717"/>
      <c r="BA119" s="717"/>
      <c r="BB119" s="718"/>
      <c r="BC119" s="544"/>
      <c r="BD119" s="715"/>
      <c r="BE119" s="716"/>
      <c r="BF119" s="717"/>
      <c r="BG119" s="717"/>
      <c r="BH119" s="718"/>
      <c r="BI119" s="544"/>
      <c r="BJ119" s="715"/>
      <c r="BK119" s="716"/>
      <c r="BL119" s="717"/>
      <c r="BM119" s="717"/>
      <c r="BN119" s="718"/>
      <c r="BO119" s="544"/>
      <c r="BP119" s="715"/>
      <c r="BQ119" s="716"/>
      <c r="BR119" s="717"/>
      <c r="BS119" s="717"/>
      <c r="BT119" s="718"/>
      <c r="BU119" s="544"/>
      <c r="BV119" s="715"/>
      <c r="BW119" s="716"/>
      <c r="BX119" s="717"/>
      <c r="BY119" s="717"/>
      <c r="BZ119" s="718"/>
      <c r="CA119" s="544"/>
      <c r="CB119" s="715"/>
      <c r="CC119" s="716"/>
      <c r="CD119" s="717"/>
      <c r="CE119" s="717"/>
      <c r="CF119" s="718"/>
      <c r="CG119" s="544"/>
      <c r="CH119" s="715"/>
      <c r="CI119" s="716"/>
      <c r="CJ119" s="717"/>
      <c r="CK119" s="717"/>
      <c r="CL119" s="718"/>
      <c r="CM119" s="544"/>
      <c r="CN119" s="715"/>
      <c r="CO119" s="716"/>
      <c r="CP119" s="717"/>
      <c r="CQ119" s="717"/>
      <c r="CR119" s="718"/>
      <c r="CS119" s="544"/>
      <c r="CT119" s="942"/>
      <c r="CU119" s="581"/>
      <c r="CV119" s="581"/>
      <c r="DC119" s="921"/>
      <c r="DD119" s="921"/>
      <c r="DE119" s="921"/>
      <c r="DF119" s="921"/>
      <c r="DG119" s="921"/>
      <c r="DH119" s="921"/>
      <c r="DI119" s="921"/>
      <c r="DJ119" s="921"/>
      <c r="DK119" s="921"/>
      <c r="DL119" s="921"/>
    </row>
    <row r="120" spans="1:116">
      <c r="A120" s="545" t="s">
        <v>192</v>
      </c>
      <c r="B120" s="417"/>
      <c r="C120" s="546">
        <f>C87/C9</f>
        <v>0.64571032571032572</v>
      </c>
      <c r="D120" s="547">
        <f>D87/D9</f>
        <v>0.63561838291831785</v>
      </c>
      <c r="E120" s="547">
        <f>E87/E9</f>
        <v>0.61296277304891811</v>
      </c>
      <c r="F120" s="547">
        <f>F87/F9</f>
        <v>0.63802351603850671</v>
      </c>
      <c r="G120" s="549">
        <f>G87/G9</f>
        <v>0.63231906302907048</v>
      </c>
      <c r="H120" s="550"/>
      <c r="I120" s="546">
        <f>I87/I9</f>
        <v>0.60203838799944187</v>
      </c>
      <c r="J120" s="547">
        <f>J87/J9</f>
        <v>0.62099345827061503</v>
      </c>
      <c r="K120" s="547">
        <f>K87/K9</f>
        <v>0.61977904964727804</v>
      </c>
      <c r="L120" s="547">
        <f>L87/L9</f>
        <v>0.64390065060555413</v>
      </c>
      <c r="M120" s="549">
        <f>M87/M9</f>
        <v>0.62307645339962492</v>
      </c>
      <c r="N120" s="551"/>
      <c r="O120" s="546">
        <f>O87/O9</f>
        <v>0.66401418944599633</v>
      </c>
      <c r="P120" s="547">
        <f>P87/P9</f>
        <v>0.68767592781623699</v>
      </c>
      <c r="Q120" s="547">
        <f>Q87/Q9</f>
        <v>0.67647133114422842</v>
      </c>
      <c r="R120" s="547">
        <f>R87/R9</f>
        <v>0.69518840964976403</v>
      </c>
      <c r="S120" s="549">
        <f>S87/S9</f>
        <v>0.68116261758543895</v>
      </c>
      <c r="T120" s="550"/>
      <c r="U120" s="546">
        <f>U87/U9</f>
        <v>0.68795769553065356</v>
      </c>
      <c r="V120" s="547">
        <f>V87/V9</f>
        <v>0.68909873916878539</v>
      </c>
      <c r="W120" s="547">
        <f>W87/W9</f>
        <v>0.66219570264928851</v>
      </c>
      <c r="X120" s="547">
        <f>X87/X9</f>
        <v>0.63577218348399145</v>
      </c>
      <c r="Y120" s="549">
        <f>Y87/Y9</f>
        <v>0.66634837677694936</v>
      </c>
      <c r="Z120" s="550"/>
      <c r="AA120" s="546">
        <f>AA87/AA9</f>
        <v>0.66559651699909728</v>
      </c>
      <c r="AB120" s="547">
        <f>AB87/AB9</f>
        <v>0.67265959297269096</v>
      </c>
      <c r="AC120" s="547">
        <f>AC87/AC9</f>
        <v>0.66715782232620946</v>
      </c>
      <c r="AD120" s="547">
        <f>AD87/AD9</f>
        <v>0.68215026932351208</v>
      </c>
      <c r="AE120" s="549">
        <f>AE87/AE9</f>
        <v>0.67179013486052086</v>
      </c>
      <c r="AF120" s="550"/>
      <c r="AG120" s="546">
        <f>AG87/AG9</f>
        <v>0.66360303552443456</v>
      </c>
      <c r="AH120" s="547">
        <f>AH87/AH9</f>
        <v>0.68778398258061979</v>
      </c>
      <c r="AI120" s="547">
        <f>AI87/AI9</f>
        <v>0.68517248857888446</v>
      </c>
      <c r="AJ120" s="547">
        <f>AJ87/AJ9</f>
        <v>0.65848705802467145</v>
      </c>
      <c r="AK120" s="549">
        <f>AK87/AK9</f>
        <v>0.6735021540840529</v>
      </c>
      <c r="AL120" s="550"/>
      <c r="AM120" s="546">
        <f>AM87/AM9</f>
        <v>0.66259767100357148</v>
      </c>
      <c r="AN120" s="547">
        <f>AN87/AN9</f>
        <v>0.64551538021462374</v>
      </c>
      <c r="AO120" s="547">
        <f>AO87/AO9</f>
        <v>0.5883968609865472</v>
      </c>
      <c r="AP120" s="547">
        <f>AP87/AP9</f>
        <v>0.6693224828697274</v>
      </c>
      <c r="AQ120" s="549">
        <f>AQ87/AQ9</f>
        <v>0.64164165220683134</v>
      </c>
      <c r="AR120" s="550"/>
      <c r="AS120" s="546">
        <f>AS87/AS9</f>
        <v>0.66137016642861735</v>
      </c>
      <c r="AT120" s="547">
        <f>AT87/AT9</f>
        <v>0.67149572802345114</v>
      </c>
      <c r="AU120" s="547">
        <f>AU87/AU9</f>
        <v>0.69479849364375934</v>
      </c>
      <c r="AV120" s="547">
        <f>AV87/AV9</f>
        <v>0.75127395931527252</v>
      </c>
      <c r="AW120" s="549">
        <f>AW87/AW9</f>
        <v>0.69718452871505632</v>
      </c>
      <c r="AX120" s="550"/>
      <c r="AY120" s="546">
        <f>AY87/AY9</f>
        <v>0.69634491658388498</v>
      </c>
      <c r="AZ120" s="547">
        <f>AZ87/AZ9</f>
        <v>0.69777595675018256</v>
      </c>
      <c r="BA120" s="547">
        <f>BA87/BA9</f>
        <v>0.70426935091981957</v>
      </c>
      <c r="BB120" s="547">
        <f>BB87/BB9</f>
        <v>0.69370363858892259</v>
      </c>
      <c r="BC120" s="549">
        <f>BC87/BC9</f>
        <v>0.69795320399213967</v>
      </c>
      <c r="BD120" s="550"/>
      <c r="BE120" s="546">
        <f>BE87/BE9</f>
        <v>0.69443808011361363</v>
      </c>
      <c r="BF120" s="547">
        <f>BF87/BF9</f>
        <v>0.70619571955129279</v>
      </c>
      <c r="BG120" s="547">
        <f>BG87/BG9</f>
        <v>0.70189857676742895</v>
      </c>
      <c r="BH120" s="547">
        <f>BH87/BH9</f>
        <v>0.67722778991421617</v>
      </c>
      <c r="BI120" s="549">
        <f>BI87/BI9</f>
        <v>0.69482436635168932</v>
      </c>
      <c r="BJ120" s="550"/>
      <c r="BK120" s="546">
        <f>BK87/BK9</f>
        <v>0.61538461538461542</v>
      </c>
      <c r="BL120" s="547">
        <f>BL87/BL9</f>
        <v>0.65474033816425126</v>
      </c>
      <c r="BM120" s="547">
        <f>BM87/BM9</f>
        <v>0.67549019607843142</v>
      </c>
      <c r="BN120" s="547">
        <f>BN87/BN9</f>
        <v>0.69744117268869754</v>
      </c>
      <c r="BO120" s="549">
        <f>BO87/BO9</f>
        <v>0.66363867592020642</v>
      </c>
      <c r="BP120" s="550"/>
      <c r="BQ120" s="546">
        <f>BQ87/BQ9</f>
        <v>0.68797953964194369</v>
      </c>
      <c r="BR120" s="547">
        <f>BR87/BR9</f>
        <v>0.67637332153204277</v>
      </c>
      <c r="BS120" s="547">
        <f>BS87/BS9</f>
        <v>0.67690993171166758</v>
      </c>
      <c r="BT120" s="547">
        <f>BT87/BT9</f>
        <v>0.67751158753815865</v>
      </c>
      <c r="BU120" s="549">
        <f>BU87/BU9</f>
        <v>0.67962487969660079</v>
      </c>
      <c r="BV120" s="550"/>
      <c r="BW120" s="546">
        <f>BW87/BW9</f>
        <v>0.68265645633368188</v>
      </c>
      <c r="BX120" s="547">
        <f>BX87/BX9</f>
        <v>0.67198983013240754</v>
      </c>
      <c r="BY120" s="547">
        <f>BY87/BY9</f>
        <v>0.67305729288587224</v>
      </c>
      <c r="BZ120" s="547">
        <f>BZ87/BZ9</f>
        <v>0.67299895046173208</v>
      </c>
      <c r="CA120" s="549">
        <f>CA87/CA9</f>
        <v>0.6751444528860765</v>
      </c>
      <c r="CB120" s="550"/>
      <c r="CC120" s="546">
        <f>CC87/CC9</f>
        <v>0.68084398254874301</v>
      </c>
      <c r="CD120" s="547">
        <f>CD87/CD9</f>
        <v>0.66884069951937419</v>
      </c>
      <c r="CE120" s="547">
        <f>CE87/CE9</f>
        <v>0.67002408537726121</v>
      </c>
      <c r="CF120" s="547">
        <f>CF87/CF9</f>
        <v>0.66972610662061449</v>
      </c>
      <c r="CG120" s="549">
        <f>CG87/CG9</f>
        <v>0.67231892054431641</v>
      </c>
      <c r="CH120" s="550"/>
      <c r="CI120" s="546">
        <f t="shared" ref="CI120:CM120" si="587">CI87/CI9</f>
        <v>0.67852114701030131</v>
      </c>
      <c r="CJ120" s="547">
        <f t="shared" si="587"/>
        <v>0.66547439258694174</v>
      </c>
      <c r="CK120" s="547">
        <f t="shared" si="587"/>
        <v>0.66665435215854874</v>
      </c>
      <c r="CL120" s="547">
        <f t="shared" si="587"/>
        <v>0.66628876235503709</v>
      </c>
      <c r="CM120" s="549">
        <f t="shared" si="587"/>
        <v>0.66918947485006353</v>
      </c>
      <c r="CN120" s="550"/>
      <c r="CO120" s="546">
        <f t="shared" ref="CO120:CS120" si="588">CO87/CO9</f>
        <v>0.67724483281745451</v>
      </c>
      <c r="CP120" s="547">
        <f t="shared" si="588"/>
        <v>0.66404094710087602</v>
      </c>
      <c r="CQ120" s="547">
        <f t="shared" si="588"/>
        <v>0.66542979146557391</v>
      </c>
      <c r="CR120" s="547">
        <f t="shared" si="588"/>
        <v>0.66490520133329234</v>
      </c>
      <c r="CS120" s="549">
        <f t="shared" si="588"/>
        <v>0.66784364218228442</v>
      </c>
      <c r="CT120" s="942"/>
      <c r="CU120" s="581"/>
      <c r="CV120" s="581"/>
      <c r="DC120" s="921"/>
      <c r="DD120" s="921"/>
      <c r="DE120" s="921"/>
      <c r="DF120" s="921"/>
      <c r="DG120" s="921"/>
      <c r="DH120" s="921"/>
      <c r="DI120" s="921"/>
      <c r="DJ120" s="921"/>
      <c r="DK120" s="921"/>
      <c r="DL120" s="921"/>
    </row>
    <row r="121" spans="1:116">
      <c r="A121" s="545" t="s">
        <v>194</v>
      </c>
      <c r="B121" s="417"/>
      <c r="C121" s="546">
        <f>C91/C9</f>
        <v>0.22115038115038113</v>
      </c>
      <c r="D121" s="547">
        <f>D91/D9</f>
        <v>0.21510616904240848</v>
      </c>
      <c r="E121" s="547">
        <f>E91/E9</f>
        <v>0.20257409496461901</v>
      </c>
      <c r="F121" s="547">
        <f>F91/F9</f>
        <v>0.17805761784661286</v>
      </c>
      <c r="G121" s="549">
        <f>G91/G9</f>
        <v>0.20158997161933373</v>
      </c>
      <c r="H121" s="550"/>
      <c r="I121" s="546">
        <f>I91/I9</f>
        <v>0.16874964098440026</v>
      </c>
      <c r="J121" s="547">
        <f>J91/J9</f>
        <v>0.16759525457100666</v>
      </c>
      <c r="K121" s="547">
        <f>K91/K9</f>
        <v>0.18346199920138428</v>
      </c>
      <c r="L121" s="547">
        <f>L91/L9</f>
        <v>0.17609847943477466</v>
      </c>
      <c r="M121" s="549">
        <f>M91/M9</f>
        <v>0.17438702080334945</v>
      </c>
      <c r="N121" s="551"/>
      <c r="O121" s="546">
        <f>O91/O9</f>
        <v>0.19743359254812767</v>
      </c>
      <c r="P121" s="547">
        <f>P91/P9</f>
        <v>0.20487741504426418</v>
      </c>
      <c r="Q121" s="547">
        <f>Q91/Q9</f>
        <v>0.21726446072240463</v>
      </c>
      <c r="R121" s="547">
        <f>R91/R9</f>
        <v>0.22356062116479486</v>
      </c>
      <c r="S121" s="549">
        <f>S91/S9</f>
        <v>0.21103247068993464</v>
      </c>
      <c r="T121" s="550"/>
      <c r="U121" s="546">
        <f>U91/U9</f>
        <v>0.22731886056909087</v>
      </c>
      <c r="V121" s="547">
        <f>V91/V9</f>
        <v>0.20597350037499468</v>
      </c>
      <c r="W121" s="547">
        <f>W91/W9</f>
        <v>0.1888002562060436</v>
      </c>
      <c r="X121" s="547">
        <f>X91/X9</f>
        <v>0.17528262749810553</v>
      </c>
      <c r="Y121" s="549">
        <f>Y91/Y9</f>
        <v>0.19711855338352863</v>
      </c>
      <c r="Z121" s="550"/>
      <c r="AA121" s="546">
        <f>AA91/AA9</f>
        <v>0.17768968019397202</v>
      </c>
      <c r="AB121" s="547">
        <f>AB91/AB9</f>
        <v>0.17672986606366325</v>
      </c>
      <c r="AC121" s="547">
        <f>AC91/AC9</f>
        <v>0.21400940131380602</v>
      </c>
      <c r="AD121" s="547">
        <f>AD91/AD9</f>
        <v>0.18200031191141719</v>
      </c>
      <c r="AE121" s="549">
        <f>AE91/AE9</f>
        <v>0.18655279076487283</v>
      </c>
      <c r="AF121" s="550"/>
      <c r="AG121" s="546">
        <f>AG91/AG9</f>
        <v>0.17904828243575174</v>
      </c>
      <c r="AH121" s="547">
        <f>AH91/AH9</f>
        <v>0.25381761680927423</v>
      </c>
      <c r="AI121" s="547">
        <f>AI91/AI9</f>
        <v>0.18909029852312556</v>
      </c>
      <c r="AJ121" s="547">
        <f>AJ91/AJ9</f>
        <v>0.18400724297932194</v>
      </c>
      <c r="AK121" s="549">
        <f>AK91/AK9</f>
        <v>0.20115087643533042</v>
      </c>
      <c r="AL121" s="550"/>
      <c r="AM121" s="546">
        <f>AM91/AM9</f>
        <v>0.18567310655732752</v>
      </c>
      <c r="AN121" s="547">
        <f>AN91/AN9</f>
        <v>0.19534577311366277</v>
      </c>
      <c r="AO121" s="547">
        <f>AO91/AO9</f>
        <v>0.19887051569506725</v>
      </c>
      <c r="AP121" s="547">
        <f>AP91/AP9</f>
        <v>0.19809669374118957</v>
      </c>
      <c r="AQ121" s="549">
        <f>AQ91/AQ9</f>
        <v>0.19472789474647087</v>
      </c>
      <c r="AR121" s="550"/>
      <c r="AS121" s="546">
        <f>AS91/AS9</f>
        <v>0.1830904912531697</v>
      </c>
      <c r="AT121" s="547">
        <f>AT91/AT9</f>
        <v>0.1854131662674722</v>
      </c>
      <c r="AU121" s="547">
        <f>AU91/AU9</f>
        <v>0.17702182552067078</v>
      </c>
      <c r="AV121" s="547">
        <f>AV91/AV9</f>
        <v>0.27898684372310339</v>
      </c>
      <c r="AW121" s="549">
        <f>AW91/AW9</f>
        <v>0.20847950797213652</v>
      </c>
      <c r="AX121" s="550"/>
      <c r="AY121" s="546">
        <f>AY91/AY9</f>
        <v>0.17040097295591061</v>
      </c>
      <c r="AZ121" s="547">
        <f>AZ91/AZ9</f>
        <v>0.17832021328270714</v>
      </c>
      <c r="BA121" s="547">
        <f>BA91/BA9</f>
        <v>0.1803220594943219</v>
      </c>
      <c r="BB121" s="547">
        <f>BB91/BB9</f>
        <v>0.19330130437428575</v>
      </c>
      <c r="BC121" s="549">
        <f>BC91/BC9</f>
        <v>0.18088741045211157</v>
      </c>
      <c r="BD121" s="550"/>
      <c r="BE121" s="546">
        <f>BE91/BE9</f>
        <v>0.21705147062681565</v>
      </c>
      <c r="BF121" s="547">
        <f>BF91/BF9</f>
        <v>0.20760542821150293</v>
      </c>
      <c r="BG121" s="547">
        <f>BG91/BG9</f>
        <v>0.20739402344438423</v>
      </c>
      <c r="BH121" s="547">
        <f>BH91/BH9</f>
        <v>0.20976124854080183</v>
      </c>
      <c r="BI121" s="549">
        <f>BI91/BI9</f>
        <v>0.21036052357160456</v>
      </c>
      <c r="BJ121" s="550"/>
      <c r="BK121" s="546">
        <f>BK91/BK9</f>
        <v>0.24247491638795987</v>
      </c>
      <c r="BL121" s="547">
        <f>BL91/BL9</f>
        <v>0.19685990338164253</v>
      </c>
      <c r="BM121" s="547">
        <f>BM91/BM9</f>
        <v>0.18731092436974792</v>
      </c>
      <c r="BN121" s="547">
        <f>BN91/BN9</f>
        <v>0.17621190690497618</v>
      </c>
      <c r="BO121" s="549">
        <f>BO91/BO9</f>
        <v>0.19845935830820097</v>
      </c>
      <c r="BP121" s="550"/>
      <c r="BQ121" s="546">
        <f>BQ91/BQ9</f>
        <v>0.17519181585677748</v>
      </c>
      <c r="BR121" s="547">
        <f>BR91/BR9</f>
        <v>0.2</v>
      </c>
      <c r="BS121" s="547">
        <f>BS91/BS9</f>
        <v>0.19750000000000001</v>
      </c>
      <c r="BT121" s="547">
        <f>BT91/BT9</f>
        <v>0.19500000000000001</v>
      </c>
      <c r="BU121" s="549">
        <f>BU91/BU9</f>
        <v>0.19204089988951423</v>
      </c>
      <c r="BV121" s="550"/>
      <c r="BW121" s="546">
        <f>BW91/BW9</f>
        <v>0.17419181585677748</v>
      </c>
      <c r="BX121" s="547">
        <f>BX91/BX9</f>
        <v>0.19900000000000001</v>
      </c>
      <c r="BY121" s="547">
        <f>BY91/BY9</f>
        <v>0.19650000000000001</v>
      </c>
      <c r="BZ121" s="547">
        <f>BZ91/BZ9</f>
        <v>0.19400000000000001</v>
      </c>
      <c r="CA121" s="549">
        <f>CA91/CA9</f>
        <v>0.19097142629354141</v>
      </c>
      <c r="CB121" s="550"/>
      <c r="CC121" s="546">
        <f>CC91/CC9</f>
        <v>0.17319181585677748</v>
      </c>
      <c r="CD121" s="547">
        <f>CD91/CD9</f>
        <v>0.19800000000000001</v>
      </c>
      <c r="CE121" s="547">
        <f>CE91/CE9</f>
        <v>0.19550000000000001</v>
      </c>
      <c r="CF121" s="547">
        <f>CF91/CF9</f>
        <v>0.193</v>
      </c>
      <c r="CG121" s="549">
        <f>CG91/CG9</f>
        <v>0.1899756055962698</v>
      </c>
      <c r="CH121" s="550"/>
      <c r="CI121" s="546">
        <f t="shared" ref="CI121:CM121" si="589">CI91/CI9</f>
        <v>0.17219181585677748</v>
      </c>
      <c r="CJ121" s="547">
        <f t="shared" si="589"/>
        <v>0.19700000000000001</v>
      </c>
      <c r="CK121" s="547">
        <f t="shared" si="589"/>
        <v>0.19450000000000001</v>
      </c>
      <c r="CL121" s="547">
        <f t="shared" si="589"/>
        <v>0.192</v>
      </c>
      <c r="CM121" s="549">
        <f t="shared" si="589"/>
        <v>0.18897558318813951</v>
      </c>
      <c r="CN121" s="550"/>
      <c r="CO121" s="546">
        <f t="shared" ref="CO121:CS121" si="590">CO91/CO9</f>
        <v>0.17119181585677748</v>
      </c>
      <c r="CP121" s="547">
        <f t="shared" si="590"/>
        <v>0.19600000000000001</v>
      </c>
      <c r="CQ121" s="547">
        <f t="shared" si="590"/>
        <v>0.19350000000000001</v>
      </c>
      <c r="CR121" s="547">
        <f t="shared" si="590"/>
        <v>0.191</v>
      </c>
      <c r="CS121" s="549">
        <f t="shared" si="590"/>
        <v>0.18800235190016176</v>
      </c>
      <c r="CT121" s="942"/>
      <c r="CU121" s="581"/>
      <c r="CV121" s="581"/>
      <c r="DC121" s="921"/>
      <c r="DD121" s="921"/>
      <c r="DE121" s="921"/>
      <c r="DF121" s="921"/>
      <c r="DG121" s="921"/>
      <c r="DH121" s="921"/>
      <c r="DI121" s="921"/>
      <c r="DJ121" s="921"/>
      <c r="DK121" s="921"/>
      <c r="DL121" s="921"/>
    </row>
    <row r="122" spans="1:116">
      <c r="A122" s="545" t="s">
        <v>196</v>
      </c>
      <c r="B122" s="417"/>
      <c r="C122" s="546">
        <f>C96/C9</f>
        <v>0.3275537075537075</v>
      </c>
      <c r="D122" s="547">
        <f>D96/D9</f>
        <v>0.27558999231087716</v>
      </c>
      <c r="E122" s="547">
        <f>E96/E9</f>
        <v>0.2492769972310532</v>
      </c>
      <c r="F122" s="547">
        <f>F96/F9</f>
        <v>0.26658910873503605</v>
      </c>
      <c r="G122" s="549">
        <f>G96/G9</f>
        <v>0.27605309720037402</v>
      </c>
      <c r="H122" s="550"/>
      <c r="I122" s="546">
        <f>I96/I9</f>
        <v>0.27758675868407445</v>
      </c>
      <c r="J122" s="547">
        <f>J96/J9</f>
        <v>0.25407877183846139</v>
      </c>
      <c r="K122" s="547">
        <f>K96/K9</f>
        <v>0.26197923599094908</v>
      </c>
      <c r="L122" s="547">
        <f>L96/L9</f>
        <v>0.24362599190937514</v>
      </c>
      <c r="M122" s="549">
        <f>M96/M9</f>
        <v>0.2582127436870339</v>
      </c>
      <c r="N122" s="551"/>
      <c r="O122" s="546">
        <f>O96/O9</f>
        <v>0.25839632715360439</v>
      </c>
      <c r="P122" s="547">
        <f>P96/P9</f>
        <v>0.25945447684093959</v>
      </c>
      <c r="Q122" s="547">
        <f>Q96/Q9</f>
        <v>0.26582470320788071</v>
      </c>
      <c r="R122" s="547">
        <f>R96/R9</f>
        <v>0.27398041691588571</v>
      </c>
      <c r="S122" s="549">
        <f>S96/S9</f>
        <v>0.2646415257442325</v>
      </c>
      <c r="T122" s="550"/>
      <c r="U122" s="546">
        <f>U96/U9</f>
        <v>0.26168603713091587</v>
      </c>
      <c r="V122" s="547">
        <f>V96/V9</f>
        <v>0.25063324575595625</v>
      </c>
      <c r="W122" s="547">
        <f>W96/W9</f>
        <v>0.23179061898200237</v>
      </c>
      <c r="X122" s="547">
        <f>X96/X9</f>
        <v>0.23741092545675826</v>
      </c>
      <c r="Y122" s="549">
        <f>Y96/Y9</f>
        <v>0.24420514854205139</v>
      </c>
      <c r="Z122" s="550"/>
      <c r="AA122" s="546">
        <f>AA96/AA9</f>
        <v>0.23241597791267721</v>
      </c>
      <c r="AB122" s="547">
        <f>AB96/AB9</f>
        <v>0.24085232214298141</v>
      </c>
      <c r="AC122" s="547">
        <f>AC96/AC9</f>
        <v>0.2803876024951274</v>
      </c>
      <c r="AD122" s="547">
        <f>AD96/AD9</f>
        <v>0.24360281680002885</v>
      </c>
      <c r="AE122" s="549">
        <f>AE96/AE9</f>
        <v>0.24806662024471007</v>
      </c>
      <c r="AF122" s="550"/>
      <c r="AG122" s="546">
        <f>AG96/AG9</f>
        <v>0.2491806283682223</v>
      </c>
      <c r="AH122" s="547">
        <f>AH96/AH9</f>
        <v>0.24417067286275829</v>
      </c>
      <c r="AI122" s="547">
        <f>AI96/AI9</f>
        <v>0.24413203019512089</v>
      </c>
      <c r="AJ122" s="547">
        <f>AJ96/AJ9</f>
        <v>0.25775629314665421</v>
      </c>
      <c r="AK122" s="549">
        <f>AK96/AK9</f>
        <v>0.24900915616325756</v>
      </c>
      <c r="AL122" s="550"/>
      <c r="AM122" s="546">
        <f>AM96/AM9</f>
        <v>0.25705376513031863</v>
      </c>
      <c r="AN122" s="547">
        <f>AN96/AN9</f>
        <v>0.25628875392234479</v>
      </c>
      <c r="AO122" s="547">
        <f>AO96/AO9</f>
        <v>0.26798486547085204</v>
      </c>
      <c r="AP122" s="547">
        <f>AP96/AP9</f>
        <v>0.28825588780510475</v>
      </c>
      <c r="AQ122" s="549">
        <f>AQ96/AQ9</f>
        <v>0.26811560550472913</v>
      </c>
      <c r="AR122" s="550"/>
      <c r="AS122" s="546">
        <f>AS96/AS9</f>
        <v>0.26040386804537274</v>
      </c>
      <c r="AT122" s="547">
        <f>AT96/AT9</f>
        <v>0.25615995781646589</v>
      </c>
      <c r="AU122" s="547">
        <f>AU96/AU9</f>
        <v>0.24943927761479726</v>
      </c>
      <c r="AV122" s="547">
        <f>AV96/AV9</f>
        <v>0.26631848690129761</v>
      </c>
      <c r="AW122" s="549">
        <f>AW96/AW9</f>
        <v>0.25818031781097461</v>
      </c>
      <c r="AX122" s="550"/>
      <c r="AY122" s="546">
        <f>AY96/AY9</f>
        <v>0.21597578750939994</v>
      </c>
      <c r="AZ122" s="547">
        <f>AZ96/AZ9</f>
        <v>0.23071204238956727</v>
      </c>
      <c r="BA122" s="547">
        <f>BA96/BA9</f>
        <v>0.24832855084131275</v>
      </c>
      <c r="BB122" s="547">
        <f>BB96/BB9</f>
        <v>0.24892485478777715</v>
      </c>
      <c r="BC122" s="549">
        <f>BC96/BC9</f>
        <v>0.23635732119028982</v>
      </c>
      <c r="BD122" s="550"/>
      <c r="BE122" s="546">
        <f>BE96/BE9</f>
        <v>0.26081610737315986</v>
      </c>
      <c r="BF122" s="547">
        <f>BF96/BF9</f>
        <v>0.24750718184908452</v>
      </c>
      <c r="BG122" s="547">
        <f>BG96/BG9</f>
        <v>0.2291831030455958</v>
      </c>
      <c r="BH122" s="547">
        <f>BH96/BH9</f>
        <v>0.23587907909459482</v>
      </c>
      <c r="BI122" s="549">
        <f>BI96/BI9</f>
        <v>0.24303850985647352</v>
      </c>
      <c r="BJ122" s="550"/>
      <c r="BK122" s="546">
        <f>BK96/BK9</f>
        <v>0.27257525083612039</v>
      </c>
      <c r="BL122" s="547">
        <f>BL96/BL9</f>
        <v>0.2545289855072464</v>
      </c>
      <c r="BM122" s="547">
        <f>BM96/BM9</f>
        <v>0.23521008403361343</v>
      </c>
      <c r="BN122" s="547">
        <f>BN96/BN9</f>
        <v>0.22533110453902533</v>
      </c>
      <c r="BO122" s="549">
        <f>BO96/BO9</f>
        <v>0.245187311507576</v>
      </c>
      <c r="BP122" s="550"/>
      <c r="BQ122" s="546">
        <f>BQ96/BQ9</f>
        <v>0.23529411764705882</v>
      </c>
      <c r="BR122" s="547">
        <f>BR96/BR9</f>
        <v>0.25</v>
      </c>
      <c r="BS122" s="547">
        <f>BS96/BS9</f>
        <v>0.2475</v>
      </c>
      <c r="BT122" s="547">
        <f>BT96/BT9</f>
        <v>0.245</v>
      </c>
      <c r="BU122" s="549">
        <f>BU96/BU9</f>
        <v>0.24449551518261201</v>
      </c>
      <c r="BV122" s="550"/>
      <c r="BW122" s="546">
        <f>BW96/BW9</f>
        <v>0.2299002557544757</v>
      </c>
      <c r="BX122" s="547">
        <f>BX96/BX9</f>
        <v>0.249</v>
      </c>
      <c r="BY122" s="547">
        <f>BY96/BY9</f>
        <v>0.2465</v>
      </c>
      <c r="BZ122" s="547">
        <f>BZ96/BZ9</f>
        <v>0.24399999999999999</v>
      </c>
      <c r="CA122" s="549">
        <f>CA96/CA9</f>
        <v>0.24237753672843351</v>
      </c>
      <c r="CB122" s="550"/>
      <c r="CC122" s="546">
        <f>CC96/CC9</f>
        <v>0.2309002557544757</v>
      </c>
      <c r="CD122" s="547">
        <f>CD96/CD9</f>
        <v>0.248</v>
      </c>
      <c r="CE122" s="547">
        <f>CE96/CE9</f>
        <v>0.2455</v>
      </c>
      <c r="CF122" s="547">
        <f>CF96/CF9</f>
        <v>0.24299999999999999</v>
      </c>
      <c r="CG122" s="549">
        <f>CG96/CG9</f>
        <v>0.24187266678960592</v>
      </c>
      <c r="CH122" s="550"/>
      <c r="CI122" s="546">
        <f t="shared" ref="CI122:CM122" si="591">CI96/CI9</f>
        <v>0.2319002557544757</v>
      </c>
      <c r="CJ122" s="547">
        <f t="shared" si="591"/>
        <v>0.247</v>
      </c>
      <c r="CK122" s="547">
        <f t="shared" si="591"/>
        <v>0.24450000000000002</v>
      </c>
      <c r="CL122" s="547">
        <f t="shared" si="591"/>
        <v>0.24199999999999997</v>
      </c>
      <c r="CM122" s="549">
        <f t="shared" si="591"/>
        <v>0.2413643286890311</v>
      </c>
      <c r="CN122" s="550"/>
      <c r="CO122" s="546">
        <f t="shared" ref="CO122:CS122" si="592">CO96/CO9</f>
        <v>0.2329002557544757</v>
      </c>
      <c r="CP122" s="547">
        <f t="shared" si="592"/>
        <v>0.24600000000000002</v>
      </c>
      <c r="CQ122" s="547">
        <f t="shared" si="592"/>
        <v>0.24349999999999999</v>
      </c>
      <c r="CR122" s="547">
        <f t="shared" si="592"/>
        <v>0.24099999999999999</v>
      </c>
      <c r="CS122" s="549">
        <f t="shared" si="592"/>
        <v>0.24086752689055813</v>
      </c>
      <c r="CT122" s="942"/>
      <c r="CU122" s="581"/>
      <c r="CV122" s="581"/>
      <c r="DC122" s="921"/>
      <c r="DD122" s="921"/>
      <c r="DE122" s="921"/>
      <c r="DF122" s="921"/>
      <c r="DG122" s="921"/>
      <c r="DH122" s="921"/>
      <c r="DI122" s="921"/>
      <c r="DJ122" s="921"/>
      <c r="DK122" s="921"/>
      <c r="DL122" s="921"/>
    </row>
    <row r="123" spans="1:116">
      <c r="A123" s="719" t="s">
        <v>199</v>
      </c>
      <c r="B123" s="720"/>
      <c r="C123" s="721">
        <f>C103/C9</f>
        <v>-4.1081219681219672</v>
      </c>
      <c r="D123" s="722">
        <f>D103/D9</f>
        <v>0.14492222156503218</v>
      </c>
      <c r="E123" s="722">
        <f>E103/E9</f>
        <v>0.16111168085324581</v>
      </c>
      <c r="F123" s="722">
        <f>F103/F9</f>
        <v>-0.29093993108592925</v>
      </c>
      <c r="G123" s="723">
        <f>G103/G9</f>
        <v>-0.82116090829037125</v>
      </c>
      <c r="H123" s="724"/>
      <c r="I123" s="721">
        <f>I103/I9</f>
        <v>0.15570198833096727</v>
      </c>
      <c r="J123" s="722">
        <f>J103/J9</f>
        <v>0.17029184530985822</v>
      </c>
      <c r="K123" s="722">
        <f>K103/K9</f>
        <v>1.022228137894308E-2</v>
      </c>
      <c r="L123" s="722">
        <f>L103/L9</f>
        <v>0.22417617926140435</v>
      </c>
      <c r="M123" s="723">
        <f>M103/M9</f>
        <v>0.14035849797200051</v>
      </c>
      <c r="N123" s="725"/>
      <c r="O123" s="721">
        <f>O103/O9</f>
        <v>0.20818426974426424</v>
      </c>
      <c r="P123" s="722">
        <f>P103/P9</f>
        <v>0.22334403593103322</v>
      </c>
      <c r="Q123" s="722">
        <f>Q103/Q9</f>
        <v>0.18501515534225826</v>
      </c>
      <c r="R123" s="722">
        <f>R103/R9</f>
        <v>0.14226534635918561</v>
      </c>
      <c r="S123" s="723">
        <f>S103/S9</f>
        <v>0.18849238508593422</v>
      </c>
      <c r="T123" s="724"/>
      <c r="U123" s="721">
        <f>U103/U9</f>
        <v>0.19895279783064684</v>
      </c>
      <c r="V123" s="722">
        <f>V103/V9</f>
        <v>0.22371381537053719</v>
      </c>
      <c r="W123" s="722">
        <f>W103/W9</f>
        <v>0.24160482746124248</v>
      </c>
      <c r="X123" s="722">
        <f>X103/X9</f>
        <v>0.26278808104156931</v>
      </c>
      <c r="Y123" s="723">
        <f>Y103/Y9</f>
        <v>0.23445705911219278</v>
      </c>
      <c r="Z123" s="724"/>
      <c r="AA123" s="721">
        <f>AA103/AA9</f>
        <v>0.24560819779480733</v>
      </c>
      <c r="AB123" s="722">
        <f>AB103/AB9</f>
        <v>0.22963993738041397</v>
      </c>
      <c r="AC123" s="722">
        <f>AC103/AC9</f>
        <v>0.15611106628902882</v>
      </c>
      <c r="AD123" s="722">
        <f>AD103/AD9</f>
        <v>0.10916499714081179</v>
      </c>
      <c r="AE123" s="723">
        <f>AE103/AE9</f>
        <v>0.18896673251005397</v>
      </c>
      <c r="AF123" s="724"/>
      <c r="AG123" s="721">
        <f>AG103/AG9</f>
        <v>0.18188217179308575</v>
      </c>
      <c r="AH123" s="722">
        <f>AH103/AH9</f>
        <v>0.15316795375739009</v>
      </c>
      <c r="AI123" s="722">
        <f>AI103/AI9</f>
        <v>0.17075354876623977</v>
      </c>
      <c r="AJ123" s="722">
        <f>AJ103/AJ9</f>
        <v>0.19189368341066726</v>
      </c>
      <c r="AK123" s="723">
        <f>AK103/AK9</f>
        <v>0.17479251486265765</v>
      </c>
      <c r="AL123" s="724"/>
      <c r="AM123" s="721">
        <f>AM103/AM9</f>
        <v>-0.13641307960526702</v>
      </c>
      <c r="AN123" s="722">
        <f>AN103/AN9</f>
        <v>0.17338064225326072</v>
      </c>
      <c r="AO123" s="722">
        <f>AO103/AO9</f>
        <v>0.12742152466367723</v>
      </c>
      <c r="AP123" s="722">
        <f>AP103/AP9</f>
        <v>0.19049586136742697</v>
      </c>
      <c r="AQ123" s="723">
        <f>AQ103/AQ9</f>
        <v>9.436326765542398E-2</v>
      </c>
      <c r="AR123" s="724"/>
      <c r="AS123" s="721">
        <f>AS103/AS9</f>
        <v>0.21886919799135418</v>
      </c>
      <c r="AT123" s="722">
        <f>AT103/AT9</f>
        <v>0.22396373288528226</v>
      </c>
      <c r="AU123" s="722">
        <f>AU103/AU9</f>
        <v>0.24861743961051125</v>
      </c>
      <c r="AV123" s="722">
        <f>AV103/AV9</f>
        <v>0.39501618918808146</v>
      </c>
      <c r="AW123" s="723">
        <f>AW103/AW9</f>
        <v>0.276263889053046</v>
      </c>
      <c r="AX123" s="724"/>
      <c r="AY123" s="721">
        <f>AY103/AY9</f>
        <v>0.32702830670392619</v>
      </c>
      <c r="AZ123" s="722">
        <f>AZ103/AZ9</f>
        <v>0.28168186318314786</v>
      </c>
      <c r="BA123" s="722">
        <f>BA103/BA9</f>
        <v>0.25584121278424632</v>
      </c>
      <c r="BB123" s="722">
        <f>BB103/BB9</f>
        <v>0.24342910465422923</v>
      </c>
      <c r="BC123" s="723">
        <f>BC103/BC9</f>
        <v>0.27608410271011025</v>
      </c>
      <c r="BD123" s="724"/>
      <c r="BE123" s="721">
        <f>BE103/BE9</f>
        <v>0.21240444030131383</v>
      </c>
      <c r="BF123" s="722">
        <f>BF103/BF9</f>
        <v>0.26972592330918282</v>
      </c>
      <c r="BG123" s="722">
        <f>BG103/BG9</f>
        <v>0.26468732860185235</v>
      </c>
      <c r="BH123" s="722">
        <f>BH103/BH9</f>
        <v>0.24172555933911047</v>
      </c>
      <c r="BI123" s="723">
        <f>BI103/BI9</f>
        <v>0.24755448797997659</v>
      </c>
      <c r="BJ123" s="724"/>
      <c r="BK123" s="721">
        <f>BK103/BK9</f>
        <v>0.10033444816053512</v>
      </c>
      <c r="BL123" s="722">
        <f>BL103/BL9</f>
        <v>0.21542874396135264</v>
      </c>
      <c r="BM123" s="722">
        <f>BM103/BM9</f>
        <v>0.26837535014005603</v>
      </c>
      <c r="BN123" s="722">
        <f>BN103/BN9</f>
        <v>0.29589816124469603</v>
      </c>
      <c r="BO123" s="723">
        <f>BO103/BO9</f>
        <v>0.22689582500635885</v>
      </c>
      <c r="BP123" s="724"/>
      <c r="BQ123" s="721">
        <f>BQ103/BQ9</f>
        <v>0.29283887468030689</v>
      </c>
      <c r="BR123" s="722">
        <f>BR103/BR9</f>
        <v>0.23522923639423662</v>
      </c>
      <c r="BS123" s="722">
        <f>BS103/BS9</f>
        <v>0.24059828083187645</v>
      </c>
      <c r="BT123" s="722">
        <f>BT103/BT9</f>
        <v>0.24584176604277275</v>
      </c>
      <c r="BU123" s="723">
        <f>BU103/BU9</f>
        <v>0.25334192091209812</v>
      </c>
      <c r="BV123" s="724"/>
      <c r="BW123" s="721">
        <f>BW103/BW9</f>
        <v>0.2797103022909061</v>
      </c>
      <c r="BX123" s="722">
        <f>BX103/BX9</f>
        <v>0.22513895990708863</v>
      </c>
      <c r="BY123" s="722">
        <f>BY103/BY9</f>
        <v>0.23119099135429466</v>
      </c>
      <c r="BZ123" s="722">
        <f>BZ103/BZ9</f>
        <v>0.23608847924574239</v>
      </c>
      <c r="CA123" s="723">
        <f>CA103/CA9</f>
        <v>0.242924545563689</v>
      </c>
      <c r="CB123" s="724"/>
      <c r="CC123" s="721">
        <f>CC103/CC9</f>
        <v>0.27779218589937188</v>
      </c>
      <c r="CD123" s="722">
        <f>CD103/CD9</f>
        <v>0.22388296018411788</v>
      </c>
      <c r="CE123" s="722">
        <f>CE103/CE9</f>
        <v>0.23005263035888499</v>
      </c>
      <c r="CF123" s="722">
        <f>CF103/CF9</f>
        <v>0.23471321649732968</v>
      </c>
      <c r="CG123" s="723">
        <f>CG103/CG9</f>
        <v>0.24149470246088134</v>
      </c>
      <c r="CH123" s="724"/>
      <c r="CI123" s="721">
        <f t="shared" ref="CI123:CM123" si="593">CI103/CI9</f>
        <v>0.27537107219470136</v>
      </c>
      <c r="CJ123" s="722">
        <f t="shared" si="593"/>
        <v>0.22241835648114724</v>
      </c>
      <c r="CK123" s="722">
        <f t="shared" si="593"/>
        <v>0.22858641630824303</v>
      </c>
      <c r="CL123" s="722">
        <f t="shared" si="593"/>
        <v>0.23318108421486031</v>
      </c>
      <c r="CM123" s="723">
        <f t="shared" si="593"/>
        <v>0.23977666995658231</v>
      </c>
      <c r="CN123" s="724"/>
      <c r="CO123" s="721">
        <f t="shared" ref="CO123:CS123" si="594">CO103/CO9</f>
        <v>0.27400942309559201</v>
      </c>
      <c r="CP123" s="722">
        <f t="shared" si="594"/>
        <v>0.22289565119587859</v>
      </c>
      <c r="CQ123" s="722">
        <f t="shared" si="594"/>
        <v>0.22927066367613461</v>
      </c>
      <c r="CR123" s="722">
        <f t="shared" si="594"/>
        <v>0.23370927854239062</v>
      </c>
      <c r="CS123" s="723">
        <f t="shared" si="594"/>
        <v>0.23981229909475082</v>
      </c>
      <c r="CT123" s="942"/>
      <c r="CU123" s="581"/>
      <c r="CV123" s="581"/>
      <c r="DC123" s="921"/>
      <c r="DD123" s="921"/>
      <c r="DE123" s="921"/>
      <c r="DF123" s="921"/>
      <c r="DG123" s="921"/>
      <c r="DH123" s="921"/>
      <c r="DI123" s="921"/>
      <c r="DJ123" s="921"/>
      <c r="DK123" s="921"/>
      <c r="DL123" s="921"/>
    </row>
    <row r="124" spans="1:116">
      <c r="A124" s="726"/>
      <c r="B124" s="726"/>
      <c r="C124" s="726"/>
      <c r="D124" s="726"/>
      <c r="E124" s="726"/>
      <c r="F124" s="726"/>
      <c r="G124" s="726"/>
      <c r="H124" s="726"/>
      <c r="I124" s="726"/>
      <c r="J124" s="726"/>
      <c r="K124" s="726"/>
      <c r="L124" s="726"/>
      <c r="M124" s="435"/>
      <c r="N124" s="726"/>
      <c r="O124" s="726"/>
      <c r="P124" s="726"/>
      <c r="Q124" s="726"/>
      <c r="R124" s="726"/>
      <c r="S124" s="435"/>
      <c r="T124" s="726"/>
      <c r="U124" s="726"/>
      <c r="V124" s="726"/>
      <c r="W124" s="726"/>
      <c r="X124" s="726"/>
      <c r="Y124" s="435"/>
      <c r="Z124" s="726"/>
      <c r="AA124" s="726"/>
      <c r="AB124" s="726"/>
      <c r="AC124" s="726"/>
      <c r="AD124" s="726"/>
      <c r="AE124" s="435"/>
      <c r="AF124" s="726"/>
      <c r="AG124" s="726"/>
      <c r="AH124" s="726"/>
      <c r="AI124" s="726"/>
      <c r="AJ124" s="726"/>
      <c r="AK124" s="726"/>
      <c r="AL124" s="726"/>
      <c r="AM124" s="726"/>
      <c r="AN124" s="726"/>
      <c r="AO124" s="726"/>
      <c r="AP124" s="726"/>
      <c r="AQ124" s="726"/>
      <c r="AR124" s="726"/>
      <c r="AS124" s="726"/>
      <c r="AT124" s="726"/>
      <c r="AU124" s="726"/>
      <c r="AV124" s="726"/>
      <c r="AW124" s="726"/>
      <c r="AX124" s="726"/>
      <c r="AY124" s="726"/>
      <c r="AZ124" s="726"/>
      <c r="BA124" s="726"/>
      <c r="BB124" s="726"/>
      <c r="BC124" s="726"/>
      <c r="BD124" s="726"/>
      <c r="BE124" s="726"/>
      <c r="BF124" s="726"/>
      <c r="BG124" s="726"/>
      <c r="BH124" s="726"/>
      <c r="BI124" s="726"/>
      <c r="BJ124" s="726"/>
      <c r="BK124" s="726"/>
      <c r="BL124" s="726"/>
      <c r="BM124" s="726"/>
      <c r="BN124" s="726"/>
      <c r="BO124" s="726"/>
      <c r="BP124" s="726"/>
      <c r="BQ124" s="726"/>
      <c r="BR124" s="726"/>
      <c r="BS124" s="726"/>
      <c r="BT124" s="726"/>
      <c r="BU124" s="943"/>
      <c r="BV124" s="726"/>
      <c r="BW124" s="726"/>
      <c r="BX124" s="726"/>
      <c r="BY124" s="726"/>
      <c r="BZ124" s="726"/>
      <c r="CA124" s="943"/>
      <c r="CB124" s="726"/>
      <c r="CC124" s="726"/>
      <c r="CD124" s="726"/>
      <c r="CE124" s="726"/>
      <c r="CF124" s="726"/>
      <c r="CG124" s="943"/>
      <c r="CH124" s="726"/>
      <c r="CI124" s="726"/>
      <c r="CJ124" s="726"/>
      <c r="CK124" s="726"/>
      <c r="CL124" s="726"/>
      <c r="CM124" s="943"/>
      <c r="CN124" s="726"/>
      <c r="CO124" s="726"/>
      <c r="CP124" s="726"/>
      <c r="CQ124" s="726"/>
      <c r="CR124" s="726"/>
      <c r="CS124" s="943"/>
      <c r="CT124" s="400"/>
      <c r="CU124" s="400"/>
      <c r="CV124" s="400"/>
      <c r="DC124" s="921"/>
      <c r="DD124" s="921"/>
      <c r="DE124" s="921"/>
      <c r="DF124" s="921"/>
      <c r="DG124" s="921"/>
      <c r="DH124" s="921"/>
      <c r="DI124" s="921"/>
      <c r="DJ124" s="921"/>
      <c r="DK124" s="921"/>
      <c r="DL124" s="921"/>
    </row>
    <row r="125" spans="1:116" hidden="1" outlineLevel="1">
      <c r="A125" s="726" t="s">
        <v>214</v>
      </c>
      <c r="B125" s="726"/>
      <c r="C125" s="726"/>
      <c r="D125" s="726"/>
      <c r="E125" s="726"/>
      <c r="F125" s="726"/>
      <c r="G125" s="726"/>
      <c r="H125" s="726"/>
      <c r="I125" s="726"/>
      <c r="J125" s="726"/>
      <c r="K125" s="726"/>
      <c r="L125" s="726"/>
      <c r="M125" s="726"/>
      <c r="N125" s="726"/>
      <c r="O125" s="726"/>
      <c r="P125" s="726"/>
      <c r="Q125" s="726"/>
      <c r="R125" s="726"/>
      <c r="S125" s="726"/>
      <c r="T125" s="726"/>
      <c r="U125" s="726"/>
      <c r="V125" s="726"/>
      <c r="W125" s="726"/>
      <c r="X125" s="726"/>
      <c r="Y125" s="726"/>
      <c r="Z125" s="726"/>
      <c r="AA125" s="726"/>
      <c r="AB125" s="726"/>
      <c r="AC125" s="726"/>
      <c r="AD125" s="726"/>
      <c r="AE125" s="726"/>
      <c r="AF125" s="726"/>
      <c r="AG125" s="726"/>
      <c r="AH125" s="726"/>
      <c r="AI125" s="726"/>
      <c r="AJ125" s="726"/>
      <c r="AK125" s="726"/>
      <c r="AL125" s="726"/>
      <c r="AM125" s="726"/>
      <c r="AN125" s="726"/>
      <c r="AO125" s="726"/>
      <c r="AP125" s="726"/>
      <c r="AQ125" s="726"/>
      <c r="AR125" s="726"/>
      <c r="AS125" s="726"/>
      <c r="AT125" s="726"/>
      <c r="AU125" s="726"/>
      <c r="AV125" s="726"/>
      <c r="AW125" s="726"/>
      <c r="AX125" s="726"/>
      <c r="AY125" s="726"/>
      <c r="AZ125" s="726"/>
      <c r="BA125" s="726"/>
      <c r="BB125" s="726"/>
      <c r="BC125" s="726"/>
      <c r="BD125" s="726"/>
      <c r="BE125" s="726"/>
      <c r="BF125" s="726"/>
      <c r="BG125" s="726"/>
      <c r="BH125" s="726"/>
      <c r="BI125" s="726"/>
      <c r="BJ125" s="726"/>
      <c r="BK125" s="726"/>
      <c r="BL125" s="726"/>
      <c r="BM125" s="726"/>
      <c r="BN125" s="726"/>
      <c r="BO125" s="400"/>
      <c r="BP125" s="726"/>
      <c r="BQ125" s="726"/>
      <c r="BR125" s="726"/>
      <c r="BS125" s="726"/>
      <c r="BT125" s="726"/>
      <c r="BU125" s="400"/>
      <c r="BV125" s="726"/>
      <c r="BW125" s="726"/>
      <c r="BX125" s="726"/>
      <c r="BY125" s="726"/>
      <c r="BZ125" s="726"/>
      <c r="CA125" s="400"/>
      <c r="CB125" s="726"/>
      <c r="CC125" s="726"/>
      <c r="CD125" s="726"/>
      <c r="CE125" s="726"/>
      <c r="CF125" s="726"/>
      <c r="CG125" s="400"/>
      <c r="CH125" s="726"/>
      <c r="CI125" s="726"/>
      <c r="CJ125" s="726"/>
      <c r="CK125" s="726"/>
      <c r="CL125" s="726"/>
      <c r="CM125" s="400"/>
      <c r="CN125" s="726"/>
      <c r="CO125" s="726"/>
      <c r="CP125" s="726"/>
      <c r="CQ125" s="726"/>
      <c r="CR125" s="726"/>
      <c r="CS125" s="400"/>
      <c r="CT125" s="400"/>
      <c r="CU125" s="400"/>
      <c r="CV125" s="400"/>
      <c r="DC125" s="921"/>
      <c r="DD125" s="921"/>
      <c r="DE125" s="921"/>
      <c r="DF125" s="921"/>
      <c r="DG125" s="921"/>
      <c r="DH125" s="921"/>
      <c r="DI125" s="921"/>
      <c r="DJ125" s="921"/>
      <c r="DK125" s="921"/>
      <c r="DL125" s="921"/>
    </row>
    <row r="126" spans="1:116" hidden="1" outlineLevel="1">
      <c r="A126" s="726" t="s">
        <v>215</v>
      </c>
      <c r="B126" s="726"/>
      <c r="C126" s="727">
        <f>$G$126</f>
        <v>0.35</v>
      </c>
      <c r="D126" s="727">
        <f>$G$126</f>
        <v>0.35</v>
      </c>
      <c r="E126" s="727">
        <f>$G$126</f>
        <v>0.35</v>
      </c>
      <c r="F126" s="727">
        <f>$G$126</f>
        <v>0.35</v>
      </c>
      <c r="G126" s="727">
        <v>0.35</v>
      </c>
      <c r="H126" s="727"/>
      <c r="I126" s="727">
        <f>$M$126</f>
        <v>0.25094222060119747</v>
      </c>
      <c r="J126" s="727">
        <f>$M$126</f>
        <v>0.25094222060119747</v>
      </c>
      <c r="K126" s="727">
        <f>$M$126</f>
        <v>0.25094222060119747</v>
      </c>
      <c r="L126" s="727">
        <f>$M$126</f>
        <v>0.25094222060119747</v>
      </c>
      <c r="M126" s="727">
        <f>(25.44+3.461+4.124)/M27</f>
        <v>0.25094222060119747</v>
      </c>
      <c r="N126" s="727"/>
      <c r="O126" s="727">
        <f>$S$126</f>
        <v>0.24773762875413222</v>
      </c>
      <c r="P126" s="727">
        <f>$S$126</f>
        <v>0.24773762875413222</v>
      </c>
      <c r="Q126" s="727">
        <f>$S$126</f>
        <v>0.24773762875413222</v>
      </c>
      <c r="R126" s="727">
        <f>$S$126</f>
        <v>0.24773762875413222</v>
      </c>
      <c r="S126" s="727">
        <f>(39.944+4.275-5.4)/S27</f>
        <v>0.24773762875413222</v>
      </c>
      <c r="T126" s="727"/>
      <c r="U126" s="727">
        <f>+Y126</f>
        <v>0.35860764972549364</v>
      </c>
      <c r="V126" s="727">
        <f>+Y126</f>
        <v>0.35860764972549364</v>
      </c>
      <c r="W126" s="727">
        <f>+Y126</f>
        <v>0.35860764972549364</v>
      </c>
      <c r="X126" s="727">
        <f>+Y126</f>
        <v>0.35860764972549364</v>
      </c>
      <c r="Y126" s="727">
        <f>(64.881+6.231+7.597)/Y27</f>
        <v>0.35860764972549364</v>
      </c>
      <c r="Z126" s="727"/>
      <c r="AA126" s="727">
        <f>$AE$126</f>
        <v>0.19260716213518306</v>
      </c>
      <c r="AB126" s="727">
        <f>$AE$126</f>
        <v>0.19260716213518306</v>
      </c>
      <c r="AC126" s="727">
        <f>$AE$126</f>
        <v>0.19260716213518306</v>
      </c>
      <c r="AD126" s="727">
        <f>$AE$126</f>
        <v>0.19260716213518306</v>
      </c>
      <c r="AE126" s="727">
        <f>(46.566-0.049+5.579)/AE27</f>
        <v>0.19260716213518306</v>
      </c>
      <c r="AF126" s="728"/>
      <c r="AG126" s="727">
        <f>AE126</f>
        <v>0.19260716213518306</v>
      </c>
      <c r="AH126" s="727">
        <f>AG126</f>
        <v>0.19260716213518306</v>
      </c>
      <c r="AI126" s="727">
        <f>AH126</f>
        <v>0.19260716213518306</v>
      </c>
      <c r="AJ126" s="728">
        <f>AJ57</f>
        <v>0.28855042148377313</v>
      </c>
      <c r="AK126" s="728">
        <f>AK57</f>
        <v>0.32608263996976738</v>
      </c>
      <c r="AL126" s="728"/>
      <c r="AM126" s="728">
        <f>AM57</f>
        <v>0.27497452760281571</v>
      </c>
      <c r="AN126" s="728">
        <f>AN57</f>
        <v>0.30702793062617534</v>
      </c>
      <c r="AO126" s="728">
        <f>AO57</f>
        <v>0.29391276992562287</v>
      </c>
      <c r="AP126" s="728">
        <f>AP57</f>
        <v>0.32594179424212333</v>
      </c>
      <c r="AQ126" s="728">
        <f>AQ57</f>
        <v>0.30107695451707805</v>
      </c>
      <c r="AR126" s="728"/>
      <c r="AS126" s="728">
        <f>AS57</f>
        <v>0.29948629987135617</v>
      </c>
      <c r="AT126" s="728">
        <f>AT57</f>
        <v>0.29791791193464834</v>
      </c>
      <c r="AU126" s="728">
        <f>AU57</f>
        <v>0.2125505792361842</v>
      </c>
      <c r="AV126" s="728">
        <f>AV57</f>
        <v>0.16160722993400733</v>
      </c>
      <c r="AW126" s="728">
        <f>AW57</f>
        <v>0.23578702018173714</v>
      </c>
      <c r="AX126" s="728"/>
      <c r="AY126" s="728">
        <f>AY57</f>
        <v>0.24518960028101314</v>
      </c>
      <c r="AZ126" s="728">
        <f>AZ57</f>
        <v>0.28857460481651254</v>
      </c>
      <c r="BA126" s="728">
        <f>BA57</f>
        <v>0.28603675053075966</v>
      </c>
      <c r="BB126" s="728">
        <f>BB57</f>
        <v>0.2645171262520094</v>
      </c>
      <c r="BC126" s="728">
        <f>BC57</f>
        <v>0.27061881702860885</v>
      </c>
      <c r="BD126" s="728"/>
      <c r="BE126" s="728">
        <f>BE57</f>
        <v>0.25482845792704928</v>
      </c>
      <c r="BF126" s="728">
        <f>BF57</f>
        <v>0.25739225839899205</v>
      </c>
      <c r="BG126" s="728">
        <f>BG57</f>
        <v>0.24601475951577825</v>
      </c>
      <c r="BH126" s="728">
        <f>BH57</f>
        <v>0.28542159691380026</v>
      </c>
      <c r="BI126" s="728">
        <f>BI57</f>
        <v>0.26050803358278996</v>
      </c>
      <c r="BJ126" s="728"/>
      <c r="BK126" s="728">
        <f>BK57</f>
        <v>0.25</v>
      </c>
      <c r="BL126" s="728">
        <f>BL57</f>
        <v>0.25</v>
      </c>
      <c r="BM126" s="728">
        <f>BM57</f>
        <v>0.21631898057753571</v>
      </c>
      <c r="BN126" s="728">
        <f>BN57</f>
        <v>0.1795871932390703</v>
      </c>
      <c r="BO126" s="553">
        <f>BO57</f>
        <v>0.21587564648398427</v>
      </c>
      <c r="BP126" s="728"/>
      <c r="BQ126" s="728">
        <f>BQ57</f>
        <v>0.12875536480686695</v>
      </c>
      <c r="BR126" s="728">
        <f>BR57</f>
        <v>0.2</v>
      </c>
      <c r="BS126" s="728">
        <f>BS57</f>
        <v>0.2</v>
      </c>
      <c r="BT126" s="728">
        <f>BT57</f>
        <v>0.2</v>
      </c>
      <c r="BU126" s="553">
        <f>BU57</f>
        <v>0.18020940349842698</v>
      </c>
      <c r="BV126" s="728"/>
      <c r="BW126" s="728">
        <f>BW57</f>
        <v>0.2</v>
      </c>
      <c r="BX126" s="728">
        <f>BX57</f>
        <v>0.2</v>
      </c>
      <c r="BY126" s="728">
        <f>BY57</f>
        <v>0.2</v>
      </c>
      <c r="BZ126" s="728">
        <f>BZ57</f>
        <v>0.2</v>
      </c>
      <c r="CA126" s="553">
        <f>CA57</f>
        <v>0.19999999999999993</v>
      </c>
      <c r="CB126" s="728"/>
      <c r="CC126" s="728">
        <f>CC57</f>
        <v>0.2</v>
      </c>
      <c r="CD126" s="728">
        <f>CD57</f>
        <v>0.2</v>
      </c>
      <c r="CE126" s="728">
        <f>CE57</f>
        <v>0.2</v>
      </c>
      <c r="CF126" s="728">
        <f>CF57</f>
        <v>0.2</v>
      </c>
      <c r="CG126" s="553">
        <f>CG57</f>
        <v>0.19999999999999998</v>
      </c>
      <c r="CH126" s="728"/>
      <c r="CI126" s="728">
        <f t="shared" ref="CI126:CM126" si="595">CI57</f>
        <v>0.2</v>
      </c>
      <c r="CJ126" s="728">
        <f t="shared" si="595"/>
        <v>0.2</v>
      </c>
      <c r="CK126" s="728">
        <f t="shared" si="595"/>
        <v>0.2</v>
      </c>
      <c r="CL126" s="728">
        <f t="shared" si="595"/>
        <v>0.2</v>
      </c>
      <c r="CM126" s="553">
        <f t="shared" si="595"/>
        <v>0.19999999999999996</v>
      </c>
      <c r="CN126" s="728"/>
      <c r="CO126" s="728">
        <f t="shared" ref="CO126:CS126" si="596">CO57</f>
        <v>0.2</v>
      </c>
      <c r="CP126" s="728">
        <f t="shared" si="596"/>
        <v>0.2</v>
      </c>
      <c r="CQ126" s="728">
        <f t="shared" si="596"/>
        <v>0.2</v>
      </c>
      <c r="CR126" s="728">
        <f t="shared" si="596"/>
        <v>0.2</v>
      </c>
      <c r="CS126" s="553">
        <f t="shared" si="596"/>
        <v>0.20000000000000007</v>
      </c>
      <c r="CT126" s="400"/>
      <c r="CU126" s="400"/>
      <c r="CV126" s="400"/>
      <c r="DC126" s="921"/>
      <c r="DD126" s="921"/>
      <c r="DE126" s="921"/>
      <c r="DF126" s="921"/>
      <c r="DG126" s="921"/>
      <c r="DH126" s="921"/>
      <c r="DI126" s="921"/>
      <c r="DJ126" s="921"/>
      <c r="DK126" s="921"/>
      <c r="DL126" s="921"/>
    </row>
    <row r="127" spans="1:116" hidden="1" outlineLevel="1">
      <c r="A127" s="726" t="s">
        <v>216</v>
      </c>
      <c r="B127" s="726"/>
      <c r="C127" s="729">
        <v>0</v>
      </c>
      <c r="D127" s="729">
        <v>0</v>
      </c>
      <c r="E127" s="729">
        <v>0</v>
      </c>
      <c r="F127" s="729">
        <v>0</v>
      </c>
      <c r="G127" s="729">
        <v>0</v>
      </c>
      <c r="H127" s="729"/>
      <c r="I127" s="729">
        <v>0</v>
      </c>
      <c r="J127" s="729">
        <v>0</v>
      </c>
      <c r="K127" s="729">
        <v>0</v>
      </c>
      <c r="L127" s="729">
        <v>0</v>
      </c>
      <c r="M127" s="729">
        <v>0</v>
      </c>
      <c r="N127" s="729"/>
      <c r="O127" s="729">
        <v>0</v>
      </c>
      <c r="P127" s="729">
        <v>0</v>
      </c>
      <c r="Q127" s="729">
        <v>0</v>
      </c>
      <c r="R127" s="729">
        <v>0</v>
      </c>
      <c r="S127" s="729">
        <v>0</v>
      </c>
      <c r="T127" s="729"/>
      <c r="U127" s="729">
        <v>0</v>
      </c>
      <c r="V127" s="729">
        <v>0</v>
      </c>
      <c r="W127" s="729">
        <v>0</v>
      </c>
      <c r="X127" s="729">
        <v>0</v>
      </c>
      <c r="Y127" s="729">
        <v>0</v>
      </c>
      <c r="Z127" s="729"/>
      <c r="AA127" s="729">
        <v>0</v>
      </c>
      <c r="AB127" s="729">
        <v>0</v>
      </c>
      <c r="AC127" s="729">
        <v>0</v>
      </c>
      <c r="AD127" s="729">
        <v>0</v>
      </c>
      <c r="AE127" s="729">
        <v>0</v>
      </c>
      <c r="AF127" s="729"/>
      <c r="AG127" s="729">
        <v>0</v>
      </c>
      <c r="AH127" s="729">
        <v>0</v>
      </c>
      <c r="AI127" s="729">
        <v>0</v>
      </c>
      <c r="AJ127" s="729">
        <v>0</v>
      </c>
      <c r="AK127" s="729">
        <v>0</v>
      </c>
      <c r="AL127" s="729"/>
      <c r="AM127" s="729">
        <v>0</v>
      </c>
      <c r="AN127" s="729">
        <v>0</v>
      </c>
      <c r="AO127" s="729">
        <v>0</v>
      </c>
      <c r="AP127" s="729">
        <v>0</v>
      </c>
      <c r="AQ127" s="729">
        <v>0</v>
      </c>
      <c r="AR127" s="729"/>
      <c r="AS127" s="729">
        <v>0</v>
      </c>
      <c r="AT127" s="729">
        <v>0</v>
      </c>
      <c r="AU127" s="729">
        <v>0</v>
      </c>
      <c r="AV127" s="729">
        <v>0</v>
      </c>
      <c r="AW127" s="729">
        <v>0</v>
      </c>
      <c r="AX127" s="729"/>
      <c r="AY127" s="729">
        <v>0</v>
      </c>
      <c r="AZ127" s="729">
        <v>0</v>
      </c>
      <c r="BA127" s="729">
        <v>0</v>
      </c>
      <c r="BB127" s="729">
        <v>0</v>
      </c>
      <c r="BC127" s="729">
        <v>0</v>
      </c>
      <c r="BD127" s="729"/>
      <c r="BE127" s="729">
        <v>0</v>
      </c>
      <c r="BF127" s="729">
        <v>0</v>
      </c>
      <c r="BG127" s="729">
        <v>0</v>
      </c>
      <c r="BH127" s="729">
        <v>0</v>
      </c>
      <c r="BI127" s="729">
        <v>0</v>
      </c>
      <c r="BJ127" s="729"/>
      <c r="BK127" s="729">
        <v>0</v>
      </c>
      <c r="BL127" s="729">
        <v>0</v>
      </c>
      <c r="BM127" s="729">
        <v>0</v>
      </c>
      <c r="BN127" s="729">
        <v>0</v>
      </c>
      <c r="BO127" s="430">
        <v>0</v>
      </c>
      <c r="BP127" s="729"/>
      <c r="BQ127" s="729">
        <v>0</v>
      </c>
      <c r="BR127" s="729">
        <v>0</v>
      </c>
      <c r="BS127" s="729">
        <v>0</v>
      </c>
      <c r="BT127" s="729">
        <v>0</v>
      </c>
      <c r="BU127" s="430">
        <v>0</v>
      </c>
      <c r="BV127" s="729"/>
      <c r="BW127" s="729">
        <v>0</v>
      </c>
      <c r="BX127" s="729">
        <v>0</v>
      </c>
      <c r="BY127" s="729">
        <v>0</v>
      </c>
      <c r="BZ127" s="729">
        <v>0</v>
      </c>
      <c r="CA127" s="430">
        <v>0</v>
      </c>
      <c r="CB127" s="729"/>
      <c r="CC127" s="729">
        <v>0</v>
      </c>
      <c r="CD127" s="729">
        <v>0</v>
      </c>
      <c r="CE127" s="729">
        <v>0</v>
      </c>
      <c r="CF127" s="729">
        <v>0</v>
      </c>
      <c r="CG127" s="430">
        <v>0</v>
      </c>
      <c r="CH127" s="729"/>
      <c r="CI127" s="729">
        <v>0</v>
      </c>
      <c r="CJ127" s="729">
        <v>0</v>
      </c>
      <c r="CK127" s="729">
        <v>0</v>
      </c>
      <c r="CL127" s="729">
        <v>0</v>
      </c>
      <c r="CM127" s="430">
        <v>0</v>
      </c>
      <c r="CN127" s="729"/>
      <c r="CO127" s="729">
        <v>0</v>
      </c>
      <c r="CP127" s="729">
        <v>0</v>
      </c>
      <c r="CQ127" s="729">
        <v>0</v>
      </c>
      <c r="CR127" s="729">
        <v>0</v>
      </c>
      <c r="CS127" s="430">
        <v>0</v>
      </c>
      <c r="CT127" s="400"/>
      <c r="CU127" s="400"/>
      <c r="CV127" s="400"/>
      <c r="DC127" s="921"/>
      <c r="DD127" s="921"/>
      <c r="DE127" s="921"/>
      <c r="DF127" s="921"/>
      <c r="DG127" s="921"/>
      <c r="DH127" s="921"/>
      <c r="DI127" s="921"/>
      <c r="DJ127" s="921"/>
      <c r="DK127" s="921"/>
      <c r="DL127" s="921"/>
    </row>
    <row r="128" spans="1:116" hidden="1" outlineLevel="1">
      <c r="A128" s="726" t="s">
        <v>379</v>
      </c>
      <c r="B128" s="726"/>
      <c r="C128" s="944">
        <f>C30/C43</f>
        <v>4.7199655572610577E-2</v>
      </c>
      <c r="D128" s="944">
        <f>D30/D43</f>
        <v>7.8038614560548336E-2</v>
      </c>
      <c r="E128" s="944">
        <f>E30/E43</f>
        <v>9.4570250021045549E-2</v>
      </c>
      <c r="F128" s="944">
        <f>F30/F43</f>
        <v>0.11677413495595333</v>
      </c>
      <c r="G128" s="944">
        <f>G30/G43</f>
        <v>0.35267016286885566</v>
      </c>
      <c r="H128" s="726"/>
      <c r="I128" s="944">
        <f>I30/I43</f>
        <v>9.1179976162097734E-2</v>
      </c>
      <c r="J128" s="944">
        <f>J30/J43</f>
        <v>0.11376652973102637</v>
      </c>
      <c r="K128" s="944">
        <f>K30/K43</f>
        <v>0.13280382183692035</v>
      </c>
      <c r="L128" s="944">
        <f>L30/L43</f>
        <v>0.21029542806223891</v>
      </c>
      <c r="M128" s="944">
        <f>M30/M43</f>
        <v>0.52629727484338407</v>
      </c>
      <c r="N128" s="726"/>
      <c r="O128" s="944">
        <f>O30/O43</f>
        <v>0.19119781599945854</v>
      </c>
      <c r="P128" s="944">
        <f>P30/P43</f>
        <v>0.20912773814218624</v>
      </c>
      <c r="Q128" s="944">
        <f>Q30/Q43</f>
        <v>0.16129516564908433</v>
      </c>
      <c r="R128" s="944">
        <f>R30/R43</f>
        <v>0.19857452514787449</v>
      </c>
      <c r="S128" s="944">
        <f>S30/S43</f>
        <v>0.75986899690727694</v>
      </c>
      <c r="T128" s="726"/>
      <c r="U128" s="944">
        <f>U30/U43</f>
        <v>0.19469675309918122</v>
      </c>
      <c r="V128" s="944">
        <f>V30/V43</f>
        <v>0.24147398741406584</v>
      </c>
      <c r="W128" s="944">
        <f>W30/W43</f>
        <v>0.28056885093488509</v>
      </c>
      <c r="X128" s="944">
        <f>X30/X43</f>
        <v>0.27022378630822036</v>
      </c>
      <c r="Y128" s="944">
        <f>Y30/Y43</f>
        <v>0.99129210153869773</v>
      </c>
      <c r="Z128" s="726"/>
      <c r="AA128" s="944">
        <f>AA30/AA43</f>
        <v>0.32826571061000848</v>
      </c>
      <c r="AB128" s="944">
        <f>AB30/AB43</f>
        <v>0.37026064261277464</v>
      </c>
      <c r="AC128" s="944">
        <f>AC30/AC43</f>
        <v>0.21864289601812212</v>
      </c>
      <c r="AD128" s="944">
        <f>AD30/AD43</f>
        <v>0.34849625264236717</v>
      </c>
      <c r="AE128" s="944">
        <f>AE30/AE43</f>
        <v>1.2668187739766927</v>
      </c>
      <c r="AF128" s="726"/>
      <c r="AG128" s="944">
        <f>AG30/AG43</f>
        <v>0.3552394683958493</v>
      </c>
      <c r="AH128" s="944">
        <f>AH30/AH43</f>
        <v>0.39525302418596925</v>
      </c>
      <c r="AI128" s="944">
        <f>AI30/AI43</f>
        <v>0.40377489491121249</v>
      </c>
      <c r="AJ128" s="944">
        <f>AJ30/AJ43</f>
        <v>0.4195194729417327</v>
      </c>
      <c r="AK128" s="944">
        <f>AK30/AK43</f>
        <v>1.5739642314855682</v>
      </c>
      <c r="AL128" s="726"/>
      <c r="AM128" s="944">
        <f>AM30/AM43</f>
        <v>0.50593853015319001</v>
      </c>
      <c r="AN128" s="944">
        <f>AN30/AN43</f>
        <v>0.42829161195893156</v>
      </c>
      <c r="AO128" s="944">
        <f>AO30/AO43</f>
        <v>0.44698117367586321</v>
      </c>
      <c r="AP128" s="944">
        <f>AP30/AP43</f>
        <v>0.44839907128060402</v>
      </c>
      <c r="AQ128" s="944">
        <f>AQ30/AQ43</f>
        <v>1.7841227418248351</v>
      </c>
      <c r="AR128" s="726"/>
      <c r="AS128" s="944">
        <f>AS30/AS43</f>
        <v>0.53145353507857573</v>
      </c>
      <c r="AT128" s="944">
        <f>AT30/AT43</f>
        <v>0.56712334278874199</v>
      </c>
      <c r="AU128" s="944">
        <f>AU30/AU43</f>
        <v>0.77045257334996498</v>
      </c>
      <c r="AV128" s="944">
        <f>AV30/AV43</f>
        <v>0.86742635731919793</v>
      </c>
      <c r="AW128" s="944">
        <f>AW30/AW43</f>
        <v>2.7334173506357491</v>
      </c>
      <c r="AX128" s="726"/>
      <c r="AY128" s="944">
        <f>AY30/AY43</f>
        <v>0.91050086425482446</v>
      </c>
      <c r="AZ128" s="944">
        <f>AZ30/AZ43</f>
        <v>0.80332820922473747</v>
      </c>
      <c r="BA128" s="944">
        <f>BA30/BA43</f>
        <v>0.79898711849911785</v>
      </c>
      <c r="BB128" s="944">
        <f>BB30/BB43</f>
        <v>0.80945539502658581</v>
      </c>
      <c r="BC128" s="944">
        <f>BC30/BC43</f>
        <v>3.3219717043785075</v>
      </c>
      <c r="BD128" s="726"/>
      <c r="BE128" s="944">
        <f>BE30/BE43</f>
        <v>0.71137189347317686</v>
      </c>
      <c r="BF128" s="944">
        <f>BF30/BF43</f>
        <v>0.86013158517536803</v>
      </c>
      <c r="BG128" s="944">
        <f>BG30/BG43</f>
        <v>0.97401640286407809</v>
      </c>
      <c r="BH128" s="944">
        <f>BH30/BH43</f>
        <v>0.85419045367023649</v>
      </c>
      <c r="BI128" s="944">
        <f>BI30/BI43</f>
        <v>3.3992860061942536</v>
      </c>
      <c r="BJ128" s="726"/>
      <c r="BK128" s="944">
        <f>BK30/BK43</f>
        <v>0.63772048846675711</v>
      </c>
      <c r="BL128" s="944">
        <f>BL30/BL43</f>
        <v>0.83082191780821912</v>
      </c>
      <c r="BM128" s="944">
        <f>BM30/BM43</f>
        <v>1.1079322033898307</v>
      </c>
      <c r="BN128" s="944">
        <f>BN30/BN43</f>
        <v>1.438101694915255</v>
      </c>
      <c r="BO128" s="401">
        <f>BO30/BO43</f>
        <v>4.0165873555404508</v>
      </c>
      <c r="BP128" s="726"/>
      <c r="BQ128" s="944">
        <f>BQ30/BQ43</f>
        <v>1.4557823129251701</v>
      </c>
      <c r="BR128" s="944">
        <f>BR30/BR43</f>
        <v>1.1203277297300218</v>
      </c>
      <c r="BS128" s="944">
        <f>BS30/BS43</f>
        <v>1.1742062469013159</v>
      </c>
      <c r="BT128" s="944">
        <f>BT30/BT43</f>
        <v>1.2538932915326066</v>
      </c>
      <c r="BU128" s="401">
        <f>BU30/BU43</f>
        <v>5.0038060278410983</v>
      </c>
      <c r="BV128" s="726"/>
      <c r="BW128" s="944">
        <f>BW30/BW43</f>
        <v>1.5034929543310671</v>
      </c>
      <c r="BX128" s="944">
        <f>BX30/BX43</f>
        <v>1.2479030246451843</v>
      </c>
      <c r="BY128" s="944">
        <f>BY30/BY43</f>
        <v>1.3046519742693721</v>
      </c>
      <c r="BZ128" s="944">
        <f>BZ30/BZ43</f>
        <v>1.3871583490028541</v>
      </c>
      <c r="CA128" s="401">
        <f>CA30/CA43</f>
        <v>5.443837844374559</v>
      </c>
      <c r="CB128" s="726"/>
      <c r="CC128" s="944">
        <f>CC30/CC43</f>
        <v>1.6800093865174552</v>
      </c>
      <c r="CD128" s="944">
        <f>CD30/CD43</f>
        <v>1.8002971541487176</v>
      </c>
      <c r="CE128" s="944">
        <f>CE30/CE43</f>
        <v>1.9098581106838231</v>
      </c>
      <c r="CF128" s="944">
        <f>CF30/CF43</f>
        <v>2.0327702654776667</v>
      </c>
      <c r="CG128" s="401">
        <f>CG30/CG43</f>
        <v>7.4210248683600222</v>
      </c>
      <c r="CH128" s="726"/>
      <c r="CI128" s="944">
        <f t="shared" ref="CI128:CM128" si="597">CI30/CI43</f>
        <v>2.3860233421617227</v>
      </c>
      <c r="CJ128" s="944">
        <f t="shared" si="597"/>
        <v>1.614039016252055</v>
      </c>
      <c r="CK128" s="944">
        <f t="shared" si="597"/>
        <v>1.6885128473825295</v>
      </c>
      <c r="CL128" s="944">
        <f t="shared" si="597"/>
        <v>1.7974938591282548</v>
      </c>
      <c r="CM128" s="401">
        <f t="shared" si="597"/>
        <v>7.4886678063345444</v>
      </c>
      <c r="CN128" s="726"/>
      <c r="CO128" s="944">
        <f t="shared" ref="CO128:CS128" si="598">CO30/CO43</f>
        <v>2.150580350788267</v>
      </c>
      <c r="CP128" s="944">
        <f t="shared" si="598"/>
        <v>1.8281349339965027</v>
      </c>
      <c r="CQ128" s="944">
        <f t="shared" si="598"/>
        <v>1.9199622784213701</v>
      </c>
      <c r="CR128" s="944">
        <f t="shared" si="598"/>
        <v>2.0448218989418971</v>
      </c>
      <c r="CS128" s="401">
        <f t="shared" si="598"/>
        <v>7.9438310911691747</v>
      </c>
      <c r="CT128" s="400"/>
      <c r="CU128" s="400"/>
      <c r="CV128" s="400"/>
      <c r="DC128" s="921"/>
      <c r="DD128" s="921"/>
      <c r="DE128" s="921"/>
      <c r="DF128" s="921"/>
      <c r="DG128" s="921"/>
      <c r="DH128" s="921"/>
      <c r="DI128" s="921"/>
      <c r="DJ128" s="921"/>
      <c r="DK128" s="921"/>
      <c r="DL128" s="921"/>
    </row>
    <row r="129" spans="1:116" collapsed="1"/>
    <row r="130" spans="1:116">
      <c r="A130" s="529" t="s">
        <v>807</v>
      </c>
      <c r="B130" s="530"/>
      <c r="C130" s="531"/>
      <c r="D130" s="532"/>
      <c r="E130" s="532"/>
      <c r="F130" s="533"/>
      <c r="G130" s="534"/>
      <c r="H130" s="530"/>
      <c r="I130" s="535"/>
      <c r="J130" s="536"/>
      <c r="K130" s="536"/>
      <c r="L130" s="537"/>
      <c r="M130" s="710"/>
      <c r="N130" s="711"/>
      <c r="O130" s="712"/>
      <c r="P130" s="713"/>
      <c r="Q130" s="713"/>
      <c r="R130" s="714"/>
      <c r="S130" s="710"/>
      <c r="T130" s="715"/>
      <c r="U130" s="716"/>
      <c r="V130" s="717"/>
      <c r="W130" s="717"/>
      <c r="X130" s="718"/>
      <c r="Y130" s="544"/>
      <c r="Z130" s="715"/>
      <c r="AA130" s="716"/>
      <c r="AB130" s="717"/>
      <c r="AC130" s="717"/>
      <c r="AD130" s="718"/>
      <c r="AE130" s="544"/>
      <c r="AF130" s="715"/>
      <c r="AG130" s="716"/>
      <c r="AH130" s="717"/>
      <c r="AI130" s="717"/>
      <c r="AJ130" s="718"/>
      <c r="AK130" s="544"/>
      <c r="AL130" s="715"/>
      <c r="AM130" s="716"/>
      <c r="AN130" s="717"/>
      <c r="AO130" s="717"/>
      <c r="AP130" s="718"/>
      <c r="AQ130" s="544"/>
      <c r="AR130" s="715"/>
      <c r="AS130" s="716"/>
      <c r="AT130" s="717"/>
      <c r="AU130" s="717"/>
      <c r="AV130" s="717"/>
      <c r="AW130" s="544"/>
      <c r="AX130" s="715"/>
      <c r="AY130" s="716"/>
      <c r="AZ130" s="717"/>
      <c r="BA130" s="717"/>
      <c r="BB130" s="718"/>
      <c r="BC130" s="544"/>
      <c r="BD130" s="715"/>
      <c r="BE130" s="716"/>
      <c r="BF130" s="717"/>
      <c r="BG130" s="717"/>
      <c r="BH130" s="718"/>
      <c r="BI130" s="544"/>
      <c r="BJ130" s="715"/>
      <c r="BK130" s="716"/>
      <c r="BL130" s="717"/>
      <c r="BM130" s="717"/>
      <c r="BN130" s="718"/>
      <c r="BO130" s="544"/>
      <c r="BP130" s="715"/>
      <c r="BQ130" s="716"/>
      <c r="BR130" s="717"/>
      <c r="BS130" s="717"/>
      <c r="BT130" s="718"/>
      <c r="BU130" s="544"/>
      <c r="BV130" s="715"/>
      <c r="BW130" s="716"/>
      <c r="BX130" s="717"/>
      <c r="BY130" s="717"/>
      <c r="BZ130" s="718"/>
      <c r="CA130" s="544"/>
      <c r="CB130" s="715"/>
      <c r="CC130" s="716"/>
      <c r="CD130" s="717"/>
      <c r="CE130" s="717"/>
      <c r="CF130" s="718"/>
      <c r="CG130" s="544"/>
      <c r="CH130" s="715"/>
      <c r="CI130" s="716"/>
      <c r="CJ130" s="717"/>
      <c r="CK130" s="717"/>
      <c r="CL130" s="718"/>
      <c r="CM130" s="544"/>
      <c r="CN130" s="715"/>
      <c r="CO130" s="716"/>
      <c r="CP130" s="717"/>
      <c r="CQ130" s="717"/>
      <c r="CR130" s="718"/>
      <c r="CS130" s="544"/>
      <c r="CT130" s="942"/>
      <c r="CU130" s="581"/>
      <c r="CV130" s="581"/>
      <c r="DC130" s="921"/>
      <c r="DD130" s="921"/>
      <c r="DE130" s="921"/>
      <c r="DF130" s="921"/>
      <c r="DG130" s="921"/>
      <c r="DH130" s="921"/>
      <c r="DI130" s="921"/>
      <c r="DJ130" s="921"/>
      <c r="DK130" s="921"/>
      <c r="DL130" s="921"/>
    </row>
    <row r="131" spans="1:116">
      <c r="A131" s="400" t="s">
        <v>193</v>
      </c>
      <c r="C131" s="609">
        <f>+C16</f>
        <v>47.846000000000004</v>
      </c>
      <c r="D131" s="610">
        <f>+D16</f>
        <v>54.519999999999996</v>
      </c>
      <c r="E131" s="610">
        <f>+E16</f>
        <v>60.432000000000002</v>
      </c>
      <c r="F131" s="608">
        <f>+F16</f>
        <v>72.507000000000019</v>
      </c>
      <c r="G131" s="648">
        <f>+G16</f>
        <v>235.30500000000004</v>
      </c>
      <c r="I131" s="609">
        <f>+I16</f>
        <v>75.78</v>
      </c>
      <c r="J131" s="610">
        <f>+J16</f>
        <v>89.717999999999989</v>
      </c>
      <c r="K131" s="610">
        <f>+K16</f>
        <v>95.829999999999984</v>
      </c>
      <c r="L131" s="608">
        <f>+L16</f>
        <v>106.27300000000002</v>
      </c>
      <c r="M131" s="648">
        <f>+M16</f>
        <v>367.601</v>
      </c>
      <c r="O131" s="609">
        <f>+O16</f>
        <v>111.73500000000001</v>
      </c>
      <c r="P131" s="610">
        <f>+P16</f>
        <v>112.828</v>
      </c>
      <c r="Q131" s="610">
        <f>+Q16</f>
        <v>108.79600000000002</v>
      </c>
      <c r="R131" s="608">
        <f>+R16</f>
        <v>127.19599999999997</v>
      </c>
      <c r="S131" s="648">
        <f>+S16</f>
        <v>460.55500000000006</v>
      </c>
      <c r="U131" s="609">
        <f>+U16</f>
        <v>133.798</v>
      </c>
      <c r="V131" s="610">
        <f>+V16</f>
        <v>147.68600000000001</v>
      </c>
      <c r="W131" s="610">
        <f>+W16</f>
        <v>159.44</v>
      </c>
      <c r="X131" s="608">
        <f>+X16</f>
        <v>168.42099999999999</v>
      </c>
      <c r="Y131" s="648">
        <f>+Y16</f>
        <v>609.34500000000003</v>
      </c>
      <c r="AA131" s="609">
        <f>+AA16</f>
        <v>191.02599999999998</v>
      </c>
      <c r="AB131" s="610">
        <f>+AB16</f>
        <v>196.39099999999999</v>
      </c>
      <c r="AC131" s="610">
        <f>+AC16</f>
        <v>160.15</v>
      </c>
      <c r="AD131" s="608">
        <f>+AD16</f>
        <v>173.62199999999996</v>
      </c>
      <c r="AE131" s="648">
        <f>+AE16</f>
        <v>721.18899999999985</v>
      </c>
      <c r="AG131" s="609">
        <f>+AG16</f>
        <v>186.27699999999999</v>
      </c>
      <c r="AH131" s="610">
        <f>+AH16</f>
        <v>196.83699999999996</v>
      </c>
      <c r="AI131" s="610">
        <f>+AI16</f>
        <v>199.46100000000001</v>
      </c>
      <c r="AJ131" s="608">
        <f>+AJ16</f>
        <v>209.584</v>
      </c>
      <c r="AK131" s="648">
        <f>+AK16</f>
        <v>792.15900000000011</v>
      </c>
      <c r="AM131" s="609">
        <f>+AM16</f>
        <v>227.36900000000003</v>
      </c>
      <c r="AN131" s="610">
        <f>+AN16</f>
        <v>239.036</v>
      </c>
      <c r="AO131" s="610">
        <f>+AO16</f>
        <v>248.71600000000004</v>
      </c>
      <c r="AP131" s="608">
        <f>+AP16</f>
        <v>274.37300000000005</v>
      </c>
      <c r="AQ131" s="648">
        <f>+AQ16</f>
        <v>989.49400000000014</v>
      </c>
      <c r="AS131" s="609">
        <f>+AS16</f>
        <v>293.673</v>
      </c>
      <c r="AT131" s="610">
        <f>+AT16</f>
        <v>314.90199999999999</v>
      </c>
      <c r="AU131" s="610">
        <f>+AU16</f>
        <v>348.80200000000002</v>
      </c>
      <c r="AV131" s="608">
        <f>+AV16</f>
        <v>367.31299999999999</v>
      </c>
      <c r="AW131" s="648">
        <f>+AW16</f>
        <v>1324.6899999999996</v>
      </c>
      <c r="AY131" s="609">
        <f>+AY16</f>
        <v>386.41200000000003</v>
      </c>
      <c r="AZ131" s="610">
        <f>+AZ16</f>
        <v>387.74899999999991</v>
      </c>
      <c r="BA131" s="610">
        <f>+BA16</f>
        <v>399.72699999999998</v>
      </c>
      <c r="BB131" s="608">
        <f>+BB16</f>
        <v>421.21199999999999</v>
      </c>
      <c r="BC131" s="648">
        <f>+BC16</f>
        <v>1595.0999999999997</v>
      </c>
      <c r="BE131" s="609">
        <f>+BE16</f>
        <v>407.55000000000007</v>
      </c>
      <c r="BF131" s="610">
        <f>+BF16</f>
        <v>434.35400000000004</v>
      </c>
      <c r="BG131" s="610">
        <f>+BG16</f>
        <v>437.11</v>
      </c>
      <c r="BH131" s="608">
        <f>+BH16</f>
        <v>430.39800000000002</v>
      </c>
      <c r="BI131" s="648">
        <f>+BI16</f>
        <v>1709.4120000000005</v>
      </c>
      <c r="BJ131" s="649"/>
      <c r="BK131" s="609">
        <f>+BK16</f>
        <v>397</v>
      </c>
      <c r="BL131" s="610">
        <f>+BL16</f>
        <v>443.7</v>
      </c>
      <c r="BM131" s="610">
        <f>+BM16</f>
        <v>491.3</v>
      </c>
      <c r="BN131" s="608">
        <f>+BN16</f>
        <v>551.40000000000009</v>
      </c>
      <c r="BO131" s="648">
        <f>+BO16</f>
        <v>1883.4000000000003</v>
      </c>
      <c r="BP131" s="649"/>
      <c r="BQ131" s="609">
        <f t="shared" ref="BQ131:BU131" si="599">+BQ16</f>
        <v>546</v>
      </c>
      <c r="BR131" s="610">
        <f t="shared" si="599"/>
        <v>543.62723212668584</v>
      </c>
      <c r="BS131" s="610">
        <f t="shared" si="599"/>
        <v>554.37052510474848</v>
      </c>
      <c r="BT131" s="608">
        <f t="shared" si="599"/>
        <v>578.32526837692876</v>
      </c>
      <c r="BU131" s="648">
        <f t="shared" si="599"/>
        <v>2222.3230256083634</v>
      </c>
      <c r="BV131" s="649"/>
      <c r="BW131" s="609">
        <f t="shared" ref="BW131:CA131" si="600">+BW16</f>
        <v>604.72911273259263</v>
      </c>
      <c r="BX131" s="610">
        <f t="shared" si="600"/>
        <v>593.78149721503507</v>
      </c>
      <c r="BY131" s="610">
        <f t="shared" si="600"/>
        <v>602.68281040586726</v>
      </c>
      <c r="BZ131" s="608">
        <f t="shared" si="600"/>
        <v>626.69726540363774</v>
      </c>
      <c r="CA131" s="648">
        <f t="shared" si="600"/>
        <v>2427.8906857571333</v>
      </c>
      <c r="CB131" s="649"/>
      <c r="CC131" s="609">
        <f t="shared" ref="CC131:CG131" si="601">+CC16</f>
        <v>663.48463867376211</v>
      </c>
      <c r="CD131" s="610">
        <f t="shared" si="601"/>
        <v>650.7211376616533</v>
      </c>
      <c r="CE131" s="610">
        <f t="shared" si="601"/>
        <v>660.42905497386619</v>
      </c>
      <c r="CF131" s="608">
        <f t="shared" si="601"/>
        <v>687.47169035455011</v>
      </c>
      <c r="CG131" s="648">
        <f t="shared" si="601"/>
        <v>2662.1065216638317</v>
      </c>
      <c r="CH131" s="649"/>
      <c r="CI131" s="609">
        <f t="shared" ref="CI131:CM131" si="602">+CI16</f>
        <v>729.30090775387907</v>
      </c>
      <c r="CJ131" s="610">
        <f t="shared" si="602"/>
        <v>713.97865084873706</v>
      </c>
      <c r="CK131" s="610">
        <f t="shared" si="602"/>
        <v>724.24513884281419</v>
      </c>
      <c r="CL131" s="608">
        <f t="shared" si="602"/>
        <v>755.69106782508209</v>
      </c>
      <c r="CM131" s="648">
        <f t="shared" si="602"/>
        <v>2923.2157652705127</v>
      </c>
      <c r="CN131" s="649"/>
      <c r="CO131" s="609">
        <f t="shared" ref="CO131:CS131" si="603">+CO16</f>
        <v>799.56257924486249</v>
      </c>
      <c r="CP131" s="610">
        <f t="shared" si="603"/>
        <v>785.92496266656121</v>
      </c>
      <c r="CQ131" s="610">
        <f t="shared" si="603"/>
        <v>800.35662126572322</v>
      </c>
      <c r="CR131" s="608">
        <f t="shared" si="603"/>
        <v>835.91710921505899</v>
      </c>
      <c r="CS131" s="648">
        <f t="shared" si="603"/>
        <v>3221.7612723922057</v>
      </c>
    </row>
    <row r="132" spans="1:116" s="1357" customFormat="1">
      <c r="A132" s="2489" t="s">
        <v>747</v>
      </c>
      <c r="C132" s="2490">
        <f>+C131/C$9</f>
        <v>0.66314622314622318</v>
      </c>
      <c r="D132" s="2491">
        <f t="shared" ref="D132" si="604">+D131/D$9</f>
        <v>0.6449399656946827</v>
      </c>
      <c r="E132" s="2491">
        <f t="shared" ref="E132" si="605">+E131/E$9</f>
        <v>0.61975182032612042</v>
      </c>
      <c r="F132" s="2491">
        <f t="shared" ref="F132" si="606">+F131/F$9</f>
        <v>0.64391140634435728</v>
      </c>
      <c r="G132" s="2492">
        <f t="shared" ref="G132" si="607">+G131/G$9</f>
        <v>0.64150938252285317</v>
      </c>
      <c r="I132" s="2490">
        <f>+I131/I$9</f>
        <v>0.62185604910512793</v>
      </c>
      <c r="J132" s="2491">
        <f t="shared" ref="J132" si="608">+J131/J$9</f>
        <v>0.64003367171504588</v>
      </c>
      <c r="K132" s="2491">
        <f t="shared" ref="K132" si="609">+K131/K$9</f>
        <v>0.63776121389591367</v>
      </c>
      <c r="L132" s="2491">
        <f t="shared" ref="L132" si="610">+L131/L$9</f>
        <v>0.66038017237629487</v>
      </c>
      <c r="M132" s="2492">
        <f t="shared" ref="M132" si="611">+M131/M$9</f>
        <v>0.64128570805530116</v>
      </c>
      <c r="O132" s="2490">
        <f>+O131/O$9</f>
        <v>0.67408917873754959</v>
      </c>
      <c r="P132" s="2491">
        <f t="shared" ref="P132" si="612">+P131/P$9</f>
        <v>0.69800733715657348</v>
      </c>
      <c r="Q132" s="2491">
        <f t="shared" ref="Q132" si="613">+Q131/Q$9</f>
        <v>0.68701692346552168</v>
      </c>
      <c r="R132" s="2491">
        <f t="shared" ref="R132" si="614">+R131/R$9</f>
        <v>0.70443720785981701</v>
      </c>
      <c r="S132" s="2492">
        <f t="shared" ref="S132" si="615">+S131/S$9</f>
        <v>0.69118777051404423</v>
      </c>
      <c r="U132" s="2490">
        <f>+U131/U$9</f>
        <v>0.69638944261987912</v>
      </c>
      <c r="V132" s="2491">
        <f t="shared" ref="V132" si="616">+V131/V$9</f>
        <v>0.6966222176101281</v>
      </c>
      <c r="W132" s="2491">
        <f t="shared" ref="W132" si="617">+W131/W$9</f>
        <v>0.67186663801204338</v>
      </c>
      <c r="X132" s="2491">
        <f t="shared" ref="X132" si="618">+X131/X$9</f>
        <v>0.64455525874671826</v>
      </c>
      <c r="Y132" s="2492">
        <f t="shared" ref="Y132" si="619">+Y131/Y$9</f>
        <v>0.67499426745877278</v>
      </c>
      <c r="AA132" s="2490">
        <f>+AA131/AA$9</f>
        <v>0.67616232766401785</v>
      </c>
      <c r="AB132" s="2491">
        <f t="shared" ref="AB132" si="620">+AB131/AB$9</f>
        <v>0.68321795094799098</v>
      </c>
      <c r="AC132" s="2491">
        <f t="shared" ref="AC132" si="621">+AC131/AC$9</f>
        <v>0.68004535051104253</v>
      </c>
      <c r="AD132" s="2491">
        <f t="shared" ref="AD132" si="622">+AD131/AD$9</f>
        <v>0.69429082140672038</v>
      </c>
      <c r="AE132" s="2492">
        <f t="shared" ref="AE132" si="623">+AE131/AE$9</f>
        <v>0.68324498950769041</v>
      </c>
      <c r="AG132" s="2490">
        <f>+AG131/AG$9</f>
        <v>0.682908677640503</v>
      </c>
      <c r="AH132" s="2491">
        <f t="shared" ref="AH132" si="624">+AH131/AH$9</f>
        <v>0.70146860199496086</v>
      </c>
      <c r="AI132" s="2491">
        <f t="shared" ref="AI132" si="625">+AI131/AI$9</f>
        <v>0.69772347257882839</v>
      </c>
      <c r="AJ132" s="2491">
        <f t="shared" ref="AJ132" si="626">+AJ131/AJ$9</f>
        <v>0.67768418670072594</v>
      </c>
      <c r="AK132" s="2492">
        <f t="shared" ref="AK132" si="627">+AK131/AK$9</f>
        <v>0.68972395682776733</v>
      </c>
      <c r="AM132" s="2490">
        <f>+AM131/AM$9</f>
        <v>0.68700258038784379</v>
      </c>
      <c r="AN132" s="2491">
        <f t="shared" ref="AN132" si="628">+AN131/AN$9</f>
        <v>0.69066785324218283</v>
      </c>
      <c r="AO132" s="2491">
        <f t="shared" ref="AO132" si="629">+AO131/AO$9</f>
        <v>0.69707399103139023</v>
      </c>
      <c r="AP132" s="2491">
        <f t="shared" ref="AP132" si="630">+AP131/AP$9</f>
        <v>0.70837743915977769</v>
      </c>
      <c r="AQ132" s="2492">
        <f t="shared" ref="AQ132" si="631">+AQ131/AQ$9</f>
        <v>0.69624916794377623</v>
      </c>
      <c r="AS132" s="2490">
        <f>+AS131/AS$9</f>
        <v>0.69792362297727317</v>
      </c>
      <c r="AT132" s="2491">
        <f t="shared" ref="AT132" si="632">+AT131/AT$9</f>
        <v>0.7035847066814428</v>
      </c>
      <c r="AU132" s="2491">
        <f t="shared" ref="AU132" si="633">+AU131/AU$9</f>
        <v>0.7257183280277969</v>
      </c>
      <c r="AV132" s="2491">
        <f t="shared" ref="AV132" si="634">+AV131/AV$9</f>
        <v>0.71687754572299012</v>
      </c>
      <c r="AW132" s="2492">
        <f t="shared" ref="AW132" si="635">+AW131/AW$9</f>
        <v>0.71167932230124442</v>
      </c>
      <c r="AY132" s="2490">
        <f>+AY131/AY$9</f>
        <v>0.71748442620667885</v>
      </c>
      <c r="AZ132" s="2491">
        <f t="shared" ref="AZ132" si="636">+AZ131/AZ$9</f>
        <v>0.71888174897752588</v>
      </c>
      <c r="BA132" s="2491">
        <f t="shared" ref="BA132" si="637">+BA131/BA$9</f>
        <v>0.7264184374608148</v>
      </c>
      <c r="BB132" s="2491">
        <f t="shared" ref="BB132" si="638">+BB131/BB$9</f>
        <v>0.71205041687234172</v>
      </c>
      <c r="BC132" s="2492">
        <f t="shared" ref="BC132" si="639">+BC131/BC$9</f>
        <v>0.718590551599676</v>
      </c>
      <c r="BE132" s="2490">
        <f>+BE131/BE$9</f>
        <v>0.71279533652929628</v>
      </c>
      <c r="BF132" s="2491">
        <f t="shared" ref="BF132" si="640">+BF131/BF$9</f>
        <v>0.7237737534242924</v>
      </c>
      <c r="BG132" s="2491">
        <f t="shared" ref="BG132" si="641">+BG131/BG$9</f>
        <v>0.71995045615583908</v>
      </c>
      <c r="BH132" s="2491">
        <f t="shared" ref="BH132" si="642">+BH131/BH$9</f>
        <v>0.69492223260950647</v>
      </c>
      <c r="BI132" s="2492">
        <f t="shared" ref="BI132" si="643">+BI131/BI$9</f>
        <v>0.71273817708921849</v>
      </c>
      <c r="BJ132" s="484"/>
      <c r="BK132" s="2490">
        <f>+BK131/BK$9</f>
        <v>0.66387959866220736</v>
      </c>
      <c r="BL132" s="2491">
        <f t="shared" ref="BL132" si="644">+BL131/BL$9</f>
        <v>0.66983695652173914</v>
      </c>
      <c r="BM132" s="2491">
        <f t="shared" ref="BM132:BO132" si="645">+BM131/BM$9</f>
        <v>0.68809523809523809</v>
      </c>
      <c r="BN132" s="2491">
        <f t="shared" si="645"/>
        <v>0.70901375851870907</v>
      </c>
      <c r="BO132" s="2492">
        <f t="shared" si="645"/>
        <v>0.68435013262599476</v>
      </c>
      <c r="BP132" s="484"/>
      <c r="BQ132" s="2490">
        <f t="shared" ref="BQ132:BU132" si="646">+BQ131/BQ$9</f>
        <v>0.69820971867007675</v>
      </c>
      <c r="BR132" s="2491">
        <f t="shared" si="646"/>
        <v>0.68775949778343493</v>
      </c>
      <c r="BS132" s="2491">
        <f t="shared" si="646"/>
        <v>0.68808066629479325</v>
      </c>
      <c r="BT132" s="2491">
        <f t="shared" si="646"/>
        <v>0.68822181704409102</v>
      </c>
      <c r="BU132" s="2492">
        <f t="shared" si="646"/>
        <v>0.69049975757741366</v>
      </c>
      <c r="BV132" s="484"/>
      <c r="BW132" s="2490">
        <f t="shared" ref="BW132:CA132" si="647">+BW131/BW$9</f>
        <v>0.69296971444997779</v>
      </c>
      <c r="BX132" s="2491">
        <f t="shared" si="647"/>
        <v>0.68233199810453771</v>
      </c>
      <c r="BY132" s="2491">
        <f t="shared" si="647"/>
        <v>0.68326057910167437</v>
      </c>
      <c r="BZ132" s="2491">
        <f t="shared" si="647"/>
        <v>0.68280470951782501</v>
      </c>
      <c r="CA132" s="2492">
        <f t="shared" si="647"/>
        <v>0.68530595418236384</v>
      </c>
      <c r="CB132" s="484"/>
      <c r="CC132" s="2490">
        <f t="shared" ref="CC132:CG132" si="648">+CC131/CC$9</f>
        <v>0.69020645720568163</v>
      </c>
      <c r="CD132" s="2491">
        <f t="shared" si="648"/>
        <v>0.67822104550206819</v>
      </c>
      <c r="CE132" s="2491">
        <f t="shared" si="648"/>
        <v>0.67928099021187482</v>
      </c>
      <c r="CF132" s="2491">
        <f t="shared" si="648"/>
        <v>0.678610095511051</v>
      </c>
      <c r="CG132" s="2492">
        <f t="shared" si="648"/>
        <v>0.6815354092662822</v>
      </c>
      <c r="CH132" s="484"/>
      <c r="CI132" s="2490">
        <f t="shared" ref="CI132:CM132" si="649">+CI131/CI$9</f>
        <v>0.68699911817118076</v>
      </c>
      <c r="CJ132" s="2491">
        <f t="shared" si="649"/>
        <v>0.6739700676347915</v>
      </c>
      <c r="CK132" s="2491">
        <f t="shared" si="649"/>
        <v>0.67504292950579792</v>
      </c>
      <c r="CL132" s="2491">
        <f t="shared" si="649"/>
        <v>0.67431965909344571</v>
      </c>
      <c r="CM132" s="2492">
        <f t="shared" si="649"/>
        <v>0.67753343770326757</v>
      </c>
      <c r="CN132" s="484"/>
      <c r="CO132" s="2490">
        <f t="shared" ref="CO132:CS132" si="650">+CO131/CO$9</f>
        <v>0.68495478982197044</v>
      </c>
      <c r="CP132" s="2491">
        <f t="shared" si="650"/>
        <v>0.67173328395589971</v>
      </c>
      <c r="CQ132" s="2491">
        <f t="shared" si="650"/>
        <v>0.67299764136062046</v>
      </c>
      <c r="CR132" s="2491">
        <f t="shared" si="650"/>
        <v>0.67214189621517717</v>
      </c>
      <c r="CS132" s="2492">
        <f t="shared" si="650"/>
        <v>0.67539046351096133</v>
      </c>
      <c r="CW132"/>
      <c r="CX132"/>
      <c r="CY132"/>
      <c r="CZ132"/>
      <c r="DA132"/>
      <c r="DB132"/>
    </row>
    <row r="133" spans="1:116" s="1357" customFormat="1">
      <c r="A133" s="2537" t="s">
        <v>6</v>
      </c>
      <c r="C133" s="609">
        <f>+C17</f>
        <v>15.956</v>
      </c>
      <c r="D133" s="610">
        <f t="shared" ref="D133:G133" si="651">+D17</f>
        <v>18.184000000000001</v>
      </c>
      <c r="E133" s="610">
        <f t="shared" si="651"/>
        <v>19.753</v>
      </c>
      <c r="F133" s="608">
        <f t="shared" si="651"/>
        <v>20.049999999999997</v>
      </c>
      <c r="G133" s="648">
        <f t="shared" si="651"/>
        <v>73.942999999999998</v>
      </c>
      <c r="I133" s="609">
        <f t="shared" ref="I133:BT133" si="652">+I17</f>
        <v>20.564</v>
      </c>
      <c r="J133" s="610">
        <f t="shared" si="652"/>
        <v>23.492999999999999</v>
      </c>
      <c r="K133" s="610">
        <f t="shared" si="652"/>
        <v>26.952999999999999</v>
      </c>
      <c r="L133" s="608">
        <f t="shared" si="652"/>
        <v>27.421999999999983</v>
      </c>
      <c r="M133" s="648">
        <f t="shared" si="652"/>
        <v>98.431999999999988</v>
      </c>
      <c r="O133" s="609">
        <f t="shared" ref="O133" si="653">+O17</f>
        <v>29.806999999999999</v>
      </c>
      <c r="P133" s="610">
        <f t="shared" si="652"/>
        <v>32.198</v>
      </c>
      <c r="Q133" s="610">
        <f t="shared" si="652"/>
        <v>33.487000000000002</v>
      </c>
      <c r="R133" s="608">
        <f t="shared" si="652"/>
        <v>39.449000000000012</v>
      </c>
      <c r="S133" s="648">
        <f t="shared" si="652"/>
        <v>134.941</v>
      </c>
      <c r="U133" s="609">
        <f t="shared" ref="U133" si="654">+U17</f>
        <v>42.756</v>
      </c>
      <c r="V133" s="610">
        <f t="shared" si="652"/>
        <v>42.748000000000005</v>
      </c>
      <c r="W133" s="610">
        <f t="shared" si="652"/>
        <v>43.885000000000005</v>
      </c>
      <c r="X133" s="608">
        <f t="shared" si="652"/>
        <v>44.882999999999981</v>
      </c>
      <c r="Y133" s="648">
        <f t="shared" si="652"/>
        <v>174.27199999999999</v>
      </c>
      <c r="AA133" s="609">
        <f t="shared" ref="AA133" si="655">+AA17</f>
        <v>48.764000000000003</v>
      </c>
      <c r="AB133" s="610">
        <f t="shared" si="652"/>
        <v>48.946000000000005</v>
      </c>
      <c r="AC133" s="610">
        <f t="shared" si="652"/>
        <v>49.624000000000002</v>
      </c>
      <c r="AD133" s="608">
        <f t="shared" si="652"/>
        <v>44.78</v>
      </c>
      <c r="AE133" s="648">
        <f t="shared" si="652"/>
        <v>192.114</v>
      </c>
      <c r="AG133" s="609">
        <f t="shared" ref="AG133" si="656">+AG17</f>
        <v>48.106999999999999</v>
      </c>
      <c r="AH133" s="610">
        <f t="shared" si="652"/>
        <v>49.052999999999997</v>
      </c>
      <c r="AI133" s="610">
        <f t="shared" si="652"/>
        <v>53.302</v>
      </c>
      <c r="AJ133" s="608">
        <f t="shared" si="652"/>
        <v>55.705999999999996</v>
      </c>
      <c r="AK133" s="648">
        <f t="shared" si="652"/>
        <v>206.16799999999998</v>
      </c>
      <c r="AM133" s="609">
        <f t="shared" ref="AM133" si="657">+AM17</f>
        <v>60.961000000000006</v>
      </c>
      <c r="AN133" s="610">
        <f t="shared" si="652"/>
        <v>67.772000000000006</v>
      </c>
      <c r="AO133" s="610">
        <f t="shared" si="652"/>
        <v>70.849999999999994</v>
      </c>
      <c r="AP133" s="608">
        <f t="shared" si="652"/>
        <v>76.616</v>
      </c>
      <c r="AQ133" s="648">
        <f t="shared" si="652"/>
        <v>276.19900000000001</v>
      </c>
      <c r="AS133" s="609">
        <f t="shared" ref="AS133" si="658">+AS17</f>
        <v>76.956999999999994</v>
      </c>
      <c r="AT133" s="610">
        <f t="shared" si="652"/>
        <v>82.489000000000004</v>
      </c>
      <c r="AU133" s="610">
        <f t="shared" si="652"/>
        <v>84.585999999999999</v>
      </c>
      <c r="AV133" s="608">
        <f t="shared" si="652"/>
        <v>92.198999999999998</v>
      </c>
      <c r="AW133" s="648">
        <f t="shared" si="652"/>
        <v>336.23099999999999</v>
      </c>
      <c r="AY133" s="609">
        <f t="shared" ref="AY133" si="659">+AY17</f>
        <v>91.772000000000006</v>
      </c>
      <c r="AZ133" s="610">
        <f t="shared" si="652"/>
        <v>96.182000000000002</v>
      </c>
      <c r="BA133" s="610">
        <f t="shared" si="652"/>
        <v>99.182000000000002</v>
      </c>
      <c r="BB133" s="608">
        <f t="shared" si="652"/>
        <v>114.264</v>
      </c>
      <c r="BC133" s="648">
        <f t="shared" si="652"/>
        <v>401.40000000000003</v>
      </c>
      <c r="BE133" s="609">
        <f t="shared" ref="BE133" si="660">+BE17</f>
        <v>123.994</v>
      </c>
      <c r="BF133" s="610">
        <f t="shared" si="652"/>
        <v>124.48</v>
      </c>
      <c r="BG133" s="610">
        <f t="shared" si="652"/>
        <v>125.809</v>
      </c>
      <c r="BH133" s="608">
        <f t="shared" si="652"/>
        <v>129.92699999999999</v>
      </c>
      <c r="BI133" s="648">
        <f t="shared" si="652"/>
        <v>504.21000000000004</v>
      </c>
      <c r="BK133" s="609">
        <f t="shared" ref="BK133:BL133" si="661">+BK17</f>
        <v>140</v>
      </c>
      <c r="BL133" s="610">
        <f t="shared" si="661"/>
        <v>130.4</v>
      </c>
      <c r="BM133" s="610">
        <f t="shared" si="652"/>
        <v>133.74</v>
      </c>
      <c r="BN133" s="608">
        <f t="shared" si="652"/>
        <v>135.04</v>
      </c>
      <c r="BO133" s="648">
        <f t="shared" si="652"/>
        <v>539.17999999999995</v>
      </c>
      <c r="BQ133" s="609">
        <f t="shared" ref="BQ133" si="662">+BQ17</f>
        <v>137</v>
      </c>
      <c r="BR133" s="610">
        <f t="shared" si="652"/>
        <v>158.086433958013</v>
      </c>
      <c r="BS133" s="610">
        <f t="shared" si="652"/>
        <v>159.12113807493611</v>
      </c>
      <c r="BT133" s="608">
        <f t="shared" si="652"/>
        <v>163.86203479840609</v>
      </c>
      <c r="BU133" s="648">
        <f t="shared" ref="BU133:CG133" si="663">+BU17</f>
        <v>618.06960683135515</v>
      </c>
      <c r="BW133" s="609">
        <f t="shared" ref="BW133" si="664">+BW17</f>
        <v>152.01077341735996</v>
      </c>
      <c r="BX133" s="610">
        <f t="shared" si="663"/>
        <v>173.1745224817798</v>
      </c>
      <c r="BY133" s="610">
        <f t="shared" si="663"/>
        <v>173.3265109490973</v>
      </c>
      <c r="BZ133" s="608">
        <f t="shared" si="663"/>
        <v>178.05862758937491</v>
      </c>
      <c r="CA133" s="648">
        <f t="shared" si="663"/>
        <v>676.57043443761199</v>
      </c>
      <c r="CC133" s="609">
        <f t="shared" ref="CC133" si="665">+CC17</f>
        <v>166.48657537949333</v>
      </c>
      <c r="CD133" s="610">
        <f t="shared" si="663"/>
        <v>189.97167090506403</v>
      </c>
      <c r="CE133" s="610">
        <f t="shared" si="663"/>
        <v>190.07433169463329</v>
      </c>
      <c r="CF133" s="608">
        <f t="shared" si="663"/>
        <v>195.52028052059458</v>
      </c>
      <c r="CG133" s="648">
        <f t="shared" si="663"/>
        <v>742.05285849978532</v>
      </c>
      <c r="CI133" s="609">
        <f t="shared" ref="CI133:CS133" si="666">+CI17</f>
        <v>182.7944815219482</v>
      </c>
      <c r="CJ133" s="610">
        <f t="shared" si="666"/>
        <v>208.69442275204747</v>
      </c>
      <c r="CK133" s="610">
        <f t="shared" si="666"/>
        <v>208.67662388235928</v>
      </c>
      <c r="CL133" s="608">
        <f t="shared" si="666"/>
        <v>215.16899747143384</v>
      </c>
      <c r="CM133" s="648">
        <f t="shared" si="666"/>
        <v>815.33452562778882</v>
      </c>
      <c r="CO133" s="609">
        <f t="shared" si="666"/>
        <v>199.83591890441886</v>
      </c>
      <c r="CP133" s="610">
        <f t="shared" si="666"/>
        <v>229.31913061607207</v>
      </c>
      <c r="CQ133" s="610">
        <f t="shared" si="666"/>
        <v>230.11820056577602</v>
      </c>
      <c r="CR133" s="608">
        <f t="shared" si="666"/>
        <v>237.53937785922992</v>
      </c>
      <c r="CS133" s="648">
        <f t="shared" si="666"/>
        <v>896.81262794549684</v>
      </c>
      <c r="CW133"/>
      <c r="CX133"/>
      <c r="CY133"/>
      <c r="CZ133"/>
      <c r="DA133"/>
      <c r="DB133"/>
    </row>
    <row r="134" spans="1:116" s="1357" customFormat="1">
      <c r="A134" s="2536" t="s">
        <v>788</v>
      </c>
      <c r="C134" s="2490">
        <f>+C133/C$9</f>
        <v>0.22115038115038113</v>
      </c>
      <c r="D134" s="2491">
        <f t="shared" ref="D134:G138" si="667">+D133/D$9</f>
        <v>0.21510616904240848</v>
      </c>
      <c r="E134" s="2491">
        <f t="shared" si="667"/>
        <v>0.20257409496461901</v>
      </c>
      <c r="F134" s="2491">
        <f t="shared" si="667"/>
        <v>0.17805761784661286</v>
      </c>
      <c r="G134" s="2492">
        <f t="shared" si="667"/>
        <v>0.20158997161933373</v>
      </c>
      <c r="I134" s="2490">
        <f>+I133/I$9</f>
        <v>0.16874964098440026</v>
      </c>
      <c r="J134" s="2491">
        <f t="shared" ref="J134:M138" si="668">+J133/J$9</f>
        <v>0.16759525457100666</v>
      </c>
      <c r="K134" s="2491">
        <f t="shared" si="668"/>
        <v>0.17937574870224945</v>
      </c>
      <c r="L134" s="2491">
        <f t="shared" si="668"/>
        <v>0.17040024358870778</v>
      </c>
      <c r="M134" s="2492">
        <f t="shared" si="668"/>
        <v>0.17171616729905356</v>
      </c>
      <c r="O134" s="2490">
        <f>+O133/O$9</f>
        <v>0.17982347653492761</v>
      </c>
      <c r="P134" s="2491">
        <f t="shared" ref="P134:S138" si="669">+P133/P$9</f>
        <v>0.19919204667074975</v>
      </c>
      <c r="Q134" s="2491">
        <f t="shared" si="669"/>
        <v>0.2114612275827229</v>
      </c>
      <c r="R134" s="2491">
        <f t="shared" si="669"/>
        <v>0.21847655125052623</v>
      </c>
      <c r="S134" s="2492">
        <f t="shared" si="669"/>
        <v>0.20251559301480959</v>
      </c>
      <c r="U134" s="2490">
        <f>+U133/U$9</f>
        <v>0.22253566576970921</v>
      </c>
      <c r="V134" s="2491">
        <f t="shared" ref="V134:Y138" si="670">+V133/V$9</f>
        <v>0.20163865605675393</v>
      </c>
      <c r="W134" s="2491">
        <f t="shared" si="670"/>
        <v>0.18492766814575093</v>
      </c>
      <c r="X134" s="2491">
        <f t="shared" si="670"/>
        <v>0.17176939739301481</v>
      </c>
      <c r="Y134" s="2492">
        <f t="shared" si="670"/>
        <v>0.19304761830912742</v>
      </c>
      <c r="AA134" s="2490">
        <f>+AA133/AA$9</f>
        <v>0.1726067642426066</v>
      </c>
      <c r="AB134" s="2491">
        <f t="shared" ref="AB134:AE138" si="671">+AB133/AB$9</f>
        <v>0.17027656983823275</v>
      </c>
      <c r="AC134" s="2491">
        <f t="shared" si="671"/>
        <v>0.21071851685145163</v>
      </c>
      <c r="AD134" s="2491">
        <f t="shared" si="671"/>
        <v>0.17906914436300092</v>
      </c>
      <c r="AE134" s="2492">
        <f t="shared" si="671"/>
        <v>0.18200628117494921</v>
      </c>
      <c r="AG134" s="2490">
        <f>+AG133/AG$9</f>
        <v>0.17636470286321809</v>
      </c>
      <c r="AH134" s="2491">
        <f t="shared" ref="AH134:AK138" si="672">+AH133/AH$9</f>
        <v>0.17481032190928952</v>
      </c>
      <c r="AI134" s="2491">
        <f t="shared" si="672"/>
        <v>0.18645277289994891</v>
      </c>
      <c r="AJ134" s="2491">
        <f t="shared" si="672"/>
        <v>0.18012384201251352</v>
      </c>
      <c r="AK134" s="2492">
        <f t="shared" si="672"/>
        <v>0.17950816531942085</v>
      </c>
      <c r="AM134" s="2490">
        <f>+AM133/AM$9</f>
        <v>0.18419557768659467</v>
      </c>
      <c r="AN134" s="2491">
        <f t="shared" ref="AN134:AQ138" si="673">+AN133/AN$9</f>
        <v>0.19581963281651807</v>
      </c>
      <c r="AO134" s="2491">
        <f t="shared" si="673"/>
        <v>0.19857062780269055</v>
      </c>
      <c r="AP134" s="2491">
        <f t="shared" si="673"/>
        <v>0.19780753164001383</v>
      </c>
      <c r="AQ134" s="2492">
        <f t="shared" si="673"/>
        <v>0.19434511370145047</v>
      </c>
      <c r="AS134" s="2490">
        <f>+AS133/AS$9</f>
        <v>0.18289086246764943</v>
      </c>
      <c r="AT134" s="2491">
        <f t="shared" ref="AT134:AW138" si="674">+AT133/AT$9</f>
        <v>0.18430495477782149</v>
      </c>
      <c r="AU134" s="2491">
        <f t="shared" si="674"/>
        <v>0.17598984665959261</v>
      </c>
      <c r="AV134" s="2491">
        <f t="shared" si="674"/>
        <v>0.17994297190165873</v>
      </c>
      <c r="AW134" s="2492">
        <f t="shared" si="674"/>
        <v>0.18063747006218042</v>
      </c>
      <c r="AY134" s="2490">
        <f>+AY133/AY$9</f>
        <v>0.17040097295591061</v>
      </c>
      <c r="AZ134" s="2491">
        <f t="shared" ref="AZ134:BC138" si="675">+AZ133/AZ$9</f>
        <v>0.17832021328270714</v>
      </c>
      <c r="BA134" s="2491">
        <f t="shared" si="675"/>
        <v>0.18024209889309087</v>
      </c>
      <c r="BB134" s="2491">
        <f t="shared" si="675"/>
        <v>0.1931609945431309</v>
      </c>
      <c r="BC134" s="2492">
        <f t="shared" si="675"/>
        <v>0.18083019711122186</v>
      </c>
      <c r="BE134" s="2490">
        <f>+BE133/BE$9</f>
        <v>0.21686258117436769</v>
      </c>
      <c r="BF134" s="2491">
        <f t="shared" ref="BF134:BG138" si="676">+BF133/BF$9</f>
        <v>0.20742379908152314</v>
      </c>
      <c r="BG134" s="2491">
        <f t="shared" si="676"/>
        <v>0.20721613996135974</v>
      </c>
      <c r="BH134" s="2491">
        <f>+BH133/BH$9</f>
        <v>0.20978062378601978</v>
      </c>
      <c r="BI134" s="2492">
        <f t="shared" ref="BI134:BI138" si="677">+BI133/BI$9</f>
        <v>0.21023001843332956</v>
      </c>
      <c r="BJ134" s="2538"/>
      <c r="BK134" s="2490">
        <f>+BK133/BK$9</f>
        <v>0.23411371237458195</v>
      </c>
      <c r="BL134" s="2491">
        <f t="shared" ref="BL134" si="678">+BL133/BL$9</f>
        <v>0.19685990338164253</v>
      </c>
      <c r="BM134" s="2491">
        <f t="shared" ref="BM134:BO138" si="679">+BM133/BM$9</f>
        <v>0.18731092436974792</v>
      </c>
      <c r="BN134" s="2491">
        <f t="shared" si="679"/>
        <v>0.17364022116497363</v>
      </c>
      <c r="BO134" s="2492">
        <f t="shared" si="679"/>
        <v>0.19591584608117432</v>
      </c>
      <c r="BP134" s="2538"/>
      <c r="BQ134" s="2490">
        <f t="shared" ref="BQ134:BU138" si="680">+BQ133/BQ$9</f>
        <v>0.17519181585677748</v>
      </c>
      <c r="BR134" s="2491">
        <f t="shared" si="680"/>
        <v>0.2</v>
      </c>
      <c r="BS134" s="2491">
        <f t="shared" si="680"/>
        <v>0.19750000000000001</v>
      </c>
      <c r="BT134" s="2491">
        <f t="shared" si="680"/>
        <v>0.19500000000000001</v>
      </c>
      <c r="BU134" s="2492">
        <f t="shared" si="680"/>
        <v>0.19204089988951423</v>
      </c>
      <c r="BV134" s="2538"/>
      <c r="BW134" s="2490">
        <f t="shared" ref="BW134:CA138" si="681">+BW133/BW$9</f>
        <v>0.17419181585677748</v>
      </c>
      <c r="BX134" s="2491">
        <f t="shared" si="681"/>
        <v>0.19900000000000001</v>
      </c>
      <c r="BY134" s="2491">
        <f t="shared" si="681"/>
        <v>0.19650000000000001</v>
      </c>
      <c r="BZ134" s="2491">
        <f t="shared" si="681"/>
        <v>0.19400000000000001</v>
      </c>
      <c r="CA134" s="2492">
        <f t="shared" si="681"/>
        <v>0.19097142629354141</v>
      </c>
      <c r="CB134" s="2538"/>
      <c r="CC134" s="2490">
        <f t="shared" ref="CC134:CG138" si="682">+CC133/CC$9</f>
        <v>0.17319181585677748</v>
      </c>
      <c r="CD134" s="2491">
        <f t="shared" si="682"/>
        <v>0.19800000000000001</v>
      </c>
      <c r="CE134" s="2491">
        <f t="shared" si="682"/>
        <v>0.19550000000000001</v>
      </c>
      <c r="CF134" s="2491">
        <f t="shared" si="682"/>
        <v>0.193</v>
      </c>
      <c r="CG134" s="2492">
        <f t="shared" si="682"/>
        <v>0.1899756055962698</v>
      </c>
      <c r="CH134" s="2538"/>
      <c r="CI134" s="2490">
        <f t="shared" ref="CI134:CM134" si="683">+CI133/CI$9</f>
        <v>0.17219181585677748</v>
      </c>
      <c r="CJ134" s="2491">
        <f t="shared" si="683"/>
        <v>0.19700000000000001</v>
      </c>
      <c r="CK134" s="2491">
        <f t="shared" si="683"/>
        <v>0.19450000000000001</v>
      </c>
      <c r="CL134" s="2491">
        <f t="shared" si="683"/>
        <v>0.192</v>
      </c>
      <c r="CM134" s="2492">
        <f t="shared" si="683"/>
        <v>0.18897558318813951</v>
      </c>
      <c r="CN134" s="2538"/>
      <c r="CO134" s="2490">
        <f t="shared" ref="CO134:CS134" si="684">+CO133/CO$9</f>
        <v>0.17119181585677748</v>
      </c>
      <c r="CP134" s="2491">
        <f t="shared" si="684"/>
        <v>0.19600000000000001</v>
      </c>
      <c r="CQ134" s="2491">
        <f t="shared" si="684"/>
        <v>0.19350000000000001</v>
      </c>
      <c r="CR134" s="2491">
        <f t="shared" si="684"/>
        <v>0.191</v>
      </c>
      <c r="CS134" s="2492">
        <f t="shared" si="684"/>
        <v>0.18800235190016176</v>
      </c>
      <c r="CW134"/>
      <c r="CX134"/>
      <c r="CY134"/>
      <c r="CZ134"/>
      <c r="DA134"/>
      <c r="DB134"/>
    </row>
    <row r="135" spans="1:116" s="1357" customFormat="1">
      <c r="A135" s="2537" t="s">
        <v>5</v>
      </c>
      <c r="C135" s="609">
        <f>+C18</f>
        <v>23.632999999999999</v>
      </c>
      <c r="D135" s="610">
        <f t="shared" ref="D135:G135" si="685">+D18</f>
        <v>23.297000000000001</v>
      </c>
      <c r="E135" s="610">
        <f t="shared" si="685"/>
        <v>24.306999999999999</v>
      </c>
      <c r="F135" s="608">
        <f t="shared" si="685"/>
        <v>30.019000000000005</v>
      </c>
      <c r="G135" s="648">
        <f t="shared" si="685"/>
        <v>101.256</v>
      </c>
      <c r="I135" s="609">
        <f t="shared" ref="I135:BT135" si="686">+I18</f>
        <v>33.826999999999998</v>
      </c>
      <c r="J135" s="610">
        <f t="shared" si="686"/>
        <v>35.616</v>
      </c>
      <c r="K135" s="610">
        <f t="shared" si="686"/>
        <v>39.365000000000002</v>
      </c>
      <c r="L135" s="608">
        <f t="shared" si="686"/>
        <v>39.206000000000017</v>
      </c>
      <c r="M135" s="648">
        <f t="shared" si="686"/>
        <v>148.01400000000001</v>
      </c>
      <c r="O135" s="609">
        <f t="shared" ref="O135" si="687">+O18</f>
        <v>42.831000000000003</v>
      </c>
      <c r="P135" s="610">
        <f t="shared" si="686"/>
        <v>41.939</v>
      </c>
      <c r="Q135" s="610">
        <f t="shared" si="686"/>
        <v>42.095999999999997</v>
      </c>
      <c r="R135" s="608">
        <f t="shared" si="686"/>
        <v>49.470999999999975</v>
      </c>
      <c r="S135" s="648">
        <f t="shared" si="686"/>
        <v>176.33699999999999</v>
      </c>
      <c r="U135" s="609">
        <f t="shared" ref="U135" si="688">+U18</f>
        <v>50.277999999999999</v>
      </c>
      <c r="V135" s="610">
        <f t="shared" si="686"/>
        <v>53.134999999999998</v>
      </c>
      <c r="W135" s="610">
        <f t="shared" si="686"/>
        <v>55.006</v>
      </c>
      <c r="X135" s="608">
        <f t="shared" si="686"/>
        <v>62.035000000000025</v>
      </c>
      <c r="Y135" s="648">
        <f t="shared" si="686"/>
        <v>220.45400000000001</v>
      </c>
      <c r="AA135" s="609">
        <f t="shared" ref="AA135" si="689">+AA18</f>
        <v>64.972999999999999</v>
      </c>
      <c r="AB135" s="610">
        <f t="shared" si="686"/>
        <v>68.088999999999999</v>
      </c>
      <c r="AC135" s="610">
        <f t="shared" si="686"/>
        <v>66.158000000000001</v>
      </c>
      <c r="AD135" s="608">
        <f t="shared" si="686"/>
        <v>63.067000000000007</v>
      </c>
      <c r="AE135" s="648">
        <f t="shared" si="686"/>
        <v>262.28700000000003</v>
      </c>
      <c r="AG135" s="609">
        <f t="shared" ref="AG135" si="690">+AG18</f>
        <v>65.456999999999994</v>
      </c>
      <c r="AH135" s="610">
        <f t="shared" si="686"/>
        <v>68.88000000000001</v>
      </c>
      <c r="AI135" s="610">
        <f t="shared" si="686"/>
        <v>68.896999999999991</v>
      </c>
      <c r="AJ135" s="608">
        <f t="shared" si="686"/>
        <v>75.637</v>
      </c>
      <c r="AK135" s="648">
        <f t="shared" si="686"/>
        <v>278.87099999999998</v>
      </c>
      <c r="AM135" s="609">
        <f t="shared" ref="AM135" si="691">+AM18</f>
        <v>80.563999999999993</v>
      </c>
      <c r="AN135" s="610">
        <f t="shared" si="686"/>
        <v>84.052999999999997</v>
      </c>
      <c r="AO135" s="610">
        <f t="shared" si="686"/>
        <v>89.69</v>
      </c>
      <c r="AP135" s="608">
        <f t="shared" si="686"/>
        <v>102.58500000000001</v>
      </c>
      <c r="AQ135" s="648">
        <f t="shared" si="686"/>
        <v>356.892</v>
      </c>
      <c r="AS135" s="609">
        <f t="shared" ref="AS135" si="692">+AS18</f>
        <v>103.16099999999999</v>
      </c>
      <c r="AT135" s="610">
        <f t="shared" si="686"/>
        <v>112.687</v>
      </c>
      <c r="AU135" s="610">
        <f t="shared" si="686"/>
        <v>118.301</v>
      </c>
      <c r="AV135" s="608">
        <f t="shared" si="686"/>
        <v>120.586</v>
      </c>
      <c r="AW135" s="648">
        <f t="shared" si="686"/>
        <v>454.73500000000001</v>
      </c>
      <c r="AY135" s="609">
        <f t="shared" ref="AY135" si="693">+AY18</f>
        <v>114.815</v>
      </c>
      <c r="AZ135" s="610">
        <f t="shared" si="686"/>
        <v>123.053</v>
      </c>
      <c r="BA135" s="610">
        <f t="shared" si="686"/>
        <v>134.83699999999999</v>
      </c>
      <c r="BB135" s="608">
        <f t="shared" si="686"/>
        <v>145.126</v>
      </c>
      <c r="BC135" s="648">
        <f t="shared" si="686"/>
        <v>517.83100000000002</v>
      </c>
      <c r="BE135" s="609">
        <f t="shared" ref="BE135" si="694">+BE18</f>
        <v>147.00299999999999</v>
      </c>
      <c r="BF135" s="610">
        <f t="shared" si="686"/>
        <v>146.387</v>
      </c>
      <c r="BG135" s="610">
        <f t="shared" si="686"/>
        <v>137.1</v>
      </c>
      <c r="BH135" s="608">
        <f t="shared" si="686"/>
        <v>144.86700000000002</v>
      </c>
      <c r="BI135" s="648">
        <f t="shared" si="686"/>
        <v>575.35699999999997</v>
      </c>
      <c r="BK135" s="609">
        <f t="shared" ref="BK135:BL135" si="695">+BK18</f>
        <v>152</v>
      </c>
      <c r="BL135" s="610">
        <f t="shared" si="695"/>
        <v>166.6</v>
      </c>
      <c r="BM135" s="610">
        <f t="shared" si="686"/>
        <v>165.94</v>
      </c>
      <c r="BN135" s="608">
        <f t="shared" si="686"/>
        <v>172.24</v>
      </c>
      <c r="BO135" s="648">
        <f t="shared" si="686"/>
        <v>656.78</v>
      </c>
      <c r="BQ135" s="609">
        <f t="shared" ref="BQ135" si="696">+BQ18</f>
        <v>179</v>
      </c>
      <c r="BR135" s="610">
        <f t="shared" si="686"/>
        <v>197.60804244751625</v>
      </c>
      <c r="BS135" s="610">
        <f t="shared" si="686"/>
        <v>199.40497049897056</v>
      </c>
      <c r="BT135" s="608">
        <f t="shared" si="686"/>
        <v>205.87794115697173</v>
      </c>
      <c r="BU135" s="648">
        <f t="shared" ref="BU135:CG135" si="697">+BU18</f>
        <v>781.89095410345851</v>
      </c>
      <c r="BW135" s="609">
        <f t="shared" ref="BW135" si="698">+BW18</f>
        <v>200.62547436109625</v>
      </c>
      <c r="BX135" s="610">
        <f t="shared" si="697"/>
        <v>216.68570903499079</v>
      </c>
      <c r="BY135" s="610">
        <f t="shared" si="697"/>
        <v>217.42994884963096</v>
      </c>
      <c r="BZ135" s="608">
        <f t="shared" si="697"/>
        <v>223.95002645261584</v>
      </c>
      <c r="CA135" s="648">
        <f t="shared" si="697"/>
        <v>858.69115869833377</v>
      </c>
      <c r="CC135" s="609">
        <f t="shared" ref="CC135" si="699">+CC18</f>
        <v>221.96079326636078</v>
      </c>
      <c r="CD135" s="610">
        <f t="shared" si="697"/>
        <v>237.94431507300948</v>
      </c>
      <c r="CE135" s="610">
        <f t="shared" si="697"/>
        <v>238.68669274185407</v>
      </c>
      <c r="CF135" s="608">
        <f t="shared" si="697"/>
        <v>246.17320293525637</v>
      </c>
      <c r="CG135" s="648">
        <f t="shared" si="697"/>
        <v>944.76500401648059</v>
      </c>
      <c r="CI135" s="609">
        <f t="shared" ref="CI135:CS135" si="700">+CI18</f>
        <v>246.17945286496663</v>
      </c>
      <c r="CJ135" s="610">
        <f t="shared" si="700"/>
        <v>261.66255035408994</v>
      </c>
      <c r="CK135" s="610">
        <f t="shared" si="700"/>
        <v>262.32100020173186</v>
      </c>
      <c r="CL135" s="608">
        <f t="shared" si="700"/>
        <v>271.20259056295305</v>
      </c>
      <c r="CM135" s="648">
        <f t="shared" si="700"/>
        <v>1041.3655939837415</v>
      </c>
      <c r="CO135" s="609">
        <f t="shared" si="700"/>
        <v>271.86951893020199</v>
      </c>
      <c r="CP135" s="610">
        <f t="shared" si="700"/>
        <v>287.81890883445783</v>
      </c>
      <c r="CQ135" s="610">
        <f t="shared" si="700"/>
        <v>289.58026789543391</v>
      </c>
      <c r="CR135" s="608">
        <f t="shared" si="700"/>
        <v>299.72246106845239</v>
      </c>
      <c r="CS135" s="648">
        <f t="shared" si="700"/>
        <v>1148.9911567285462</v>
      </c>
      <c r="CW135"/>
      <c r="CX135"/>
      <c r="CY135"/>
      <c r="CZ135"/>
      <c r="DA135"/>
      <c r="DB135"/>
    </row>
    <row r="136" spans="1:116" s="1357" customFormat="1">
      <c r="A136" s="2536" t="s">
        <v>788</v>
      </c>
      <c r="C136" s="2490">
        <f>+C135/C$9</f>
        <v>0.3275537075537075</v>
      </c>
      <c r="D136" s="2491">
        <f t="shared" si="667"/>
        <v>0.27558999231087716</v>
      </c>
      <c r="E136" s="2491">
        <f t="shared" si="667"/>
        <v>0.2492769972310532</v>
      </c>
      <c r="F136" s="2491">
        <f t="shared" si="667"/>
        <v>0.26658910873503605</v>
      </c>
      <c r="G136" s="2492">
        <f t="shared" si="667"/>
        <v>0.27605309720037402</v>
      </c>
      <c r="I136" s="2490">
        <f>+I135/I$9</f>
        <v>0.27758675868407445</v>
      </c>
      <c r="J136" s="2491">
        <f t="shared" si="668"/>
        <v>0.25407877183846139</v>
      </c>
      <c r="K136" s="2491">
        <f t="shared" si="668"/>
        <v>0.26197923599094908</v>
      </c>
      <c r="L136" s="2491">
        <f t="shared" si="668"/>
        <v>0.24362599190937514</v>
      </c>
      <c r="M136" s="2492">
        <f t="shared" si="668"/>
        <v>0.2582127436870339</v>
      </c>
      <c r="O136" s="2490">
        <f>+O135/O$9</f>
        <v>0.25839632715360439</v>
      </c>
      <c r="P136" s="2491">
        <f t="shared" si="669"/>
        <v>0.25945447684093959</v>
      </c>
      <c r="Q136" s="2491">
        <f t="shared" si="669"/>
        <v>0.26582470320788071</v>
      </c>
      <c r="R136" s="2491">
        <f t="shared" si="669"/>
        <v>0.27398041691588571</v>
      </c>
      <c r="S136" s="2492">
        <f t="shared" si="669"/>
        <v>0.2646415257442325</v>
      </c>
      <c r="U136" s="2490">
        <f>+U135/U$9</f>
        <v>0.26168603713091587</v>
      </c>
      <c r="V136" s="2491">
        <f t="shared" si="670"/>
        <v>0.25063324575595625</v>
      </c>
      <c r="W136" s="2491">
        <f t="shared" si="670"/>
        <v>0.23179061898200237</v>
      </c>
      <c r="X136" s="2491">
        <f t="shared" si="670"/>
        <v>0.23741092545675826</v>
      </c>
      <c r="Y136" s="2492">
        <f t="shared" si="670"/>
        <v>0.24420514854205139</v>
      </c>
      <c r="AA136" s="2490">
        <f>+AA135/AA$9</f>
        <v>0.22998070898890324</v>
      </c>
      <c r="AB136" s="2491">
        <f t="shared" si="671"/>
        <v>0.23687249956514178</v>
      </c>
      <c r="AC136" s="2491">
        <f t="shared" si="671"/>
        <v>0.28092688291670032</v>
      </c>
      <c r="AD136" s="2491">
        <f t="shared" si="671"/>
        <v>0.25219637622915098</v>
      </c>
      <c r="AE136" s="2492">
        <f t="shared" si="671"/>
        <v>0.24848726001506352</v>
      </c>
      <c r="AG136" s="2490">
        <f>+AG135/AG$9</f>
        <v>0.23997140447996479</v>
      </c>
      <c r="AH136" s="2491">
        <f t="shared" si="672"/>
        <v>0.24546786074474269</v>
      </c>
      <c r="AI136" s="2491">
        <f t="shared" si="672"/>
        <v>0.24100477832891409</v>
      </c>
      <c r="AJ136" s="2491">
        <f t="shared" si="672"/>
        <v>0.24457019061322816</v>
      </c>
      <c r="AK136" s="2492">
        <f t="shared" si="672"/>
        <v>0.24280985201773417</v>
      </c>
      <c r="AM136" s="2490">
        <f>+AM135/AM$9</f>
        <v>0.24342665836752694</v>
      </c>
      <c r="AN136" s="2491">
        <f t="shared" si="673"/>
        <v>0.24286176587863412</v>
      </c>
      <c r="AO136" s="2491">
        <f t="shared" si="673"/>
        <v>0.25137331838565019</v>
      </c>
      <c r="AP136" s="2491">
        <f t="shared" si="673"/>
        <v>0.26485441204566695</v>
      </c>
      <c r="AQ136" s="2492">
        <f t="shared" si="673"/>
        <v>0.25112406749893396</v>
      </c>
      <c r="AS136" s="2490">
        <f>+AS135/AS$9</f>
        <v>0.24516553741732633</v>
      </c>
      <c r="AT136" s="2491">
        <f t="shared" si="674"/>
        <v>0.2517762663997426</v>
      </c>
      <c r="AU136" s="2491">
        <f t="shared" si="674"/>
        <v>0.24613736137985562</v>
      </c>
      <c r="AV136" s="2491">
        <f t="shared" si="674"/>
        <v>0.23534532055373072</v>
      </c>
      <c r="AW136" s="2492">
        <f t="shared" si="674"/>
        <v>0.24430281547128499</v>
      </c>
      <c r="AY136" s="2490">
        <f>+AY135/AY$9</f>
        <v>0.21318689480378411</v>
      </c>
      <c r="AZ136" s="2491">
        <f t="shared" si="675"/>
        <v>0.22813870791912169</v>
      </c>
      <c r="BA136" s="2491">
        <f t="shared" si="675"/>
        <v>0.24503744518609921</v>
      </c>
      <c r="BB136" s="2491">
        <f t="shared" si="675"/>
        <v>0.24533258501423386</v>
      </c>
      <c r="BC136" s="2492">
        <f t="shared" si="675"/>
        <v>0.23328221674215527</v>
      </c>
      <c r="BE136" s="2490">
        <f>+BE135/BE$9</f>
        <v>0.25710477942783982</v>
      </c>
      <c r="BF136" s="2491">
        <f t="shared" si="676"/>
        <v>0.24392792156287699</v>
      </c>
      <c r="BG136" s="2491">
        <f t="shared" si="676"/>
        <v>0.22581319928385427</v>
      </c>
      <c r="BH136" s="2491">
        <f>+BH135/BH$9</f>
        <v>0.23390280408236422</v>
      </c>
      <c r="BI136" s="2492">
        <f t="shared" si="677"/>
        <v>0.239894711956814</v>
      </c>
      <c r="BJ136" s="2538"/>
      <c r="BK136" s="2490">
        <f>+BK135/BK$9</f>
        <v>0.25418060200668896</v>
      </c>
      <c r="BL136" s="2491">
        <f t="shared" ref="BL136" si="701">+BL135/BL$9</f>
        <v>0.2515096618357488</v>
      </c>
      <c r="BM136" s="2491">
        <f t="shared" si="679"/>
        <v>0.23240896358543417</v>
      </c>
      <c r="BN136" s="2491">
        <f t="shared" si="679"/>
        <v>0.22147357592902148</v>
      </c>
      <c r="BO136" s="2492">
        <f t="shared" si="679"/>
        <v>0.2386468514952218</v>
      </c>
      <c r="BP136" s="2538"/>
      <c r="BQ136" s="2490">
        <f t="shared" si="680"/>
        <v>0.2289002557544757</v>
      </c>
      <c r="BR136" s="2491">
        <f t="shared" si="680"/>
        <v>0.25</v>
      </c>
      <c r="BS136" s="2491">
        <f t="shared" si="680"/>
        <v>0.2475</v>
      </c>
      <c r="BT136" s="2491">
        <f t="shared" si="680"/>
        <v>0.245</v>
      </c>
      <c r="BU136" s="2492">
        <f t="shared" si="680"/>
        <v>0.24294196119963873</v>
      </c>
      <c r="BV136" s="2538"/>
      <c r="BW136" s="2490">
        <f t="shared" si="681"/>
        <v>0.2299002557544757</v>
      </c>
      <c r="BX136" s="2491">
        <f t="shared" si="681"/>
        <v>0.249</v>
      </c>
      <c r="BY136" s="2491">
        <f t="shared" si="681"/>
        <v>0.2465</v>
      </c>
      <c r="BZ136" s="2491">
        <f t="shared" si="681"/>
        <v>0.24399999999999999</v>
      </c>
      <c r="CA136" s="2492">
        <f t="shared" si="681"/>
        <v>0.24237753672843351</v>
      </c>
      <c r="CB136" s="2538"/>
      <c r="CC136" s="2490">
        <f t="shared" si="682"/>
        <v>0.2309002557544757</v>
      </c>
      <c r="CD136" s="2491">
        <f t="shared" si="682"/>
        <v>0.248</v>
      </c>
      <c r="CE136" s="2491">
        <f t="shared" si="682"/>
        <v>0.2455</v>
      </c>
      <c r="CF136" s="2491">
        <f t="shared" si="682"/>
        <v>0.24299999999999999</v>
      </c>
      <c r="CG136" s="2492">
        <f t="shared" si="682"/>
        <v>0.24187266678960592</v>
      </c>
      <c r="CH136" s="2538"/>
      <c r="CI136" s="2490">
        <f t="shared" ref="CI136:CM136" si="702">+CI135/CI$9</f>
        <v>0.2319002557544757</v>
      </c>
      <c r="CJ136" s="2491">
        <f t="shared" si="702"/>
        <v>0.247</v>
      </c>
      <c r="CK136" s="2491">
        <f t="shared" si="702"/>
        <v>0.24450000000000002</v>
      </c>
      <c r="CL136" s="2491">
        <f t="shared" si="702"/>
        <v>0.24199999999999997</v>
      </c>
      <c r="CM136" s="2492">
        <f t="shared" si="702"/>
        <v>0.2413643286890311</v>
      </c>
      <c r="CN136" s="2538"/>
      <c r="CO136" s="2490">
        <f t="shared" ref="CO136:CS136" si="703">+CO135/CO$9</f>
        <v>0.2329002557544757</v>
      </c>
      <c r="CP136" s="2491">
        <f t="shared" si="703"/>
        <v>0.24600000000000002</v>
      </c>
      <c r="CQ136" s="2491">
        <f t="shared" si="703"/>
        <v>0.24349999999999999</v>
      </c>
      <c r="CR136" s="2491">
        <f t="shared" si="703"/>
        <v>0.24099999999999999</v>
      </c>
      <c r="CS136" s="2492">
        <f t="shared" si="703"/>
        <v>0.24086752689055813</v>
      </c>
      <c r="CW136"/>
      <c r="CX136"/>
      <c r="CY136"/>
      <c r="CZ136"/>
      <c r="DA136"/>
      <c r="DB136"/>
    </row>
    <row r="137" spans="1:116" s="1357" customFormat="1">
      <c r="A137" s="2537" t="s">
        <v>812</v>
      </c>
      <c r="C137" s="2586">
        <f>+C20</f>
        <v>8.257000000000005</v>
      </c>
      <c r="D137" s="2581">
        <f t="shared" ref="D137:G137" si="704">+D20</f>
        <v>13.038999999999994</v>
      </c>
      <c r="E137" s="2581">
        <f t="shared" si="704"/>
        <v>16.372</v>
      </c>
      <c r="F137" s="2581">
        <f t="shared" si="704"/>
        <v>22.438000000000017</v>
      </c>
      <c r="G137" s="2580">
        <f t="shared" si="704"/>
        <v>60.106000000000023</v>
      </c>
      <c r="I137" s="2586">
        <f t="shared" ref="I137:BT137" si="705">+I20</f>
        <v>21.389000000000003</v>
      </c>
      <c r="J137" s="2581">
        <f t="shared" si="705"/>
        <v>30.608999999999995</v>
      </c>
      <c r="K137" s="2581">
        <f t="shared" si="705"/>
        <v>29.511999999999986</v>
      </c>
      <c r="L137" s="2581">
        <f t="shared" si="705"/>
        <v>39.645000000000024</v>
      </c>
      <c r="M137" s="2580">
        <f t="shared" si="705"/>
        <v>121.155</v>
      </c>
      <c r="O137" s="2586">
        <f t="shared" ref="O137" si="706">+O20</f>
        <v>39.097000000000008</v>
      </c>
      <c r="P137" s="2581">
        <f t="shared" si="705"/>
        <v>38.691000000000003</v>
      </c>
      <c r="Q137" s="2581">
        <f t="shared" si="705"/>
        <v>33.213000000000022</v>
      </c>
      <c r="R137" s="2581">
        <f t="shared" si="705"/>
        <v>38.275999999999982</v>
      </c>
      <c r="S137" s="2580">
        <f t="shared" si="705"/>
        <v>149.27700000000004</v>
      </c>
      <c r="U137" s="2586">
        <f t="shared" ref="U137" si="707">+U20</f>
        <v>40.76400000000001</v>
      </c>
      <c r="V137" s="2581">
        <f t="shared" si="705"/>
        <v>51.802999999999997</v>
      </c>
      <c r="W137" s="2581">
        <f t="shared" si="705"/>
        <v>60.548999999999992</v>
      </c>
      <c r="X137" s="2581">
        <f t="shared" si="705"/>
        <v>61.502999999999986</v>
      </c>
      <c r="Y137" s="2580">
        <f t="shared" si="705"/>
        <v>214.61900000000003</v>
      </c>
      <c r="AA137" s="2586">
        <f t="shared" ref="AA137" si="708">+AA20</f>
        <v>77.288999999999987</v>
      </c>
      <c r="AB137" s="2581">
        <f t="shared" si="705"/>
        <v>79.355999999999995</v>
      </c>
      <c r="AC137" s="2581">
        <f t="shared" si="705"/>
        <v>44.367999999999995</v>
      </c>
      <c r="AD137" s="2581">
        <f t="shared" si="705"/>
        <v>65.774999999999949</v>
      </c>
      <c r="AE137" s="2580">
        <f t="shared" si="705"/>
        <v>266.78799999999978</v>
      </c>
      <c r="AG137" s="2586">
        <f t="shared" ref="AG137" si="709">+AG20</f>
        <v>72.712999999999994</v>
      </c>
      <c r="AH137" s="2581">
        <f t="shared" si="705"/>
        <v>78.903999999999954</v>
      </c>
      <c r="AI137" s="2581">
        <f t="shared" si="705"/>
        <v>77.262000000000029</v>
      </c>
      <c r="AJ137" s="2581">
        <f t="shared" si="705"/>
        <v>78.241000000000014</v>
      </c>
      <c r="AK137" s="2580">
        <f t="shared" si="705"/>
        <v>307.12000000000012</v>
      </c>
      <c r="AM137" s="2586">
        <f t="shared" ref="AM137" si="710">+AM20</f>
        <v>85.844000000000023</v>
      </c>
      <c r="AN137" s="2581">
        <f t="shared" si="705"/>
        <v>87.211000000000013</v>
      </c>
      <c r="AO137" s="2581">
        <f t="shared" si="705"/>
        <v>88.176000000000045</v>
      </c>
      <c r="AP137" s="2581">
        <f t="shared" si="705"/>
        <v>95.172000000000025</v>
      </c>
      <c r="AQ137" s="2580">
        <f t="shared" si="705"/>
        <v>356.40300000000013</v>
      </c>
      <c r="AS137" s="2586">
        <f t="shared" ref="AS137" si="711">+AS20</f>
        <v>113.55500000000001</v>
      </c>
      <c r="AT137" s="2581">
        <f t="shared" si="705"/>
        <v>119.726</v>
      </c>
      <c r="AU137" s="2581">
        <f t="shared" si="705"/>
        <v>145.91500000000002</v>
      </c>
      <c r="AV137" s="2581">
        <f t="shared" si="705"/>
        <v>154.52799999999999</v>
      </c>
      <c r="AW137" s="2580">
        <f t="shared" si="705"/>
        <v>533.72399999999959</v>
      </c>
      <c r="AY137" s="2586">
        <f t="shared" ref="AY137" si="712">+AY20</f>
        <v>179.82500000000005</v>
      </c>
      <c r="AZ137" s="2581">
        <f t="shared" si="705"/>
        <v>168.5139999999999</v>
      </c>
      <c r="BA137" s="2581">
        <f t="shared" si="705"/>
        <v>165.70799999999997</v>
      </c>
      <c r="BB137" s="2581">
        <f t="shared" si="705"/>
        <v>161.822</v>
      </c>
      <c r="BC137" s="2580">
        <f t="shared" si="705"/>
        <v>675.86899999999969</v>
      </c>
      <c r="BE137" s="2586">
        <f t="shared" ref="BE137" si="713">+BE20</f>
        <v>136.55300000000011</v>
      </c>
      <c r="BF137" s="2581">
        <f t="shared" si="705"/>
        <v>163.48700000000002</v>
      </c>
      <c r="BG137" s="2581">
        <f t="shared" si="705"/>
        <v>174.20100000000002</v>
      </c>
      <c r="BH137" s="2581">
        <f t="shared" si="705"/>
        <v>155.60400000000004</v>
      </c>
      <c r="BI137" s="2580">
        <f t="shared" si="705"/>
        <v>629.84500000000048</v>
      </c>
      <c r="BK137" s="2586">
        <f t="shared" ref="BK137:BL137" si="714">+BK20</f>
        <v>105</v>
      </c>
      <c r="BL137" s="2581">
        <f t="shared" si="714"/>
        <v>146.69999999999999</v>
      </c>
      <c r="BM137" s="2581">
        <f t="shared" si="705"/>
        <v>191.62</v>
      </c>
      <c r="BN137" s="2581">
        <f t="shared" si="705"/>
        <v>244.12000000000012</v>
      </c>
      <c r="BO137" s="2580">
        <f t="shared" si="705"/>
        <v>687.44000000000028</v>
      </c>
      <c r="BQ137" s="2586">
        <f t="shared" ref="BQ137" si="715">+BQ20</f>
        <v>230</v>
      </c>
      <c r="BR137" s="2581">
        <f t="shared" si="705"/>
        <v>187.93275572115658</v>
      </c>
      <c r="BS137" s="2581">
        <f t="shared" si="705"/>
        <v>195.84441653084184</v>
      </c>
      <c r="BT137" s="2581">
        <f t="shared" si="705"/>
        <v>208.58529242155095</v>
      </c>
      <c r="BU137" s="2580">
        <f t="shared" ref="BU137:CG137" si="716">+BU20</f>
        <v>822.36246467354977</v>
      </c>
      <c r="BW137" s="2586">
        <f t="shared" ref="BW137" si="717">+BW20</f>
        <v>252.09286495413642</v>
      </c>
      <c r="BX137" s="2581">
        <f t="shared" si="716"/>
        <v>203.92126569826451</v>
      </c>
      <c r="BY137" s="2581">
        <f t="shared" si="716"/>
        <v>211.926350607139</v>
      </c>
      <c r="BZ137" s="2581">
        <f t="shared" si="716"/>
        <v>224.68861136164696</v>
      </c>
      <c r="CA137" s="2580">
        <f t="shared" si="716"/>
        <v>892.62909262118751</v>
      </c>
      <c r="CC137" s="2586">
        <f t="shared" ref="CC137" si="718">+CC20</f>
        <v>275.03727002790799</v>
      </c>
      <c r="CD137" s="2581">
        <f t="shared" si="716"/>
        <v>222.80515168357977</v>
      </c>
      <c r="CE137" s="2581">
        <f t="shared" si="716"/>
        <v>231.66803053737885</v>
      </c>
      <c r="CF137" s="2581">
        <f t="shared" si="716"/>
        <v>245.77820689869918</v>
      </c>
      <c r="CG137" s="2580">
        <f t="shared" si="716"/>
        <v>975.2886591475658</v>
      </c>
      <c r="CI137" s="2586">
        <f t="shared" ref="CI137:CS137" si="719">+CI20</f>
        <v>300.32697336696424</v>
      </c>
      <c r="CJ137" s="2581">
        <f t="shared" si="719"/>
        <v>243.62167774259967</v>
      </c>
      <c r="CK137" s="2581">
        <f t="shared" si="719"/>
        <v>253.24751475872301</v>
      </c>
      <c r="CL137" s="2581">
        <f t="shared" si="719"/>
        <v>269.3194797906952</v>
      </c>
      <c r="CM137" s="2580">
        <f t="shared" si="719"/>
        <v>1066.5156456589825</v>
      </c>
      <c r="CO137" s="2586">
        <f t="shared" si="719"/>
        <v>327.85714141024164</v>
      </c>
      <c r="CP137" s="2581">
        <f t="shared" si="719"/>
        <v>268.78692321603125</v>
      </c>
      <c r="CQ137" s="2581">
        <f t="shared" si="719"/>
        <v>280.65815280451329</v>
      </c>
      <c r="CR137" s="2581">
        <f t="shared" si="719"/>
        <v>298.65527028737665</v>
      </c>
      <c r="CS137" s="2580">
        <f t="shared" si="719"/>
        <v>1175.9574877181626</v>
      </c>
      <c r="CW137"/>
      <c r="CX137"/>
      <c r="CY137"/>
      <c r="CZ137"/>
      <c r="DA137"/>
      <c r="DB137"/>
    </row>
    <row r="138" spans="1:116" s="2498" customFormat="1">
      <c r="A138" s="2585" t="s">
        <v>788</v>
      </c>
      <c r="B138" s="2579"/>
      <c r="C138" s="2578">
        <f>+C137/C$9</f>
        <v>0.1144421344421345</v>
      </c>
      <c r="D138" s="2577">
        <f t="shared" si="667"/>
        <v>0.15424380434139701</v>
      </c>
      <c r="E138" s="2577">
        <f t="shared" si="667"/>
        <v>0.16790072813044815</v>
      </c>
      <c r="F138" s="2577">
        <f t="shared" si="667"/>
        <v>0.19926467976270837</v>
      </c>
      <c r="G138" s="2576">
        <f t="shared" si="667"/>
        <v>0.16386631370314536</v>
      </c>
      <c r="H138" s="2579"/>
      <c r="I138" s="2578">
        <f>+I137/I$9</f>
        <v>0.17551964943665324</v>
      </c>
      <c r="J138" s="2577">
        <f t="shared" si="668"/>
        <v>0.21835964530557792</v>
      </c>
      <c r="K138" s="2577">
        <f t="shared" si="668"/>
        <v>0.19640622920271522</v>
      </c>
      <c r="L138" s="2577">
        <f t="shared" si="668"/>
        <v>0.24635393687821197</v>
      </c>
      <c r="M138" s="2576">
        <f t="shared" si="668"/>
        <v>0.21135679706921365</v>
      </c>
      <c r="N138" s="2579"/>
      <c r="O138" s="2578">
        <f>+O137/O$9</f>
        <v>0.23586937504901759</v>
      </c>
      <c r="P138" s="2577">
        <f t="shared" si="669"/>
        <v>0.23936081364488412</v>
      </c>
      <c r="Q138" s="2577">
        <f t="shared" si="669"/>
        <v>0.20973099267491804</v>
      </c>
      <c r="R138" s="2577">
        <f t="shared" si="669"/>
        <v>0.21198023969340504</v>
      </c>
      <c r="S138" s="2576">
        <f t="shared" si="669"/>
        <v>0.22403065175500211</v>
      </c>
      <c r="T138" s="2579"/>
      <c r="U138" s="2578">
        <f>+U137/U$9</f>
        <v>0.21216773971925409</v>
      </c>
      <c r="V138" s="2577">
        <f t="shared" si="670"/>
        <v>0.24435031579741792</v>
      </c>
      <c r="W138" s="2577">
        <f t="shared" si="670"/>
        <v>0.25514835088429005</v>
      </c>
      <c r="X138" s="2577">
        <f t="shared" si="670"/>
        <v>0.23537493589694519</v>
      </c>
      <c r="Y138" s="2576">
        <f t="shared" si="670"/>
        <v>0.23774150060759403</v>
      </c>
      <c r="Z138" s="2579"/>
      <c r="AA138" s="2578">
        <f>+AA137/AA$9</f>
        <v>0.27357485443250795</v>
      </c>
      <c r="AB138" s="2577">
        <f t="shared" si="671"/>
        <v>0.27606888154461645</v>
      </c>
      <c r="AC138" s="2577">
        <f t="shared" si="671"/>
        <v>0.18839995074289062</v>
      </c>
      <c r="AD138" s="2577">
        <f t="shared" si="671"/>
        <v>0.26302530081456849</v>
      </c>
      <c r="AE138" s="2576">
        <f t="shared" si="671"/>
        <v>0.2527514483176776</v>
      </c>
      <c r="AF138" s="2579"/>
      <c r="AG138" s="2578">
        <f>+AG137/AG$9</f>
        <v>0.26657257029732007</v>
      </c>
      <c r="AH138" s="2577">
        <f t="shared" si="672"/>
        <v>0.28119041934092864</v>
      </c>
      <c r="AI138" s="2577">
        <f t="shared" si="672"/>
        <v>0.27026592134996547</v>
      </c>
      <c r="AJ138" s="2577">
        <f t="shared" si="672"/>
        <v>0.25299015407498432</v>
      </c>
      <c r="AK138" s="2576">
        <f t="shared" si="672"/>
        <v>0.26740593949061231</v>
      </c>
      <c r="AL138" s="2579"/>
      <c r="AM138" s="2578">
        <f>+AM137/AM$9</f>
        <v>0.25938034433372215</v>
      </c>
      <c r="AN138" s="2577">
        <f t="shared" si="673"/>
        <v>0.25198645454703061</v>
      </c>
      <c r="AO138" s="2577">
        <f t="shared" si="673"/>
        <v>0.24713004484304946</v>
      </c>
      <c r="AP138" s="2577">
        <f t="shared" si="673"/>
        <v>0.2457154954740968</v>
      </c>
      <c r="AQ138" s="2576">
        <f t="shared" si="673"/>
        <v>0.2507799867433918</v>
      </c>
      <c r="AR138" s="2579"/>
      <c r="AS138" s="2578">
        <f>+AS137/AS$9</f>
        <v>0.26986722309229744</v>
      </c>
      <c r="AT138" s="2577">
        <f t="shared" si="674"/>
        <v>0.26750348550387876</v>
      </c>
      <c r="AU138" s="2577">
        <f t="shared" si="674"/>
        <v>0.30359111998834865</v>
      </c>
      <c r="AV138" s="2577">
        <f t="shared" si="674"/>
        <v>0.30158925326760072</v>
      </c>
      <c r="AW138" s="2576">
        <f t="shared" si="674"/>
        <v>0.28673903676777907</v>
      </c>
      <c r="AX138" s="2579"/>
      <c r="AY138" s="2578">
        <f>+AY137/AY$9</f>
        <v>0.33389655844698418</v>
      </c>
      <c r="AZ138" s="2577">
        <f t="shared" si="675"/>
        <v>0.31242282777569702</v>
      </c>
      <c r="BA138" s="2577">
        <f t="shared" si="675"/>
        <v>0.30113889338162464</v>
      </c>
      <c r="BB138" s="2577">
        <f t="shared" si="675"/>
        <v>0.27355683731497699</v>
      </c>
      <c r="BC138" s="2576">
        <f t="shared" si="675"/>
        <v>0.30447813774629884</v>
      </c>
      <c r="BD138" s="2579"/>
      <c r="BE138" s="2578">
        <f>+BE137/BE$9</f>
        <v>0.23882797592708885</v>
      </c>
      <c r="BF138" s="2577">
        <f t="shared" si="676"/>
        <v>0.27242203277989219</v>
      </c>
      <c r="BG138" s="2577">
        <f t="shared" si="676"/>
        <v>0.28692111691062511</v>
      </c>
      <c r="BH138" s="2577">
        <f>+BH137/BH$9</f>
        <v>0.25123880474112259</v>
      </c>
      <c r="BI138" s="2576">
        <f t="shared" si="677"/>
        <v>0.26261344669907488</v>
      </c>
      <c r="BJ138" s="2575"/>
      <c r="BK138" s="2578">
        <f>+BK137/BK$9</f>
        <v>0.17558528428093645</v>
      </c>
      <c r="BL138" s="2577">
        <f t="shared" ref="BL138" si="720">+BL137/BL$9</f>
        <v>0.22146739130434781</v>
      </c>
      <c r="BM138" s="2577">
        <f t="shared" si="679"/>
        <v>0.26837535014005603</v>
      </c>
      <c r="BN138" s="2577">
        <f t="shared" si="679"/>
        <v>0.31389996142471405</v>
      </c>
      <c r="BO138" s="2576">
        <f t="shared" si="679"/>
        <v>0.24978743504959855</v>
      </c>
      <c r="BP138" s="2575"/>
      <c r="BQ138" s="2578">
        <f t="shared" si="680"/>
        <v>0.29411764705882354</v>
      </c>
      <c r="BR138" s="2577">
        <f t="shared" si="680"/>
        <v>0.23775949778343489</v>
      </c>
      <c r="BS138" s="2577">
        <f t="shared" si="680"/>
        <v>0.24308066629479327</v>
      </c>
      <c r="BT138" s="2577">
        <f t="shared" si="680"/>
        <v>0.24822181704409105</v>
      </c>
      <c r="BU138" s="2576">
        <f t="shared" si="680"/>
        <v>0.2555168964882607</v>
      </c>
      <c r="BV138" s="2575"/>
      <c r="BW138" s="2578">
        <f t="shared" si="681"/>
        <v>0.28887764283872464</v>
      </c>
      <c r="BX138" s="2577">
        <f t="shared" si="681"/>
        <v>0.23433199810453767</v>
      </c>
      <c r="BY138" s="2577">
        <f t="shared" si="681"/>
        <v>0.24026057910167434</v>
      </c>
      <c r="BZ138" s="2577">
        <f t="shared" si="681"/>
        <v>0.24480470951782504</v>
      </c>
      <c r="CA138" s="2576">
        <f t="shared" si="681"/>
        <v>0.25195699116038889</v>
      </c>
      <c r="CB138" s="2575"/>
      <c r="CC138" s="2578">
        <f t="shared" si="682"/>
        <v>0.28611438559442837</v>
      </c>
      <c r="CD138" s="2577">
        <f t="shared" si="682"/>
        <v>0.23222104550206818</v>
      </c>
      <c r="CE138" s="2577">
        <f t="shared" si="682"/>
        <v>0.23828099021187485</v>
      </c>
      <c r="CF138" s="2577">
        <f t="shared" si="682"/>
        <v>0.24261009551105106</v>
      </c>
      <c r="CG138" s="2576">
        <f t="shared" si="682"/>
        <v>0.24968713688040645</v>
      </c>
      <c r="CH138" s="2575"/>
      <c r="CI138" s="2578">
        <f t="shared" ref="CI138:CM138" si="721">+CI137/CI$9</f>
        <v>0.2829070465599276</v>
      </c>
      <c r="CJ138" s="2577">
        <f t="shared" si="721"/>
        <v>0.22997006763479155</v>
      </c>
      <c r="CK138" s="2577">
        <f t="shared" si="721"/>
        <v>0.23604292950579786</v>
      </c>
      <c r="CL138" s="2577">
        <f t="shared" si="721"/>
        <v>0.24031965909344577</v>
      </c>
      <c r="CM138" s="2576">
        <f t="shared" si="721"/>
        <v>0.24719352582609702</v>
      </c>
      <c r="CN138" s="2575"/>
      <c r="CO138" s="2578">
        <f t="shared" ref="CO138:CS138" si="722">+CO137/CO$9</f>
        <v>0.28086271821071729</v>
      </c>
      <c r="CP138" s="2577">
        <f t="shared" si="722"/>
        <v>0.22973328395589965</v>
      </c>
      <c r="CQ138" s="2577">
        <f t="shared" si="722"/>
        <v>0.2359976413606204</v>
      </c>
      <c r="CR138" s="2577">
        <f t="shared" si="722"/>
        <v>0.24014189621517715</v>
      </c>
      <c r="CS138" s="2576">
        <f t="shared" si="722"/>
        <v>0.24652058472024138</v>
      </c>
      <c r="CW138"/>
      <c r="CX138"/>
      <c r="CY138"/>
      <c r="CZ138"/>
      <c r="DA138"/>
      <c r="DB138"/>
    </row>
    <row r="139" spans="1:116">
      <c r="A139" s="1351" t="s">
        <v>727</v>
      </c>
      <c r="B139" s="413"/>
      <c r="C139" s="2334">
        <v>0</v>
      </c>
      <c r="D139" s="2335">
        <v>0</v>
      </c>
      <c r="E139" s="2335">
        <v>0</v>
      </c>
      <c r="F139" s="2335">
        <v>0</v>
      </c>
      <c r="G139" s="648">
        <f>+SUM(C139:F139)</f>
        <v>0</v>
      </c>
      <c r="H139" s="413"/>
      <c r="I139" s="2334">
        <v>0</v>
      </c>
      <c r="J139" s="2335">
        <v>0</v>
      </c>
      <c r="K139" s="2335">
        <v>0</v>
      </c>
      <c r="L139" s="2335">
        <v>0</v>
      </c>
      <c r="M139" s="648">
        <f>+SUM(I139:L139)</f>
        <v>0</v>
      </c>
      <c r="N139" s="650"/>
      <c r="O139" s="2334">
        <v>0</v>
      </c>
      <c r="P139" s="2335">
        <v>0</v>
      </c>
      <c r="Q139" s="2335">
        <v>0</v>
      </c>
      <c r="R139" s="2335">
        <v>0</v>
      </c>
      <c r="S139" s="648">
        <f>+SUM(O139:R139)</f>
        <v>0</v>
      </c>
      <c r="T139" s="417"/>
      <c r="U139" s="2334">
        <v>0</v>
      </c>
      <c r="V139" s="2335">
        <v>0</v>
      </c>
      <c r="W139" s="2335">
        <v>0</v>
      </c>
      <c r="X139" s="2335">
        <v>0</v>
      </c>
      <c r="Y139" s="648">
        <f>+SUM(U139:X139)</f>
        <v>0</v>
      </c>
      <c r="Z139" s="417"/>
      <c r="AA139" s="2334">
        <v>0</v>
      </c>
      <c r="AB139" s="2335">
        <v>0</v>
      </c>
      <c r="AC139" s="2335">
        <v>0</v>
      </c>
      <c r="AD139" s="2335">
        <v>0</v>
      </c>
      <c r="AE139" s="648">
        <f>+SUM(AA139:AD139)</f>
        <v>0</v>
      </c>
      <c r="AF139" s="417"/>
      <c r="AG139" s="2334">
        <v>0</v>
      </c>
      <c r="AH139" s="2335">
        <v>0</v>
      </c>
      <c r="AI139" s="2335">
        <v>0</v>
      </c>
      <c r="AJ139" s="2335">
        <v>0</v>
      </c>
      <c r="AK139" s="648">
        <f>+SUM(AG139:AJ139)</f>
        <v>0</v>
      </c>
      <c r="AL139" s="649"/>
      <c r="AM139" s="2334">
        <v>0</v>
      </c>
      <c r="AN139" s="2335">
        <v>0</v>
      </c>
      <c r="AO139" s="2335">
        <v>0</v>
      </c>
      <c r="AP139" s="2335">
        <v>0</v>
      </c>
      <c r="AQ139" s="648">
        <f>+SUM(AM139:AP139)</f>
        <v>0</v>
      </c>
      <c r="AR139" s="649"/>
      <c r="AS139" s="2334">
        <v>0</v>
      </c>
      <c r="AT139" s="2335">
        <v>0</v>
      </c>
      <c r="AU139" s="2335">
        <v>0</v>
      </c>
      <c r="AV139" s="2335">
        <v>0</v>
      </c>
      <c r="AW139" s="648">
        <f>+SUM(AS139:AV139)</f>
        <v>0</v>
      </c>
      <c r="AX139" s="649"/>
      <c r="AY139" s="2334">
        <v>0</v>
      </c>
      <c r="AZ139" s="2335">
        <v>0</v>
      </c>
      <c r="BA139" s="2335">
        <v>1</v>
      </c>
      <c r="BB139" s="2335">
        <v>2</v>
      </c>
      <c r="BC139" s="648">
        <f>+SUM(AY139:BB139)</f>
        <v>3</v>
      </c>
      <c r="BD139" s="649"/>
      <c r="BE139" s="2624">
        <f>0.009*BE9</f>
        <v>5.145867</v>
      </c>
      <c r="BF139" s="2625">
        <f>0.014*BF9</f>
        <v>8.4017359999999996</v>
      </c>
      <c r="BG139" s="2625">
        <f>0.024*BG9</f>
        <v>14.571336000000001</v>
      </c>
      <c r="BH139" s="608">
        <f>+BI139-BG139-BF139-BE139</f>
        <v>14.881060999999999</v>
      </c>
      <c r="BI139" s="2626">
        <v>43</v>
      </c>
      <c r="BJ139" s="649"/>
      <c r="BK139" s="2624">
        <f>0.021*BK$9</f>
        <v>12.558000000000002</v>
      </c>
      <c r="BL139" s="2625">
        <f>0.008*BL9</f>
        <v>5.2991999999999999</v>
      </c>
      <c r="BM139" s="2625">
        <f>0.008*BM9</f>
        <v>5.7119999999999997</v>
      </c>
      <c r="BN139" s="2625">
        <f>0.007*BN9</f>
        <v>5.4439000000000002</v>
      </c>
      <c r="BO139" s="648">
        <f>+SUM(BK139:BN139)</f>
        <v>29.013100000000001</v>
      </c>
      <c r="BP139" s="649"/>
      <c r="BQ139" s="2624">
        <f>0.008*BQ$9</f>
        <v>6.2560000000000002</v>
      </c>
      <c r="BR139" s="2481">
        <v>5</v>
      </c>
      <c r="BS139" s="2481">
        <f t="shared" ref="BS139:BT140" si="723">+BR139</f>
        <v>5</v>
      </c>
      <c r="BT139" s="2482">
        <f t="shared" si="723"/>
        <v>5</v>
      </c>
      <c r="BU139" s="2488">
        <f t="shared" ref="BU139:BU140" si="724">+SUM(BQ139:BT139)</f>
        <v>21.256</v>
      </c>
      <c r="BV139" s="649"/>
      <c r="BW139" s="2480">
        <v>5</v>
      </c>
      <c r="BX139" s="2481">
        <f t="shared" ref="BX139:BZ140" si="725">+BW139</f>
        <v>5</v>
      </c>
      <c r="BY139" s="2481">
        <f t="shared" si="725"/>
        <v>5</v>
      </c>
      <c r="BZ139" s="2482">
        <f t="shared" si="725"/>
        <v>5</v>
      </c>
      <c r="CA139" s="2488">
        <f t="shared" ref="CA139" si="726">+SUM(BW139:BZ139)</f>
        <v>20</v>
      </c>
      <c r="CB139" s="649"/>
      <c r="CC139" s="2480">
        <v>5</v>
      </c>
      <c r="CD139" s="2481">
        <f t="shared" ref="CD139" si="727">+CC139</f>
        <v>5</v>
      </c>
      <c r="CE139" s="2481">
        <f t="shared" ref="CE139" si="728">+CD139</f>
        <v>5</v>
      </c>
      <c r="CF139" s="2482">
        <f t="shared" ref="CF139" si="729">+CE139</f>
        <v>5</v>
      </c>
      <c r="CG139" s="2488">
        <f t="shared" ref="CG139" si="730">+SUM(CC139:CF139)</f>
        <v>20</v>
      </c>
      <c r="CH139" s="649"/>
      <c r="CI139" s="2480">
        <v>5</v>
      </c>
      <c r="CJ139" s="2481">
        <f t="shared" ref="CJ139:CJ140" si="731">+CI139</f>
        <v>5</v>
      </c>
      <c r="CK139" s="2481">
        <f t="shared" ref="CK139:CK140" si="732">+CJ139</f>
        <v>5</v>
      </c>
      <c r="CL139" s="2482">
        <f t="shared" ref="CL139:CL140" si="733">+CK139</f>
        <v>5</v>
      </c>
      <c r="CM139" s="2488">
        <f t="shared" ref="CM139:CM140" si="734">+SUM(CI139:CL139)</f>
        <v>20</v>
      </c>
      <c r="CN139" s="649"/>
      <c r="CO139" s="2480">
        <v>5</v>
      </c>
      <c r="CP139" s="2481">
        <f t="shared" ref="CP139:CP140" si="735">+CO139</f>
        <v>5</v>
      </c>
      <c r="CQ139" s="2481">
        <f t="shared" ref="CQ139:CQ140" si="736">+CP139</f>
        <v>5</v>
      </c>
      <c r="CR139" s="2482">
        <f t="shared" ref="CR139:CR140" si="737">+CQ139</f>
        <v>5</v>
      </c>
      <c r="CS139" s="2488">
        <f t="shared" ref="CS139:CS140" si="738">+SUM(CO139:CR139)</f>
        <v>20</v>
      </c>
    </row>
    <row r="140" spans="1:116">
      <c r="A140" s="1351" t="s">
        <v>726</v>
      </c>
      <c r="B140" s="413"/>
      <c r="C140" s="2334">
        <v>0</v>
      </c>
      <c r="D140" s="2335">
        <v>0</v>
      </c>
      <c r="E140" s="2335">
        <v>0</v>
      </c>
      <c r="F140" s="2335">
        <v>0</v>
      </c>
      <c r="G140" s="648">
        <f>+SUM(C140:F140)</f>
        <v>0</v>
      </c>
      <c r="H140" s="413"/>
      <c r="I140" s="2334">
        <v>0</v>
      </c>
      <c r="J140" s="2335">
        <v>0</v>
      </c>
      <c r="K140" s="2335">
        <v>0</v>
      </c>
      <c r="L140" s="2335">
        <v>0</v>
      </c>
      <c r="M140" s="648">
        <f>+SUM(I140:L140)</f>
        <v>0</v>
      </c>
      <c r="N140" s="650"/>
      <c r="O140" s="2334">
        <v>0</v>
      </c>
      <c r="P140" s="2335">
        <v>0</v>
      </c>
      <c r="Q140" s="2335">
        <v>0</v>
      </c>
      <c r="R140" s="2335">
        <v>0</v>
      </c>
      <c r="S140" s="648">
        <f>+SUM(O140:R140)</f>
        <v>0</v>
      </c>
      <c r="T140" s="417"/>
      <c r="U140" s="2334">
        <v>0</v>
      </c>
      <c r="V140" s="2335">
        <v>0</v>
      </c>
      <c r="W140" s="2335">
        <v>0</v>
      </c>
      <c r="X140" s="2335">
        <v>0</v>
      </c>
      <c r="Y140" s="648">
        <f>+SUM(U140:X140)</f>
        <v>0</v>
      </c>
      <c r="Z140" s="417"/>
      <c r="AA140" s="2334">
        <v>0</v>
      </c>
      <c r="AB140" s="2335">
        <v>0</v>
      </c>
      <c r="AC140" s="2335">
        <v>0</v>
      </c>
      <c r="AD140" s="2335">
        <v>0</v>
      </c>
      <c r="AE140" s="648">
        <f>+SUM(AA140:AD140)</f>
        <v>0</v>
      </c>
      <c r="AF140" s="417"/>
      <c r="AG140" s="2334">
        <v>0</v>
      </c>
      <c r="AH140" s="2335">
        <v>0</v>
      </c>
      <c r="AI140" s="2335">
        <v>0</v>
      </c>
      <c r="AJ140" s="2335">
        <v>0</v>
      </c>
      <c r="AK140" s="648">
        <f>+SUM(AG140:AJ140)</f>
        <v>0</v>
      </c>
      <c r="AL140" s="649"/>
      <c r="AM140" s="2334">
        <v>0</v>
      </c>
      <c r="AN140" s="2335">
        <v>0</v>
      </c>
      <c r="AO140" s="2335">
        <v>0</v>
      </c>
      <c r="AP140" s="2335">
        <v>0</v>
      </c>
      <c r="AQ140" s="648">
        <f>+SUM(AM140:AP140)</f>
        <v>0</v>
      </c>
      <c r="AR140" s="649"/>
      <c r="AS140" s="2334">
        <v>0</v>
      </c>
      <c r="AT140" s="2335">
        <v>0</v>
      </c>
      <c r="AU140" s="2335">
        <v>0</v>
      </c>
      <c r="AV140" s="2335">
        <v>0</v>
      </c>
      <c r="AW140" s="648">
        <f>+SUM(AS140:AV140)</f>
        <v>0</v>
      </c>
      <c r="AX140" s="649"/>
      <c r="AY140" s="2334">
        <v>0</v>
      </c>
      <c r="AZ140" s="2335">
        <v>0</v>
      </c>
      <c r="BA140" s="2335">
        <v>1.5</v>
      </c>
      <c r="BB140" s="2335">
        <v>2</v>
      </c>
      <c r="BC140" s="648">
        <f>+SUM(AY140:BB140)</f>
        <v>3.5</v>
      </c>
      <c r="BD140" s="649"/>
      <c r="BE140" s="2624">
        <f>0.006*BE9</f>
        <v>3.4305780000000001</v>
      </c>
      <c r="BF140" s="2625">
        <f>0.011*BF9</f>
        <v>6.6013640000000002</v>
      </c>
      <c r="BG140" s="2625">
        <f>0.015*BG9</f>
        <v>9.1070849999999997</v>
      </c>
      <c r="BH140" s="608">
        <f>+BI140-BG140-BF140-BE140</f>
        <v>3.6609730000000007</v>
      </c>
      <c r="BI140" s="2626">
        <v>22.8</v>
      </c>
      <c r="BJ140" s="649"/>
      <c r="BK140" s="2624">
        <f>0.015*BK$9</f>
        <v>8.9699999999999989</v>
      </c>
      <c r="BL140" s="2625">
        <f>0.01*BL9</f>
        <v>6.6239999999999997</v>
      </c>
      <c r="BM140" s="2625">
        <f>0.017*BM9</f>
        <v>12.138000000000002</v>
      </c>
      <c r="BN140" s="2625">
        <f>0.012*BN9</f>
        <v>9.3324000000000016</v>
      </c>
      <c r="BO140" s="648">
        <f>+SUM(BK140:BN140)</f>
        <v>37.064399999999999</v>
      </c>
      <c r="BP140" s="649"/>
      <c r="BQ140" s="2624">
        <f>0.011*BQ$9</f>
        <v>8.6020000000000003</v>
      </c>
      <c r="BR140" s="2481">
        <v>7</v>
      </c>
      <c r="BS140" s="2481">
        <f t="shared" si="723"/>
        <v>7</v>
      </c>
      <c r="BT140" s="2482">
        <f t="shared" si="723"/>
        <v>7</v>
      </c>
      <c r="BU140" s="2488">
        <f t="shared" si="724"/>
        <v>29.602</v>
      </c>
      <c r="BV140" s="649"/>
      <c r="BW140" s="2480">
        <v>8</v>
      </c>
      <c r="BX140" s="2481">
        <f t="shared" si="725"/>
        <v>8</v>
      </c>
      <c r="BY140" s="2481">
        <f t="shared" si="725"/>
        <v>8</v>
      </c>
      <c r="BZ140" s="2482">
        <f t="shared" si="725"/>
        <v>8</v>
      </c>
      <c r="CA140" s="2488">
        <f t="shared" ref="CA140" si="739">+SUM(BW140:BZ140)</f>
        <v>32</v>
      </c>
      <c r="CB140" s="649"/>
      <c r="CC140" s="2480">
        <v>8</v>
      </c>
      <c r="CD140" s="2481">
        <f t="shared" ref="CD140" si="740">+CC140</f>
        <v>8</v>
      </c>
      <c r="CE140" s="2481">
        <f t="shared" ref="CE140:CF140" si="741">+CD140</f>
        <v>8</v>
      </c>
      <c r="CF140" s="2482">
        <f t="shared" si="741"/>
        <v>8</v>
      </c>
      <c r="CG140" s="2488">
        <f t="shared" ref="CG140" si="742">+SUM(CC140:CF140)</f>
        <v>32</v>
      </c>
      <c r="CH140" s="649"/>
      <c r="CI140" s="2480">
        <v>8</v>
      </c>
      <c r="CJ140" s="2481">
        <f t="shared" si="731"/>
        <v>8</v>
      </c>
      <c r="CK140" s="2481">
        <f t="shared" si="732"/>
        <v>8</v>
      </c>
      <c r="CL140" s="2482">
        <f t="shared" si="733"/>
        <v>8</v>
      </c>
      <c r="CM140" s="2488">
        <f t="shared" si="734"/>
        <v>32</v>
      </c>
      <c r="CN140" s="649"/>
      <c r="CO140" s="2480">
        <v>8</v>
      </c>
      <c r="CP140" s="2481">
        <f t="shared" si="735"/>
        <v>8</v>
      </c>
      <c r="CQ140" s="2481">
        <f t="shared" si="736"/>
        <v>8</v>
      </c>
      <c r="CR140" s="2482">
        <f t="shared" si="737"/>
        <v>8</v>
      </c>
      <c r="CS140" s="2488">
        <f t="shared" si="738"/>
        <v>32</v>
      </c>
    </row>
    <row r="141" spans="1:116">
      <c r="A141" s="1930" t="s">
        <v>728</v>
      </c>
      <c r="C141" s="609">
        <f>+C17-C139</f>
        <v>15.956</v>
      </c>
      <c r="D141" s="610">
        <f>+D17-D139</f>
        <v>18.184000000000001</v>
      </c>
      <c r="E141" s="610">
        <f>+E17-E139</f>
        <v>19.753</v>
      </c>
      <c r="F141" s="608">
        <f>+F17-F139</f>
        <v>20.049999999999997</v>
      </c>
      <c r="G141" s="648">
        <f>+G17-G139</f>
        <v>73.942999999999998</v>
      </c>
      <c r="I141" s="609">
        <f>+I17-I139</f>
        <v>20.564</v>
      </c>
      <c r="J141" s="610">
        <f>+J17-J139</f>
        <v>23.492999999999999</v>
      </c>
      <c r="K141" s="610">
        <f>+K17-K139</f>
        <v>26.952999999999999</v>
      </c>
      <c r="L141" s="608">
        <f>+L17-L139</f>
        <v>27.421999999999983</v>
      </c>
      <c r="M141" s="648">
        <f>+M17-M139</f>
        <v>98.431999999999988</v>
      </c>
      <c r="O141" s="609">
        <f>+O17-O139</f>
        <v>29.806999999999999</v>
      </c>
      <c r="P141" s="610">
        <f>+P17-P139</f>
        <v>32.198</v>
      </c>
      <c r="Q141" s="610">
        <f>+Q17-Q139</f>
        <v>33.487000000000002</v>
      </c>
      <c r="R141" s="608">
        <f>+R17-R139</f>
        <v>39.449000000000012</v>
      </c>
      <c r="S141" s="648">
        <f>+S17-S139</f>
        <v>134.941</v>
      </c>
      <c r="U141" s="609">
        <f>+U17-U139</f>
        <v>42.756</v>
      </c>
      <c r="V141" s="610">
        <f>+V17-V139</f>
        <v>42.748000000000005</v>
      </c>
      <c r="W141" s="610">
        <f>+W17-W139</f>
        <v>43.885000000000005</v>
      </c>
      <c r="X141" s="608">
        <f>+X17-X139</f>
        <v>44.882999999999981</v>
      </c>
      <c r="Y141" s="648">
        <f>+Y17-Y139</f>
        <v>174.27199999999999</v>
      </c>
      <c r="AA141" s="609">
        <f>+AA17-AA139</f>
        <v>48.764000000000003</v>
      </c>
      <c r="AB141" s="610">
        <f>+AB17-AB139</f>
        <v>48.946000000000005</v>
      </c>
      <c r="AC141" s="610">
        <f>+AC17-AC139</f>
        <v>49.624000000000002</v>
      </c>
      <c r="AD141" s="608">
        <f>+AD17-AD139</f>
        <v>44.78</v>
      </c>
      <c r="AE141" s="648">
        <f>+AE17-AE139</f>
        <v>192.114</v>
      </c>
      <c r="AG141" s="609">
        <f>+AG17-AG139</f>
        <v>48.106999999999999</v>
      </c>
      <c r="AH141" s="610">
        <f>+AH17-AH139</f>
        <v>49.052999999999997</v>
      </c>
      <c r="AI141" s="610">
        <f>+AI17-AI139</f>
        <v>53.302</v>
      </c>
      <c r="AJ141" s="608">
        <f>+AJ17-AJ139</f>
        <v>55.705999999999996</v>
      </c>
      <c r="AK141" s="648">
        <f>+AK17-AK139</f>
        <v>206.16799999999998</v>
      </c>
      <c r="AM141" s="609">
        <f>+AM17-AM139</f>
        <v>60.961000000000006</v>
      </c>
      <c r="AN141" s="610">
        <f>+AN17-AN139</f>
        <v>67.772000000000006</v>
      </c>
      <c r="AO141" s="610">
        <f>+AO17-AO139</f>
        <v>70.849999999999994</v>
      </c>
      <c r="AP141" s="608">
        <f>+AP17-AP139</f>
        <v>76.616</v>
      </c>
      <c r="AQ141" s="648">
        <f>+AQ17-AQ139</f>
        <v>276.19900000000001</v>
      </c>
      <c r="AS141" s="609">
        <f>+AS17-AS139</f>
        <v>76.956999999999994</v>
      </c>
      <c r="AT141" s="610">
        <f>+AT17-AT139</f>
        <v>82.489000000000004</v>
      </c>
      <c r="AU141" s="610">
        <f>+AU17-AU139</f>
        <v>84.585999999999999</v>
      </c>
      <c r="AV141" s="608">
        <f>+AV17-AV139</f>
        <v>92.198999999999998</v>
      </c>
      <c r="AW141" s="648">
        <f>+AW17-AW139</f>
        <v>336.23099999999999</v>
      </c>
      <c r="AY141" s="609">
        <f>+AY17-AY139</f>
        <v>91.772000000000006</v>
      </c>
      <c r="AZ141" s="610">
        <f>+AZ17-AZ139</f>
        <v>96.182000000000002</v>
      </c>
      <c r="BA141" s="610">
        <f>+BA17-BA139</f>
        <v>98.182000000000002</v>
      </c>
      <c r="BB141" s="608">
        <f>+BB17-BB139</f>
        <v>112.264</v>
      </c>
      <c r="BC141" s="648">
        <f>+BC17-BC139</f>
        <v>398.40000000000003</v>
      </c>
      <c r="BE141" s="609">
        <f>+BE17-BE139</f>
        <v>118.848133</v>
      </c>
      <c r="BF141" s="610">
        <f>+BF17-BF139</f>
        <v>116.078264</v>
      </c>
      <c r="BG141" s="610">
        <f>+BG17-BG139</f>
        <v>111.237664</v>
      </c>
      <c r="BH141" s="608">
        <f>+BH17-BH139</f>
        <v>115.04593899999999</v>
      </c>
      <c r="BI141" s="648">
        <f>+BI17-BI139</f>
        <v>461.21000000000004</v>
      </c>
      <c r="BJ141" s="649"/>
      <c r="BK141" s="609">
        <f>+BK17-BK139</f>
        <v>127.44199999999999</v>
      </c>
      <c r="BL141" s="610">
        <f>+BL17-BL139</f>
        <v>125.10080000000001</v>
      </c>
      <c r="BM141" s="610">
        <f>+BM17-BM139</f>
        <v>128.02800000000002</v>
      </c>
      <c r="BN141" s="608">
        <f>+BN17-BN139</f>
        <v>129.59609999999998</v>
      </c>
      <c r="BO141" s="648">
        <f>+BO17-BO139</f>
        <v>510.16689999999994</v>
      </c>
      <c r="BP141" s="649"/>
      <c r="BQ141" s="609">
        <f>+BQ17-BQ139</f>
        <v>130.744</v>
      </c>
      <c r="BR141" s="610">
        <f>+BR17-BR139</f>
        <v>153.086433958013</v>
      </c>
      <c r="BS141" s="610">
        <f>+BS17-BS139</f>
        <v>154.12113807493611</v>
      </c>
      <c r="BT141" s="608">
        <f>+BT17-BT139</f>
        <v>158.86203479840609</v>
      </c>
      <c r="BU141" s="648">
        <f>+BU17-BU139</f>
        <v>596.81360683135517</v>
      </c>
      <c r="BV141" s="649"/>
      <c r="BW141" s="609">
        <f>+BW17-BW139</f>
        <v>147.01077341735996</v>
      </c>
      <c r="BX141" s="610">
        <f>+BX17-BX139</f>
        <v>168.1745224817798</v>
      </c>
      <c r="BY141" s="610">
        <f>+BY17-BY139</f>
        <v>168.3265109490973</v>
      </c>
      <c r="BZ141" s="608">
        <f>+BZ17-BZ139</f>
        <v>173.05862758937491</v>
      </c>
      <c r="CA141" s="648">
        <f>+CA17-CA139</f>
        <v>656.57043443761199</v>
      </c>
      <c r="CB141" s="649"/>
      <c r="CC141" s="609">
        <f>+CC17-CC139</f>
        <v>161.48657537949333</v>
      </c>
      <c r="CD141" s="610">
        <f>+CD17-CD139</f>
        <v>184.97167090506403</v>
      </c>
      <c r="CE141" s="610">
        <f>+CE17-CE139</f>
        <v>185.07433169463329</v>
      </c>
      <c r="CF141" s="608">
        <f>+CF17-CF139</f>
        <v>190.52028052059458</v>
      </c>
      <c r="CG141" s="648">
        <f>+CG17-CG139</f>
        <v>722.05285849978532</v>
      </c>
      <c r="CH141" s="649"/>
      <c r="CI141" s="609">
        <f t="shared" ref="CI141:CM141" si="743">+CI17-CI139</f>
        <v>177.7944815219482</v>
      </c>
      <c r="CJ141" s="610">
        <f t="shared" si="743"/>
        <v>203.69442275204747</v>
      </c>
      <c r="CK141" s="610">
        <f t="shared" si="743"/>
        <v>203.67662388235928</v>
      </c>
      <c r="CL141" s="608">
        <f t="shared" si="743"/>
        <v>210.16899747143384</v>
      </c>
      <c r="CM141" s="648">
        <f t="shared" si="743"/>
        <v>795.33452562778882</v>
      </c>
      <c r="CN141" s="649"/>
      <c r="CO141" s="609">
        <f t="shared" ref="CO141:CS141" si="744">+CO17-CO139</f>
        <v>194.83591890441886</v>
      </c>
      <c r="CP141" s="610">
        <f t="shared" si="744"/>
        <v>224.31913061607207</v>
      </c>
      <c r="CQ141" s="610">
        <f t="shared" si="744"/>
        <v>225.11820056577602</v>
      </c>
      <c r="CR141" s="608">
        <f t="shared" si="744"/>
        <v>232.53937785922992</v>
      </c>
      <c r="CS141" s="648">
        <f t="shared" si="744"/>
        <v>876.81262794549684</v>
      </c>
    </row>
    <row r="142" spans="1:116">
      <c r="A142" s="2536" t="s">
        <v>788</v>
      </c>
      <c r="C142" s="2490">
        <f>+C141/C$9</f>
        <v>0.22115038115038113</v>
      </c>
      <c r="D142" s="2491">
        <f>+D141/D$9</f>
        <v>0.21510616904240848</v>
      </c>
      <c r="E142" s="2491">
        <f>+E141/E$9</f>
        <v>0.20257409496461901</v>
      </c>
      <c r="F142" s="2491">
        <f>+F141/F$9</f>
        <v>0.17805761784661286</v>
      </c>
      <c r="G142" s="2492">
        <f>+G141/G$9</f>
        <v>0.20158997161933373</v>
      </c>
      <c r="H142" s="1357"/>
      <c r="I142" s="2490">
        <f>+I141/I$9</f>
        <v>0.16874964098440026</v>
      </c>
      <c r="J142" s="2491">
        <f>+J141/J$9</f>
        <v>0.16759525457100666</v>
      </c>
      <c r="K142" s="2491">
        <f>+K141/K$9</f>
        <v>0.17937574870224945</v>
      </c>
      <c r="L142" s="2491">
        <f>+L141/L$9</f>
        <v>0.17040024358870778</v>
      </c>
      <c r="M142" s="2492">
        <f>+M141/M$9</f>
        <v>0.17171616729905356</v>
      </c>
      <c r="N142" s="1357"/>
      <c r="O142" s="2490">
        <f>+O141/O$9</f>
        <v>0.17982347653492761</v>
      </c>
      <c r="P142" s="2491">
        <f>+P141/P$9</f>
        <v>0.19919204667074975</v>
      </c>
      <c r="Q142" s="2491">
        <f>+Q141/Q$9</f>
        <v>0.2114612275827229</v>
      </c>
      <c r="R142" s="2491">
        <f>+R141/R$9</f>
        <v>0.21847655125052623</v>
      </c>
      <c r="S142" s="2492">
        <f>+S141/S$9</f>
        <v>0.20251559301480959</v>
      </c>
      <c r="T142" s="1357"/>
      <c r="U142" s="2490">
        <f>+U141/U$9</f>
        <v>0.22253566576970921</v>
      </c>
      <c r="V142" s="2491">
        <f>+V141/V$9</f>
        <v>0.20163865605675393</v>
      </c>
      <c r="W142" s="2491">
        <f>+W141/W$9</f>
        <v>0.18492766814575093</v>
      </c>
      <c r="X142" s="2491">
        <f>+X141/X$9</f>
        <v>0.17176939739301481</v>
      </c>
      <c r="Y142" s="2492">
        <f>+Y141/Y$9</f>
        <v>0.19304761830912742</v>
      </c>
      <c r="Z142" s="1357"/>
      <c r="AA142" s="2490">
        <f>+AA141/AA$9</f>
        <v>0.1726067642426066</v>
      </c>
      <c r="AB142" s="2491">
        <f>+AB141/AB$9</f>
        <v>0.17027656983823275</v>
      </c>
      <c r="AC142" s="2491">
        <f>+AC141/AC$9</f>
        <v>0.21071851685145163</v>
      </c>
      <c r="AD142" s="2491">
        <f>+AD141/AD$9</f>
        <v>0.17906914436300092</v>
      </c>
      <c r="AE142" s="2492">
        <f>+AE141/AE$9</f>
        <v>0.18200628117494921</v>
      </c>
      <c r="AF142" s="1357"/>
      <c r="AG142" s="2490">
        <f>+AG141/AG$9</f>
        <v>0.17636470286321809</v>
      </c>
      <c r="AH142" s="2491">
        <f>+AH141/AH$9</f>
        <v>0.17481032190928952</v>
      </c>
      <c r="AI142" s="2491">
        <f>+AI141/AI$9</f>
        <v>0.18645277289994891</v>
      </c>
      <c r="AJ142" s="2491">
        <f>+AJ141/AJ$9</f>
        <v>0.18012384201251352</v>
      </c>
      <c r="AK142" s="2492">
        <f>+AK141/AK$9</f>
        <v>0.17950816531942085</v>
      </c>
      <c r="AL142" s="649"/>
      <c r="AM142" s="627">
        <f>+AM141/AM$9</f>
        <v>0.18419557768659467</v>
      </c>
      <c r="AN142" s="628">
        <f>+AN141/AN$9</f>
        <v>0.19581963281651807</v>
      </c>
      <c r="AO142" s="628">
        <f>+AO141/AO$9</f>
        <v>0.19857062780269055</v>
      </c>
      <c r="AP142" s="628">
        <f>+AP141/AP$9</f>
        <v>0.19780753164001383</v>
      </c>
      <c r="AQ142" s="625">
        <f>+AQ141/AQ$9</f>
        <v>0.19434511370145047</v>
      </c>
      <c r="AR142" s="649"/>
      <c r="AS142" s="627">
        <f>+AS141/AS$9</f>
        <v>0.18289086246764943</v>
      </c>
      <c r="AT142" s="628">
        <f>+AT141/AT$9</f>
        <v>0.18430495477782149</v>
      </c>
      <c r="AU142" s="628">
        <f>+AU141/AU$9</f>
        <v>0.17598984665959261</v>
      </c>
      <c r="AV142" s="628">
        <f>+AV141/AV$9</f>
        <v>0.17994297190165873</v>
      </c>
      <c r="AW142" s="625">
        <f>+AW141/AW$9</f>
        <v>0.18063747006218042</v>
      </c>
      <c r="AX142" s="649"/>
      <c r="AY142" s="627">
        <f>+AY141/AY$9</f>
        <v>0.17040097295591061</v>
      </c>
      <c r="AZ142" s="628">
        <f>+AZ141/AZ$9</f>
        <v>0.17832021328270714</v>
      </c>
      <c r="BA142" s="628">
        <f>+BA141/BA$9</f>
        <v>0.17842481250147657</v>
      </c>
      <c r="BB142" s="628">
        <f>+BB141/BB$9</f>
        <v>0.18978003475626659</v>
      </c>
      <c r="BC142" s="625">
        <f>+BC141/BC$9</f>
        <v>0.17947870086973292</v>
      </c>
      <c r="BE142" s="627">
        <f>+BE141/BE$9</f>
        <v>0.20786258117436771</v>
      </c>
      <c r="BF142" s="628">
        <f>+BF141/BF$9</f>
        <v>0.19342379908152316</v>
      </c>
      <c r="BG142" s="628">
        <f>+BG141/BG$9</f>
        <v>0.18321613996135974</v>
      </c>
      <c r="BH142" s="628">
        <f>+BH141/BH$9</f>
        <v>0.18575360662116713</v>
      </c>
      <c r="BI142" s="625">
        <f>+BI141/BI$9</f>
        <v>0.19230119752015218</v>
      </c>
      <c r="BJ142" s="649"/>
      <c r="BK142" s="627">
        <f>+BK141/BK$9</f>
        <v>0.21311371237458193</v>
      </c>
      <c r="BL142" s="628">
        <f>+BL141/BL$9</f>
        <v>0.18885990338164252</v>
      </c>
      <c r="BM142" s="628">
        <f>+BM141/BM$9</f>
        <v>0.17931092436974794</v>
      </c>
      <c r="BN142" s="628">
        <f>+BN141/BN$9</f>
        <v>0.1666402211649736</v>
      </c>
      <c r="BO142" s="625">
        <f>+BO141/BO$9</f>
        <v>0.18537367828203913</v>
      </c>
      <c r="BP142" s="649"/>
      <c r="BQ142" s="627">
        <f>+BQ141/BQ$9</f>
        <v>0.1671918158567775</v>
      </c>
      <c r="BR142" s="628">
        <f>+BR141/BR$9</f>
        <v>0.19367434652700435</v>
      </c>
      <c r="BS142" s="628">
        <f>+BS141/BS$9</f>
        <v>0.191294036342708</v>
      </c>
      <c r="BT142" s="628">
        <f>+BT141/BT$9</f>
        <v>0.18904987249670427</v>
      </c>
      <c r="BU142" s="625">
        <f>+BU141/BU$9</f>
        <v>0.18543643119709829</v>
      </c>
      <c r="BV142" s="649"/>
      <c r="BW142" s="627">
        <f>+BW141/BW$9</f>
        <v>0.1684622280143909</v>
      </c>
      <c r="BX142" s="628">
        <f>+BX141/BX$9</f>
        <v>0.19325435112659436</v>
      </c>
      <c r="BY142" s="628">
        <f>+BY141/BY$9</f>
        <v>0.1908315076578877</v>
      </c>
      <c r="BZ142" s="628">
        <f>+BZ141/BZ$9</f>
        <v>0.18855235607994836</v>
      </c>
      <c r="CA142" s="625">
        <f>+CA141/CA$9</f>
        <v>0.185326147795604</v>
      </c>
      <c r="CB142" s="649"/>
      <c r="CC142" s="627">
        <f>+CC141/CC$9</f>
        <v>0.16799044104736716</v>
      </c>
      <c r="CD142" s="628">
        <f>+CD141/CD$9</f>
        <v>0.19278869667628107</v>
      </c>
      <c r="CE142" s="628">
        <f>+CE141/CE$9</f>
        <v>0.19035727509188133</v>
      </c>
      <c r="CF142" s="628">
        <f>+CF141/CF$9</f>
        <v>0.18806445061642416</v>
      </c>
      <c r="CG142" s="625">
        <f>+CG141/CG$9</f>
        <v>0.1848553340840666</v>
      </c>
      <c r="CH142" s="649"/>
      <c r="CI142" s="627">
        <f t="shared" ref="CI142:CM142" si="745">+CI141/CI$9</f>
        <v>0.16748183187851109</v>
      </c>
      <c r="CJ142" s="628">
        <f t="shared" si="745"/>
        <v>0.19228018052897233</v>
      </c>
      <c r="CK142" s="628">
        <f t="shared" si="745"/>
        <v>0.18983967925152823</v>
      </c>
      <c r="CL142" s="628">
        <f t="shared" si="745"/>
        <v>0.18753839070088407</v>
      </c>
      <c r="CM142" s="625">
        <f t="shared" si="745"/>
        <v>0.18434004826969283</v>
      </c>
      <c r="CN142" s="649"/>
      <c r="CO142" s="627">
        <f t="shared" ref="CO142:CS142" si="746">+CO141/CO$9</f>
        <v>0.16690850640982421</v>
      </c>
      <c r="CP142" s="628">
        <f t="shared" si="746"/>
        <v>0.19172647952498684</v>
      </c>
      <c r="CQ142" s="628">
        <f t="shared" si="746"/>
        <v>0.18929563894719639</v>
      </c>
      <c r="CR142" s="628">
        <f t="shared" si="746"/>
        <v>0.18697961395450841</v>
      </c>
      <c r="CS142" s="625">
        <f t="shared" si="746"/>
        <v>0.18380967338423018</v>
      </c>
    </row>
    <row r="143" spans="1:116">
      <c r="A143" s="1930" t="s">
        <v>729</v>
      </c>
      <c r="C143" s="609">
        <f>+C18-C140</f>
        <v>23.632999999999999</v>
      </c>
      <c r="D143" s="610">
        <f>+D18-D140</f>
        <v>23.297000000000001</v>
      </c>
      <c r="E143" s="610">
        <f>+E18-E140</f>
        <v>24.306999999999999</v>
      </c>
      <c r="F143" s="608">
        <f>+F18-F140</f>
        <v>30.019000000000005</v>
      </c>
      <c r="G143" s="648">
        <f>+G18-G140</f>
        <v>101.256</v>
      </c>
      <c r="I143" s="609">
        <f>+I18-I140</f>
        <v>33.826999999999998</v>
      </c>
      <c r="J143" s="610">
        <f>+J18-J140</f>
        <v>35.616</v>
      </c>
      <c r="K143" s="610">
        <f>+K18-K140</f>
        <v>39.365000000000002</v>
      </c>
      <c r="L143" s="608">
        <f>+L18-L140</f>
        <v>39.206000000000017</v>
      </c>
      <c r="M143" s="648">
        <f>+M18-M140</f>
        <v>148.01400000000001</v>
      </c>
      <c r="O143" s="609">
        <f>+O18-O140</f>
        <v>42.831000000000003</v>
      </c>
      <c r="P143" s="610">
        <f>+P18-P140</f>
        <v>41.939</v>
      </c>
      <c r="Q143" s="610">
        <f>+Q18-Q140</f>
        <v>42.095999999999997</v>
      </c>
      <c r="R143" s="608">
        <f>+R18-R140</f>
        <v>49.470999999999975</v>
      </c>
      <c r="S143" s="648">
        <f>+S18-S140</f>
        <v>176.33699999999999</v>
      </c>
      <c r="U143" s="609">
        <f>+U18-U140</f>
        <v>50.277999999999999</v>
      </c>
      <c r="V143" s="610">
        <f>+V18-V140</f>
        <v>53.134999999999998</v>
      </c>
      <c r="W143" s="610">
        <f>+W18-W140</f>
        <v>55.006</v>
      </c>
      <c r="X143" s="608">
        <f>+X18-X140</f>
        <v>62.035000000000025</v>
      </c>
      <c r="Y143" s="648">
        <f>+Y18-Y140</f>
        <v>220.45400000000001</v>
      </c>
      <c r="AA143" s="609">
        <f>+AA18-AA140</f>
        <v>64.972999999999999</v>
      </c>
      <c r="AB143" s="610">
        <f>+AB18-AB140</f>
        <v>68.088999999999999</v>
      </c>
      <c r="AC143" s="610">
        <f>+AC18-AC140</f>
        <v>66.158000000000001</v>
      </c>
      <c r="AD143" s="608">
        <f>+AD18-AD140</f>
        <v>63.067000000000007</v>
      </c>
      <c r="AE143" s="648">
        <f>+AE18-AE140</f>
        <v>262.28700000000003</v>
      </c>
      <c r="AG143" s="609">
        <f>+AG18-AG140</f>
        <v>65.456999999999994</v>
      </c>
      <c r="AH143" s="610">
        <f>+AH18-AH140</f>
        <v>68.88000000000001</v>
      </c>
      <c r="AI143" s="610">
        <f>+AI18-AI140</f>
        <v>68.896999999999991</v>
      </c>
      <c r="AJ143" s="608">
        <f>+AJ18-AJ140</f>
        <v>75.637</v>
      </c>
      <c r="AK143" s="648">
        <f>+AK18-AK140</f>
        <v>278.87099999999998</v>
      </c>
      <c r="AM143" s="609">
        <f>+AM18-AM140</f>
        <v>80.563999999999993</v>
      </c>
      <c r="AN143" s="610">
        <f>+AN18-AN140</f>
        <v>84.052999999999997</v>
      </c>
      <c r="AO143" s="610">
        <f>+AO18-AO140</f>
        <v>89.69</v>
      </c>
      <c r="AP143" s="608">
        <f>+AP18-AP140</f>
        <v>102.58500000000001</v>
      </c>
      <c r="AQ143" s="648">
        <f>+AQ18-AQ140</f>
        <v>356.892</v>
      </c>
      <c r="AS143" s="609">
        <f>+AS18-AS140</f>
        <v>103.16099999999999</v>
      </c>
      <c r="AT143" s="610">
        <f>+AT18-AT140</f>
        <v>112.687</v>
      </c>
      <c r="AU143" s="610">
        <f>+AU18-AU140</f>
        <v>118.301</v>
      </c>
      <c r="AV143" s="608">
        <f>+AV18-AV140</f>
        <v>120.586</v>
      </c>
      <c r="AW143" s="648">
        <f>+AW18-AW140</f>
        <v>454.73500000000001</v>
      </c>
      <c r="AY143" s="609">
        <f>+AY18-AY140</f>
        <v>114.815</v>
      </c>
      <c r="AZ143" s="610">
        <f>+AZ18-AZ140</f>
        <v>123.053</v>
      </c>
      <c r="BA143" s="610">
        <f>+BA18-BA140</f>
        <v>133.33699999999999</v>
      </c>
      <c r="BB143" s="608">
        <f>+BB18-BB140</f>
        <v>143.126</v>
      </c>
      <c r="BC143" s="648">
        <f>+BC18-BC140</f>
        <v>514.33100000000002</v>
      </c>
      <c r="BE143" s="609">
        <f>+BE18-BE140</f>
        <v>143.57242199999999</v>
      </c>
      <c r="BF143" s="610">
        <f>+BF18-BF140</f>
        <v>139.78563600000001</v>
      </c>
      <c r="BG143" s="610">
        <f>+BG18-BG140</f>
        <v>127.992915</v>
      </c>
      <c r="BH143" s="608">
        <f>+BH18-BH140</f>
        <v>141.20602700000001</v>
      </c>
      <c r="BI143" s="648">
        <f>+BI18-BI140</f>
        <v>552.55700000000002</v>
      </c>
      <c r="BJ143" s="649"/>
      <c r="BK143" s="609">
        <f>+BK18-BK140</f>
        <v>143.03</v>
      </c>
      <c r="BL143" s="610">
        <f>+BL18-BL140</f>
        <v>159.976</v>
      </c>
      <c r="BM143" s="610">
        <f>+BM18-BM140</f>
        <v>153.80199999999999</v>
      </c>
      <c r="BN143" s="608">
        <f>+BN18-BN140</f>
        <v>162.9076</v>
      </c>
      <c r="BO143" s="648">
        <f>+BO18-BO140</f>
        <v>619.71559999999999</v>
      </c>
      <c r="BP143" s="649"/>
      <c r="BQ143" s="609">
        <f>+BQ18-BQ140</f>
        <v>170.398</v>
      </c>
      <c r="BR143" s="610">
        <f>+BR18-BR140</f>
        <v>190.60804244751625</v>
      </c>
      <c r="BS143" s="610">
        <f>+BS18-BS140</f>
        <v>192.40497049897056</v>
      </c>
      <c r="BT143" s="608">
        <f>+BT18-BT140</f>
        <v>198.87794115697173</v>
      </c>
      <c r="BU143" s="648">
        <f>+BU18-BU140</f>
        <v>752.28895410345854</v>
      </c>
      <c r="BV143" s="649"/>
      <c r="BW143" s="609">
        <f>+BW18-BW140</f>
        <v>192.62547436109625</v>
      </c>
      <c r="BX143" s="610">
        <f>+BX18-BX140</f>
        <v>208.68570903499079</v>
      </c>
      <c r="BY143" s="610">
        <f>+BY18-BY140</f>
        <v>209.42994884963096</v>
      </c>
      <c r="BZ143" s="608">
        <f>+BZ18-BZ140</f>
        <v>215.95002645261584</v>
      </c>
      <c r="CA143" s="648">
        <f>+CA18-CA140</f>
        <v>826.69115869833377</v>
      </c>
      <c r="CB143" s="649"/>
      <c r="CC143" s="609">
        <f>+CC18-CC140</f>
        <v>213.96079326636078</v>
      </c>
      <c r="CD143" s="610">
        <f>+CD18-CD140</f>
        <v>229.94431507300948</v>
      </c>
      <c r="CE143" s="610">
        <f>+CE18-CE140</f>
        <v>230.68669274185407</v>
      </c>
      <c r="CF143" s="608">
        <f>+CF18-CF140</f>
        <v>238.17320293525637</v>
      </c>
      <c r="CG143" s="648">
        <f>+CG18-CG140</f>
        <v>912.76500401648059</v>
      </c>
      <c r="CH143" s="649"/>
      <c r="CI143" s="609">
        <f t="shared" ref="CI143:CM143" si="747">+CI18-CI140</f>
        <v>238.17945286496663</v>
      </c>
      <c r="CJ143" s="610">
        <f t="shared" si="747"/>
        <v>253.66255035408994</v>
      </c>
      <c r="CK143" s="610">
        <f t="shared" si="747"/>
        <v>254.32100020173186</v>
      </c>
      <c r="CL143" s="608">
        <f t="shared" si="747"/>
        <v>263.20259056295305</v>
      </c>
      <c r="CM143" s="648">
        <f t="shared" si="747"/>
        <v>1009.3655939837415</v>
      </c>
      <c r="CN143" s="649"/>
      <c r="CO143" s="609">
        <f t="shared" ref="CO143:CS143" si="748">+CO18-CO140</f>
        <v>263.86951893020199</v>
      </c>
      <c r="CP143" s="610">
        <f t="shared" si="748"/>
        <v>279.81890883445783</v>
      </c>
      <c r="CQ143" s="610">
        <f t="shared" si="748"/>
        <v>281.58026789543391</v>
      </c>
      <c r="CR143" s="608">
        <f t="shared" si="748"/>
        <v>291.72246106845239</v>
      </c>
      <c r="CS143" s="648">
        <f t="shared" si="748"/>
        <v>1116.9911567285462</v>
      </c>
    </row>
    <row r="144" spans="1:116">
      <c r="A144" s="2536" t="s">
        <v>788</v>
      </c>
      <c r="C144" s="2490">
        <f>+C143/C$9</f>
        <v>0.3275537075537075</v>
      </c>
      <c r="D144" s="2491">
        <f>+D143/D$9</f>
        <v>0.27558999231087716</v>
      </c>
      <c r="E144" s="2491">
        <f>+E143/E$9</f>
        <v>0.2492769972310532</v>
      </c>
      <c r="F144" s="2491">
        <f>+F143/F$9</f>
        <v>0.26658910873503605</v>
      </c>
      <c r="G144" s="2492">
        <f>+G143/G$9</f>
        <v>0.27605309720037402</v>
      </c>
      <c r="H144" s="1357"/>
      <c r="I144" s="2490">
        <f>+I143/I$9</f>
        <v>0.27758675868407445</v>
      </c>
      <c r="J144" s="2491">
        <f>+J143/J$9</f>
        <v>0.25407877183846139</v>
      </c>
      <c r="K144" s="2491">
        <f>+K143/K$9</f>
        <v>0.26197923599094908</v>
      </c>
      <c r="L144" s="2491">
        <f>+L143/L$9</f>
        <v>0.24362599190937514</v>
      </c>
      <c r="M144" s="2492">
        <f>+M143/M$9</f>
        <v>0.2582127436870339</v>
      </c>
      <c r="N144" s="1357"/>
      <c r="O144" s="2490">
        <f>+O143/O$9</f>
        <v>0.25839632715360439</v>
      </c>
      <c r="P144" s="2491">
        <f>+P143/P$9</f>
        <v>0.25945447684093959</v>
      </c>
      <c r="Q144" s="2491">
        <f>+Q143/Q$9</f>
        <v>0.26582470320788071</v>
      </c>
      <c r="R144" s="2491">
        <f>+R143/R$9</f>
        <v>0.27398041691588571</v>
      </c>
      <c r="S144" s="2492">
        <f>+S143/S$9</f>
        <v>0.2646415257442325</v>
      </c>
      <c r="T144" s="1357"/>
      <c r="U144" s="2490">
        <f>+U143/U$9</f>
        <v>0.26168603713091587</v>
      </c>
      <c r="V144" s="2491">
        <f>+V143/V$9</f>
        <v>0.25063324575595625</v>
      </c>
      <c r="W144" s="2491">
        <f>+W143/W$9</f>
        <v>0.23179061898200237</v>
      </c>
      <c r="X144" s="2491">
        <f>+X143/X$9</f>
        <v>0.23741092545675826</v>
      </c>
      <c r="Y144" s="2492">
        <f>+Y143/Y$9</f>
        <v>0.24420514854205139</v>
      </c>
      <c r="Z144" s="1357"/>
      <c r="AA144" s="2490">
        <f>+AA143/AA$9</f>
        <v>0.22998070898890324</v>
      </c>
      <c r="AB144" s="2491">
        <f>+AB143/AB$9</f>
        <v>0.23687249956514178</v>
      </c>
      <c r="AC144" s="2491">
        <f>+AC143/AC$9</f>
        <v>0.28092688291670032</v>
      </c>
      <c r="AD144" s="2491">
        <f>+AD143/AD$9</f>
        <v>0.25219637622915098</v>
      </c>
      <c r="AE144" s="2492">
        <f>+AE143/AE$9</f>
        <v>0.24848726001506352</v>
      </c>
      <c r="AF144" s="1357"/>
      <c r="AG144" s="2490">
        <f>+AG143/AG$9</f>
        <v>0.23997140447996479</v>
      </c>
      <c r="AH144" s="2491">
        <f>+AH143/AH$9</f>
        <v>0.24546786074474269</v>
      </c>
      <c r="AI144" s="2491">
        <f>+AI143/AI$9</f>
        <v>0.24100477832891409</v>
      </c>
      <c r="AJ144" s="2491">
        <f>+AJ143/AJ$9</f>
        <v>0.24457019061322816</v>
      </c>
      <c r="AK144" s="2492">
        <f>+AK143/AK$9</f>
        <v>0.24280985201773417</v>
      </c>
      <c r="AL144" s="649"/>
      <c r="AM144" s="627">
        <f>+AM143/AM$9</f>
        <v>0.24342665836752694</v>
      </c>
      <c r="AN144" s="628">
        <f>+AN143/AN$9</f>
        <v>0.24286176587863412</v>
      </c>
      <c r="AO144" s="628">
        <f>+AO143/AO$9</f>
        <v>0.25137331838565019</v>
      </c>
      <c r="AP144" s="628">
        <f>+AP143/AP$9</f>
        <v>0.26485441204566695</v>
      </c>
      <c r="AQ144" s="625">
        <f>+AQ143/AQ$9</f>
        <v>0.25112406749893396</v>
      </c>
      <c r="AR144" s="649"/>
      <c r="AS144" s="627">
        <f>+AS143/AS$9</f>
        <v>0.24516553741732633</v>
      </c>
      <c r="AT144" s="628">
        <f>+AT143/AT$9</f>
        <v>0.2517762663997426</v>
      </c>
      <c r="AU144" s="628">
        <f>+AU143/AU$9</f>
        <v>0.24613736137985562</v>
      </c>
      <c r="AV144" s="628">
        <f>+AV143/AV$9</f>
        <v>0.23534532055373072</v>
      </c>
      <c r="AW144" s="625">
        <f>+AW143/AW$9</f>
        <v>0.24430281547128499</v>
      </c>
      <c r="AX144" s="649"/>
      <c r="AY144" s="627">
        <f>+AY143/AY$9</f>
        <v>0.21318689480378411</v>
      </c>
      <c r="AZ144" s="628">
        <f>+AZ143/AZ$9</f>
        <v>0.22813870791912169</v>
      </c>
      <c r="BA144" s="628">
        <f>+BA143/BA$9</f>
        <v>0.24231151559867775</v>
      </c>
      <c r="BB144" s="628">
        <f>+BB143/BB$9</f>
        <v>0.24195162522736954</v>
      </c>
      <c r="BC144" s="625">
        <f>+BC143/BC$9</f>
        <v>0.23170547112708484</v>
      </c>
      <c r="BE144" s="627">
        <f>+BE143/BE$9</f>
        <v>0.25110477942783982</v>
      </c>
      <c r="BF144" s="628">
        <f>+BF143/BF$9</f>
        <v>0.23292792156287701</v>
      </c>
      <c r="BG144" s="628">
        <f>+BG143/BG$9</f>
        <v>0.21081319928385425</v>
      </c>
      <c r="BH144" s="628">
        <f>+BH143/BH$9</f>
        <v>0.22799178328142383</v>
      </c>
      <c r="BI144" s="625">
        <f>+BI143/BI$9</f>
        <v>0.23038826737959436</v>
      </c>
      <c r="BJ144" s="649"/>
      <c r="BK144" s="627">
        <f>+BK143/BK$9</f>
        <v>0.23918060200668897</v>
      </c>
      <c r="BL144" s="628">
        <f>+BL143/BL$9</f>
        <v>0.24150966183574879</v>
      </c>
      <c r="BM144" s="628">
        <f>+BM143/BM$9</f>
        <v>0.21540896358543415</v>
      </c>
      <c r="BN144" s="628">
        <f>+BN143/BN$9</f>
        <v>0.20947357592902147</v>
      </c>
      <c r="BO144" s="625">
        <f>+BO143/BO$9</f>
        <v>0.22517917226844952</v>
      </c>
      <c r="BP144" s="649"/>
      <c r="BQ144" s="627">
        <f>+BQ143/BQ$9</f>
        <v>0.21790025575447569</v>
      </c>
      <c r="BR144" s="628">
        <f>+BR143/BR$9</f>
        <v>0.24114408513780611</v>
      </c>
      <c r="BS144" s="628">
        <f>+BS143/BS$9</f>
        <v>0.23881165087979117</v>
      </c>
      <c r="BT144" s="628">
        <f>+BT143/BT$9</f>
        <v>0.23666982149538596</v>
      </c>
      <c r="BU144" s="625">
        <f>+BU143/BU$9</f>
        <v>0.23374430019884382</v>
      </c>
      <c r="BV144" s="649"/>
      <c r="BW144" s="627">
        <f>+BW143/BW$9</f>
        <v>0.22073291520665717</v>
      </c>
      <c r="BX144" s="628">
        <f>+BX143/BX$9</f>
        <v>0.23980696180255096</v>
      </c>
      <c r="BY144" s="628">
        <f>+BY143/BY$9</f>
        <v>0.23743041225262035</v>
      </c>
      <c r="BZ144" s="628">
        <f>+BZ143/BZ$9</f>
        <v>0.23528376972791734</v>
      </c>
      <c r="CA144" s="625">
        <f>+CA143/CA$9</f>
        <v>0.23334509113173366</v>
      </c>
      <c r="CB144" s="649"/>
      <c r="CC144" s="627">
        <f>+CC143/CC$9</f>
        <v>0.22257805605941922</v>
      </c>
      <c r="CD144" s="628">
        <f>+CD143/CD$9</f>
        <v>0.2396619146820497</v>
      </c>
      <c r="CE144" s="628">
        <f>+CE143/CE$9</f>
        <v>0.23727164014701013</v>
      </c>
      <c r="CF144" s="628">
        <f>+CF143/CF$9</f>
        <v>0.23510312098627861</v>
      </c>
      <c r="CG144" s="625">
        <f>+CG143/CG$9</f>
        <v>0.23368023237008081</v>
      </c>
      <c r="CH144" s="649"/>
      <c r="CI144" s="627">
        <f t="shared" ref="CI144:CM144" si="749">+CI143/CI$9</f>
        <v>0.22436428138924946</v>
      </c>
      <c r="CJ144" s="628">
        <f t="shared" si="749"/>
        <v>0.23944828884635566</v>
      </c>
      <c r="CK144" s="628">
        <f t="shared" si="749"/>
        <v>0.23704348680244516</v>
      </c>
      <c r="CL144" s="628">
        <f t="shared" si="749"/>
        <v>0.2348614251214145</v>
      </c>
      <c r="CM144" s="625">
        <f t="shared" si="749"/>
        <v>0.23394747281951639</v>
      </c>
      <c r="CN144" s="649"/>
      <c r="CO144" s="627">
        <f t="shared" ref="CO144:CS144" si="750">+CO143/CO$9</f>
        <v>0.22604696063935045</v>
      </c>
      <c r="CP144" s="628">
        <f t="shared" si="750"/>
        <v>0.23916236723997897</v>
      </c>
      <c r="CQ144" s="628">
        <f t="shared" si="750"/>
        <v>0.23677302231551423</v>
      </c>
      <c r="CR144" s="628">
        <f t="shared" si="750"/>
        <v>0.23456738232721344</v>
      </c>
      <c r="CS144" s="625">
        <f t="shared" si="750"/>
        <v>0.2341592412650676</v>
      </c>
    </row>
    <row r="145" spans="1:97">
      <c r="A145" s="400" t="s">
        <v>805</v>
      </c>
      <c r="B145" s="649"/>
      <c r="C145" s="609">
        <f>+C131-C141-C143</f>
        <v>8.257000000000005</v>
      </c>
      <c r="D145" s="610">
        <f>+D131-D141-D143</f>
        <v>13.038999999999998</v>
      </c>
      <c r="E145" s="610">
        <f>+E131-E141-E143</f>
        <v>16.372000000000003</v>
      </c>
      <c r="F145" s="608">
        <f>+F131-F141-F143</f>
        <v>22.438000000000017</v>
      </c>
      <c r="G145" s="648">
        <f>+G131-G141-G143</f>
        <v>60.106000000000023</v>
      </c>
      <c r="H145" s="649"/>
      <c r="I145" s="609">
        <f>+I131-I141-I143</f>
        <v>21.389000000000003</v>
      </c>
      <c r="J145" s="610">
        <f>+J131-J141-J143</f>
        <v>30.608999999999995</v>
      </c>
      <c r="K145" s="610">
        <f>+K131-K141-K143</f>
        <v>29.511999999999979</v>
      </c>
      <c r="L145" s="608">
        <f>+L131-L141-L143</f>
        <v>39.645000000000024</v>
      </c>
      <c r="M145" s="648">
        <f>+M131-M141-M143</f>
        <v>121.15499999999997</v>
      </c>
      <c r="N145" s="649"/>
      <c r="O145" s="609">
        <f>+O131-O141-O143</f>
        <v>39.097000000000008</v>
      </c>
      <c r="P145" s="610">
        <f>+P131-P141-P143</f>
        <v>38.690999999999995</v>
      </c>
      <c r="Q145" s="610">
        <f>+Q131-Q141-Q143</f>
        <v>33.213000000000029</v>
      </c>
      <c r="R145" s="608">
        <f>+R131-R141-R143</f>
        <v>38.275999999999982</v>
      </c>
      <c r="S145" s="648">
        <f>+S131-S141-S143</f>
        <v>149.27700000000004</v>
      </c>
      <c r="T145" s="649"/>
      <c r="U145" s="609">
        <f>+U131-U141-U143</f>
        <v>40.764000000000003</v>
      </c>
      <c r="V145" s="610">
        <f>+V131-V141-V143</f>
        <v>51.803000000000004</v>
      </c>
      <c r="W145" s="610">
        <f>+W131-W141-W143</f>
        <v>60.548999999999992</v>
      </c>
      <c r="X145" s="608">
        <f>+X131-X141-X143</f>
        <v>61.502999999999986</v>
      </c>
      <c r="Y145" s="648">
        <f>+Y131-Y141-Y143</f>
        <v>214.61900000000003</v>
      </c>
      <c r="Z145" s="649"/>
      <c r="AA145" s="609">
        <f>+AA131-AA141-AA143</f>
        <v>77.288999999999973</v>
      </c>
      <c r="AB145" s="610">
        <f>+AB131-AB141-AB143</f>
        <v>79.355999999999995</v>
      </c>
      <c r="AC145" s="610">
        <f>+AC131-AC141-AC143</f>
        <v>44.368000000000009</v>
      </c>
      <c r="AD145" s="608">
        <f>+AD131-AD141-AD143</f>
        <v>65.774999999999949</v>
      </c>
      <c r="AE145" s="648">
        <f>+AE131-AE141-AE143</f>
        <v>266.78799999999978</v>
      </c>
      <c r="AF145" s="649"/>
      <c r="AG145" s="609">
        <f>+AG131-AG141-AG143</f>
        <v>72.712999999999994</v>
      </c>
      <c r="AH145" s="610">
        <f>+AH131-AH141-AH143</f>
        <v>78.903999999999954</v>
      </c>
      <c r="AI145" s="610">
        <f>+AI131-AI141-AI143</f>
        <v>77.262000000000029</v>
      </c>
      <c r="AJ145" s="608">
        <f>+AJ131-AJ141-AJ143</f>
        <v>78.241000000000014</v>
      </c>
      <c r="AK145" s="648">
        <f>+AK131-AK141-AK143</f>
        <v>307.12000000000012</v>
      </c>
      <c r="AL145" s="649"/>
      <c r="AM145" s="609">
        <f>+AM131-AM141-AM143</f>
        <v>85.844000000000023</v>
      </c>
      <c r="AN145" s="610">
        <f>+AN131-AN141-AN143</f>
        <v>87.211000000000013</v>
      </c>
      <c r="AO145" s="610">
        <f>+AO131-AO141-AO143</f>
        <v>88.176000000000045</v>
      </c>
      <c r="AP145" s="608">
        <f>+AP131-AP141-AP143</f>
        <v>95.172000000000054</v>
      </c>
      <c r="AQ145" s="648">
        <f>+AQ131-AQ141-AQ143</f>
        <v>356.40300000000008</v>
      </c>
      <c r="AR145" s="649"/>
      <c r="AS145" s="609">
        <f>+AS131-AS141-AS143</f>
        <v>113.55500000000002</v>
      </c>
      <c r="AT145" s="610">
        <f>+AT131-AT141-AT143</f>
        <v>119.72599999999998</v>
      </c>
      <c r="AU145" s="610">
        <f>+AU131-AU141-AU143</f>
        <v>145.91500000000002</v>
      </c>
      <c r="AV145" s="608">
        <f>+AV131-AV141-AV143</f>
        <v>154.52799999999996</v>
      </c>
      <c r="AW145" s="648">
        <f>+AW131-AW141-AW143</f>
        <v>533.72399999999959</v>
      </c>
      <c r="AX145" s="649"/>
      <c r="AY145" s="609">
        <f>+AY131-AY141-AY143</f>
        <v>179.82500000000005</v>
      </c>
      <c r="AZ145" s="610">
        <f>+AZ131-AZ141-AZ143</f>
        <v>168.5139999999999</v>
      </c>
      <c r="BA145" s="610">
        <f>+BA131-BA141-BA143</f>
        <v>168.20799999999997</v>
      </c>
      <c r="BB145" s="608">
        <f>+BB131-BB141-BB143</f>
        <v>165.82199999999997</v>
      </c>
      <c r="BC145" s="648">
        <f>+BC131-BC141-BC143</f>
        <v>682.36899999999957</v>
      </c>
      <c r="BD145" s="649"/>
      <c r="BE145" s="609">
        <f>+BE131-BE141-BE143</f>
        <v>145.12944500000006</v>
      </c>
      <c r="BF145" s="610">
        <f>+BF131-BF141-BF143</f>
        <v>178.49010000000004</v>
      </c>
      <c r="BG145" s="610">
        <f>+BG131-BG141-BG143</f>
        <v>197.87942100000004</v>
      </c>
      <c r="BH145" s="608">
        <f>+BH131-BH141-BH143</f>
        <v>174.14603400000004</v>
      </c>
      <c r="BI145" s="648">
        <f>+BI131-BI141-BI143</f>
        <v>695.64500000000044</v>
      </c>
      <c r="BJ145" s="649"/>
      <c r="BK145" s="609">
        <f>+BK131-BK141-BK143</f>
        <v>126.52799999999999</v>
      </c>
      <c r="BL145" s="610">
        <f>+BL131-BL141-BL143</f>
        <v>158.6232</v>
      </c>
      <c r="BM145" s="610">
        <f>+BM131-BM141-BM143</f>
        <v>209.47</v>
      </c>
      <c r="BN145" s="608">
        <f>+BN131-BN141-BN143</f>
        <v>258.89630000000011</v>
      </c>
      <c r="BO145" s="648">
        <f>+BO131-BO141-BO143</f>
        <v>753.51750000000038</v>
      </c>
      <c r="BP145" s="649"/>
      <c r="BQ145" s="609">
        <f>+BQ131-BQ141-BQ143</f>
        <v>244.85799999999998</v>
      </c>
      <c r="BR145" s="610">
        <f>+BR131-BR141-BR143</f>
        <v>199.93275572115658</v>
      </c>
      <c r="BS145" s="610">
        <f>+BS131-BS141-BS143</f>
        <v>207.84441653084184</v>
      </c>
      <c r="BT145" s="608">
        <f>+BT131-BT141-BT143</f>
        <v>220.58529242155097</v>
      </c>
      <c r="BU145" s="648">
        <f>+BU131-BU141-BU143</f>
        <v>873.22046467354971</v>
      </c>
      <c r="BV145" s="649"/>
      <c r="BW145" s="609">
        <f>+BW131-BW141-BW143</f>
        <v>265.09286495413642</v>
      </c>
      <c r="BX145" s="610">
        <f>+BX131-BX141-BX143</f>
        <v>216.92126569826445</v>
      </c>
      <c r="BY145" s="610">
        <f>+BY131-BY141-BY143</f>
        <v>224.92635060713903</v>
      </c>
      <c r="BZ145" s="608">
        <f>+BZ131-BZ141-BZ143</f>
        <v>237.68861136164699</v>
      </c>
      <c r="CA145" s="648">
        <f>+CA131-CA141-CA143</f>
        <v>944.62909262118751</v>
      </c>
      <c r="CB145" s="649"/>
      <c r="CC145" s="609">
        <f>+CC131-CC141-CC143</f>
        <v>288.03727002790799</v>
      </c>
      <c r="CD145" s="610">
        <f>+CD131-CD141-CD143</f>
        <v>235.80515168357982</v>
      </c>
      <c r="CE145" s="610">
        <f>+CE131-CE141-CE143</f>
        <v>244.6680305373788</v>
      </c>
      <c r="CF145" s="608">
        <f>+CF131-CF141-CF143</f>
        <v>258.77820689869912</v>
      </c>
      <c r="CG145" s="648">
        <f>+CG131-CG141-CG143</f>
        <v>1027.2886591475658</v>
      </c>
      <c r="CH145" s="649"/>
      <c r="CI145" s="609">
        <f t="shared" ref="CI145:CM145" si="751">+CI131-CI141-CI143</f>
        <v>313.32697336696424</v>
      </c>
      <c r="CJ145" s="610">
        <f t="shared" si="751"/>
        <v>256.62167774259967</v>
      </c>
      <c r="CK145" s="610">
        <f t="shared" si="751"/>
        <v>266.24751475872301</v>
      </c>
      <c r="CL145" s="608">
        <f t="shared" si="751"/>
        <v>282.3194797906952</v>
      </c>
      <c r="CM145" s="648">
        <f t="shared" si="751"/>
        <v>1118.5156456589823</v>
      </c>
      <c r="CN145" s="649"/>
      <c r="CO145" s="609">
        <f t="shared" ref="CO145:CS145" si="752">+CO131-CO141-CO143</f>
        <v>340.8571414102417</v>
      </c>
      <c r="CP145" s="610">
        <f t="shared" si="752"/>
        <v>281.78692321603137</v>
      </c>
      <c r="CQ145" s="610">
        <f t="shared" si="752"/>
        <v>293.65815280451335</v>
      </c>
      <c r="CR145" s="608">
        <f t="shared" si="752"/>
        <v>311.65527028737665</v>
      </c>
      <c r="CS145" s="648">
        <f t="shared" si="752"/>
        <v>1227.9574877181626</v>
      </c>
    </row>
    <row r="146" spans="1:97" s="1357" customFormat="1">
      <c r="A146" s="2497" t="s">
        <v>806</v>
      </c>
      <c r="B146" s="2584"/>
      <c r="C146" s="2499">
        <f>+C145/C$9</f>
        <v>0.1144421344421345</v>
      </c>
      <c r="D146" s="2500">
        <f t="shared" ref="D146:G146" si="753">+D145/D$9</f>
        <v>0.15424380434139703</v>
      </c>
      <c r="E146" s="2500">
        <f t="shared" si="753"/>
        <v>0.16790072813044818</v>
      </c>
      <c r="F146" s="2500">
        <f t="shared" si="753"/>
        <v>0.19926467976270837</v>
      </c>
      <c r="G146" s="2501">
        <f t="shared" si="753"/>
        <v>0.16386631370314536</v>
      </c>
      <c r="H146" s="2584"/>
      <c r="I146" s="2499">
        <f>+I145/I$9</f>
        <v>0.17551964943665324</v>
      </c>
      <c r="J146" s="2500">
        <f t="shared" ref="J146:K146" si="754">+J145/J$9</f>
        <v>0.21835964530557792</v>
      </c>
      <c r="K146" s="2500">
        <f t="shared" si="754"/>
        <v>0.19640622920271517</v>
      </c>
      <c r="L146" s="2500">
        <f>+L145/L$9</f>
        <v>0.24635393687821197</v>
      </c>
      <c r="M146" s="2501">
        <f t="shared" ref="M146" si="755">+M145/M$9</f>
        <v>0.21135679706921359</v>
      </c>
      <c r="N146" s="2584"/>
      <c r="O146" s="2499">
        <f>+O145/O$9</f>
        <v>0.23586937504901759</v>
      </c>
      <c r="P146" s="2500">
        <f t="shared" ref="P146:S146" si="756">+P145/P$9</f>
        <v>0.23936081364488407</v>
      </c>
      <c r="Q146" s="2500">
        <f t="shared" si="756"/>
        <v>0.20973099267491807</v>
      </c>
      <c r="R146" s="2500">
        <f t="shared" si="756"/>
        <v>0.21198023969340504</v>
      </c>
      <c r="S146" s="2501">
        <f t="shared" si="756"/>
        <v>0.22403065175500211</v>
      </c>
      <c r="T146" s="2584"/>
      <c r="U146" s="2499">
        <f>+U145/U$9</f>
        <v>0.21216773971925407</v>
      </c>
      <c r="V146" s="2500">
        <f t="shared" ref="V146:Y146" si="757">+V145/V$9</f>
        <v>0.24435031579741798</v>
      </c>
      <c r="W146" s="2500">
        <f t="shared" si="757"/>
        <v>0.25514835088429005</v>
      </c>
      <c r="X146" s="2500">
        <f t="shared" si="757"/>
        <v>0.23537493589694519</v>
      </c>
      <c r="Y146" s="2501">
        <f t="shared" si="757"/>
        <v>0.23774150060759403</v>
      </c>
      <c r="Z146" s="2584"/>
      <c r="AA146" s="2499">
        <f>+AA145/AA$9</f>
        <v>0.27357485443250795</v>
      </c>
      <c r="AB146" s="2500">
        <f t="shared" ref="AB146:AE146" si="758">+AB145/AB$9</f>
        <v>0.27606888154461645</v>
      </c>
      <c r="AC146" s="2500">
        <f t="shared" si="758"/>
        <v>0.18839995074289068</v>
      </c>
      <c r="AD146" s="2500">
        <f t="shared" si="758"/>
        <v>0.26302530081456849</v>
      </c>
      <c r="AE146" s="2501">
        <f t="shared" si="758"/>
        <v>0.2527514483176776</v>
      </c>
      <c r="AF146" s="2584"/>
      <c r="AG146" s="2499">
        <f>+AG145/AG$9</f>
        <v>0.26657257029732007</v>
      </c>
      <c r="AH146" s="2500">
        <f t="shared" ref="AH146:AK146" si="759">+AH145/AH$9</f>
        <v>0.28119041934092864</v>
      </c>
      <c r="AI146" s="2500">
        <f t="shared" si="759"/>
        <v>0.27026592134996547</v>
      </c>
      <c r="AJ146" s="2500">
        <f t="shared" si="759"/>
        <v>0.25299015407498432</v>
      </c>
      <c r="AK146" s="2501">
        <f t="shared" si="759"/>
        <v>0.26740593949061231</v>
      </c>
      <c r="AL146" s="2584"/>
      <c r="AM146" s="2499">
        <f>+AM145/AM$9</f>
        <v>0.25938034433372215</v>
      </c>
      <c r="AN146" s="2500">
        <f t="shared" ref="AN146:AQ146" si="760">+AN145/AN$9</f>
        <v>0.25198645454703061</v>
      </c>
      <c r="AO146" s="2500">
        <f t="shared" si="760"/>
        <v>0.24713004484304946</v>
      </c>
      <c r="AP146" s="2500">
        <f t="shared" si="760"/>
        <v>0.24571549547409688</v>
      </c>
      <c r="AQ146" s="2501">
        <f t="shared" si="760"/>
        <v>0.2507799867433918</v>
      </c>
      <c r="AR146" s="2584"/>
      <c r="AS146" s="2499">
        <f>+AS145/AS$9</f>
        <v>0.26986722309229744</v>
      </c>
      <c r="AT146" s="2500">
        <f t="shared" ref="AT146:AW146" si="761">+AT145/AT$9</f>
        <v>0.2675034855038787</v>
      </c>
      <c r="AU146" s="2500">
        <f t="shared" si="761"/>
        <v>0.30359111998834865</v>
      </c>
      <c r="AV146" s="2500">
        <f t="shared" si="761"/>
        <v>0.30158925326760067</v>
      </c>
      <c r="AW146" s="2501">
        <f t="shared" si="761"/>
        <v>0.28673903676777907</v>
      </c>
      <c r="AX146" s="2584"/>
      <c r="AY146" s="2499">
        <f>+AY145/AY$9</f>
        <v>0.33389655844698418</v>
      </c>
      <c r="AZ146" s="2500">
        <f t="shared" ref="AZ146:BC146" si="762">+AZ145/AZ$9</f>
        <v>0.31242282777569702</v>
      </c>
      <c r="BA146" s="2500">
        <f t="shared" si="762"/>
        <v>0.30568210936066043</v>
      </c>
      <c r="BB146" s="2500">
        <f t="shared" si="762"/>
        <v>0.2803187568887055</v>
      </c>
      <c r="BC146" s="2501">
        <f t="shared" si="762"/>
        <v>0.30740637960285816</v>
      </c>
      <c r="BD146" s="2584"/>
      <c r="BE146" s="2499">
        <f>+BE145/BE$9</f>
        <v>0.25382797592708878</v>
      </c>
      <c r="BF146" s="2500">
        <f t="shared" ref="BF146:BG146" si="763">+BF145/BF$9</f>
        <v>0.29742203277989221</v>
      </c>
      <c r="BG146" s="2500">
        <f t="shared" si="763"/>
        <v>0.32592111691062514</v>
      </c>
      <c r="BH146" s="2500">
        <f>+BH145/BH$9</f>
        <v>0.28117684270691556</v>
      </c>
      <c r="BI146" s="2501">
        <f t="shared" ref="BI146" si="764">+BI145/BI$9</f>
        <v>0.29004871218947192</v>
      </c>
      <c r="BJ146" s="2502"/>
      <c r="BK146" s="2499">
        <f>+BK145/BK$9</f>
        <v>0.21158528428093645</v>
      </c>
      <c r="BL146" s="2500">
        <f t="shared" ref="BL146" si="765">+BL145/BL$9</f>
        <v>0.23946739130434783</v>
      </c>
      <c r="BM146" s="2500">
        <f t="shared" ref="BM146:BO146" si="766">+BM145/BM$9</f>
        <v>0.293375350140056</v>
      </c>
      <c r="BN146" s="2500">
        <f t="shared" si="766"/>
        <v>0.33289996142471401</v>
      </c>
      <c r="BO146" s="2501">
        <f t="shared" si="766"/>
        <v>0.27379728207550608</v>
      </c>
      <c r="BP146" s="2502"/>
      <c r="BQ146" s="2499">
        <f t="shared" ref="BQ146:BU146" si="767">+BQ145/BQ$9</f>
        <v>0.3131176470588235</v>
      </c>
      <c r="BR146" s="2500">
        <f t="shared" si="767"/>
        <v>0.25294106611862438</v>
      </c>
      <c r="BS146" s="2500">
        <f t="shared" si="767"/>
        <v>0.25797497907229411</v>
      </c>
      <c r="BT146" s="2500">
        <f t="shared" si="767"/>
        <v>0.26250212305200088</v>
      </c>
      <c r="BU146" s="2501">
        <f t="shared" si="767"/>
        <v>0.27131902618147152</v>
      </c>
      <c r="BV146" s="2502"/>
      <c r="BW146" s="2499">
        <f t="shared" ref="BW146:CA146" si="768">+BW145/BW$9</f>
        <v>0.30377457122892976</v>
      </c>
      <c r="BX146" s="2500">
        <f t="shared" si="768"/>
        <v>0.2492706851753923</v>
      </c>
      <c r="BY146" s="2500">
        <f t="shared" si="768"/>
        <v>0.25499865919116632</v>
      </c>
      <c r="BZ146" s="2500">
        <f t="shared" si="768"/>
        <v>0.2589685837099594</v>
      </c>
      <c r="CA146" s="2501">
        <f t="shared" si="768"/>
        <v>0.26663471525502619</v>
      </c>
      <c r="CB146" s="2502"/>
      <c r="CC146" s="2499">
        <f t="shared" ref="CC146:CG146" si="769">+CC145/CC$9</f>
        <v>0.29963796009889521</v>
      </c>
      <c r="CD146" s="2500">
        <f t="shared" si="769"/>
        <v>0.24577043414373748</v>
      </c>
      <c r="CE146" s="2500">
        <f t="shared" si="769"/>
        <v>0.25165207497298331</v>
      </c>
      <c r="CF146" s="2500">
        <f t="shared" si="769"/>
        <v>0.25544252390834821</v>
      </c>
      <c r="CG146" s="2501">
        <f t="shared" si="769"/>
        <v>0.26299984281213473</v>
      </c>
      <c r="CH146" s="2502"/>
      <c r="CI146" s="2499">
        <f t="shared" ref="CI146:CM146" si="770">+CI145/CI$9</f>
        <v>0.29515300490342022</v>
      </c>
      <c r="CJ146" s="2500">
        <f t="shared" si="770"/>
        <v>0.24224159825946359</v>
      </c>
      <c r="CK146" s="2500">
        <f t="shared" si="770"/>
        <v>0.24815976345182447</v>
      </c>
      <c r="CL146" s="2500">
        <f t="shared" si="770"/>
        <v>0.25191984327114719</v>
      </c>
      <c r="CM146" s="2501">
        <f t="shared" si="770"/>
        <v>0.25924591661405838</v>
      </c>
      <c r="CN146" s="2502"/>
      <c r="CO146" s="2499">
        <f t="shared" ref="CO146:CS146" si="771">+CO145/CO$9</f>
        <v>0.29199932277279583</v>
      </c>
      <c r="CP146" s="2500">
        <f t="shared" si="771"/>
        <v>0.24084443719093393</v>
      </c>
      <c r="CQ146" s="2500">
        <f t="shared" si="771"/>
        <v>0.24692898009790987</v>
      </c>
      <c r="CR146" s="2500">
        <f t="shared" si="771"/>
        <v>0.2505948999334553</v>
      </c>
      <c r="CS146" s="2501">
        <f t="shared" si="771"/>
        <v>0.25742154886166352</v>
      </c>
    </row>
    <row r="147" spans="1:97" s="1357" customFormat="1">
      <c r="A147" s="2587" t="s">
        <v>813</v>
      </c>
      <c r="B147" s="2588"/>
      <c r="C147" s="2589">
        <f t="shared" ref="C147" si="772">+C146-C138</f>
        <v>0</v>
      </c>
      <c r="D147" s="2590">
        <f t="shared" ref="D147" si="773">+D146-D138</f>
        <v>0</v>
      </c>
      <c r="E147" s="2590">
        <f t="shared" ref="E147" si="774">+E146-E138</f>
        <v>0</v>
      </c>
      <c r="F147" s="2590">
        <f t="shared" ref="F147" si="775">+F146-F138</f>
        <v>0</v>
      </c>
      <c r="G147" s="2591">
        <f>+G146-G138</f>
        <v>0</v>
      </c>
      <c r="H147" s="2588"/>
      <c r="I147" s="2589">
        <f t="shared" ref="I147" si="776">+I146-I138</f>
        <v>0</v>
      </c>
      <c r="J147" s="2590">
        <f t="shared" ref="J147" si="777">+J146-J138</f>
        <v>0</v>
      </c>
      <c r="K147" s="2590">
        <f t="shared" ref="K147" si="778">+K146-K138</f>
        <v>0</v>
      </c>
      <c r="L147" s="2590">
        <f t="shared" ref="L147:M147" si="779">+L146-L138</f>
        <v>0</v>
      </c>
      <c r="M147" s="2591">
        <f t="shared" si="779"/>
        <v>0</v>
      </c>
      <c r="N147" s="2588"/>
      <c r="O147" s="2589">
        <f t="shared" ref="O147" si="780">+O146-O138</f>
        <v>0</v>
      </c>
      <c r="P147" s="2590">
        <f t="shared" ref="P147" si="781">+P146-P138</f>
        <v>0</v>
      </c>
      <c r="Q147" s="2590">
        <f t="shared" ref="Q147" si="782">+Q146-Q138</f>
        <v>0</v>
      </c>
      <c r="R147" s="2590">
        <f t="shared" ref="R147:S147" si="783">+R146-R138</f>
        <v>0</v>
      </c>
      <c r="S147" s="2591">
        <f t="shared" si="783"/>
        <v>0</v>
      </c>
      <c r="T147" s="2588"/>
      <c r="U147" s="2589">
        <f t="shared" ref="U147" si="784">+U146-U138</f>
        <v>0</v>
      </c>
      <c r="V147" s="2590">
        <f t="shared" ref="V147" si="785">+V146-V138</f>
        <v>0</v>
      </c>
      <c r="W147" s="2590">
        <f t="shared" ref="W147" si="786">+W146-W138</f>
        <v>0</v>
      </c>
      <c r="X147" s="2590">
        <f t="shared" ref="X147:Y147" si="787">+X146-X138</f>
        <v>0</v>
      </c>
      <c r="Y147" s="2591">
        <f t="shared" si="787"/>
        <v>0</v>
      </c>
      <c r="Z147" s="2588"/>
      <c r="AA147" s="2589">
        <f t="shared" ref="AA147" si="788">+AA146-AA138</f>
        <v>0</v>
      </c>
      <c r="AB147" s="2590">
        <f t="shared" ref="AB147" si="789">+AB146-AB138</f>
        <v>0</v>
      </c>
      <c r="AC147" s="2590">
        <f t="shared" ref="AC147" si="790">+AC146-AC138</f>
        <v>0</v>
      </c>
      <c r="AD147" s="2590">
        <f t="shared" ref="AD147:AE147" si="791">+AD146-AD138</f>
        <v>0</v>
      </c>
      <c r="AE147" s="2591">
        <f t="shared" si="791"/>
        <v>0</v>
      </c>
      <c r="AF147" s="2588"/>
      <c r="AG147" s="2589">
        <f t="shared" ref="AG147" si="792">+AG146-AG138</f>
        <v>0</v>
      </c>
      <c r="AH147" s="2590">
        <f t="shared" ref="AH147" si="793">+AH146-AH138</f>
        <v>0</v>
      </c>
      <c r="AI147" s="2590">
        <f t="shared" ref="AI147" si="794">+AI146-AI138</f>
        <v>0</v>
      </c>
      <c r="AJ147" s="2590">
        <f t="shared" ref="AJ147:AK147" si="795">+AJ146-AJ138</f>
        <v>0</v>
      </c>
      <c r="AK147" s="2591">
        <f t="shared" si="795"/>
        <v>0</v>
      </c>
      <c r="AL147" s="2588"/>
      <c r="AM147" s="2589">
        <f t="shared" ref="AM147" si="796">+AM146-AM138</f>
        <v>0</v>
      </c>
      <c r="AN147" s="2590">
        <f t="shared" ref="AN147" si="797">+AN146-AN138</f>
        <v>0</v>
      </c>
      <c r="AO147" s="2590">
        <f t="shared" ref="AO147" si="798">+AO146-AO138</f>
        <v>0</v>
      </c>
      <c r="AP147" s="2590">
        <f t="shared" ref="AP147:AQ147" si="799">+AP146-AP138</f>
        <v>0</v>
      </c>
      <c r="AQ147" s="2591">
        <f t="shared" si="799"/>
        <v>0</v>
      </c>
      <c r="AR147" s="2588"/>
      <c r="AS147" s="2589">
        <f t="shared" ref="AS147" si="800">+AS146-AS138</f>
        <v>0</v>
      </c>
      <c r="AT147" s="2590">
        <f t="shared" ref="AT147" si="801">+AT146-AT138</f>
        <v>0</v>
      </c>
      <c r="AU147" s="2590">
        <f t="shared" ref="AU147" si="802">+AU146-AU138</f>
        <v>0</v>
      </c>
      <c r="AV147" s="2590">
        <f t="shared" ref="AV147:AW147" si="803">+AV146-AV138</f>
        <v>0</v>
      </c>
      <c r="AW147" s="2591">
        <f t="shared" si="803"/>
        <v>0</v>
      </c>
      <c r="AX147" s="2588"/>
      <c r="AY147" s="2589">
        <f t="shared" ref="AY147" si="804">+AY146-AY138</f>
        <v>0</v>
      </c>
      <c r="AZ147" s="2590">
        <f t="shared" ref="AZ147" si="805">+AZ146-AZ138</f>
        <v>0</v>
      </c>
      <c r="BA147" s="2590">
        <f t="shared" ref="BA147" si="806">+BA146-BA138</f>
        <v>4.5432159790357862E-3</v>
      </c>
      <c r="BB147" s="2590">
        <f t="shared" ref="BB147:BC147" si="807">+BB146-BB138</f>
        <v>6.7619195737285143E-3</v>
      </c>
      <c r="BC147" s="2591">
        <f t="shared" si="807"/>
        <v>2.9282418565593216E-3</v>
      </c>
      <c r="BD147" s="2588"/>
      <c r="BE147" s="2589">
        <f t="shared" ref="BE147" si="808">+BE146-BE138</f>
        <v>1.499999999999993E-2</v>
      </c>
      <c r="BF147" s="2590">
        <f t="shared" ref="BF147" si="809">+BF146-BF138</f>
        <v>2.5000000000000022E-2</v>
      </c>
      <c r="BG147" s="2590">
        <f t="shared" ref="BG147" si="810">+BG146-BG138</f>
        <v>3.9000000000000035E-2</v>
      </c>
      <c r="BH147" s="2590">
        <f t="shared" ref="BH147:BI147" si="811">+BH146-BH138</f>
        <v>2.9938037965792974E-2</v>
      </c>
      <c r="BI147" s="2591">
        <f t="shared" si="811"/>
        <v>2.7435265490397043E-2</v>
      </c>
      <c r="BJ147" s="2588"/>
      <c r="BK147" s="2589">
        <f t="shared" ref="BK147:BL147" si="812">+BK146-BK138</f>
        <v>3.6000000000000004E-2</v>
      </c>
      <c r="BL147" s="2590">
        <f t="shared" si="812"/>
        <v>1.8000000000000016E-2</v>
      </c>
      <c r="BM147" s="2590">
        <f t="shared" ref="BM147" si="813">+BM146-BM138</f>
        <v>2.4999999999999967E-2</v>
      </c>
      <c r="BN147" s="2590">
        <f t="shared" ref="BN147:BO147" si="814">+BN146-BN138</f>
        <v>1.8999999999999961E-2</v>
      </c>
      <c r="BO147" s="2591">
        <f t="shared" si="814"/>
        <v>2.4009847025907527E-2</v>
      </c>
      <c r="BP147" s="2588"/>
      <c r="BQ147" s="2589">
        <f t="shared" ref="BQ147" si="815">+BQ146-BQ138</f>
        <v>1.8999999999999961E-2</v>
      </c>
      <c r="BR147" s="2590">
        <f t="shared" ref="BR147" si="816">+BR146-BR138</f>
        <v>1.5181568335189494E-2</v>
      </c>
      <c r="BS147" s="2590">
        <f t="shared" ref="BS147" si="817">+BS146-BS138</f>
        <v>1.4894312777500834E-2</v>
      </c>
      <c r="BT147" s="2590">
        <f t="shared" ref="BT147:BU147" si="818">+BT146-BT138</f>
        <v>1.4280306007909832E-2</v>
      </c>
      <c r="BU147" s="2591">
        <f t="shared" si="818"/>
        <v>1.580212969321082E-2</v>
      </c>
      <c r="BV147" s="2588"/>
      <c r="BW147" s="2589">
        <f t="shared" ref="BW147" si="819">+BW146-BW138</f>
        <v>1.4896928390205122E-2</v>
      </c>
      <c r="BX147" s="2590">
        <f t="shared" ref="BX147" si="820">+BX146-BX138</f>
        <v>1.4938687070854634E-2</v>
      </c>
      <c r="BY147" s="2590">
        <f t="shared" ref="BY147" si="821">+BY146-BY138</f>
        <v>1.4738080089491984E-2</v>
      </c>
      <c r="BZ147" s="2590">
        <f t="shared" ref="BZ147:CA147" si="822">+BZ146-BZ138</f>
        <v>1.4163874192134357E-2</v>
      </c>
      <c r="CA147" s="2591">
        <f t="shared" si="822"/>
        <v>1.4677724094637301E-2</v>
      </c>
      <c r="CB147" s="2588"/>
      <c r="CC147" s="2589">
        <f t="shared" ref="CC147:CF147" si="823">+CC146-CC138</f>
        <v>1.352357450446684E-2</v>
      </c>
      <c r="CD147" s="2590">
        <f t="shared" si="823"/>
        <v>1.3549388641669297E-2</v>
      </c>
      <c r="CE147" s="2590">
        <f t="shared" si="823"/>
        <v>1.3371084761108459E-2</v>
      </c>
      <c r="CF147" s="2590">
        <f t="shared" si="823"/>
        <v>1.2832428397297146E-2</v>
      </c>
      <c r="CG147" s="2591">
        <f>+CG146-CG138</f>
        <v>1.3312705931728286E-2</v>
      </c>
      <c r="CH147" s="2588"/>
      <c r="CI147" s="2589">
        <f t="shared" ref="CI147:CM147" si="824">+CI146-CI138</f>
        <v>1.2245958343492624E-2</v>
      </c>
      <c r="CJ147" s="2590">
        <f t="shared" si="824"/>
        <v>1.2271530624672039E-2</v>
      </c>
      <c r="CK147" s="2590">
        <f t="shared" si="824"/>
        <v>1.2116833946026612E-2</v>
      </c>
      <c r="CL147" s="2590">
        <f t="shared" si="824"/>
        <v>1.1600184177701423E-2</v>
      </c>
      <c r="CM147" s="2591">
        <f t="shared" si="824"/>
        <v>1.2052390787961359E-2</v>
      </c>
      <c r="CN147" s="2588"/>
      <c r="CO147" s="2589">
        <f t="shared" ref="CO147:CS147" si="825">+CO146-CO138</f>
        <v>1.1136604562078545E-2</v>
      </c>
      <c r="CP147" s="2590">
        <f t="shared" si="825"/>
        <v>1.1111153235034282E-2</v>
      </c>
      <c r="CQ147" s="2590">
        <f t="shared" si="825"/>
        <v>1.0931338737289464E-2</v>
      </c>
      <c r="CR147" s="2590">
        <f t="shared" si="825"/>
        <v>1.0453003718278148E-2</v>
      </c>
      <c r="CS147" s="2591">
        <f t="shared" si="825"/>
        <v>1.0900964141422137E-2</v>
      </c>
    </row>
    <row r="148" spans="1:97">
      <c r="A148" s="400" t="s">
        <v>730</v>
      </c>
      <c r="B148" s="649"/>
      <c r="C148" s="609">
        <f>+(C145+C25-C26)-((C145+C25-C26)*C57)+C29</f>
        <v>5.0430000000000055</v>
      </c>
      <c r="D148" s="610">
        <f t="shared" ref="D148:F148" si="826">+(D145+D25-D26)-((D145+D25-D26)*D57)+D29</f>
        <v>9.0619999999999958</v>
      </c>
      <c r="E148" s="610">
        <f t="shared" si="826"/>
        <v>11.234000000000004</v>
      </c>
      <c r="F148" s="608">
        <f t="shared" si="826"/>
        <v>12.858000000000022</v>
      </c>
      <c r="G148" s="648">
        <f>+SUM(C148:F148)</f>
        <v>38.197000000000031</v>
      </c>
      <c r="H148" s="649"/>
      <c r="I148" s="609">
        <f>+(I145+I25-I26)-((I145+I25-I26)*I57)+I29</f>
        <v>11.628</v>
      </c>
      <c r="J148" s="610">
        <f t="shared" ref="J148:L148" si="827">+(J145+J25-J26)-((J145+J25-J26)*J57)+J29</f>
        <v>15.175999999999991</v>
      </c>
      <c r="K148" s="610">
        <f t="shared" si="827"/>
        <v>15.900999999999982</v>
      </c>
      <c r="L148" s="608">
        <f t="shared" si="827"/>
        <v>27.61200000000003</v>
      </c>
      <c r="M148" s="648">
        <f>+SUM(I148:L148)</f>
        <v>70.317000000000007</v>
      </c>
      <c r="N148" s="649"/>
      <c r="O148" s="609">
        <f t="shared" ref="O148:AV148" si="828">+(O145+O25-O26)-((O145+O25-O26)*O57)+O29</f>
        <v>25.423000000000005</v>
      </c>
      <c r="P148" s="610">
        <f t="shared" si="828"/>
        <v>29.165999999999997</v>
      </c>
      <c r="Q148" s="610">
        <f t="shared" si="828"/>
        <v>22.561000000000028</v>
      </c>
      <c r="R148" s="608">
        <f t="shared" si="828"/>
        <v>27.024999999999977</v>
      </c>
      <c r="S148" s="648">
        <f t="shared" ref="S148" si="829">+SUM(O148:R148)</f>
        <v>104.17500000000001</v>
      </c>
      <c r="T148" s="649"/>
      <c r="U148" s="609">
        <f t="shared" ref="U148" si="830">+(U145+U25-U26)-((U145+U25-U26)*U57)+U29</f>
        <v>26.558000000000007</v>
      </c>
      <c r="V148" s="610">
        <f t="shared" si="828"/>
        <v>34.036000000000001</v>
      </c>
      <c r="W148" s="610">
        <f t="shared" si="828"/>
        <v>40.739999999999995</v>
      </c>
      <c r="X148" s="608">
        <f t="shared" si="828"/>
        <v>40.84999999999998</v>
      </c>
      <c r="Y148" s="648">
        <f t="shared" ref="Y148" si="831">+SUM(U148:X148)</f>
        <v>142.18399999999997</v>
      </c>
      <c r="Z148" s="649"/>
      <c r="AA148" s="609">
        <f t="shared" ref="AA148" si="832">+(AA145+AA25-AA26)-((AA145+AA25-AA26)*AA57)+AA29</f>
        <v>50.266999999999982</v>
      </c>
      <c r="AB148" s="610">
        <f t="shared" si="828"/>
        <v>52.489999999999988</v>
      </c>
      <c r="AC148" s="610">
        <f t="shared" si="828"/>
        <v>29.728000000000002</v>
      </c>
      <c r="AD148" s="608">
        <f t="shared" si="828"/>
        <v>43.522999999999954</v>
      </c>
      <c r="AE148" s="648">
        <f t="shared" ref="AE148" si="833">+SUM(AA148:AD148)</f>
        <v>176.00799999999992</v>
      </c>
      <c r="AF148" s="649"/>
      <c r="AG148" s="609">
        <f t="shared" ref="AG148" si="834">+(AG145+AG25-AG26)-((AG145+AG25-AG26)*AG57)+AG29</f>
        <v>47.551999999999992</v>
      </c>
      <c r="AH148" s="610">
        <f t="shared" si="828"/>
        <v>52.572999999999951</v>
      </c>
      <c r="AI148" s="610">
        <f t="shared" si="828"/>
        <v>53.503000000000036</v>
      </c>
      <c r="AJ148" s="608">
        <f t="shared" si="828"/>
        <v>56.800000000000018</v>
      </c>
      <c r="AK148" s="648">
        <f t="shared" ref="AK148" si="835">+SUM(AG148:AJ148)</f>
        <v>210.428</v>
      </c>
      <c r="AL148" s="649"/>
      <c r="AM148" s="609">
        <f t="shared" ref="AM148" si="836">+(AM145+AM25-AM26)-((AM145+AM25-AM26)*AM57)+AM29</f>
        <v>62.619000000000028</v>
      </c>
      <c r="AN148" s="610">
        <f t="shared" si="828"/>
        <v>59.69400000000001</v>
      </c>
      <c r="AO148" s="610">
        <f t="shared" si="828"/>
        <v>62.846000000000039</v>
      </c>
      <c r="AP148" s="608">
        <f t="shared" si="828"/>
        <v>64.504000000000048</v>
      </c>
      <c r="AQ148" s="648">
        <f t="shared" ref="AQ148" si="837">+SUM(AM148:AP148)</f>
        <v>249.66300000000012</v>
      </c>
      <c r="AR148" s="649"/>
      <c r="AS148" s="609">
        <f t="shared" ref="AS148" si="838">+(AS145+AS25-AS26)-((AS145+AS25-AS26)*AS57)+AS29</f>
        <v>80.047000000000025</v>
      </c>
      <c r="AT148" s="610">
        <f t="shared" si="828"/>
        <v>84.57</v>
      </c>
      <c r="AU148" s="610">
        <f t="shared" si="828"/>
        <v>113.65100000000004</v>
      </c>
      <c r="AV148" s="608">
        <f t="shared" si="828"/>
        <v>128.94899999999996</v>
      </c>
      <c r="AW148" s="648">
        <f t="shared" ref="AW148" si="839">+SUM(AS148:AV148)</f>
        <v>407.21699999999998</v>
      </c>
      <c r="AX148" s="649"/>
      <c r="AY148" s="609">
        <f>+(AY145+AY25-AY26)-((AY145+AY25-AY26)*AY57)+AY29</f>
        <v>135.37600000000006</v>
      </c>
      <c r="AZ148" s="610">
        <f t="shared" ref="AZ148:BB148" si="840">+(AZ145+AZ25-AZ26)-((AZ145+AZ25-AZ26)*AZ57)+AZ29</f>
        <v>119.67099999999991</v>
      </c>
      <c r="BA148" s="610">
        <f t="shared" si="840"/>
        <v>121.37090812367308</v>
      </c>
      <c r="BB148" s="608">
        <f t="shared" si="840"/>
        <v>123.51193149499196</v>
      </c>
      <c r="BC148" s="648">
        <f>+SUM(AY148:BB148)</f>
        <v>499.92983961866503</v>
      </c>
      <c r="BD148" s="649"/>
      <c r="BE148" s="609">
        <f>+(BE145+BE25-BE26)-((BE145+BE25-BE26)*BE57)+BE29</f>
        <v>111.92792274615391</v>
      </c>
      <c r="BF148" s="610">
        <f t="shared" ref="BF148:BH148" si="841">+(BF145+BF25-BF26)-((BF145+BF25-BF26)*BF57)+BF29</f>
        <v>138.34541820801411</v>
      </c>
      <c r="BG148" s="610">
        <f t="shared" si="841"/>
        <v>161.91117995197169</v>
      </c>
      <c r="BH148" s="608">
        <f t="shared" si="841"/>
        <v>139.68273704569006</v>
      </c>
      <c r="BI148" s="648">
        <f>+SUM(BE148:BH148)</f>
        <v>551.86725795182974</v>
      </c>
      <c r="BJ148" s="649"/>
      <c r="BK148" s="609">
        <f>+(BK145+BK25-BK26)-((BK145+BK25-BK26)*BK57)+BK29</f>
        <v>110.14599999999999</v>
      </c>
      <c r="BL148" s="610">
        <f t="shared" ref="BL148" si="842">+(BL145+BL25-BL26)-((BL145+BL25-BL26)*BL57)+BL29</f>
        <v>130.2424</v>
      </c>
      <c r="BM148" s="610">
        <f t="shared" ref="BM148:BN148" si="843">+(BM145+BM25-BM26)-((BM145+BM25-BM26)*BM57)+BM29</f>
        <v>177.40870619669099</v>
      </c>
      <c r="BN148" s="608">
        <f t="shared" si="843"/>
        <v>224.24266575654161</v>
      </c>
      <c r="BO148" s="648">
        <f t="shared" ref="BO148" si="844">+SUM(BK148:BN148)</f>
        <v>642.0397719532325</v>
      </c>
      <c r="BP148" s="649"/>
      <c r="BQ148" s="609">
        <f>+(BQ145+BQ25-BQ26)-((BQ145+BQ25-BQ26)*BQ57)+BQ29</f>
        <v>226.94495278969956</v>
      </c>
      <c r="BR148" s="610">
        <f t="shared" ref="BR148:BT148" si="845">+(BR145+BR25-BR26)-((BR145+BR25-BR26)*BR57)+BR29</f>
        <v>174.87165001571481</v>
      </c>
      <c r="BS148" s="610">
        <f t="shared" si="845"/>
        <v>182.03933703477836</v>
      </c>
      <c r="BT148" s="608">
        <f t="shared" si="845"/>
        <v>192.92614500258659</v>
      </c>
      <c r="BU148" s="648">
        <f>+SUM(BQ148:BT148)</f>
        <v>776.78208484277934</v>
      </c>
      <c r="BV148" s="649"/>
      <c r="BW148" s="609">
        <f t="shared" ref="BW148:CF148" si="846">+(BW145+BW25-BW26)-((BW145+BW25-BW26)*BW57)+BW29</f>
        <v>229.26174878211995</v>
      </c>
      <c r="BX148" s="610">
        <f t="shared" si="846"/>
        <v>191.27823001353332</v>
      </c>
      <c r="BY148" s="610">
        <f t="shared" si="846"/>
        <v>198.70812953458113</v>
      </c>
      <c r="BZ148" s="608">
        <f t="shared" si="846"/>
        <v>209.78885826705712</v>
      </c>
      <c r="CA148" s="648">
        <f t="shared" ref="CA148" si="847">+SUM(BW148:BZ148)</f>
        <v>829.03696659729144</v>
      </c>
      <c r="CB148" s="649"/>
      <c r="CC148" s="609">
        <f t="shared" ref="CC148" si="848">+(CC145+CC25-CC26)-((CC145+CC25-CC26)*CC57)+CC29</f>
        <v>250.97453602593075</v>
      </c>
      <c r="CD148" s="610">
        <f t="shared" si="846"/>
        <v>267.34221423167105</v>
      </c>
      <c r="CE148" s="610">
        <f t="shared" si="846"/>
        <v>282.08886697121034</v>
      </c>
      <c r="CF148" s="608">
        <f t="shared" si="846"/>
        <v>298.6466537319244</v>
      </c>
      <c r="CG148" s="648">
        <f t="shared" ref="CG148" si="849">+SUM(CC148:CF148)</f>
        <v>1099.0522709607367</v>
      </c>
      <c r="CH148" s="649"/>
      <c r="CI148" s="609">
        <f t="shared" ref="CI148:CR148" si="850">+(CI145+CI25-CI26)-((CI145+CI25-CI26)*CI57)+CI29</f>
        <v>347.6727668744245</v>
      </c>
      <c r="CJ148" s="610">
        <f t="shared" si="850"/>
        <v>237.84490994919395</v>
      </c>
      <c r="CK148" s="610">
        <f t="shared" si="850"/>
        <v>247.61753087029064</v>
      </c>
      <c r="CL148" s="608">
        <f t="shared" si="850"/>
        <v>262.17597142459147</v>
      </c>
      <c r="CM148" s="648">
        <f t="shared" ref="CM148" si="851">+SUM(CI148:CL148)</f>
        <v>1095.3111791185006</v>
      </c>
      <c r="CN148" s="649"/>
      <c r="CO148" s="609">
        <f t="shared" si="850"/>
        <v>310.75222375662787</v>
      </c>
      <c r="CP148" s="610">
        <f t="shared" si="850"/>
        <v>264.98641651531909</v>
      </c>
      <c r="CQ148" s="610">
        <f t="shared" si="850"/>
        <v>277.02115128469575</v>
      </c>
      <c r="CR148" s="608">
        <f t="shared" si="850"/>
        <v>293.57510452868428</v>
      </c>
      <c r="CS148" s="648">
        <f t="shared" ref="CS148" si="852">+SUM(CO148:CR148)</f>
        <v>1146.3348960853268</v>
      </c>
    </row>
    <row r="149" spans="1:97">
      <c r="A149" s="2489" t="s">
        <v>732</v>
      </c>
      <c r="B149" s="1357"/>
      <c r="C149" s="2490">
        <f>+C148/C$9</f>
        <v>6.9896049896049972E-2</v>
      </c>
      <c r="D149" s="2491">
        <f>+D148/D$9</f>
        <v>0.10719820192819537</v>
      </c>
      <c r="E149" s="2491">
        <f>+E148/E$9</f>
        <v>0.11520869654394424</v>
      </c>
      <c r="F149" s="2491">
        <f>+F148/F$9</f>
        <v>0.1141877730808854</v>
      </c>
      <c r="G149" s="2492">
        <f>+G148/G$9</f>
        <v>0.10413605271552002</v>
      </c>
      <c r="H149" s="1357"/>
      <c r="I149" s="2490">
        <f>+I148/I$9</f>
        <v>9.5420191857936501E-2</v>
      </c>
      <c r="J149" s="2491">
        <f>+J148/J$9</f>
        <v>0.10826312447833804</v>
      </c>
      <c r="K149" s="2491">
        <f>+K148/K$9</f>
        <v>0.10582323971782233</v>
      </c>
      <c r="L149" s="2491">
        <f>+L148/L$9</f>
        <v>0.17158090314241878</v>
      </c>
      <c r="M149" s="2492">
        <f>+M148/M$9</f>
        <v>0.12266910898861705</v>
      </c>
      <c r="N149" s="1357"/>
      <c r="O149" s="2490">
        <f>+O148/O$9</f>
        <v>0.15337512141267037</v>
      </c>
      <c r="P149" s="2491">
        <f>+P148/P$9</f>
        <v>0.18043466156901317</v>
      </c>
      <c r="Q149" s="2491">
        <f>+Q148/Q$9</f>
        <v>0.14246653195251344</v>
      </c>
      <c r="R149" s="2491">
        <f>+R148/R$9</f>
        <v>0.14966992312974892</v>
      </c>
      <c r="S149" s="2492">
        <f>+S148/S$9</f>
        <v>0.15634286023015831</v>
      </c>
      <c r="T149" s="1357"/>
      <c r="U149" s="2490">
        <f>+U148/U$9</f>
        <v>0.13822860444176113</v>
      </c>
      <c r="V149" s="2491">
        <f>+V148/V$9</f>
        <v>0.16054489794955731</v>
      </c>
      <c r="W149" s="2491">
        <f>+W148/W$9</f>
        <v>0.17167490487086454</v>
      </c>
      <c r="X149" s="2491">
        <f>+X148/X$9</f>
        <v>0.15633491262849306</v>
      </c>
      <c r="Y149" s="2492">
        <f>+Y148/Y$9</f>
        <v>0.15750253948807019</v>
      </c>
      <c r="Z149" s="1357"/>
      <c r="AA149" s="2490">
        <f>+AA148/AA$9</f>
        <v>0.17792683574323481</v>
      </c>
      <c r="AB149" s="2491">
        <f>+AB148/AB$9</f>
        <v>0.1826056705514002</v>
      </c>
      <c r="AC149" s="2491">
        <f>+AC148/AC$9</f>
        <v>0.1262340816733829</v>
      </c>
      <c r="AD149" s="2491">
        <f>+AD148/AD$9</f>
        <v>0.1740425719095775</v>
      </c>
      <c r="AE149" s="2492">
        <f>+AE148/AE$9</f>
        <v>0.16674766824406576</v>
      </c>
      <c r="AF149" s="1357"/>
      <c r="AG149" s="2490">
        <f>+AG148/AG$9</f>
        <v>0.17433002162994463</v>
      </c>
      <c r="AH149" s="2491">
        <f>+AH148/AH$9</f>
        <v>0.18735455637243531</v>
      </c>
      <c r="AI149" s="2491">
        <f>+AI148/AI$9</f>
        <v>0.1871558798631566</v>
      </c>
      <c r="AJ149" s="2491">
        <f>+AJ148/AJ$9</f>
        <v>0.18366126137778288</v>
      </c>
      <c r="AK149" s="2492">
        <f>+AK148/AK$9</f>
        <v>0.18321729954132113</v>
      </c>
      <c r="AL149" s="1357"/>
      <c r="AM149" s="2490">
        <f>+AM148/AM$9</f>
        <v>0.18920527680249466</v>
      </c>
      <c r="AN149" s="2491">
        <f>+AN148/AN$9</f>
        <v>0.17247915306246284</v>
      </c>
      <c r="AO149" s="2491">
        <f>+AO148/AO$9</f>
        <v>0.17613789237668173</v>
      </c>
      <c r="AP149" s="2491">
        <f>+AP148/AP$9</f>
        <v>0.16653671584143601</v>
      </c>
      <c r="AQ149" s="2492">
        <f>+AQ148/AQ$9</f>
        <v>0.17567327949067613</v>
      </c>
      <c r="AR149" s="1357"/>
      <c r="AS149" s="2490">
        <f>+AS148/AS$9</f>
        <v>0.19023434993500188</v>
      </c>
      <c r="AT149" s="2491">
        <f>+AT148/AT$9</f>
        <v>0.18895452758016659</v>
      </c>
      <c r="AU149" s="2491">
        <f>+AU148/AU$9</f>
        <v>0.23646255955724788</v>
      </c>
      <c r="AV149" s="2491">
        <f>+AV148/AV$9</f>
        <v>0.25166722289555182</v>
      </c>
      <c r="AW149" s="2492">
        <f>+AW148/AW$9</f>
        <v>0.21877414231974723</v>
      </c>
      <c r="AX149" s="1357"/>
      <c r="AY149" s="2490">
        <f>+AY148/AY$9</f>
        <v>0.25136427357886243</v>
      </c>
      <c r="AZ149" s="2491">
        <f>+AZ148/AZ$9</f>
        <v>0.22186852263162368</v>
      </c>
      <c r="BA149" s="2491">
        <f>+BA148/BA$9</f>
        <v>0.22056569967102224</v>
      </c>
      <c r="BB149" s="2491">
        <f>+BB148/BB$9</f>
        <v>0.2087944367912527</v>
      </c>
      <c r="BC149" s="2492">
        <f>+BC148/BC$9</f>
        <v>0.22521776641760022</v>
      </c>
      <c r="BD149" s="1357"/>
      <c r="BE149" s="2490">
        <f>+BE148/BE$9</f>
        <v>0.19575929667738889</v>
      </c>
      <c r="BF149" s="2491">
        <f>+BF148/BF$9</f>
        <v>0.23052805454875011</v>
      </c>
      <c r="BG149" s="2491">
        <f>+BG148/BG$9</f>
        <v>0.26667893176351987</v>
      </c>
      <c r="BH149" s="2491">
        <f>+BH148/BH$9</f>
        <v>0.22553227358119127</v>
      </c>
      <c r="BI149" s="2492">
        <f>+BI148/BI$9</f>
        <v>0.23010067989917732</v>
      </c>
      <c r="BJ149" s="1357"/>
      <c r="BK149" s="2490">
        <f>+BK148/BK$9</f>
        <v>0.18419063545150499</v>
      </c>
      <c r="BL149" s="2491">
        <f>+BL148/BL$9</f>
        <v>0.19662198067632852</v>
      </c>
      <c r="BM149" s="2491">
        <f>+BM148/BM$9</f>
        <v>0.24847157730628991</v>
      </c>
      <c r="BN149" s="2491">
        <f>+BN148/BN$9</f>
        <v>0.28834083291313051</v>
      </c>
      <c r="BO149" s="2492">
        <f>+BO148/BO$9</f>
        <v>0.23329085860006266</v>
      </c>
      <c r="BP149" s="1357"/>
      <c r="BQ149" s="2490">
        <f>+BQ148/BQ$9</f>
        <v>0.29021093707122703</v>
      </c>
      <c r="BR149" s="2491">
        <f>+BR148/BR$9</f>
        <v>0.2212354920500767</v>
      </c>
      <c r="BS149" s="2491">
        <f>+BS148/BS$9</f>
        <v>0.22594590196707379</v>
      </c>
      <c r="BT149" s="2491">
        <f>+BT148/BT$9</f>
        <v>0.22958703229694258</v>
      </c>
      <c r="BU149" s="2492">
        <f>+BU148/BU$9</f>
        <v>0.24135458036195517</v>
      </c>
      <c r="BV149" s="1357"/>
      <c r="BW149" s="2490">
        <f>+BW148/BW$9</f>
        <v>0.26271506570926434</v>
      </c>
      <c r="BX149" s="2491">
        <f>+BX148/BX$9</f>
        <v>0.21980350935685702</v>
      </c>
      <c r="BY149" s="2491">
        <f>+BY148/BY$9</f>
        <v>0.22527510211644602</v>
      </c>
      <c r="BZ149" s="2491">
        <f>+BZ148/BZ$9</f>
        <v>0.22857099964662242</v>
      </c>
      <c r="CA149" s="2492">
        <f>+CA148/CA$9</f>
        <v>0.23400722807634752</v>
      </c>
      <c r="CB149" s="1357"/>
      <c r="CC149" s="2490">
        <f>+CC148/CC$9</f>
        <v>0.26108252589774333</v>
      </c>
      <c r="CD149" s="2491">
        <f>+CD148/CD$9</f>
        <v>0.27864027391917745</v>
      </c>
      <c r="CE149" s="2491">
        <f>+CE148/CE$9</f>
        <v>0.29014108849516335</v>
      </c>
      <c r="CF149" s="2491">
        <f>+CF148/CF$9</f>
        <v>0.29479706154671864</v>
      </c>
      <c r="CG149" s="2492">
        <f>+CG148/CG$9</f>
        <v>0.28137230167112409</v>
      </c>
      <c r="CH149" s="1357"/>
      <c r="CI149" s="2490">
        <f t="shared" ref="CI149:CM149" si="853">+CI148/CI$9</f>
        <v>0.32750663233161692</v>
      </c>
      <c r="CJ149" s="2491">
        <f t="shared" si="853"/>
        <v>0.22451700741260716</v>
      </c>
      <c r="CK149" s="2491">
        <f t="shared" si="853"/>
        <v>0.23079542336003323</v>
      </c>
      <c r="CL149" s="2491">
        <f t="shared" si="853"/>
        <v>0.23394535042254161</v>
      </c>
      <c r="CM149" s="2492">
        <f t="shared" si="853"/>
        <v>0.25386766086844187</v>
      </c>
      <c r="CN149" s="1357"/>
      <c r="CO149" s="2490">
        <f t="shared" ref="CO149:CS149" si="854">+CO148/CO$9</f>
        <v>0.26620958713570092</v>
      </c>
      <c r="CP149" s="2491">
        <f t="shared" si="854"/>
        <v>0.22648497531571601</v>
      </c>
      <c r="CQ149" s="2491">
        <f t="shared" si="854"/>
        <v>0.23293938785283871</v>
      </c>
      <c r="CR149" s="2491">
        <f t="shared" si="854"/>
        <v>0.23605705071017097</v>
      </c>
      <c r="CS149" s="2492">
        <f t="shared" si="854"/>
        <v>0.24031068454398111</v>
      </c>
    </row>
    <row r="150" spans="1:97">
      <c r="A150" s="2280" t="s">
        <v>785</v>
      </c>
      <c r="C150" s="2331">
        <v>0</v>
      </c>
      <c r="D150" s="2332">
        <v>0</v>
      </c>
      <c r="E150" s="2332">
        <v>0</v>
      </c>
      <c r="F150" s="2333">
        <v>0</v>
      </c>
      <c r="G150" s="2330">
        <f>+SUM(C150:F150)</f>
        <v>0</v>
      </c>
      <c r="I150" s="2331">
        <v>0</v>
      </c>
      <c r="J150" s="2332">
        <v>0</v>
      </c>
      <c r="K150" s="2332">
        <v>0</v>
      </c>
      <c r="L150" s="2333">
        <v>0</v>
      </c>
      <c r="M150" s="2330">
        <f>+SUM(I150:L150)</f>
        <v>0</v>
      </c>
      <c r="O150" s="2331">
        <v>0</v>
      </c>
      <c r="P150" s="2332">
        <v>0</v>
      </c>
      <c r="Q150" s="2332">
        <v>0</v>
      </c>
      <c r="R150" s="2333">
        <v>0</v>
      </c>
      <c r="S150" s="2330">
        <f>+SUM(O150:R150)</f>
        <v>0</v>
      </c>
      <c r="U150" s="2331">
        <v>0</v>
      </c>
      <c r="V150" s="2332">
        <v>0</v>
      </c>
      <c r="W150" s="2332">
        <v>0</v>
      </c>
      <c r="X150" s="2333">
        <v>0</v>
      </c>
      <c r="Y150" s="2330">
        <f>+SUM(U150:X150)</f>
        <v>0</v>
      </c>
      <c r="AA150" s="2331">
        <v>0</v>
      </c>
      <c r="AB150" s="2332">
        <v>0</v>
      </c>
      <c r="AC150" s="2332">
        <v>0</v>
      </c>
      <c r="AD150" s="2333">
        <v>0</v>
      </c>
      <c r="AE150" s="2330">
        <f>+SUM(AA150:AD150)</f>
        <v>0</v>
      </c>
      <c r="AG150" s="2331">
        <v>0</v>
      </c>
      <c r="AH150" s="2332">
        <v>0</v>
      </c>
      <c r="AI150" s="2332">
        <v>0</v>
      </c>
      <c r="AJ150" s="2333">
        <v>0</v>
      </c>
      <c r="AK150" s="2330">
        <f>+SUM(AG150:AJ150)</f>
        <v>0</v>
      </c>
      <c r="AM150" s="2331">
        <v>0</v>
      </c>
      <c r="AN150" s="2332">
        <v>0</v>
      </c>
      <c r="AO150" s="2332">
        <v>0</v>
      </c>
      <c r="AP150" s="2333">
        <v>0</v>
      </c>
      <c r="AQ150" s="2330">
        <f>+SUM(AM150:AP150)</f>
        <v>0</v>
      </c>
      <c r="AS150" s="2331">
        <v>0</v>
      </c>
      <c r="AT150" s="2332">
        <v>0</v>
      </c>
      <c r="AU150" s="2332">
        <v>0</v>
      </c>
      <c r="AV150" s="2333">
        <v>0</v>
      </c>
      <c r="AW150" s="2330">
        <f>+SUM(AS150:AV150)</f>
        <v>0</v>
      </c>
      <c r="AY150" s="2331">
        <v>0</v>
      </c>
      <c r="AZ150" s="2332">
        <v>0</v>
      </c>
      <c r="BA150" s="2332">
        <v>0</v>
      </c>
      <c r="BB150" s="2333">
        <v>0.01</v>
      </c>
      <c r="BC150" s="2330">
        <f>+SUM(AY150:BB150)</f>
        <v>0.01</v>
      </c>
      <c r="BE150" s="2627">
        <v>0.02</v>
      </c>
      <c r="BF150" s="2628">
        <v>0.02</v>
      </c>
      <c r="BG150" s="2628">
        <v>0.02</v>
      </c>
      <c r="BH150" s="2629">
        <v>0.03</v>
      </c>
      <c r="BI150" s="2630">
        <v>0.09</v>
      </c>
      <c r="BJ150" s="2631"/>
      <c r="BK150" s="2627">
        <v>0.04</v>
      </c>
      <c r="BL150" s="2628">
        <v>0.05</v>
      </c>
      <c r="BM150" s="2628">
        <v>7.0000000000000007E-2</v>
      </c>
      <c r="BN150" s="2629">
        <v>0.06</v>
      </c>
      <c r="BO150" s="2330">
        <f>+SUM(BK150:BN150)</f>
        <v>0.22</v>
      </c>
      <c r="BQ150" s="2627">
        <v>-0.04</v>
      </c>
      <c r="BR150" s="2328">
        <f>+((BR139+BR140)*(1-BR57))/BR42</f>
        <v>6.5075566223157813E-2</v>
      </c>
      <c r="BS150" s="2328">
        <f>+((BS139+BS140)*(1-BS57))/BS42</f>
        <v>6.5370118930457077E-2</v>
      </c>
      <c r="BT150" s="2329">
        <f>+((BT139+BT140)*(1-BT57))/BT42</f>
        <v>6.5660986863293219E-2</v>
      </c>
      <c r="BU150" s="2330">
        <f>+SUM(BQ150:BT150)</f>
        <v>0.15610667201690812</v>
      </c>
      <c r="BW150" s="2327">
        <f>+((BW139+BW140)*(1-BW57))/BW42</f>
        <v>7.1443853537921265E-2</v>
      </c>
      <c r="BX150" s="2328">
        <f>+((BX139+BX140)*(1-BX57))/BX42</f>
        <v>7.1750986591028035E-2</v>
      </c>
      <c r="BY150" s="2328">
        <f>+((BY139+BY140)*(1-BY57))/BY42</f>
        <v>7.2054141082155243E-2</v>
      </c>
      <c r="BZ150" s="2329">
        <f>+((BZ139+BZ140)*(1-BZ57))/BZ42</f>
        <v>7.2353324829751584E-2</v>
      </c>
      <c r="CA150" s="2330">
        <f>+SUM(BW150:BZ150)</f>
        <v>0.28760230604085613</v>
      </c>
      <c r="CC150" s="2327">
        <f>+((CC139+CC140)*(1-CC57))/CC42</f>
        <v>7.2626546052647373E-2</v>
      </c>
      <c r="CD150" s="2328">
        <f>+((CD139+CD140)*(1-CD57))/CD42</f>
        <v>7.2868876214575842E-2</v>
      </c>
      <c r="CE150" s="2328">
        <f>+((CE139+CE140)*(1-CE57))/CE42</f>
        <v>7.310761229394247E-2</v>
      </c>
      <c r="CF150" s="2329">
        <f>+((CF139+CF140)*(1-CF57))/CF42</f>
        <v>7.3342779481593359E-2</v>
      </c>
      <c r="CG150" s="2330">
        <f>+SUM(CC150:CF150)</f>
        <v>0.29194581404275904</v>
      </c>
      <c r="CI150" s="2327">
        <f t="shared" ref="CI150:CL150" si="855">+((CI139+CI140)*(1-CI57))/CI42</f>
        <v>7.3574403852538314E-2</v>
      </c>
      <c r="CJ150" s="2328">
        <f t="shared" si="855"/>
        <v>7.3802512321647418E-2</v>
      </c>
      <c r="CK150" s="2328">
        <f t="shared" si="855"/>
        <v>7.4027132599994577E-2</v>
      </c>
      <c r="CL150" s="2329">
        <f t="shared" si="855"/>
        <v>7.424829315188565E-2</v>
      </c>
      <c r="CM150" s="2330">
        <f t="shared" ref="CM150:CM152" si="856">+SUM(CI150:CL150)</f>
        <v>0.29565234192606599</v>
      </c>
      <c r="CO150" s="2327">
        <f t="shared" ref="CO150:CR150" si="857">+((CO139+CO140)*(1-CO57))/CO42</f>
        <v>7.4466023152606767E-2</v>
      </c>
      <c r="CP150" s="2328">
        <f t="shared" si="857"/>
        <v>7.4680352446924836E-2</v>
      </c>
      <c r="CQ150" s="2328">
        <f t="shared" si="857"/>
        <v>7.4891311508369474E-2</v>
      </c>
      <c r="CR150" s="2329">
        <f t="shared" si="857"/>
        <v>7.5098931399322832E-2</v>
      </c>
      <c r="CS150" s="2330">
        <f t="shared" ref="CS150:CS152" si="858">+SUM(CO150:CR150)</f>
        <v>0.29913661850722389</v>
      </c>
    </row>
    <row r="151" spans="1:97">
      <c r="A151" s="2280" t="s">
        <v>786</v>
      </c>
      <c r="C151" s="2331">
        <v>0</v>
      </c>
      <c r="D151" s="2332">
        <v>0</v>
      </c>
      <c r="E151" s="2332">
        <v>0</v>
      </c>
      <c r="F151" s="2333">
        <v>0</v>
      </c>
      <c r="G151" s="2330">
        <f>+SUM(C151:F151)</f>
        <v>0</v>
      </c>
      <c r="I151" s="2331">
        <v>0</v>
      </c>
      <c r="J151" s="2332">
        <v>0</v>
      </c>
      <c r="K151" s="2332">
        <v>0</v>
      </c>
      <c r="L151" s="2333">
        <v>0</v>
      </c>
      <c r="M151" s="2330">
        <f>+SUM(I151:L151)</f>
        <v>0</v>
      </c>
      <c r="O151" s="2331">
        <v>0</v>
      </c>
      <c r="P151" s="2332">
        <v>0</v>
      </c>
      <c r="Q151" s="2332">
        <v>0</v>
      </c>
      <c r="R151" s="2333">
        <v>0</v>
      </c>
      <c r="S151" s="2330">
        <f>+SUM(O151:R151)</f>
        <v>0</v>
      </c>
      <c r="U151" s="2331">
        <v>0</v>
      </c>
      <c r="V151" s="2332">
        <v>0</v>
      </c>
      <c r="W151" s="2332">
        <v>0</v>
      </c>
      <c r="X151" s="2333">
        <v>0</v>
      </c>
      <c r="Y151" s="2330">
        <f>+SUM(U151:X151)</f>
        <v>0</v>
      </c>
      <c r="AA151" s="2331">
        <v>0</v>
      </c>
      <c r="AB151" s="2332">
        <v>0</v>
      </c>
      <c r="AC151" s="2332">
        <v>0</v>
      </c>
      <c r="AD151" s="2333">
        <v>0</v>
      </c>
      <c r="AE151" s="2330">
        <f>+SUM(AA151:AD151)</f>
        <v>0</v>
      </c>
      <c r="AG151" s="2331">
        <v>0</v>
      </c>
      <c r="AH151" s="2332">
        <v>0</v>
      </c>
      <c r="AI151" s="2332">
        <v>0</v>
      </c>
      <c r="AJ151" s="2333">
        <v>0</v>
      </c>
      <c r="AK151" s="2330">
        <f>+SUM(AG151:AJ151)</f>
        <v>0</v>
      </c>
      <c r="AM151" s="2331">
        <v>0</v>
      </c>
      <c r="AN151" s="2332">
        <v>0</v>
      </c>
      <c r="AO151" s="2332">
        <v>0</v>
      </c>
      <c r="AP151" s="2333">
        <v>0</v>
      </c>
      <c r="AQ151" s="2330">
        <f>+SUM(AM151:AP151)</f>
        <v>0</v>
      </c>
      <c r="AS151" s="2331">
        <v>0</v>
      </c>
      <c r="AT151" s="2332">
        <v>0</v>
      </c>
      <c r="AU151" s="2332">
        <v>0</v>
      </c>
      <c r="AV151" s="2333">
        <v>0</v>
      </c>
      <c r="AW151" s="2330">
        <f>+SUM(AS151:AV151)</f>
        <v>0</v>
      </c>
      <c r="AY151" s="2331">
        <v>0</v>
      </c>
      <c r="AZ151" s="2332">
        <v>0</v>
      </c>
      <c r="BA151" s="2332">
        <v>0</v>
      </c>
      <c r="BB151" s="2333">
        <v>0</v>
      </c>
      <c r="BC151" s="2330">
        <f>+SUM(AY151:BB151)</f>
        <v>0</v>
      </c>
      <c r="BE151" s="2627">
        <v>0.04</v>
      </c>
      <c r="BF151" s="2628">
        <v>0.06</v>
      </c>
      <c r="BG151" s="2628">
        <v>0.05</v>
      </c>
      <c r="BH151" s="2629">
        <v>0.05</v>
      </c>
      <c r="BI151" s="2630">
        <v>0.27</v>
      </c>
      <c r="BJ151" s="2631"/>
      <c r="BK151" s="2627">
        <v>0.03</v>
      </c>
      <c r="BL151" s="2335">
        <v>0</v>
      </c>
      <c r="BM151" s="2335">
        <v>0</v>
      </c>
      <c r="BN151" s="2335">
        <v>0</v>
      </c>
      <c r="BO151" s="2330">
        <f>+SUM(BK151:BN151)</f>
        <v>0.03</v>
      </c>
      <c r="BQ151" s="3031">
        <v>0</v>
      </c>
      <c r="BR151" s="2335">
        <v>0</v>
      </c>
      <c r="BS151" s="2335">
        <v>0</v>
      </c>
      <c r="BT151" s="2335">
        <v>0</v>
      </c>
      <c r="BU151" s="2330">
        <f>+SUM(BQ151:BT151)</f>
        <v>0</v>
      </c>
      <c r="BW151" s="2334">
        <v>0</v>
      </c>
      <c r="BX151" s="2335">
        <v>0</v>
      </c>
      <c r="BY151" s="2335">
        <v>0</v>
      </c>
      <c r="BZ151" s="2335">
        <v>0</v>
      </c>
      <c r="CA151" s="2330">
        <f>+SUM(BW151:BZ151)</f>
        <v>0</v>
      </c>
      <c r="CC151" s="2334">
        <v>0</v>
      </c>
      <c r="CD151" s="2335">
        <v>0</v>
      </c>
      <c r="CE151" s="2335">
        <v>0</v>
      </c>
      <c r="CF151" s="2335">
        <v>0</v>
      </c>
      <c r="CG151" s="2330">
        <f>+SUM(CC151:CF151)</f>
        <v>0</v>
      </c>
      <c r="CI151" s="2334">
        <v>0</v>
      </c>
      <c r="CJ151" s="2335">
        <v>0</v>
      </c>
      <c r="CK151" s="2335">
        <v>0</v>
      </c>
      <c r="CL151" s="2335">
        <v>0</v>
      </c>
      <c r="CM151" s="2330">
        <f t="shared" si="856"/>
        <v>0</v>
      </c>
      <c r="CO151" s="2334">
        <v>0</v>
      </c>
      <c r="CP151" s="2335">
        <v>0</v>
      </c>
      <c r="CQ151" s="2335">
        <v>0</v>
      </c>
      <c r="CR151" s="2335">
        <v>0</v>
      </c>
      <c r="CS151" s="2330">
        <f t="shared" si="858"/>
        <v>0</v>
      </c>
    </row>
    <row r="152" spans="1:97">
      <c r="A152" s="400" t="s">
        <v>731</v>
      </c>
      <c r="C152" s="2327">
        <f>+C33+C151+C150</f>
        <v>4.3459152016546057E-2</v>
      </c>
      <c r="D152" s="2328">
        <f>+D33+D151+D150</f>
        <v>7.8038614560548336E-2</v>
      </c>
      <c r="E152" s="2328">
        <f>+E33+E151+E150</f>
        <v>9.4570250021045549E-2</v>
      </c>
      <c r="F152" s="2329">
        <f>+F33+F151+F150</f>
        <v>0.1091918883114238</v>
      </c>
      <c r="G152" s="2330">
        <f>+G33+G151+G150</f>
        <v>0.32686120143761788</v>
      </c>
      <c r="I152" s="2327">
        <f>+I33+I151+I150</f>
        <v>9.6143669797592271E-2</v>
      </c>
      <c r="J152" s="2328">
        <f>+J33+J151+J150</f>
        <v>0.12110765302050906</v>
      </c>
      <c r="K152" s="2328">
        <f>+K33+K151+K150</f>
        <v>0.11951505494340293</v>
      </c>
      <c r="L152" s="2329">
        <f>+L33+L151+L150</f>
        <v>0.21564462216113234</v>
      </c>
      <c r="M152" s="2330">
        <f>+M33+M151+M150</f>
        <v>0.55439307452142927</v>
      </c>
      <c r="O152" s="2327">
        <f>+O33+O151+O150</f>
        <v>0.19932416539915015</v>
      </c>
      <c r="P152" s="2328">
        <f>+P33+P151+P150</f>
        <v>0.220405202185462</v>
      </c>
      <c r="Q152" s="2328">
        <f>+Q33+Q151+Q150</f>
        <v>0.16983717131264178</v>
      </c>
      <c r="R152" s="2329">
        <f>+R33+R151+R150</f>
        <v>0.20836867183765345</v>
      </c>
      <c r="S152" s="2330">
        <f>+S33+S151+S150</f>
        <v>0.7976707325477228</v>
      </c>
      <c r="U152" s="2327">
        <f>+U33+U151+U150</f>
        <v>0.20593982630272961</v>
      </c>
      <c r="V152" s="2328">
        <f>+V33+V151+V150</f>
        <v>0.25678438591593922</v>
      </c>
      <c r="W152" s="2328">
        <f>+W33+W151+W150</f>
        <v>0.29975057573594865</v>
      </c>
      <c r="X152" s="2329">
        <f>+X33+X151+X150</f>
        <v>0.29161907481439159</v>
      </c>
      <c r="Y152" s="2330">
        <f>+Y33+Y151+Y150</f>
        <v>1.0581134883720933</v>
      </c>
      <c r="AA152" s="2327">
        <f>+AA33+AA151+AA150</f>
        <v>0.35355474904343909</v>
      </c>
      <c r="AB152" s="2328">
        <f>+AB33+AB151+AB150</f>
        <v>0.37665851015736551</v>
      </c>
      <c r="AC152" s="2328">
        <f>+AC33+AC151+AC150</f>
        <v>0.22074045472771278</v>
      </c>
      <c r="AD152" s="2329">
        <f>+AD33+AD151+AD150</f>
        <v>0.34983803422581927</v>
      </c>
      <c r="AE152" s="2330">
        <f>+AE33+AE151+AE150</f>
        <v>1.3022774020746688</v>
      </c>
      <c r="AG152" s="2327">
        <f>+AG33+AG151+AG150</f>
        <v>0.35788903272420747</v>
      </c>
      <c r="AH152" s="2328">
        <f>+AH33+AH151+AH150</f>
        <v>0.39802098632708949</v>
      </c>
      <c r="AI152" s="2328">
        <f>+AI33+AI151+AI150</f>
        <v>0.40655466143874314</v>
      </c>
      <c r="AJ152" s="2329">
        <f>+AJ33+AJ151+AJ150</f>
        <v>0.42278262422961277</v>
      </c>
      <c r="AK152" s="2330">
        <f>+AK33+AK151+AK150</f>
        <v>1.5854435863627809</v>
      </c>
      <c r="AM152" s="2327">
        <f>+AM148/AM42</f>
        <v>0.46436040044493904</v>
      </c>
      <c r="AN152" s="2328">
        <f>+AN148/AN42</f>
        <v>0.43158632955687476</v>
      </c>
      <c r="AO152" s="2328">
        <f>+AO148/AO42</f>
        <v>0.45027333366768668</v>
      </c>
      <c r="AP152" s="2329">
        <f>+AP148/AP42</f>
        <v>0.45166124006581976</v>
      </c>
      <c r="AQ152" s="2330">
        <f t="shared" ref="AQ152" si="859">+SUM(AM152:AP152)</f>
        <v>1.7978813037353203</v>
      </c>
      <c r="AS152" s="2327">
        <f>+AS148/AS42</f>
        <v>0.53374985830593935</v>
      </c>
      <c r="AT152" s="2328">
        <f>+AT148/AT42</f>
        <v>0.56712334278874199</v>
      </c>
      <c r="AU152" s="2328">
        <f>+AU148/AU42</f>
        <v>0.77045257334996498</v>
      </c>
      <c r="AV152" s="2329">
        <f>+AV148/AV42</f>
        <v>0.86742635731919748</v>
      </c>
      <c r="AW152" s="2330">
        <f t="shared" ref="AW152" si="860">+SUM(AS152:AV152)</f>
        <v>2.7387521317638437</v>
      </c>
      <c r="AY152" s="2327">
        <f>+AY148/AY42</f>
        <v>0.91050086425482446</v>
      </c>
      <c r="AZ152" s="2328">
        <f>+AZ148/AZ42</f>
        <v>0.80332820922473747</v>
      </c>
      <c r="BA152" s="2328">
        <f>+BA148/BA42</f>
        <v>0.81091258300599367</v>
      </c>
      <c r="BB152" s="2329">
        <f>+BB148/BB42</f>
        <v>0.82920626440055833</v>
      </c>
      <c r="BC152" s="2330">
        <f t="shared" ref="BC152" si="861">+SUM(AY152:BB152)</f>
        <v>3.3539479208861143</v>
      </c>
      <c r="BE152" s="2327">
        <f>+BE148/BE42</f>
        <v>0.75444989280016383</v>
      </c>
      <c r="BF152" s="2328">
        <f>+BF148/BF42</f>
        <v>0.93546794019848734</v>
      </c>
      <c r="BG152" s="2328">
        <f>+BG148/BG42</f>
        <v>1.0947267425640914</v>
      </c>
      <c r="BH152" s="2329">
        <f>+BH148/BH42</f>
        <v>0.94370663139337274</v>
      </c>
      <c r="BI152" s="2330">
        <f>+SUM(BE152:BH152)</f>
        <v>3.7283512069561153</v>
      </c>
      <c r="BK152" s="2327">
        <f>+BK148/BK42</f>
        <v>0.74725915875169591</v>
      </c>
      <c r="BL152" s="2328">
        <f>+BL148/BL42</f>
        <v>0.88359837177747624</v>
      </c>
      <c r="BM152" s="2328">
        <f>+BM148/BM42</f>
        <v>1.2027708894690914</v>
      </c>
      <c r="BN152" s="2329">
        <f>+BN148/BN42</f>
        <v>1.5202892593663837</v>
      </c>
      <c r="BO152" s="2330">
        <f>+SUM(BK152:BN152)</f>
        <v>4.3539176793646472</v>
      </c>
      <c r="BQ152" s="2327">
        <f>+BQ148/BQ42</f>
        <v>1.5334118431736457</v>
      </c>
      <c r="BR152" s="2328">
        <f>+BR148/BR42</f>
        <v>1.1854032959531795</v>
      </c>
      <c r="BS152" s="2328">
        <f>+BS148/BS42</f>
        <v>1.2395763658317729</v>
      </c>
      <c r="BT152" s="2329">
        <f>+BT148/BT42</f>
        <v>1.3195542783959</v>
      </c>
      <c r="BU152" s="2330">
        <f>+SUM(BQ152:BT152)</f>
        <v>5.2779457833544976</v>
      </c>
      <c r="BW152" s="2327">
        <f>+BW148/BW42</f>
        <v>1.574936807868988</v>
      </c>
      <c r="BX152" s="2328">
        <f>+BX148/BX42</f>
        <v>1.3196540112362118</v>
      </c>
      <c r="BY152" s="2328">
        <f>+BY148/BY42</f>
        <v>1.3767061153515276</v>
      </c>
      <c r="BZ152" s="2329">
        <f>+BZ148/BZ42</f>
        <v>1.4595116738326057</v>
      </c>
      <c r="CA152" s="2330">
        <f>+SUM(BW152:BZ152)</f>
        <v>5.7308086082893333</v>
      </c>
      <c r="CC152" s="2327">
        <f>+CC148/CC42</f>
        <v>1.7526359325701024</v>
      </c>
      <c r="CD152" s="2328">
        <f>+CD148/CD42</f>
        <v>1.8731660303632938</v>
      </c>
      <c r="CE152" s="2328">
        <f>+CE148/CE42</f>
        <v>1.9829657229777651</v>
      </c>
      <c r="CF152" s="2329">
        <f>+CF148/CF42</f>
        <v>2.1061130449592596</v>
      </c>
      <c r="CG152" s="2330">
        <f>+SUM(CC152:CF152)</f>
        <v>7.714880730870421</v>
      </c>
      <c r="CI152" s="2327">
        <f t="shared" ref="CI152:CL152" si="862">+CI148/CI42</f>
        <v>2.4595977460142606</v>
      </c>
      <c r="CJ152" s="2328">
        <f t="shared" si="862"/>
        <v>1.6878415285737025</v>
      </c>
      <c r="CK152" s="2328">
        <f t="shared" si="862"/>
        <v>1.7625399799825243</v>
      </c>
      <c r="CL152" s="2329">
        <f t="shared" si="862"/>
        <v>1.8717421522801405</v>
      </c>
      <c r="CM152" s="2330">
        <f t="shared" si="856"/>
        <v>7.781721406850628</v>
      </c>
      <c r="CO152" s="2327">
        <f t="shared" ref="CO152:CR152" si="863">+CO148/CO42</f>
        <v>2.2250463739408737</v>
      </c>
      <c r="CP152" s="2328">
        <f t="shared" si="863"/>
        <v>1.9028152864434282</v>
      </c>
      <c r="CQ152" s="2328">
        <f t="shared" si="863"/>
        <v>1.9948535899297397</v>
      </c>
      <c r="CR152" s="2329">
        <f t="shared" si="863"/>
        <v>2.1199208303412203</v>
      </c>
      <c r="CS152" s="2330">
        <f t="shared" si="858"/>
        <v>8.242636080655263</v>
      </c>
    </row>
    <row r="153" spans="1:97" s="3" customFormat="1">
      <c r="A153" s="2503" t="s">
        <v>814</v>
      </c>
      <c r="B153" s="2504"/>
      <c r="C153" s="2505"/>
      <c r="D153" s="2504"/>
      <c r="E153" s="2504"/>
      <c r="F153" s="2504"/>
      <c r="G153" s="2506"/>
      <c r="H153" s="2504"/>
      <c r="I153" s="2505">
        <f>+I152/C152-1</f>
        <v>1.2122767089654167</v>
      </c>
      <c r="J153" s="2504">
        <f t="shared" ref="J153:M153" si="864">+J152/D152-1</f>
        <v>0.55189393997435032</v>
      </c>
      <c r="K153" s="2504">
        <f t="shared" si="864"/>
        <v>0.26377010652722399</v>
      </c>
      <c r="L153" s="2504">
        <f t="shared" si="864"/>
        <v>0.97491430449574246</v>
      </c>
      <c r="M153" s="2506">
        <f t="shared" si="864"/>
        <v>0.69611159747032958</v>
      </c>
      <c r="N153" s="2504"/>
      <c r="O153" s="2505">
        <f>+O152/I152-1</f>
        <v>1.073190734437119</v>
      </c>
      <c r="P153" s="2504">
        <f t="shared" ref="P153" si="865">+P152/J152-1</f>
        <v>0.81991143159332247</v>
      </c>
      <c r="Q153" s="2504">
        <f t="shared" ref="Q153" si="866">+Q152/K152-1</f>
        <v>0.42105253093904516</v>
      </c>
      <c r="R153" s="2504">
        <f t="shared" ref="R153" si="867">+R152/L152-1</f>
        <v>-3.3740467304777977E-2</v>
      </c>
      <c r="S153" s="2506">
        <f t="shared" ref="S153" si="868">+S152/M152-1</f>
        <v>0.43881799612359695</v>
      </c>
      <c r="T153" s="2504"/>
      <c r="U153" s="2505">
        <f t="shared" ref="U153" si="869">+U152/O152-1</f>
        <v>3.3190460827122958E-2</v>
      </c>
      <c r="V153" s="2504">
        <f t="shared" ref="V153" si="870">+V152/P152-1</f>
        <v>0.16505592141090042</v>
      </c>
      <c r="W153" s="2504">
        <f t="shared" ref="W153" si="871">+W152/Q152-1</f>
        <v>0.76492915784706561</v>
      </c>
      <c r="X153" s="2504">
        <f t="shared" ref="X153" si="872">+X152/R152-1</f>
        <v>0.39953416337750203</v>
      </c>
      <c r="Y153" s="2506">
        <f t="shared" ref="Y153" si="873">+Y152/S152-1</f>
        <v>0.32650408896478944</v>
      </c>
      <c r="Z153" s="2504"/>
      <c r="AA153" s="2505">
        <f t="shared" ref="AA153" si="874">+AA152/U152-1</f>
        <v>0.71678667206272628</v>
      </c>
      <c r="AB153" s="2504">
        <f t="shared" ref="AB153" si="875">+AB152/V152-1</f>
        <v>0.4668279335359129</v>
      </c>
      <c r="AC153" s="2504">
        <f t="shared" ref="AC153" si="876">+AC152/W152-1</f>
        <v>-0.26358621935671001</v>
      </c>
      <c r="AD153" s="2504">
        <f t="shared" ref="AD153" si="877">+AD152/X152-1</f>
        <v>0.19964043658146369</v>
      </c>
      <c r="AE153" s="2506">
        <f t="shared" ref="AE153" si="878">+AE152/Y152-1</f>
        <v>0.23075399414690523</v>
      </c>
      <c r="AF153" s="2504"/>
      <c r="AG153" s="2505">
        <f t="shared" ref="AG153" si="879">+AG152/AA152-1</f>
        <v>1.2259158425943939E-2</v>
      </c>
      <c r="AH153" s="2504">
        <f t="shared" ref="AH153" si="880">+AH152/AB152-1</f>
        <v>5.6715766652395194E-2</v>
      </c>
      <c r="AI153" s="2504">
        <f t="shared" ref="AI153" si="881">+AI152/AC152-1</f>
        <v>0.84177685934476965</v>
      </c>
      <c r="AJ153" s="2504">
        <f t="shared" ref="AJ153" si="882">+AJ152/AD152-1</f>
        <v>0.20850960406640073</v>
      </c>
      <c r="AK153" s="2506">
        <f t="shared" ref="AK153" si="883">+AK152/AE152-1</f>
        <v>0.21743922134945892</v>
      </c>
      <c r="AL153" s="2504"/>
      <c r="AM153" s="2505">
        <f t="shared" ref="AM153" si="884">+AM152/AG152-1</f>
        <v>0.29749826897539888</v>
      </c>
      <c r="AN153" s="2504">
        <f t="shared" ref="AN153" si="885">+AN152/AH152-1</f>
        <v>8.4330586533951202E-2</v>
      </c>
      <c r="AO153" s="2504">
        <f t="shared" ref="AO153" si="886">+AO152/AI152-1</f>
        <v>0.10753454916548977</v>
      </c>
      <c r="AP153" s="2504">
        <f t="shared" ref="AP153" si="887">+AP152/AJ152-1</f>
        <v>6.8306061273991858E-2</v>
      </c>
      <c r="AQ153" s="2506">
        <f t="shared" ref="AQ153" si="888">+AQ152/AK152-1</f>
        <v>0.13399260572865912</v>
      </c>
      <c r="AR153" s="2504"/>
      <c r="AS153" s="2505">
        <f t="shared" ref="AS153" si="889">+AS152/AM152-1</f>
        <v>0.14943017921965995</v>
      </c>
      <c r="AT153" s="2504">
        <f t="shared" ref="AT153" si="890">+AT152/AN152-1</f>
        <v>0.31404380525914233</v>
      </c>
      <c r="AU153" s="2504">
        <f t="shared" ref="AU153" si="891">+AU152/AO152-1</f>
        <v>0.71107750724269803</v>
      </c>
      <c r="AV153" s="2504">
        <f t="shared" ref="AV153" si="892">+AV152/AP152-1</f>
        <v>0.92052423447446818</v>
      </c>
      <c r="AW153" s="2506">
        <f t="shared" ref="AW153" si="893">+AW152/AQ152-1</f>
        <v>0.52332199354526243</v>
      </c>
      <c r="AX153" s="2504"/>
      <c r="AY153" s="2505">
        <f t="shared" ref="AY153" si="894">+AY152/AS152-1</f>
        <v>0.70585687300161437</v>
      </c>
      <c r="AZ153" s="2504">
        <f t="shared" ref="AZ153" si="895">+AZ152/AT152-1</f>
        <v>0.41649646314061828</v>
      </c>
      <c r="BA153" s="2504">
        <f t="shared" ref="BA153" si="896">+BA152/AU152-1</f>
        <v>5.2514601229906477E-2</v>
      </c>
      <c r="BB153" s="2504">
        <f t="shared" ref="BB153" si="897">+BB152/AV152-1</f>
        <v>-4.4061484408612239E-2</v>
      </c>
      <c r="BC153" s="2506">
        <f t="shared" ref="BC153" si="898">+BC152/AW152-1</f>
        <v>0.22462631137271449</v>
      </c>
      <c r="BD153" s="2504"/>
      <c r="BE153" s="2505">
        <f t="shared" ref="BE153" si="899">+BE152/AY152-1</f>
        <v>-0.17139025077409065</v>
      </c>
      <c r="BF153" s="2504">
        <f t="shared" ref="BF153" si="900">+BF152/AZ152-1</f>
        <v>0.16449034087981684</v>
      </c>
      <c r="BG153" s="2504">
        <f t="shared" ref="BG153" si="901">+BG152/BA152-1</f>
        <v>0.34999353260251476</v>
      </c>
      <c r="BH153" s="2504">
        <f t="shared" ref="BH153" si="902">+BH152/BB152-1</f>
        <v>0.13808430050343135</v>
      </c>
      <c r="BI153" s="2506">
        <f t="shared" ref="BI153" si="903">+BI152/BC152-1</f>
        <v>0.11163062006373781</v>
      </c>
      <c r="BJ153" s="2504"/>
      <c r="BK153" s="2505">
        <f t="shared" ref="BK153:BL153" si="904">+BK152/BE152-1</f>
        <v>-9.5310955930808516E-3</v>
      </c>
      <c r="BL153" s="2963">
        <f t="shared" si="904"/>
        <v>-5.5447724280113131E-2</v>
      </c>
      <c r="BM153" s="2963">
        <f t="shared" ref="BM153" si="905">+BM152/BG152-1</f>
        <v>9.8695083169281883E-2</v>
      </c>
      <c r="BN153" s="2963">
        <f t="shared" ref="BN153" si="906">+BN152/BH152-1</f>
        <v>0.6109765564767653</v>
      </c>
      <c r="BO153" s="2506">
        <f t="shared" ref="BO153" si="907">+BO152/BI152-1</f>
        <v>0.16778635854942814</v>
      </c>
      <c r="BP153" s="2504"/>
      <c r="BQ153" s="2505">
        <f t="shared" ref="BQ153" si="908">+BQ152/BK152-1</f>
        <v>1.0520482421857844</v>
      </c>
      <c r="BR153" s="2504">
        <f t="shared" ref="BR153" si="909">+BR152/BL152-1</f>
        <v>0.34156346799121229</v>
      </c>
      <c r="BS153" s="2504">
        <f t="shared" ref="BS153" si="910">+BS152/BM152-1</f>
        <v>3.0600571301594881E-2</v>
      </c>
      <c r="BT153" s="2504">
        <f t="shared" ref="BT153" si="911">+BT152/BN152-1</f>
        <v>-0.13203736047845571</v>
      </c>
      <c r="BU153" s="2506">
        <f t="shared" ref="BU153" si="912">+BU152/BO152-1</f>
        <v>0.21222911686393919</v>
      </c>
      <c r="BV153" s="2504"/>
      <c r="BW153" s="2505">
        <f t="shared" ref="BW153" si="913">+BW152/BQ152-1</f>
        <v>2.7080112156561809E-2</v>
      </c>
      <c r="BX153" s="2504">
        <f t="shared" ref="BX153" si="914">+BX152/BR152-1</f>
        <v>0.11325319892508112</v>
      </c>
      <c r="BY153" s="2504">
        <f t="shared" ref="BY153" si="915">+BY152/BS152-1</f>
        <v>0.11062630209776447</v>
      </c>
      <c r="BZ153" s="2504">
        <f t="shared" ref="BZ153" si="916">+BZ152/BT152-1</f>
        <v>0.10606414433125333</v>
      </c>
      <c r="CA153" s="2506">
        <f t="shared" ref="CA153" si="917">+CA152/BU152-1</f>
        <v>8.5802856551324913E-2</v>
      </c>
      <c r="CB153" s="2504"/>
      <c r="CC153" s="2505">
        <f t="shared" ref="CC153" si="918">+CC152/BW152-1</f>
        <v>0.11282936801861609</v>
      </c>
      <c r="CD153" s="2504">
        <f t="shared" ref="CD153" si="919">+CD152/BX152-1</f>
        <v>0.41943722704147945</v>
      </c>
      <c r="CE153" s="2504">
        <f t="shared" ref="CE153" si="920">+CE152/BY152-1</f>
        <v>0.44036966267955835</v>
      </c>
      <c r="CF153" s="2504">
        <f t="shared" ref="CF153" si="921">+CF152/BZ152-1</f>
        <v>0.44302583029617737</v>
      </c>
      <c r="CG153" s="2506">
        <f t="shared" ref="CG153" si="922">+CG152/CA152-1</f>
        <v>0.34621154852584413</v>
      </c>
      <c r="CH153" s="2504"/>
      <c r="CI153" s="2505">
        <f t="shared" ref="CI153" si="923">+CI152/CC152-1</f>
        <v>0.40337060327609198</v>
      </c>
      <c r="CJ153" s="2504">
        <f t="shared" ref="CJ153" si="924">+CJ152/CD152-1</f>
        <v>-9.8936505779815054E-2</v>
      </c>
      <c r="CK153" s="2504">
        <f t="shared" ref="CK153" si="925">+CK152/CE152-1</f>
        <v>-0.11115963349292468</v>
      </c>
      <c r="CL153" s="2504">
        <f t="shared" ref="CL153" si="926">+CL152/CF152-1</f>
        <v>-0.11128125018742885</v>
      </c>
      <c r="CM153" s="2506">
        <f t="shared" ref="CM153" si="927">+CM152/CG152-1</f>
        <v>8.6638638122751299E-3</v>
      </c>
      <c r="CN153" s="2504"/>
      <c r="CO153" s="2505">
        <f t="shared" ref="CO153" si="928">+CO152/CI152-1</f>
        <v>-9.5361679548403244E-2</v>
      </c>
      <c r="CP153" s="2504">
        <f t="shared" ref="CP153" si="929">+CP152/CJ152-1</f>
        <v>0.12736607923813059</v>
      </c>
      <c r="CQ153" s="2504">
        <f t="shared" ref="CQ153" si="930">+CQ152/CK152-1</f>
        <v>0.13180615054730205</v>
      </c>
      <c r="CR153" s="2504">
        <f t="shared" ref="CR153" si="931">+CR152/CL152-1</f>
        <v>0.13259234331969849</v>
      </c>
      <c r="CS153" s="2506">
        <f t="shared" ref="CS153" si="932">+CS152/CM152-1</f>
        <v>5.923042598246564E-2</v>
      </c>
    </row>
    <row r="154" spans="1:97" s="1357" customFormat="1">
      <c r="A154" s="2497"/>
      <c r="B154" s="2498"/>
      <c r="C154" s="2592"/>
      <c r="D154" s="2592"/>
      <c r="E154" s="2592"/>
      <c r="F154" s="2592"/>
      <c r="G154" s="2592"/>
      <c r="H154" s="2593"/>
      <c r="I154" s="2592"/>
      <c r="J154" s="2592"/>
      <c r="K154" s="2592"/>
      <c r="L154" s="2592"/>
      <c r="M154" s="2592"/>
      <c r="N154" s="2593"/>
      <c r="O154" s="2592"/>
      <c r="P154" s="2592"/>
      <c r="Q154" s="2592"/>
      <c r="R154" s="2592"/>
      <c r="S154" s="2592"/>
      <c r="T154" s="2593"/>
      <c r="U154" s="2592"/>
      <c r="V154" s="2592"/>
      <c r="W154" s="2592"/>
      <c r="X154" s="2592"/>
      <c r="Y154" s="2592"/>
      <c r="Z154" s="2593"/>
      <c r="AA154" s="2592"/>
      <c r="AB154" s="2592"/>
      <c r="AC154" s="2592"/>
      <c r="AD154" s="2592"/>
      <c r="AE154" s="2592"/>
      <c r="AF154" s="2593"/>
      <c r="AG154" s="2592"/>
      <c r="AH154" s="2592"/>
      <c r="AI154" s="2592"/>
      <c r="AJ154" s="2592"/>
      <c r="AK154" s="2592"/>
      <c r="AL154" s="2593"/>
      <c r="AM154" s="2592"/>
      <c r="AN154" s="2592"/>
      <c r="AO154" s="2592"/>
      <c r="AP154" s="2592"/>
      <c r="AQ154" s="2592"/>
      <c r="AR154" s="2593"/>
      <c r="AS154" s="2592"/>
      <c r="AT154" s="2592"/>
      <c r="AU154" s="2592"/>
      <c r="AV154" s="2592"/>
      <c r="AW154" s="2592"/>
      <c r="AX154" s="2593"/>
      <c r="AY154" s="2592"/>
      <c r="AZ154" s="2592"/>
      <c r="BA154" s="2592"/>
      <c r="BB154" s="2592"/>
      <c r="BC154" s="2592"/>
      <c r="BD154" s="2593"/>
      <c r="BE154" s="2592"/>
      <c r="BF154" s="2592"/>
      <c r="BG154" s="2592"/>
      <c r="BH154" s="2592"/>
      <c r="BI154" s="2592"/>
      <c r="BJ154" s="2594"/>
      <c r="BK154" s="2592"/>
      <c r="BL154" s="2592"/>
      <c r="BM154" s="2592"/>
      <c r="BN154" s="2592"/>
      <c r="BO154" s="2592"/>
      <c r="BP154" s="2594"/>
      <c r="BQ154" s="2592"/>
      <c r="BR154" s="2592"/>
      <c r="BS154" s="2592"/>
      <c r="BT154" s="2592"/>
      <c r="BU154" s="2592"/>
      <c r="BV154" s="2594"/>
      <c r="BW154" s="2592"/>
      <c r="BX154" s="2592"/>
      <c r="BY154" s="2592"/>
      <c r="BZ154" s="2592"/>
      <c r="CA154" s="2592"/>
      <c r="CB154" s="2594"/>
      <c r="CC154" s="2592"/>
      <c r="CD154" s="2592"/>
      <c r="CE154" s="2592"/>
      <c r="CF154" s="2592"/>
      <c r="CG154" s="2592"/>
      <c r="CH154" s="2594"/>
      <c r="CI154" s="2592"/>
      <c r="CJ154" s="2592"/>
      <c r="CK154" s="2592"/>
      <c r="CL154" s="2592"/>
      <c r="CM154" s="2592"/>
      <c r="CN154" s="2594"/>
      <c r="CO154" s="2592"/>
      <c r="CP154" s="2592"/>
      <c r="CQ154" s="2592"/>
      <c r="CR154" s="2592"/>
      <c r="CS154" s="2592"/>
    </row>
    <row r="155" spans="1:97">
      <c r="A155" s="2583" t="s">
        <v>810</v>
      </c>
      <c r="B155" s="530"/>
      <c r="C155" s="531"/>
      <c r="D155" s="532"/>
      <c r="E155" s="532"/>
      <c r="F155" s="533"/>
      <c r="G155" s="534"/>
      <c r="H155" s="530"/>
      <c r="I155" s="535"/>
      <c r="J155" s="536"/>
      <c r="K155" s="536"/>
      <c r="L155" s="537"/>
      <c r="M155" s="710"/>
      <c r="N155" s="711"/>
      <c r="O155" s="712"/>
      <c r="P155" s="713"/>
      <c r="Q155" s="713"/>
      <c r="R155" s="714"/>
      <c r="S155" s="710"/>
      <c r="T155" s="715"/>
      <c r="U155" s="716"/>
      <c r="V155" s="717"/>
      <c r="W155" s="717"/>
      <c r="X155" s="718"/>
      <c r="Y155" s="544"/>
      <c r="Z155" s="715"/>
      <c r="AA155" s="716"/>
      <c r="AB155" s="717"/>
      <c r="AC155" s="717"/>
      <c r="AD155" s="718"/>
      <c r="AE155" s="544"/>
      <c r="AF155" s="715"/>
      <c r="AG155" s="716"/>
      <c r="AH155" s="717"/>
      <c r="AI155" s="717"/>
      <c r="AJ155" s="718"/>
      <c r="AK155" s="2595">
        <f>AK$7</f>
        <v>2012</v>
      </c>
      <c r="AL155" s="2596"/>
      <c r="AM155" s="2597">
        <f>AM$8</f>
        <v>41364</v>
      </c>
      <c r="AN155" s="2598">
        <f>AN$8</f>
        <v>41455</v>
      </c>
      <c r="AO155" s="2598">
        <f>AO$8</f>
        <v>41547</v>
      </c>
      <c r="AP155" s="2599">
        <f>AP$8</f>
        <v>41639</v>
      </c>
      <c r="AQ155" s="2595">
        <f>AQ$7</f>
        <v>2013</v>
      </c>
      <c r="AR155" s="2596"/>
      <c r="AS155" s="2597">
        <f>AS$8</f>
        <v>41729</v>
      </c>
      <c r="AT155" s="2598">
        <f>AT$8</f>
        <v>41820</v>
      </c>
      <c r="AU155" s="2598">
        <f>AU$8</f>
        <v>41912</v>
      </c>
      <c r="AV155" s="2599">
        <f>AV$8</f>
        <v>42004</v>
      </c>
      <c r="AW155" s="2595">
        <f>AW$7</f>
        <v>2014</v>
      </c>
      <c r="AX155" s="2596"/>
      <c r="AY155" s="2597">
        <f>AY$8</f>
        <v>42094</v>
      </c>
      <c r="AZ155" s="2598">
        <f>AZ$8</f>
        <v>42185</v>
      </c>
      <c r="BA155" s="2598">
        <f>BA$8</f>
        <v>42277</v>
      </c>
      <c r="BB155" s="2599">
        <f>BB$8</f>
        <v>42369</v>
      </c>
      <c r="BC155" s="2595">
        <f>BC$7</f>
        <v>2015</v>
      </c>
      <c r="BD155" s="2596"/>
      <c r="BE155" s="2597">
        <f>BE$8</f>
        <v>42460</v>
      </c>
      <c r="BF155" s="2598">
        <f>BF$8</f>
        <v>42551</v>
      </c>
      <c r="BG155" s="2598">
        <f>BG$8</f>
        <v>42643</v>
      </c>
      <c r="BH155" s="2599">
        <f>BH$8</f>
        <v>42735</v>
      </c>
      <c r="BI155" s="2595">
        <f>BI$7</f>
        <v>2016</v>
      </c>
      <c r="BJ155" s="2596"/>
      <c r="BK155" s="2597">
        <f>BK$8</f>
        <v>42825</v>
      </c>
      <c r="BL155" s="2598">
        <f>BL$8</f>
        <v>42916</v>
      </c>
      <c r="BM155" s="2598">
        <f>BM$8</f>
        <v>43008</v>
      </c>
      <c r="BN155" s="2599">
        <f>BN$8</f>
        <v>43100</v>
      </c>
      <c r="BO155" s="2595">
        <f>BO$7</f>
        <v>2017</v>
      </c>
      <c r="BP155" s="2596"/>
      <c r="BQ155" s="2597">
        <f>BQ$8</f>
        <v>43190</v>
      </c>
      <c r="BR155" s="2598">
        <f>BR$8</f>
        <v>43281</v>
      </c>
      <c r="BS155" s="2598">
        <f>BS$8</f>
        <v>43373</v>
      </c>
      <c r="BT155" s="2599">
        <f>BT$8</f>
        <v>43465</v>
      </c>
      <c r="BU155" s="2600">
        <f>BU$7</f>
        <v>2018</v>
      </c>
      <c r="BV155" s="2596"/>
      <c r="BW155" s="2597">
        <f>BW$8</f>
        <v>43555</v>
      </c>
      <c r="BX155" s="2598">
        <f>BX$8</f>
        <v>43646</v>
      </c>
      <c r="BY155" s="2598">
        <f>BY$8</f>
        <v>43738</v>
      </c>
      <c r="BZ155" s="2599">
        <f>BZ$8</f>
        <v>43830</v>
      </c>
      <c r="CA155" s="2600">
        <f>CA$7</f>
        <v>2019</v>
      </c>
      <c r="CB155" s="2596"/>
      <c r="CC155" s="2597">
        <f>CC$8</f>
        <v>43920</v>
      </c>
      <c r="CD155" s="2598">
        <f>CD$8</f>
        <v>44011</v>
      </c>
      <c r="CE155" s="2598">
        <f>CE$8</f>
        <v>44103</v>
      </c>
      <c r="CF155" s="2599">
        <f>CF$8</f>
        <v>44195</v>
      </c>
      <c r="CG155" s="2600">
        <f>CG$7</f>
        <v>2020</v>
      </c>
      <c r="CH155" s="2596"/>
      <c r="CI155" s="2597">
        <f t="shared" ref="CI155:CL155" si="933">CI$8</f>
        <v>44285</v>
      </c>
      <c r="CJ155" s="2598">
        <f t="shared" si="933"/>
        <v>44376</v>
      </c>
      <c r="CK155" s="2598">
        <f t="shared" si="933"/>
        <v>44468</v>
      </c>
      <c r="CL155" s="2599">
        <f t="shared" si="933"/>
        <v>44560</v>
      </c>
      <c r="CM155" s="2600">
        <f t="shared" ref="CM155" si="934">CM$7</f>
        <v>2021</v>
      </c>
      <c r="CN155" s="2596"/>
      <c r="CO155" s="2597">
        <f t="shared" ref="CO155:CR155" si="935">CO$8</f>
        <v>44650</v>
      </c>
      <c r="CP155" s="2598">
        <f t="shared" si="935"/>
        <v>44741</v>
      </c>
      <c r="CQ155" s="2598">
        <f t="shared" si="935"/>
        <v>44833</v>
      </c>
      <c r="CR155" s="2599">
        <f t="shared" si="935"/>
        <v>44925</v>
      </c>
      <c r="CS155" s="2600">
        <f t="shared" ref="CS155" si="936">CS$7</f>
        <v>2022</v>
      </c>
    </row>
    <row r="156" spans="1:97" s="1357" customFormat="1">
      <c r="A156" s="400" t="s">
        <v>818</v>
      </c>
      <c r="C156" s="609">
        <f>+C137</f>
        <v>8.257000000000005</v>
      </c>
      <c r="D156" s="610">
        <f t="shared" ref="D156:G156" si="937">+D137</f>
        <v>13.038999999999994</v>
      </c>
      <c r="E156" s="610">
        <f t="shared" si="937"/>
        <v>16.372</v>
      </c>
      <c r="F156" s="610">
        <f t="shared" si="937"/>
        <v>22.438000000000017</v>
      </c>
      <c r="G156" s="648">
        <f t="shared" si="937"/>
        <v>60.106000000000023</v>
      </c>
      <c r="I156" s="609">
        <f t="shared" ref="I156:BT156" si="938">+I137</f>
        <v>21.389000000000003</v>
      </c>
      <c r="J156" s="610">
        <f t="shared" si="938"/>
        <v>30.608999999999995</v>
      </c>
      <c r="K156" s="610">
        <f t="shared" si="938"/>
        <v>29.511999999999986</v>
      </c>
      <c r="L156" s="610">
        <f t="shared" si="938"/>
        <v>39.645000000000024</v>
      </c>
      <c r="M156" s="648">
        <f t="shared" si="938"/>
        <v>121.155</v>
      </c>
      <c r="O156" s="609">
        <f t="shared" ref="O156" si="939">+O137</f>
        <v>39.097000000000008</v>
      </c>
      <c r="P156" s="610">
        <f t="shared" si="938"/>
        <v>38.691000000000003</v>
      </c>
      <c r="Q156" s="610">
        <f t="shared" si="938"/>
        <v>33.213000000000022</v>
      </c>
      <c r="R156" s="610">
        <f t="shared" si="938"/>
        <v>38.275999999999982</v>
      </c>
      <c r="S156" s="648">
        <f t="shared" si="938"/>
        <v>149.27700000000004</v>
      </c>
      <c r="U156" s="609">
        <f t="shared" ref="U156" si="940">+U137</f>
        <v>40.76400000000001</v>
      </c>
      <c r="V156" s="610">
        <f t="shared" si="938"/>
        <v>51.802999999999997</v>
      </c>
      <c r="W156" s="610">
        <f t="shared" si="938"/>
        <v>60.548999999999992</v>
      </c>
      <c r="X156" s="610">
        <f t="shared" si="938"/>
        <v>61.502999999999986</v>
      </c>
      <c r="Y156" s="648">
        <f t="shared" si="938"/>
        <v>214.61900000000003</v>
      </c>
      <c r="AA156" s="609">
        <f t="shared" ref="AA156" si="941">+AA137</f>
        <v>77.288999999999987</v>
      </c>
      <c r="AB156" s="610">
        <f t="shared" si="938"/>
        <v>79.355999999999995</v>
      </c>
      <c r="AC156" s="610">
        <f t="shared" si="938"/>
        <v>44.367999999999995</v>
      </c>
      <c r="AD156" s="610">
        <f t="shared" si="938"/>
        <v>65.774999999999949</v>
      </c>
      <c r="AE156" s="648">
        <f t="shared" si="938"/>
        <v>266.78799999999978</v>
      </c>
      <c r="AG156" s="609">
        <f t="shared" ref="AG156" si="942">+AG137</f>
        <v>72.712999999999994</v>
      </c>
      <c r="AH156" s="610">
        <f t="shared" si="938"/>
        <v>78.903999999999954</v>
      </c>
      <c r="AI156" s="610">
        <f t="shared" si="938"/>
        <v>77.262000000000029</v>
      </c>
      <c r="AJ156" s="610">
        <f t="shared" si="938"/>
        <v>78.241000000000014</v>
      </c>
      <c r="AK156" s="648">
        <f t="shared" si="938"/>
        <v>307.12000000000012</v>
      </c>
      <c r="AM156" s="609">
        <f t="shared" ref="AM156" si="943">+AM137</f>
        <v>85.844000000000023</v>
      </c>
      <c r="AN156" s="610">
        <f t="shared" si="938"/>
        <v>87.211000000000013</v>
      </c>
      <c r="AO156" s="610">
        <f t="shared" si="938"/>
        <v>88.176000000000045</v>
      </c>
      <c r="AP156" s="610">
        <f t="shared" si="938"/>
        <v>95.172000000000025</v>
      </c>
      <c r="AQ156" s="648">
        <f t="shared" si="938"/>
        <v>356.40300000000013</v>
      </c>
      <c r="AS156" s="609">
        <f t="shared" ref="AS156" si="944">+AS137</f>
        <v>113.55500000000001</v>
      </c>
      <c r="AT156" s="610">
        <f t="shared" si="938"/>
        <v>119.726</v>
      </c>
      <c r="AU156" s="610">
        <f t="shared" si="938"/>
        <v>145.91500000000002</v>
      </c>
      <c r="AV156" s="610">
        <f t="shared" si="938"/>
        <v>154.52799999999999</v>
      </c>
      <c r="AW156" s="648">
        <f t="shared" si="938"/>
        <v>533.72399999999959</v>
      </c>
      <c r="AY156" s="609">
        <f t="shared" ref="AY156" si="945">+AY137</f>
        <v>179.82500000000005</v>
      </c>
      <c r="AZ156" s="610">
        <f t="shared" si="938"/>
        <v>168.5139999999999</v>
      </c>
      <c r="BA156" s="610">
        <f t="shared" si="938"/>
        <v>165.70799999999997</v>
      </c>
      <c r="BB156" s="610">
        <f t="shared" si="938"/>
        <v>161.822</v>
      </c>
      <c r="BC156" s="648">
        <f t="shared" si="938"/>
        <v>675.86899999999969</v>
      </c>
      <c r="BE156" s="609">
        <f t="shared" ref="BE156" si="946">+BE137</f>
        <v>136.55300000000011</v>
      </c>
      <c r="BF156" s="610">
        <f t="shared" si="938"/>
        <v>163.48700000000002</v>
      </c>
      <c r="BG156" s="610">
        <f t="shared" si="938"/>
        <v>174.20100000000002</v>
      </c>
      <c r="BH156" s="610">
        <f t="shared" si="938"/>
        <v>155.60400000000004</v>
      </c>
      <c r="BI156" s="648">
        <f t="shared" si="938"/>
        <v>629.84500000000048</v>
      </c>
      <c r="BK156" s="609">
        <f t="shared" ref="BK156:BL156" si="947">+BK137</f>
        <v>105</v>
      </c>
      <c r="BL156" s="610">
        <f t="shared" si="947"/>
        <v>146.69999999999999</v>
      </c>
      <c r="BM156" s="610">
        <f t="shared" si="938"/>
        <v>191.62</v>
      </c>
      <c r="BN156" s="610">
        <f t="shared" si="938"/>
        <v>244.12000000000012</v>
      </c>
      <c r="BO156" s="648">
        <f t="shared" si="938"/>
        <v>687.44000000000028</v>
      </c>
      <c r="BQ156" s="609">
        <f t="shared" ref="BQ156" si="948">+BQ137</f>
        <v>230</v>
      </c>
      <c r="BR156" s="610">
        <f t="shared" si="938"/>
        <v>187.93275572115658</v>
      </c>
      <c r="BS156" s="610">
        <f t="shared" si="938"/>
        <v>195.84441653084184</v>
      </c>
      <c r="BT156" s="610">
        <f t="shared" si="938"/>
        <v>208.58529242155095</v>
      </c>
      <c r="BU156" s="648">
        <f t="shared" ref="BU156:CG156" si="949">+BU137</f>
        <v>822.36246467354977</v>
      </c>
      <c r="BW156" s="609">
        <f t="shared" ref="BW156" si="950">+BW137</f>
        <v>252.09286495413642</v>
      </c>
      <c r="BX156" s="610">
        <f t="shared" si="949"/>
        <v>203.92126569826451</v>
      </c>
      <c r="BY156" s="610">
        <f t="shared" si="949"/>
        <v>211.926350607139</v>
      </c>
      <c r="BZ156" s="610">
        <f t="shared" si="949"/>
        <v>224.68861136164696</v>
      </c>
      <c r="CA156" s="648">
        <f t="shared" si="949"/>
        <v>892.62909262118751</v>
      </c>
      <c r="CC156" s="609">
        <f t="shared" ref="CC156" si="951">+CC137</f>
        <v>275.03727002790799</v>
      </c>
      <c r="CD156" s="610">
        <f t="shared" si="949"/>
        <v>222.80515168357977</v>
      </c>
      <c r="CE156" s="610">
        <f t="shared" si="949"/>
        <v>231.66803053737885</v>
      </c>
      <c r="CF156" s="610">
        <f t="shared" si="949"/>
        <v>245.77820689869918</v>
      </c>
      <c r="CG156" s="648">
        <f t="shared" si="949"/>
        <v>975.2886591475658</v>
      </c>
      <c r="CI156" s="609">
        <f t="shared" ref="CI156:CS156" si="952">+CI137</f>
        <v>300.32697336696424</v>
      </c>
      <c r="CJ156" s="610">
        <f t="shared" si="952"/>
        <v>243.62167774259967</v>
      </c>
      <c r="CK156" s="610">
        <f t="shared" si="952"/>
        <v>253.24751475872301</v>
      </c>
      <c r="CL156" s="610">
        <f t="shared" si="952"/>
        <v>269.3194797906952</v>
      </c>
      <c r="CM156" s="648">
        <f t="shared" si="952"/>
        <v>1066.5156456589825</v>
      </c>
      <c r="CO156" s="609">
        <f t="shared" si="952"/>
        <v>327.85714141024164</v>
      </c>
      <c r="CP156" s="610">
        <f t="shared" si="952"/>
        <v>268.78692321603125</v>
      </c>
      <c r="CQ156" s="610">
        <f t="shared" si="952"/>
        <v>280.65815280451329</v>
      </c>
      <c r="CR156" s="610">
        <f t="shared" si="952"/>
        <v>298.65527028737665</v>
      </c>
      <c r="CS156" s="648">
        <f t="shared" si="952"/>
        <v>1175.9574877181626</v>
      </c>
    </row>
    <row r="157" spans="1:97" s="1357" customFormat="1">
      <c r="A157" s="2497" t="s">
        <v>816</v>
      </c>
      <c r="C157" s="2499">
        <f>+C156/C$9</f>
        <v>0.1144421344421345</v>
      </c>
      <c r="D157" s="2500">
        <f>+D156/D$9</f>
        <v>0.15424380434139701</v>
      </c>
      <c r="E157" s="2500">
        <f>+E156/E$9</f>
        <v>0.16790072813044815</v>
      </c>
      <c r="F157" s="2500">
        <f>+F156/F$9</f>
        <v>0.19926467976270837</v>
      </c>
      <c r="G157" s="2501">
        <f>+G156/G$9</f>
        <v>0.16386631370314536</v>
      </c>
      <c r="H157" s="2498"/>
      <c r="I157" s="2499">
        <f>+I156/I$9</f>
        <v>0.17551964943665324</v>
      </c>
      <c r="J157" s="2500">
        <f>+J156/J$9</f>
        <v>0.21835964530557792</v>
      </c>
      <c r="K157" s="2500">
        <f>+K156/K$9</f>
        <v>0.19640622920271522</v>
      </c>
      <c r="L157" s="2500">
        <f>+L156/L$9</f>
        <v>0.24635393687821197</v>
      </c>
      <c r="M157" s="2501">
        <f>+M156/M$9</f>
        <v>0.21135679706921365</v>
      </c>
      <c r="N157" s="2498"/>
      <c r="O157" s="2499">
        <f>+O156/O$9</f>
        <v>0.23586937504901759</v>
      </c>
      <c r="P157" s="2500">
        <f>+P156/P$9</f>
        <v>0.23936081364488412</v>
      </c>
      <c r="Q157" s="2500">
        <f>+Q156/Q$9</f>
        <v>0.20973099267491804</v>
      </c>
      <c r="R157" s="2500">
        <f>+R156/R$9</f>
        <v>0.21198023969340504</v>
      </c>
      <c r="S157" s="2501">
        <f>+S156/S$9</f>
        <v>0.22403065175500211</v>
      </c>
      <c r="T157" s="2498"/>
      <c r="U157" s="2499">
        <f>+U156/U$9</f>
        <v>0.21216773971925409</v>
      </c>
      <c r="V157" s="2500">
        <f>+V156/V$9</f>
        <v>0.24435031579741792</v>
      </c>
      <c r="W157" s="2500">
        <f>+W156/W$9</f>
        <v>0.25514835088429005</v>
      </c>
      <c r="X157" s="2500">
        <f>+X156/X$9</f>
        <v>0.23537493589694519</v>
      </c>
      <c r="Y157" s="2501">
        <f>+Y156/Y$9</f>
        <v>0.23774150060759403</v>
      </c>
      <c r="Z157" s="2498"/>
      <c r="AA157" s="2499">
        <f>+AA156/AA$9</f>
        <v>0.27357485443250795</v>
      </c>
      <c r="AB157" s="2500">
        <f>+AB156/AB$9</f>
        <v>0.27606888154461645</v>
      </c>
      <c r="AC157" s="2500">
        <f>+AC156/AC$9</f>
        <v>0.18839995074289062</v>
      </c>
      <c r="AD157" s="2500">
        <f>+AD156/AD$9</f>
        <v>0.26302530081456849</v>
      </c>
      <c r="AE157" s="2501">
        <f>+AE156/AE$9</f>
        <v>0.2527514483176776</v>
      </c>
      <c r="AF157" s="2498"/>
      <c r="AG157" s="2499">
        <f>+AG156/AG$9</f>
        <v>0.26657257029732007</v>
      </c>
      <c r="AH157" s="2500">
        <f>+AH156/AH$9</f>
        <v>0.28119041934092864</v>
      </c>
      <c r="AI157" s="2500">
        <f>+AI156/AI$9</f>
        <v>0.27026592134996547</v>
      </c>
      <c r="AJ157" s="2500">
        <f>+AJ156/AJ$9</f>
        <v>0.25299015407498432</v>
      </c>
      <c r="AK157" s="2501">
        <f>+AK156/AK$9</f>
        <v>0.26740593949061231</v>
      </c>
      <c r="AL157" s="2498"/>
      <c r="AM157" s="2499">
        <f>+AM156/AM$9</f>
        <v>0.25938034433372215</v>
      </c>
      <c r="AN157" s="2500">
        <f>+AN156/AN$9</f>
        <v>0.25198645454703061</v>
      </c>
      <c r="AO157" s="2500">
        <f>+AO156/AO$9</f>
        <v>0.24713004484304946</v>
      </c>
      <c r="AP157" s="2500">
        <f>+AP156/AP$9</f>
        <v>0.2457154954740968</v>
      </c>
      <c r="AQ157" s="2501">
        <f>+AQ156/AQ$9</f>
        <v>0.2507799867433918</v>
      </c>
      <c r="AR157" s="2498"/>
      <c r="AS157" s="2499">
        <f>+AS156/AS$9</f>
        <v>0.26986722309229744</v>
      </c>
      <c r="AT157" s="2500">
        <f>+AT156/AT$9</f>
        <v>0.26750348550387876</v>
      </c>
      <c r="AU157" s="2500">
        <f>+AU156/AU$9</f>
        <v>0.30359111998834865</v>
      </c>
      <c r="AV157" s="2500">
        <f>+AV156/AV$9</f>
        <v>0.30158925326760072</v>
      </c>
      <c r="AW157" s="2501">
        <f>+AW156/AW$9</f>
        <v>0.28673903676777907</v>
      </c>
      <c r="AX157" s="2498"/>
      <c r="AY157" s="2499">
        <f>+AY156/AY$9</f>
        <v>0.33389655844698418</v>
      </c>
      <c r="AZ157" s="2500">
        <f>+AZ156/AZ$9</f>
        <v>0.31242282777569702</v>
      </c>
      <c r="BA157" s="2500">
        <f>+BA156/BA$9</f>
        <v>0.30113889338162464</v>
      </c>
      <c r="BB157" s="2500">
        <f>+BB156/BB$9</f>
        <v>0.27355683731497699</v>
      </c>
      <c r="BC157" s="2501">
        <f>+BC156/BC$9</f>
        <v>0.30447813774629884</v>
      </c>
      <c r="BD157" s="2498"/>
      <c r="BE157" s="2499">
        <f>+BE156/BE$9</f>
        <v>0.23882797592708885</v>
      </c>
      <c r="BF157" s="2500">
        <f>+BF156/BF$9</f>
        <v>0.27242203277989219</v>
      </c>
      <c r="BG157" s="2500">
        <f>+BG156/BG$9</f>
        <v>0.28692111691062511</v>
      </c>
      <c r="BH157" s="2500">
        <f>+BH156/BH$9</f>
        <v>0.25123880474112259</v>
      </c>
      <c r="BI157" s="2501">
        <f>+BI156/BI$9</f>
        <v>0.26261344669907488</v>
      </c>
      <c r="BJ157" s="2502"/>
      <c r="BK157" s="2499">
        <f>+BK156/BK$9</f>
        <v>0.17558528428093645</v>
      </c>
      <c r="BL157" s="2500">
        <f>+BL156/BL$9</f>
        <v>0.22146739130434781</v>
      </c>
      <c r="BM157" s="2500">
        <f>+BM156/BM$9</f>
        <v>0.26837535014005603</v>
      </c>
      <c r="BN157" s="2500">
        <f>+BN156/BN$9</f>
        <v>0.31389996142471405</v>
      </c>
      <c r="BO157" s="2501">
        <f>+BO156/BO$9</f>
        <v>0.24978743504959855</v>
      </c>
      <c r="BP157" s="2502"/>
      <c r="BQ157" s="2499">
        <f>+BQ156/BQ$9</f>
        <v>0.29411764705882354</v>
      </c>
      <c r="BR157" s="2500">
        <f>+BR156/BR$9</f>
        <v>0.23775949778343489</v>
      </c>
      <c r="BS157" s="2500">
        <f>+BS156/BS$9</f>
        <v>0.24308066629479327</v>
      </c>
      <c r="BT157" s="2500">
        <f>+BT156/BT$9</f>
        <v>0.24822181704409105</v>
      </c>
      <c r="BU157" s="2501">
        <f>+BU156/BU$9</f>
        <v>0.2555168964882607</v>
      </c>
      <c r="BV157" s="2502"/>
      <c r="BW157" s="2499">
        <f>+BW156/BW$9</f>
        <v>0.28887764283872464</v>
      </c>
      <c r="BX157" s="2500">
        <f>+BX156/BX$9</f>
        <v>0.23433199810453767</v>
      </c>
      <c r="BY157" s="2500">
        <f>+BY156/BY$9</f>
        <v>0.24026057910167434</v>
      </c>
      <c r="BZ157" s="2500">
        <f>+BZ156/BZ$9</f>
        <v>0.24480470951782504</v>
      </c>
      <c r="CA157" s="2501">
        <f>+CA156/CA$9</f>
        <v>0.25195699116038889</v>
      </c>
      <c r="CB157" s="2502"/>
      <c r="CC157" s="2499">
        <f>+CC156/CC$9</f>
        <v>0.28611438559442837</v>
      </c>
      <c r="CD157" s="2500">
        <f>+CD156/CD$9</f>
        <v>0.23222104550206818</v>
      </c>
      <c r="CE157" s="2500">
        <f>+CE156/CE$9</f>
        <v>0.23828099021187485</v>
      </c>
      <c r="CF157" s="2500">
        <f>+CF156/CF$9</f>
        <v>0.24261009551105106</v>
      </c>
      <c r="CG157" s="2501">
        <f>+CG156/CG$9</f>
        <v>0.24968713688040645</v>
      </c>
      <c r="CH157" s="2502"/>
      <c r="CI157" s="2499">
        <f t="shared" ref="CI157:CM157" si="953">+CI156/CI$9</f>
        <v>0.2829070465599276</v>
      </c>
      <c r="CJ157" s="2500">
        <f t="shared" si="953"/>
        <v>0.22997006763479155</v>
      </c>
      <c r="CK157" s="2500">
        <f t="shared" si="953"/>
        <v>0.23604292950579786</v>
      </c>
      <c r="CL157" s="2500">
        <f t="shared" si="953"/>
        <v>0.24031965909344577</v>
      </c>
      <c r="CM157" s="2501">
        <f t="shared" si="953"/>
        <v>0.24719352582609702</v>
      </c>
      <c r="CN157" s="2502"/>
      <c r="CO157" s="2499">
        <f t="shared" ref="CO157:CS157" si="954">+CO156/CO$9</f>
        <v>0.28086271821071729</v>
      </c>
      <c r="CP157" s="2500">
        <f t="shared" si="954"/>
        <v>0.22973328395589965</v>
      </c>
      <c r="CQ157" s="2500">
        <f t="shared" si="954"/>
        <v>0.2359976413606204</v>
      </c>
      <c r="CR157" s="2500">
        <f t="shared" si="954"/>
        <v>0.24014189621517715</v>
      </c>
      <c r="CS157" s="2501">
        <f t="shared" si="954"/>
        <v>0.24652058472024138</v>
      </c>
    </row>
    <row r="158" spans="1:97" s="1357" customFormat="1">
      <c r="A158" s="1362" t="s">
        <v>815</v>
      </c>
      <c r="C158" s="2499"/>
      <c r="D158" s="2500"/>
      <c r="E158" s="2500"/>
      <c r="F158" s="2500"/>
      <c r="G158" s="2501"/>
      <c r="H158" s="2498"/>
      <c r="I158" s="546">
        <f t="shared" ref="I158" si="955">+I157-C157</f>
        <v>6.1077514994518745E-2</v>
      </c>
      <c r="J158" s="547">
        <f t="shared" ref="J158" si="956">+J157-D157</f>
        <v>6.4115840964180909E-2</v>
      </c>
      <c r="K158" s="547">
        <f t="shared" ref="K158" si="957">+K157-E157</f>
        <v>2.850550107226707E-2</v>
      </c>
      <c r="L158" s="547">
        <f t="shared" ref="L158" si="958">+L157-F157</f>
        <v>4.7089257115503602E-2</v>
      </c>
      <c r="M158" s="2496">
        <f>+M157-G157</f>
        <v>4.7490483366068287E-2</v>
      </c>
      <c r="N158" s="2498"/>
      <c r="O158" s="546">
        <f t="shared" ref="O158" si="959">+O157-I157</f>
        <v>6.0349725612364347E-2</v>
      </c>
      <c r="P158" s="547">
        <f t="shared" ref="P158" si="960">+P157-J157</f>
        <v>2.1001168339306209E-2</v>
      </c>
      <c r="Q158" s="547">
        <f t="shared" ref="Q158" si="961">+Q157-K157</f>
        <v>1.3324763472202822E-2</v>
      </c>
      <c r="R158" s="547">
        <f t="shared" ref="R158:S158" si="962">+R157-L157</f>
        <v>-3.4373697184806928E-2</v>
      </c>
      <c r="S158" s="2496">
        <f t="shared" si="962"/>
        <v>1.2673854685788466E-2</v>
      </c>
      <c r="T158" s="2498"/>
      <c r="U158" s="546">
        <f t="shared" ref="U158" si="963">+U157-O157</f>
        <v>-2.3701635329763493E-2</v>
      </c>
      <c r="V158" s="547">
        <f t="shared" ref="V158" si="964">+V157-P157</f>
        <v>4.9895021525337979E-3</v>
      </c>
      <c r="W158" s="547">
        <f t="shared" ref="W158" si="965">+W157-Q157</f>
        <v>4.5417358209372011E-2</v>
      </c>
      <c r="X158" s="547">
        <f t="shared" ref="X158:Y158" si="966">+X157-R157</f>
        <v>2.339469620354015E-2</v>
      </c>
      <c r="Y158" s="2496">
        <f t="shared" si="966"/>
        <v>1.3710848852591911E-2</v>
      </c>
      <c r="Z158" s="2498"/>
      <c r="AA158" s="546">
        <f t="shared" ref="AA158" si="967">+AA157-U157</f>
        <v>6.1407114713253858E-2</v>
      </c>
      <c r="AB158" s="547">
        <f t="shared" ref="AB158" si="968">+AB157-V157</f>
        <v>3.1718565747198529E-2</v>
      </c>
      <c r="AC158" s="547">
        <f t="shared" ref="AC158" si="969">+AC157-W157</f>
        <v>-6.6748400141399433E-2</v>
      </c>
      <c r="AD158" s="547">
        <f t="shared" ref="AD158:AE158" si="970">+AD157-X157</f>
        <v>2.7650364917623294E-2</v>
      </c>
      <c r="AE158" s="2496">
        <f t="shared" si="970"/>
        <v>1.5009947710083571E-2</v>
      </c>
      <c r="AF158" s="2498"/>
      <c r="AG158" s="546">
        <f t="shared" ref="AG158" si="971">+AG157-AA157</f>
        <v>-7.0022841351878862E-3</v>
      </c>
      <c r="AH158" s="547">
        <f t="shared" ref="AH158" si="972">+AH157-AB157</f>
        <v>5.1215377963121922E-3</v>
      </c>
      <c r="AI158" s="547">
        <f t="shared" ref="AI158" si="973">+AI157-AC157</f>
        <v>8.1865970607074845E-2</v>
      </c>
      <c r="AJ158" s="547">
        <f t="shared" ref="AJ158:AK158" si="974">+AJ157-AD157</f>
        <v>-1.0035146739584166E-2</v>
      </c>
      <c r="AK158" s="2496">
        <f t="shared" si="974"/>
        <v>1.4654491172934714E-2</v>
      </c>
      <c r="AL158" s="2498"/>
      <c r="AM158" s="546">
        <f t="shared" ref="AM158" si="975">+AM157-AG157</f>
        <v>-7.1922259635979202E-3</v>
      </c>
      <c r="AN158" s="547">
        <f t="shared" ref="AN158" si="976">+AN157-AH157</f>
        <v>-2.920396479389803E-2</v>
      </c>
      <c r="AO158" s="547">
        <f t="shared" ref="AO158" si="977">+AO157-AI157</f>
        <v>-2.3135876506916009E-2</v>
      </c>
      <c r="AP158" s="547">
        <f t="shared" ref="AP158:AQ158" si="978">+AP157-AJ157</f>
        <v>-7.2746586008875236E-3</v>
      </c>
      <c r="AQ158" s="2496">
        <f t="shared" si="978"/>
        <v>-1.6625952747220507E-2</v>
      </c>
      <c r="AR158" s="2498"/>
      <c r="AS158" s="546">
        <f t="shared" ref="AS158" si="979">+AS157-AM157</f>
        <v>1.0486878758575291E-2</v>
      </c>
      <c r="AT158" s="547">
        <f t="shared" ref="AT158" si="980">+AT157-AN157</f>
        <v>1.5517030956848143E-2</v>
      </c>
      <c r="AU158" s="547">
        <f t="shared" ref="AU158" si="981">+AU157-AO157</f>
        <v>5.6461075145299189E-2</v>
      </c>
      <c r="AV158" s="547">
        <f t="shared" ref="AV158:AW158" si="982">+AV157-AP157</f>
        <v>5.5873757793503925E-2</v>
      </c>
      <c r="AW158" s="2496">
        <f t="shared" si="982"/>
        <v>3.5959050024387262E-2</v>
      </c>
      <c r="AX158" s="2498"/>
      <c r="AY158" s="546">
        <f t="shared" ref="AY158" si="983">+AY157-AS157</f>
        <v>6.4029335354686745E-2</v>
      </c>
      <c r="AZ158" s="547">
        <f t="shared" ref="AZ158" si="984">+AZ157-AT157</f>
        <v>4.4919342271818263E-2</v>
      </c>
      <c r="BA158" s="547">
        <f t="shared" ref="BA158" si="985">+BA157-AU157</f>
        <v>-2.4522266067240062E-3</v>
      </c>
      <c r="BB158" s="547">
        <f t="shared" ref="BB158:BC158" si="986">+BB157-AV157</f>
        <v>-2.8032415952623735E-2</v>
      </c>
      <c r="BC158" s="2496">
        <f t="shared" si="986"/>
        <v>1.7739100978519773E-2</v>
      </c>
      <c r="BD158" s="2498"/>
      <c r="BE158" s="546">
        <f t="shared" ref="BE158" si="987">+BE157-AY157</f>
        <v>-9.5068582519895334E-2</v>
      </c>
      <c r="BF158" s="547">
        <f t="shared" ref="BF158" si="988">+BF157-AZ157</f>
        <v>-4.0000794995804834E-2</v>
      </c>
      <c r="BG158" s="547">
        <f t="shared" ref="BG158" si="989">+BG157-BA157</f>
        <v>-1.4217776470999532E-2</v>
      </c>
      <c r="BH158" s="547">
        <f t="shared" ref="BH158:BI158" si="990">+BH157-BB157</f>
        <v>-2.2318032573854396E-2</v>
      </c>
      <c r="BI158" s="2496">
        <f t="shared" si="990"/>
        <v>-4.1864691047223956E-2</v>
      </c>
      <c r="BJ158" s="2498"/>
      <c r="BK158" s="546">
        <f t="shared" ref="BK158:BL158" si="991">+BK157-BE157</f>
        <v>-6.3242691646152399E-2</v>
      </c>
      <c r="BL158" s="547">
        <f t="shared" si="991"/>
        <v>-5.0954641475544377E-2</v>
      </c>
      <c r="BM158" s="547">
        <f t="shared" ref="BM158" si="992">+BM157-BG157</f>
        <v>-1.8545766770569072E-2</v>
      </c>
      <c r="BN158" s="547">
        <f t="shared" ref="BN158:BO158" si="993">+BN157-BH157</f>
        <v>6.2661156683591457E-2</v>
      </c>
      <c r="BO158" s="2496">
        <f t="shared" si="993"/>
        <v>-1.2826011649476332E-2</v>
      </c>
      <c r="BP158" s="2498"/>
      <c r="BQ158" s="546">
        <f t="shared" ref="BQ158" si="994">+BQ157-BK157</f>
        <v>0.11853236277788709</v>
      </c>
      <c r="BR158" s="547">
        <f t="shared" ref="BR158" si="995">+BR157-BL157</f>
        <v>1.6292106479087076E-2</v>
      </c>
      <c r="BS158" s="547">
        <f t="shared" ref="BS158" si="996">+BS157-BM157</f>
        <v>-2.5294683845262761E-2</v>
      </c>
      <c r="BT158" s="547">
        <f t="shared" ref="BT158:BU158" si="997">+BT157-BN157</f>
        <v>-6.5678144380622999E-2</v>
      </c>
      <c r="BU158" s="2496">
        <f t="shared" si="997"/>
        <v>5.7294614386621534E-3</v>
      </c>
      <c r="BV158" s="2498"/>
      <c r="BW158" s="546">
        <f t="shared" ref="BW158" si="998">+BW157-BQ157</f>
        <v>-5.2400042200989039E-3</v>
      </c>
      <c r="BX158" s="547">
        <f t="shared" ref="BX158" si="999">+BX157-BR157</f>
        <v>-3.4274996788972167E-3</v>
      </c>
      <c r="BY158" s="547">
        <f t="shared" ref="BY158" si="1000">+BY157-BS157</f>
        <v>-2.8200871931189364E-3</v>
      </c>
      <c r="BZ158" s="547">
        <f t="shared" ref="BZ158:CA158" si="1001">+BZ157-BT157</f>
        <v>-3.4171075262660056E-3</v>
      </c>
      <c r="CA158" s="2496">
        <f t="shared" si="1001"/>
        <v>-3.5599053278718151E-3</v>
      </c>
      <c r="CB158" s="2498"/>
      <c r="CC158" s="546">
        <f t="shared" ref="CC158" si="1002">+CC157-BW157</f>
        <v>-2.7632572442962688E-3</v>
      </c>
      <c r="CD158" s="547">
        <f t="shared" ref="CD158" si="1003">+CD157-BX157</f>
        <v>-2.1109526024694902E-3</v>
      </c>
      <c r="CE158" s="547">
        <f t="shared" ref="CE158" si="1004">+CE157-BY157</f>
        <v>-1.9795888897994884E-3</v>
      </c>
      <c r="CF158" s="547">
        <f t="shared" ref="CF158:CG158" si="1005">+CF157-BZ157</f>
        <v>-2.1946140067739817E-3</v>
      </c>
      <c r="CG158" s="2496">
        <f t="shared" si="1005"/>
        <v>-2.2698542799824417E-3</v>
      </c>
      <c r="CH158" s="2498"/>
      <c r="CI158" s="546">
        <f t="shared" ref="CI158" si="1006">+CI157-CC157</f>
        <v>-3.2073390345007669E-3</v>
      </c>
      <c r="CJ158" s="547">
        <f t="shared" ref="CJ158" si="1007">+CJ157-CD157</f>
        <v>-2.2509778672766267E-3</v>
      </c>
      <c r="CK158" s="547">
        <f t="shared" ref="CK158" si="1008">+CK157-CE157</f>
        <v>-2.2380607060769886E-3</v>
      </c>
      <c r="CL158" s="547">
        <f t="shared" ref="CL158" si="1009">+CL157-CF157</f>
        <v>-2.2904364176052905E-3</v>
      </c>
      <c r="CM158" s="2496">
        <f t="shared" ref="CM158" si="1010">+CM157-CG157</f>
        <v>-2.4936110543094248E-3</v>
      </c>
      <c r="CN158" s="2498"/>
      <c r="CO158" s="546">
        <f t="shared" ref="CO158" si="1011">+CO157-CI157</f>
        <v>-2.0443283492103115E-3</v>
      </c>
      <c r="CP158" s="547">
        <f t="shared" ref="CP158" si="1012">+CP157-CJ157</f>
        <v>-2.3678367889190532E-4</v>
      </c>
      <c r="CQ158" s="547">
        <f t="shared" ref="CQ158" si="1013">+CQ157-CK157</f>
        <v>-4.5288145177457828E-5</v>
      </c>
      <c r="CR158" s="547">
        <f t="shared" ref="CR158" si="1014">+CR157-CL157</f>
        <v>-1.7776287826862247E-4</v>
      </c>
      <c r="CS158" s="2496">
        <f t="shared" ref="CS158" si="1015">+CS157-CM157</f>
        <v>-6.7294110585564004E-4</v>
      </c>
    </row>
    <row r="159" spans="1:97" s="1357" customFormat="1">
      <c r="A159" s="1351" t="s">
        <v>727</v>
      </c>
      <c r="B159" s="413"/>
      <c r="C159" s="2334">
        <v>0</v>
      </c>
      <c r="D159" s="2335">
        <v>0</v>
      </c>
      <c r="E159" s="2335">
        <v>0</v>
      </c>
      <c r="F159" s="2335">
        <v>0</v>
      </c>
      <c r="G159" s="648">
        <f>+SUM(C159:F159)</f>
        <v>0</v>
      </c>
      <c r="H159" s="413"/>
      <c r="I159" s="2334">
        <v>0</v>
      </c>
      <c r="J159" s="2335">
        <v>0</v>
      </c>
      <c r="K159" s="2335">
        <v>0</v>
      </c>
      <c r="L159" s="2335">
        <v>0</v>
      </c>
      <c r="M159" s="648">
        <f>+SUM(I159:L159)</f>
        <v>0</v>
      </c>
      <c r="N159" s="650"/>
      <c r="O159" s="2334">
        <v>0</v>
      </c>
      <c r="P159" s="2335">
        <v>0</v>
      </c>
      <c r="Q159" s="2335">
        <v>0</v>
      </c>
      <c r="R159" s="2335">
        <v>0</v>
      </c>
      <c r="S159" s="648">
        <f>+SUM(O159:R159)</f>
        <v>0</v>
      </c>
      <c r="T159" s="417"/>
      <c r="U159" s="2334">
        <v>0</v>
      </c>
      <c r="V159" s="2335">
        <v>0</v>
      </c>
      <c r="W159" s="2335">
        <v>0</v>
      </c>
      <c r="X159" s="2335">
        <v>0</v>
      </c>
      <c r="Y159" s="648">
        <f>+SUM(U159:X159)</f>
        <v>0</v>
      </c>
      <c r="Z159" s="417"/>
      <c r="AA159" s="2334">
        <v>0</v>
      </c>
      <c r="AB159" s="2335">
        <v>0</v>
      </c>
      <c r="AC159" s="2335">
        <v>0</v>
      </c>
      <c r="AD159" s="2335">
        <v>0</v>
      </c>
      <c r="AE159" s="648">
        <f>+SUM(AA159:AD159)</f>
        <v>0</v>
      </c>
      <c r="AF159" s="417"/>
      <c r="AG159" s="2334">
        <v>0</v>
      </c>
      <c r="AH159" s="2335">
        <v>0</v>
      </c>
      <c r="AI159" s="2335">
        <v>0</v>
      </c>
      <c r="AJ159" s="2335">
        <v>0</v>
      </c>
      <c r="AK159" s="648">
        <f>+SUM(AG159:AJ159)</f>
        <v>0</v>
      </c>
      <c r="AL159" s="649"/>
      <c r="AM159" s="2334">
        <v>0</v>
      </c>
      <c r="AN159" s="2335">
        <v>0</v>
      </c>
      <c r="AO159" s="2335">
        <v>0</v>
      </c>
      <c r="AP159" s="2335">
        <v>0</v>
      </c>
      <c r="AQ159" s="648">
        <f>+SUM(AM159:AP159)</f>
        <v>0</v>
      </c>
      <c r="AR159" s="649"/>
      <c r="AS159" s="2334">
        <v>0</v>
      </c>
      <c r="AT159" s="2335">
        <v>0</v>
      </c>
      <c r="AU159" s="2335">
        <v>0</v>
      </c>
      <c r="AV159" s="2335">
        <v>0</v>
      </c>
      <c r="AW159" s="648">
        <f>+SUM(AS159:AV159)</f>
        <v>0</v>
      </c>
      <c r="AX159" s="649"/>
      <c r="AY159" s="609">
        <f>+AY139</f>
        <v>0</v>
      </c>
      <c r="AZ159" s="610">
        <f t="shared" ref="AZ159:BC159" si="1016">+AZ139</f>
        <v>0</v>
      </c>
      <c r="BA159" s="610">
        <f t="shared" si="1016"/>
        <v>1</v>
      </c>
      <c r="BB159" s="610">
        <f t="shared" si="1016"/>
        <v>2</v>
      </c>
      <c r="BC159" s="648">
        <f t="shared" si="1016"/>
        <v>3</v>
      </c>
      <c r="BD159" s="649"/>
      <c r="BE159" s="609">
        <f t="shared" ref="BE159:BI159" si="1017">+BE139</f>
        <v>5.145867</v>
      </c>
      <c r="BF159" s="610">
        <f t="shared" si="1017"/>
        <v>8.4017359999999996</v>
      </c>
      <c r="BG159" s="610">
        <f t="shared" si="1017"/>
        <v>14.571336000000001</v>
      </c>
      <c r="BH159" s="610">
        <f t="shared" si="1017"/>
        <v>14.881060999999999</v>
      </c>
      <c r="BI159" s="648">
        <f t="shared" si="1017"/>
        <v>43</v>
      </c>
      <c r="BJ159" s="649"/>
      <c r="BK159" s="609">
        <f t="shared" ref="BK159:BO159" si="1018">+BK139</f>
        <v>12.558000000000002</v>
      </c>
      <c r="BL159" s="610">
        <f t="shared" si="1018"/>
        <v>5.2991999999999999</v>
      </c>
      <c r="BM159" s="610">
        <f t="shared" si="1018"/>
        <v>5.7119999999999997</v>
      </c>
      <c r="BN159" s="610">
        <f t="shared" si="1018"/>
        <v>5.4439000000000002</v>
      </c>
      <c r="BO159" s="648">
        <f t="shared" si="1018"/>
        <v>29.013100000000001</v>
      </c>
      <c r="BP159" s="649"/>
      <c r="BQ159" s="609">
        <f t="shared" ref="BQ159:BU159" si="1019">+BQ139</f>
        <v>6.2560000000000002</v>
      </c>
      <c r="BR159" s="610">
        <f t="shared" si="1019"/>
        <v>5</v>
      </c>
      <c r="BS159" s="610">
        <f t="shared" si="1019"/>
        <v>5</v>
      </c>
      <c r="BT159" s="610">
        <f t="shared" si="1019"/>
        <v>5</v>
      </c>
      <c r="BU159" s="648">
        <f t="shared" si="1019"/>
        <v>21.256</v>
      </c>
      <c r="BV159" s="649"/>
      <c r="BW159" s="609">
        <f t="shared" ref="BW159:CA159" si="1020">+BW139</f>
        <v>5</v>
      </c>
      <c r="BX159" s="610">
        <f t="shared" si="1020"/>
        <v>5</v>
      </c>
      <c r="BY159" s="610">
        <f t="shared" si="1020"/>
        <v>5</v>
      </c>
      <c r="BZ159" s="610">
        <f t="shared" si="1020"/>
        <v>5</v>
      </c>
      <c r="CA159" s="648">
        <f t="shared" si="1020"/>
        <v>20</v>
      </c>
      <c r="CB159" s="649"/>
      <c r="CC159" s="609">
        <f t="shared" ref="CC159:CG159" si="1021">+CC139</f>
        <v>5</v>
      </c>
      <c r="CD159" s="610">
        <f t="shared" si="1021"/>
        <v>5</v>
      </c>
      <c r="CE159" s="610">
        <f t="shared" si="1021"/>
        <v>5</v>
      </c>
      <c r="CF159" s="610">
        <f t="shared" si="1021"/>
        <v>5</v>
      </c>
      <c r="CG159" s="648">
        <f t="shared" si="1021"/>
        <v>20</v>
      </c>
      <c r="CH159" s="649"/>
      <c r="CI159" s="609">
        <f t="shared" ref="CI159:CM159" si="1022">+CI139</f>
        <v>5</v>
      </c>
      <c r="CJ159" s="610">
        <f t="shared" si="1022"/>
        <v>5</v>
      </c>
      <c r="CK159" s="610">
        <f t="shared" si="1022"/>
        <v>5</v>
      </c>
      <c r="CL159" s="610">
        <f t="shared" si="1022"/>
        <v>5</v>
      </c>
      <c r="CM159" s="648">
        <f t="shared" si="1022"/>
        <v>20</v>
      </c>
      <c r="CN159" s="649"/>
      <c r="CO159" s="609">
        <f t="shared" ref="CO159:CS159" si="1023">+CO139</f>
        <v>5</v>
      </c>
      <c r="CP159" s="610">
        <f t="shared" si="1023"/>
        <v>5</v>
      </c>
      <c r="CQ159" s="610">
        <f t="shared" si="1023"/>
        <v>5</v>
      </c>
      <c r="CR159" s="610">
        <f t="shared" si="1023"/>
        <v>5</v>
      </c>
      <c r="CS159" s="648">
        <f t="shared" si="1023"/>
        <v>20</v>
      </c>
    </row>
    <row r="160" spans="1:97" s="1357" customFormat="1">
      <c r="A160" s="1351" t="s">
        <v>726</v>
      </c>
      <c r="B160" s="413"/>
      <c r="C160" s="2334">
        <v>0</v>
      </c>
      <c r="D160" s="2335">
        <v>0</v>
      </c>
      <c r="E160" s="2335">
        <v>0</v>
      </c>
      <c r="F160" s="2335">
        <v>0</v>
      </c>
      <c r="G160" s="648">
        <f>+SUM(C160:F160)</f>
        <v>0</v>
      </c>
      <c r="H160" s="413"/>
      <c r="I160" s="2334">
        <v>0</v>
      </c>
      <c r="J160" s="2335">
        <v>0</v>
      </c>
      <c r="K160" s="2335">
        <v>0</v>
      </c>
      <c r="L160" s="2335">
        <v>0</v>
      </c>
      <c r="M160" s="648">
        <f>+SUM(I160:L160)</f>
        <v>0</v>
      </c>
      <c r="N160" s="650"/>
      <c r="O160" s="2334">
        <v>0</v>
      </c>
      <c r="P160" s="2335">
        <v>0</v>
      </c>
      <c r="Q160" s="2335">
        <v>0</v>
      </c>
      <c r="R160" s="2335">
        <v>0</v>
      </c>
      <c r="S160" s="648">
        <f>+SUM(O160:R160)</f>
        <v>0</v>
      </c>
      <c r="T160" s="417"/>
      <c r="U160" s="2334">
        <v>0</v>
      </c>
      <c r="V160" s="2335">
        <v>0</v>
      </c>
      <c r="W160" s="2335">
        <v>0</v>
      </c>
      <c r="X160" s="2335">
        <v>0</v>
      </c>
      <c r="Y160" s="648">
        <f>+SUM(U160:X160)</f>
        <v>0</v>
      </c>
      <c r="Z160" s="417"/>
      <c r="AA160" s="2334">
        <v>0</v>
      </c>
      <c r="AB160" s="2335">
        <v>0</v>
      </c>
      <c r="AC160" s="2335">
        <v>0</v>
      </c>
      <c r="AD160" s="2335">
        <v>0</v>
      </c>
      <c r="AE160" s="648">
        <f>+SUM(AA160:AD160)</f>
        <v>0</v>
      </c>
      <c r="AF160" s="417"/>
      <c r="AG160" s="2334">
        <v>0</v>
      </c>
      <c r="AH160" s="2335">
        <v>0</v>
      </c>
      <c r="AI160" s="2335">
        <v>0</v>
      </c>
      <c r="AJ160" s="2335">
        <v>0</v>
      </c>
      <c r="AK160" s="648">
        <f>+SUM(AG160:AJ160)</f>
        <v>0</v>
      </c>
      <c r="AL160" s="649"/>
      <c r="AM160" s="2334">
        <v>0</v>
      </c>
      <c r="AN160" s="2335">
        <v>0</v>
      </c>
      <c r="AO160" s="2335">
        <v>0</v>
      </c>
      <c r="AP160" s="2335">
        <v>0</v>
      </c>
      <c r="AQ160" s="648">
        <f>+SUM(AM160:AP160)</f>
        <v>0</v>
      </c>
      <c r="AR160" s="649"/>
      <c r="AS160" s="2334">
        <v>0</v>
      </c>
      <c r="AT160" s="2335">
        <v>0</v>
      </c>
      <c r="AU160" s="2335">
        <v>0</v>
      </c>
      <c r="AV160" s="2335">
        <v>0</v>
      </c>
      <c r="AW160" s="648">
        <f>+SUM(AS160:AV160)</f>
        <v>0</v>
      </c>
      <c r="AX160" s="649"/>
      <c r="AY160" s="609">
        <f>+AY140</f>
        <v>0</v>
      </c>
      <c r="AZ160" s="610">
        <f t="shared" ref="AZ160:BC160" si="1024">+AZ140</f>
        <v>0</v>
      </c>
      <c r="BA160" s="610">
        <f t="shared" si="1024"/>
        <v>1.5</v>
      </c>
      <c r="BB160" s="610">
        <f t="shared" si="1024"/>
        <v>2</v>
      </c>
      <c r="BC160" s="648">
        <f t="shared" si="1024"/>
        <v>3.5</v>
      </c>
      <c r="BD160" s="649"/>
      <c r="BE160" s="609">
        <f t="shared" ref="BE160:BI160" si="1025">+BE140</f>
        <v>3.4305780000000001</v>
      </c>
      <c r="BF160" s="610">
        <f t="shared" si="1025"/>
        <v>6.6013640000000002</v>
      </c>
      <c r="BG160" s="610">
        <f t="shared" si="1025"/>
        <v>9.1070849999999997</v>
      </c>
      <c r="BH160" s="610">
        <f t="shared" si="1025"/>
        <v>3.6609730000000007</v>
      </c>
      <c r="BI160" s="648">
        <f t="shared" si="1025"/>
        <v>22.8</v>
      </c>
      <c r="BJ160" s="649"/>
      <c r="BK160" s="609">
        <f t="shared" ref="BK160:BO160" si="1026">+BK140</f>
        <v>8.9699999999999989</v>
      </c>
      <c r="BL160" s="610">
        <f t="shared" si="1026"/>
        <v>6.6239999999999997</v>
      </c>
      <c r="BM160" s="610">
        <f t="shared" si="1026"/>
        <v>12.138000000000002</v>
      </c>
      <c r="BN160" s="610">
        <f t="shared" si="1026"/>
        <v>9.3324000000000016</v>
      </c>
      <c r="BO160" s="648">
        <f t="shared" si="1026"/>
        <v>37.064399999999999</v>
      </c>
      <c r="BP160" s="649"/>
      <c r="BQ160" s="609">
        <f t="shared" ref="BQ160:BU160" si="1027">+BQ140</f>
        <v>8.6020000000000003</v>
      </c>
      <c r="BR160" s="610">
        <f t="shared" si="1027"/>
        <v>7</v>
      </c>
      <c r="BS160" s="610">
        <f t="shared" si="1027"/>
        <v>7</v>
      </c>
      <c r="BT160" s="610">
        <f t="shared" si="1027"/>
        <v>7</v>
      </c>
      <c r="BU160" s="648">
        <f t="shared" si="1027"/>
        <v>29.602</v>
      </c>
      <c r="BV160" s="649"/>
      <c r="BW160" s="609">
        <f t="shared" ref="BW160:CA160" si="1028">+BW140</f>
        <v>8</v>
      </c>
      <c r="BX160" s="610">
        <f t="shared" si="1028"/>
        <v>8</v>
      </c>
      <c r="BY160" s="610">
        <f t="shared" si="1028"/>
        <v>8</v>
      </c>
      <c r="BZ160" s="610">
        <f t="shared" si="1028"/>
        <v>8</v>
      </c>
      <c r="CA160" s="648">
        <f t="shared" si="1028"/>
        <v>32</v>
      </c>
      <c r="CB160" s="649"/>
      <c r="CC160" s="609">
        <f t="shared" ref="CC160:CG160" si="1029">+CC140</f>
        <v>8</v>
      </c>
      <c r="CD160" s="610">
        <f t="shared" si="1029"/>
        <v>8</v>
      </c>
      <c r="CE160" s="610">
        <f t="shared" si="1029"/>
        <v>8</v>
      </c>
      <c r="CF160" s="610">
        <f t="shared" si="1029"/>
        <v>8</v>
      </c>
      <c r="CG160" s="648">
        <f t="shared" si="1029"/>
        <v>32</v>
      </c>
      <c r="CH160" s="649"/>
      <c r="CI160" s="609">
        <f t="shared" ref="CI160:CM160" si="1030">+CI140</f>
        <v>8</v>
      </c>
      <c r="CJ160" s="610">
        <f t="shared" si="1030"/>
        <v>8</v>
      </c>
      <c r="CK160" s="610">
        <f t="shared" si="1030"/>
        <v>8</v>
      </c>
      <c r="CL160" s="610">
        <f t="shared" si="1030"/>
        <v>8</v>
      </c>
      <c r="CM160" s="648">
        <f t="shared" si="1030"/>
        <v>32</v>
      </c>
      <c r="CN160" s="649"/>
      <c r="CO160" s="609">
        <f t="shared" ref="CO160:CS160" si="1031">+CO140</f>
        <v>8</v>
      </c>
      <c r="CP160" s="610">
        <f t="shared" si="1031"/>
        <v>8</v>
      </c>
      <c r="CQ160" s="610">
        <f t="shared" si="1031"/>
        <v>8</v>
      </c>
      <c r="CR160" s="610">
        <f t="shared" si="1031"/>
        <v>8</v>
      </c>
      <c r="CS160" s="648">
        <f t="shared" si="1031"/>
        <v>32</v>
      </c>
    </row>
    <row r="161" spans="1:97">
      <c r="A161" s="2291" t="s">
        <v>802</v>
      </c>
      <c r="B161" s="413"/>
      <c r="C161" s="2334">
        <v>0</v>
      </c>
      <c r="D161" s="2335">
        <v>0</v>
      </c>
      <c r="E161" s="2335">
        <v>0</v>
      </c>
      <c r="F161" s="2335">
        <v>0</v>
      </c>
      <c r="G161" s="648">
        <f>+SUM(C161:F161)</f>
        <v>0</v>
      </c>
      <c r="H161" s="413"/>
      <c r="I161" s="2568">
        <f>+I81*RevBuild!I19</f>
        <v>0</v>
      </c>
      <c r="J161" s="2569">
        <f>+J81*RevBuild!J19</f>
        <v>0</v>
      </c>
      <c r="K161" s="2569">
        <f>+K81*RevBuild!K19</f>
        <v>0</v>
      </c>
      <c r="L161" s="2569">
        <f>+L81*RevBuild!L19</f>
        <v>0</v>
      </c>
      <c r="M161" s="2570">
        <f>+M81*RevBuild!M19</f>
        <v>0</v>
      </c>
      <c r="N161" s="650"/>
      <c r="O161" s="2568">
        <f>+-O81*RevBuild!O19*I9</f>
        <v>0</v>
      </c>
      <c r="P161" s="2569">
        <f>+-P81*RevBuild!P19*J9</f>
        <v>0</v>
      </c>
      <c r="Q161" s="2569">
        <f>+-Q81*RevBuild!Q19*K9</f>
        <v>0</v>
      </c>
      <c r="R161" s="2569">
        <f>+-R81*RevBuild!R19*L9</f>
        <v>0</v>
      </c>
      <c r="S161" s="2570">
        <f>+-S81*RevBuild!S19*M9</f>
        <v>0</v>
      </c>
      <c r="T161" s="650"/>
      <c r="U161" s="2568">
        <f>+-U81*RevBuild!U19*O9</f>
        <v>-1.8228377354103378</v>
      </c>
      <c r="V161" s="2569">
        <f>+-V81*RevBuild!V19*P9</f>
        <v>0.14746056767622104</v>
      </c>
      <c r="W161" s="2569">
        <f>+-W81*RevBuild!W19*Q9</f>
        <v>0.22105582269197716</v>
      </c>
      <c r="X161" s="2569">
        <f>+-X81*RevBuild!X19*R9</f>
        <v>0.12759709148800374</v>
      </c>
      <c r="Y161" s="2570">
        <f>+-Y81*RevBuild!Y19*S9</f>
        <v>-5.0965417489560946E-2</v>
      </c>
      <c r="Z161" s="650"/>
      <c r="AA161" s="2568">
        <f>+-AA81*RevBuild!AA19*U9</f>
        <v>-2.443666759767658</v>
      </c>
      <c r="AB161" s="2569">
        <f>+-AB81*RevBuild!AB19*V9</f>
        <v>-4.4713962970122676</v>
      </c>
      <c r="AC161" s="2569">
        <f>+-AC81*RevBuild!AC19*W9</f>
        <v>-3.511682399197078</v>
      </c>
      <c r="AD161" s="2569">
        <f>+-AD81*RevBuild!AD19*X9</f>
        <v>-0.84423774214213643</v>
      </c>
      <c r="AE161" s="2570">
        <f>+-AE81*RevBuild!AE19*Y9</f>
        <v>-11.819359290456562</v>
      </c>
      <c r="AF161" s="650"/>
      <c r="AG161" s="2568">
        <f>+-AG81*RevBuild!AG19*AA9</f>
        <v>0.26203376953014668</v>
      </c>
      <c r="AH161" s="2569">
        <f>+-AH81*RevBuild!AH19*AB9</f>
        <v>2.456899633998793</v>
      </c>
      <c r="AI161" s="2569">
        <f>+-AI81*RevBuild!AI19*AC9</f>
        <v>2.1094367461604446</v>
      </c>
      <c r="AJ161" s="2569">
        <f>+-AJ81*RevBuild!AJ19*AD9</f>
        <v>0.85796437802237535</v>
      </c>
      <c r="AK161" s="2570">
        <f>+-AK81*RevBuild!AK19*AE9</f>
        <v>6.320392523303024</v>
      </c>
      <c r="AL161" s="650"/>
      <c r="AM161" s="2568">
        <f>+-AM81*RevBuild!AM19*AG9</f>
        <v>4.1629310137360225</v>
      </c>
      <c r="AN161" s="2569">
        <f>+-AN81*RevBuild!AN19*AH9</f>
        <v>2.988418096926245</v>
      </c>
      <c r="AO161" s="2569">
        <f>+-AO81*RevBuild!AO19*AI9</f>
        <v>-1.8248577703010027</v>
      </c>
      <c r="AP161" s="2569">
        <f>+-AP81*RevBuild!AP19*AJ9</f>
        <v>2.5694273719682239</v>
      </c>
      <c r="AQ161" s="2570">
        <f>+-AQ81*RevBuild!AQ19*AK9</f>
        <v>10.455109103816827</v>
      </c>
      <c r="AR161" s="650"/>
      <c r="AS161" s="2568">
        <f>+-AS81*RevBuild!AS19*AM9</f>
        <v>-0.53329095358689516</v>
      </c>
      <c r="AT161" s="2569">
        <f>+-AT81*RevBuild!AT19*AN9</f>
        <v>-0.96741859893856685</v>
      </c>
      <c r="AU161" s="2569">
        <f>+-AU81*RevBuild!AU19*AO9</f>
        <v>-7.3598505245272908E-2</v>
      </c>
      <c r="AV161" s="2569">
        <f>+-AV81*RevBuild!AV19*AP9</f>
        <v>1.8747704026575198</v>
      </c>
      <c r="AW161" s="2570">
        <f>+-AW81*RevBuild!AW19*AQ9</f>
        <v>0.21393453612481386</v>
      </c>
      <c r="AX161" s="650"/>
      <c r="AY161" s="2568">
        <f>+-AY81*RevBuild!AY19*AS9</f>
        <v>6.3117149999999995</v>
      </c>
      <c r="AZ161" s="2569">
        <f>+-AZ81*RevBuild!AZ19*AT9</f>
        <v>5.6393567999999998</v>
      </c>
      <c r="BA161" s="2569">
        <f>+-BA81*RevBuild!BA19*AU9</f>
        <v>5.7675600000000005</v>
      </c>
      <c r="BB161" s="2569">
        <f>+-BB81*RevBuild!BB19*AV9</f>
        <v>4.3039835999999996</v>
      </c>
      <c r="BC161" s="648">
        <f>+SUM(AY161:BB161)</f>
        <v>22.022615399999999</v>
      </c>
      <c r="BD161" s="649"/>
      <c r="BE161" s="2568">
        <f>+-BE81*RevBuild!BE19*AY9</f>
        <v>1.6156950000000001</v>
      </c>
      <c r="BF161" s="2569">
        <f>+-BF81*RevBuild!BF19*AZ9</f>
        <v>-0.59732960105253052</v>
      </c>
      <c r="BG161" s="2569">
        <f>+-BG81*RevBuild!BG19*BA9</f>
        <v>-0.154443274854173</v>
      </c>
      <c r="BH161" s="2569">
        <f>+-BH81*RevBuild!BH19*BB9</f>
        <v>1.351447014709235</v>
      </c>
      <c r="BI161" s="648">
        <f>+SUM(BE161:BH161)</f>
        <v>2.2153691388025316</v>
      </c>
      <c r="BJ161" s="649"/>
      <c r="BK161" s="2568">
        <f>+-BK81*RevBuild!BK19*BE9</f>
        <v>0.85764450000000003</v>
      </c>
      <c r="BL161" s="2569">
        <f>+-BL81*RevBuild!BL19*BF9</f>
        <v>0.90018600000000004</v>
      </c>
      <c r="BM161" s="2569">
        <f>+-BM81*RevBuild!BM19*BG9</f>
        <v>-0.91070850000000003</v>
      </c>
      <c r="BN161" s="2569">
        <f>+-BN81*RevBuild!BN19*BH9</f>
        <v>-2.9728655999999996</v>
      </c>
      <c r="BO161" s="648">
        <f>+SUM(BK161:BN161)</f>
        <v>-2.1257435999999994</v>
      </c>
      <c r="BP161" s="649"/>
      <c r="BQ161" s="2568">
        <f>+-BQ81*RevBuild!BQ19*BK9</f>
        <v>-12.557999999999998</v>
      </c>
      <c r="BR161" s="2569">
        <f>+-BR81*RevBuild!BR19*BL9</f>
        <v>-4.7692799999999993</v>
      </c>
      <c r="BS161" s="2569">
        <f>+-BS81*RevBuild!BS19*BM9</f>
        <v>-2.1419999999999999</v>
      </c>
      <c r="BT161" s="2569">
        <f>+-BT81*RevBuild!BT19*BN9</f>
        <v>-2.3331000000000004</v>
      </c>
      <c r="BU161" s="2570">
        <f>+-BU81*RevBuild!BU19*BO9</f>
        <v>-14.626518042236254</v>
      </c>
      <c r="BV161" s="649"/>
      <c r="BW161" s="2568">
        <f>+-BW81*RevBuild!BW19*BQ9</f>
        <v>0</v>
      </c>
      <c r="BX161" s="2569">
        <f>+-BX81*RevBuild!BX19*BR9</f>
        <v>0</v>
      </c>
      <c r="BY161" s="2569">
        <f>+-BY81*RevBuild!BY19*BS9</f>
        <v>0</v>
      </c>
      <c r="BZ161" s="2569">
        <f>+-BZ81*RevBuild!BZ19*BT9</f>
        <v>0</v>
      </c>
      <c r="CA161" s="2570">
        <f>+-CA81*RevBuild!CA19*BU9</f>
        <v>0</v>
      </c>
      <c r="CB161" s="649"/>
      <c r="CC161" s="2568">
        <f>+-CC81*RevBuild!CC19*BW9</f>
        <v>0</v>
      </c>
      <c r="CD161" s="2569">
        <f>+-CD81*RevBuild!CD19*BX9</f>
        <v>0</v>
      </c>
      <c r="CE161" s="2569">
        <f>+-CE81*RevBuild!CE19*BY9</f>
        <v>0</v>
      </c>
      <c r="CF161" s="2569">
        <f>+-CF81*RevBuild!CF19*BZ9</f>
        <v>0</v>
      </c>
      <c r="CG161" s="2570">
        <f>+-CG81*RevBuild!CG19*CA9</f>
        <v>0</v>
      </c>
      <c r="CH161" s="649"/>
      <c r="CI161" s="2568">
        <f>+-CI81*RevBuild!CI19*CC9</f>
        <v>0</v>
      </c>
      <c r="CJ161" s="2569">
        <f>+-CJ81*RevBuild!CJ19*CD9</f>
        <v>0</v>
      </c>
      <c r="CK161" s="2569">
        <f>+-CK81*RevBuild!CK19*CE9</f>
        <v>0</v>
      </c>
      <c r="CL161" s="2569">
        <f>+-CL81*RevBuild!CL19*CF9</f>
        <v>0</v>
      </c>
      <c r="CM161" s="2570">
        <f>+-CM81*RevBuild!CM19*CG9</f>
        <v>0</v>
      </c>
      <c r="CN161" s="649"/>
      <c r="CO161" s="2568">
        <f>+-CO81*RevBuild!CO19*CI9</f>
        <v>0</v>
      </c>
      <c r="CP161" s="2569">
        <f>+-CP81*RevBuild!CP19*CJ9</f>
        <v>0</v>
      </c>
      <c r="CQ161" s="2569">
        <f>+-CQ81*RevBuild!CQ19*CK9</f>
        <v>0</v>
      </c>
      <c r="CR161" s="2569">
        <f>+-CR81*RevBuild!CR19*CL9</f>
        <v>0</v>
      </c>
      <c r="CS161" s="2570">
        <f>+-CS81*RevBuild!CS19*CM9</f>
        <v>0</v>
      </c>
    </row>
    <row r="162" spans="1:97">
      <c r="A162" s="2291" t="s">
        <v>803</v>
      </c>
      <c r="B162" s="413"/>
      <c r="C162" s="2334">
        <v>0</v>
      </c>
      <c r="D162" s="2335">
        <v>0</v>
      </c>
      <c r="E162" s="2335">
        <v>0</v>
      </c>
      <c r="F162" s="2335">
        <v>0</v>
      </c>
      <c r="G162" s="648">
        <f>+SUM(C162:F162)</f>
        <v>0</v>
      </c>
      <c r="H162" s="413"/>
      <c r="I162" s="2334">
        <v>0</v>
      </c>
      <c r="J162" s="2335">
        <v>0</v>
      </c>
      <c r="K162" s="2335">
        <v>0</v>
      </c>
      <c r="L162" s="2335">
        <v>0</v>
      </c>
      <c r="M162" s="648">
        <f>+SUM(I162:L162)</f>
        <v>0</v>
      </c>
      <c r="N162" s="650"/>
      <c r="O162" s="2334">
        <v>0</v>
      </c>
      <c r="P162" s="2335">
        <v>0</v>
      </c>
      <c r="Q162" s="2335">
        <v>0</v>
      </c>
      <c r="R162" s="2335">
        <v>0</v>
      </c>
      <c r="S162" s="648">
        <f>+SUM(O162:R162)</f>
        <v>0</v>
      </c>
      <c r="T162" s="417"/>
      <c r="U162" s="2334">
        <v>0</v>
      </c>
      <c r="V162" s="2335">
        <v>0</v>
      </c>
      <c r="W162" s="2335">
        <v>0</v>
      </c>
      <c r="X162" s="2335">
        <v>0</v>
      </c>
      <c r="Y162" s="648">
        <f>+SUM(U162:X162)</f>
        <v>0</v>
      </c>
      <c r="Z162" s="417"/>
      <c r="AA162" s="2334">
        <v>0</v>
      </c>
      <c r="AB162" s="2335">
        <v>0</v>
      </c>
      <c r="AC162" s="2335">
        <v>0</v>
      </c>
      <c r="AD162" s="2335">
        <v>0</v>
      </c>
      <c r="AE162" s="648">
        <f>+SUM(AA162:AD162)</f>
        <v>0</v>
      </c>
      <c r="AF162" s="417"/>
      <c r="AG162" s="2334">
        <v>0</v>
      </c>
      <c r="AH162" s="2335">
        <v>0</v>
      </c>
      <c r="AI162" s="2335">
        <v>0</v>
      </c>
      <c r="AJ162" s="2335">
        <v>0</v>
      </c>
      <c r="AK162" s="648">
        <f>+SUM(AG162:AJ162)</f>
        <v>0</v>
      </c>
      <c r="AL162" s="649"/>
      <c r="AM162" s="2334">
        <f>4/(1-AM57)</f>
        <v>5.5170475414810189</v>
      </c>
      <c r="AN162" s="2335">
        <f>5/(1-AN57)</f>
        <v>7.215298019901498</v>
      </c>
      <c r="AO162" s="2335">
        <f>5/(1-AO57)</f>
        <v>7.0812780447442947</v>
      </c>
      <c r="AP162" s="2335">
        <f>5/(1-AP57)</f>
        <v>7.4177570383232041</v>
      </c>
      <c r="AQ162" s="648">
        <f>+SUM(AM162:AP162)</f>
        <v>27.231380644450013</v>
      </c>
      <c r="AR162" s="649"/>
      <c r="AS162" s="2334">
        <f>1/(1-AS57)</f>
        <v>1.4275238297500217</v>
      </c>
      <c r="AT162" s="2335">
        <v>0</v>
      </c>
      <c r="AU162" s="2335">
        <v>0</v>
      </c>
      <c r="AV162" s="2335">
        <v>0</v>
      </c>
      <c r="AW162" s="648">
        <f>+SUM(AS162:AV162)</f>
        <v>1.4275238297500217</v>
      </c>
      <c r="AX162" s="649"/>
      <c r="AY162" s="2334">
        <v>0</v>
      </c>
      <c r="AZ162" s="2335">
        <v>0</v>
      </c>
      <c r="BA162" s="2335">
        <v>0</v>
      </c>
      <c r="BB162" s="2335">
        <v>0</v>
      </c>
      <c r="BC162" s="648">
        <f>+SUM(AY162:BB162)</f>
        <v>0</v>
      </c>
      <c r="BD162" s="649"/>
      <c r="BE162" s="2334">
        <v>0</v>
      </c>
      <c r="BF162" s="2335">
        <v>0</v>
      </c>
      <c r="BG162" s="2335">
        <v>0</v>
      </c>
      <c r="BH162" s="2335">
        <v>0</v>
      </c>
      <c r="BI162" s="648">
        <f>+SUM(BE162:BH162)</f>
        <v>0</v>
      </c>
      <c r="BJ162" s="649"/>
      <c r="BK162" s="2334">
        <v>0</v>
      </c>
      <c r="BL162" s="2335">
        <v>0</v>
      </c>
      <c r="BM162" s="2335">
        <v>0</v>
      </c>
      <c r="BN162" s="2335">
        <v>0</v>
      </c>
      <c r="BO162" s="648">
        <f>+SUM(BK162:BN162)</f>
        <v>0</v>
      </c>
      <c r="BP162" s="649"/>
      <c r="BQ162" s="2334">
        <v>0</v>
      </c>
      <c r="BR162" s="2335">
        <v>0</v>
      </c>
      <c r="BS162" s="2335">
        <v>0</v>
      </c>
      <c r="BT162" s="2335">
        <v>0</v>
      </c>
      <c r="BU162" s="648">
        <f t="shared" ref="BU162" si="1032">+SUM(BQ162:BT162)</f>
        <v>0</v>
      </c>
      <c r="BV162" s="649"/>
      <c r="BW162" s="2334">
        <v>0</v>
      </c>
      <c r="BX162" s="2335">
        <v>0</v>
      </c>
      <c r="BY162" s="2335">
        <v>0</v>
      </c>
      <c r="BZ162" s="2335">
        <v>0</v>
      </c>
      <c r="CA162" s="648">
        <f t="shared" ref="CA162:CA163" si="1033">+SUM(BW162:BZ162)</f>
        <v>0</v>
      </c>
      <c r="CB162" s="649"/>
      <c r="CC162" s="2334">
        <v>0</v>
      </c>
      <c r="CD162" s="2335">
        <v>0</v>
      </c>
      <c r="CE162" s="2335">
        <v>0</v>
      </c>
      <c r="CF162" s="2335">
        <v>0</v>
      </c>
      <c r="CG162" s="648">
        <f t="shared" ref="CG162:CG163" si="1034">+SUM(CC162:CF162)</f>
        <v>0</v>
      </c>
      <c r="CH162" s="649"/>
      <c r="CI162" s="2334">
        <v>0</v>
      </c>
      <c r="CJ162" s="2335">
        <v>0</v>
      </c>
      <c r="CK162" s="2335">
        <v>0</v>
      </c>
      <c r="CL162" s="2335">
        <v>0</v>
      </c>
      <c r="CM162" s="648">
        <f t="shared" ref="CM162:CM163" si="1035">+SUM(CI162:CL162)</f>
        <v>0</v>
      </c>
      <c r="CN162" s="649"/>
      <c r="CO162" s="2334">
        <v>0</v>
      </c>
      <c r="CP162" s="2335">
        <v>0</v>
      </c>
      <c r="CQ162" s="2335">
        <v>0</v>
      </c>
      <c r="CR162" s="2335">
        <v>0</v>
      </c>
      <c r="CS162" s="648">
        <f t="shared" ref="CS162:CS163" si="1036">+SUM(CO162:CR162)</f>
        <v>0</v>
      </c>
    </row>
    <row r="163" spans="1:97">
      <c r="A163" s="2291" t="s">
        <v>821</v>
      </c>
      <c r="B163" s="413"/>
      <c r="C163" s="2334">
        <v>0</v>
      </c>
      <c r="D163" s="2335">
        <v>0</v>
      </c>
      <c r="E163" s="2335">
        <v>0</v>
      </c>
      <c r="F163" s="2335">
        <v>0</v>
      </c>
      <c r="G163" s="648">
        <f>+SUM(C163:F163)</f>
        <v>0</v>
      </c>
      <c r="H163" s="413"/>
      <c r="I163" s="2334">
        <v>0</v>
      </c>
      <c r="J163" s="2335">
        <v>0</v>
      </c>
      <c r="K163" s="2335">
        <v>0</v>
      </c>
      <c r="L163" s="2335">
        <v>0</v>
      </c>
      <c r="M163" s="648">
        <f t="shared" ref="M163" si="1037">+SUM(I163:L163)</f>
        <v>0</v>
      </c>
      <c r="N163" s="413"/>
      <c r="O163" s="2334">
        <v>0</v>
      </c>
      <c r="P163" s="2335">
        <v>0</v>
      </c>
      <c r="Q163" s="2335">
        <v>0</v>
      </c>
      <c r="R163" s="2335">
        <v>0</v>
      </c>
      <c r="S163" s="648">
        <f t="shared" ref="S163" si="1038">+SUM(O163:R163)</f>
        <v>0</v>
      </c>
      <c r="T163" s="413"/>
      <c r="U163" s="2334">
        <v>0</v>
      </c>
      <c r="V163" s="2335">
        <v>0</v>
      </c>
      <c r="W163" s="2335">
        <v>0</v>
      </c>
      <c r="X163" s="2335">
        <v>0</v>
      </c>
      <c r="Y163" s="648">
        <f t="shared" ref="Y163" si="1039">+SUM(U163:X163)</f>
        <v>0</v>
      </c>
      <c r="Z163" s="413"/>
      <c r="AA163" s="2334">
        <v>0</v>
      </c>
      <c r="AB163" s="2335">
        <v>0</v>
      </c>
      <c r="AC163" s="2335">
        <v>0</v>
      </c>
      <c r="AD163" s="2335">
        <v>0</v>
      </c>
      <c r="AE163" s="648">
        <f t="shared" ref="AE163" si="1040">+SUM(AA163:AD163)</f>
        <v>0</v>
      </c>
      <c r="AF163" s="413"/>
      <c r="AG163" s="2334">
        <v>0</v>
      </c>
      <c r="AH163" s="2335">
        <v>0</v>
      </c>
      <c r="AI163" s="2335">
        <v>0</v>
      </c>
      <c r="AJ163" s="2335">
        <v>0</v>
      </c>
      <c r="AK163" s="648">
        <f t="shared" ref="AK163" si="1041">+SUM(AG163:AJ163)</f>
        <v>0</v>
      </c>
      <c r="AL163" s="413"/>
      <c r="AM163" s="2334">
        <v>0</v>
      </c>
      <c r="AN163" s="2335">
        <v>0</v>
      </c>
      <c r="AO163" s="2335">
        <v>0</v>
      </c>
      <c r="AP163" s="2335">
        <v>0</v>
      </c>
      <c r="AQ163" s="648">
        <f t="shared" ref="AQ163" si="1042">+SUM(AM163:AP163)</f>
        <v>0</v>
      </c>
      <c r="AR163" s="413"/>
      <c r="AS163" s="2334">
        <v>0</v>
      </c>
      <c r="AT163" s="2335">
        <v>0</v>
      </c>
      <c r="AU163" s="2335">
        <v>0</v>
      </c>
      <c r="AV163" s="2335">
        <v>0</v>
      </c>
      <c r="AW163" s="648">
        <f t="shared" ref="AW163" si="1043">+SUM(AS163:AV163)</f>
        <v>0</v>
      </c>
      <c r="AX163" s="413"/>
      <c r="AY163" s="2334">
        <v>0</v>
      </c>
      <c r="AZ163" s="2335">
        <v>0</v>
      </c>
      <c r="BA163" s="2335">
        <v>0</v>
      </c>
      <c r="BB163" s="2335">
        <v>0</v>
      </c>
      <c r="BC163" s="648">
        <f t="shared" ref="BC163" si="1044">+SUM(AY163:BB163)</f>
        <v>0</v>
      </c>
      <c r="BD163" s="413"/>
      <c r="BE163" s="2334">
        <v>0</v>
      </c>
      <c r="BF163" s="2335">
        <v>0</v>
      </c>
      <c r="BG163" s="2335">
        <v>0</v>
      </c>
      <c r="BH163" s="2335">
        <v>0</v>
      </c>
      <c r="BI163" s="648">
        <f t="shared" ref="BI163" si="1045">+SUM(BE163:BH163)</f>
        <v>0</v>
      </c>
      <c r="BJ163" s="649"/>
      <c r="BK163" s="2568">
        <v>19.175999999999998</v>
      </c>
      <c r="BL163" s="2569">
        <v>14.100000000000001</v>
      </c>
      <c r="BM163" s="2569">
        <v>-2.5199999999999996</v>
      </c>
      <c r="BN163" s="2569">
        <v>-2.5199999999999996</v>
      </c>
      <c r="BO163" s="648">
        <f>+SUM(BK163:BN163)</f>
        <v>28.235999999999997</v>
      </c>
      <c r="BP163" s="649"/>
      <c r="BQ163" s="2568">
        <v>-2.5199999999999996</v>
      </c>
      <c r="BR163" s="2569">
        <v>-2.5199999999999996</v>
      </c>
      <c r="BS163" s="2569">
        <v>-2.3400000000000016</v>
      </c>
      <c r="BT163" s="2569">
        <v>-2.1600000000000019</v>
      </c>
      <c r="BU163" s="648">
        <f t="shared" ref="BU163" si="1046">+SUM(BQ163:BT163)</f>
        <v>-9.5400000000000027</v>
      </c>
      <c r="BV163" s="649"/>
      <c r="BW163" s="2334">
        <v>0</v>
      </c>
      <c r="BX163" s="2335">
        <v>0</v>
      </c>
      <c r="BY163" s="2335">
        <v>0</v>
      </c>
      <c r="BZ163" s="2335">
        <v>0</v>
      </c>
      <c r="CA163" s="648">
        <f t="shared" si="1033"/>
        <v>0</v>
      </c>
      <c r="CB163" s="649"/>
      <c r="CC163" s="2334">
        <v>0</v>
      </c>
      <c r="CD163" s="2335">
        <v>0</v>
      </c>
      <c r="CE163" s="2335">
        <v>0</v>
      </c>
      <c r="CF163" s="2335">
        <v>0</v>
      </c>
      <c r="CG163" s="648">
        <f t="shared" si="1034"/>
        <v>0</v>
      </c>
      <c r="CH163" s="649"/>
      <c r="CI163" s="2334">
        <v>0</v>
      </c>
      <c r="CJ163" s="2335">
        <v>0</v>
      </c>
      <c r="CK163" s="2335">
        <v>0</v>
      </c>
      <c r="CL163" s="2335">
        <v>0</v>
      </c>
      <c r="CM163" s="648">
        <f t="shared" si="1035"/>
        <v>0</v>
      </c>
      <c r="CN163" s="649"/>
      <c r="CO163" s="2334">
        <v>0</v>
      </c>
      <c r="CP163" s="2335">
        <v>0</v>
      </c>
      <c r="CQ163" s="2335">
        <v>0</v>
      </c>
      <c r="CR163" s="2335">
        <v>0</v>
      </c>
      <c r="CS163" s="648">
        <f t="shared" si="1036"/>
        <v>0</v>
      </c>
    </row>
    <row r="164" spans="1:97">
      <c r="A164" s="400" t="s">
        <v>811</v>
      </c>
      <c r="C164" s="609">
        <f>+C156+C161+C162+C163+C160+C159</f>
        <v>8.257000000000005</v>
      </c>
      <c r="D164" s="610">
        <f t="shared" ref="D164:G164" si="1047">+D156+D161+D162+D163+D160+D159</f>
        <v>13.038999999999994</v>
      </c>
      <c r="E164" s="610">
        <f t="shared" si="1047"/>
        <v>16.372</v>
      </c>
      <c r="F164" s="608">
        <f t="shared" si="1047"/>
        <v>22.438000000000017</v>
      </c>
      <c r="G164" s="648">
        <f t="shared" si="1047"/>
        <v>60.106000000000023</v>
      </c>
      <c r="I164" s="609">
        <f t="shared" ref="I164" si="1048">+I156+I161+I162+I163+I160+I159</f>
        <v>21.389000000000003</v>
      </c>
      <c r="J164" s="610">
        <f t="shared" ref="J164" si="1049">+J156+J161+J162+J163+J160+J159</f>
        <v>30.608999999999995</v>
      </c>
      <c r="K164" s="610">
        <f t="shared" ref="K164" si="1050">+K156+K161+K162+K163+K160+K159</f>
        <v>29.511999999999986</v>
      </c>
      <c r="L164" s="608">
        <f t="shared" ref="L164" si="1051">+L156+L161+L162+L163+L160+L159</f>
        <v>39.645000000000024</v>
      </c>
      <c r="M164" s="648">
        <f t="shared" ref="M164" si="1052">+M156+M161+M162+M163+M160+M159</f>
        <v>121.155</v>
      </c>
      <c r="O164" s="609">
        <f t="shared" ref="O164" si="1053">+O156+O161+O162+O163+O160+O159</f>
        <v>39.097000000000008</v>
      </c>
      <c r="P164" s="610">
        <f t="shared" ref="P164" si="1054">+P156+P161+P162+P163+P160+P159</f>
        <v>38.691000000000003</v>
      </c>
      <c r="Q164" s="610">
        <f t="shared" ref="Q164" si="1055">+Q156+Q161+Q162+Q163+Q160+Q159</f>
        <v>33.213000000000022</v>
      </c>
      <c r="R164" s="608">
        <f t="shared" ref="R164" si="1056">+R156+R161+R162+R163+R160+R159</f>
        <v>38.275999999999982</v>
      </c>
      <c r="S164" s="648">
        <f t="shared" ref="S164" si="1057">+S156+S161+S162+S163+S160+S159</f>
        <v>149.27700000000004</v>
      </c>
      <c r="U164" s="609">
        <f t="shared" ref="U164" si="1058">+U156+U161+U162+U163+U160+U159</f>
        <v>38.941162264589671</v>
      </c>
      <c r="V164" s="610">
        <f t="shared" ref="V164" si="1059">+V156+V161+V162+V163+V160+V159</f>
        <v>51.950460567676217</v>
      </c>
      <c r="W164" s="610">
        <f t="shared" ref="W164" si="1060">+W156+W161+W162+W163+W160+W159</f>
        <v>60.770055822691972</v>
      </c>
      <c r="X164" s="608">
        <f t="shared" ref="X164" si="1061">+X156+X161+X162+X163+X160+X159</f>
        <v>61.630597091487992</v>
      </c>
      <c r="Y164" s="648">
        <f t="shared" ref="Y164" si="1062">+Y156+Y161+Y162+Y163+Y160+Y159</f>
        <v>214.56803458251048</v>
      </c>
      <c r="AA164" s="609">
        <f t="shared" ref="AA164" si="1063">+AA156+AA161+AA162+AA163+AA160+AA159</f>
        <v>74.845333240232335</v>
      </c>
      <c r="AB164" s="610">
        <f t="shared" ref="AB164" si="1064">+AB156+AB161+AB162+AB163+AB160+AB159</f>
        <v>74.884603702987732</v>
      </c>
      <c r="AC164" s="610">
        <f t="shared" ref="AC164" si="1065">+AC156+AC161+AC162+AC163+AC160+AC159</f>
        <v>40.856317600802917</v>
      </c>
      <c r="AD164" s="608">
        <f t="shared" ref="AD164" si="1066">+AD156+AD161+AD162+AD163+AD160+AD159</f>
        <v>64.930762257857808</v>
      </c>
      <c r="AE164" s="648">
        <f t="shared" ref="AE164" si="1067">+AE156+AE161+AE162+AE163+AE160+AE159</f>
        <v>254.96864070954322</v>
      </c>
      <c r="AG164" s="609">
        <f t="shared" ref="AG164" si="1068">+AG156+AG161+AG162+AG163+AG160+AG159</f>
        <v>72.975033769530143</v>
      </c>
      <c r="AH164" s="610">
        <f t="shared" ref="AH164" si="1069">+AH156+AH161+AH162+AH163+AH160+AH159</f>
        <v>81.360899633998741</v>
      </c>
      <c r="AI164" s="610">
        <f t="shared" ref="AI164" si="1070">+AI156+AI161+AI162+AI163+AI160+AI159</f>
        <v>79.37143674616047</v>
      </c>
      <c r="AJ164" s="608">
        <f t="shared" ref="AJ164" si="1071">+AJ156+AJ161+AJ162+AJ163+AJ160+AJ159</f>
        <v>79.098964378022387</v>
      </c>
      <c r="AK164" s="648">
        <f t="shared" ref="AK164" si="1072">+AK156+AK161+AK162+AK163+AK160+AK159</f>
        <v>313.44039252330316</v>
      </c>
      <c r="AM164" s="609">
        <f t="shared" ref="AM164" si="1073">+AM156+AM161+AM162+AM163+AM160+AM159</f>
        <v>95.52397855521707</v>
      </c>
      <c r="AN164" s="610">
        <f t="shared" ref="AN164" si="1074">+AN156+AN161+AN162+AN163+AN160+AN159</f>
        <v>97.414716116827748</v>
      </c>
      <c r="AO164" s="610">
        <f t="shared" ref="AO164" si="1075">+AO156+AO161+AO162+AO163+AO160+AO159</f>
        <v>93.432420274443331</v>
      </c>
      <c r="AP164" s="608">
        <f t="shared" ref="AP164" si="1076">+AP156+AP161+AP162+AP163+AP160+AP159</f>
        <v>105.15918441029145</v>
      </c>
      <c r="AQ164" s="648">
        <f t="shared" ref="AQ164" si="1077">+AQ156+AQ161+AQ162+AQ163+AQ160+AQ159</f>
        <v>394.08948974826694</v>
      </c>
      <c r="AS164" s="609">
        <f t="shared" ref="AS164" si="1078">+AS156+AS161+AS162+AS163+AS160+AS159</f>
        <v>114.44923287616312</v>
      </c>
      <c r="AT164" s="610">
        <f t="shared" ref="AT164" si="1079">+AT156+AT161+AT162+AT163+AT160+AT159</f>
        <v>118.75858140106143</v>
      </c>
      <c r="AU164" s="610">
        <f t="shared" ref="AU164" si="1080">+AU156+AU161+AU162+AU163+AU160+AU159</f>
        <v>145.84140149475473</v>
      </c>
      <c r="AV164" s="608">
        <f t="shared" ref="AV164" si="1081">+AV156+AV161+AV162+AV163+AV160+AV159</f>
        <v>156.40277040265752</v>
      </c>
      <c r="AW164" s="648">
        <f t="shared" ref="AW164" si="1082">+AW156+AW161+AW162+AW163+AW160+AW159</f>
        <v>535.36545836587447</v>
      </c>
      <c r="AY164" s="609">
        <f t="shared" ref="AY164" si="1083">+AY156+AY161+AY162+AY163+AY160+AY159</f>
        <v>186.13671500000004</v>
      </c>
      <c r="AZ164" s="610">
        <f t="shared" ref="AZ164" si="1084">+AZ156+AZ161+AZ162+AZ163+AZ160+AZ159</f>
        <v>174.1533567999999</v>
      </c>
      <c r="BA164" s="610">
        <f t="shared" ref="BA164" si="1085">+BA156+BA161+BA162+BA163+BA160+BA159</f>
        <v>173.97555999999997</v>
      </c>
      <c r="BB164" s="608">
        <f t="shared" ref="BB164" si="1086">+BB156+BB161+BB162+BB163+BB160+BB159</f>
        <v>170.12598360000001</v>
      </c>
      <c r="BC164" s="648">
        <f t="shared" ref="BC164" si="1087">+BC156+BC161+BC162+BC163+BC160+BC159</f>
        <v>704.39161539999964</v>
      </c>
      <c r="BE164" s="609">
        <f t="shared" ref="BE164" si="1088">+BE156+BE161+BE162+BE163+BE160+BE159</f>
        <v>146.74514000000011</v>
      </c>
      <c r="BF164" s="610">
        <f t="shared" ref="BF164" si="1089">+BF156+BF161+BF162+BF163+BF160+BF159</f>
        <v>177.89277039894748</v>
      </c>
      <c r="BG164" s="610">
        <f t="shared" ref="BG164" si="1090">+BG156+BG161+BG162+BG163+BG160+BG159</f>
        <v>197.72497772514586</v>
      </c>
      <c r="BH164" s="608">
        <f t="shared" ref="BH164" si="1091">+BH156+BH161+BH162+BH163+BH160+BH159</f>
        <v>175.49748101470928</v>
      </c>
      <c r="BI164" s="648">
        <f t="shared" ref="BI164" si="1092">+BI156+BI161+BI162+BI163+BI160+BI159</f>
        <v>697.86036913880298</v>
      </c>
      <c r="BK164" s="609">
        <f t="shared" ref="BK164:BL164" si="1093">+BK156+BK161+BK162+BK163+BK160+BK159</f>
        <v>146.5616445</v>
      </c>
      <c r="BL164" s="610">
        <f t="shared" si="1093"/>
        <v>173.62338599999998</v>
      </c>
      <c r="BM164" s="610">
        <f t="shared" ref="BM164" si="1094">+BM156+BM161+BM162+BM163+BM160+BM159</f>
        <v>206.03929149999999</v>
      </c>
      <c r="BN164" s="608">
        <f t="shared" ref="BN164" si="1095">+BN156+BN161+BN162+BN163+BN160+BN159</f>
        <v>253.40343440000012</v>
      </c>
      <c r="BO164" s="648">
        <f t="shared" ref="BO164" si="1096">+BO156+BO161+BO162+BO163+BO160+BO159</f>
        <v>779.62775640000029</v>
      </c>
      <c r="BQ164" s="609">
        <f>+BQ156+BQ161+BQ162+BQ163+BQ160+BQ159</f>
        <v>229.78</v>
      </c>
      <c r="BR164" s="610">
        <f>+BR156+BR161+BR162+BR163+BR160+BR159</f>
        <v>192.64347572115656</v>
      </c>
      <c r="BS164" s="610">
        <f>+BS156+BS161+BS162+BS163+BS160+BS159</f>
        <v>203.36241653084184</v>
      </c>
      <c r="BT164" s="608">
        <f>+BT156+BT161+BT162+BT163+BT160+BT159</f>
        <v>216.09219242155095</v>
      </c>
      <c r="BU164" s="648">
        <f t="shared" ref="BU164" si="1097">+BU156+BU161+BU162+BU163+BU160+BU159</f>
        <v>849.05394663131347</v>
      </c>
      <c r="BW164" s="609">
        <f t="shared" ref="BW164" si="1098">+BW156+BW161+BW162+BW163+BW160+BW159</f>
        <v>265.09286495413642</v>
      </c>
      <c r="BX164" s="610">
        <f t="shared" ref="BX164" si="1099">+BX156+BX161+BX162+BX163+BX160+BX159</f>
        <v>216.92126569826451</v>
      </c>
      <c r="BY164" s="610">
        <f t="shared" ref="BY164" si="1100">+BY156+BY161+BY162+BY163+BY160+BY159</f>
        <v>224.926350607139</v>
      </c>
      <c r="BZ164" s="608">
        <f t="shared" ref="BZ164" si="1101">+BZ156+BZ161+BZ162+BZ163+BZ160+BZ159</f>
        <v>237.68861136164696</v>
      </c>
      <c r="CA164" s="648">
        <f t="shared" ref="CA164" si="1102">+CA156+CA161+CA162+CA163+CA160+CA159</f>
        <v>944.62909262118751</v>
      </c>
      <c r="CC164" s="609">
        <f t="shared" ref="CC164" si="1103">+CC156+CC161+CC162+CC163+CC160+CC159</f>
        <v>288.03727002790799</v>
      </c>
      <c r="CD164" s="610">
        <f t="shared" ref="CD164" si="1104">+CD156+CD161+CD162+CD163+CD160+CD159</f>
        <v>235.80515168357977</v>
      </c>
      <c r="CE164" s="610">
        <f t="shared" ref="CE164" si="1105">+CE156+CE161+CE162+CE163+CE160+CE159</f>
        <v>244.66803053737885</v>
      </c>
      <c r="CF164" s="608">
        <f t="shared" ref="CF164" si="1106">+CF156+CF161+CF162+CF163+CF160+CF159</f>
        <v>258.77820689869918</v>
      </c>
      <c r="CG164" s="648">
        <f t="shared" ref="CG164" si="1107">+CG156+CG161+CG162+CG163+CG160+CG159</f>
        <v>1027.2886591475658</v>
      </c>
      <c r="CI164" s="609">
        <f t="shared" ref="CI164:CS164" si="1108">+CI156+CI161+CI162+CI163+CI160+CI159</f>
        <v>313.32697336696424</v>
      </c>
      <c r="CJ164" s="610">
        <f t="shared" si="1108"/>
        <v>256.62167774259967</v>
      </c>
      <c r="CK164" s="610">
        <f t="shared" si="1108"/>
        <v>266.24751475872301</v>
      </c>
      <c r="CL164" s="608">
        <f t="shared" si="1108"/>
        <v>282.3194797906952</v>
      </c>
      <c r="CM164" s="648">
        <f t="shared" si="1108"/>
        <v>1118.5156456589825</v>
      </c>
      <c r="CO164" s="609">
        <f t="shared" si="1108"/>
        <v>340.85714141024164</v>
      </c>
      <c r="CP164" s="610">
        <f t="shared" si="1108"/>
        <v>281.78692321603125</v>
      </c>
      <c r="CQ164" s="610">
        <f t="shared" si="1108"/>
        <v>293.65815280451329</v>
      </c>
      <c r="CR164" s="608">
        <f t="shared" si="1108"/>
        <v>311.65527028737665</v>
      </c>
      <c r="CS164" s="648">
        <f t="shared" si="1108"/>
        <v>1227.9574877181626</v>
      </c>
    </row>
    <row r="165" spans="1:97" s="1357" customFormat="1">
      <c r="A165" s="2497" t="s">
        <v>808</v>
      </c>
      <c r="B165" s="2498"/>
      <c r="C165" s="2499">
        <f>+C164/C$9</f>
        <v>0.1144421344421345</v>
      </c>
      <c r="D165" s="2500">
        <f t="shared" ref="D165" si="1109">+D164/D$9</f>
        <v>0.15424380434139701</v>
      </c>
      <c r="E165" s="2500">
        <f t="shared" ref="E165" si="1110">+E164/E$9</f>
        <v>0.16790072813044815</v>
      </c>
      <c r="F165" s="2500">
        <f t="shared" ref="F165" si="1111">+F164/F$9</f>
        <v>0.19926467976270837</v>
      </c>
      <c r="G165" s="2501">
        <f t="shared" ref="G165" si="1112">+G164/G$9</f>
        <v>0.16386631370314536</v>
      </c>
      <c r="H165" s="2498"/>
      <c r="I165" s="2499">
        <f>+I164/I$9</f>
        <v>0.17551964943665324</v>
      </c>
      <c r="J165" s="2500">
        <f t="shared" ref="J165" si="1113">+J164/J$9</f>
        <v>0.21835964530557792</v>
      </c>
      <c r="K165" s="2500">
        <f t="shared" ref="K165" si="1114">+K164/K$9</f>
        <v>0.19640622920271522</v>
      </c>
      <c r="L165" s="2500">
        <f>+L164/L$9</f>
        <v>0.24635393687821197</v>
      </c>
      <c r="M165" s="2501">
        <f t="shared" ref="M165" si="1115">+M164/M$9</f>
        <v>0.21135679706921365</v>
      </c>
      <c r="N165" s="2498"/>
      <c r="O165" s="2499">
        <f>+O164/O$9</f>
        <v>0.23586937504901759</v>
      </c>
      <c r="P165" s="2500">
        <f t="shared" ref="P165" si="1116">+P164/P$9</f>
        <v>0.23936081364488412</v>
      </c>
      <c r="Q165" s="2500">
        <f t="shared" ref="Q165" si="1117">+Q164/Q$9</f>
        <v>0.20973099267491804</v>
      </c>
      <c r="R165" s="2500">
        <f t="shared" ref="R165" si="1118">+R164/R$9</f>
        <v>0.21198023969340504</v>
      </c>
      <c r="S165" s="2501">
        <f t="shared" ref="S165" si="1119">+S164/S$9</f>
        <v>0.22403065175500211</v>
      </c>
      <c r="T165" s="2498"/>
      <c r="U165" s="2499">
        <f>+U164/U$9</f>
        <v>0.20268026640463888</v>
      </c>
      <c r="V165" s="2500">
        <f t="shared" ref="V165" si="1120">+V164/V$9</f>
        <v>0.24504587467005756</v>
      </c>
      <c r="W165" s="2500">
        <f t="shared" ref="W165" si="1121">+W164/W$9</f>
        <v>0.25607986137353395</v>
      </c>
      <c r="X165" s="2500">
        <f t="shared" ref="X165" si="1122">+X164/X$9</f>
        <v>0.23586325609644157</v>
      </c>
      <c r="Y165" s="2501">
        <f t="shared" ref="Y165" si="1123">+Y164/Y$9</f>
        <v>0.23768504430673967</v>
      </c>
      <c r="Z165" s="2498"/>
      <c r="AA165" s="2499">
        <f>+AA164/AA$9</f>
        <v>0.26492516588581966</v>
      </c>
      <c r="AB165" s="2500">
        <f t="shared" ref="AB165" si="1124">+AB164/AB$9</f>
        <v>0.2605134934875204</v>
      </c>
      <c r="AC165" s="2500">
        <f t="shared" ref="AC165" si="1125">+AC164/AC$9</f>
        <v>0.17348828487935369</v>
      </c>
      <c r="AD165" s="2500">
        <f t="shared" ref="AD165" si="1126">+AD164/AD$9</f>
        <v>0.25964930862778096</v>
      </c>
      <c r="AE165" s="2501">
        <f t="shared" ref="AE165" si="1127">+AE164/AE$9</f>
        <v>0.241553942512132</v>
      </c>
      <c r="AF165" s="2498"/>
      <c r="AG165" s="2499">
        <f>+AG164/AG$9</f>
        <v>0.2675332102853325</v>
      </c>
      <c r="AH165" s="2500">
        <f t="shared" ref="AH165" si="1128">+AH164/AH$9</f>
        <v>0.28994607986970655</v>
      </c>
      <c r="AI165" s="2500">
        <f t="shared" ref="AI165" si="1129">+AI164/AI$9</f>
        <v>0.27764482515430039</v>
      </c>
      <c r="AJ165" s="2500">
        <f t="shared" ref="AJ165" si="1130">+AJ164/AJ$9</f>
        <v>0.2557643586504208</v>
      </c>
      <c r="AK165" s="2501">
        <f t="shared" ref="AK165" si="1131">+AK164/AK$9</f>
        <v>0.27290903437418645</v>
      </c>
      <c r="AL165" s="2498"/>
      <c r="AM165" s="2499">
        <f>+AM164/AM$9</f>
        <v>0.28862870380899408</v>
      </c>
      <c r="AN165" s="2500">
        <f t="shared" ref="AN165" si="1132">+AN164/AN$9</f>
        <v>0.28146895385885845</v>
      </c>
      <c r="AO165" s="2500">
        <f t="shared" ref="AO165" si="1133">+AO164/AO$9</f>
        <v>0.26186216444630978</v>
      </c>
      <c r="AP165" s="2500">
        <f t="shared" ref="AP165" si="1134">+AP164/AP$9</f>
        <v>0.27150045287507535</v>
      </c>
      <c r="AQ165" s="2501">
        <f t="shared" ref="AQ165" si="1135">+AQ164/AQ$9</f>
        <v>0.27729776970109787</v>
      </c>
      <c r="AR165" s="2498"/>
      <c r="AS165" s="2499">
        <f>+AS164/AS$9</f>
        <v>0.27199239717611567</v>
      </c>
      <c r="AT165" s="2500">
        <f t="shared" ref="AT165" si="1136">+AT164/AT$9</f>
        <v>0.26534198468402886</v>
      </c>
      <c r="AU165" s="2500">
        <f t="shared" ref="AU165" si="1137">+AU164/AU$9</f>
        <v>0.30343799075121142</v>
      </c>
      <c r="AV165" s="2500">
        <f t="shared" ref="AV165" si="1138">+AV164/AV$9</f>
        <v>0.30524820572790362</v>
      </c>
      <c r="AW165" s="2501">
        <f t="shared" ref="AW165" si="1139">+AW164/AW$9</f>
        <v>0.28762089741246688</v>
      </c>
      <c r="AX165" s="2498"/>
      <c r="AY165" s="2499">
        <f>+AY164/AY$9</f>
        <v>0.34561606305645559</v>
      </c>
      <c r="AZ165" s="2500">
        <f t="shared" ref="AZ165:BC165" si="1140">+AZ164/AZ$9</f>
        <v>0.32287812406141875</v>
      </c>
      <c r="BA165" s="2500">
        <f t="shared" si="1140"/>
        <v>0.31616341766147948</v>
      </c>
      <c r="BB165" s="2500">
        <f t="shared" si="1140"/>
        <v>0.28759455462616729</v>
      </c>
      <c r="BC165" s="2501">
        <f t="shared" si="1140"/>
        <v>0.31732754024981047</v>
      </c>
      <c r="BD165" s="2498"/>
      <c r="BE165" s="2499">
        <f>+BE164/BE$9</f>
        <v>0.25665378837035641</v>
      </c>
      <c r="BF165" s="2500">
        <f t="shared" ref="BF165" si="1141">+BF164/BF$9</f>
        <v>0.29642668914915493</v>
      </c>
      <c r="BG165" s="2500">
        <f t="shared" ref="BG165" si="1142">+BG164/BG$9</f>
        <v>0.3256667381359884</v>
      </c>
      <c r="BH165" s="2500">
        <f>+BH164/BH$9</f>
        <v>0.28335889414933679</v>
      </c>
      <c r="BI165" s="2501">
        <f t="shared" ref="BI165" si="1143">+BI164/BI$9</f>
        <v>0.29097240885333636</v>
      </c>
      <c r="BJ165" s="2502"/>
      <c r="BK165" s="2499">
        <v>0.23564101885943051</v>
      </c>
      <c r="BL165" s="2500">
        <f t="shared" ref="BL165" si="1144">+BL164/BL$9</f>
        <v>0.26211259963768113</v>
      </c>
      <c r="BM165" s="2500">
        <v>0.28984918266863613</v>
      </c>
      <c r="BN165" s="2500">
        <v>0.32716213853205101</v>
      </c>
      <c r="BO165" s="2501">
        <v>0.2796976231929813</v>
      </c>
      <c r="BP165" s="2502"/>
      <c r="BQ165" s="2499">
        <f t="shared" ref="BQ165:BU165" si="1145">+BQ164/BQ$9</f>
        <v>0.29383631713554986</v>
      </c>
      <c r="BR165" s="2500">
        <f t="shared" si="1145"/>
        <v>0.24371917424909684</v>
      </c>
      <c r="BS165" s="2500">
        <f t="shared" si="1145"/>
        <v>0.25241195324989757</v>
      </c>
      <c r="BT165" s="2500">
        <f t="shared" si="1145"/>
        <v>0.25715521947498921</v>
      </c>
      <c r="BU165" s="2501">
        <f t="shared" si="1145"/>
        <v>0.26381022810964927</v>
      </c>
      <c r="BV165" s="2502"/>
      <c r="BW165" s="2499">
        <f t="shared" ref="BW165" si="1146">+BW164/BW$9</f>
        <v>0.30377457122892976</v>
      </c>
      <c r="BX165" s="2500">
        <f t="shared" ref="BX165" si="1147">+BX164/BX$9</f>
        <v>0.24927068517539236</v>
      </c>
      <c r="BY165" s="2500">
        <f t="shared" ref="BY165" si="1148">+BY164/BY$9</f>
        <v>0.25499865919116627</v>
      </c>
      <c r="BZ165" s="2500">
        <f t="shared" ref="BZ165" si="1149">+BZ164/BZ$9</f>
        <v>0.25896858370995934</v>
      </c>
      <c r="CA165" s="2501">
        <f t="shared" ref="CA165" si="1150">+CA164/CA$9</f>
        <v>0.26663471525502619</v>
      </c>
      <c r="CB165" s="2502"/>
      <c r="CC165" s="2499">
        <f t="shared" ref="CC165" si="1151">+CC164/CC$9</f>
        <v>0.29963796009889521</v>
      </c>
      <c r="CD165" s="2500">
        <f t="shared" ref="CD165" si="1152">+CD164/CD$9</f>
        <v>0.24577043414373742</v>
      </c>
      <c r="CE165" s="2500">
        <f t="shared" ref="CE165" si="1153">+CE164/CE$9</f>
        <v>0.25165207497298336</v>
      </c>
      <c r="CF165" s="2500">
        <f t="shared" ref="CF165" si="1154">+CF164/CF$9</f>
        <v>0.25544252390834826</v>
      </c>
      <c r="CG165" s="2501">
        <f t="shared" ref="CG165" si="1155">+CG164/CG$9</f>
        <v>0.26299984281213473</v>
      </c>
      <c r="CH165" s="2502"/>
      <c r="CI165" s="2499">
        <f t="shared" ref="CI165:CS165" si="1156">+CI164/CI$9</f>
        <v>0.29515300490342022</v>
      </c>
      <c r="CJ165" s="2500">
        <f t="shared" si="1156"/>
        <v>0.24224159825946359</v>
      </c>
      <c r="CK165" s="2500">
        <f t="shared" si="1156"/>
        <v>0.24815976345182447</v>
      </c>
      <c r="CL165" s="2500">
        <f t="shared" si="1156"/>
        <v>0.25191984327114719</v>
      </c>
      <c r="CM165" s="2501">
        <f t="shared" si="1156"/>
        <v>0.25924591661405844</v>
      </c>
      <c r="CN165" s="2502"/>
      <c r="CO165" s="2499">
        <f t="shared" si="1156"/>
        <v>0.29199932277279583</v>
      </c>
      <c r="CP165" s="2500">
        <f t="shared" si="1156"/>
        <v>0.24084443719093385</v>
      </c>
      <c r="CQ165" s="2500">
        <f t="shared" si="1156"/>
        <v>0.24692898009790981</v>
      </c>
      <c r="CR165" s="2500">
        <f t="shared" si="1156"/>
        <v>0.2505948999334553</v>
      </c>
      <c r="CS165" s="2501">
        <f t="shared" si="1156"/>
        <v>0.25742154886166352</v>
      </c>
    </row>
    <row r="166" spans="1:97" s="2348" customFormat="1">
      <c r="A166" s="1362" t="s">
        <v>809</v>
      </c>
      <c r="C166" s="609"/>
      <c r="D166" s="610"/>
      <c r="E166" s="610"/>
      <c r="F166" s="608"/>
      <c r="G166" s="648"/>
      <c r="I166" s="2493">
        <f>+I165-C157</f>
        <v>6.1077514994518745E-2</v>
      </c>
      <c r="J166" s="2494">
        <f t="shared" ref="J166:M166" si="1157">+J165-D157</f>
        <v>6.4115840964180909E-2</v>
      </c>
      <c r="K166" s="2494">
        <f t="shared" si="1157"/>
        <v>2.850550107226707E-2</v>
      </c>
      <c r="L166" s="2495">
        <f t="shared" si="1157"/>
        <v>4.7089257115503602E-2</v>
      </c>
      <c r="M166" s="2496">
        <f t="shared" si="1157"/>
        <v>4.7490483366068287E-2</v>
      </c>
      <c r="O166" s="2493">
        <f t="shared" ref="O166" si="1158">+O165-I157</f>
        <v>6.0349725612364347E-2</v>
      </c>
      <c r="P166" s="2494">
        <f t="shared" ref="P166" si="1159">+P165-J157</f>
        <v>2.1001168339306209E-2</v>
      </c>
      <c r="Q166" s="2494">
        <f t="shared" ref="Q166" si="1160">+Q165-K157</f>
        <v>1.3324763472202822E-2</v>
      </c>
      <c r="R166" s="2495">
        <f t="shared" ref="R166" si="1161">+R165-L157</f>
        <v>-3.4373697184806928E-2</v>
      </c>
      <c r="S166" s="2496">
        <f t="shared" ref="S166" si="1162">+S165-M157</f>
        <v>1.2673854685788466E-2</v>
      </c>
      <c r="U166" s="2493">
        <f t="shared" ref="U166" si="1163">+U165-O157</f>
        <v>-3.3189108644378712E-2</v>
      </c>
      <c r="V166" s="2494">
        <f t="shared" ref="V166" si="1164">+V165-P157</f>
        <v>5.6850610251734379E-3</v>
      </c>
      <c r="W166" s="2494">
        <f t="shared" ref="W166" si="1165">+W165-Q157</f>
        <v>4.6348868698615903E-2</v>
      </c>
      <c r="X166" s="2495">
        <f t="shared" ref="X166" si="1166">+X165-R157</f>
        <v>2.3883016403036528E-2</v>
      </c>
      <c r="Y166" s="2496">
        <f t="shared" ref="Y166" si="1167">+Y165-S157</f>
        <v>1.365439255173756E-2</v>
      </c>
      <c r="AA166" s="2493">
        <f t="shared" ref="AA166" si="1168">+AA165-U157</f>
        <v>5.2757426166565563E-2</v>
      </c>
      <c r="AB166" s="2494">
        <f t="shared" ref="AB166" si="1169">+AB165-V157</f>
        <v>1.6163177690102476E-2</v>
      </c>
      <c r="AC166" s="2494">
        <f t="shared" ref="AC166" si="1170">+AC165-W157</f>
        <v>-8.166006600493636E-2</v>
      </c>
      <c r="AD166" s="2495">
        <f t="shared" ref="AD166" si="1171">+AD165-X157</f>
        <v>2.4274372730835769E-2</v>
      </c>
      <c r="AE166" s="2496">
        <f t="shared" ref="AE166" si="1172">+AE165-Y157</f>
        <v>3.812441904537972E-3</v>
      </c>
      <c r="AG166" s="2493">
        <f t="shared" ref="AG166" si="1173">+AG165-AA157</f>
        <v>-6.0416441471754512E-3</v>
      </c>
      <c r="AH166" s="2494">
        <f t="shared" ref="AH166" si="1174">+AH165-AB157</f>
        <v>1.3877198325090101E-2</v>
      </c>
      <c r="AI166" s="2494">
        <f t="shared" ref="AI166" si="1175">+AI165-AC157</f>
        <v>8.9244874411409769E-2</v>
      </c>
      <c r="AJ166" s="2495">
        <f t="shared" ref="AJ166" si="1176">+AJ165-AD157</f>
        <v>-7.2609421641476879E-3</v>
      </c>
      <c r="AK166" s="2496">
        <f t="shared" ref="AK166" si="1177">+AK165-AE157</f>
        <v>2.0157586056508858E-2</v>
      </c>
      <c r="AM166" s="2493">
        <f t="shared" ref="AM166" si="1178">+AM165-AG157</f>
        <v>2.2056133511674014E-2</v>
      </c>
      <c r="AN166" s="2494">
        <f t="shared" ref="AN166" si="1179">+AN165-AH157</f>
        <v>2.785345179298071E-4</v>
      </c>
      <c r="AO166" s="2494">
        <f t="shared" ref="AO166" si="1180">+AO165-AI157</f>
        <v>-8.4037569036556903E-3</v>
      </c>
      <c r="AP166" s="2495">
        <f t="shared" ref="AP166" si="1181">+AP165-AJ157</f>
        <v>1.851029880009103E-2</v>
      </c>
      <c r="AQ166" s="2496">
        <f t="shared" ref="AQ166" si="1182">+AQ165-AK157</f>
        <v>9.8918302104855638E-3</v>
      </c>
      <c r="AS166" s="2493">
        <f t="shared" ref="AS166" si="1183">+AS165-AM157</f>
        <v>1.2612052842393529E-2</v>
      </c>
      <c r="AT166" s="2494">
        <f t="shared" ref="AT166" si="1184">+AT165-AN157</f>
        <v>1.335553013699825E-2</v>
      </c>
      <c r="AU166" s="2494">
        <f t="shared" ref="AU166" si="1185">+AU165-AO157</f>
        <v>5.630794590816196E-2</v>
      </c>
      <c r="AV166" s="2495">
        <f t="shared" ref="AV166" si="1186">+AV165-AP157</f>
        <v>5.9532710253806825E-2</v>
      </c>
      <c r="AW166" s="2496">
        <f t="shared" ref="AW166" si="1187">+AW165-AQ157</f>
        <v>3.6840910669075078E-2</v>
      </c>
      <c r="AY166" s="2493">
        <f t="shared" ref="AY166" si="1188">+AY165-AS157</f>
        <v>7.5748839964158154E-2</v>
      </c>
      <c r="AZ166" s="2494">
        <f t="shared" ref="AZ166" si="1189">+AZ165-AT157</f>
        <v>5.537463855753999E-2</v>
      </c>
      <c r="BA166" s="2494">
        <f t="shared" ref="BA166" si="1190">+BA165-AU157</f>
        <v>1.2572297673130839E-2</v>
      </c>
      <c r="BB166" s="2495">
        <f t="shared" ref="BB166" si="1191">+BB165-AV157</f>
        <v>-1.3994698641433434E-2</v>
      </c>
      <c r="BC166" s="2496">
        <f t="shared" ref="BC166" si="1192">+BC165-AW157</f>
        <v>3.0588503482031404E-2</v>
      </c>
      <c r="BE166" s="2493">
        <f t="shared" ref="BE166" si="1193">+BE165-AY157</f>
        <v>-7.7242770076627776E-2</v>
      </c>
      <c r="BF166" s="2494">
        <f t="shared" ref="BF166" si="1194">+BF165-AZ157</f>
        <v>-1.5996138626542089E-2</v>
      </c>
      <c r="BG166" s="2494">
        <f t="shared" ref="BG166" si="1195">+BG165-BA157</f>
        <v>2.4527844754363759E-2</v>
      </c>
      <c r="BH166" s="2495">
        <f t="shared" ref="BH166" si="1196">+BH165-BB157</f>
        <v>9.8020568343598069E-3</v>
      </c>
      <c r="BI166" s="2496">
        <f t="shared" ref="BI166" si="1197">+BI165-BC157</f>
        <v>-1.3505728892962476E-2</v>
      </c>
      <c r="BK166" s="2493">
        <f t="shared" ref="BK166" si="1198">+BK165-BE157</f>
        <v>-3.1869570676583414E-3</v>
      </c>
      <c r="BL166" s="2494">
        <f t="shared" ref="BL166" si="1199">+BL165-BF157</f>
        <v>-1.0309433142211055E-2</v>
      </c>
      <c r="BM166" s="2494">
        <f t="shared" ref="BM166" si="1200">+BM165-BG157</f>
        <v>2.9280657580110225E-3</v>
      </c>
      <c r="BN166" s="2495">
        <f t="shared" ref="BN166" si="1201">+BN165-BH157</f>
        <v>7.5923333790928416E-2</v>
      </c>
      <c r="BO166" s="2496">
        <f t="shared" ref="BO166" si="1202">+BO165-BI157</f>
        <v>1.7084176493906422E-2</v>
      </c>
      <c r="BQ166" s="2493">
        <f t="shared" ref="BQ166" si="1203">+BQ165-BK157</f>
        <v>0.11825103285461341</v>
      </c>
      <c r="BR166" s="2494">
        <f t="shared" ref="BR166" si="1204">+BR165-BL157</f>
        <v>2.2251782944749027E-2</v>
      </c>
      <c r="BS166" s="2494">
        <f t="shared" ref="BS166" si="1205">+BS165-BM157</f>
        <v>-1.5963396890158466E-2</v>
      </c>
      <c r="BT166" s="2495">
        <f t="shared" ref="BT166" si="1206">+BT165-BN157</f>
        <v>-5.6744741949724842E-2</v>
      </c>
      <c r="BU166" s="2496">
        <f t="shared" ref="BU166" si="1207">+BU165-BO157</f>
        <v>1.402279306005072E-2</v>
      </c>
      <c r="BW166" s="2493">
        <f t="shared" ref="BW166" si="1208">+BW165-BQ157</f>
        <v>9.6569241701062181E-3</v>
      </c>
      <c r="BX166" s="2494">
        <f t="shared" ref="BX166" si="1209">+BX165-BR157</f>
        <v>1.1511187391957473E-2</v>
      </c>
      <c r="BY166" s="2494">
        <f t="shared" ref="BY166" si="1210">+BY165-BS157</f>
        <v>1.1917992896372992E-2</v>
      </c>
      <c r="BZ166" s="2495">
        <f t="shared" ref="BZ166" si="1211">+BZ165-BT157</f>
        <v>1.0746766665868296E-2</v>
      </c>
      <c r="CA166" s="2496">
        <f t="shared" ref="CA166" si="1212">+CA165-BU157</f>
        <v>1.1117818766765486E-2</v>
      </c>
      <c r="CC166" s="2493">
        <f t="shared" ref="CC166" si="1213">+CC165-BW157</f>
        <v>1.0760317260170571E-2</v>
      </c>
      <c r="CD166" s="2494">
        <f t="shared" ref="CD166" si="1214">+CD165-BX157</f>
        <v>1.1438436039199751E-2</v>
      </c>
      <c r="CE166" s="2494">
        <f t="shared" ref="CE166" si="1215">+CE165-BY157</f>
        <v>1.1391495871309026E-2</v>
      </c>
      <c r="CF166" s="2495">
        <f t="shared" ref="CF166" si="1216">+CF165-BZ157</f>
        <v>1.063781439052322E-2</v>
      </c>
      <c r="CG166" s="2496">
        <f t="shared" ref="CG166" si="1217">+CG165-CA157</f>
        <v>1.1042851651745844E-2</v>
      </c>
      <c r="CI166" s="2493">
        <f t="shared" ref="CI166" si="1218">+CI165-CC157</f>
        <v>9.0386193089918576E-3</v>
      </c>
      <c r="CJ166" s="2494">
        <f t="shared" ref="CJ166" si="1219">+CJ165-CD157</f>
        <v>1.0020552757395412E-2</v>
      </c>
      <c r="CK166" s="2494">
        <f t="shared" ref="CK166" si="1220">+CK165-CE157</f>
        <v>9.8787732399496231E-3</v>
      </c>
      <c r="CL166" s="2495">
        <f t="shared" ref="CL166" si="1221">+CL165-CF157</f>
        <v>9.309747760096132E-3</v>
      </c>
      <c r="CM166" s="2496">
        <f t="shared" ref="CM166" si="1222">+CM165-CG157</f>
        <v>9.5587797336519897E-3</v>
      </c>
      <c r="CO166" s="2493">
        <f t="shared" ref="CO166" si="1223">+CO165-CI157</f>
        <v>9.0922762128682333E-3</v>
      </c>
      <c r="CP166" s="2494">
        <f t="shared" ref="CP166" si="1224">+CP165-CJ157</f>
        <v>1.0874369556142294E-2</v>
      </c>
      <c r="CQ166" s="2494">
        <f t="shared" ref="CQ166" si="1225">+CQ165-CK157</f>
        <v>1.0886050592111951E-2</v>
      </c>
      <c r="CR166" s="2495">
        <f t="shared" ref="CR166" si="1226">+CR165-CL157</f>
        <v>1.0275240840009525E-2</v>
      </c>
      <c r="CS166" s="2496">
        <f t="shared" ref="CS166" si="1227">+CS165-CM157</f>
        <v>1.0228023035566497E-2</v>
      </c>
    </row>
    <row r="167" spans="1:97" s="2348" customFormat="1">
      <c r="A167" s="1362" t="s">
        <v>817</v>
      </c>
      <c r="C167" s="2493"/>
      <c r="D167" s="2494"/>
      <c r="E167" s="2494"/>
      <c r="F167" s="2495"/>
      <c r="G167" s="2496"/>
      <c r="I167" s="2493">
        <f>+SUM(I161:I163)/I10-SUM(C161:C163)/C10</f>
        <v>0</v>
      </c>
      <c r="J167" s="2494">
        <f t="shared" ref="J167" si="1228">+SUM(J161:J163)/J10-SUM(D161:D163)/D10</f>
        <v>0</v>
      </c>
      <c r="K167" s="2494">
        <f t="shared" ref="K167" si="1229">+SUM(K161:K163)/K10-SUM(E161:E163)/E10</f>
        <v>0</v>
      </c>
      <c r="L167" s="2495">
        <f t="shared" ref="L167" si="1230">+SUM(L161:L163)/L10-SUM(F161:F163)/F10</f>
        <v>0</v>
      </c>
      <c r="M167" s="2496">
        <f t="shared" ref="M167" si="1231">+SUM(M161:M163)/M10-SUM(G161:G163)/G10</f>
        <v>0</v>
      </c>
      <c r="O167" s="2493">
        <f t="shared" ref="O167" si="1232">+SUM(O161:O163)/O10-SUM(I161:I163)/I10</f>
        <v>0</v>
      </c>
      <c r="P167" s="2494">
        <f t="shared" ref="P167" si="1233">+SUM(P161:P163)/P10-SUM(J161:J163)/J10</f>
        <v>0</v>
      </c>
      <c r="Q167" s="2494">
        <f t="shared" ref="Q167" si="1234">+SUM(Q161:Q163)/Q10-SUM(K161:K163)/K10</f>
        <v>0</v>
      </c>
      <c r="R167" s="2495">
        <f t="shared" ref="R167" si="1235">+SUM(R161:R163)/R10-SUM(L161:L163)/L10</f>
        <v>0</v>
      </c>
      <c r="S167" s="2496">
        <f t="shared" ref="S167" si="1236">+SUM(S161:S163)/S10-SUM(M161:M163)/M10</f>
        <v>0</v>
      </c>
      <c r="U167" s="2493">
        <f t="shared" ref="U167" si="1237">+SUM(U161:U163)/U10-SUM(O161:O163)/O10</f>
        <v>-1.0495441218629413E-2</v>
      </c>
      <c r="V167" s="2494">
        <f t="shared" ref="V167" si="1238">+SUM(V161:V163)/V10-SUM(P161:P163)/P10</f>
        <v>7.4273221084236285E-4</v>
      </c>
      <c r="W167" s="2494">
        <f t="shared" ref="W167" si="1239">+SUM(W161:W163)/W10-SUM(Q161:Q163)/Q10</f>
        <v>9.8392215487731749E-4</v>
      </c>
      <c r="X167" s="2495">
        <f t="shared" ref="X167" si="1240">+SUM(X161:X163)/X10-SUM(R161:R163)/R10</f>
        <v>5.1947925287736888E-4</v>
      </c>
      <c r="Y167" s="2496">
        <f t="shared" ref="Y167" si="1241">+SUM(Y161:Y163)/Y10-SUM(S161:S163)/S10</f>
        <v>-6.0492359128747373E-5</v>
      </c>
      <c r="AA167" s="2493">
        <f t="shared" ref="AA167" si="1242">+SUM(AA161:AA163)/AA10-SUM(U161:U163)/U10</f>
        <v>1.333420200967779E-3</v>
      </c>
      <c r="AB167" s="2494">
        <f t="shared" ref="AB167" si="1243">+SUM(AB161:AB163)/AB10-SUM(V161:V163)/V10</f>
        <v>-1.7311375366321345E-2</v>
      </c>
      <c r="AC167" s="2494">
        <f t="shared" ref="AC167" si="1244">+SUM(AC161:AC163)/AC10-SUM(W161:W163)/W10</f>
        <v>-1.6924667330445998E-2</v>
      </c>
      <c r="AD167" s="2495">
        <f t="shared" ref="AD167" si="1245">+SUM(AD161:AD163)/AD10-SUM(X161:X163)/X10</f>
        <v>-4.1837691804027452E-3</v>
      </c>
      <c r="AE167" s="2496">
        <f t="shared" ref="AE167" si="1246">+SUM(AE161:AE163)/AE10-SUM(Y161:Y163)/Y10</f>
        <v>-1.1911146173462374E-2</v>
      </c>
      <c r="AG167" s="2493">
        <f t="shared" ref="AG167" si="1247">+SUM(AG161:AG163)/AG10-SUM(AA161:AA163)/AA10</f>
        <v>1.0187047889972836E-2</v>
      </c>
      <c r="AH167" s="2494">
        <f t="shared" ref="AH167" si="1248">+SUM(AH161:AH163)/AH10-SUM(AB161:AB163)/AB10</f>
        <v>2.606064256050988E-2</v>
      </c>
      <c r="AI167" s="2494">
        <f t="shared" ref="AI167" si="1249">+SUM(AI161:AI163)/AI10-SUM(AC161:AC163)/AC10</f>
        <v>2.3979205746720217E-2</v>
      </c>
      <c r="AJ167" s="2495">
        <f t="shared" ref="AJ167" si="1250">+SUM(AJ161:AJ163)/AJ10-SUM(AD161:AD163)/AD10</f>
        <v>6.7401697195269509E-3</v>
      </c>
      <c r="AK167" s="2496">
        <f t="shared" ref="AK167" si="1251">+SUM(AK161:AK163)/AK10-SUM(AE161:AE163)/AE10</f>
        <v>1.7957845088693192E-2</v>
      </c>
      <c r="AM167" s="2493">
        <f t="shared" ref="AM167" si="1252">+SUM(AM161:AM163)/AM10-SUM(AG161:AG163)/AG10</f>
        <v>3.1658832246495704E-2</v>
      </c>
      <c r="AN167" s="2494">
        <f t="shared" ref="AN167" si="1253">+SUM(AN161:AN163)/AN10-SUM(AH161:AH163)/AH10</f>
        <v>2.3056050869222897E-2</v>
      </c>
      <c r="AO167" s="2494">
        <f t="shared" ref="AO167" si="1254">+SUM(AO161:AO163)/AO10-SUM(AI161:AI163)/AI10</f>
        <v>8.4598783473247199E-3</v>
      </c>
      <c r="AP167" s="2495">
        <f t="shared" ref="AP167" si="1255">+SUM(AP161:AP163)/AP10-SUM(AJ161:AJ163)/AJ10</f>
        <v>2.6613775575021509E-2</v>
      </c>
      <c r="AQ167" s="2496">
        <f t="shared" ref="AQ167" si="1256">+SUM(AQ161:AQ163)/AQ10-SUM(AK161:AK163)/AK10</f>
        <v>2.3813588604215709E-2</v>
      </c>
      <c r="AS167" s="2493">
        <f>+SUM(AS161:AS163)/AS10-SUM(AM161:AM163)/AM10</f>
        <v>-3.021504156173899E-2</v>
      </c>
      <c r="AT167" s="2494">
        <f t="shared" ref="AT167" si="1257">+SUM(AT161:AT163)/AT10-SUM(AN161:AN163)/AN10</f>
        <v>-3.5023482197189267E-2</v>
      </c>
      <c r="AU167" s="2494">
        <f t="shared" ref="AU167" si="1258">+SUM(AU161:AU163)/AU10-SUM(AO161:AO163)/AO10</f>
        <v>-1.6675189107573495E-2</v>
      </c>
      <c r="AV167" s="2495">
        <f t="shared" ref="AV167" si="1259">+SUM(AV161:AV163)/AV10-SUM(AP161:AP163)/AP10</f>
        <v>-2.5526542614663097E-2</v>
      </c>
      <c r="AW167" s="2496">
        <f t="shared" ref="AW167" si="1260">+SUM(AW161:AW163)/AW10-SUM(AQ161:AQ163)/AQ10</f>
        <v>-2.8786243312954693E-2</v>
      </c>
      <c r="AY167" s="2493">
        <f>+SUM(AY161:AY163)/AY10-SUM(AS161:AS163)/AS10</f>
        <v>1.1278391820729513E-2</v>
      </c>
      <c r="AZ167" s="2494">
        <f t="shared" ref="AZ167:BC167" si="1261">+SUM(AZ161:AZ163)/AZ10-SUM(AT161:AT163)/AT10</f>
        <v>1.4661785108171883E-2</v>
      </c>
      <c r="BA167" s="2494">
        <f t="shared" si="1261"/>
        <v>1.242677797527636E-2</v>
      </c>
      <c r="BB167" s="2495">
        <f t="shared" si="1261"/>
        <v>4.4807784595165719E-3</v>
      </c>
      <c r="BC167" s="2496">
        <f t="shared" si="1261"/>
        <v>1.0634724364889638E-2</v>
      </c>
      <c r="BE167" s="2493">
        <f>+SUM(BE161:BE163)/BE10-SUM(AY161:AY163)/AY10</f>
        <v>-1.0400352826787588E-2</v>
      </c>
      <c r="BF167" s="2494">
        <f t="shared" ref="BF167" si="1262">+SUM(BF161:BF163)/BF10-SUM(AZ161:AZ163)/AZ10</f>
        <v>-1.3357766854488824E-2</v>
      </c>
      <c r="BG167" s="2494">
        <f t="shared" ref="BG167" si="1263">+SUM(BG161:BG163)/BG10-SUM(BA161:BA163)/BA10</f>
        <v>-1.25505508102031E-2</v>
      </c>
      <c r="BH167" s="2495">
        <f t="shared" ref="BH167" si="1264">+SUM(BH161:BH163)/BH10-SUM(BB161:BB163)/BB10</f>
        <v>-6.0725520373073952E-3</v>
      </c>
      <c r="BI167" s="2496">
        <f t="shared" ref="BI167" si="1265">+SUM(BI161:BI163)/BI10-SUM(BC161:BC163)/BC10</f>
        <v>-1.0558033884728354E-2</v>
      </c>
      <c r="BK167" s="2493">
        <f>+SUM(BK161:BK163)/BK10-SUM(BE161:BE163)/BE10</f>
        <v>3.7454863408256961E-2</v>
      </c>
      <c r="BL167" s="2494">
        <f t="shared" ref="BL167" si="1266">+SUM(BL161:BL163)/BL10-SUM(BF161:BF163)/BF10</f>
        <v>2.8775730930938104E-2</v>
      </c>
      <c r="BM167" s="2494">
        <f t="shared" ref="BM167" si="1267">+SUM(BM161:BM163)/BM10-SUM(BG161:BG163)/BG10</f>
        <v>-5.4555992914122661E-3</v>
      </c>
      <c r="BN167" s="2495">
        <f t="shared" ref="BN167" si="1268">+SUM(BN161:BN163)/BN10-SUM(BH161:BH163)/BH10</f>
        <v>-1.0910288013190687E-2</v>
      </c>
      <c r="BO167" s="2496">
        <f t="shared" ref="BO167" si="1269">+SUM(BO161:BO163)/BO10-SUM(BI161:BI163)/BI10</f>
        <v>1.0316099204081938E-2</v>
      </c>
      <c r="BQ167" s="2493">
        <f t="shared" ref="BQ167" si="1270">+SUM(BQ161:BQ163)/BQ10-SUM(BK161:BK163)/BK10</f>
        <v>-6.4811274099394189E-2</v>
      </c>
      <c r="BR167" s="2494">
        <f t="shared" ref="BR167" si="1271">+SUM(BR161:BR163)/BR10-SUM(BL161:BL163)/BL10</f>
        <v>-3.9035036259536492E-2</v>
      </c>
      <c r="BS167" s="2494">
        <f t="shared" ref="BS167" si="1272">+SUM(BS161:BS163)/BS10-SUM(BM161:BM163)/BM10</f>
        <v>-1.1161488595226744E-3</v>
      </c>
      <c r="BT167" s="2495">
        <f t="shared" ref="BT167" si="1273">+SUM(BT161:BT163)/BT10-SUM(BN161:BN163)/BN10</f>
        <v>1.689480200721215E-3</v>
      </c>
      <c r="BU167" s="2496">
        <f t="shared" ref="BU167" si="1274">+SUM(BU161:BU163)/BU10-SUM(BO161:BO163)/BO10</f>
        <v>-2.0724174991186638E-2</v>
      </c>
      <c r="BW167" s="2493">
        <f t="shared" ref="BW167" si="1275">+SUM(BW161:BW163)/BW10-SUM(BQ161:BQ163)/BQ10</f>
        <v>2.4009554140127384E-2</v>
      </c>
      <c r="BX167" s="2494">
        <f t="shared" ref="BX167" si="1276">+SUM(BX161:BX163)/BX10-SUM(BR161:BR163)/BR10</f>
        <v>1.1430718997850807E-2</v>
      </c>
      <c r="BY167" s="2494">
        <f t="shared" ref="BY167" si="1277">+SUM(BY161:BY163)/BY10-SUM(BS161:BS163)/BS10</f>
        <v>6.8723711749589158E-3</v>
      </c>
      <c r="BZ167" s="2495">
        <f t="shared" ref="BZ167" si="1278">+SUM(BZ161:BZ163)/BZ10-SUM(BT161:BT163)/BT10</f>
        <v>6.6494686379003102E-3</v>
      </c>
      <c r="CA167" s="2496">
        <f t="shared" ref="CA167" si="1279">+SUM(CA161:CA163)/CA10-SUM(BU161:BU163)/BU10</f>
        <v>9.3178334595803349E-3</v>
      </c>
      <c r="CC167" s="2493">
        <f t="shared" ref="CC167" si="1280">+SUM(CC161:CC163)/CC10-SUM(BW161:BW163)/BW10</f>
        <v>0</v>
      </c>
      <c r="CD167" s="2494">
        <f t="shared" ref="CD167" si="1281">+SUM(CD161:CD163)/CD10-SUM(BX161:BX163)/BX10</f>
        <v>0</v>
      </c>
      <c r="CE167" s="2494">
        <f t="shared" ref="CE167" si="1282">+SUM(CE161:CE163)/CE10-SUM(BY161:BY163)/BY10</f>
        <v>0</v>
      </c>
      <c r="CF167" s="2495">
        <f t="shared" ref="CF167" si="1283">+SUM(CF161:CF163)/CF10-SUM(BZ161:BZ163)/BZ10</f>
        <v>0</v>
      </c>
      <c r="CG167" s="2496">
        <f t="shared" ref="CG167" si="1284">+SUM(CG161:CG163)/CG10-SUM(CA161:CA163)/CA10</f>
        <v>0</v>
      </c>
      <c r="CI167" s="2493">
        <f t="shared" ref="CI167" si="1285">+SUM(CI161:CI163)/CI10-SUM(CC161:CC163)/CC10</f>
        <v>0</v>
      </c>
      <c r="CJ167" s="2494">
        <f t="shared" ref="CJ167" si="1286">+SUM(CJ161:CJ163)/CJ10-SUM(CD161:CD163)/CD10</f>
        <v>0</v>
      </c>
      <c r="CK167" s="2494">
        <f t="shared" ref="CK167" si="1287">+SUM(CK161:CK163)/CK10-SUM(CE161:CE163)/CE10</f>
        <v>0</v>
      </c>
      <c r="CL167" s="2495">
        <f t="shared" ref="CL167" si="1288">+SUM(CL161:CL163)/CL10-SUM(CF161:CF163)/CF10</f>
        <v>0</v>
      </c>
      <c r="CM167" s="2496">
        <f t="shared" ref="CM167" si="1289">+SUM(CM161:CM163)/CM10-SUM(CG161:CG163)/CG10</f>
        <v>0</v>
      </c>
      <c r="CO167" s="2493">
        <f t="shared" ref="CO167" si="1290">+SUM(CO161:CO163)/CO10-SUM(CI161:CI163)/CI10</f>
        <v>0</v>
      </c>
      <c r="CP167" s="2494">
        <f t="shared" ref="CP167" si="1291">+SUM(CP161:CP163)/CP10-SUM(CJ161:CJ163)/CJ10</f>
        <v>0</v>
      </c>
      <c r="CQ167" s="2494">
        <f t="shared" ref="CQ167" si="1292">+SUM(CQ161:CQ163)/CQ10-SUM(CK161:CK163)/CK10</f>
        <v>0</v>
      </c>
      <c r="CR167" s="2495">
        <f t="shared" ref="CR167" si="1293">+SUM(CR161:CR163)/CR10-SUM(CL161:CL163)/CL10</f>
        <v>0</v>
      </c>
      <c r="CS167" s="2496">
        <f t="shared" ref="CS167" si="1294">+SUM(CS161:CS163)/CS10-SUM(CM161:CM163)/CM10</f>
        <v>0</v>
      </c>
    </row>
    <row r="168" spans="1:97">
      <c r="A168" s="2543" t="s">
        <v>784</v>
      </c>
      <c r="B168" s="2544"/>
      <c r="C168" s="2545"/>
      <c r="D168" s="2546"/>
      <c r="E168" s="2546"/>
      <c r="F168" s="2547"/>
      <c r="G168" s="2548"/>
      <c r="H168" s="2544"/>
      <c r="I168" s="2549">
        <f>+(I164-C145)/(RevBuild!I21*C9)</f>
        <v>0.26416688459294718</v>
      </c>
      <c r="J168" s="2550">
        <f>+(J164-D145)/(RevBuild!J21*D9)</f>
        <v>0.31576866395887998</v>
      </c>
      <c r="K168" s="2550">
        <f>+(K164-E145)/(RevBuild!K21*E9)</f>
        <v>0.24909952606635041</v>
      </c>
      <c r="L168" s="2551">
        <f>+(L164-F145)/(RevBuild!L21*F9)</f>
        <v>0.35608302464664865</v>
      </c>
      <c r="M168" s="2552">
        <f>+(M164-G145)/(RevBuild!M21*G9)</f>
        <v>0.295742784339182</v>
      </c>
      <c r="N168" s="2544"/>
      <c r="O168" s="2549">
        <f>+(O164-I145)/(RevBuild!O21*I9)</f>
        <v>0.40340805540368152</v>
      </c>
      <c r="P168" s="2550">
        <f>+(P164-J145)/(RevBuild!P21*J9)</f>
        <v>0.3765023758501817</v>
      </c>
      <c r="Q168" s="2550">
        <f>+(Q164-K145)/(RevBuild!Q21*K9)</f>
        <v>0.45691358024691825</v>
      </c>
      <c r="R168" s="2551">
        <f>+(R164-L145)/(RevBuild!R21*L9)</f>
        <v>-6.9715333299386228E-2</v>
      </c>
      <c r="S168" s="2552">
        <f>+(S164-M145)/(RevBuild!S21*M9)</f>
        <v>0.30206554313150569</v>
      </c>
      <c r="T168" s="2544"/>
      <c r="U168" s="2549">
        <f>+(U164-O145)/(RevBuild!U21*O9)</f>
        <v>-7.6775397146209194E-3</v>
      </c>
      <c r="V168" s="2550">
        <f>+(V164-P145)/(RevBuild!V21*P9)</f>
        <v>0.26074848102136239</v>
      </c>
      <c r="W168" s="2550">
        <f>+(W164-Q145)/(RevBuild!W21*Q9)</f>
        <v>0.34582118248527483</v>
      </c>
      <c r="X168" s="2551">
        <f>+(X164-R145)/(RevBuild!X21*R9)</f>
        <v>0.28776234256921057</v>
      </c>
      <c r="Y168" s="2552">
        <f>+(Y164-S145)/(RevBuild!Y21*S9)</f>
        <v>0.27636754212427</v>
      </c>
      <c r="Z168" s="2544"/>
      <c r="AA168" s="2549">
        <f>+(AA164-U145)/(RevBuild!AA21*U9)</f>
        <v>0.41442093900336019</v>
      </c>
      <c r="AB168" s="2550">
        <f>+(AB164-V145)/(RevBuild!AB21*V9)</f>
        <v>0.38124726495192757</v>
      </c>
      <c r="AC168" s="2550">
        <f>+(AC164-W145)/(RevBuild!AC21*W9)</f>
        <v>1.4570326694216551</v>
      </c>
      <c r="AD168" s="2551">
        <f>+(AD164-X145)/(RevBuild!AD21*X9)</f>
        <v>-0.24412303578354566</v>
      </c>
      <c r="AE168" s="2552">
        <f>+(AE164-Y145)/(RevBuild!AE21*Y9)</f>
        <v>0.35582906296589761</v>
      </c>
      <c r="AF168" s="2544"/>
      <c r="AG168" s="2549">
        <f>+(AG164-AA145)/(RevBuild!AG21*AA9)</f>
        <v>0.48626950600551899</v>
      </c>
      <c r="AH168" s="2550">
        <f>+(AH164-AB145)/(RevBuild!AH21*AB9)</f>
        <v>1.4887882056878878</v>
      </c>
      <c r="AI168" s="2550">
        <f>+(AI164-AC145)/(RevBuild!AI21*AC9)</f>
        <v>0.62055727907331859</v>
      </c>
      <c r="AJ168" s="2551">
        <f>+(AJ164-AD145)/(RevBuild!AJ21*AD9)</f>
        <v>0.24187950674231351</v>
      </c>
      <c r="AK168" s="2552">
        <f>+(AK164-AE145)/(RevBuild!AK21*AE9)</f>
        <v>0.43978406426968136</v>
      </c>
      <c r="AL168" s="2544"/>
      <c r="AM168" s="2549">
        <f>+(AM164-AG145)/(RevBuild!AM21*AG9)</f>
        <v>0.35308687322429549</v>
      </c>
      <c r="AN168" s="2550">
        <f>+(AN164-AH145)/(RevBuild!AN21*AH9)</f>
        <v>0.28326199132224605</v>
      </c>
      <c r="AO168" s="2550">
        <f>+(AO164-AI145)/(RevBuild!AO21*AI9)</f>
        <v>0.27453958622574443</v>
      </c>
      <c r="AP168" s="2551">
        <f>+(AP164-AJ145)/(RevBuild!AP21*AJ9)</f>
        <v>0.32736924651859761</v>
      </c>
      <c r="AQ168" s="2552">
        <f>+(AQ164-AK145)/(RevBuild!AQ21*AK9)</f>
        <v>0.31486457952047253</v>
      </c>
      <c r="AR168" s="2544"/>
      <c r="AS168" s="2549">
        <f>+(AS164-AM145)/(RevBuild!AS21*AM9)</f>
        <v>0.35121990560410965</v>
      </c>
      <c r="AT168" s="2550">
        <f>+(AT164-AN145)/(RevBuild!AT21*AN9)</f>
        <v>0.32109735748464635</v>
      </c>
      <c r="AU168" s="2550">
        <f>+(AU164-AO145)/(RevBuild!AU21*AO9)</f>
        <v>0.46660642234377114</v>
      </c>
      <c r="AV168" s="2551">
        <f>+(AV164-AP145)/(RevBuild!AV21*AP9)</f>
        <v>0.46633456432764703</v>
      </c>
      <c r="AW168" s="2552">
        <f>+(AW164-AQ145)/(RevBuild!AW21*AQ9)</f>
        <v>0.41207758570212122</v>
      </c>
      <c r="AX168" s="2544"/>
      <c r="AY168" s="2549">
        <f>+(AY164-AS145)/(RevBuild!AY21*AS9)</f>
        <v>0.52283619326905717</v>
      </c>
      <c r="AZ168" s="2550">
        <f>+(AZ164-AT145)/(RevBuild!AZ21*AT9)</f>
        <v>0.49227671227410191</v>
      </c>
      <c r="BA168" s="2550">
        <f>+(BA164-AU145)/(RevBuild!BA21*AU9)</f>
        <v>0.31856880767274504</v>
      </c>
      <c r="BB168" s="2551">
        <f>+(BB164-AV145)/(RevBuild!BB21*AV9)</f>
        <v>0.16679550362136389</v>
      </c>
      <c r="BC168" s="2552">
        <f>+(BC164-AW145)/(RevBuild!BC21*AW9)</f>
        <v>0.39599489019077916</v>
      </c>
      <c r="BD168" s="2544"/>
      <c r="BE168" s="2549">
        <f>+(BE164-AY145)/(RevBuild!BE21*AY9)</f>
        <v>-0.85735434568787361</v>
      </c>
      <c r="BF168" s="2550">
        <f>+(BF164-AZ145)/(RevBuild!BF21*AZ9)</f>
        <v>0.15962082412325426</v>
      </c>
      <c r="BG168" s="2550">
        <f>+(BG164-BA145)/(RevBuild!BG21*BA9)</f>
        <v>0.52047507963303052</v>
      </c>
      <c r="BH168" s="2551">
        <f>+(BH164-BB145)/(RevBuild!BH21*BB9)</f>
        <v>0.29989362116897245</v>
      </c>
      <c r="BI168" s="2552">
        <f>+(BI164-BC145)/(RevBuild!BI21*BC9)</f>
        <v>8.3153374158933452E-2</v>
      </c>
      <c r="BJ168" s="2544"/>
      <c r="BK168" s="2549">
        <v>2.6989117193431229E-2</v>
      </c>
      <c r="BL168" s="2550">
        <f>+(BL164-BF145)/(RevBuild!BL21*BF9)</f>
        <v>-7.4493792550877375E-2</v>
      </c>
      <c r="BM168" s="2550">
        <v>8.0491797349819261E-2</v>
      </c>
      <c r="BN168" s="2551">
        <v>0.54592208751900295</v>
      </c>
      <c r="BO168" s="2552">
        <v>0.21952758443619338</v>
      </c>
      <c r="BP168" s="2544"/>
      <c r="BQ168" s="2549">
        <v>0.6337978024676203</v>
      </c>
      <c r="BR168" s="2550">
        <v>0.31215681069980111</v>
      </c>
      <c r="BS168" s="2550">
        <v>-7.4945131025552017E-2</v>
      </c>
      <c r="BT168" s="2551">
        <v>-0.8181492583684612</v>
      </c>
      <c r="BU168" s="2552">
        <v>0.23547579661260318</v>
      </c>
      <c r="BV168" s="2544"/>
      <c r="BW168" s="2549">
        <v>0.22318738937286117</v>
      </c>
      <c r="BX168" s="2550">
        <v>0.2129111112231189</v>
      </c>
      <c r="BY168" s="2550">
        <v>0.223608618499957</v>
      </c>
      <c r="BZ168" s="2551">
        <v>0.22065994089090601</v>
      </c>
      <c r="CA168" s="2552">
        <v>0.22015466635605105</v>
      </c>
      <c r="CB168" s="2544"/>
      <c r="CC168" s="2549">
        <v>0.25890427201313687</v>
      </c>
      <c r="CD168" s="2550">
        <v>0.21163359170945861</v>
      </c>
      <c r="CE168" s="2550">
        <v>0.21891790221291288</v>
      </c>
      <c r="CF168" s="2551">
        <v>0.22145848182100245</v>
      </c>
      <c r="CG168" s="2552">
        <v>0.22754977390723985</v>
      </c>
      <c r="CH168" s="2544"/>
      <c r="CI168" s="2549">
        <v>0.25216468323540187</v>
      </c>
      <c r="CJ168" s="2550">
        <v>0.20835346902499075</v>
      </c>
      <c r="CK168" s="2550">
        <v>0.21442188719864963</v>
      </c>
      <c r="CL168" s="2551">
        <v>0.21875779345917268</v>
      </c>
      <c r="CM168" s="2552">
        <v>0.22334712911464294</v>
      </c>
      <c r="CN168" s="2544"/>
      <c r="CO168" s="2549">
        <v>0.2603400708806819</v>
      </c>
      <c r="CP168" s="2550">
        <v>0.22746597009472175</v>
      </c>
      <c r="CQ168" s="2550">
        <v>0.23558004367480126</v>
      </c>
      <c r="CR168" s="2551">
        <v>0.23852213708116318</v>
      </c>
      <c r="CS168" s="2552">
        <v>0.24014961277316352</v>
      </c>
    </row>
    <row r="169" spans="1:97">
      <c r="A169" s="1410"/>
      <c r="B169" s="2608"/>
      <c r="C169" s="2582"/>
      <c r="D169" s="2582"/>
      <c r="E169" s="2582"/>
      <c r="F169" s="2582"/>
      <c r="G169" s="2582"/>
      <c r="H169" s="2608"/>
      <c r="I169" s="2609"/>
      <c r="J169" s="2610"/>
      <c r="K169" s="2610"/>
      <c r="L169" s="2610"/>
      <c r="M169" s="2610"/>
      <c r="N169" s="2608"/>
      <c r="O169" s="2609"/>
      <c r="P169" s="2610"/>
      <c r="Q169" s="2610"/>
      <c r="R169" s="2610"/>
      <c r="S169" s="2610"/>
      <c r="T169" s="2608"/>
      <c r="U169" s="2609"/>
      <c r="V169" s="2610"/>
      <c r="W169" s="2610"/>
      <c r="X169" s="2610"/>
      <c r="Y169" s="2610"/>
      <c r="Z169" s="2608"/>
      <c r="AA169" s="2609"/>
      <c r="AB169" s="2610"/>
      <c r="AC169" s="2610"/>
      <c r="AD169" s="2610"/>
      <c r="AE169" s="2610"/>
      <c r="AF169" s="2608"/>
      <c r="AG169" s="2609"/>
      <c r="AH169" s="2610"/>
      <c r="AI169" s="2610"/>
      <c r="AJ169" s="2610"/>
      <c r="AK169" s="2610"/>
      <c r="AL169" s="2608"/>
      <c r="AM169" s="2609"/>
      <c r="AN169" s="2610"/>
      <c r="AO169" s="2610"/>
      <c r="AP169" s="2610"/>
      <c r="AQ169" s="2610"/>
      <c r="AR169" s="2608"/>
      <c r="AS169" s="2609"/>
      <c r="AT169" s="2610"/>
      <c r="AU169" s="2610"/>
      <c r="AV169" s="2610"/>
      <c r="AW169" s="2610"/>
      <c r="AX169" s="2608"/>
      <c r="AY169" s="2609"/>
      <c r="AZ169" s="2610"/>
      <c r="BA169" s="2610"/>
      <c r="BB169" s="2610"/>
      <c r="BC169" s="2610"/>
      <c r="BD169" s="2608"/>
      <c r="BE169" s="2609"/>
      <c r="BF169" s="2610"/>
      <c r="BG169" s="2610"/>
      <c r="BH169" s="2610"/>
      <c r="BI169" s="2610"/>
      <c r="BJ169" s="2608"/>
      <c r="BK169" s="2609"/>
      <c r="BL169" s="2610"/>
      <c r="BM169" s="2610"/>
      <c r="BN169" s="2610"/>
      <c r="BO169" s="2610"/>
      <c r="BP169" s="2608"/>
      <c r="BQ169" s="2609"/>
      <c r="BR169" s="2610"/>
      <c r="BS169" s="2610"/>
      <c r="BT169" s="2610"/>
      <c r="BU169" s="2610"/>
      <c r="BV169" s="2608"/>
      <c r="BW169" s="2609"/>
      <c r="BX169" s="2610"/>
      <c r="BY169" s="2610"/>
      <c r="BZ169" s="2610"/>
      <c r="CA169" s="2610"/>
      <c r="CB169" s="2608"/>
      <c r="CC169" s="2609"/>
      <c r="CD169" s="2610"/>
      <c r="CE169" s="2610"/>
      <c r="CF169" s="2610"/>
      <c r="CG169" s="2610"/>
      <c r="CH169" s="2608"/>
      <c r="CI169" s="2609"/>
      <c r="CJ169" s="2610"/>
      <c r="CK169" s="2610"/>
      <c r="CL169" s="2610"/>
      <c r="CM169" s="2610"/>
      <c r="CN169" s="2608"/>
      <c r="CO169" s="2609"/>
      <c r="CP169" s="2610"/>
      <c r="CQ169" s="2610"/>
      <c r="CR169" s="2610"/>
      <c r="CS169" s="2610"/>
    </row>
    <row r="170" spans="1:97">
      <c r="A170" s="2618" t="s">
        <v>824</v>
      </c>
      <c r="B170" s="2616"/>
      <c r="C170" s="2611"/>
      <c r="D170" s="2611"/>
      <c r="E170" s="2611"/>
      <c r="F170" s="2611"/>
      <c r="G170" s="2611"/>
      <c r="H170" s="2616"/>
      <c r="I170" s="2615"/>
      <c r="J170" s="2614"/>
      <c r="K170" s="2614"/>
      <c r="L170" s="2614"/>
      <c r="M170" s="2614"/>
      <c r="N170" s="2616"/>
      <c r="O170" s="2615"/>
      <c r="P170" s="2614"/>
      <c r="Q170" s="2614"/>
      <c r="R170" s="2614"/>
      <c r="S170" s="2614"/>
      <c r="T170" s="2616"/>
      <c r="U170" s="2615"/>
      <c r="V170" s="2614"/>
      <c r="W170" s="2614"/>
      <c r="X170" s="2614"/>
      <c r="Y170" s="2614"/>
      <c r="Z170" s="2616"/>
      <c r="AA170" s="2615"/>
      <c r="AB170" s="2614"/>
      <c r="AC170" s="2614"/>
      <c r="AD170" s="2614"/>
      <c r="AE170" s="2614"/>
      <c r="AF170" s="2616"/>
      <c r="AG170" s="2615"/>
      <c r="AH170" s="2614"/>
      <c r="AI170" s="2614"/>
      <c r="AJ170" s="2614"/>
      <c r="AK170" s="2614"/>
      <c r="AL170" s="2616"/>
      <c r="AM170" s="2615"/>
      <c r="AN170" s="2614"/>
      <c r="AO170" s="2614"/>
      <c r="AP170" s="2614"/>
      <c r="AQ170" s="2614"/>
      <c r="AR170" s="2616"/>
      <c r="AS170" s="2615"/>
      <c r="AT170" s="2614"/>
      <c r="AU170" s="2614"/>
      <c r="AV170" s="2614"/>
      <c r="AW170" s="2614"/>
      <c r="AX170" s="2616"/>
      <c r="AY170" s="2615"/>
      <c r="AZ170" s="2614"/>
      <c r="BA170" s="2614"/>
      <c r="BB170" s="2614"/>
      <c r="BC170" s="2614"/>
      <c r="BD170" s="2616"/>
      <c r="BE170" s="2615"/>
      <c r="BF170" s="2614"/>
      <c r="BG170" s="2614"/>
      <c r="BH170" s="2614"/>
      <c r="BI170" s="2614"/>
      <c r="BJ170" s="2616"/>
      <c r="BK170" s="2632"/>
      <c r="BL170" s="2633"/>
      <c r="BM170" s="2633"/>
      <c r="BN170" s="2633"/>
      <c r="BO170" s="2634"/>
      <c r="BP170" s="2635"/>
      <c r="BQ170" s="2633">
        <f>+(BQ161*(1-18%))/BQ42</f>
        <v>-6.9578108108108105E-2</v>
      </c>
      <c r="BR170" s="2633"/>
      <c r="BS170" s="2633"/>
      <c r="BT170" s="2633"/>
      <c r="BU170" s="2634"/>
      <c r="BV170" s="2616"/>
      <c r="BW170" s="2615"/>
      <c r="BX170" s="2614"/>
      <c r="BY170" s="2614"/>
      <c r="BZ170" s="2614"/>
      <c r="CA170" s="2614"/>
      <c r="CB170" s="2616"/>
      <c r="CC170" s="2615"/>
      <c r="CD170" s="2614"/>
      <c r="CE170" s="2614"/>
      <c r="CF170" s="2614"/>
      <c r="CG170" s="2614"/>
      <c r="CH170" s="2616"/>
      <c r="CI170" s="2615"/>
      <c r="CJ170" s="2614"/>
      <c r="CK170" s="2614"/>
      <c r="CL170" s="2614"/>
      <c r="CM170" s="2614"/>
      <c r="CN170" s="2616"/>
      <c r="CO170" s="2615"/>
      <c r="CP170" s="2614"/>
      <c r="CQ170" s="2614"/>
      <c r="CR170" s="2614"/>
      <c r="CS170" s="2614"/>
    </row>
    <row r="171" spans="1:97">
      <c r="A171" s="2618" t="s">
        <v>825</v>
      </c>
      <c r="B171" s="2616"/>
      <c r="C171" s="2611"/>
      <c r="D171" s="2611"/>
      <c r="E171" s="2611"/>
      <c r="F171" s="2611"/>
      <c r="G171" s="2611"/>
      <c r="H171" s="2616"/>
      <c r="I171" s="2615"/>
      <c r="J171" s="2614"/>
      <c r="K171" s="2614"/>
      <c r="L171" s="2614"/>
      <c r="M171" s="2614"/>
      <c r="N171" s="2616"/>
      <c r="O171" s="2615"/>
      <c r="P171" s="2614"/>
      <c r="Q171" s="2614"/>
      <c r="R171" s="2614"/>
      <c r="S171" s="2614"/>
      <c r="T171" s="2616"/>
      <c r="U171" s="2615"/>
      <c r="V171" s="2614"/>
      <c r="W171" s="2614"/>
      <c r="X171" s="2614"/>
      <c r="Y171" s="2614"/>
      <c r="Z171" s="2616"/>
      <c r="AA171" s="2615"/>
      <c r="AB171" s="2614"/>
      <c r="AC171" s="2614"/>
      <c r="AD171" s="2614"/>
      <c r="AE171" s="2614"/>
      <c r="AF171" s="2616"/>
      <c r="AG171" s="2615"/>
      <c r="AH171" s="2614"/>
      <c r="AI171" s="2614"/>
      <c r="AJ171" s="2614"/>
      <c r="AK171" s="2614"/>
      <c r="AL171" s="2616"/>
      <c r="AM171" s="2615"/>
      <c r="AN171" s="2614"/>
      <c r="AO171" s="2614"/>
      <c r="AP171" s="2614"/>
      <c r="AQ171" s="2614"/>
      <c r="AR171" s="2616"/>
      <c r="AS171" s="2615"/>
      <c r="AT171" s="2614"/>
      <c r="AU171" s="2614"/>
      <c r="AV171" s="2614"/>
      <c r="AW171" s="2614"/>
      <c r="AX171" s="2616"/>
      <c r="AY171" s="2615"/>
      <c r="AZ171" s="2614"/>
      <c r="BA171" s="2614"/>
      <c r="BB171" s="2614"/>
      <c r="BC171" s="2614"/>
      <c r="BD171" s="2616"/>
      <c r="BE171" s="2615"/>
      <c r="BF171" s="2614"/>
      <c r="BG171" s="2614"/>
      <c r="BH171" s="2614"/>
      <c r="BI171" s="2614"/>
      <c r="BJ171" s="2616"/>
      <c r="BK171" s="2632"/>
      <c r="BL171" s="2636"/>
      <c r="BM171" s="2636"/>
      <c r="BN171" s="2636"/>
      <c r="BO171" s="2634"/>
      <c r="BP171" s="2636"/>
      <c r="BQ171" s="2636"/>
      <c r="BR171" s="2636"/>
      <c r="BS171" s="2636"/>
      <c r="BT171" s="2636"/>
      <c r="BU171" s="2634"/>
      <c r="BV171" s="2616"/>
      <c r="BW171" s="2615"/>
      <c r="BX171" s="2614"/>
      <c r="BY171" s="2614"/>
      <c r="BZ171" s="2614"/>
      <c r="CA171" s="2614"/>
      <c r="CB171" s="2616"/>
      <c r="CC171" s="2615"/>
      <c r="CD171" s="2614"/>
      <c r="CE171" s="2614"/>
      <c r="CF171" s="2614"/>
      <c r="CG171" s="2614"/>
      <c r="CH171" s="2616"/>
      <c r="CI171" s="2615"/>
      <c r="CJ171" s="2614"/>
      <c r="CK171" s="2614"/>
      <c r="CL171" s="2614"/>
      <c r="CM171" s="2614"/>
      <c r="CN171" s="2616"/>
      <c r="CO171" s="2615"/>
      <c r="CP171" s="2614"/>
      <c r="CQ171" s="2614"/>
      <c r="CR171" s="2614"/>
      <c r="CS171" s="2614"/>
    </row>
    <row r="172" spans="1:97">
      <c r="A172" s="2618" t="s">
        <v>827</v>
      </c>
      <c r="B172" s="2616"/>
      <c r="C172" s="2611"/>
      <c r="D172" s="2611"/>
      <c r="E172" s="2611"/>
      <c r="F172" s="2611"/>
      <c r="G172" s="2611"/>
      <c r="H172" s="2616"/>
      <c r="I172" s="2615"/>
      <c r="J172" s="2614"/>
      <c r="K172" s="2614"/>
      <c r="L172" s="2614"/>
      <c r="M172" s="2614"/>
      <c r="N172" s="2616"/>
      <c r="O172" s="2615"/>
      <c r="P172" s="2614"/>
      <c r="Q172" s="2614"/>
      <c r="R172" s="2614"/>
      <c r="S172" s="2614"/>
      <c r="T172" s="2616"/>
      <c r="U172" s="2615"/>
      <c r="V172" s="2614"/>
      <c r="W172" s="2614"/>
      <c r="X172" s="2614"/>
      <c r="Y172" s="2614"/>
      <c r="Z172" s="2616"/>
      <c r="AA172" s="2615"/>
      <c r="AB172" s="2614"/>
      <c r="AC172" s="2614"/>
      <c r="AD172" s="2614"/>
      <c r="AE172" s="2614"/>
      <c r="AF172" s="2616"/>
      <c r="AG172" s="2615"/>
      <c r="AH172" s="2614"/>
      <c r="AI172" s="2614"/>
      <c r="AJ172" s="2614"/>
      <c r="AK172" s="2614"/>
      <c r="AL172" s="2616"/>
      <c r="AM172" s="2615"/>
      <c r="AN172" s="2614"/>
      <c r="AO172" s="2614"/>
      <c r="AP172" s="2614"/>
      <c r="AQ172" s="2614"/>
      <c r="AR172" s="2616"/>
      <c r="AS172" s="2615"/>
      <c r="AT172" s="2614"/>
      <c r="AU172" s="2614"/>
      <c r="AV172" s="2614"/>
      <c r="AW172" s="2614"/>
      <c r="AX172" s="2616"/>
      <c r="AY172" s="2615"/>
      <c r="AZ172" s="2614"/>
      <c r="BA172" s="2614"/>
      <c r="BB172" s="2614"/>
      <c r="BC172" s="2614"/>
      <c r="BD172" s="2616"/>
      <c r="BE172" s="2615"/>
      <c r="BF172" s="2614"/>
      <c r="BG172" s="2614"/>
      <c r="BH172" s="2614"/>
      <c r="BI172" s="2614"/>
      <c r="BJ172" s="2616"/>
      <c r="BK172" s="2612">
        <f>+(BK171-BE156)/(BK170-BE9)</f>
        <v>0.23882797592708885</v>
      </c>
      <c r="BL172" s="2612">
        <f>+(BL171-BF156)/(BL170-BF9)</f>
        <v>0.27242203277989219</v>
      </c>
      <c r="BM172" s="2612">
        <f>+(BM171-BG156)/(BM170-BG9)</f>
        <v>0.28692111691062511</v>
      </c>
      <c r="BN172" s="2612">
        <f>+(BN171-BH156)/(BN170-BH9)</f>
        <v>0.25123880474112259</v>
      </c>
      <c r="BO172" s="2612">
        <f>+(BO171-BI156)/(BO170-BI9)</f>
        <v>0.26261344669907488</v>
      </c>
      <c r="BP172" s="2613"/>
      <c r="BQ172" s="2612">
        <f>+(BQ171-BK171)/(BQ170-BK170)</f>
        <v>0</v>
      </c>
      <c r="BR172" s="2612" t="e">
        <f>+(BR171-BL171)/(BR170-BL170)</f>
        <v>#DIV/0!</v>
      </c>
      <c r="BS172" s="2612" t="e">
        <f>+(BS171-BM171)/(BS170-BM170)</f>
        <v>#DIV/0!</v>
      </c>
      <c r="BT172" s="2612" t="e">
        <f>+(BT171-BN171)/(BT170-BN170)</f>
        <v>#DIV/0!</v>
      </c>
      <c r="BU172" s="2612" t="e">
        <f>+(BU171-BO171)/(BU170-BO170)</f>
        <v>#DIV/0!</v>
      </c>
      <c r="BV172" s="2616"/>
      <c r="BW172" s="2615"/>
      <c r="BX172" s="2614"/>
      <c r="BY172" s="2614"/>
      <c r="BZ172" s="2614"/>
      <c r="CA172" s="2614"/>
      <c r="CB172" s="2616"/>
      <c r="CC172" s="2615"/>
      <c r="CD172" s="2614"/>
      <c r="CE172" s="2614"/>
      <c r="CF172" s="2614"/>
      <c r="CG172" s="2614"/>
      <c r="CH172" s="2616"/>
      <c r="CI172" s="2615"/>
      <c r="CJ172" s="2614"/>
      <c r="CK172" s="2614"/>
      <c r="CL172" s="2614"/>
      <c r="CM172" s="2614"/>
      <c r="CN172" s="2616"/>
      <c r="CO172" s="2615"/>
      <c r="CP172" s="2614"/>
      <c r="CQ172" s="2614"/>
      <c r="CR172" s="2614"/>
      <c r="CS172" s="2614"/>
    </row>
    <row r="173" spans="1:97">
      <c r="A173" s="2617" t="s">
        <v>826</v>
      </c>
      <c r="B173" s="2617"/>
      <c r="C173" s="2617"/>
      <c r="D173" s="2617"/>
      <c r="E173" s="2617"/>
      <c r="F173" s="2617"/>
      <c r="G173" s="2617"/>
      <c r="H173" s="2617"/>
      <c r="I173" s="2617"/>
      <c r="J173" s="2617"/>
      <c r="K173" s="2617"/>
      <c r="L173" s="2617"/>
      <c r="M173" s="2617"/>
      <c r="N173" s="2617"/>
      <c r="O173" s="2617"/>
      <c r="P173" s="2617"/>
      <c r="Q173" s="2617"/>
      <c r="R173" s="2617"/>
      <c r="S173" s="2617"/>
      <c r="T173" s="2617"/>
      <c r="U173" s="2617"/>
      <c r="V173" s="2617"/>
      <c r="W173" s="2617"/>
      <c r="X173" s="2617"/>
      <c r="Y173" s="2617"/>
      <c r="Z173" s="2617"/>
      <c r="AA173" s="2617"/>
      <c r="AB173" s="2617"/>
      <c r="AC173" s="2617"/>
      <c r="AD173" s="2617"/>
      <c r="AE173" s="2617"/>
      <c r="AF173" s="2617"/>
      <c r="AG173" s="2617"/>
      <c r="AH173" s="2617"/>
      <c r="AI173" s="2617"/>
      <c r="AJ173" s="2617"/>
      <c r="AK173" s="2612">
        <f>+(AK156-AE156)/(AK9-AE9)</f>
        <v>0.4337660382228653</v>
      </c>
      <c r="AL173" s="2617"/>
      <c r="AM173" s="2617"/>
      <c r="AN173" s="2617"/>
      <c r="AO173" s="2617"/>
      <c r="AP173" s="2617"/>
      <c r="AQ173" s="2612">
        <f>+(AQ156-AK156)/(AQ9-AK9)</f>
        <v>0.18074759225708023</v>
      </c>
      <c r="AR173" s="2617"/>
      <c r="AS173" s="2617"/>
      <c r="AT173" s="2617"/>
      <c r="AU173" s="2617"/>
      <c r="AV173" s="2617"/>
      <c r="AW173" s="2612">
        <f>+(AW156-AQ156)/(AW9-AQ9)</f>
        <v>0.40283747557817168</v>
      </c>
      <c r="AX173" s="2617"/>
      <c r="AY173" s="2617"/>
      <c r="AZ173" s="2617"/>
      <c r="BA173" s="2617"/>
      <c r="BB173" s="2617"/>
      <c r="BC173" s="2612">
        <f>+(BC156-AW156)/(BC9-AW9)</f>
        <v>0.39660550663497085</v>
      </c>
      <c r="BD173" s="2617"/>
      <c r="BE173" s="2612">
        <f>+(BE156-AY156)/(BE9-AY9)</f>
        <v>-1.3034520151816362</v>
      </c>
      <c r="BF173" s="2612">
        <f>+(BF156-AZ156)/(BF9-AZ9)</f>
        <v>-8.2754420044115914E-2</v>
      </c>
      <c r="BG173" s="2612">
        <f>+(BG156-BA156)/(BG9-BA9)</f>
        <v>0.14934585355560323</v>
      </c>
      <c r="BH173" s="2612">
        <f>+(BH156-BB156)/(BH9-BB9)</f>
        <v>-0.22367711068743357</v>
      </c>
      <c r="BI173" s="2612">
        <f>+(BI156-BC156)/(BI9-BC9)</f>
        <v>-0.25767729871060013</v>
      </c>
      <c r="BJ173" s="2617"/>
      <c r="BK173" s="2612">
        <f>+(BK156-BE156)/(BK9-BE9)</f>
        <v>-1.2026146281968271</v>
      </c>
      <c r="BL173" s="2612">
        <f>+(BL156-BF156)/(BL9-BF9)</f>
        <v>-0.2695580962168419</v>
      </c>
      <c r="BM173" s="2612">
        <f>+(BM156-BG156)/(BM9-BG9)</f>
        <v>0.16300614817379572</v>
      </c>
      <c r="BN173" s="2612">
        <f>+(BN156-BH156)/(BN9-BH9)</f>
        <v>0.55897898997808715</v>
      </c>
      <c r="BO173" s="2612">
        <f>+(BO156-BI156)/(BO9-BI9)</f>
        <v>0.16282330723976349</v>
      </c>
      <c r="BP173" s="2617"/>
      <c r="BQ173" s="2612">
        <f>+(BQ156-BK156)/(BQ9-BK9)</f>
        <v>0.67934782608695654</v>
      </c>
      <c r="BR173" s="2612">
        <f>+(BR156-BL156)/(BR9-BL9)</f>
        <v>0.32204996438603001</v>
      </c>
      <c r="BS173" s="2612">
        <f>+(BS156-BM156)/(BS9-BM9)</f>
        <v>4.6079526257241758E-2</v>
      </c>
      <c r="BT173" s="2612">
        <f>+(BT156-BN156)/(BT9-BN9)</f>
        <v>-0.56748275912551482</v>
      </c>
      <c r="BU173" s="2612">
        <f>+(BU156-BO156)/(BU9-BO9)</f>
        <v>0.2893301920300706</v>
      </c>
      <c r="BV173" s="2617"/>
      <c r="BW173" s="2617"/>
      <c r="BX173" s="2617"/>
      <c r="BY173" s="2617"/>
      <c r="BZ173" s="2617"/>
      <c r="CA173" s="2612">
        <f>+(CA156-BU156)/(CA9-BU9)</f>
        <v>0.21663385050781828</v>
      </c>
      <c r="CB173" s="2617"/>
      <c r="CC173" s="2617"/>
      <c r="CD173" s="2617"/>
      <c r="CE173" s="2617"/>
      <c r="CF173" s="2617"/>
      <c r="CG173" s="2612">
        <f>+(CG156-CA156)/(CG9-CA9)</f>
        <v>0.22754977390724013</v>
      </c>
      <c r="CH173" s="2617"/>
      <c r="CI173" s="2617"/>
      <c r="CJ173" s="2617"/>
      <c r="CK173" s="2617"/>
      <c r="CL173" s="2617"/>
      <c r="CM173" s="2612">
        <f t="shared" ref="CM173" si="1295">+(CM156-CG156)/(CM9-CG9)</f>
        <v>0.22334712911464344</v>
      </c>
      <c r="CN173" s="2617"/>
      <c r="CO173" s="2617"/>
      <c r="CP173" s="2617"/>
      <c r="CQ173" s="2617"/>
      <c r="CR173" s="2617"/>
      <c r="CS173" s="2612">
        <f t="shared" ref="CS173" si="1296">+(CS156-CM156)/(CS9-CM9)</f>
        <v>0.24014961277316205</v>
      </c>
    </row>
    <row r="174" spans="1:97">
      <c r="BI174" s="2348"/>
      <c r="BL174" s="1368"/>
      <c r="BM174" s="1368"/>
      <c r="BN174" s="1368"/>
      <c r="BQ174" s="1368"/>
      <c r="BR174" s="1368"/>
      <c r="BS174" s="1368"/>
      <c r="BT174" s="1368"/>
    </row>
    <row r="175" spans="1:97" s="6" customFormat="1" ht="11.25">
      <c r="A175" s="6" t="s">
        <v>792</v>
      </c>
      <c r="G175" s="2542">
        <v>1041</v>
      </c>
      <c r="H175" s="2439"/>
      <c r="I175" s="2439"/>
      <c r="J175" s="2439"/>
      <c r="K175" s="2439"/>
      <c r="L175" s="2439"/>
      <c r="M175" s="2542">
        <v>1536</v>
      </c>
      <c r="N175" s="2439"/>
      <c r="O175" s="2439"/>
      <c r="P175" s="2439"/>
      <c r="Q175" s="2439"/>
      <c r="R175" s="2439"/>
      <c r="S175" s="2542">
        <v>1781</v>
      </c>
      <c r="T175" s="2439"/>
      <c r="U175" s="2439"/>
      <c r="V175" s="2439"/>
      <c r="W175" s="2439"/>
      <c r="X175" s="2439"/>
      <c r="Y175" s="2542">
        <v>2100</v>
      </c>
      <c r="Z175" s="2439"/>
      <c r="AA175" s="2439"/>
      <c r="AB175" s="2439"/>
      <c r="AC175" s="2439"/>
      <c r="AD175" s="2439"/>
      <c r="AE175" s="2542">
        <v>2200</v>
      </c>
      <c r="AK175" s="2637">
        <v>2400</v>
      </c>
      <c r="AL175" s="2638"/>
      <c r="AM175" s="2638"/>
      <c r="AN175" s="2638"/>
      <c r="AO175" s="2638"/>
      <c r="AP175" s="2638"/>
      <c r="AQ175" s="2637">
        <v>3000</v>
      </c>
      <c r="AR175" s="2638"/>
      <c r="AS175" s="2638"/>
      <c r="AT175" s="2638"/>
      <c r="AU175" s="2638"/>
      <c r="AV175" s="2638"/>
      <c r="AW175" s="2637">
        <v>3700</v>
      </c>
      <c r="AX175" s="2638"/>
      <c r="AY175" s="2638"/>
      <c r="AZ175" s="2638"/>
      <c r="BA175" s="2638"/>
      <c r="BB175" s="2638"/>
      <c r="BC175" s="2637">
        <v>4600</v>
      </c>
      <c r="BD175" s="2439"/>
      <c r="BE175" s="2439"/>
      <c r="BF175" s="2439"/>
      <c r="BG175" s="2439"/>
      <c r="BH175" s="2439"/>
      <c r="BI175" s="2637">
        <v>5500</v>
      </c>
      <c r="BJ175" s="2638"/>
      <c r="BK175" s="2637">
        <v>5750</v>
      </c>
      <c r="BL175" s="2638"/>
      <c r="BO175" s="2637">
        <v>6200</v>
      </c>
      <c r="BU175" s="2429"/>
      <c r="BV175" s="2429"/>
      <c r="BW175" s="2429"/>
      <c r="BX175" s="2429"/>
      <c r="BY175" s="2429"/>
      <c r="BZ175" s="2429"/>
      <c r="CA175" s="2429"/>
      <c r="CB175" s="2429"/>
      <c r="CC175" s="2429"/>
      <c r="CD175" s="2429"/>
      <c r="CE175" s="2429"/>
      <c r="CF175" s="2429"/>
      <c r="CG175" s="2429"/>
      <c r="CH175" s="2429"/>
      <c r="CI175" s="2429"/>
      <c r="CJ175" s="2429"/>
      <c r="CK175" s="2429"/>
      <c r="CL175" s="2429"/>
      <c r="CM175" s="2429"/>
      <c r="CN175" s="2429"/>
      <c r="CO175" s="2429"/>
      <c r="CP175" s="2429"/>
      <c r="CQ175" s="2429"/>
      <c r="CR175" s="2429"/>
      <c r="CS175" s="2429"/>
    </row>
    <row r="176" spans="1:97">
      <c r="A176" s="2401" t="s">
        <v>791</v>
      </c>
      <c r="G176" s="2539"/>
      <c r="M176" s="2539">
        <f>+M175/G175-1</f>
        <v>0.47550432276657051</v>
      </c>
      <c r="S176" s="2539">
        <f>+S175/M175-1</f>
        <v>0.15950520833333326</v>
      </c>
      <c r="Y176" s="2539">
        <f>+Y175/S175-1</f>
        <v>0.17911285794497478</v>
      </c>
      <c r="AE176" s="2539">
        <f>+AE175/Y175-1</f>
        <v>4.7619047619047672E-2</v>
      </c>
      <c r="AK176" s="2539">
        <f>+AK175/AE175-1</f>
        <v>9.0909090909090828E-2</v>
      </c>
      <c r="AL176" s="2539"/>
      <c r="AM176" s="2539"/>
      <c r="AN176" s="2539"/>
      <c r="AO176" s="2539"/>
      <c r="AP176" s="2539"/>
      <c r="AQ176" s="2539">
        <f>+AQ175/AK175-1</f>
        <v>0.25</v>
      </c>
      <c r="AR176" s="2539"/>
      <c r="AS176" s="2539"/>
      <c r="AT176" s="2539"/>
      <c r="AU176" s="2539"/>
      <c r="AV176" s="2539"/>
      <c r="AW176" s="2539">
        <f>+AW175/AQ175-1</f>
        <v>0.23333333333333339</v>
      </c>
      <c r="AX176" s="2539"/>
      <c r="AY176" s="2539"/>
      <c r="AZ176" s="2539"/>
      <c r="BA176" s="2539"/>
      <c r="BB176" s="2539"/>
      <c r="BC176" s="2539">
        <f>+BC175/AW175-1</f>
        <v>0.2432432432432432</v>
      </c>
      <c r="BD176" s="2539"/>
      <c r="BE176" s="2539"/>
      <c r="BF176" s="2539"/>
      <c r="BG176" s="2539"/>
      <c r="BH176" s="2539"/>
      <c r="BI176" s="2539">
        <f>+BI175/BC175-1</f>
        <v>0.19565217391304346</v>
      </c>
      <c r="BJ176" s="2539"/>
      <c r="BK176" s="2539"/>
      <c r="BL176" s="2539"/>
      <c r="BM176" s="2539"/>
      <c r="BN176" s="2539"/>
      <c r="BO176" s="2539">
        <f>+BO175/BI175-1</f>
        <v>0.1272727272727272</v>
      </c>
      <c r="BP176" s="2539"/>
      <c r="BQ176" s="2539"/>
      <c r="BR176" s="2539"/>
      <c r="BS176" s="2539"/>
      <c r="BT176" s="2539"/>
      <c r="BU176" s="2539"/>
      <c r="BV176" s="2539"/>
      <c r="BW176" s="2539"/>
      <c r="BX176" s="2539"/>
      <c r="BY176" s="2539"/>
      <c r="BZ176" s="2539"/>
      <c r="CA176" s="2539"/>
      <c r="CB176" s="2539"/>
      <c r="CC176" s="2539"/>
      <c r="CD176" s="2539"/>
      <c r="CE176" s="2539"/>
      <c r="CF176" s="2539"/>
      <c r="CG176" s="2539"/>
      <c r="CH176" s="2539"/>
      <c r="CI176" s="2539"/>
      <c r="CJ176" s="2539"/>
      <c r="CK176" s="2539"/>
      <c r="CL176" s="2539"/>
      <c r="CM176" s="2539"/>
      <c r="CN176" s="2539"/>
      <c r="CO176" s="2539"/>
      <c r="CP176" s="2539"/>
      <c r="CQ176" s="2539"/>
      <c r="CR176" s="2539"/>
      <c r="CS176" s="2539"/>
    </row>
    <row r="178" spans="1:67">
      <c r="A178" s="6" t="s">
        <v>775</v>
      </c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2638">
        <v>33.700000000000003</v>
      </c>
    </row>
    <row r="179" spans="1:67">
      <c r="A179" s="6" t="s">
        <v>776</v>
      </c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>
        <f>+BI180-BI178</f>
        <v>9.2999999999999972</v>
      </c>
      <c r="BO179" s="2366"/>
    </row>
    <row r="180" spans="1:67">
      <c r="A180" s="6" t="s">
        <v>779</v>
      </c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2638">
        <v>43</v>
      </c>
      <c r="BO180" s="2343"/>
    </row>
    <row r="181" spans="1:67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O181" s="2366"/>
    </row>
    <row r="182" spans="1:67">
      <c r="A182" s="6" t="s">
        <v>778</v>
      </c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2638">
        <v>13.7</v>
      </c>
      <c r="BO182" s="1356"/>
    </row>
    <row r="183" spans="1:67">
      <c r="A183" s="6" t="s">
        <v>777</v>
      </c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2638">
        <v>9.1</v>
      </c>
    </row>
    <row r="184" spans="1:67">
      <c r="A184" s="6" t="s">
        <v>780</v>
      </c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>
        <f>+BI183+BI182</f>
        <v>22.799999999999997</v>
      </c>
    </row>
    <row r="185" spans="1:67">
      <c r="A185" s="2540"/>
      <c r="B185" s="1987"/>
      <c r="C185" s="1987"/>
      <c r="D185" s="1987"/>
      <c r="E185" s="1987"/>
      <c r="F185" s="1987"/>
      <c r="G185" s="1987"/>
      <c r="H185" s="1987"/>
      <c r="I185" s="1987"/>
      <c r="J185" s="1987"/>
      <c r="K185" s="1987"/>
      <c r="L185" s="1987"/>
      <c r="M185" s="1987"/>
      <c r="N185" s="1987"/>
      <c r="O185" s="1987"/>
      <c r="P185" s="1987"/>
      <c r="Q185" s="1987"/>
      <c r="R185" s="1987"/>
      <c r="S185" s="1987"/>
      <c r="T185" s="1987"/>
      <c r="U185" s="1987"/>
      <c r="V185" s="1987"/>
      <c r="W185" s="1987"/>
      <c r="X185" s="1987"/>
      <c r="Y185" s="1987"/>
      <c r="Z185" s="1987"/>
      <c r="AA185" s="1987"/>
      <c r="AB185" s="1987"/>
      <c r="AC185" s="1987"/>
      <c r="AD185" s="1987"/>
      <c r="AE185" s="1987"/>
      <c r="AF185" s="1987"/>
      <c r="AG185" s="1987"/>
      <c r="AH185" s="1987"/>
      <c r="AI185" s="1987"/>
      <c r="AJ185" s="1987"/>
      <c r="AK185" s="1987"/>
      <c r="AL185" s="1987"/>
      <c r="AM185" s="1987"/>
      <c r="AN185" s="1987"/>
      <c r="AO185" s="1987"/>
      <c r="AP185" s="1987"/>
      <c r="AQ185" s="1987"/>
      <c r="AR185" s="1987"/>
      <c r="AS185" s="1987"/>
      <c r="AT185" s="1987"/>
      <c r="AU185" s="1987"/>
      <c r="AV185" s="1987"/>
      <c r="AW185" s="1987"/>
      <c r="AX185" s="1987"/>
      <c r="AY185" s="1987"/>
      <c r="AZ185" s="1987"/>
      <c r="BA185" s="1987"/>
      <c r="BB185" s="1987"/>
      <c r="BC185" s="1987"/>
      <c r="BD185" s="1987"/>
      <c r="BE185" s="2541"/>
      <c r="BF185" s="2541"/>
      <c r="BG185" s="2541"/>
      <c r="BH185" s="2541"/>
      <c r="BI185" s="2541"/>
    </row>
    <row r="186" spans="1:67">
      <c r="A186" s="6" t="s">
        <v>748</v>
      </c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>
        <f>+BI182+BI178</f>
        <v>47.400000000000006</v>
      </c>
    </row>
    <row r="187" spans="1:67">
      <c r="A187" s="2401" t="s">
        <v>788</v>
      </c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2402">
        <f>+BI186/BI$9</f>
        <v>1.9763397936851355E-2</v>
      </c>
    </row>
    <row r="188" spans="1:67">
      <c r="A188" s="6" t="s">
        <v>793</v>
      </c>
      <c r="BI188" s="6">
        <f>+BI183+BI179</f>
        <v>18.399999999999999</v>
      </c>
    </row>
    <row r="189" spans="1:67">
      <c r="A189" s="2401" t="s">
        <v>788</v>
      </c>
      <c r="BI189" s="2402">
        <f>+BI188/BI$9</f>
        <v>7.6718675535456726E-3</v>
      </c>
    </row>
  </sheetData>
  <phoneticPr fontId="6" type="noConversion"/>
  <pageMargins left="0" right="0" top="0" bottom="0" header="0" footer="0"/>
  <pageSetup scale="72" orientation="landscape" r:id="rId1"/>
  <headerFooter alignWithMargins="0"/>
  <ignoredErrors>
    <ignoredError sqref="Y94:Y95 Y90 BC41 BO29 BP35 BI41:BJ41 BI27:BJ29 BI25 BI19:BJ24 AZ64:BH64 BJ30:BJ40 BN12:BP12 BN27:BP27 BL30:BL34 CA12:CA42 BJ12:BJ18 BJ26 A133:BK134 A136:B136 A135 BI188 BQ165:CA165 BL19:BP19 BI64:BK65 B157:BK157 M161:N161 C135:BK146 C149:BK151 BO148 BJ148 BN15:BP16 BN20:BP24 BM157:CA157 BL141:BL145 BP139 BS139:BU139 CT137:CV146 BN30:BP31 BN34:BP34 CT148:CV151 BL64:BP64 BO13:BP14 BO17:BP18 BO25:BP25 BO28:BP28 BO36:BP36 BN41:BP41 BR37:BU40 BN32:BN33 BP32:BP33 BO150:BP150 BM151:BP151 BM141:CA146 BM149:CA149 BL133:CA138 BR35:BT35 BR12:BU12 BR27:BU27 BR19:BU19 BR15:BU16 BR20:BU24 BR30:BU31 BR34:BU34 BR13:BU14 BR17:BU18 BR25:BU25 BR28:BU28 BR36:BU36 BR41:BU41 BR32:BU33 BR64:CA64 BR150:CA150 BR151:CA151 DC137:DY146 DC148:DY151" formula="1"/>
    <ignoredError sqref="BF86:BF88 BF96:BF97 BF90:BF92 BF99:BF10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  <pageSetUpPr fitToPage="1"/>
  </sheetPr>
  <dimension ref="A1:XFD905"/>
  <sheetViews>
    <sheetView showGridLines="0" zoomScaleNormal="100" zoomScaleSheetLayoutView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ED330" sqref="ED330"/>
    </sheetView>
  </sheetViews>
  <sheetFormatPr defaultColWidth="8.85546875" defaultRowHeight="12.75" outlineLevelRow="2" outlineLevelCol="1"/>
  <cols>
    <col min="1" max="1" width="29.42578125" customWidth="1"/>
    <col min="2" max="2" width="0.85546875" hidden="1" customWidth="1" outlineLevel="1"/>
    <col min="3" max="7" width="7.28515625" hidden="1" customWidth="1" outlineLevel="1"/>
    <col min="8" max="8" width="0.85546875" hidden="1" customWidth="1" outlineLevel="1"/>
    <col min="9" max="13" width="7.28515625" hidden="1" customWidth="1" outlineLevel="1"/>
    <col min="14" max="14" width="0.85546875" hidden="1" customWidth="1" outlineLevel="1"/>
    <col min="15" max="19" width="7.28515625" hidden="1" customWidth="1" outlineLevel="1"/>
    <col min="20" max="20" width="0.85546875" hidden="1" customWidth="1" outlineLevel="1"/>
    <col min="21" max="25" width="7.28515625" hidden="1" customWidth="1" outlineLevel="1"/>
    <col min="26" max="26" width="0.85546875" hidden="1" customWidth="1" outlineLevel="1"/>
    <col min="27" max="30" width="7.28515625" hidden="1" customWidth="1" outlineLevel="1"/>
    <col min="31" max="31" width="7.28515625" hidden="1" customWidth="1" outlineLevel="1" collapsed="1"/>
    <col min="32" max="32" width="0.85546875" hidden="1" customWidth="1" outlineLevel="1"/>
    <col min="33" max="36" width="7.28515625" hidden="1" customWidth="1" outlineLevel="1"/>
    <col min="37" max="37" width="7.28515625" customWidth="1" collapsed="1"/>
    <col min="38" max="38" width="0.85546875" customWidth="1"/>
    <col min="39" max="42" width="7.28515625" hidden="1" customWidth="1" outlineLevel="1"/>
    <col min="43" max="43" width="7.28515625" customWidth="1" collapsed="1"/>
    <col min="44" max="44" width="0.85546875" customWidth="1"/>
    <col min="45" max="48" width="7.28515625" hidden="1" customWidth="1" outlineLevel="1"/>
    <col min="49" max="49" width="7.28515625" customWidth="1" collapsed="1"/>
    <col min="50" max="50" width="0.85546875" customWidth="1"/>
    <col min="51" max="54" width="7.28515625" hidden="1" customWidth="1" outlineLevel="1"/>
    <col min="55" max="55" width="7.7109375" customWidth="1" collapsed="1"/>
    <col min="56" max="56" width="0.85546875" customWidth="1"/>
    <col min="57" max="58" width="7.7109375" hidden="1" customWidth="1" outlineLevel="1"/>
    <col min="59" max="59" width="8.28515625" hidden="1" customWidth="1" outlineLevel="1"/>
    <col min="60" max="60" width="8.7109375" hidden="1" customWidth="1" outlineLevel="1"/>
    <col min="61" max="61" width="7.5703125" bestFit="1" customWidth="1" collapsed="1"/>
    <col min="62" max="62" width="0.85546875" customWidth="1"/>
    <col min="63" max="66" width="7.7109375" customWidth="1" outlineLevel="1"/>
    <col min="67" max="67" width="7.7109375" customWidth="1"/>
    <col min="68" max="68" width="0.85546875" customWidth="1"/>
    <col min="69" max="72" width="7.7109375" customWidth="1" outlineLevel="1"/>
    <col min="73" max="73" width="7.7109375" customWidth="1"/>
    <col min="74" max="74" width="0.85546875" customWidth="1"/>
    <col min="75" max="78" width="7.7109375" hidden="1" customWidth="1" outlineLevel="1"/>
    <col min="79" max="79" width="7.7109375" customWidth="1" collapsed="1"/>
    <col min="80" max="80" width="0.85546875" customWidth="1"/>
    <col min="81" max="84" width="7.7109375" hidden="1" customWidth="1" outlineLevel="1"/>
    <col min="85" max="85" width="7.7109375" customWidth="1" collapsed="1"/>
    <col min="86" max="86" width="0.85546875" customWidth="1"/>
    <col min="87" max="90" width="7.7109375" hidden="1" customWidth="1" outlineLevel="1"/>
    <col min="91" max="91" width="7.7109375" customWidth="1" collapsed="1"/>
    <col min="92" max="92" width="0.85546875" customWidth="1"/>
    <col min="93" max="96" width="7.7109375" hidden="1" customWidth="1" outlineLevel="1"/>
    <col min="97" max="97" width="7.7109375" customWidth="1" collapsed="1"/>
    <col min="98" max="98" width="10.5703125" customWidth="1"/>
    <col min="99" max="99" width="16.5703125" customWidth="1"/>
    <col min="100" max="101" width="7.28515625" customWidth="1"/>
    <col min="102" max="102" width="17.42578125" customWidth="1"/>
    <col min="103" max="106" width="5" hidden="1" customWidth="1" outlineLevel="1"/>
    <col min="107" max="107" width="5" hidden="1" customWidth="1" outlineLevel="1" collapsed="1"/>
    <col min="108" max="110" width="5" hidden="1" customWidth="1" outlineLevel="1"/>
    <col min="111" max="111" width="5" customWidth="1" collapsed="1"/>
    <col min="112" max="142" width="5" customWidth="1"/>
    <col min="143" max="158" width="5.7109375" customWidth="1"/>
  </cols>
  <sheetData>
    <row r="1" spans="1:124">
      <c r="A1" s="922" t="str">
        <f>IS!A2</f>
        <v>Illumina</v>
      </c>
      <c r="B1" s="23"/>
      <c r="C1" s="23"/>
      <c r="D1" s="23"/>
      <c r="E1" s="23"/>
      <c r="F1" s="23"/>
      <c r="G1" s="23"/>
      <c r="H1" s="23"/>
      <c r="I1" s="23"/>
      <c r="J1" s="23"/>
      <c r="K1" s="1969"/>
      <c r="L1" s="23"/>
      <c r="M1" s="23"/>
      <c r="N1" s="23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195"/>
      <c r="AT1" s="195"/>
      <c r="AU1" s="195"/>
      <c r="AV1" s="195"/>
      <c r="AW1" s="9"/>
      <c r="AX1" s="9"/>
      <c r="AY1" s="195"/>
      <c r="AZ1" s="1423"/>
      <c r="BA1" s="1423"/>
      <c r="BB1" s="195"/>
      <c r="BC1" s="9"/>
      <c r="BD1" s="9"/>
      <c r="BE1" s="2355"/>
      <c r="BF1" s="2355"/>
      <c r="BG1" s="2355"/>
      <c r="BH1" s="9"/>
      <c r="BI1" s="1423"/>
      <c r="BJ1" s="9"/>
      <c r="BK1" s="1423"/>
      <c r="BL1" s="1423"/>
      <c r="BM1" s="1423"/>
      <c r="BN1" s="1423"/>
      <c r="BO1" s="1423"/>
      <c r="BP1" s="9"/>
      <c r="BQ1" s="1423"/>
      <c r="BR1" s="1423"/>
      <c r="BS1" s="1423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23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</row>
    <row r="2" spans="1:124">
      <c r="A2" s="945" t="s">
        <v>463</v>
      </c>
      <c r="B2" s="186"/>
      <c r="C2" s="186"/>
      <c r="D2" s="23"/>
      <c r="E2" s="23"/>
      <c r="F2" s="23"/>
      <c r="G2" s="23"/>
      <c r="H2" s="23"/>
      <c r="I2" s="23"/>
      <c r="J2" s="23"/>
      <c r="K2" s="1969"/>
      <c r="L2" s="1970"/>
      <c r="M2" s="164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R2" s="23"/>
      <c r="AS2" s="2345"/>
      <c r="AT2" s="2345"/>
      <c r="AU2" s="2345"/>
      <c r="AV2" s="2345"/>
      <c r="AX2" s="23"/>
      <c r="AY2" s="2455"/>
      <c r="AZ2" s="2455"/>
      <c r="BA2" s="2455"/>
      <c r="BB2" s="2455"/>
      <c r="BC2" s="2452"/>
      <c r="BD2" s="23"/>
      <c r="BE2" s="2452"/>
      <c r="BF2" s="2452"/>
      <c r="BG2" s="2452"/>
      <c r="BH2" s="2452"/>
      <c r="BI2" s="2456"/>
      <c r="BJ2" s="23"/>
      <c r="BK2" s="23"/>
      <c r="BL2" s="23"/>
      <c r="BM2" s="23"/>
      <c r="BN2" s="2250"/>
      <c r="BO2" s="2326"/>
      <c r="BP2" s="23"/>
      <c r="BQ2" s="23"/>
      <c r="BR2" s="23"/>
      <c r="BS2" s="23"/>
      <c r="CT2" s="23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</row>
    <row r="3" spans="1:124">
      <c r="A3" s="1596" t="s">
        <v>129</v>
      </c>
      <c r="B3" s="60"/>
      <c r="C3" s="60"/>
      <c r="D3" s="946"/>
      <c r="E3" s="946"/>
      <c r="F3" s="946"/>
      <c r="G3" s="946"/>
      <c r="H3" s="946"/>
      <c r="I3" s="947"/>
      <c r="J3" s="947"/>
      <c r="K3" s="947"/>
      <c r="L3" s="947"/>
      <c r="M3" s="948"/>
      <c r="N3" s="946"/>
      <c r="O3" s="949"/>
      <c r="P3" s="949"/>
      <c r="Q3" s="949"/>
      <c r="R3" s="949"/>
      <c r="S3" s="949"/>
      <c r="T3" s="949"/>
      <c r="U3" s="949"/>
      <c r="V3" s="949"/>
      <c r="W3" s="949"/>
      <c r="X3" s="949"/>
      <c r="Y3" s="949"/>
      <c r="Z3" s="949"/>
      <c r="AA3" s="949"/>
      <c r="AB3" s="949"/>
      <c r="AC3" s="949"/>
      <c r="AD3" s="949"/>
      <c r="AE3" s="949"/>
      <c r="AF3" s="949"/>
      <c r="AG3" s="949"/>
      <c r="AH3" s="949"/>
      <c r="AI3" s="949"/>
      <c r="AJ3" s="949"/>
      <c r="AK3" s="949"/>
      <c r="AL3" s="949"/>
      <c r="AM3" s="2041"/>
      <c r="AN3" s="2041"/>
      <c r="AO3" s="2041"/>
      <c r="AP3" s="2041"/>
      <c r="AQ3" s="2041"/>
      <c r="AR3" s="949"/>
      <c r="AS3" s="2041"/>
      <c r="AT3" s="2041"/>
      <c r="AU3" s="2041"/>
      <c r="AV3" s="2041"/>
      <c r="AW3" s="2041"/>
      <c r="AX3" s="2457"/>
      <c r="AY3" s="2458"/>
      <c r="AZ3" s="2458"/>
      <c r="BA3" s="2458"/>
      <c r="BB3" s="2458"/>
      <c r="BC3" s="2457"/>
      <c r="BD3" s="2457"/>
      <c r="BE3" s="2459"/>
      <c r="BF3" s="2460"/>
      <c r="BG3" s="2459"/>
      <c r="BH3" s="2459"/>
      <c r="BI3" s="2460"/>
      <c r="BJ3" s="2457"/>
      <c r="BK3" s="2461"/>
      <c r="BL3" s="949"/>
      <c r="BM3" s="949"/>
      <c r="BN3" s="949"/>
      <c r="BO3" s="949"/>
      <c r="BP3" s="949"/>
      <c r="BQ3" s="949"/>
      <c r="BR3" s="949"/>
      <c r="BS3" s="949"/>
      <c r="BT3" s="949"/>
      <c r="BU3" s="949"/>
      <c r="BV3" s="949"/>
      <c r="BW3" s="949"/>
      <c r="BX3" s="949"/>
      <c r="BY3" s="949"/>
      <c r="BZ3" s="949"/>
      <c r="CA3" s="949"/>
      <c r="CB3" s="949"/>
      <c r="CC3" s="949"/>
      <c r="CD3" s="949"/>
      <c r="CE3" s="949"/>
      <c r="CF3" s="949"/>
      <c r="CG3" s="949"/>
      <c r="CH3" s="949"/>
      <c r="CI3" s="949"/>
      <c r="CJ3" s="949"/>
      <c r="CK3" s="949"/>
      <c r="CL3" s="949"/>
      <c r="CM3" s="949"/>
      <c r="CN3" s="949"/>
      <c r="CO3" s="949"/>
      <c r="CP3" s="949"/>
      <c r="CQ3" s="949"/>
      <c r="CR3" s="949"/>
      <c r="CS3" s="949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</row>
    <row r="4" spans="1:124">
      <c r="A4" s="184" t="s">
        <v>130</v>
      </c>
      <c r="B4" s="60"/>
      <c r="C4" s="60"/>
      <c r="D4" s="60"/>
      <c r="E4" s="60"/>
      <c r="F4" s="60"/>
      <c r="G4" s="60"/>
      <c r="H4" s="60"/>
      <c r="I4" s="950"/>
      <c r="J4" s="950"/>
      <c r="K4" s="950"/>
      <c r="L4" s="950"/>
      <c r="M4" s="951"/>
      <c r="N4" s="60"/>
      <c r="O4" s="950"/>
      <c r="P4" s="950"/>
      <c r="Q4" s="950"/>
      <c r="R4" s="950"/>
      <c r="S4" s="952"/>
      <c r="T4" s="60"/>
      <c r="U4" s="950"/>
      <c r="V4" s="950"/>
      <c r="W4" s="950"/>
      <c r="X4" s="950"/>
      <c r="Y4" s="950"/>
      <c r="Z4" s="60"/>
      <c r="AA4" s="950"/>
      <c r="AB4" s="950"/>
      <c r="AC4" s="950"/>
      <c r="AD4" s="950"/>
      <c r="AE4" s="952"/>
      <c r="AF4" s="60"/>
      <c r="AG4" s="950"/>
      <c r="AH4" s="950"/>
      <c r="AI4" s="950"/>
      <c r="AJ4" s="950"/>
      <c r="AK4" s="952"/>
      <c r="AL4" s="60"/>
      <c r="AM4" s="60"/>
      <c r="AN4" s="60"/>
      <c r="AO4" s="60"/>
      <c r="AP4" s="60"/>
      <c r="AQ4" s="60"/>
      <c r="AR4" s="60"/>
      <c r="AS4" s="1703"/>
      <c r="AT4" s="1703"/>
      <c r="AU4" s="1703"/>
      <c r="AV4" s="1703"/>
      <c r="AW4" s="1703"/>
      <c r="AX4" s="4"/>
      <c r="AY4" s="1703"/>
      <c r="AZ4" s="1703"/>
      <c r="BA4" s="1703"/>
      <c r="BB4" s="1703"/>
      <c r="BC4" s="4"/>
      <c r="BD4" s="4"/>
      <c r="BE4" s="4"/>
      <c r="BF4" s="4"/>
      <c r="BG4" s="4"/>
      <c r="BH4" s="4"/>
      <c r="BI4" s="8"/>
      <c r="BJ4" s="4"/>
      <c r="BK4" s="4"/>
      <c r="BL4" s="4"/>
      <c r="BM4" s="4"/>
      <c r="BN4" s="4"/>
      <c r="BO4" s="153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</row>
    <row r="5" spans="1:124" ht="12.75" hidden="1" customHeight="1" outlineLevel="1">
      <c r="A5" s="185"/>
      <c r="B5" s="953"/>
      <c r="C5" s="166" t="s">
        <v>131</v>
      </c>
      <c r="D5" s="166" t="s">
        <v>132</v>
      </c>
      <c r="E5" s="166" t="s">
        <v>133</v>
      </c>
      <c r="F5" s="166" t="s">
        <v>134</v>
      </c>
      <c r="G5" s="167" t="s">
        <v>135</v>
      </c>
      <c r="H5" s="61"/>
      <c r="I5" s="168" t="s">
        <v>136</v>
      </c>
      <c r="J5" s="168" t="s">
        <v>137</v>
      </c>
      <c r="K5" s="168" t="s">
        <v>138</v>
      </c>
      <c r="L5" s="168" t="s">
        <v>139</v>
      </c>
      <c r="M5" s="167" t="s">
        <v>140</v>
      </c>
      <c r="N5" s="61"/>
      <c r="O5" s="167" t="s">
        <v>141</v>
      </c>
      <c r="P5" s="167" t="s">
        <v>142</v>
      </c>
      <c r="Q5" s="167" t="s">
        <v>143</v>
      </c>
      <c r="R5" s="167" t="s">
        <v>144</v>
      </c>
      <c r="S5" s="167" t="s">
        <v>145</v>
      </c>
      <c r="T5" s="61"/>
      <c r="U5" s="167" t="s">
        <v>146</v>
      </c>
      <c r="V5" s="167" t="s">
        <v>147</v>
      </c>
      <c r="W5" s="167" t="s">
        <v>148</v>
      </c>
      <c r="X5" s="167" t="s">
        <v>149</v>
      </c>
      <c r="Y5" s="167" t="s">
        <v>150</v>
      </c>
      <c r="Z5" s="61"/>
      <c r="AA5" s="167" t="s">
        <v>151</v>
      </c>
      <c r="AB5" s="167" t="s">
        <v>152</v>
      </c>
      <c r="AC5" s="167" t="s">
        <v>153</v>
      </c>
      <c r="AD5" s="167" t="s">
        <v>154</v>
      </c>
      <c r="AE5" s="167" t="s">
        <v>155</v>
      </c>
      <c r="AF5" s="61"/>
      <c r="AG5" s="167" t="s">
        <v>156</v>
      </c>
      <c r="AH5" s="167" t="s">
        <v>157</v>
      </c>
      <c r="AI5" s="167" t="s">
        <v>158</v>
      </c>
      <c r="AJ5" s="167" t="s">
        <v>159</v>
      </c>
      <c r="AK5" s="167" t="s">
        <v>160</v>
      </c>
      <c r="AL5" s="61"/>
      <c r="AM5" s="167" t="s">
        <v>161</v>
      </c>
      <c r="AN5" s="167" t="s">
        <v>162</v>
      </c>
      <c r="AO5" s="167" t="s">
        <v>163</v>
      </c>
      <c r="AP5" s="167" t="s">
        <v>164</v>
      </c>
      <c r="AQ5" s="167" t="s">
        <v>165</v>
      </c>
      <c r="AR5" s="61"/>
      <c r="AS5" s="167" t="s">
        <v>166</v>
      </c>
      <c r="AT5" s="167" t="s">
        <v>167</v>
      </c>
      <c r="AU5" s="167" t="s">
        <v>168</v>
      </c>
      <c r="AV5" s="1675" t="s">
        <v>169</v>
      </c>
      <c r="AW5" s="1675" t="s">
        <v>170</v>
      </c>
      <c r="AX5" s="1391"/>
      <c r="AY5" s="1675" t="s">
        <v>30</v>
      </c>
      <c r="AZ5" s="1675" t="s">
        <v>31</v>
      </c>
      <c r="BA5" s="1675" t="s">
        <v>32</v>
      </c>
      <c r="BB5" s="1675" t="s">
        <v>33</v>
      </c>
      <c r="BC5" s="1675" t="s">
        <v>34</v>
      </c>
      <c r="BD5" s="1391"/>
      <c r="BE5" s="1675" t="s">
        <v>467</v>
      </c>
      <c r="BF5" s="1675" t="s">
        <v>468</v>
      </c>
      <c r="BG5" s="1675" t="s">
        <v>469</v>
      </c>
      <c r="BH5" s="1675" t="s">
        <v>470</v>
      </c>
      <c r="BI5" s="1675" t="s">
        <v>471</v>
      </c>
      <c r="BJ5" s="1391"/>
      <c r="BK5" s="1675" t="s">
        <v>472</v>
      </c>
      <c r="BL5" s="1675" t="s">
        <v>473</v>
      </c>
      <c r="BM5" s="1675" t="s">
        <v>474</v>
      </c>
      <c r="BN5" s="1675" t="s">
        <v>475</v>
      </c>
      <c r="BO5" s="1675" t="s">
        <v>476</v>
      </c>
      <c r="BP5" s="1391"/>
      <c r="BQ5" s="1675" t="s">
        <v>455</v>
      </c>
      <c r="BR5" s="1675" t="s">
        <v>456</v>
      </c>
      <c r="BS5" s="1675" t="s">
        <v>457</v>
      </c>
      <c r="BT5" s="1675" t="s">
        <v>458</v>
      </c>
      <c r="BU5" s="1675" t="s">
        <v>459</v>
      </c>
      <c r="BV5" s="1391"/>
      <c r="BW5" s="1675" t="s">
        <v>737</v>
      </c>
      <c r="BX5" s="1675" t="s">
        <v>738</v>
      </c>
      <c r="BY5" s="1675" t="s">
        <v>739</v>
      </c>
      <c r="BZ5" s="1675" t="s">
        <v>740</v>
      </c>
      <c r="CA5" s="1675" t="s">
        <v>741</v>
      </c>
      <c r="CB5" s="1391"/>
      <c r="CC5" s="1675" t="s">
        <v>742</v>
      </c>
      <c r="CD5" s="1675" t="s">
        <v>743</v>
      </c>
      <c r="CE5" s="1675" t="s">
        <v>744</v>
      </c>
      <c r="CF5" s="1675" t="s">
        <v>745</v>
      </c>
      <c r="CG5" s="1675" t="s">
        <v>746</v>
      </c>
      <c r="CH5" s="1391"/>
      <c r="CI5" s="1675" t="s">
        <v>896</v>
      </c>
      <c r="CJ5" s="1675" t="s">
        <v>897</v>
      </c>
      <c r="CK5" s="1675" t="s">
        <v>898</v>
      </c>
      <c r="CL5" s="1675" t="s">
        <v>899</v>
      </c>
      <c r="CM5" s="1675" t="s">
        <v>886</v>
      </c>
      <c r="CN5" s="1391"/>
      <c r="CO5" s="1675" t="s">
        <v>900</v>
      </c>
      <c r="CP5" s="1675" t="s">
        <v>901</v>
      </c>
      <c r="CQ5" s="1675" t="s">
        <v>902</v>
      </c>
      <c r="CR5" s="1675" t="s">
        <v>903</v>
      </c>
      <c r="CS5" s="1675" t="s">
        <v>887</v>
      </c>
      <c r="CT5" s="181"/>
      <c r="CU5" s="68"/>
      <c r="CV5" s="68"/>
      <c r="CX5" s="68"/>
      <c r="CY5" s="68"/>
      <c r="CZ5" s="68"/>
      <c r="DA5" s="68"/>
      <c r="DB5" s="68"/>
      <c r="DC5" s="68"/>
      <c r="DD5" s="68"/>
      <c r="DE5" s="68"/>
      <c r="DF5" s="68"/>
      <c r="DG5" s="68"/>
      <c r="DH5" s="68"/>
      <c r="DI5" s="68"/>
      <c r="DJ5" s="68"/>
      <c r="DK5" s="68"/>
      <c r="DL5" s="68"/>
      <c r="DM5" s="68"/>
      <c r="DN5" s="68"/>
      <c r="DO5" s="68"/>
      <c r="DP5" s="68"/>
      <c r="DQ5" s="68"/>
      <c r="DR5" s="68"/>
      <c r="DS5" s="68"/>
      <c r="DT5" s="68"/>
    </row>
    <row r="6" spans="1:124" collapsed="1">
      <c r="A6" s="165"/>
      <c r="B6" s="954"/>
      <c r="C6" s="955">
        <v>2007</v>
      </c>
      <c r="D6" s="956"/>
      <c r="E6" s="956"/>
      <c r="F6" s="956"/>
      <c r="G6" s="957">
        <v>2007</v>
      </c>
      <c r="H6" s="169"/>
      <c r="I6" s="955">
        <f>C6+1</f>
        <v>2008</v>
      </c>
      <c r="J6" s="956"/>
      <c r="K6" s="956"/>
      <c r="L6" s="958"/>
      <c r="M6" s="957">
        <f>G6+1</f>
        <v>2008</v>
      </c>
      <c r="N6" s="959"/>
      <c r="O6" s="955">
        <f>I6+1</f>
        <v>2009</v>
      </c>
      <c r="P6" s="956"/>
      <c r="Q6" s="956"/>
      <c r="R6" s="958"/>
      <c r="S6" s="957">
        <f>M6+1</f>
        <v>2009</v>
      </c>
      <c r="T6" s="959"/>
      <c r="U6" s="955">
        <f>O6+1</f>
        <v>2010</v>
      </c>
      <c r="V6" s="956"/>
      <c r="W6" s="956"/>
      <c r="X6" s="956"/>
      <c r="Y6" s="957">
        <f>S6+1</f>
        <v>2010</v>
      </c>
      <c r="Z6" s="959"/>
      <c r="AA6" s="955">
        <f>U6+1</f>
        <v>2011</v>
      </c>
      <c r="AB6" s="956"/>
      <c r="AC6" s="956"/>
      <c r="AD6" s="958"/>
      <c r="AE6" s="957">
        <f>Y6+1</f>
        <v>2011</v>
      </c>
      <c r="AF6" s="959"/>
      <c r="AG6" s="955">
        <f>AA6+1</f>
        <v>2012</v>
      </c>
      <c r="AH6" s="956"/>
      <c r="AI6" s="956"/>
      <c r="AJ6" s="956"/>
      <c r="AK6" s="957">
        <f>AE6+1</f>
        <v>2012</v>
      </c>
      <c r="AL6" s="959"/>
      <c r="AM6" s="955">
        <f>AG6+1</f>
        <v>2013</v>
      </c>
      <c r="AN6" s="956"/>
      <c r="AO6" s="956"/>
      <c r="AP6" s="956"/>
      <c r="AQ6" s="957">
        <f>AK6+1</f>
        <v>2013</v>
      </c>
      <c r="AR6" s="959"/>
      <c r="AS6" s="955">
        <f>AM6+1</f>
        <v>2014</v>
      </c>
      <c r="AT6" s="956"/>
      <c r="AU6" s="956"/>
      <c r="AV6" s="956"/>
      <c r="AW6" s="957">
        <f>AQ6+1</f>
        <v>2014</v>
      </c>
      <c r="AX6" s="170"/>
      <c r="AY6" s="955">
        <f>AS6+1</f>
        <v>2015</v>
      </c>
      <c r="AZ6" s="956"/>
      <c r="BA6" s="956"/>
      <c r="BB6" s="956"/>
      <c r="BC6" s="957">
        <f>AW6+1</f>
        <v>2015</v>
      </c>
      <c r="BD6" s="170"/>
      <c r="BE6" s="955">
        <f>AY6+1</f>
        <v>2016</v>
      </c>
      <c r="BF6" s="956"/>
      <c r="BG6" s="956"/>
      <c r="BH6" s="956"/>
      <c r="BI6" s="957">
        <f>BC6+1</f>
        <v>2016</v>
      </c>
      <c r="BJ6" s="170"/>
      <c r="BK6" s="955">
        <f>BE6+1</f>
        <v>2017</v>
      </c>
      <c r="BL6" s="956"/>
      <c r="BM6" s="956"/>
      <c r="BN6" s="956"/>
      <c r="BO6" s="957">
        <f>BI6+1</f>
        <v>2017</v>
      </c>
      <c r="BP6" s="170"/>
      <c r="BQ6" s="171">
        <f>BK6+1</f>
        <v>2018</v>
      </c>
      <c r="BR6" s="159"/>
      <c r="BS6" s="159"/>
      <c r="BT6" s="159"/>
      <c r="BU6" s="130">
        <f>BO6+1</f>
        <v>2018</v>
      </c>
      <c r="BV6" s="170"/>
      <c r="BW6" s="171">
        <f>BQ6+1</f>
        <v>2019</v>
      </c>
      <c r="BX6" s="159"/>
      <c r="BY6" s="159"/>
      <c r="BZ6" s="159"/>
      <c r="CA6" s="130">
        <f>BU6+1</f>
        <v>2019</v>
      </c>
      <c r="CB6" s="170"/>
      <c r="CC6" s="171">
        <f>BW6+1</f>
        <v>2020</v>
      </c>
      <c r="CD6" s="159"/>
      <c r="CE6" s="159"/>
      <c r="CF6" s="159"/>
      <c r="CG6" s="130">
        <f>CA6+1</f>
        <v>2020</v>
      </c>
      <c r="CH6" s="170"/>
      <c r="CI6" s="171">
        <f>CC6+1</f>
        <v>2021</v>
      </c>
      <c r="CJ6" s="159"/>
      <c r="CK6" s="159"/>
      <c r="CL6" s="159"/>
      <c r="CM6" s="130">
        <f>CG6+1</f>
        <v>2021</v>
      </c>
      <c r="CN6" s="170"/>
      <c r="CO6" s="171">
        <f>CI6+1</f>
        <v>2022</v>
      </c>
      <c r="CP6" s="159"/>
      <c r="CQ6" s="159"/>
      <c r="CR6" s="159"/>
      <c r="CS6" s="130">
        <f>CM6+1</f>
        <v>2022</v>
      </c>
      <c r="CT6" s="181"/>
      <c r="CU6" s="68"/>
      <c r="CV6" s="68"/>
      <c r="CX6" s="68"/>
      <c r="CY6" s="68"/>
      <c r="CZ6" s="68"/>
      <c r="DA6" s="68"/>
      <c r="DB6" s="68"/>
      <c r="DC6" s="68"/>
      <c r="DD6" s="68"/>
      <c r="DE6" s="68"/>
      <c r="DF6" s="68"/>
      <c r="DG6" s="68"/>
      <c r="DH6" s="68"/>
      <c r="DI6" s="68"/>
      <c r="DJ6" s="68"/>
      <c r="DK6" s="68"/>
      <c r="DL6" s="68"/>
      <c r="DM6" s="68"/>
      <c r="DN6" s="68"/>
      <c r="DO6" s="68"/>
      <c r="DP6" s="68"/>
      <c r="DQ6" s="68"/>
      <c r="DR6" s="68"/>
      <c r="DS6" s="68"/>
      <c r="DT6" s="68"/>
    </row>
    <row r="7" spans="1:124" ht="13.5" thickBot="1">
      <c r="A7" s="180"/>
      <c r="B7" s="962"/>
      <c r="C7" s="963">
        <v>39172</v>
      </c>
      <c r="D7" s="964">
        <f>C7+FLOOR(365/4,1)</f>
        <v>39263</v>
      </c>
      <c r="E7" s="964">
        <f>D7+FLOOR(365/4,1)+1</f>
        <v>39355</v>
      </c>
      <c r="F7" s="964">
        <f>E7+FLOOR(365/4,1)+1</f>
        <v>39447</v>
      </c>
      <c r="G7" s="965"/>
      <c r="H7" s="175"/>
      <c r="I7" s="963">
        <f>C7+366</f>
        <v>39538</v>
      </c>
      <c r="J7" s="964">
        <f>I7+FLOOR(365/4,1)</f>
        <v>39629</v>
      </c>
      <c r="K7" s="964">
        <f>J7+FLOOR(365/4,1)+1</f>
        <v>39721</v>
      </c>
      <c r="L7" s="966">
        <f>K7+FLOOR(365/4,1)+1</f>
        <v>39813</v>
      </c>
      <c r="M7" s="965"/>
      <c r="N7" s="967"/>
      <c r="O7" s="963">
        <f>I7+365</f>
        <v>39903</v>
      </c>
      <c r="P7" s="964">
        <f>O7+FLOOR(365/4,1)</f>
        <v>39994</v>
      </c>
      <c r="Q7" s="964">
        <f>P7+FLOOR(365/4,1)+1</f>
        <v>40086</v>
      </c>
      <c r="R7" s="966">
        <f>Q7+FLOOR(365/4,1)+1</f>
        <v>40178</v>
      </c>
      <c r="S7" s="965"/>
      <c r="T7" s="967"/>
      <c r="U7" s="963">
        <f>O7+365</f>
        <v>40268</v>
      </c>
      <c r="V7" s="964">
        <f>U7+FLOOR(365/4,1)</f>
        <v>40359</v>
      </c>
      <c r="W7" s="964">
        <f>V7+FLOOR(365/4,1)+1</f>
        <v>40451</v>
      </c>
      <c r="X7" s="964">
        <f>W7+FLOOR(365/4,1)+1</f>
        <v>40543</v>
      </c>
      <c r="Y7" s="965"/>
      <c r="Z7" s="967"/>
      <c r="AA7" s="963">
        <f>U7+365</f>
        <v>40633</v>
      </c>
      <c r="AB7" s="964">
        <f>AA7+FLOOR(365/4,1)</f>
        <v>40724</v>
      </c>
      <c r="AC7" s="964">
        <f>AB7+FLOOR(365/4,1)+1</f>
        <v>40816</v>
      </c>
      <c r="AD7" s="966">
        <f>AC7+FLOOR(365/4,1)+1</f>
        <v>40908</v>
      </c>
      <c r="AE7" s="965"/>
      <c r="AF7" s="967"/>
      <c r="AG7" s="963">
        <f>AA7+366</f>
        <v>40999</v>
      </c>
      <c r="AH7" s="964">
        <f>AG7+FLOOR(365/4,1)</f>
        <v>41090</v>
      </c>
      <c r="AI7" s="964">
        <f>AH7+FLOOR(365/4,1)+1</f>
        <v>41182</v>
      </c>
      <c r="AJ7" s="964">
        <f>AI7+FLOOR(365/4,1)+1</f>
        <v>41274</v>
      </c>
      <c r="AK7" s="965"/>
      <c r="AL7" s="967"/>
      <c r="AM7" s="963">
        <f>AG7+365</f>
        <v>41364</v>
      </c>
      <c r="AN7" s="964">
        <f>AM7+FLOOR(365/4,1)</f>
        <v>41455</v>
      </c>
      <c r="AO7" s="964">
        <f>AN7+FLOOR(365/4,1)+1</f>
        <v>41547</v>
      </c>
      <c r="AP7" s="964">
        <f>AO7+FLOOR(365/4,1)+1</f>
        <v>41639</v>
      </c>
      <c r="AQ7" s="965"/>
      <c r="AR7" s="967"/>
      <c r="AS7" s="963">
        <f>AM7+365</f>
        <v>41729</v>
      </c>
      <c r="AT7" s="964">
        <f>AS7+FLOOR(365/4,1)</f>
        <v>41820</v>
      </c>
      <c r="AU7" s="964">
        <f>AT7+FLOOR(365/4,1)+1</f>
        <v>41912</v>
      </c>
      <c r="AV7" s="964">
        <f>AU7+FLOOR(365/4,1)+1</f>
        <v>42004</v>
      </c>
      <c r="AW7" s="965"/>
      <c r="AX7" s="176"/>
      <c r="AY7" s="963">
        <f>AS7+365</f>
        <v>42094</v>
      </c>
      <c r="AZ7" s="964">
        <f>AY7+FLOOR(365/4,1)</f>
        <v>42185</v>
      </c>
      <c r="BA7" s="964">
        <f>AZ7+FLOOR(365/4,1)+1</f>
        <v>42277</v>
      </c>
      <c r="BB7" s="964">
        <f>BA7+FLOOR(365/4,1)+1</f>
        <v>42369</v>
      </c>
      <c r="BC7" s="965"/>
      <c r="BD7" s="176"/>
      <c r="BE7" s="963">
        <f>AY7+365+1</f>
        <v>42460</v>
      </c>
      <c r="BF7" s="964">
        <f>BE7+FLOOR(365/4,1)</f>
        <v>42551</v>
      </c>
      <c r="BG7" s="964">
        <f>BF7+FLOOR(365/4,1)+1</f>
        <v>42643</v>
      </c>
      <c r="BH7" s="964">
        <f>BG7+FLOOR(365/4,1)+1</f>
        <v>42735</v>
      </c>
      <c r="BI7" s="174"/>
      <c r="BJ7" s="176"/>
      <c r="BK7" s="963">
        <f>BE7+365</f>
        <v>42825</v>
      </c>
      <c r="BL7" s="964">
        <f>BK7+FLOOR(365/4,1)</f>
        <v>42916</v>
      </c>
      <c r="BM7" s="964">
        <f>BL7+FLOOR(365/4,1)+1</f>
        <v>43008</v>
      </c>
      <c r="BN7" s="964">
        <f>BM7+FLOOR(365/4,1)+1</f>
        <v>43100</v>
      </c>
      <c r="BO7" s="174"/>
      <c r="BP7" s="176"/>
      <c r="BQ7" s="963">
        <f>BK7+365</f>
        <v>43190</v>
      </c>
      <c r="BR7" s="177">
        <f>BQ7+FLOOR(365/4,1)</f>
        <v>43281</v>
      </c>
      <c r="BS7" s="177">
        <f>BR7+FLOOR(365/4,1)+1</f>
        <v>43373</v>
      </c>
      <c r="BT7" s="177">
        <f>BS7+FLOOR(365/4,1)+1</f>
        <v>43465</v>
      </c>
      <c r="BU7" s="174"/>
      <c r="BV7" s="176"/>
      <c r="BW7" s="178">
        <f>BQ7+365</f>
        <v>43555</v>
      </c>
      <c r="BX7" s="177">
        <f>BW7+FLOOR(365/4,1)</f>
        <v>43646</v>
      </c>
      <c r="BY7" s="177">
        <f>BX7+FLOOR(365/4,1)+1</f>
        <v>43738</v>
      </c>
      <c r="BZ7" s="177">
        <f>BY7+FLOOR(365/4,1)+1</f>
        <v>43830</v>
      </c>
      <c r="CA7" s="174"/>
      <c r="CB7" s="176"/>
      <c r="CC7" s="178">
        <f>BW7+365</f>
        <v>43920</v>
      </c>
      <c r="CD7" s="177">
        <f>CC7+FLOOR(365/4,1)</f>
        <v>44011</v>
      </c>
      <c r="CE7" s="177">
        <f>CD7+FLOOR(365/4,1)+1</f>
        <v>44103</v>
      </c>
      <c r="CF7" s="177">
        <f>CE7+FLOOR(365/4,1)+1</f>
        <v>44195</v>
      </c>
      <c r="CG7" s="174"/>
      <c r="CH7" s="176"/>
      <c r="CI7" s="178">
        <f>CC7+365</f>
        <v>44285</v>
      </c>
      <c r="CJ7" s="177">
        <f>CI7+FLOOR(365/4,1)</f>
        <v>44376</v>
      </c>
      <c r="CK7" s="177">
        <f>CJ7+FLOOR(365/4,1)+1</f>
        <v>44468</v>
      </c>
      <c r="CL7" s="177">
        <f>CK7+FLOOR(365/4,1)+1</f>
        <v>44560</v>
      </c>
      <c r="CM7" s="174"/>
      <c r="CN7" s="176"/>
      <c r="CO7" s="178">
        <f>CI7+365</f>
        <v>44650</v>
      </c>
      <c r="CP7" s="177">
        <f>CO7+FLOOR(365/4,1)</f>
        <v>44741</v>
      </c>
      <c r="CQ7" s="177">
        <f>CP7+FLOOR(365/4,1)+1</f>
        <v>44833</v>
      </c>
      <c r="CR7" s="177">
        <f>CQ7+FLOOR(365/4,1)+1</f>
        <v>44925</v>
      </c>
      <c r="CS7" s="174"/>
      <c r="CT7" s="181"/>
      <c r="CU7" s="60"/>
      <c r="CV7" s="60"/>
      <c r="CW7" s="60"/>
      <c r="CX7" s="68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</row>
    <row r="8" spans="1:124" ht="13.5" customHeight="1">
      <c r="A8" s="971" t="s">
        <v>209</v>
      </c>
      <c r="B8" s="972"/>
      <c r="C8" s="973"/>
      <c r="D8" s="972"/>
      <c r="E8" s="972"/>
      <c r="F8" s="972"/>
      <c r="G8" s="974"/>
      <c r="H8" s="972"/>
      <c r="I8" s="973"/>
      <c r="J8" s="972"/>
      <c r="K8" s="972"/>
      <c r="L8" s="975"/>
      <c r="M8" s="974"/>
      <c r="N8" s="972"/>
      <c r="O8" s="973"/>
      <c r="P8" s="972"/>
      <c r="Q8" s="972"/>
      <c r="R8" s="975"/>
      <c r="S8" s="974"/>
      <c r="T8" s="972"/>
      <c r="U8" s="973"/>
      <c r="V8" s="972"/>
      <c r="W8" s="972"/>
      <c r="X8" s="972"/>
      <c r="Y8" s="974"/>
      <c r="Z8" s="972"/>
      <c r="AA8" s="973"/>
      <c r="AB8" s="972"/>
      <c r="AC8" s="972"/>
      <c r="AD8" s="975"/>
      <c r="AE8" s="974"/>
      <c r="AF8" s="972"/>
      <c r="AG8" s="973"/>
      <c r="AH8" s="972"/>
      <c r="AI8" s="972"/>
      <c r="AJ8" s="972"/>
      <c r="AK8" s="974"/>
      <c r="AL8" s="972"/>
      <c r="AM8" s="973"/>
      <c r="AN8" s="972"/>
      <c r="AO8" s="972"/>
      <c r="AP8" s="975"/>
      <c r="AQ8" s="974"/>
      <c r="AR8" s="972"/>
      <c r="AS8" s="973"/>
      <c r="AT8" s="972"/>
      <c r="AU8" s="972"/>
      <c r="AV8" s="1415"/>
      <c r="AW8" s="1417"/>
      <c r="AX8" s="1415"/>
      <c r="AY8" s="1416"/>
      <c r="AZ8" s="1415"/>
      <c r="BA8" s="1415"/>
      <c r="BB8" s="1418"/>
      <c r="BC8" s="1417"/>
      <c r="BD8" s="1415"/>
      <c r="BE8" s="1416"/>
      <c r="BF8" s="1415"/>
      <c r="BG8" s="1415"/>
      <c r="BH8" s="1418"/>
      <c r="BI8" s="1417"/>
      <c r="BJ8" s="1415"/>
      <c r="BK8" s="1416"/>
      <c r="BL8" s="1415"/>
      <c r="BM8" s="1415"/>
      <c r="BN8" s="1415"/>
      <c r="BO8" s="1417"/>
      <c r="BP8" s="1415"/>
      <c r="BQ8" s="1416"/>
      <c r="BR8" s="1415"/>
      <c r="BS8" s="1415"/>
      <c r="BT8" s="1415"/>
      <c r="BU8" s="1417"/>
      <c r="BV8" s="1415"/>
      <c r="BW8" s="1416"/>
      <c r="BX8" s="1415"/>
      <c r="BY8" s="1415"/>
      <c r="BZ8" s="1415"/>
      <c r="CA8" s="1417"/>
      <c r="CB8" s="1415"/>
      <c r="CC8" s="1416"/>
      <c r="CD8" s="1415"/>
      <c r="CE8" s="1415"/>
      <c r="CF8" s="1415"/>
      <c r="CG8" s="1417"/>
      <c r="CH8" s="1415"/>
      <c r="CI8" s="1416"/>
      <c r="CJ8" s="1415"/>
      <c r="CK8" s="1415"/>
      <c r="CL8" s="1415"/>
      <c r="CM8" s="1417"/>
      <c r="CN8" s="1415"/>
      <c r="CO8" s="1416"/>
      <c r="CP8" s="1415"/>
      <c r="CQ8" s="1415"/>
      <c r="CR8" s="1415"/>
      <c r="CS8" s="1417"/>
      <c r="CT8" s="815"/>
      <c r="CU8" s="68"/>
      <c r="CV8" s="68"/>
      <c r="CW8" s="68"/>
      <c r="CX8" s="68"/>
      <c r="CY8" s="68"/>
      <c r="CZ8" s="68"/>
      <c r="DA8" s="68"/>
      <c r="DB8" s="68"/>
      <c r="DC8" s="68"/>
      <c r="DD8" s="68"/>
      <c r="DE8" s="68"/>
      <c r="DF8" s="68"/>
      <c r="DG8" s="68"/>
      <c r="DH8" s="68"/>
      <c r="DI8" s="68"/>
      <c r="DJ8" s="68"/>
      <c r="DK8" s="68"/>
      <c r="DL8" s="68"/>
      <c r="DM8" s="68"/>
      <c r="DN8" s="68"/>
      <c r="DO8" s="68"/>
      <c r="DP8" s="68"/>
      <c r="DQ8" s="68"/>
      <c r="DR8" s="68"/>
      <c r="DS8" s="68"/>
      <c r="DT8" s="68"/>
    </row>
    <row r="9" spans="1:124">
      <c r="A9" s="976" t="s">
        <v>203</v>
      </c>
      <c r="B9" s="205"/>
      <c r="C9" s="977">
        <f>C14*0.32</f>
        <v>19.605119999999999</v>
      </c>
      <c r="D9" s="978">
        <v>25.4</v>
      </c>
      <c r="E9" s="978">
        <v>34.1</v>
      </c>
      <c r="F9" s="978">
        <v>41.8</v>
      </c>
      <c r="G9" s="379">
        <f>SUM(C9:F9)</f>
        <v>120.90512</v>
      </c>
      <c r="H9" s="376"/>
      <c r="I9" s="977">
        <f>I14*0.4</f>
        <v>44.273200000000003</v>
      </c>
      <c r="J9" s="978">
        <v>43.2</v>
      </c>
      <c r="K9" s="978">
        <v>46.8</v>
      </c>
      <c r="L9" s="979">
        <f>M9-SUM(I9:K9)</f>
        <v>51.426799999999986</v>
      </c>
      <c r="M9" s="32">
        <v>185.7</v>
      </c>
      <c r="N9" s="376"/>
      <c r="O9" s="977">
        <v>50.4</v>
      </c>
      <c r="P9" s="978">
        <v>53.8</v>
      </c>
      <c r="Q9" s="978">
        <v>60.7</v>
      </c>
      <c r="R9" s="979">
        <f>S9-SUM(O9:Q9)</f>
        <v>60.800000000000011</v>
      </c>
      <c r="S9" s="32">
        <v>225.7</v>
      </c>
      <c r="T9" s="376"/>
      <c r="U9" s="977">
        <v>57.2</v>
      </c>
      <c r="V9" s="978">
        <v>69.900000000000006</v>
      </c>
      <c r="W9" s="978">
        <v>87.8</v>
      </c>
      <c r="X9" s="376">
        <f>Y9-SUM(U9:W9)</f>
        <v>109.70000000000002</v>
      </c>
      <c r="Y9" s="32">
        <v>324.60000000000002</v>
      </c>
      <c r="Z9" s="376"/>
      <c r="AA9" s="977">
        <v>114.3</v>
      </c>
      <c r="AB9" s="978">
        <v>106.7</v>
      </c>
      <c r="AC9" s="978">
        <v>71.8</v>
      </c>
      <c r="AD9" s="979">
        <f>AE9-SUM(AA9:AC9)</f>
        <v>80.300000000000011</v>
      </c>
      <c r="AE9" s="32">
        <v>373.1</v>
      </c>
      <c r="AF9" s="15"/>
      <c r="AG9" s="104">
        <v>79.599999999999994</v>
      </c>
      <c r="AH9" s="16">
        <v>72.2</v>
      </c>
      <c r="AI9" s="16">
        <v>82.4</v>
      </c>
      <c r="AJ9" s="16">
        <v>80</v>
      </c>
      <c r="AK9" s="326">
        <f>SUM(AG9:AJ9)</f>
        <v>314.20000000000005</v>
      </c>
      <c r="AL9" s="15"/>
      <c r="AM9" s="104">
        <v>88.1</v>
      </c>
      <c r="AN9" s="16">
        <v>94.8</v>
      </c>
      <c r="AO9" s="16">
        <f>AI9*1.21</f>
        <v>99.704000000000008</v>
      </c>
      <c r="AP9" s="105">
        <v>89</v>
      </c>
      <c r="AQ9" s="326">
        <f>SUM(AM9:AP9)</f>
        <v>371.60399999999998</v>
      </c>
      <c r="AR9" s="15"/>
      <c r="AS9" s="104">
        <v>115.8</v>
      </c>
      <c r="AT9" s="1537">
        <v>140.19999999999999</v>
      </c>
      <c r="AU9" s="1537">
        <v>150</v>
      </c>
      <c r="AV9" s="1537">
        <v>156</v>
      </c>
      <c r="AW9" s="326">
        <f>SUM(AS9:AV9)</f>
        <v>562</v>
      </c>
      <c r="AX9" s="15"/>
      <c r="AY9" s="104">
        <v>146</v>
      </c>
      <c r="AZ9" s="1537">
        <v>155</v>
      </c>
      <c r="BA9" s="1537">
        <v>145</v>
      </c>
      <c r="BB9" s="1537">
        <v>148</v>
      </c>
      <c r="BC9" s="326">
        <f>SUM(AY9:BB9)</f>
        <v>594</v>
      </c>
      <c r="BD9" s="15"/>
      <c r="BE9" s="2682">
        <v>118</v>
      </c>
      <c r="BF9" s="2683">
        <v>126</v>
      </c>
      <c r="BG9" s="2683">
        <v>112</v>
      </c>
      <c r="BH9" s="2683">
        <v>114</v>
      </c>
      <c r="BI9" s="326">
        <f>SUM(BE9:BH9)</f>
        <v>470</v>
      </c>
      <c r="BJ9" s="15"/>
      <c r="BK9" s="2682">
        <v>100</v>
      </c>
      <c r="BL9" s="2683">
        <v>136</v>
      </c>
      <c r="BM9" s="2683">
        <v>140</v>
      </c>
      <c r="BN9" s="2683">
        <v>139</v>
      </c>
      <c r="BO9" s="326">
        <f>SUM(BK9:BN9)</f>
        <v>515</v>
      </c>
      <c r="BP9" s="15"/>
      <c r="BQ9" s="2682">
        <v>118</v>
      </c>
      <c r="BR9" s="15">
        <f>BR43+BR24</f>
        <v>127.184</v>
      </c>
      <c r="BS9" s="15">
        <f>BS43+BS24</f>
        <v>130.68074999999999</v>
      </c>
      <c r="BT9" s="103">
        <f>BT43+BT24</f>
        <v>130.68074999999999</v>
      </c>
      <c r="BU9" s="326">
        <f>SUM(BQ9:BT9)</f>
        <v>506.54549999999995</v>
      </c>
      <c r="BV9" s="15"/>
      <c r="BW9" s="102">
        <f>BW43+BW24</f>
        <v>113.77675000000001</v>
      </c>
      <c r="BX9" s="15">
        <f>BX43+BX24</f>
        <v>113.77675000000001</v>
      </c>
      <c r="BY9" s="15">
        <f>BY43+BY24</f>
        <v>113.77675000000001</v>
      </c>
      <c r="BZ9" s="103">
        <f>BZ43+BZ24</f>
        <v>113.77675000000001</v>
      </c>
      <c r="CA9" s="326">
        <f>SUM(BW9:BZ9)</f>
        <v>455.10700000000003</v>
      </c>
      <c r="CB9" s="15"/>
      <c r="CC9" s="102">
        <f>CC43+CC24</f>
        <v>107.2205</v>
      </c>
      <c r="CD9" s="15">
        <f>CD43+CD24</f>
        <v>107.2205</v>
      </c>
      <c r="CE9" s="15">
        <f>CE43+CE24</f>
        <v>107.2205</v>
      </c>
      <c r="CF9" s="103">
        <f>CF43+CF24</f>
        <v>107.2205</v>
      </c>
      <c r="CG9" s="326">
        <f>SUM(CC9:CF9)</f>
        <v>428.88200000000001</v>
      </c>
      <c r="CH9" s="15"/>
      <c r="CI9" s="102">
        <f>CI43+CI24</f>
        <v>106.82050000000001</v>
      </c>
      <c r="CJ9" s="15">
        <f>CJ43+CJ24</f>
        <v>106.82050000000001</v>
      </c>
      <c r="CK9" s="15">
        <f>CK43+CK24</f>
        <v>106.82050000000001</v>
      </c>
      <c r="CL9" s="103">
        <f>CL43+CL24</f>
        <v>106.82050000000001</v>
      </c>
      <c r="CM9" s="326">
        <f>SUM(CI9:CL9)</f>
        <v>427.28200000000004</v>
      </c>
      <c r="CN9" s="15"/>
      <c r="CO9" s="102">
        <f>CO43+CO24</f>
        <v>106.4205</v>
      </c>
      <c r="CP9" s="15">
        <f>CP43+CP24</f>
        <v>106.4205</v>
      </c>
      <c r="CQ9" s="15">
        <f>CQ43+CQ24</f>
        <v>106.4205</v>
      </c>
      <c r="CR9" s="103">
        <f>CR43+CR24</f>
        <v>106.4205</v>
      </c>
      <c r="CS9" s="326">
        <f>SUM(CO9:CR9)</f>
        <v>425.68200000000002</v>
      </c>
      <c r="CT9" s="980"/>
      <c r="CU9" s="205"/>
      <c r="CV9" s="205"/>
      <c r="CW9" s="205"/>
      <c r="CX9" s="205"/>
      <c r="CY9" s="205"/>
      <c r="CZ9" s="205"/>
      <c r="DA9" s="205"/>
      <c r="DB9" s="205"/>
      <c r="DC9" s="205"/>
      <c r="DD9" s="205"/>
      <c r="DE9" s="205"/>
      <c r="DF9" s="205"/>
      <c r="DG9" s="2011"/>
      <c r="DH9" s="2011"/>
      <c r="DI9" s="82"/>
      <c r="DJ9" s="82"/>
      <c r="DK9" s="82"/>
      <c r="DL9" s="82"/>
      <c r="DM9" s="82"/>
      <c r="DN9" s="2013"/>
      <c r="DO9" s="205"/>
      <c r="DP9" s="205"/>
      <c r="DQ9" s="205"/>
      <c r="DR9" s="205"/>
      <c r="DS9" s="205"/>
      <c r="DT9" s="205"/>
    </row>
    <row r="10" spans="1:124" ht="11.25" hidden="1" customHeight="1" outlineLevel="1">
      <c r="A10" s="981" t="s">
        <v>13</v>
      </c>
      <c r="B10" s="205"/>
      <c r="C10" s="982">
        <f>C43+C24-C9</f>
        <v>0</v>
      </c>
      <c r="D10" s="983">
        <f>D43+D24-D9</f>
        <v>0</v>
      </c>
      <c r="E10" s="983">
        <f>E43+E24-E9</f>
        <v>0</v>
      </c>
      <c r="F10" s="983">
        <f>F43+F24-F9</f>
        <v>0</v>
      </c>
      <c r="G10" s="984">
        <f>G43+G24-G9</f>
        <v>0</v>
      </c>
      <c r="H10" s="983"/>
      <c r="I10" s="985">
        <f>I43+I24-I9</f>
        <v>0</v>
      </c>
      <c r="J10" s="983">
        <f>J43+J24-J9</f>
        <v>0</v>
      </c>
      <c r="K10" s="983">
        <f>K43+K24-K9</f>
        <v>0</v>
      </c>
      <c r="L10" s="986">
        <f>L43+L24-L9</f>
        <v>0</v>
      </c>
      <c r="M10" s="984">
        <f>M43+M24-M9</f>
        <v>0</v>
      </c>
      <c r="N10" s="983"/>
      <c r="O10" s="985">
        <f>O43+O24-O9</f>
        <v>0</v>
      </c>
      <c r="P10" s="983">
        <f>P43+P24-P9</f>
        <v>0</v>
      </c>
      <c r="Q10" s="983">
        <f>Q43+Q24-Q9</f>
        <v>0</v>
      </c>
      <c r="R10" s="986">
        <f>R43+R24-R9</f>
        <v>0</v>
      </c>
      <c r="S10" s="984">
        <f>S43+S24-S9</f>
        <v>0</v>
      </c>
      <c r="T10" s="983"/>
      <c r="U10" s="985">
        <f>U43+U24-U9</f>
        <v>0</v>
      </c>
      <c r="V10" s="983">
        <f>V43+V24-V9</f>
        <v>0</v>
      </c>
      <c r="W10" s="983">
        <f>W43+W24-W9</f>
        <v>0</v>
      </c>
      <c r="X10" s="983">
        <f>X43+X24-X9</f>
        <v>0</v>
      </c>
      <c r="Y10" s="984">
        <f>Y43+Y24-Y9</f>
        <v>0</v>
      </c>
      <c r="Z10" s="983"/>
      <c r="AA10" s="985">
        <f>AA43+AA24-AA9</f>
        <v>0</v>
      </c>
      <c r="AB10" s="983">
        <f>AB43+AB24-AB9</f>
        <v>0</v>
      </c>
      <c r="AC10" s="983">
        <f>AC43+AC24-AC9</f>
        <v>0</v>
      </c>
      <c r="AD10" s="986">
        <f>AD43+AD24-AD9</f>
        <v>0</v>
      </c>
      <c r="AE10" s="984">
        <f>AE43+AE24-AE9</f>
        <v>0</v>
      </c>
      <c r="AF10" s="983"/>
      <c r="AG10" s="985">
        <f>ROUND(AG43+AG24-AG9,0)</f>
        <v>0</v>
      </c>
      <c r="AH10" s="983">
        <f>ROUND(AH43+AH24-AH9,0)</f>
        <v>0</v>
      </c>
      <c r="AI10" s="983">
        <f>ROUND(AI43+AI24-AI9,0)</f>
        <v>0</v>
      </c>
      <c r="AJ10" s="986">
        <f>ROUND(AJ43+AJ24-AJ9,0)</f>
        <v>0</v>
      </c>
      <c r="AK10" s="984">
        <f>ROUND(AK43+AK24-AK9,0)</f>
        <v>0</v>
      </c>
      <c r="AL10" s="983"/>
      <c r="AM10" s="985">
        <f>ROUND(AM9-AM43-AM24,0)</f>
        <v>0</v>
      </c>
      <c r="AN10" s="983">
        <f>ROUND(AN9-AN43-AN24,0)</f>
        <v>0</v>
      </c>
      <c r="AO10" s="983">
        <f>ROUND(AO9-AO43-AO24,0)</f>
        <v>0</v>
      </c>
      <c r="AP10" s="986">
        <f>ROUND(AP9-AP43-AP24,0)</f>
        <v>0</v>
      </c>
      <c r="AQ10" s="984">
        <f>ROUND(AQ43+AQ24-AQ9,0)</f>
        <v>0</v>
      </c>
      <c r="AR10" s="983"/>
      <c r="AS10" s="985">
        <f>ROUND(AS9-AS43-AS24,0)</f>
        <v>0</v>
      </c>
      <c r="AT10" s="983">
        <f>ROUND(AT9-AT43-AT24,0)</f>
        <v>0</v>
      </c>
      <c r="AU10" s="983">
        <f>ROUND(AU9-AU43-AU24,0)</f>
        <v>0</v>
      </c>
      <c r="AV10" s="986">
        <f>ROUND(AV9-AV43-AV24,0)</f>
        <v>0</v>
      </c>
      <c r="AW10" s="984">
        <f>ROUND(AW43+AW24-AW9,0)</f>
        <v>0</v>
      </c>
      <c r="AX10" s="983"/>
      <c r="AY10" s="985">
        <f>ROUND(AY9-AY43-AY24,0)</f>
        <v>0</v>
      </c>
      <c r="AZ10" s="983">
        <f>ROUND(AZ9-AZ43-AZ24,0)</f>
        <v>0</v>
      </c>
      <c r="BA10" s="983">
        <f>ROUND(BA9-BA43-BA24,0)</f>
        <v>0</v>
      </c>
      <c r="BB10" s="986">
        <f>ROUND(BB9-BB43-BB24,0)</f>
        <v>0</v>
      </c>
      <c r="BC10" s="984">
        <f>ROUND(BC43+BC24-BC9,0)</f>
        <v>0</v>
      </c>
      <c r="BD10" s="983"/>
      <c r="BE10" s="2639">
        <f>ROUND(BE9-BE43-BE24,0)</f>
        <v>0</v>
      </c>
      <c r="BF10" s="2640">
        <f>ROUND(BF9-BF43-BF24,0)</f>
        <v>0</v>
      </c>
      <c r="BG10" s="2640">
        <f>ROUND(BG9-BG43-BG24,0)</f>
        <v>0</v>
      </c>
      <c r="BH10" s="2641">
        <f>ROUND(BH9-BH43-BH24,0)</f>
        <v>0</v>
      </c>
      <c r="BI10" s="984">
        <f>ROUND(BI43+BI24-BI9,0)</f>
        <v>0</v>
      </c>
      <c r="BJ10" s="983"/>
      <c r="BK10" s="2685">
        <f>ROUND(BK9-BK43-BK24,0)</f>
        <v>0</v>
      </c>
      <c r="BL10" s="2640">
        <f>ROUND(BL9-BL43-BL24,0)</f>
        <v>0</v>
      </c>
      <c r="BM10" s="2640">
        <f>ROUND(BM9-BM43-BM24,0)</f>
        <v>0</v>
      </c>
      <c r="BN10" s="2640">
        <f>ROUND(BN9-BN43-BN24,0)</f>
        <v>0</v>
      </c>
      <c r="BO10" s="984">
        <f>ROUND(BO9-BO43-BO24,0)</f>
        <v>0</v>
      </c>
      <c r="BP10" s="983"/>
      <c r="BQ10" s="2685">
        <f>ROUND(BQ9-BQ43-BQ24,0)</f>
        <v>0</v>
      </c>
      <c r="BR10" s="983">
        <f>ROUND(BR9-BR43-BR24,0)</f>
        <v>0</v>
      </c>
      <c r="BS10" s="983">
        <f>ROUND(BS9-BS43-BS24,0)</f>
        <v>0</v>
      </c>
      <c r="BT10" s="986">
        <f>ROUND(BT9-BT43-BT24,0)</f>
        <v>0</v>
      </c>
      <c r="BU10" s="984">
        <f>ROUND(BU9-BU43-BU24,0)</f>
        <v>0</v>
      </c>
      <c r="BV10" s="983"/>
      <c r="BW10" s="985">
        <f>ROUND(BW9-BW43-BW24,0)</f>
        <v>0</v>
      </c>
      <c r="BX10" s="983">
        <f>ROUND(BX9-BX43-BX24,0)</f>
        <v>0</v>
      </c>
      <c r="BY10" s="983">
        <f>ROUND(BY9-BY43-BY24,0)</f>
        <v>0</v>
      </c>
      <c r="BZ10" s="986">
        <f>ROUND(BZ9-BZ43-BZ24,0)</f>
        <v>0</v>
      </c>
      <c r="CA10" s="984">
        <f>ROUND(CA9-CA43-CA24,0)</f>
        <v>0</v>
      </c>
      <c r="CB10" s="983"/>
      <c r="CC10" s="985">
        <f>ROUND(CC9-CC43-CC24,0)</f>
        <v>0</v>
      </c>
      <c r="CD10" s="983">
        <f>ROUND(CD9-CD43-CD24,0)</f>
        <v>0</v>
      </c>
      <c r="CE10" s="983">
        <f>ROUND(CE9-CE43-CE24,0)</f>
        <v>0</v>
      </c>
      <c r="CF10" s="986">
        <f>ROUND(CF9-CF43-CF24,0)</f>
        <v>0</v>
      </c>
      <c r="CG10" s="984">
        <f>ROUND(CG9-CG43-CG24,0)</f>
        <v>0</v>
      </c>
      <c r="CH10" s="983"/>
      <c r="CI10" s="985">
        <f>ROUND(CI9-CI43-CI24,0)</f>
        <v>0</v>
      </c>
      <c r="CJ10" s="983">
        <f>ROUND(CJ9-CJ43-CJ24,0)</f>
        <v>0</v>
      </c>
      <c r="CK10" s="983">
        <f>ROUND(CK9-CK43-CK24,0)</f>
        <v>0</v>
      </c>
      <c r="CL10" s="986">
        <f>ROUND(CL9-CL43-CL24,0)</f>
        <v>0</v>
      </c>
      <c r="CM10" s="984">
        <f>ROUND(CM9-CM43-CM24,0)</f>
        <v>0</v>
      </c>
      <c r="CN10" s="983"/>
      <c r="CO10" s="985">
        <f>ROUND(CO9-CO43-CO24,0)</f>
        <v>0</v>
      </c>
      <c r="CP10" s="983">
        <f>ROUND(CP9-CP43-CP24,0)</f>
        <v>0</v>
      </c>
      <c r="CQ10" s="983">
        <f>ROUND(CQ9-CQ43-CQ24,0)</f>
        <v>0</v>
      </c>
      <c r="CR10" s="986">
        <f>ROUND(CR9-CR43-CR24,0)</f>
        <v>0</v>
      </c>
      <c r="CS10" s="984">
        <f>ROUND(CS9-CS43-CS24,0)</f>
        <v>0</v>
      </c>
      <c r="CT10" s="980"/>
      <c r="CU10" s="205"/>
      <c r="CV10" s="205"/>
      <c r="CW10" s="205"/>
      <c r="CX10" s="205"/>
      <c r="CY10" s="205"/>
      <c r="CZ10" s="205"/>
      <c r="DA10" s="205"/>
      <c r="DB10" s="205"/>
      <c r="DC10" s="205"/>
      <c r="DD10" s="205"/>
      <c r="DE10" s="205"/>
      <c r="DF10" s="205"/>
      <c r="DG10" s="2011"/>
      <c r="DH10" s="2011"/>
      <c r="DI10" s="82"/>
      <c r="DJ10" s="82"/>
      <c r="DK10" s="82"/>
      <c r="DL10" s="82"/>
      <c r="DM10" s="82"/>
      <c r="DN10" s="2013"/>
      <c r="DO10" s="205"/>
      <c r="DP10" s="205"/>
      <c r="DQ10" s="205"/>
      <c r="DR10" s="205"/>
      <c r="DS10" s="205"/>
      <c r="DT10" s="205"/>
    </row>
    <row r="11" spans="1:124" collapsed="1">
      <c r="A11" s="987" t="s">
        <v>213</v>
      </c>
      <c r="B11" s="201"/>
      <c r="C11" s="977">
        <f>C14*0.63</f>
        <v>38.597580000000001</v>
      </c>
      <c r="D11" s="978">
        <v>45.8</v>
      </c>
      <c r="E11" s="978">
        <v>52.7</v>
      </c>
      <c r="F11" s="978">
        <v>56.2</v>
      </c>
      <c r="G11" s="379">
        <f>SUM(C11:F11)</f>
        <v>193.29757999999998</v>
      </c>
      <c r="H11" s="376"/>
      <c r="I11" s="977">
        <f>I14*0.57</f>
        <v>63.089309999999998</v>
      </c>
      <c r="J11" s="978">
        <v>81.7</v>
      </c>
      <c r="K11" s="978">
        <v>90.2</v>
      </c>
      <c r="L11" s="979">
        <f>M11-SUM(I11:K11)</f>
        <v>98.71069</v>
      </c>
      <c r="M11" s="32">
        <v>333.7</v>
      </c>
      <c r="N11" s="376"/>
      <c r="O11" s="977">
        <v>103.1</v>
      </c>
      <c r="P11" s="978">
        <v>96.5</v>
      </c>
      <c r="Q11" s="978">
        <v>87</v>
      </c>
      <c r="R11" s="979">
        <f>S11-SUM(O11:Q11)</f>
        <v>104.69999999999999</v>
      </c>
      <c r="S11" s="32">
        <v>391.3</v>
      </c>
      <c r="T11" s="376"/>
      <c r="U11" s="977">
        <v>114</v>
      </c>
      <c r="V11" s="978">
        <v>125.7</v>
      </c>
      <c r="W11" s="978">
        <v>133</v>
      </c>
      <c r="X11" s="376">
        <f>Y11-SUM(U11:W11)</f>
        <v>132.30000000000001</v>
      </c>
      <c r="Y11" s="32">
        <v>505</v>
      </c>
      <c r="Z11" s="376"/>
      <c r="AA11" s="977">
        <v>148.1</v>
      </c>
      <c r="AB11" s="978">
        <v>159</v>
      </c>
      <c r="AC11" s="978">
        <v>144.9</v>
      </c>
      <c r="AD11" s="979">
        <f>AE11-SUM(AA11:AC11)</f>
        <v>143.79999999999995</v>
      </c>
      <c r="AE11" s="32">
        <v>595.79999999999995</v>
      </c>
      <c r="AF11" s="15"/>
      <c r="AG11" s="104">
        <v>172.9</v>
      </c>
      <c r="AH11" s="16">
        <v>183.7</v>
      </c>
      <c r="AI11" s="16">
        <v>176.7</v>
      </c>
      <c r="AJ11" s="16">
        <v>195.93299999999994</v>
      </c>
      <c r="AK11" s="326">
        <f>SUM(AG11:AJ11)</f>
        <v>729.23299999999995</v>
      </c>
      <c r="AL11" s="15"/>
      <c r="AM11" s="104">
        <v>204.9</v>
      </c>
      <c r="AN11" s="16">
        <v>215.4</v>
      </c>
      <c r="AO11" s="15">
        <f>AO14-AO13-AO9</f>
        <v>215.899</v>
      </c>
      <c r="AP11" s="105">
        <v>244</v>
      </c>
      <c r="AQ11" s="326">
        <f>SUM(AM11:AP11)</f>
        <v>880.19900000000007</v>
      </c>
      <c r="AR11" s="15"/>
      <c r="AS11" s="104">
        <v>242.5</v>
      </c>
      <c r="AT11" s="1537">
        <v>246.7</v>
      </c>
      <c r="AU11" s="1537">
        <v>261</v>
      </c>
      <c r="AV11" s="1537">
        <v>290</v>
      </c>
      <c r="AW11" s="326">
        <f>SUM(AS11:AV11)</f>
        <v>1040.2</v>
      </c>
      <c r="AX11" s="15"/>
      <c r="AY11" s="104">
        <v>309</v>
      </c>
      <c r="AZ11" s="1537">
        <v>303</v>
      </c>
      <c r="BA11" s="1537">
        <v>321.02999999999997</v>
      </c>
      <c r="BB11" s="2083">
        <v>346</v>
      </c>
      <c r="BC11" s="326">
        <f>SUM(AY11:BB11)</f>
        <v>1279.03</v>
      </c>
      <c r="BD11" s="15"/>
      <c r="BE11" s="2682">
        <v>361</v>
      </c>
      <c r="BF11" s="2683">
        <f>+IS!BF9*0.6315</f>
        <v>378.97830599999998</v>
      </c>
      <c r="BG11" s="2683">
        <v>396</v>
      </c>
      <c r="BH11" s="2684">
        <v>407</v>
      </c>
      <c r="BI11" s="326">
        <f>SUM(BE11:BH11)</f>
        <v>1542.978306</v>
      </c>
      <c r="BJ11" s="15"/>
      <c r="BK11" s="2682">
        <v>387</v>
      </c>
      <c r="BL11" s="2683">
        <v>402</v>
      </c>
      <c r="BM11" s="2683">
        <v>451</v>
      </c>
      <c r="BN11" s="2683">
        <v>514</v>
      </c>
      <c r="BO11" s="326">
        <f>SUM(BK11:BN11)</f>
        <v>1754</v>
      </c>
      <c r="BP11" s="15"/>
      <c r="BQ11" s="2682">
        <v>504</v>
      </c>
      <c r="BR11" s="15">
        <f>BR174+BR31</f>
        <v>505.50816979006498</v>
      </c>
      <c r="BS11" s="15">
        <f>BS174+BS31</f>
        <v>516.49589848068911</v>
      </c>
      <c r="BT11" s="103">
        <f>BT174+BT31</f>
        <v>540.02737717131322</v>
      </c>
      <c r="BU11" s="326">
        <f>SUM(BQ11:BT11)</f>
        <v>2066.0314454420673</v>
      </c>
      <c r="BV11" s="15"/>
      <c r="BW11" s="102">
        <f>BW174+BW31</f>
        <v>555.492523348536</v>
      </c>
      <c r="BX11" s="15">
        <f>BX174+BX31</f>
        <v>554.44791952575849</v>
      </c>
      <c r="BY11" s="15">
        <f>BY174+BY31</f>
        <v>566.02831570298099</v>
      </c>
      <c r="BZ11" s="103">
        <f>BZ174+BZ31</f>
        <v>587.77671188020372</v>
      </c>
      <c r="CA11" s="326">
        <f>SUM(BW11:BZ11)</f>
        <v>2263.7454704574793</v>
      </c>
      <c r="CB11" s="15"/>
      <c r="CC11" s="102">
        <f>CC174+CC31</f>
        <v>601.60910805742617</v>
      </c>
      <c r="CD11" s="15">
        <f>CD174+CD31</f>
        <v>601.3665042346488</v>
      </c>
      <c r="CE11" s="15">
        <f>CE174+CE31</f>
        <v>614.30265041187135</v>
      </c>
      <c r="CF11" s="103">
        <f>CF174+CF31</f>
        <v>637.83769658909398</v>
      </c>
      <c r="CG11" s="326">
        <f>SUM(CC11:CF11)</f>
        <v>2455.1159592930403</v>
      </c>
      <c r="CH11" s="15"/>
      <c r="CI11" s="102">
        <f>CI174+CI31</f>
        <v>652.69944304075261</v>
      </c>
      <c r="CJ11" s="15">
        <f>CJ174+CJ31</f>
        <v>652.39618949241128</v>
      </c>
      <c r="CK11" s="15">
        <f>CK174+CK31</f>
        <v>666.08626323260376</v>
      </c>
      <c r="CL11" s="103">
        <f>CL174+CL31</f>
        <v>693.12939189948793</v>
      </c>
      <c r="CM11" s="326">
        <f>SUM(CI11:CL11)</f>
        <v>2664.3112876652558</v>
      </c>
      <c r="CN11" s="15"/>
      <c r="CO11" s="102">
        <f>CO174+CO31</f>
        <v>713.67539702783847</v>
      </c>
      <c r="CP11" s="15">
        <f>CP174+CP31</f>
        <v>718.78096465618898</v>
      </c>
      <c r="CQ11" s="15">
        <f>CQ174+CQ31</f>
        <v>737.48985415953916</v>
      </c>
      <c r="CR11" s="103">
        <f>CR174+CR31</f>
        <v>767.70778091288969</v>
      </c>
      <c r="CS11" s="326">
        <f>SUM(CO11:CR11)</f>
        <v>2937.6539967564559</v>
      </c>
      <c r="CT11" s="988"/>
      <c r="CU11" s="201"/>
      <c r="CV11" s="201"/>
      <c r="CW11" s="201"/>
      <c r="CX11" s="201"/>
      <c r="CY11" s="201"/>
      <c r="CZ11" s="201"/>
      <c r="DA11" s="201"/>
      <c r="DB11" s="201"/>
      <c r="DC11" s="201"/>
      <c r="DD11" s="201"/>
      <c r="DE11" s="201"/>
      <c r="DF11" s="201"/>
      <c r="DG11" s="2011"/>
      <c r="DH11" s="2012"/>
      <c r="DJ11" s="2012"/>
      <c r="DK11" s="2012"/>
      <c r="DL11" s="2012"/>
      <c r="DM11" s="201"/>
      <c r="DN11" s="2013"/>
      <c r="DO11" s="201"/>
      <c r="DP11" s="201"/>
      <c r="DQ11" s="201"/>
      <c r="DR11" s="201"/>
      <c r="DS11" s="201"/>
      <c r="DT11" s="201"/>
    </row>
    <row r="12" spans="1:124" ht="12.75" hidden="1" customHeight="1" outlineLevel="1">
      <c r="A12" s="981" t="s">
        <v>13</v>
      </c>
      <c r="B12" s="205"/>
      <c r="C12" s="982">
        <f>C174+C31-C11</f>
        <v>0</v>
      </c>
      <c r="D12" s="983">
        <f>D174+D31-D11</f>
        <v>0</v>
      </c>
      <c r="E12" s="983">
        <f>E174+E31-E11</f>
        <v>0</v>
      </c>
      <c r="F12" s="983">
        <f>F174+F31-F11</f>
        <v>0</v>
      </c>
      <c r="G12" s="984">
        <f>G174+G31-G11</f>
        <v>0</v>
      </c>
      <c r="H12" s="983"/>
      <c r="I12" s="985">
        <f>I174+I31-I11</f>
        <v>0</v>
      </c>
      <c r="J12" s="983">
        <f>J174+J31-J11</f>
        <v>0</v>
      </c>
      <c r="K12" s="983">
        <f>K174+K31-K11</f>
        <v>0</v>
      </c>
      <c r="L12" s="986">
        <f>L174+L31-L11</f>
        <v>0</v>
      </c>
      <c r="M12" s="984">
        <f>M174+M31-M11</f>
        <v>0</v>
      </c>
      <c r="N12" s="983"/>
      <c r="O12" s="985">
        <f>O174+O31-O11</f>
        <v>0</v>
      </c>
      <c r="P12" s="983">
        <f>P174+P31-P11</f>
        <v>0</v>
      </c>
      <c r="Q12" s="983">
        <f>Q174+Q31-Q11</f>
        <v>0</v>
      </c>
      <c r="R12" s="986">
        <f>R174+R31-R11</f>
        <v>0</v>
      </c>
      <c r="S12" s="984">
        <f>S174+S31-S11</f>
        <v>0</v>
      </c>
      <c r="T12" s="983"/>
      <c r="U12" s="985">
        <f>U174+U31-U11</f>
        <v>0</v>
      </c>
      <c r="V12" s="983">
        <f>V174+V31-V11</f>
        <v>0</v>
      </c>
      <c r="W12" s="983">
        <f>W174+W31-W11</f>
        <v>0</v>
      </c>
      <c r="X12" s="983">
        <f>X174+X31-X11</f>
        <v>0</v>
      </c>
      <c r="Y12" s="984">
        <f>Y174+Y31-Y11</f>
        <v>0</v>
      </c>
      <c r="Z12" s="983"/>
      <c r="AA12" s="985">
        <f>AA174+AA31-AA11</f>
        <v>0</v>
      </c>
      <c r="AB12" s="983">
        <f>AB174+AB31-AB11</f>
        <v>0</v>
      </c>
      <c r="AC12" s="983">
        <f>AC174+AC31-AC11</f>
        <v>0</v>
      </c>
      <c r="AD12" s="986">
        <f>AD174+AD31-AD11</f>
        <v>0</v>
      </c>
      <c r="AE12" s="984">
        <f>AE174+AE31-AE11</f>
        <v>0</v>
      </c>
      <c r="AF12" s="983"/>
      <c r="AG12" s="985">
        <f>ROUND(AG174+AG31-AG11,0)</f>
        <v>0</v>
      </c>
      <c r="AH12" s="983">
        <f>ROUND(AH174+AH31-AH11,0)</f>
        <v>0</v>
      </c>
      <c r="AI12" s="983">
        <f>ROUND(AI174+AI31-AI11,0)</f>
        <v>0</v>
      </c>
      <c r="AJ12" s="986">
        <f>ROUND(AJ174+AJ31-AJ11,0)</f>
        <v>0</v>
      </c>
      <c r="AK12" s="984">
        <f>ROUND(AK174+AK31-AK11,0)</f>
        <v>0</v>
      </c>
      <c r="AL12" s="983"/>
      <c r="AM12" s="985">
        <f>ROUND(AM174+AM31-AM11,0)</f>
        <v>0</v>
      </c>
      <c r="AN12" s="983">
        <f>ROUND(AN174+AN31-AN11,0)</f>
        <v>0</v>
      </c>
      <c r="AO12" s="983">
        <f>ROUND(AO174+AO31-AO11,0)</f>
        <v>0</v>
      </c>
      <c r="AP12" s="986">
        <f>ROUND(AP174+AP31-AP11,0)</f>
        <v>0</v>
      </c>
      <c r="AQ12" s="984">
        <f>ROUND(AQ174+AQ31-AQ11,0)</f>
        <v>0</v>
      </c>
      <c r="AR12" s="983"/>
      <c r="AS12" s="985">
        <f>ROUND(AS11-AS174-AS31,0)</f>
        <v>0</v>
      </c>
      <c r="AT12" s="983">
        <f>ROUND(AT11-AT174-AT31,0)</f>
        <v>0</v>
      </c>
      <c r="AU12" s="983">
        <f>ROUND(AU11-AU174-AU31,0)</f>
        <v>0</v>
      </c>
      <c r="AV12" s="986">
        <f>ROUND(AV11-AV174-AV31,0)</f>
        <v>0</v>
      </c>
      <c r="AW12" s="984">
        <f>ROUND(AW174+AW31-AW11,0)</f>
        <v>0</v>
      </c>
      <c r="AX12" s="983"/>
      <c r="AY12" s="985">
        <f>ROUND(AY11-AY174-AY31,0)</f>
        <v>0</v>
      </c>
      <c r="AZ12" s="983">
        <f>ROUND(AZ11-AZ174-AZ31,0)</f>
        <v>0</v>
      </c>
      <c r="BA12" s="983">
        <f>ROUND(BA11-BA174-BA31,0)</f>
        <v>0</v>
      </c>
      <c r="BB12" s="986">
        <f>ROUND(BB11-BB174-BB31,0)</f>
        <v>0</v>
      </c>
      <c r="BC12" s="984">
        <f>ROUND(BC174+BC31-BC11,0)</f>
        <v>0</v>
      </c>
      <c r="BD12" s="983"/>
      <c r="BE12" s="985">
        <f>ROUND(BE11-BE174-BE31,0)</f>
        <v>0</v>
      </c>
      <c r="BF12" s="983">
        <f>ROUND(BF11-BF174-BF31,0)</f>
        <v>0</v>
      </c>
      <c r="BG12" s="983">
        <f>ROUND(BG11-BG174-BG31,0)</f>
        <v>0</v>
      </c>
      <c r="BH12" s="986">
        <f>ROUND(BH11-BH174-BH31,0)</f>
        <v>0</v>
      </c>
      <c r="BI12" s="984">
        <f>ROUND(BI174+BI31-BI11,0)</f>
        <v>0</v>
      </c>
      <c r="BJ12" s="983"/>
      <c r="BK12" s="985">
        <f>ROUND(BK11-BK174-BK31,0)</f>
        <v>0</v>
      </c>
      <c r="BL12" s="983">
        <f>ROUND(BL11-BL174-BL31,0)</f>
        <v>0</v>
      </c>
      <c r="BM12" s="983">
        <f>ROUND(BM11-BM174-BM31,0)</f>
        <v>0</v>
      </c>
      <c r="BN12" s="983">
        <f>ROUND(BN11-BN174-BN31,0)</f>
        <v>0</v>
      </c>
      <c r="BO12" s="984">
        <f>ROUND(BO174+BO31-BO11,0)</f>
        <v>0</v>
      </c>
      <c r="BP12" s="983"/>
      <c r="BQ12" s="985">
        <f>ROUND(BQ11-BQ174-BQ31,0)</f>
        <v>0</v>
      </c>
      <c r="BR12" s="983">
        <f>ROUND(BR11-BR174-BR31,0)</f>
        <v>0</v>
      </c>
      <c r="BS12" s="983">
        <f>ROUND(BS11-BS174-BS31,0)</f>
        <v>0</v>
      </c>
      <c r="BT12" s="986">
        <f>ROUND(BT11-BT174-BT31,0)</f>
        <v>0</v>
      </c>
      <c r="BU12" s="984">
        <f>ROUND(BU11-BU174-BU31,0)</f>
        <v>0</v>
      </c>
      <c r="BV12" s="983"/>
      <c r="BW12" s="985">
        <f>ROUND(BW11-BW174-BW31,0)</f>
        <v>0</v>
      </c>
      <c r="BX12" s="983">
        <f>ROUND(BX11-BX174-BX31,0)</f>
        <v>0</v>
      </c>
      <c r="BY12" s="983">
        <f>ROUND(BY11-BY174-BY31,0)</f>
        <v>0</v>
      </c>
      <c r="BZ12" s="986">
        <f>ROUND(BZ11-BZ174-BZ31,0)</f>
        <v>0</v>
      </c>
      <c r="CA12" s="984">
        <f>CA174+CA31-CA11</f>
        <v>0</v>
      </c>
      <c r="CB12" s="983"/>
      <c r="CC12" s="985">
        <f>ROUND(CC11-CC174-CC31,0)</f>
        <v>0</v>
      </c>
      <c r="CD12" s="983">
        <f>ROUND(CD11-CD174-CD31,0)</f>
        <v>0</v>
      </c>
      <c r="CE12" s="983">
        <f>ROUND(CE11-CE174-CE31,0)</f>
        <v>0</v>
      </c>
      <c r="CF12" s="986">
        <f>ROUND(CF11-CF174-CF31,0)</f>
        <v>0</v>
      </c>
      <c r="CG12" s="984">
        <f>CG174+CG31-CG11</f>
        <v>0</v>
      </c>
      <c r="CH12" s="983"/>
      <c r="CI12" s="985">
        <f>ROUND(CI11-CI174-CI31,0)</f>
        <v>0</v>
      </c>
      <c r="CJ12" s="983">
        <f>ROUND(CJ11-CJ174-CJ31,0)</f>
        <v>0</v>
      </c>
      <c r="CK12" s="983">
        <f>ROUND(CK11-CK174-CK31,0)</f>
        <v>0</v>
      </c>
      <c r="CL12" s="986">
        <f>ROUND(CL11-CL174-CL31,0)</f>
        <v>0</v>
      </c>
      <c r="CM12" s="984">
        <f>CM174+CM31-CM11</f>
        <v>0</v>
      </c>
      <c r="CN12" s="983"/>
      <c r="CO12" s="985">
        <f>ROUND(CO11-CO174-CO31,0)</f>
        <v>0</v>
      </c>
      <c r="CP12" s="983">
        <f>ROUND(CP11-CP174-CP31,0)</f>
        <v>0</v>
      </c>
      <c r="CQ12" s="983">
        <f>ROUND(CQ11-CQ174-CQ31,0)</f>
        <v>0</v>
      </c>
      <c r="CR12" s="986">
        <f>ROUND(CR11-CR174-CR31,0)</f>
        <v>0</v>
      </c>
      <c r="CS12" s="984">
        <f>CS174+CS31-CS11</f>
        <v>0</v>
      </c>
      <c r="CT12" s="980"/>
      <c r="CU12" s="205"/>
      <c r="CV12" s="205"/>
      <c r="CW12" s="205"/>
      <c r="CX12" s="205"/>
      <c r="CY12" s="205"/>
      <c r="CZ12" s="205"/>
      <c r="DA12" s="205"/>
      <c r="DB12" s="205"/>
      <c r="DC12" s="205"/>
      <c r="DD12" s="205"/>
      <c r="DE12" s="205"/>
      <c r="DF12" s="205"/>
      <c r="DG12" s="86"/>
      <c r="DH12" s="86"/>
      <c r="DI12" s="86"/>
      <c r="DJ12" s="86"/>
      <c r="DK12" s="86"/>
      <c r="DL12" s="86"/>
      <c r="DM12" s="205"/>
      <c r="DN12" s="205"/>
      <c r="DO12" s="205"/>
      <c r="DP12" s="205"/>
      <c r="DQ12" s="205"/>
      <c r="DR12" s="205"/>
      <c r="DS12" s="205"/>
      <c r="DT12" s="205"/>
    </row>
    <row r="13" spans="1:124" collapsed="1">
      <c r="A13" s="976" t="s">
        <v>204</v>
      </c>
      <c r="B13" s="205"/>
      <c r="C13" s="377">
        <f>C14-C9-C11</f>
        <v>3.0632999999999981</v>
      </c>
      <c r="D13" s="376">
        <f>D14-D9-D11</f>
        <v>3.0970000000000013</v>
      </c>
      <c r="E13" s="376">
        <f>E14-E9-E11</f>
        <v>3.2209999999999965</v>
      </c>
      <c r="F13" s="376">
        <f>F14-F9-F11</f>
        <v>3.1150000000000091</v>
      </c>
      <c r="G13" s="379">
        <f>G14-G9-G11</f>
        <v>12.496300000000019</v>
      </c>
      <c r="H13" s="376"/>
      <c r="I13" s="377">
        <f>I14-I9-I11</f>
        <v>3.3204900000000066</v>
      </c>
      <c r="J13" s="376">
        <f>J14-J9-J11</f>
        <v>3.6519999999999868</v>
      </c>
      <c r="K13" s="376">
        <f>K14-K9-K11</f>
        <v>3.3189999999999884</v>
      </c>
      <c r="L13" s="979">
        <f>L14-L9-L11</f>
        <v>2.6985100000000273</v>
      </c>
      <c r="M13" s="379">
        <f>M14-M9-M11</f>
        <v>12.990000000000009</v>
      </c>
      <c r="N13" s="376"/>
      <c r="O13" s="377">
        <f>O14-O9-O11</f>
        <v>2.6990000000000123</v>
      </c>
      <c r="P13" s="376">
        <f>P14-P9-P11</f>
        <v>2.9040000000000106</v>
      </c>
      <c r="Q13" s="376">
        <f>Q14-Q9-Q11</f>
        <v>2.6060000000000088</v>
      </c>
      <c r="R13" s="979">
        <f>R14-R9-R11</f>
        <v>2.0309999999999491</v>
      </c>
      <c r="S13" s="379">
        <f>S14-S9-S11</f>
        <v>10.240000000000009</v>
      </c>
      <c r="T13" s="376"/>
      <c r="U13" s="377">
        <f>U14-U9-U11</f>
        <v>2.4789999999999992</v>
      </c>
      <c r="V13" s="376">
        <f>V14-V9-V11</f>
        <v>2.9380000000000024</v>
      </c>
      <c r="W13" s="376">
        <f>W14-W9-W11</f>
        <v>3.867999999999995</v>
      </c>
      <c r="X13" s="376">
        <f>X14-X9-X11</f>
        <v>3.6249999999999716</v>
      </c>
      <c r="Y13" s="379">
        <f>Y14-Y9-Y11</f>
        <v>12.909999999999968</v>
      </c>
      <c r="Z13" s="376"/>
      <c r="AA13" s="377">
        <f>AA14-AA9-AA11</f>
        <v>4.3169999999999789</v>
      </c>
      <c r="AB13" s="376">
        <f>AB14-AB9-AB11</f>
        <v>4.1709999999999923</v>
      </c>
      <c r="AC13" s="376">
        <f>AC14-AC9-AC11</f>
        <v>3.5959999999999752</v>
      </c>
      <c r="AD13" s="979">
        <f>AD14-AD9-AD11</f>
        <v>6.2959999999999923</v>
      </c>
      <c r="AE13" s="379">
        <f>AE14-AE9-AE11</f>
        <v>18.379999999999995</v>
      </c>
      <c r="AF13" s="376"/>
      <c r="AG13" s="377">
        <f>AG14-AG9-AG11</f>
        <v>3.1359999999999957</v>
      </c>
      <c r="AH13" s="376">
        <f>AH14-AH9-AH11</f>
        <v>2.9390000000000214</v>
      </c>
      <c r="AI13" s="376">
        <f>AI14-AI9-AI11</f>
        <v>3.3180000000000121</v>
      </c>
      <c r="AJ13" s="376">
        <f>AJ14-AJ9-AJ11</f>
        <v>3.0000000000000568</v>
      </c>
      <c r="AK13" s="379">
        <f>SUM(AG13:AJ13)</f>
        <v>12.393000000000086</v>
      </c>
      <c r="AL13" s="376"/>
      <c r="AM13" s="377">
        <f>AM14-AM9-AM11</f>
        <v>3.1700000000000159</v>
      </c>
      <c r="AN13" s="376">
        <f>AN14-AN9-AN11</f>
        <v>3.296999999999997</v>
      </c>
      <c r="AO13" s="376">
        <f>AO203</f>
        <v>3</v>
      </c>
      <c r="AP13" s="979">
        <f>AP14-AP9-AP11</f>
        <v>3.3860000000000241</v>
      </c>
      <c r="AQ13" s="379">
        <f>SUM(AM13:AP13)</f>
        <v>12.853000000000037</v>
      </c>
      <c r="AR13" s="376"/>
      <c r="AS13" s="102">
        <f>AS14-AS9-AS11</f>
        <v>3.9110000000000014</v>
      </c>
      <c r="AT13" s="376">
        <f>AT14-AT9-AT11</f>
        <v>3.9080000000000155</v>
      </c>
      <c r="AU13" s="376">
        <f>AU14-AU9-AU11</f>
        <v>5.1630000000000109</v>
      </c>
      <c r="AV13" s="15">
        <f>AV14-AV9-AV11</f>
        <v>4.3290000000000077</v>
      </c>
      <c r="AW13" s="326">
        <f>SUM(AS13:AV13)</f>
        <v>17.311000000000035</v>
      </c>
      <c r="AX13" s="15"/>
      <c r="AY13" s="102">
        <f>AY14-AY9-AY11</f>
        <v>4.1270000000000095</v>
      </c>
      <c r="AZ13" s="15">
        <f>AZ14-AZ9-AZ11</f>
        <v>4.7599999999999909</v>
      </c>
      <c r="BA13" s="15">
        <f>BA14-BA9-BA11</f>
        <v>4.7940000000000396</v>
      </c>
      <c r="BB13" s="15">
        <f>BB14-BB9-BB11</f>
        <v>3.9220000000000255</v>
      </c>
      <c r="BC13" s="326">
        <f>SUM(AY13:BB13)</f>
        <v>17.603000000000065</v>
      </c>
      <c r="BD13" s="15"/>
      <c r="BE13" s="102">
        <f>BE14-BE9-BE11</f>
        <v>3.75</v>
      </c>
      <c r="BF13" s="15">
        <f>BF14-BF9-BF11</f>
        <v>4.9436940000000504</v>
      </c>
      <c r="BG13" s="15">
        <f>BG14-BG9-BG11</f>
        <v>5.7440000000000282</v>
      </c>
      <c r="BH13" s="15">
        <f>BH14-BH9-BH11</f>
        <v>4.5810000000000173</v>
      </c>
      <c r="BI13" s="326">
        <f>SUM(BE13:BH13)</f>
        <v>19.018694000000096</v>
      </c>
      <c r="BJ13" s="15"/>
      <c r="BK13" s="102">
        <f>BK14-BK9-BK11</f>
        <v>4</v>
      </c>
      <c r="BL13" s="15">
        <f>BL14-BL9-BL11</f>
        <v>5.3999999999999773</v>
      </c>
      <c r="BM13" s="15">
        <f>BM14-BM9-BM11</f>
        <v>5</v>
      </c>
      <c r="BN13" s="15">
        <f>BN14-BN9-BN11</f>
        <v>5.7000000000000455</v>
      </c>
      <c r="BO13" s="326">
        <f>SUM(BK13:BN13)</f>
        <v>20.100000000000023</v>
      </c>
      <c r="BP13" s="15"/>
      <c r="BQ13" s="102">
        <f>BQ14-BQ9-BQ11</f>
        <v>6</v>
      </c>
      <c r="BR13" s="15">
        <f>BR203</f>
        <v>5</v>
      </c>
      <c r="BS13" s="15">
        <f>BS203</f>
        <v>5</v>
      </c>
      <c r="BT13" s="103">
        <f>BT203</f>
        <v>5</v>
      </c>
      <c r="BU13" s="326">
        <f>SUM(BQ13:BT13)</f>
        <v>21</v>
      </c>
      <c r="BV13" s="15"/>
      <c r="BW13" s="102">
        <f>BW203</f>
        <v>5</v>
      </c>
      <c r="BX13" s="15">
        <f>BX203</f>
        <v>5</v>
      </c>
      <c r="BY13" s="15">
        <f>BY203</f>
        <v>5</v>
      </c>
      <c r="BZ13" s="103">
        <f>BZ203</f>
        <v>5</v>
      </c>
      <c r="CA13" s="326">
        <f>SUM(BW13:BZ13)</f>
        <v>20</v>
      </c>
      <c r="CB13" s="15"/>
      <c r="CC13" s="102">
        <f>CC203</f>
        <v>5</v>
      </c>
      <c r="CD13" s="15">
        <f>CD203</f>
        <v>5</v>
      </c>
      <c r="CE13" s="15">
        <f>CE203</f>
        <v>5</v>
      </c>
      <c r="CF13" s="103">
        <f>CF203</f>
        <v>5</v>
      </c>
      <c r="CG13" s="326">
        <f>SUM(CC13:CF13)</f>
        <v>20</v>
      </c>
      <c r="CH13" s="15"/>
      <c r="CI13" s="102">
        <f>CI203</f>
        <v>5</v>
      </c>
      <c r="CJ13" s="15">
        <f>CJ203</f>
        <v>5</v>
      </c>
      <c r="CK13" s="15">
        <f>CK203</f>
        <v>5</v>
      </c>
      <c r="CL13" s="103">
        <f>CL203</f>
        <v>5</v>
      </c>
      <c r="CM13" s="326">
        <f>SUM(CI13:CL13)</f>
        <v>20</v>
      </c>
      <c r="CN13" s="15"/>
      <c r="CO13" s="102">
        <f>CO203</f>
        <v>5</v>
      </c>
      <c r="CP13" s="15">
        <f>CP203</f>
        <v>5</v>
      </c>
      <c r="CQ13" s="15">
        <f>CQ203</f>
        <v>5</v>
      </c>
      <c r="CR13" s="103">
        <f>CR203</f>
        <v>5</v>
      </c>
      <c r="CS13" s="326">
        <f>SUM(CO13:CR13)</f>
        <v>20</v>
      </c>
      <c r="CT13" s="980"/>
      <c r="CU13" s="205"/>
      <c r="CV13" s="205"/>
      <c r="CW13" s="205"/>
      <c r="CX13" s="205"/>
      <c r="CY13" s="952"/>
      <c r="CZ13" s="205"/>
      <c r="DA13" s="205"/>
      <c r="DB13" s="205"/>
      <c r="DC13" s="205"/>
      <c r="DD13" s="205"/>
      <c r="DE13" s="205"/>
      <c r="DF13" s="205"/>
      <c r="DG13" s="9"/>
      <c r="DH13" s="205"/>
      <c r="DI13" s="205"/>
      <c r="DJ13" s="205"/>
      <c r="DK13" s="205"/>
      <c r="DL13" s="205"/>
      <c r="DM13" s="205"/>
      <c r="DN13" s="205"/>
      <c r="DO13" s="205"/>
      <c r="DP13" s="205"/>
      <c r="DQ13" s="205"/>
      <c r="DR13" s="205"/>
      <c r="DS13" s="205"/>
      <c r="DT13" s="205"/>
    </row>
    <row r="14" spans="1:124">
      <c r="A14" s="1627" t="s">
        <v>211</v>
      </c>
      <c r="B14" s="9"/>
      <c r="C14" s="102">
        <f>IS!C10</f>
        <v>61.265999999999998</v>
      </c>
      <c r="D14" s="15">
        <f>IS!D10</f>
        <v>74.296999999999997</v>
      </c>
      <c r="E14" s="15">
        <f>IS!E10</f>
        <v>90.021000000000001</v>
      </c>
      <c r="F14" s="15">
        <f>IS!F10</f>
        <v>101.11500000000001</v>
      </c>
      <c r="G14" s="326">
        <f>IS!G10</f>
        <v>326.69900000000001</v>
      </c>
      <c r="H14" s="15"/>
      <c r="I14" s="102">
        <f>IS!I10</f>
        <v>110.68300000000001</v>
      </c>
      <c r="J14" s="15">
        <f>IS!J10</f>
        <v>128.55199999999999</v>
      </c>
      <c r="K14" s="15">
        <f>IS!K10</f>
        <v>140.31899999999999</v>
      </c>
      <c r="L14" s="103">
        <f>IS!L10</f>
        <v>152.83600000000001</v>
      </c>
      <c r="M14" s="326">
        <f>IS!M10</f>
        <v>532.39</v>
      </c>
      <c r="N14" s="15"/>
      <c r="O14" s="102">
        <f>IS!O10</f>
        <v>156.19900000000001</v>
      </c>
      <c r="P14" s="15">
        <f>IS!P10</f>
        <v>153.20400000000001</v>
      </c>
      <c r="Q14" s="15">
        <f>IS!Q10</f>
        <v>150.30600000000001</v>
      </c>
      <c r="R14" s="103">
        <f>IS!R10</f>
        <v>167.53099999999995</v>
      </c>
      <c r="S14" s="326">
        <f>IS!S10</f>
        <v>627.24</v>
      </c>
      <c r="T14" s="15"/>
      <c r="U14" s="102">
        <f>IS!U10</f>
        <v>173.679</v>
      </c>
      <c r="V14" s="15">
        <f>IS!V10</f>
        <v>198.53800000000001</v>
      </c>
      <c r="W14" s="15">
        <f>IS!W10</f>
        <v>224.66800000000001</v>
      </c>
      <c r="X14" s="15">
        <f>IS!X10</f>
        <v>245.625</v>
      </c>
      <c r="Y14" s="326">
        <f>IS!Y10</f>
        <v>842.51</v>
      </c>
      <c r="Z14" s="15"/>
      <c r="AA14" s="102">
        <f>IS!AA10</f>
        <v>266.71699999999998</v>
      </c>
      <c r="AB14" s="15">
        <f>IS!AB10</f>
        <v>269.87099999999998</v>
      </c>
      <c r="AC14" s="15">
        <f>IS!AC10</f>
        <v>220.29599999999999</v>
      </c>
      <c r="AD14" s="103">
        <f>IS!AD10</f>
        <v>230.39599999999996</v>
      </c>
      <c r="AE14" s="326">
        <f>IS!AE10</f>
        <v>987.28</v>
      </c>
      <c r="AF14" s="132"/>
      <c r="AG14" s="102">
        <f>IS!AG10</f>
        <v>255.636</v>
      </c>
      <c r="AH14" s="15">
        <f>IS!AH10</f>
        <v>258.839</v>
      </c>
      <c r="AI14" s="15">
        <f>IS!AI10</f>
        <v>262.41800000000001</v>
      </c>
      <c r="AJ14" s="15">
        <f>IS!AJ10</f>
        <v>278.93299999999999</v>
      </c>
      <c r="AK14" s="326">
        <f>AK11+AK9+AK13</f>
        <v>1055.826</v>
      </c>
      <c r="AL14" s="15"/>
      <c r="AM14" s="102">
        <f>IS!AM10</f>
        <v>296.17</v>
      </c>
      <c r="AN14" s="15">
        <f>IS!AN10</f>
        <v>313.49700000000001</v>
      </c>
      <c r="AO14" s="15">
        <f>IS!AO10</f>
        <v>318.60300000000001</v>
      </c>
      <c r="AP14" s="103">
        <f>IS!AP10</f>
        <v>336.38600000000002</v>
      </c>
      <c r="AQ14" s="326">
        <f>AQ11+AQ9+AQ13</f>
        <v>1264.6560000000002</v>
      </c>
      <c r="AR14" s="15"/>
      <c r="AS14" s="102">
        <f>IS!AS10</f>
        <v>362.21100000000001</v>
      </c>
      <c r="AT14" s="15">
        <f>IS!AT10</f>
        <v>390.80799999999999</v>
      </c>
      <c r="AU14" s="15">
        <f>IS!AU10</f>
        <v>416.16300000000001</v>
      </c>
      <c r="AV14" s="15">
        <v>450.32900000000001</v>
      </c>
      <c r="AW14" s="326">
        <f>AW11+AW9+AW13</f>
        <v>1619.511</v>
      </c>
      <c r="AX14" s="15"/>
      <c r="AY14" s="102">
        <f>IS!AY10</f>
        <v>459.12700000000001</v>
      </c>
      <c r="AZ14" s="15">
        <f>IS!AZ10</f>
        <v>462.76</v>
      </c>
      <c r="BA14" s="15">
        <f>IS!BA10</f>
        <v>470.82400000000001</v>
      </c>
      <c r="BB14" s="15">
        <f>IS!BB10</f>
        <v>497.92200000000003</v>
      </c>
      <c r="BC14" s="326">
        <f>BC11+BC9+BC13</f>
        <v>1890.633</v>
      </c>
      <c r="BD14" s="15"/>
      <c r="BE14" s="102">
        <f>IS!BE10</f>
        <v>482.75</v>
      </c>
      <c r="BF14" s="15">
        <f>IS!BF10</f>
        <v>509.92200000000003</v>
      </c>
      <c r="BG14" s="15">
        <f>IS!BG10</f>
        <v>513.74400000000003</v>
      </c>
      <c r="BH14" s="15">
        <f>IS!BH10</f>
        <v>525.58100000000002</v>
      </c>
      <c r="BI14" s="326">
        <f>BI11+BI9+BI13</f>
        <v>2031.9970000000001</v>
      </c>
      <c r="BJ14" s="15"/>
      <c r="BK14" s="102">
        <f>IS!BK10</f>
        <v>491</v>
      </c>
      <c r="BL14" s="15">
        <f>IS!BL10</f>
        <v>543.4</v>
      </c>
      <c r="BM14" s="15">
        <f>IS!BM10</f>
        <v>596</v>
      </c>
      <c r="BN14" s="15">
        <f>IS!BN10</f>
        <v>658.7</v>
      </c>
      <c r="BO14" s="326">
        <f>BO11+BO9+BO13</f>
        <v>2289.1</v>
      </c>
      <c r="BP14" s="15"/>
      <c r="BQ14" s="102">
        <f>IS!BQ10</f>
        <v>628</v>
      </c>
      <c r="BR14" s="15">
        <f>BR11+BR9+BR13</f>
        <v>637.69216979006501</v>
      </c>
      <c r="BS14" s="15">
        <f>BS11+BS9+BS13</f>
        <v>652.1766484806891</v>
      </c>
      <c r="BT14" s="15">
        <f>BT11+BT9+BT13</f>
        <v>675.70812717131321</v>
      </c>
      <c r="BU14" s="326">
        <f>BU11+BU9+BU13</f>
        <v>2593.576945442067</v>
      </c>
      <c r="BV14" s="15"/>
      <c r="BW14" s="102">
        <f>BW11+BW9+BW13</f>
        <v>674.26927334853599</v>
      </c>
      <c r="BX14" s="15">
        <f>BX11+BX9+BX13</f>
        <v>673.22466952575849</v>
      </c>
      <c r="BY14" s="15">
        <f>BY11+BY9+BY13</f>
        <v>684.80506570298098</v>
      </c>
      <c r="BZ14" s="15">
        <f>BZ11+BZ9+BZ13</f>
        <v>706.55346188020371</v>
      </c>
      <c r="CA14" s="326">
        <f>CA11+CA9+CA13</f>
        <v>2738.8524704574793</v>
      </c>
      <c r="CB14" s="15"/>
      <c r="CC14" s="102">
        <f>CC11+CC9+CC13</f>
        <v>713.82960805742619</v>
      </c>
      <c r="CD14" s="15">
        <f>CD11+CD9+CD13</f>
        <v>713.58700423464882</v>
      </c>
      <c r="CE14" s="15">
        <f>CE11+CE9+CE13</f>
        <v>726.52315041187137</v>
      </c>
      <c r="CF14" s="15">
        <f>CF11+CF9+CF13</f>
        <v>750.058196589094</v>
      </c>
      <c r="CG14" s="326">
        <f>CG11+CG9+CG13</f>
        <v>2903.9979592930404</v>
      </c>
      <c r="CH14" s="15"/>
      <c r="CI14" s="102">
        <f>CI11+CI9+CI13</f>
        <v>764.51994304075265</v>
      </c>
      <c r="CJ14" s="15">
        <f>CJ11+CJ9+CJ13</f>
        <v>764.21668949241132</v>
      </c>
      <c r="CK14" s="15">
        <f>CK11+CK9+CK13</f>
        <v>777.90676323260379</v>
      </c>
      <c r="CL14" s="15">
        <f>CL11+CL9+CL13</f>
        <v>804.94989189948797</v>
      </c>
      <c r="CM14" s="326">
        <f>CM11+CM9+CM13</f>
        <v>3111.593287665256</v>
      </c>
      <c r="CN14" s="15"/>
      <c r="CO14" s="102">
        <f>CO11+CO9+CO13</f>
        <v>825.09589702783842</v>
      </c>
      <c r="CP14" s="15">
        <f>CP11+CP9+CP13</f>
        <v>830.20146465618905</v>
      </c>
      <c r="CQ14" s="15">
        <f>CQ11+CQ9+CQ13</f>
        <v>848.91035415953911</v>
      </c>
      <c r="CR14" s="15">
        <f>CR11+CR9+CR13</f>
        <v>879.12828091288975</v>
      </c>
      <c r="CS14" s="326">
        <f>CS11+CS9+CS13</f>
        <v>3383.3359967564556</v>
      </c>
      <c r="CT14" s="2362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</row>
    <row r="15" spans="1:124" ht="11.25" customHeight="1">
      <c r="A15" s="1627" t="s">
        <v>212</v>
      </c>
      <c r="B15" s="9"/>
      <c r="C15" s="102">
        <f>IS!C11</f>
        <v>10.884</v>
      </c>
      <c r="D15" s="15">
        <f>IS!D11</f>
        <v>10.238</v>
      </c>
      <c r="E15" s="15">
        <f>IS!E11</f>
        <v>7.4889999999999999</v>
      </c>
      <c r="F15" s="15">
        <f>IS!F11</f>
        <v>11.489000000000001</v>
      </c>
      <c r="G15" s="326">
        <f>IS!G11</f>
        <v>40.1</v>
      </c>
      <c r="H15" s="15"/>
      <c r="I15" s="102">
        <f>IS!I11</f>
        <v>11.178000000000001</v>
      </c>
      <c r="J15" s="15">
        <f>IS!J11</f>
        <v>11.625</v>
      </c>
      <c r="K15" s="15">
        <f>IS!K11</f>
        <v>9.9410000000000007</v>
      </c>
      <c r="L15" s="103">
        <f>IS!L11</f>
        <v>8.0910000000000011</v>
      </c>
      <c r="M15" s="326">
        <f>IS!M11</f>
        <v>40.835000000000001</v>
      </c>
      <c r="N15" s="15"/>
      <c r="O15" s="102">
        <f>IS!O11</f>
        <v>9.5579999999999998</v>
      </c>
      <c r="P15" s="15">
        <f>IS!P11</f>
        <v>8.4390000000000001</v>
      </c>
      <c r="Q15" s="15">
        <f>IS!Q11</f>
        <v>8.0540000000000003</v>
      </c>
      <c r="R15" s="103">
        <f>IS!R11</f>
        <v>13.033000000000001</v>
      </c>
      <c r="S15" s="326">
        <f>IS!S11</f>
        <v>39.084000000000003</v>
      </c>
      <c r="T15" s="15"/>
      <c r="U15" s="102">
        <f>IS!U11</f>
        <v>18.452000000000002</v>
      </c>
      <c r="V15" s="15">
        <f>IS!V11</f>
        <v>13.465</v>
      </c>
      <c r="W15" s="15">
        <f>IS!W11</f>
        <v>12.641</v>
      </c>
      <c r="X15" s="15">
        <f>IS!X11</f>
        <v>15.673000000000002</v>
      </c>
      <c r="Y15" s="326">
        <f>IS!Y11</f>
        <v>60.231000000000002</v>
      </c>
      <c r="Z15" s="15"/>
      <c r="AA15" s="102">
        <f>IS!AA11</f>
        <v>15.798</v>
      </c>
      <c r="AB15" s="15">
        <f>IS!AB11</f>
        <v>17.579000000000001</v>
      </c>
      <c r="AC15" s="15">
        <f>IS!AC11</f>
        <v>15.202999999999999</v>
      </c>
      <c r="AD15" s="103">
        <f>IS!AD11</f>
        <v>19.674999999999997</v>
      </c>
      <c r="AE15" s="326">
        <f>IS!AE11</f>
        <v>68.254999999999995</v>
      </c>
      <c r="AF15" s="132"/>
      <c r="AG15" s="102">
        <f>IS!AG11</f>
        <v>17.134</v>
      </c>
      <c r="AH15" s="15">
        <f>IS!AH11</f>
        <v>21.768000000000001</v>
      </c>
      <c r="AI15" s="15">
        <f>IS!AI11</f>
        <v>23.456</v>
      </c>
      <c r="AJ15" s="15">
        <f>IS!AJ11</f>
        <v>30.332000000000001</v>
      </c>
      <c r="AK15" s="326">
        <f>SUM(AG15:AJ15)</f>
        <v>92.69</v>
      </c>
      <c r="AL15" s="15"/>
      <c r="AM15" s="1628">
        <f>IS!AM11</f>
        <v>34.787999999999997</v>
      </c>
      <c r="AN15" s="15">
        <f>IS!AN11</f>
        <v>32.597000000000001</v>
      </c>
      <c r="AO15" s="15">
        <f>IS!AO11</f>
        <v>38.197000000000003</v>
      </c>
      <c r="AP15" s="103">
        <f>IS!AP11</f>
        <v>50.94</v>
      </c>
      <c r="AQ15" s="326">
        <f>SUM(AM15:AP15)</f>
        <v>156.52199999999999</v>
      </c>
      <c r="AR15" s="15"/>
      <c r="AS15" s="1628">
        <f>IS!AS11</f>
        <v>58.57</v>
      </c>
      <c r="AT15" s="15">
        <f>IS!AT11</f>
        <v>56.76</v>
      </c>
      <c r="AU15" s="15">
        <f>IS!AU11</f>
        <v>64.466999999999999</v>
      </c>
      <c r="AV15" s="15">
        <v>62.05</v>
      </c>
      <c r="AW15" s="326">
        <f>SUM(AS15:AV15)</f>
        <v>241.84699999999998</v>
      </c>
      <c r="AX15" s="15"/>
      <c r="AY15" s="1628">
        <f>IS!AY11</f>
        <v>79.438000000000002</v>
      </c>
      <c r="AZ15" s="15">
        <f>AZ207</f>
        <v>76.572670000000002</v>
      </c>
      <c r="BA15" s="15">
        <f>BA207</f>
        <v>78.664000000000001</v>
      </c>
      <c r="BB15" s="15">
        <f>BB207</f>
        <v>93.626000000000005</v>
      </c>
      <c r="BC15" s="326">
        <f>SUM(AY15:BB15)</f>
        <v>328.30066999999997</v>
      </c>
      <c r="BD15" s="15"/>
      <c r="BE15" s="1628">
        <f>IS!BE11</f>
        <v>89.013000000000005</v>
      </c>
      <c r="BF15" s="15">
        <f>BF207</f>
        <v>90.153222541158499</v>
      </c>
      <c r="BG15" s="15">
        <f>BG207</f>
        <v>92.88898757678227</v>
      </c>
      <c r="BH15" s="15">
        <f>BH207</f>
        <v>93.725220349592192</v>
      </c>
      <c r="BI15" s="326">
        <f>SUM(BE15:BH15)</f>
        <v>365.78043046753294</v>
      </c>
      <c r="BJ15" s="15"/>
      <c r="BK15" s="102">
        <f>IS!BK11</f>
        <v>107</v>
      </c>
      <c r="BL15" s="15">
        <f>IS!BL11</f>
        <v>119</v>
      </c>
      <c r="BM15" s="15">
        <f>BM207</f>
        <v>118.10421799218751</v>
      </c>
      <c r="BN15" s="15">
        <f>BN207</f>
        <v>118.83614416875002</v>
      </c>
      <c r="BO15" s="326">
        <f>SUM(BK15:BN15)</f>
        <v>462.94036216093753</v>
      </c>
      <c r="BP15" s="15"/>
      <c r="BQ15" s="102">
        <f>IS!BQ11</f>
        <v>154</v>
      </c>
      <c r="BR15" s="15">
        <f>BR207</f>
        <v>152.74</v>
      </c>
      <c r="BS15" s="15">
        <f>BS207</f>
        <v>153.5</v>
      </c>
      <c r="BT15" s="15">
        <f>BT207</f>
        <v>164.61</v>
      </c>
      <c r="BU15" s="326">
        <f>SUM(BQ15:BT15)</f>
        <v>624.85</v>
      </c>
      <c r="BV15" s="15"/>
      <c r="BW15" s="102">
        <f>BW207</f>
        <v>198.39384615384614</v>
      </c>
      <c r="BX15" s="15">
        <f>BX207</f>
        <v>196.99906153846155</v>
      </c>
      <c r="BY15" s="15">
        <f>BY207</f>
        <v>197.26369230769234</v>
      </c>
      <c r="BZ15" s="15">
        <f>BZ207</f>
        <v>211.27451538461537</v>
      </c>
      <c r="CA15" s="326">
        <f>SUM(BW15:BZ15)</f>
        <v>803.9311153846154</v>
      </c>
      <c r="CB15" s="15"/>
      <c r="CC15" s="102">
        <f>CC207</f>
        <v>247.4547029585799</v>
      </c>
      <c r="CD15" s="15">
        <f>CD207</f>
        <v>245.86587912426035</v>
      </c>
      <c r="CE15" s="15">
        <f>CE207</f>
        <v>245.7240705325444</v>
      </c>
      <c r="CF15" s="15">
        <f>CF207</f>
        <v>263.00025170414204</v>
      </c>
      <c r="CG15" s="326">
        <f>SUM(CC15:CF15)</f>
        <v>1002.0449043195267</v>
      </c>
      <c r="CH15" s="15"/>
      <c r="CI15" s="102">
        <f>CI207</f>
        <v>297.05479332180249</v>
      </c>
      <c r="CJ15" s="15">
        <f>CJ207</f>
        <v>295.1458625484388</v>
      </c>
      <c r="CK15" s="15">
        <f>CK207</f>
        <v>294.98076315484752</v>
      </c>
      <c r="CL15" s="15">
        <f>CL207</f>
        <v>315.72196993089671</v>
      </c>
      <c r="CM15" s="326">
        <f>SUM(CI15:CL15)</f>
        <v>1202.9033889559855</v>
      </c>
      <c r="CN15" s="15"/>
      <c r="CO15" s="102">
        <f>CO207</f>
        <v>342.22578774011561</v>
      </c>
      <c r="CP15" s="15">
        <f>CP207</f>
        <v>339.79409971152558</v>
      </c>
      <c r="CQ15" s="15">
        <f>CQ207</f>
        <v>340.33099243361846</v>
      </c>
      <c r="CR15" s="15">
        <f>CR207</f>
        <v>364.53338327156007</v>
      </c>
      <c r="CS15" s="326">
        <f>SUM(CO15:CR15)</f>
        <v>1386.8842631568195</v>
      </c>
      <c r="CT15" s="1400"/>
      <c r="CU15" s="9"/>
      <c r="CV15" s="2344"/>
      <c r="CW15" s="2344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2011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</row>
    <row r="16" spans="1:124">
      <c r="A16" s="1778" t="s">
        <v>173</v>
      </c>
      <c r="B16" s="1779"/>
      <c r="C16" s="1780">
        <f>SUM(C14:C15)</f>
        <v>72.150000000000006</v>
      </c>
      <c r="D16" s="1781">
        <f>SUM(D14:D15)</f>
        <v>84.534999999999997</v>
      </c>
      <c r="E16" s="1781">
        <f>SUM(E14:E15)</f>
        <v>97.51</v>
      </c>
      <c r="F16" s="1781">
        <f>SUM(F14:F15)</f>
        <v>112.60400000000001</v>
      </c>
      <c r="G16" s="1782">
        <f>SUM(G14:G15)</f>
        <v>366.79900000000004</v>
      </c>
      <c r="H16" s="1783"/>
      <c r="I16" s="1780">
        <f>SUM(I14:I15)</f>
        <v>121.861</v>
      </c>
      <c r="J16" s="1781">
        <f>SUM(J14:J15)</f>
        <v>140.17699999999999</v>
      </c>
      <c r="K16" s="1781">
        <f>SUM(K14:K15)</f>
        <v>150.26</v>
      </c>
      <c r="L16" s="1784">
        <f>SUM(L14:L15)</f>
        <v>160.92700000000002</v>
      </c>
      <c r="M16" s="1782">
        <f>SUM(M14:M15)</f>
        <v>573.22500000000002</v>
      </c>
      <c r="N16" s="1783"/>
      <c r="O16" s="1780">
        <f>SUM(O14:O15)</f>
        <v>165.75700000000001</v>
      </c>
      <c r="P16" s="1781">
        <f>SUM(P14:P15)</f>
        <v>161.643</v>
      </c>
      <c r="Q16" s="1781">
        <f>SUM(Q14:Q15)</f>
        <v>158.36000000000001</v>
      </c>
      <c r="R16" s="1784">
        <f>SUM(R14:R15)</f>
        <v>180.56399999999996</v>
      </c>
      <c r="S16" s="1782">
        <f>SUM(S14:S15)</f>
        <v>666.32400000000007</v>
      </c>
      <c r="T16" s="1783"/>
      <c r="U16" s="1780">
        <f>SUM(U14:U15)</f>
        <v>192.131</v>
      </c>
      <c r="V16" s="1781">
        <f>SUM(V14:V15)</f>
        <v>212.00300000000001</v>
      </c>
      <c r="W16" s="1781">
        <f>SUM(W14:W15)</f>
        <v>237.309</v>
      </c>
      <c r="X16" s="1781">
        <f>SUM(X14:X15)</f>
        <v>261.298</v>
      </c>
      <c r="Y16" s="1782">
        <f>SUM(Y14:Y15)</f>
        <v>902.74099999999999</v>
      </c>
      <c r="Z16" s="1783"/>
      <c r="AA16" s="1780">
        <f>SUM(AA14:AA15)</f>
        <v>282.51499999999999</v>
      </c>
      <c r="AB16" s="1781">
        <f>SUM(AB14:AB15)</f>
        <v>287.45</v>
      </c>
      <c r="AC16" s="1781">
        <f>SUM(AC14:AC15)</f>
        <v>235.499</v>
      </c>
      <c r="AD16" s="1784">
        <f>SUM(AD14:AD15)</f>
        <v>250.07099999999997</v>
      </c>
      <c r="AE16" s="1782">
        <f>SUM(AE14:AE15)</f>
        <v>1055.5349999999999</v>
      </c>
      <c r="AF16" s="1783"/>
      <c r="AG16" s="1780">
        <f>SUM(AG14:AG15)</f>
        <v>272.77</v>
      </c>
      <c r="AH16" s="1781">
        <f>SUM(AH14:AH15)</f>
        <v>280.60699999999997</v>
      </c>
      <c r="AI16" s="1781">
        <f>SUM(AI14:AI15)</f>
        <v>285.87400000000002</v>
      </c>
      <c r="AJ16" s="1781">
        <f>AJ15+AJ14</f>
        <v>309.26499999999999</v>
      </c>
      <c r="AK16" s="1782">
        <f>AK15+AK14</f>
        <v>1148.5160000000001</v>
      </c>
      <c r="AL16" s="1783"/>
      <c r="AM16" s="1780">
        <f>AM15+AM14</f>
        <v>330.95800000000003</v>
      </c>
      <c r="AN16" s="1781">
        <f>AN15+AN14</f>
        <v>346.09399999999999</v>
      </c>
      <c r="AO16" s="1781">
        <f>AO15+AO14</f>
        <v>356.8</v>
      </c>
      <c r="AP16" s="1784">
        <f>AP15+AP14</f>
        <v>387.32600000000002</v>
      </c>
      <c r="AQ16" s="1782">
        <f>AQ15+AQ14</f>
        <v>1421.1780000000001</v>
      </c>
      <c r="AR16" s="1783"/>
      <c r="AS16" s="1785">
        <f>AS15+AS14</f>
        <v>420.78100000000001</v>
      </c>
      <c r="AT16" s="1781">
        <f>AT15+AT14</f>
        <v>447.56799999999998</v>
      </c>
      <c r="AU16" s="1781">
        <f>AU15+AU14</f>
        <v>480.63</v>
      </c>
      <c r="AV16" s="1786">
        <f>AV15+AV14</f>
        <v>512.37900000000002</v>
      </c>
      <c r="AW16" s="1787">
        <f>AW15+AW14</f>
        <v>1861.3579999999999</v>
      </c>
      <c r="AX16" s="1788"/>
      <c r="AY16" s="1785">
        <f>AY15+AY14</f>
        <v>538.56500000000005</v>
      </c>
      <c r="AZ16" s="1786">
        <f>AZ15+AZ14</f>
        <v>539.33267000000001</v>
      </c>
      <c r="BA16" s="1786">
        <f>BA15+BA14</f>
        <v>549.48800000000006</v>
      </c>
      <c r="BB16" s="1789">
        <f>BB15+BB14</f>
        <v>591.548</v>
      </c>
      <c r="BC16" s="1787">
        <f>BC15+BC14</f>
        <v>2218.9336699999999</v>
      </c>
      <c r="BD16" s="1788"/>
      <c r="BE16" s="1785">
        <f>BE15+BE14</f>
        <v>571.76300000000003</v>
      </c>
      <c r="BF16" s="1786">
        <f>BF15+BF14</f>
        <v>600.0752225411585</v>
      </c>
      <c r="BG16" s="1786">
        <f>BG15+BG14</f>
        <v>606.63298757678228</v>
      </c>
      <c r="BH16" s="1789">
        <f>BH15+BH14</f>
        <v>619.30622034959219</v>
      </c>
      <c r="BI16" s="1787">
        <f>BI15+BI14</f>
        <v>2397.7774304675331</v>
      </c>
      <c r="BJ16" s="1788"/>
      <c r="BK16" s="1785">
        <f>BK15+BK14</f>
        <v>598</v>
      </c>
      <c r="BL16" s="1786">
        <f>BL15+BL14</f>
        <v>662.4</v>
      </c>
      <c r="BM16" s="1786">
        <f>BM15+BM14</f>
        <v>714.1042179921875</v>
      </c>
      <c r="BN16" s="1786">
        <f>BN15+BN14</f>
        <v>777.53614416875007</v>
      </c>
      <c r="BO16" s="1787">
        <f>BO15+BO14</f>
        <v>2752.0403621609375</v>
      </c>
      <c r="BP16" s="1788"/>
      <c r="BQ16" s="1785">
        <f>BQ15+BQ14</f>
        <v>782</v>
      </c>
      <c r="BR16" s="1786">
        <f>BR15+BR14</f>
        <v>790.43216979006502</v>
      </c>
      <c r="BS16" s="1786">
        <f>BS15+BS14</f>
        <v>805.6766484806891</v>
      </c>
      <c r="BT16" s="1786">
        <f>BT15+BT14</f>
        <v>840.31812717131322</v>
      </c>
      <c r="BU16" s="1787">
        <f>BU15+BU14</f>
        <v>3218.4269454420669</v>
      </c>
      <c r="BV16" s="1788"/>
      <c r="BW16" s="1785">
        <f>BW15+BW14</f>
        <v>872.66311950238219</v>
      </c>
      <c r="BX16" s="1786">
        <f>BX15+BX14</f>
        <v>870.22373106422003</v>
      </c>
      <c r="BY16" s="1786">
        <f>BY15+BY14</f>
        <v>882.06875801067326</v>
      </c>
      <c r="BZ16" s="1786">
        <f>BZ15+BZ14</f>
        <v>917.82797726481908</v>
      </c>
      <c r="CA16" s="1787">
        <f>CA15+CA14</f>
        <v>3542.7835858420949</v>
      </c>
      <c r="CB16" s="1788"/>
      <c r="CC16" s="1785">
        <f>CC15+CC14</f>
        <v>961.28431101600609</v>
      </c>
      <c r="CD16" s="1786">
        <f>CD15+CD14</f>
        <v>959.45288335890916</v>
      </c>
      <c r="CE16" s="1786">
        <f>CE15+CE14</f>
        <v>972.24722094441574</v>
      </c>
      <c r="CF16" s="1786">
        <f>CF15+CF14</f>
        <v>1013.0584482932361</v>
      </c>
      <c r="CG16" s="1787">
        <f>CG15+CG14</f>
        <v>3906.0428636125671</v>
      </c>
      <c r="CH16" s="1788"/>
      <c r="CI16" s="1785">
        <f>CI15+CI14</f>
        <v>1061.5747363625551</v>
      </c>
      <c r="CJ16" s="1786">
        <f>CJ15+CJ14</f>
        <v>1059.36255204085</v>
      </c>
      <c r="CK16" s="1786">
        <f>CK15+CK14</f>
        <v>1072.8875263874513</v>
      </c>
      <c r="CL16" s="1786">
        <f>CL15+CL14</f>
        <v>1120.6718618303846</v>
      </c>
      <c r="CM16" s="1787">
        <f>CM15+CM14</f>
        <v>4314.4966766212419</v>
      </c>
      <c r="CN16" s="1788"/>
      <c r="CO16" s="1785">
        <f>CO15+CO14</f>
        <v>1167.3216847679541</v>
      </c>
      <c r="CP16" s="1786">
        <f>CP15+CP14</f>
        <v>1169.9955643677147</v>
      </c>
      <c r="CQ16" s="1786">
        <f>CQ15+CQ14</f>
        <v>1189.2413465931577</v>
      </c>
      <c r="CR16" s="1786">
        <f>CR15+CR14</f>
        <v>1243.6616641844498</v>
      </c>
      <c r="CS16" s="1787">
        <f>CS15+CS14</f>
        <v>4770.2202599132752</v>
      </c>
      <c r="CT16" s="2317"/>
      <c r="CU16" s="952">
        <f>+(CS16/BO16)^(1/5)-1</f>
        <v>0.11628920951177002</v>
      </c>
      <c r="CV16" s="4" t="s">
        <v>414</v>
      </c>
      <c r="CW16" s="60"/>
      <c r="CX16" s="201"/>
      <c r="CY16" s="201"/>
      <c r="CZ16" s="201"/>
      <c r="DA16" s="201"/>
      <c r="DB16" s="201"/>
      <c r="DC16" s="201"/>
      <c r="DD16" s="201"/>
      <c r="DE16" s="201"/>
      <c r="DF16" s="201"/>
      <c r="DH16" s="201"/>
      <c r="DI16" s="201"/>
      <c r="DJ16" s="201"/>
      <c r="DK16" s="201"/>
      <c r="DL16" s="201"/>
      <c r="DM16" s="201"/>
      <c r="DN16" s="201"/>
      <c r="DO16" s="201"/>
      <c r="DP16" s="952"/>
      <c r="DQ16" s="201"/>
      <c r="DR16" s="201"/>
      <c r="DS16" s="201"/>
      <c r="DT16" s="201"/>
    </row>
    <row r="17" spans="1:138">
      <c r="A17" s="1790" t="s">
        <v>536</v>
      </c>
      <c r="B17" s="1081"/>
      <c r="C17" s="823"/>
      <c r="D17" s="824"/>
      <c r="E17" s="824"/>
      <c r="F17" s="824"/>
      <c r="G17" s="825"/>
      <c r="H17" s="824"/>
      <c r="I17" s="1793">
        <f>I16/C16-1</f>
        <v>0.68899514899514891</v>
      </c>
      <c r="J17" s="1791">
        <f>J16/D16-1</f>
        <v>0.65821257467321215</v>
      </c>
      <c r="K17" s="1791">
        <f>K16/E16-1</f>
        <v>0.5409701569069838</v>
      </c>
      <c r="L17" s="1791">
        <f>L16/F16-1</f>
        <v>0.42914106070832303</v>
      </c>
      <c r="M17" s="1792">
        <f>M16/G16-1</f>
        <v>0.56277688870471287</v>
      </c>
      <c r="N17" s="1791"/>
      <c r="O17" s="1793">
        <f>O16/I16-1</f>
        <v>0.36021368608496562</v>
      </c>
      <c r="P17" s="1791">
        <f>P16/J16-1</f>
        <v>0.15313496507986346</v>
      </c>
      <c r="Q17" s="1791">
        <f>Q16/K16-1</f>
        <v>5.3906561959270682E-2</v>
      </c>
      <c r="R17" s="1791">
        <f>R16/L16-1</f>
        <v>0.12202427187482479</v>
      </c>
      <c r="S17" s="1792">
        <f>S16/M16-1</f>
        <v>0.16241266518382846</v>
      </c>
      <c r="T17" s="1791"/>
      <c r="U17" s="1793">
        <f>U16/O16-1</f>
        <v>0.1591124356739082</v>
      </c>
      <c r="V17" s="1791">
        <f>V16/P16-1</f>
        <v>0.31155076310140251</v>
      </c>
      <c r="W17" s="1791">
        <f>W16/Q16-1</f>
        <v>0.49854129830765337</v>
      </c>
      <c r="X17" s="1791">
        <f>X16/R16-1</f>
        <v>0.44712124232958983</v>
      </c>
      <c r="Y17" s="1792">
        <f>Y16/S16-1</f>
        <v>0.35480787124582025</v>
      </c>
      <c r="Z17" s="1791"/>
      <c r="AA17" s="1793">
        <f>AA16/U16-1</f>
        <v>0.47042903019294124</v>
      </c>
      <c r="AB17" s="1791">
        <f>AB16/V16-1</f>
        <v>0.35587703947585636</v>
      </c>
      <c r="AC17" s="1791">
        <f>AC16/W16-1</f>
        <v>-7.6271864952446311E-3</v>
      </c>
      <c r="AD17" s="1791">
        <f>AD16/X16-1</f>
        <v>-4.2966268398533569E-2</v>
      </c>
      <c r="AE17" s="1792">
        <f>AE16/Y16-1</f>
        <v>0.16925563367566099</v>
      </c>
      <c r="AF17" s="1791"/>
      <c r="AG17" s="1793">
        <f>AG16/AA16-1</f>
        <v>-3.4493743695025114E-2</v>
      </c>
      <c r="AH17" s="1791">
        <f>AH16/AB16-1</f>
        <v>-2.3805879283353648E-2</v>
      </c>
      <c r="AI17" s="1791">
        <f>AI16/AC16-1</f>
        <v>0.21390749005303644</v>
      </c>
      <c r="AJ17" s="1791">
        <f>AJ16/AD16-1</f>
        <v>0.23670877470798302</v>
      </c>
      <c r="AK17" s="1792">
        <f>AK16/AE16-1</f>
        <v>8.8088978574846211E-2</v>
      </c>
      <c r="AL17" s="1791"/>
      <c r="AM17" s="1793">
        <f>AM16/AG16-1</f>
        <v>0.21332257946255107</v>
      </c>
      <c r="AN17" s="1791">
        <f>AN16/AH16-1</f>
        <v>0.23337621655910223</v>
      </c>
      <c r="AO17" s="1791">
        <f>AO16/AI16-1</f>
        <v>0.24810231080825806</v>
      </c>
      <c r="AP17" s="1791">
        <f>AP16/AJ16-1</f>
        <v>0.25240812895089992</v>
      </c>
      <c r="AQ17" s="1792">
        <f>AQ16/AK16-1</f>
        <v>0.23740374535487541</v>
      </c>
      <c r="AR17" s="1791"/>
      <c r="AS17" s="1793">
        <f>AS16/AM16-1</f>
        <v>0.27140301790559529</v>
      </c>
      <c r="AT17" s="1791">
        <f>AT16/AN16-1</f>
        <v>0.29319780175328081</v>
      </c>
      <c r="AU17" s="1791">
        <f>AU16/AO16-1</f>
        <v>0.34705717488789234</v>
      </c>
      <c r="AV17" s="1791">
        <f>AV16/AP16-1</f>
        <v>0.32286239498510305</v>
      </c>
      <c r="AW17" s="1792">
        <f>AW16/AQ16-1</f>
        <v>0.30972897131815991</v>
      </c>
      <c r="AX17" s="1719"/>
      <c r="AY17" s="1793">
        <f>AY16/AS16-1</f>
        <v>0.27991758182997817</v>
      </c>
      <c r="AZ17" s="1791">
        <f>AZ16/AT16-1</f>
        <v>0.20502955975404857</v>
      </c>
      <c r="BA17" s="1791">
        <f>BA16/AU16-1</f>
        <v>0.14326612987121079</v>
      </c>
      <c r="BB17" s="1791">
        <f>BB16/AV16-1</f>
        <v>0.15451257760368775</v>
      </c>
      <c r="BC17" s="1792">
        <f>BC16/AW16-1</f>
        <v>0.19210472676400769</v>
      </c>
      <c r="BD17" s="1794"/>
      <c r="BE17" s="1793">
        <f>BE16/AY16-1</f>
        <v>6.1641584581248354E-2</v>
      </c>
      <c r="BF17" s="1791">
        <f>BF16/AZ16-1</f>
        <v>0.11262539044993969</v>
      </c>
      <c r="BG17" s="1791">
        <f>BG16/BA16-1</f>
        <v>0.10399678896860753</v>
      </c>
      <c r="BH17" s="1791">
        <f>BH16/BB16-1</f>
        <v>4.6924713378444727E-2</v>
      </c>
      <c r="BI17" s="1792">
        <f>BI16/BC16-1</f>
        <v>8.0598966470022182E-2</v>
      </c>
      <c r="BJ17" s="1794"/>
      <c r="BK17" s="1793">
        <f>BK16/BE16-1</f>
        <v>4.5887894109972072E-2</v>
      </c>
      <c r="BL17" s="1791">
        <f>BL16/BF16-1</f>
        <v>0.10386160787461396</v>
      </c>
      <c r="BM17" s="1791">
        <f>BM16/BG16-1</f>
        <v>0.17716021485198641</v>
      </c>
      <c r="BN17" s="1791">
        <f>BN16/BH16-1</f>
        <v>0.25549545381578542</v>
      </c>
      <c r="BO17" s="1792">
        <f>BO16/BI16-1</f>
        <v>0.14774637845528815</v>
      </c>
      <c r="BP17" s="1794"/>
      <c r="BQ17" s="1793">
        <f>BQ16/BK16-1</f>
        <v>0.30769230769230771</v>
      </c>
      <c r="BR17" s="1791">
        <f>BR16/BL16-1</f>
        <v>0.19328528048017057</v>
      </c>
      <c r="BS17" s="1791">
        <f>BS16/BM16-1</f>
        <v>0.12823398627440041</v>
      </c>
      <c r="BT17" s="1791">
        <f>BT16/BN16-1</f>
        <v>8.0744777555880942E-2</v>
      </c>
      <c r="BU17" s="1792">
        <f>BU16/BO16-1</f>
        <v>0.16946938340501538</v>
      </c>
      <c r="BV17" s="1794"/>
      <c r="BW17" s="1793">
        <f>BW16/BQ16-1</f>
        <v>0.11593749296979827</v>
      </c>
      <c r="BX17" s="1791">
        <f>BX16/BR16-1</f>
        <v>0.10094675333792047</v>
      </c>
      <c r="BY17" s="1791">
        <f>BY16/BS16-1</f>
        <v>9.4817331089390722E-2</v>
      </c>
      <c r="BZ17" s="1791">
        <f>BZ16/BT16-1</f>
        <v>9.2238698163539912E-2</v>
      </c>
      <c r="CA17" s="1792">
        <f>CA16/BU16-1</f>
        <v>0.10078111011945801</v>
      </c>
      <c r="CB17" s="1794"/>
      <c r="CC17" s="1793">
        <f>CC16/BW16-1</f>
        <v>0.10155258029485448</v>
      </c>
      <c r="CD17" s="1791">
        <f>CD16/BX16-1</f>
        <v>0.10253587567138434</v>
      </c>
      <c r="CE17" s="1791">
        <f>CE16/BY16-1</f>
        <v>0.10223518531267528</v>
      </c>
      <c r="CF17" s="1791">
        <f>CF16/BZ16-1</f>
        <v>0.10375633930032224</v>
      </c>
      <c r="CG17" s="1792">
        <f>CG16/CA16-1</f>
        <v>0.10253498949869622</v>
      </c>
      <c r="CH17" s="1794"/>
      <c r="CI17" s="1793">
        <f>CI16/CC16-1</f>
        <v>0.10432961840451704</v>
      </c>
      <c r="CJ17" s="1791">
        <f>CJ16/CD16-1</f>
        <v>0.10413191769477126</v>
      </c>
      <c r="CK17" s="1791">
        <f>CK16/CE16-1</f>
        <v>0.103513081112514</v>
      </c>
      <c r="CL17" s="1791">
        <f>CL16/CF16-1</f>
        <v>0.10622626336955343</v>
      </c>
      <c r="CM17" s="1792">
        <f>CM16/CG16-1</f>
        <v>0.10456972113995433</v>
      </c>
      <c r="CN17" s="1794"/>
      <c r="CO17" s="1793">
        <f>CO16/CI16-1</f>
        <v>9.9613286547998392E-2</v>
      </c>
      <c r="CP17" s="1791">
        <f>CP16/CJ16-1</f>
        <v>0.10443356914375679</v>
      </c>
      <c r="CQ17" s="1791">
        <f>CQ16/CK16-1</f>
        <v>0.10844922449372163</v>
      </c>
      <c r="CR17" s="1791">
        <f>CR16/CL16-1</f>
        <v>0.10974648917586527</v>
      </c>
      <c r="CS17" s="1792">
        <f>CS16/CM16-1</f>
        <v>0.10562612917549363</v>
      </c>
      <c r="CT17" s="83"/>
      <c r="CU17" s="215"/>
      <c r="CV17" s="2344"/>
      <c r="CW17" s="2344"/>
      <c r="CX17" s="60"/>
      <c r="CY17" s="60"/>
      <c r="CZ17" s="60"/>
      <c r="DA17" s="60"/>
      <c r="DB17" s="60"/>
      <c r="DC17" s="60"/>
      <c r="DD17" s="60"/>
      <c r="DE17" s="60"/>
      <c r="DF17" s="60"/>
      <c r="DH17" s="60"/>
      <c r="DI17" s="2435"/>
      <c r="DJ17" s="60"/>
      <c r="DK17" s="60"/>
      <c r="DL17" s="60"/>
      <c r="DM17" s="60"/>
      <c r="DN17" s="60"/>
      <c r="DO17" s="60"/>
      <c r="DP17" s="60"/>
      <c r="DQ17" s="60"/>
      <c r="DR17" s="60"/>
      <c r="DS17" s="60"/>
      <c r="DT17" s="60"/>
    </row>
    <row r="18" spans="1:138">
      <c r="A18" s="1790" t="s">
        <v>771</v>
      </c>
      <c r="B18" s="1081"/>
      <c r="C18" s="823"/>
      <c r="D18" s="824"/>
      <c r="E18" s="824"/>
      <c r="F18" s="824"/>
      <c r="G18" s="825"/>
      <c r="H18" s="824"/>
      <c r="I18" s="1793"/>
      <c r="J18" s="1791"/>
      <c r="K18" s="1791"/>
      <c r="L18" s="1791"/>
      <c r="M18" s="1792"/>
      <c r="N18" s="1791"/>
      <c r="O18" s="1793"/>
      <c r="P18" s="1791"/>
      <c r="Q18" s="1791"/>
      <c r="R18" s="1791"/>
      <c r="S18" s="1792"/>
      <c r="T18" s="1791"/>
      <c r="U18" s="1793"/>
      <c r="V18" s="1791"/>
      <c r="W18" s="1791"/>
      <c r="X18" s="1791"/>
      <c r="Y18" s="1792"/>
      <c r="Z18" s="1791"/>
      <c r="AA18" s="1793"/>
      <c r="AB18" s="1791"/>
      <c r="AC18" s="1791"/>
      <c r="AD18" s="1791"/>
      <c r="AE18" s="1792"/>
      <c r="AF18" s="1791"/>
      <c r="AG18" s="1793"/>
      <c r="AH18" s="1791"/>
      <c r="AI18" s="1791"/>
      <c r="AJ18" s="1791"/>
      <c r="AK18" s="1792"/>
      <c r="AL18" s="1791"/>
      <c r="AM18" s="1793"/>
      <c r="AN18" s="1791"/>
      <c r="AO18" s="1791"/>
      <c r="AP18" s="1791"/>
      <c r="AQ18" s="1792"/>
      <c r="AR18" s="1791"/>
      <c r="AS18" s="1793"/>
      <c r="AT18" s="1791"/>
      <c r="AU18" s="1791"/>
      <c r="AV18" s="1791"/>
      <c r="AW18" s="1792"/>
      <c r="AX18" s="1719"/>
      <c r="AY18" s="1793"/>
      <c r="AZ18" s="1791"/>
      <c r="BA18" s="1791"/>
      <c r="BB18" s="1791"/>
      <c r="BC18" s="1792"/>
      <c r="BD18" s="1794"/>
      <c r="BE18" s="1793"/>
      <c r="BF18" s="1791"/>
      <c r="BG18" s="1791"/>
      <c r="BH18" s="1791"/>
      <c r="BI18" s="1792">
        <f>+(BI16)/BC16-1</f>
        <v>8.0598966470022182E-2</v>
      </c>
      <c r="BJ18" s="1794"/>
      <c r="BK18" s="1793">
        <v>4.5887894109972072E-2</v>
      </c>
      <c r="BL18" s="1791">
        <v>8.5780541380894748E-2</v>
      </c>
      <c r="BM18" s="1791">
        <v>0.14703491607290076</v>
      </c>
      <c r="BN18" s="1791">
        <v>0.21238269453342573</v>
      </c>
      <c r="BO18" s="1792">
        <v>0.12446440103292389</v>
      </c>
      <c r="BP18" s="1794"/>
      <c r="BQ18" s="1793">
        <v>0.27658862876254187</v>
      </c>
      <c r="BR18" s="1791">
        <v>0.18134781642247733</v>
      </c>
      <c r="BS18" s="1791">
        <v>0.12484734507006134</v>
      </c>
      <c r="BT18" s="1791">
        <v>8.4748161761725171E-2</v>
      </c>
      <c r="BU18" s="1792">
        <v>0.16098921079258344</v>
      </c>
      <c r="BV18" s="1794"/>
      <c r="BW18" s="1793">
        <v>0.11233052070000293</v>
      </c>
      <c r="BX18" s="1791">
        <v>9.8487534285059297E-2</v>
      </c>
      <c r="BY18" s="1791">
        <v>9.385071524069577E-2</v>
      </c>
      <c r="BZ18" s="1791">
        <v>9.3619194600438549E-2</v>
      </c>
      <c r="CA18" s="1792">
        <v>9.9437412671507408E-2</v>
      </c>
      <c r="CB18" s="1794"/>
      <c r="CC18" s="1793">
        <v>9.9989259373362893E-2</v>
      </c>
      <c r="CD18" s="1791">
        <v>0.1013752339501377</v>
      </c>
      <c r="CE18" s="1791">
        <v>0.10145719134564946</v>
      </c>
      <c r="CF18" s="1791">
        <v>0.10341710101246804</v>
      </c>
      <c r="CG18" s="1792">
        <v>0.10158211542305073</v>
      </c>
      <c r="CH18" s="1794"/>
      <c r="CI18" s="1793">
        <v>0.10308812749996665</v>
      </c>
      <c r="CJ18" s="1791">
        <v>0.10084499225174803</v>
      </c>
      <c r="CK18" s="1791">
        <v>9.8237669681058515E-2</v>
      </c>
      <c r="CL18" s="1791">
        <v>0.10135330020578226</v>
      </c>
      <c r="CM18" s="1792">
        <v>0.10088087597000661</v>
      </c>
      <c r="CN18" s="1794"/>
      <c r="CO18" s="1793">
        <v>0.10748481267765353</v>
      </c>
      <c r="CP18" s="1791">
        <v>0.10645694532368077</v>
      </c>
      <c r="CQ18" s="1791">
        <v>0.10462271004789647</v>
      </c>
      <c r="CR18" s="1791">
        <v>0.10623136008692469</v>
      </c>
      <c r="CS18" s="1792">
        <v>0.10619703283136772</v>
      </c>
      <c r="CT18" s="83"/>
      <c r="CU18" s="215"/>
      <c r="CV18" s="2344"/>
      <c r="CW18" s="2344"/>
      <c r="CX18" s="60"/>
      <c r="CY18" s="60"/>
      <c r="CZ18" s="60"/>
      <c r="DA18" s="60"/>
      <c r="DB18" s="60"/>
      <c r="DC18" s="60"/>
      <c r="DD18" s="60"/>
      <c r="DE18" s="60"/>
      <c r="DF18" s="60"/>
      <c r="DH18" s="60"/>
      <c r="DI18" s="2435"/>
      <c r="DJ18" s="60"/>
      <c r="DK18" s="60"/>
      <c r="DL18" s="60"/>
      <c r="DM18" s="60"/>
      <c r="DN18" s="60"/>
      <c r="DO18" s="60"/>
      <c r="DP18" s="60"/>
      <c r="DQ18" s="60"/>
      <c r="DR18" s="60"/>
      <c r="DS18" s="60"/>
      <c r="DT18" s="60"/>
    </row>
    <row r="19" spans="1:138">
      <c r="A19" s="1790" t="s">
        <v>535</v>
      </c>
      <c r="B19" s="1081"/>
      <c r="C19" s="823"/>
      <c r="D19" s="824"/>
      <c r="E19" s="824"/>
      <c r="F19" s="824"/>
      <c r="G19" s="825"/>
      <c r="H19" s="2572"/>
      <c r="I19" s="2573">
        <v>0</v>
      </c>
      <c r="J19" s="2572">
        <v>0</v>
      </c>
      <c r="K19" s="2572">
        <v>0</v>
      </c>
      <c r="L19" s="2572">
        <v>0</v>
      </c>
      <c r="M19" s="2574">
        <v>0</v>
      </c>
      <c r="N19" s="2572"/>
      <c r="O19" s="2573">
        <v>0</v>
      </c>
      <c r="P19" s="2572">
        <v>0</v>
      </c>
      <c r="Q19" s="2572">
        <v>0</v>
      </c>
      <c r="R19" s="2572">
        <v>0</v>
      </c>
      <c r="S19" s="2574">
        <v>0</v>
      </c>
      <c r="T19" s="2572"/>
      <c r="U19" s="2573">
        <v>3.6656827673649535E-2</v>
      </c>
      <c r="V19" s="2572">
        <v>-3.0408692339748923E-3</v>
      </c>
      <c r="W19" s="2572">
        <v>-4.65302312646243E-3</v>
      </c>
      <c r="X19" s="2572">
        <v>-2.3555284458327565E-3</v>
      </c>
      <c r="Y19" s="2574">
        <v>2.5495813592967258E-4</v>
      </c>
      <c r="Z19" s="2572"/>
      <c r="AA19" s="2573">
        <v>4.2395843803926449E-2</v>
      </c>
      <c r="AB19" s="2572">
        <v>7.0303978355845079E-2</v>
      </c>
      <c r="AC19" s="2572">
        <v>4.9326439356803128E-2</v>
      </c>
      <c r="AD19" s="2572">
        <v>1.0769794667928781E-2</v>
      </c>
      <c r="AE19" s="2574">
        <v>4.3642489154167005E-2</v>
      </c>
      <c r="AF19" s="2572"/>
      <c r="AG19" s="2573">
        <v>-3.0916797282757461E-3</v>
      </c>
      <c r="AH19" s="2572">
        <v>-2.8490747770612782E-2</v>
      </c>
      <c r="AI19" s="2572">
        <v>-2.9857688654876733E-2</v>
      </c>
      <c r="AJ19" s="2572">
        <v>-1.1436277137591265E-2</v>
      </c>
      <c r="AK19" s="2574">
        <v>-1.9959522969562118E-2</v>
      </c>
      <c r="AL19" s="2572"/>
      <c r="AM19" s="2573">
        <v>-5.0872297952316639E-2</v>
      </c>
      <c r="AN19" s="2572">
        <v>-3.5499448183476598E-2</v>
      </c>
      <c r="AO19" s="2572">
        <v>2.1278112855092367E-2</v>
      </c>
      <c r="AP19" s="2572">
        <v>-2.7693912685110657E-2</v>
      </c>
      <c r="AQ19" s="2574">
        <v>-3.034382079082E-2</v>
      </c>
      <c r="AR19" s="2572"/>
      <c r="AS19" s="2573">
        <v>5.3711845973093775E-3</v>
      </c>
      <c r="AT19" s="2572">
        <v>9.3174936957258914E-3</v>
      </c>
      <c r="AU19" s="2572">
        <v>6.8757945856944046E-4</v>
      </c>
      <c r="AV19" s="2572">
        <v>-1.6134302049242929E-2</v>
      </c>
      <c r="AW19" s="2574">
        <v>-5.0177748347923073E-4</v>
      </c>
      <c r="AX19" s="1794"/>
      <c r="AY19" s="1804">
        <v>-0.05</v>
      </c>
      <c r="AZ19" s="1805">
        <v>-4.2000000000000003E-2</v>
      </c>
      <c r="BA19" s="1805">
        <v>-0.04</v>
      </c>
      <c r="BB19" s="2017">
        <v>-2.8000000000000001E-2</v>
      </c>
      <c r="BC19" s="1795">
        <f>+SUMPRODUCT(AY19:BB19,AS16:AV16)/AW16</f>
        <v>-3.943825851878037E-2</v>
      </c>
      <c r="BD19" s="1794"/>
      <c r="BE19" s="2678">
        <v>-0.01</v>
      </c>
      <c r="BF19" s="2681">
        <v>3.6914717881988183E-3</v>
      </c>
      <c r="BG19" s="2681">
        <v>9.3555887222945919E-4</v>
      </c>
      <c r="BH19" s="2681">
        <v>-7.6153133513495383E-3</v>
      </c>
      <c r="BI19" s="1795">
        <f>+SUMPRODUCT(BE19:BH19,AY16:BB16)/BC16</f>
        <v>-3.3283841571620991E-3</v>
      </c>
      <c r="BJ19" s="1794"/>
      <c r="BK19" s="2677">
        <v>-5.0000000000000001E-3</v>
      </c>
      <c r="BL19" s="2681">
        <v>-5.0000000000000001E-3</v>
      </c>
      <c r="BM19" s="2681">
        <v>5.0000000000000001E-3</v>
      </c>
      <c r="BN19" s="2968">
        <v>1.6E-2</v>
      </c>
      <c r="BO19" s="1795">
        <f>+SUMPRODUCT(BK19:BN19,BE16:BH16)/BI16</f>
        <v>2.9539327799038189E-3</v>
      </c>
      <c r="BP19" s="1794"/>
      <c r="BQ19" s="2677">
        <v>0.03</v>
      </c>
      <c r="BR19" s="1797">
        <v>2.4E-2</v>
      </c>
      <c r="BS19" s="1797">
        <v>0.01</v>
      </c>
      <c r="BT19" s="1797">
        <v>0.01</v>
      </c>
      <c r="BU19" s="1795">
        <f>+SUMPRODUCT(BQ19:BT19,BK16:BN16)/BO16</f>
        <v>1.7715584513930276E-2</v>
      </c>
      <c r="BV19" s="1794"/>
      <c r="BW19" s="1796">
        <v>0</v>
      </c>
      <c r="BX19" s="1797">
        <v>0</v>
      </c>
      <c r="BY19" s="1797">
        <v>0</v>
      </c>
      <c r="BZ19" s="1797">
        <v>0</v>
      </c>
      <c r="CA19" s="1795">
        <f>+SUMPRODUCT(BW19:BZ19,BQ16:BT16)/BU16</f>
        <v>0</v>
      </c>
      <c r="CB19" s="1794"/>
      <c r="CC19" s="1796">
        <v>0</v>
      </c>
      <c r="CD19" s="1797">
        <v>0</v>
      </c>
      <c r="CE19" s="1797">
        <v>0</v>
      </c>
      <c r="CF19" s="1797">
        <v>0</v>
      </c>
      <c r="CG19" s="1795">
        <f>+SUMPRODUCT(CC19:CF19,BW16:BZ16)/CA16</f>
        <v>0</v>
      </c>
      <c r="CH19" s="1794"/>
      <c r="CI19" s="1796">
        <v>0</v>
      </c>
      <c r="CJ19" s="1797">
        <v>0</v>
      </c>
      <c r="CK19" s="1797">
        <v>0</v>
      </c>
      <c r="CL19" s="1797">
        <v>0</v>
      </c>
      <c r="CM19" s="1795">
        <f>+SUMPRODUCT(CI19:CL19,CC16:CF16)/CG16</f>
        <v>0</v>
      </c>
      <c r="CN19" s="1794"/>
      <c r="CO19" s="1796">
        <v>0</v>
      </c>
      <c r="CP19" s="1797">
        <v>0</v>
      </c>
      <c r="CQ19" s="1797">
        <v>0</v>
      </c>
      <c r="CR19" s="1797">
        <v>0</v>
      </c>
      <c r="CS19" s="1795">
        <f>+SUMPRODUCT(CO19:CR19,CI16:CL16)/CM16</f>
        <v>0</v>
      </c>
      <c r="CT19" s="83"/>
      <c r="CU19" s="60"/>
      <c r="CV19" s="60"/>
      <c r="CW19" s="60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60"/>
      <c r="DI19" s="60"/>
      <c r="DJ19" s="60"/>
      <c r="DK19" s="60"/>
      <c r="DL19" s="60"/>
      <c r="DM19" s="60"/>
      <c r="DN19" s="60"/>
      <c r="DO19" s="60"/>
      <c r="DP19" s="60"/>
      <c r="DQ19" s="60"/>
      <c r="DR19" s="60"/>
      <c r="DS19" s="60"/>
      <c r="DT19" s="60"/>
    </row>
    <row r="20" spans="1:138">
      <c r="A20" s="1790" t="s">
        <v>266</v>
      </c>
      <c r="B20" s="1081"/>
      <c r="C20" s="823"/>
      <c r="D20" s="824"/>
      <c r="E20" s="824"/>
      <c r="F20" s="824"/>
      <c r="G20" s="825"/>
      <c r="H20" s="824"/>
      <c r="I20" s="823"/>
      <c r="J20" s="824"/>
      <c r="K20" s="824"/>
      <c r="L20" s="824"/>
      <c r="M20" s="825"/>
      <c r="N20" s="824"/>
      <c r="O20" s="823"/>
      <c r="P20" s="824"/>
      <c r="Q20" s="824"/>
      <c r="R20" s="824"/>
      <c r="S20" s="825"/>
      <c r="T20" s="824"/>
      <c r="U20" s="823"/>
      <c r="V20" s="824"/>
      <c r="W20" s="824"/>
      <c r="X20" s="824"/>
      <c r="Y20" s="825"/>
      <c r="Z20" s="824"/>
      <c r="AA20" s="823">
        <v>0</v>
      </c>
      <c r="AB20" s="824">
        <v>0</v>
      </c>
      <c r="AC20" s="1791">
        <f>RevBuild!AC37/RevBuild!W16</f>
        <v>0</v>
      </c>
      <c r="AD20" s="1791">
        <f>RevBuild!AD37/RevBuild!X16</f>
        <v>0</v>
      </c>
      <c r="AE20" s="1792">
        <f>SUM(RevBuild!AA37:AD37)/RevBuild!Y16</f>
        <v>0</v>
      </c>
      <c r="AF20" s="824"/>
      <c r="AG20" s="823">
        <v>0</v>
      </c>
      <c r="AH20" s="824">
        <v>0</v>
      </c>
      <c r="AI20" s="1791">
        <f>RevBuild!AI37/RevBuild!AC16</f>
        <v>4.2463025320701999E-3</v>
      </c>
      <c r="AJ20" s="1791">
        <f>RevBuild!AJ37/RevBuild!AD16</f>
        <v>2.7867085747647673E-2</v>
      </c>
      <c r="AK20" s="1792">
        <f>SUM(RevBuild!AG37:AJ37)/RevBuild!AE16</f>
        <v>7.5494891216302644E-3</v>
      </c>
      <c r="AL20" s="1791"/>
      <c r="AM20" s="1793">
        <f>RevBuild!AM37/RevBuild!AG16+RevBuild!AM220/RevBuild!AG16</f>
        <v>2.7349048649044982E-2</v>
      </c>
      <c r="AN20" s="1791">
        <f>RevBuild!AN37/RevBuild!AH16+RevBuild!AN220/RevBuild!AH16</f>
        <v>3.599340002209496E-2</v>
      </c>
      <c r="AO20" s="1791">
        <f>(RevBuild!AO37*0.33)/RevBuild!AI16+RevBuild!AO220/RevBuild!AI16</f>
        <v>2.0788879016629701E-2</v>
      </c>
      <c r="AP20" s="1791">
        <f>RevBuild!AP220/RevBuild!AJ16</f>
        <v>1.4227280810955008E-2</v>
      </c>
      <c r="AQ20" s="1792">
        <f>(RevBuild!AM37+RevBuild!AN37+RevBuild!AO37-RevBuild!AI37+RevBuild!AN220+RevBuild!AO220+RevBuild!AP220)/RevBuild!AK16</f>
        <v>2.7252558954337598E-2</v>
      </c>
      <c r="AR20" s="1791"/>
      <c r="AS20" s="1793">
        <f>(RevBuild!AS220/RevBuild!AM16)*0.66</f>
        <v>1.9942107457743882E-2</v>
      </c>
      <c r="AT20" s="1791">
        <v>0</v>
      </c>
      <c r="AU20" s="1791">
        <v>0</v>
      </c>
      <c r="AV20" s="1791">
        <v>0</v>
      </c>
      <c r="AW20" s="1792">
        <f>((RevBuild!AS220*0.66)/RevBuild!AQ16)</f>
        <v>4.644034737379836E-3</v>
      </c>
      <c r="AX20" s="1794"/>
      <c r="AY20" s="1804">
        <v>0</v>
      </c>
      <c r="AZ20" s="1805">
        <v>0</v>
      </c>
      <c r="BA20" s="1805">
        <v>0</v>
      </c>
      <c r="BB20" s="1805">
        <v>0</v>
      </c>
      <c r="BC20" s="2680">
        <v>0</v>
      </c>
      <c r="BD20" s="1806"/>
      <c r="BE20" s="2678">
        <v>0</v>
      </c>
      <c r="BF20" s="2679">
        <v>0</v>
      </c>
      <c r="BG20" s="2679">
        <v>0</v>
      </c>
      <c r="BH20" s="2679">
        <v>0</v>
      </c>
      <c r="BI20" s="2680">
        <v>0</v>
      </c>
      <c r="BJ20" s="1806"/>
      <c r="BK20" s="2678">
        <v>0</v>
      </c>
      <c r="BL20" s="2679">
        <v>0</v>
      </c>
      <c r="BM20" s="2679">
        <v>0</v>
      </c>
      <c r="BN20" s="2679">
        <v>0</v>
      </c>
      <c r="BO20" s="2680">
        <v>0</v>
      </c>
      <c r="BP20" s="2681"/>
      <c r="BQ20" s="2678">
        <v>0</v>
      </c>
      <c r="BR20" s="2679">
        <v>0</v>
      </c>
      <c r="BS20" s="2679">
        <v>0</v>
      </c>
      <c r="BT20" s="2679">
        <v>0</v>
      </c>
      <c r="BU20" s="2680">
        <v>0</v>
      </c>
      <c r="BV20" s="2681"/>
      <c r="BW20" s="2678">
        <v>0</v>
      </c>
      <c r="BX20" s="2679">
        <v>0</v>
      </c>
      <c r="BY20" s="2679">
        <v>0</v>
      </c>
      <c r="BZ20" s="2679">
        <v>0</v>
      </c>
      <c r="CA20" s="2680">
        <v>0</v>
      </c>
      <c r="CB20" s="2681"/>
      <c r="CC20" s="2678">
        <v>0</v>
      </c>
      <c r="CD20" s="2679">
        <v>0</v>
      </c>
      <c r="CE20" s="2679">
        <v>0</v>
      </c>
      <c r="CF20" s="2679">
        <v>0</v>
      </c>
      <c r="CG20" s="2680">
        <v>0</v>
      </c>
      <c r="CH20" s="2681"/>
      <c r="CI20" s="2678">
        <v>0</v>
      </c>
      <c r="CJ20" s="2679">
        <v>0</v>
      </c>
      <c r="CK20" s="2679">
        <v>0</v>
      </c>
      <c r="CL20" s="2679">
        <v>0</v>
      </c>
      <c r="CM20" s="2680">
        <v>0</v>
      </c>
      <c r="CN20" s="2681"/>
      <c r="CO20" s="2678">
        <v>0</v>
      </c>
      <c r="CP20" s="2679">
        <v>0</v>
      </c>
      <c r="CQ20" s="2679">
        <v>0</v>
      </c>
      <c r="CR20" s="2679">
        <v>0</v>
      </c>
      <c r="CS20" s="2680">
        <v>0</v>
      </c>
      <c r="CT20" s="83"/>
      <c r="CU20" s="60"/>
      <c r="CV20" s="9"/>
      <c r="CW20" s="60"/>
      <c r="CX20" s="60"/>
      <c r="CY20" s="4"/>
      <c r="CZ20" s="60"/>
      <c r="DA20" s="60"/>
      <c r="DB20" s="60"/>
      <c r="DC20" s="60"/>
      <c r="DD20" s="60"/>
      <c r="DE20" s="60"/>
      <c r="DF20" s="60"/>
      <c r="DG20" s="60"/>
      <c r="DH20" s="60"/>
      <c r="DI20" s="60"/>
      <c r="DJ20" s="60"/>
      <c r="DK20" s="60"/>
      <c r="DL20" s="60"/>
      <c r="DM20" s="60"/>
      <c r="DO20" s="60"/>
      <c r="DP20" s="60"/>
      <c r="DQ20" s="60"/>
      <c r="DR20" s="60"/>
      <c r="DS20" s="60"/>
      <c r="DT20" s="60"/>
    </row>
    <row r="21" spans="1:138">
      <c r="A21" s="1798" t="s">
        <v>423</v>
      </c>
      <c r="B21" s="1799"/>
      <c r="C21" s="1800"/>
      <c r="D21" s="1801"/>
      <c r="E21" s="1801"/>
      <c r="F21" s="1801"/>
      <c r="G21" s="1802"/>
      <c r="H21" s="828"/>
      <c r="I21" s="1800">
        <f>I17-I19-I20</f>
        <v>0.68899514899514891</v>
      </c>
      <c r="J21" s="1801">
        <f>J17-J19-J20</f>
        <v>0.65821257467321215</v>
      </c>
      <c r="K21" s="1801">
        <f>K17-K19-K20</f>
        <v>0.5409701569069838</v>
      </c>
      <c r="L21" s="1801">
        <f>L17-L19-L20</f>
        <v>0.42914106070832303</v>
      </c>
      <c r="M21" s="1802">
        <f>M17-M19-M20</f>
        <v>0.56277688870471287</v>
      </c>
      <c r="N21" s="828"/>
      <c r="O21" s="1800">
        <f>O17-O19-O20</f>
        <v>0.36021368608496562</v>
      </c>
      <c r="P21" s="1801">
        <f>P17-P19-P20</f>
        <v>0.15313496507986346</v>
      </c>
      <c r="Q21" s="1801">
        <f>Q17-Q19-Q20</f>
        <v>5.3906561959270682E-2</v>
      </c>
      <c r="R21" s="1801">
        <f>R17-R19-R20</f>
        <v>0.12202427187482479</v>
      </c>
      <c r="S21" s="1802">
        <f>S17-S19-S20</f>
        <v>0.16241266518382846</v>
      </c>
      <c r="T21" s="828"/>
      <c r="U21" s="1800">
        <f>U17-U19-U20</f>
        <v>0.12245560800025868</v>
      </c>
      <c r="V21" s="1801">
        <f>V17-V19-V20</f>
        <v>0.3145916323353774</v>
      </c>
      <c r="W21" s="1801">
        <f>W17-W19-W20</f>
        <v>0.5031943214341158</v>
      </c>
      <c r="X21" s="1801">
        <f>X17-X19-X20</f>
        <v>0.44947677077542258</v>
      </c>
      <c r="Y21" s="1802">
        <f>Y17-Y19-Y20</f>
        <v>0.35455291310989057</v>
      </c>
      <c r="Z21" s="828"/>
      <c r="AA21" s="1800">
        <f>AA17-AA19-AA20</f>
        <v>0.42803318638901477</v>
      </c>
      <c r="AB21" s="1801">
        <f>AB17-AB19-AB20</f>
        <v>0.2855730611200113</v>
      </c>
      <c r="AC21" s="1801">
        <f>AC17-AC19-AC20</f>
        <v>-5.695362585204776E-2</v>
      </c>
      <c r="AD21" s="1801">
        <f>AD17-AD19-AD20</f>
        <v>-5.373606306646235E-2</v>
      </c>
      <c r="AE21" s="1802">
        <f>AE17-AE19-AE20</f>
        <v>0.12561314452149397</v>
      </c>
      <c r="AF21" s="828"/>
      <c r="AG21" s="1800">
        <f>AG17-AG19-AG20</f>
        <v>-3.1402063966749369E-2</v>
      </c>
      <c r="AH21" s="1801">
        <f>AH17-AH19-AH20</f>
        <v>4.6848684872591341E-3</v>
      </c>
      <c r="AI21" s="1801">
        <f>AI17-AI19-AI20</f>
        <v>0.23951887617584297</v>
      </c>
      <c r="AJ21" s="1801">
        <f>AJ17-AJ19-AJ20</f>
        <v>0.2202779660979266</v>
      </c>
      <c r="AK21" s="1802">
        <f>AK17-AK19-AK20</f>
        <v>0.10049901242277806</v>
      </c>
      <c r="AL21" s="828"/>
      <c r="AM21" s="1800">
        <f>AM17-AM19-AM20</f>
        <v>0.23684582876582272</v>
      </c>
      <c r="AN21" s="1801">
        <f>AN17-AN19-AN20</f>
        <v>0.2328822647204839</v>
      </c>
      <c r="AO21" s="1801">
        <f>AO17-AO19-AO20</f>
        <v>0.20603531893653598</v>
      </c>
      <c r="AP21" s="1801">
        <f>AP17-AP19-AP20</f>
        <v>0.26587476082505557</v>
      </c>
      <c r="AQ21" s="1802">
        <f>AQ17-AQ19-AQ20</f>
        <v>0.2404950071913578</v>
      </c>
      <c r="AR21" s="828"/>
      <c r="AS21" s="1800">
        <f>AS17-AS19-AS20</f>
        <v>0.24608972585054201</v>
      </c>
      <c r="AT21" s="1801">
        <f>AT17-AT19-AT20</f>
        <v>0.28388030805755493</v>
      </c>
      <c r="AU21" s="1801">
        <f>AU17-AU19-AU20</f>
        <v>0.34636959542932289</v>
      </c>
      <c r="AV21" s="1801">
        <f>AV17-AV19-AV20</f>
        <v>0.33899669703434598</v>
      </c>
      <c r="AW21" s="1802">
        <f>AW17-AW19-AW20</f>
        <v>0.3055867140642593</v>
      </c>
      <c r="AX21" s="1722"/>
      <c r="AY21" s="1800">
        <f>AY17-AY19-AY20</f>
        <v>0.32991758182997816</v>
      </c>
      <c r="AZ21" s="1801">
        <f>AZ17-AZ19-AZ20</f>
        <v>0.24702955975404858</v>
      </c>
      <c r="BA21" s="1801">
        <f>BA17-BA19-BA20</f>
        <v>0.1832661298712108</v>
      </c>
      <c r="BB21" s="1801">
        <f>BB17-BB19-BB20</f>
        <v>0.18251257760368775</v>
      </c>
      <c r="BC21" s="1802">
        <f>BC17-BC19-BC20</f>
        <v>0.23154298528278805</v>
      </c>
      <c r="BD21" s="1801"/>
      <c r="BE21" s="1800">
        <f>BE17-BE19-BE20</f>
        <v>7.1641584581248349E-2</v>
      </c>
      <c r="BF21" s="1801">
        <f>BF17-BF19-BF20</f>
        <v>0.10893391866174088</v>
      </c>
      <c r="BG21" s="1801">
        <f>BG17-BG19-BG20</f>
        <v>0.10306123009637808</v>
      </c>
      <c r="BH21" s="1801">
        <f>BH17-BH19-BH20</f>
        <v>5.4540026729794265E-2</v>
      </c>
      <c r="BI21" s="1802">
        <f>BI17-BI19-BI20</f>
        <v>8.3927350627184275E-2</v>
      </c>
      <c r="BJ21" s="1801"/>
      <c r="BK21" s="1800">
        <f>BK17-BK19-BK20</f>
        <v>5.0887894109972069E-2</v>
      </c>
      <c r="BL21" s="1801">
        <f>BL17-BL19-BL20</f>
        <v>0.10886160787461396</v>
      </c>
      <c r="BM21" s="1801">
        <f>BM17-BM19-BM20</f>
        <v>0.1721602148519864</v>
      </c>
      <c r="BN21" s="1801">
        <f>BN17-BN19-BN20</f>
        <v>0.23949545381578541</v>
      </c>
      <c r="BO21" s="1802">
        <f>BO17-BO19-BO20</f>
        <v>0.14479244567538432</v>
      </c>
      <c r="BP21" s="1801"/>
      <c r="BQ21" s="1800">
        <f>BQ17-BQ19-BQ20</f>
        <v>0.27769230769230768</v>
      </c>
      <c r="BR21" s="1801">
        <f>BR17-BR19-BR20</f>
        <v>0.16928528048017058</v>
      </c>
      <c r="BS21" s="1801">
        <f>BS17-BS19-BS20</f>
        <v>0.11823398627440042</v>
      </c>
      <c r="BT21" s="1801">
        <f>BT17-BT19-BT20</f>
        <v>7.0744777555880947E-2</v>
      </c>
      <c r="BU21" s="1802">
        <f>BU17-BU19-BU20</f>
        <v>0.15175379889108512</v>
      </c>
      <c r="BV21" s="1801"/>
      <c r="BW21" s="1800">
        <f>BW17-BW19-BW20</f>
        <v>0.11593749296979827</v>
      </c>
      <c r="BX21" s="1801">
        <f>BX17-BX19-BX20</f>
        <v>0.10094675333792047</v>
      </c>
      <c r="BY21" s="1801">
        <f>BY17-BY19-BY20</f>
        <v>9.4817331089390722E-2</v>
      </c>
      <c r="BZ21" s="1801">
        <f>BZ17-BZ19-BZ20</f>
        <v>9.2238698163539912E-2</v>
      </c>
      <c r="CA21" s="1802">
        <f>CA17-CA19-CA20</f>
        <v>0.10078111011945801</v>
      </c>
      <c r="CB21" s="1801"/>
      <c r="CC21" s="1800">
        <f>CC17-CC19-CC20</f>
        <v>0.10155258029485448</v>
      </c>
      <c r="CD21" s="1801">
        <f>CD17-CD19-CD20</f>
        <v>0.10253587567138434</v>
      </c>
      <c r="CE21" s="1801">
        <f>CE17-CE19-CE20</f>
        <v>0.10223518531267528</v>
      </c>
      <c r="CF21" s="1801">
        <f>CF17-CF19-CF20</f>
        <v>0.10375633930032224</v>
      </c>
      <c r="CG21" s="1802">
        <f>CG17-CG19-CG20</f>
        <v>0.10253498949869622</v>
      </c>
      <c r="CH21" s="1801"/>
      <c r="CI21" s="1800">
        <f>CI17-CI19-CI20</f>
        <v>0.10432961840451704</v>
      </c>
      <c r="CJ21" s="1801">
        <f>CJ17-CJ19-CJ20</f>
        <v>0.10413191769477126</v>
      </c>
      <c r="CK21" s="1801">
        <f>CK17-CK19-CK20</f>
        <v>0.103513081112514</v>
      </c>
      <c r="CL21" s="1801">
        <f>CL17-CL19-CL20</f>
        <v>0.10622626336955343</v>
      </c>
      <c r="CM21" s="1802">
        <f>CM17-CM19-CM20</f>
        <v>0.10456972113995433</v>
      </c>
      <c r="CN21" s="1801"/>
      <c r="CO21" s="1800">
        <f>CO17-CO19-CO20</f>
        <v>9.9613286547998392E-2</v>
      </c>
      <c r="CP21" s="1801">
        <f>CP17-CP19-CP20</f>
        <v>0.10443356914375679</v>
      </c>
      <c r="CQ21" s="1801">
        <f>CQ17-CQ19-CQ20</f>
        <v>0.10844922449372163</v>
      </c>
      <c r="CR21" s="1801">
        <f>CR17-CR19-CR20</f>
        <v>0.10974648917586527</v>
      </c>
      <c r="CS21" s="1802">
        <f>CS17-CS19-CS20</f>
        <v>0.10562612917549363</v>
      </c>
      <c r="CT21" s="231"/>
      <c r="CU21" s="1383"/>
      <c r="CV21" s="9"/>
      <c r="CW21" s="1383"/>
      <c r="CX21" s="1383"/>
      <c r="CY21" s="1383"/>
      <c r="CZ21" s="1383"/>
      <c r="DA21" s="1383"/>
      <c r="DB21" s="1383"/>
      <c r="DC21" s="1383"/>
      <c r="DD21" s="1383"/>
      <c r="DE21" s="1383"/>
      <c r="DF21" s="1383"/>
      <c r="DG21" s="4"/>
      <c r="DH21" s="1383"/>
      <c r="DJ21" s="205"/>
      <c r="DK21" s="205"/>
      <c r="DL21" s="205"/>
      <c r="DM21" s="205"/>
      <c r="DN21" s="205"/>
      <c r="DO21" s="1383"/>
      <c r="DP21" s="1383"/>
      <c r="DQ21" s="1383"/>
      <c r="DR21" s="1383"/>
      <c r="DS21" s="1383"/>
      <c r="DT21" s="1383"/>
    </row>
    <row r="22" spans="1:138">
      <c r="A22" s="990"/>
      <c r="B22" s="991"/>
      <c r="C22" s="990"/>
      <c r="D22" s="990"/>
      <c r="E22" s="990"/>
      <c r="F22" s="990"/>
      <c r="G22" s="990"/>
      <c r="H22" s="991"/>
      <c r="I22" s="992"/>
      <c r="J22" s="990"/>
      <c r="K22" s="990"/>
      <c r="L22" s="990"/>
      <c r="M22" s="992"/>
      <c r="N22" s="991"/>
      <c r="O22" s="992"/>
      <c r="P22" s="990"/>
      <c r="Q22" s="990"/>
      <c r="R22" s="990"/>
      <c r="S22" s="993"/>
      <c r="T22" s="994"/>
      <c r="U22" s="995"/>
      <c r="V22" s="995"/>
      <c r="W22" s="995"/>
      <c r="X22" s="995"/>
      <c r="Y22" s="995"/>
      <c r="Z22" s="994"/>
      <c r="AA22" s="993"/>
      <c r="AB22" s="995"/>
      <c r="AC22" s="995"/>
      <c r="AD22" s="995"/>
      <c r="AE22" s="995"/>
      <c r="AF22" s="994"/>
      <c r="AG22" s="995"/>
      <c r="AH22" s="995"/>
      <c r="AI22" s="995"/>
      <c r="AJ22" s="996"/>
      <c r="AK22" s="997"/>
      <c r="AL22" s="998"/>
      <c r="AM22" s="1342"/>
      <c r="AN22" s="1342"/>
      <c r="AO22" s="1342"/>
      <c r="AP22" s="1353"/>
      <c r="AQ22" s="1342"/>
      <c r="AR22" s="996"/>
      <c r="AS22" s="1342"/>
      <c r="AT22" s="996"/>
      <c r="AU22" s="996"/>
      <c r="AV22" s="996"/>
      <c r="AW22" s="1542"/>
      <c r="AX22" s="996"/>
      <c r="AY22" s="996"/>
      <c r="AZ22" s="996"/>
      <c r="BA22" s="996"/>
      <c r="BB22" s="2571"/>
      <c r="BC22" s="2366"/>
      <c r="BD22" s="1676"/>
      <c r="BE22" s="2487"/>
      <c r="BF22" s="995"/>
      <c r="BG22" s="995"/>
      <c r="BH22" s="995"/>
      <c r="BI22" s="2366"/>
      <c r="BJ22" s="1676"/>
      <c r="BK22" s="995"/>
      <c r="BL22" s="995"/>
      <c r="BM22" s="995"/>
      <c r="BN22" s="2921"/>
      <c r="BO22" s="993"/>
      <c r="BP22" s="1676"/>
      <c r="BQ22" s="995"/>
      <c r="BR22" s="995"/>
      <c r="BS22" s="995"/>
      <c r="BT22" s="995"/>
      <c r="BU22" s="2753"/>
      <c r="BV22" s="1676"/>
      <c r="BW22" s="995"/>
      <c r="BX22" s="995"/>
      <c r="BY22" s="995"/>
      <c r="BZ22" s="995"/>
      <c r="CA22" s="993"/>
      <c r="CB22" s="1676"/>
      <c r="CC22" s="995"/>
      <c r="CD22" s="995"/>
      <c r="CE22" s="995"/>
      <c r="CF22" s="995"/>
      <c r="CG22" s="993"/>
      <c r="CH22" s="1676"/>
      <c r="CI22" s="995"/>
      <c r="CJ22" s="995"/>
      <c r="CK22" s="995"/>
      <c r="CL22" s="995"/>
      <c r="CM22" s="993"/>
      <c r="CN22" s="1676"/>
      <c r="CO22" s="995"/>
      <c r="CP22" s="995"/>
      <c r="CQ22" s="995"/>
      <c r="CR22" s="995"/>
      <c r="CS22" s="993"/>
      <c r="CT22" s="993"/>
      <c r="CU22" s="2918"/>
      <c r="CV22" s="9"/>
      <c r="CW22" s="999"/>
      <c r="CX22" s="999"/>
      <c r="CY22" s="999"/>
      <c r="CZ22" s="999"/>
      <c r="DA22" s="999"/>
      <c r="DB22" s="999"/>
      <c r="DC22" s="999"/>
      <c r="DD22" s="999"/>
      <c r="DE22" s="999"/>
      <c r="DF22" s="999"/>
      <c r="DG22" s="999"/>
      <c r="DH22" s="999"/>
      <c r="DI22" s="999"/>
      <c r="DJ22" s="999"/>
      <c r="DK22" s="999"/>
      <c r="DL22" s="999"/>
      <c r="DM22" s="999"/>
      <c r="DN22" s="999"/>
      <c r="DO22" s="999"/>
      <c r="DP22" s="999"/>
      <c r="DQ22" s="999"/>
      <c r="DR22" s="999"/>
      <c r="DS22" s="999"/>
      <c r="DT22" s="999"/>
    </row>
    <row r="23" spans="1:138" ht="13.5" customHeight="1">
      <c r="A23" s="1958" t="s">
        <v>847</v>
      </c>
      <c r="B23" s="972"/>
      <c r="C23" s="973"/>
      <c r="D23" s="972"/>
      <c r="E23" s="972"/>
      <c r="F23" s="972"/>
      <c r="G23" s="1000"/>
      <c r="H23" s="972"/>
      <c r="I23" s="1001"/>
      <c r="J23" s="1002"/>
      <c r="K23" s="1002"/>
      <c r="L23" s="1002"/>
      <c r="M23" s="1003"/>
      <c r="N23" s="972"/>
      <c r="O23" s="1001"/>
      <c r="P23" s="972"/>
      <c r="Q23" s="972"/>
      <c r="R23" s="975"/>
      <c r="S23" s="1004"/>
      <c r="T23" s="972"/>
      <c r="U23" s="973"/>
      <c r="V23" s="972"/>
      <c r="W23" s="972"/>
      <c r="X23" s="972"/>
      <c r="Y23" s="1000"/>
      <c r="Z23" s="972"/>
      <c r="AA23" s="1001"/>
      <c r="AB23" s="972"/>
      <c r="AC23" s="972"/>
      <c r="AD23" s="972"/>
      <c r="AE23" s="1000"/>
      <c r="AF23" s="972"/>
      <c r="AG23" s="973"/>
      <c r="AH23" s="972"/>
      <c r="AI23" s="972"/>
      <c r="AJ23" s="975"/>
      <c r="AK23" s="975"/>
      <c r="AL23" s="972"/>
      <c r="AM23" s="973"/>
      <c r="AN23" s="972"/>
      <c r="AO23" s="972"/>
      <c r="AP23" s="972"/>
      <c r="AQ23" s="1000"/>
      <c r="AR23" s="972"/>
      <c r="AS23" s="1416"/>
      <c r="AT23" s="972"/>
      <c r="AU23" s="972"/>
      <c r="AV23" s="1418"/>
      <c r="AW23" s="1677"/>
      <c r="AX23" s="1415"/>
      <c r="AY23" s="1416"/>
      <c r="AZ23" s="1415"/>
      <c r="BA23" s="1415"/>
      <c r="BB23" s="1418"/>
      <c r="BC23" s="1677"/>
      <c r="BD23" s="1415"/>
      <c r="BE23" s="2341"/>
      <c r="BF23" s="2341"/>
      <c r="BG23" s="2341"/>
      <c r="BH23" s="1415"/>
      <c r="BI23" s="2486"/>
      <c r="BJ23" s="1415"/>
      <c r="BK23" s="1416"/>
      <c r="BL23" s="1415"/>
      <c r="BM23" s="2733"/>
      <c r="BN23" s="2733"/>
      <c r="BO23" s="1678"/>
      <c r="BP23" s="1415"/>
      <c r="BQ23" s="1416"/>
      <c r="BR23" s="1415"/>
      <c r="BS23" s="1415"/>
      <c r="BT23" s="1415"/>
      <c r="BU23" s="1678"/>
      <c r="BV23" s="1415"/>
      <c r="BW23" s="1416"/>
      <c r="BX23" s="1415"/>
      <c r="BY23" s="1415"/>
      <c r="BZ23" s="1415"/>
      <c r="CA23" s="1678"/>
      <c r="CB23" s="1415"/>
      <c r="CC23" s="1416"/>
      <c r="CD23" s="1415"/>
      <c r="CE23" s="1415"/>
      <c r="CF23" s="1415"/>
      <c r="CG23" s="1678"/>
      <c r="CH23" s="1415"/>
      <c r="CI23" s="1416"/>
      <c r="CJ23" s="1415"/>
      <c r="CK23" s="1415"/>
      <c r="CL23" s="1415"/>
      <c r="CM23" s="1678"/>
      <c r="CN23" s="1415"/>
      <c r="CO23" s="1416"/>
      <c r="CP23" s="1415"/>
      <c r="CQ23" s="1415"/>
      <c r="CR23" s="1415"/>
      <c r="CS23" s="1678"/>
      <c r="CT23" s="60"/>
      <c r="CU23" s="68"/>
      <c r="CV23" s="9"/>
      <c r="CW23" s="68"/>
      <c r="CX23" s="68"/>
      <c r="CY23" s="68"/>
      <c r="CZ23" s="68"/>
      <c r="DA23" s="68"/>
      <c r="DB23" s="68"/>
      <c r="DC23" s="68"/>
      <c r="DD23" s="68"/>
      <c r="DE23" s="68"/>
      <c r="DF23" s="68"/>
      <c r="DG23" s="68"/>
      <c r="DH23" s="68"/>
      <c r="DI23" s="68"/>
      <c r="DJ23" s="68"/>
      <c r="DK23" s="68"/>
      <c r="DL23" s="68"/>
      <c r="DM23" s="68"/>
      <c r="DN23" s="68"/>
      <c r="DO23" s="68"/>
      <c r="DP23" s="68"/>
      <c r="DQ23" s="68"/>
      <c r="DR23" s="68"/>
      <c r="DS23" s="68"/>
      <c r="DT23" s="68"/>
    </row>
    <row r="24" spans="1:138">
      <c r="A24" s="784" t="s">
        <v>380</v>
      </c>
      <c r="B24" s="205"/>
      <c r="C24" s="776">
        <v>10.305119999999999</v>
      </c>
      <c r="D24" s="746">
        <v>9.9</v>
      </c>
      <c r="E24" s="746">
        <v>15.5</v>
      </c>
      <c r="F24" s="746">
        <v>17</v>
      </c>
      <c r="G24" s="783">
        <f>SUM(C24:F24)</f>
        <v>52.705120000000001</v>
      </c>
      <c r="H24" s="785">
        <v>0</v>
      </c>
      <c r="I24" s="786">
        <f>16.6282-0.854999999999997</f>
        <v>15.773200000000003</v>
      </c>
      <c r="J24" s="785">
        <f>11.675-0.974999999999994</f>
        <v>10.700000000000006</v>
      </c>
      <c r="K24" s="785">
        <f>12.85-1.05</f>
        <v>11.799999999999999</v>
      </c>
      <c r="L24" s="787">
        <v>11.426799999999988</v>
      </c>
      <c r="M24" s="191">
        <f>SUM(I24:L24)</f>
        <v>49.699999999999996</v>
      </c>
      <c r="N24" s="781"/>
      <c r="O24" s="750">
        <f>+O26*O27/1000</f>
        <v>8.9</v>
      </c>
      <c r="P24" s="205">
        <f>+P26*P27/1000</f>
        <v>9.3000000000000007</v>
      </c>
      <c r="Q24" s="205">
        <f>+Q26*Q27/1000</f>
        <v>10.699999999999964</v>
      </c>
      <c r="R24" s="789">
        <f>+R26*R27/1000</f>
        <v>9.8000000000000007</v>
      </c>
      <c r="S24" s="789">
        <f>SUM(O24:R24)</f>
        <v>38.699999999999967</v>
      </c>
      <c r="T24" s="222"/>
      <c r="U24" s="750">
        <f>+U26*U27/1000</f>
        <v>10.142291666666663</v>
      </c>
      <c r="V24" s="205">
        <f>+V26*V27/1000</f>
        <v>7.2902166666666597</v>
      </c>
      <c r="W24" s="205">
        <f>+W26*W27/1000</f>
        <v>4.9921933333333373</v>
      </c>
      <c r="X24" s="205">
        <f>+X26*X27/1000</f>
        <v>11.471683333333354</v>
      </c>
      <c r="Y24" s="191">
        <f>SUM(U24:X24)</f>
        <v>33.896385000000016</v>
      </c>
      <c r="Z24" s="788">
        <v>0</v>
      </c>
      <c r="AA24" s="750">
        <f>+AA26*AA27/1000</f>
        <v>6.7121599999999981</v>
      </c>
      <c r="AB24" s="205">
        <f>+AB26*AB27/1000</f>
        <v>6.5205720000000076</v>
      </c>
      <c r="AC24" s="205">
        <f>+AC26*AC27/1000</f>
        <v>4.5510386666666447</v>
      </c>
      <c r="AD24" s="205">
        <f>+AD26*AD27/1000</f>
        <v>7.5513266666666805</v>
      </c>
      <c r="AE24" s="783">
        <f>SUM(AA24:AD24)</f>
        <v>25.33509733333333</v>
      </c>
      <c r="AF24" s="781"/>
      <c r="AG24" s="782">
        <f>+AG26*AG27/1000</f>
        <v>7.837464999999991</v>
      </c>
      <c r="AH24" s="205">
        <f>+AH26*AH27/1000</f>
        <v>5.6</v>
      </c>
      <c r="AI24" s="205">
        <f>+AI26*AI27/1000</f>
        <v>8.6024946666667024</v>
      </c>
      <c r="AJ24" s="205">
        <f>+AJ26*AJ27/1000</f>
        <v>9.9</v>
      </c>
      <c r="AK24" s="783">
        <f>SUM(AG24:AJ24)</f>
        <v>31.939959666666695</v>
      </c>
      <c r="AL24" s="782"/>
      <c r="AM24" s="782">
        <f>+AM26*AM27/1000</f>
        <v>8.5500000000000007</v>
      </c>
      <c r="AN24" s="205">
        <f>+AN26*AN27/1000</f>
        <v>4.8</v>
      </c>
      <c r="AO24" s="205">
        <f>+AO26*AO27/1000</f>
        <v>6.75</v>
      </c>
      <c r="AP24" s="205">
        <f>+AP26*AP27/1000</f>
        <v>4.2</v>
      </c>
      <c r="AQ24" s="783">
        <f>SUM(AM24:AP24)</f>
        <v>24.3</v>
      </c>
      <c r="AR24" s="781"/>
      <c r="AS24" s="1434">
        <f>+AS26*AS27/1000</f>
        <v>8.5</v>
      </c>
      <c r="AT24" s="205">
        <f>+AT26*AT27/1000</f>
        <v>4.7738479883334684</v>
      </c>
      <c r="AU24" s="205">
        <f>+AU26*AU27/1000</f>
        <v>2.8</v>
      </c>
      <c r="AV24" s="90">
        <f>+AV26*AV27/1000</f>
        <v>1.75</v>
      </c>
      <c r="AW24" s="1645">
        <f>SUM(AS24:AV24)</f>
        <v>17.823847988333469</v>
      </c>
      <c r="AX24" s="1434"/>
      <c r="AY24" s="1434">
        <f>+AY26*AY27/1000</f>
        <v>2</v>
      </c>
      <c r="AZ24" s="9">
        <f>+AZ26*AZ27/1000</f>
        <v>3.85</v>
      </c>
      <c r="BA24" s="9">
        <f>+BA26*BA27/1000</f>
        <v>2.8</v>
      </c>
      <c r="BB24" s="90">
        <f>+BB26*BB27/1000</f>
        <v>4.9000000000000004</v>
      </c>
      <c r="BC24" s="1645">
        <f>SUM(AY24:BB24)</f>
        <v>13.549999999999999</v>
      </c>
      <c r="BD24" s="1434"/>
      <c r="BE24" s="1434">
        <f>+BE26*BE27/1000</f>
        <v>4.2</v>
      </c>
      <c r="BF24" s="9">
        <f>+BF26*BF27/1000</f>
        <v>5.95</v>
      </c>
      <c r="BG24" s="9">
        <f>+BG26*BG27/1000</f>
        <v>7</v>
      </c>
      <c r="BH24" s="9">
        <f>+BH26*BH27/1000</f>
        <v>3.15</v>
      </c>
      <c r="BI24" s="1645">
        <f>SUM(BE24:BH24)</f>
        <v>20.299999999999997</v>
      </c>
      <c r="BJ24" s="1434"/>
      <c r="BK24" s="1434">
        <f>+BK26*BK27/1000</f>
        <v>4.9000000000000004</v>
      </c>
      <c r="BL24" s="9">
        <f>+BL26*BL27/1000</f>
        <v>5.95</v>
      </c>
      <c r="BM24" s="9">
        <f>+BM26*BM27/1000</f>
        <v>11.9</v>
      </c>
      <c r="BN24" s="9">
        <f>+BN26*BN27/1000</f>
        <v>8.0500000000000007</v>
      </c>
      <c r="BO24" s="188">
        <f>SUM(BK24:BN24)</f>
        <v>30.8</v>
      </c>
      <c r="BP24" s="1434"/>
      <c r="BQ24" s="1434">
        <f>+BQ26*BQ27/1000</f>
        <v>5.95</v>
      </c>
      <c r="BR24" s="9">
        <f>+BR26*BR27/1000</f>
        <v>5.95</v>
      </c>
      <c r="BS24" s="9">
        <f>+BS26*BS27/1000</f>
        <v>5.95</v>
      </c>
      <c r="BT24" s="9">
        <f>+BT26*BT27/1000</f>
        <v>5.95</v>
      </c>
      <c r="BU24" s="188">
        <f>SUM(BQ24:BT24)</f>
        <v>23.8</v>
      </c>
      <c r="BV24" s="1434"/>
      <c r="BW24" s="1434">
        <f>+BW26*BW27/1000</f>
        <v>5.2</v>
      </c>
      <c r="BX24" s="9">
        <f>+BX26*BX27/1000</f>
        <v>5.2</v>
      </c>
      <c r="BY24" s="9">
        <f>+BY26*BY27/1000</f>
        <v>5.2</v>
      </c>
      <c r="BZ24" s="9">
        <f>+BZ26*BZ27/1000</f>
        <v>5.2</v>
      </c>
      <c r="CA24" s="188">
        <f>SUM(BW24:BZ24)</f>
        <v>20.8</v>
      </c>
      <c r="CB24" s="1434"/>
      <c r="CC24" s="1434">
        <f>+CC26*CC27/1000</f>
        <v>4.8</v>
      </c>
      <c r="CD24" s="9">
        <f>+CD26*CD27/1000</f>
        <v>4.8</v>
      </c>
      <c r="CE24" s="9">
        <f>+CE26*CE27/1000</f>
        <v>4.8</v>
      </c>
      <c r="CF24" s="9">
        <f>+CF26*CF27/1000</f>
        <v>4.8</v>
      </c>
      <c r="CG24" s="188">
        <f>SUM(CC24:CF24)</f>
        <v>19.2</v>
      </c>
      <c r="CH24" s="1434"/>
      <c r="CI24" s="1434">
        <f>+CI26*CI27/1000</f>
        <v>4.4000000000000004</v>
      </c>
      <c r="CJ24" s="9">
        <f>+CJ26*CJ27/1000</f>
        <v>4.4000000000000004</v>
      </c>
      <c r="CK24" s="9">
        <f>+CK26*CK27/1000</f>
        <v>4.4000000000000004</v>
      </c>
      <c r="CL24" s="9">
        <f>+CL26*CL27/1000</f>
        <v>4.4000000000000004</v>
      </c>
      <c r="CM24" s="188">
        <f>SUM(CI24:CL24)</f>
        <v>17.600000000000001</v>
      </c>
      <c r="CN24" s="1434"/>
      <c r="CO24" s="1434">
        <f>+CO26*CO27/1000</f>
        <v>4</v>
      </c>
      <c r="CP24" s="9">
        <f>+CP26*CP27/1000</f>
        <v>4</v>
      </c>
      <c r="CQ24" s="9">
        <f>+CQ26*CQ27/1000</f>
        <v>4</v>
      </c>
      <c r="CR24" s="9">
        <f>+CR26*CR27/1000</f>
        <v>4</v>
      </c>
      <c r="CS24" s="188">
        <f>SUM(CO24:CR24)</f>
        <v>16</v>
      </c>
      <c r="CT24" s="187"/>
      <c r="CU24" s="201"/>
      <c r="CV24" s="9"/>
      <c r="CW24" s="201"/>
      <c r="CX24" s="201"/>
      <c r="CY24" s="201"/>
      <c r="CZ24" s="201"/>
      <c r="DA24" s="201"/>
      <c r="DB24" s="201"/>
      <c r="DC24" s="201"/>
      <c r="DD24" s="201"/>
      <c r="DE24" s="201"/>
      <c r="DF24" s="201"/>
      <c r="DG24" s="201"/>
      <c r="DH24" s="201"/>
      <c r="DJ24" s="1442"/>
      <c r="DO24" s="201"/>
      <c r="DP24" s="201"/>
      <c r="DQ24" s="201"/>
      <c r="DR24" s="201"/>
      <c r="DS24" s="201"/>
      <c r="DT24" s="201"/>
    </row>
    <row r="25" spans="1:138">
      <c r="A25" s="208" t="s">
        <v>219</v>
      </c>
      <c r="B25" s="205"/>
      <c r="C25" s="776"/>
      <c r="D25" s="746"/>
      <c r="E25" s="746"/>
      <c r="F25" s="746"/>
      <c r="G25" s="191"/>
      <c r="H25" s="746"/>
      <c r="I25" s="776"/>
      <c r="J25" s="746"/>
      <c r="K25" s="746"/>
      <c r="L25" s="772"/>
      <c r="M25" s="191"/>
      <c r="N25" s="205"/>
      <c r="O25" s="750"/>
      <c r="P25" s="205"/>
      <c r="Q25" s="205"/>
      <c r="R25" s="789"/>
      <c r="S25" s="789"/>
      <c r="T25" s="222"/>
      <c r="U25" s="750"/>
      <c r="V25" s="205"/>
      <c r="W25" s="205"/>
      <c r="X25" s="205"/>
      <c r="Y25" s="191"/>
      <c r="Z25" s="222"/>
      <c r="AA25" s="750"/>
      <c r="AB25" s="205"/>
      <c r="AC25" s="205"/>
      <c r="AD25" s="205"/>
      <c r="AE25" s="191"/>
      <c r="AF25" s="205"/>
      <c r="AG25" s="750"/>
      <c r="AH25" s="205"/>
      <c r="AI25" s="205"/>
      <c r="AJ25" s="205"/>
      <c r="AK25" s="2823">
        <f t="shared" ref="AK25" si="0">+AK24/AE24-1</f>
        <v>0.26070009704061259</v>
      </c>
      <c r="AL25" s="205"/>
      <c r="AM25" s="2822">
        <f t="shared" ref="AM25" si="1">+AM24/AG24-1</f>
        <v>9.0913962614188382E-2</v>
      </c>
      <c r="AN25" s="113">
        <f t="shared" ref="AN25" si="2">+AN24/AH24-1</f>
        <v>-0.14285714285714279</v>
      </c>
      <c r="AO25" s="113">
        <f t="shared" ref="AO25" si="3">+AO24/AI24-1</f>
        <v>-0.21534389016767708</v>
      </c>
      <c r="AP25" s="113">
        <f t="shared" ref="AP25" si="4">+AP24/AJ24-1</f>
        <v>-0.57575757575757569</v>
      </c>
      <c r="AQ25" s="2823">
        <f t="shared" ref="AQ25" si="5">+AQ24/AK24-1</f>
        <v>-0.23919753645274444</v>
      </c>
      <c r="AR25" s="205"/>
      <c r="AS25" s="2822">
        <f t="shared" ref="AS25" si="6">+AS24/AM24-1</f>
        <v>-5.8479532163743242E-3</v>
      </c>
      <c r="AT25" s="113">
        <f t="shared" ref="AT25" si="7">+AT24/AN24-1</f>
        <v>-5.4483357638607233E-3</v>
      </c>
      <c r="AU25" s="113">
        <f t="shared" ref="AU25" si="8">+AU24/AO24-1</f>
        <v>-0.58518518518518525</v>
      </c>
      <c r="AV25" s="113">
        <f t="shared" ref="AV25" si="9">+AV24/AP24-1</f>
        <v>-0.58333333333333337</v>
      </c>
      <c r="AW25" s="2823">
        <f t="shared" ref="AW25" si="10">+AW24/AQ24-1</f>
        <v>-0.26650831323730584</v>
      </c>
      <c r="AX25" s="205"/>
      <c r="AY25" s="2822">
        <f t="shared" ref="AY25" si="11">+AY24/AS24-1</f>
        <v>-0.76470588235294112</v>
      </c>
      <c r="AZ25" s="113">
        <f t="shared" ref="AZ25" si="12">+AZ24/AT24-1</f>
        <v>-0.19352270759169687</v>
      </c>
      <c r="BA25" s="113">
        <f t="shared" ref="BA25" si="13">+BA24/AU24-1</f>
        <v>0</v>
      </c>
      <c r="BB25" s="113">
        <f t="shared" ref="BB25" si="14">+BB24/AV24-1</f>
        <v>1.8000000000000003</v>
      </c>
      <c r="BC25" s="2823">
        <f t="shared" ref="BC25" si="15">+BC24/AW24-1</f>
        <v>-0.23978256497311357</v>
      </c>
      <c r="BD25" s="205"/>
      <c r="BE25" s="2822">
        <f t="shared" ref="BE25" si="16">+BE24/AY24-1</f>
        <v>1.1000000000000001</v>
      </c>
      <c r="BF25" s="113">
        <f t="shared" ref="BF25" si="17">+BF24/AZ24-1</f>
        <v>0.54545454545454541</v>
      </c>
      <c r="BG25" s="113">
        <f t="shared" ref="BG25" si="18">+BG24/BA24-1</f>
        <v>1.5</v>
      </c>
      <c r="BH25" s="113">
        <f t="shared" ref="BH25" si="19">+BH24/BB24-1</f>
        <v>-0.35714285714285721</v>
      </c>
      <c r="BI25" s="2823">
        <f t="shared" ref="BI25" si="20">+BI24/BC24-1</f>
        <v>0.49815498154981541</v>
      </c>
      <c r="BJ25" s="205"/>
      <c r="BK25" s="2822">
        <f t="shared" ref="BK25" si="21">+BK24/BE24-1</f>
        <v>0.16666666666666674</v>
      </c>
      <c r="BL25" s="113">
        <f t="shared" ref="BL25" si="22">+BL24/BF24-1</f>
        <v>0</v>
      </c>
      <c r="BM25" s="113">
        <f t="shared" ref="BM25:BN25" si="23">+BM24/BG24-1</f>
        <v>0.7</v>
      </c>
      <c r="BN25" s="113">
        <f t="shared" si="23"/>
        <v>1.5555555555555558</v>
      </c>
      <c r="BO25" s="2823">
        <f t="shared" ref="BO25" si="24">+BO24/BI24-1</f>
        <v>0.51724137931034497</v>
      </c>
      <c r="BP25" s="9"/>
      <c r="BQ25" s="2822">
        <f t="shared" ref="BQ25" si="25">+BQ24/BK24-1</f>
        <v>0.21428571428571419</v>
      </c>
      <c r="BR25" s="113">
        <f t="shared" ref="BR25" si="26">+BR24/BL24-1</f>
        <v>0</v>
      </c>
      <c r="BS25" s="113">
        <f t="shared" ref="BS25" si="27">+BS24/BM24-1</f>
        <v>-0.5</v>
      </c>
      <c r="BT25" s="113">
        <f t="shared" ref="BT25:BU25" si="28">+BT24/BN24-1</f>
        <v>-0.26086956521739135</v>
      </c>
      <c r="BU25" s="2823">
        <f t="shared" si="28"/>
        <v>-0.22727272727272729</v>
      </c>
      <c r="BV25" s="9"/>
      <c r="BW25" s="2822">
        <f t="shared" ref="BW25" si="29">+BW24/BQ24-1</f>
        <v>-0.12605042016806722</v>
      </c>
      <c r="BX25" s="113">
        <f t="shared" ref="BX25" si="30">+BX24/BR24-1</f>
        <v>-0.12605042016806722</v>
      </c>
      <c r="BY25" s="113">
        <f t="shared" ref="BY25" si="31">+BY24/BS24-1</f>
        <v>-0.12605042016806722</v>
      </c>
      <c r="BZ25" s="113">
        <f t="shared" ref="BZ25:CA25" si="32">+BZ24/BT24-1</f>
        <v>-0.12605042016806722</v>
      </c>
      <c r="CA25" s="2823">
        <f t="shared" si="32"/>
        <v>-0.12605042016806722</v>
      </c>
      <c r="CB25" s="9"/>
      <c r="CC25" s="2822">
        <f t="shared" ref="CC25" si="33">+CC24/BW24-1</f>
        <v>-7.6923076923076983E-2</v>
      </c>
      <c r="CD25" s="113">
        <f t="shared" ref="CD25" si="34">+CD24/BX24-1</f>
        <v>-7.6923076923076983E-2</v>
      </c>
      <c r="CE25" s="113">
        <f t="shared" ref="CE25" si="35">+CE24/BY24-1</f>
        <v>-7.6923076923076983E-2</v>
      </c>
      <c r="CF25" s="113">
        <f t="shared" ref="CF25:CG25" si="36">+CF24/BZ24-1</f>
        <v>-7.6923076923076983E-2</v>
      </c>
      <c r="CG25" s="2823">
        <f t="shared" si="36"/>
        <v>-7.6923076923076983E-2</v>
      </c>
      <c r="CH25" s="9"/>
      <c r="CI25" s="2822">
        <f t="shared" ref="CI25" si="37">+CI24/CC24-1</f>
        <v>-8.3333333333333259E-2</v>
      </c>
      <c r="CJ25" s="113">
        <f t="shared" ref="CJ25" si="38">+CJ24/CD24-1</f>
        <v>-8.3333333333333259E-2</v>
      </c>
      <c r="CK25" s="113">
        <f t="shared" ref="CK25" si="39">+CK24/CE24-1</f>
        <v>-8.3333333333333259E-2</v>
      </c>
      <c r="CL25" s="113">
        <f t="shared" ref="CL25" si="40">+CL24/CF24-1</f>
        <v>-8.3333333333333259E-2</v>
      </c>
      <c r="CM25" s="2823">
        <f t="shared" ref="CM25" si="41">+CM24/CG24-1</f>
        <v>-8.3333333333333259E-2</v>
      </c>
      <c r="CN25" s="9"/>
      <c r="CO25" s="2822">
        <f t="shared" ref="CO25" si="42">+CO24/CI24-1</f>
        <v>-9.0909090909090939E-2</v>
      </c>
      <c r="CP25" s="113">
        <f t="shared" ref="CP25" si="43">+CP24/CJ24-1</f>
        <v>-9.0909090909090939E-2</v>
      </c>
      <c r="CQ25" s="113">
        <f t="shared" ref="CQ25" si="44">+CQ24/CK24-1</f>
        <v>-9.0909090909090939E-2</v>
      </c>
      <c r="CR25" s="113">
        <f t="shared" ref="CR25" si="45">+CR24/CL24-1</f>
        <v>-9.0909090909090939E-2</v>
      </c>
      <c r="CS25" s="2823">
        <f t="shared" ref="CS25" si="46">+CS24/CM24-1</f>
        <v>-9.0909090909090939E-2</v>
      </c>
      <c r="CT25" s="187"/>
      <c r="CU25" s="201"/>
      <c r="CV25" s="9"/>
      <c r="CW25" s="201"/>
      <c r="CX25" s="201"/>
      <c r="CY25" s="201"/>
      <c r="CZ25" s="201"/>
      <c r="DA25" s="201"/>
      <c r="DB25" s="201"/>
      <c r="DC25" s="201"/>
      <c r="DD25" s="201"/>
      <c r="DE25" s="201"/>
      <c r="DF25" s="201"/>
      <c r="DG25" s="201"/>
      <c r="DH25" s="201"/>
      <c r="DJ25" s="1442"/>
      <c r="DO25" s="201"/>
      <c r="DP25" s="201"/>
      <c r="DQ25" s="201"/>
      <c r="DR25" s="201"/>
      <c r="DS25" s="201"/>
      <c r="DT25" s="201"/>
    </row>
    <row r="26" spans="1:138" ht="12.75" hidden="1" customHeight="1" outlineLevel="1">
      <c r="A26" s="1005" t="s">
        <v>12</v>
      </c>
      <c r="B26" s="187"/>
      <c r="C26" s="747">
        <f>(C24/C27)*1000</f>
        <v>343.50399999999996</v>
      </c>
      <c r="D26" s="198">
        <f>(D24/D27)*1000</f>
        <v>330</v>
      </c>
      <c r="E26" s="198">
        <f>(E24/E27)*1000</f>
        <v>407.89473684210526</v>
      </c>
      <c r="F26" s="198">
        <f>(F24/F27)*1000</f>
        <v>425</v>
      </c>
      <c r="G26" s="199">
        <f>(G24/G27)*1000</f>
        <v>381.92115942028988</v>
      </c>
      <c r="H26" s="187"/>
      <c r="I26" s="747">
        <f>(I24/I27)*1000</f>
        <v>426.30270270270279</v>
      </c>
      <c r="J26" s="198">
        <f>(J24/J27)*1000</f>
        <v>382.14285714285739</v>
      </c>
      <c r="K26" s="198">
        <f>(K24/K27)*1000</f>
        <v>357.57575757575756</v>
      </c>
      <c r="L26" s="754">
        <f>(L24/L27)*1000</f>
        <v>317.41111111111076</v>
      </c>
      <c r="M26" s="199">
        <f>(M24/M27)*1000</f>
        <v>370.89552238805965</v>
      </c>
      <c r="N26" s="187"/>
      <c r="O26" s="764">
        <v>178</v>
      </c>
      <c r="P26" s="200">
        <v>186</v>
      </c>
      <c r="Q26" s="200">
        <v>213.99999999999929</v>
      </c>
      <c r="R26" s="1006">
        <v>196</v>
      </c>
      <c r="S26" s="754">
        <f>(S24/S27)*1000</f>
        <v>193.49999999999983</v>
      </c>
      <c r="T26" s="187"/>
      <c r="U26" s="764">
        <v>202.84583333333327</v>
      </c>
      <c r="V26" s="200">
        <v>182.25541666666649</v>
      </c>
      <c r="W26" s="200">
        <v>124.80483333333343</v>
      </c>
      <c r="X26" s="1006">
        <v>166.25628019323702</v>
      </c>
      <c r="Y26" s="199">
        <f>(Y24/Y27)*1000</f>
        <v>170.33359296482419</v>
      </c>
      <c r="Z26" s="187"/>
      <c r="AA26" s="764">
        <v>95.887999999999977</v>
      </c>
      <c r="AB26" s="200">
        <v>98.796545454545566</v>
      </c>
      <c r="AC26" s="204">
        <v>91.020773333332897</v>
      </c>
      <c r="AD26" s="766">
        <v>100.68435555555574</v>
      </c>
      <c r="AE26" s="203">
        <f>AD26</f>
        <v>100.68435555555574</v>
      </c>
      <c r="AF26" s="1442"/>
      <c r="AG26" s="1435">
        <v>97.968312499999882</v>
      </c>
      <c r="AH26" s="1401">
        <v>70</v>
      </c>
      <c r="AI26" s="1401">
        <v>107.53118333333377</v>
      </c>
      <c r="AJ26" s="1401">
        <v>110</v>
      </c>
      <c r="AK26" s="1606">
        <f>AJ26</f>
        <v>110</v>
      </c>
      <c r="AL26" s="1442"/>
      <c r="AM26" s="2144">
        <v>95</v>
      </c>
      <c r="AN26" s="2145">
        <v>80</v>
      </c>
      <c r="AO26" s="2145">
        <v>90</v>
      </c>
      <c r="AP26" s="2145">
        <v>70</v>
      </c>
      <c r="AQ26" s="1606">
        <f>AP26</f>
        <v>70</v>
      </c>
      <c r="AR26" s="1442" t="s">
        <v>16</v>
      </c>
      <c r="AS26" s="2144">
        <v>100</v>
      </c>
      <c r="AT26" s="2145">
        <v>95.476959766669367</v>
      </c>
      <c r="AU26" s="2145">
        <v>70</v>
      </c>
      <c r="AV26" s="2167">
        <v>70</v>
      </c>
      <c r="AW26" s="1606">
        <f>AV26</f>
        <v>70</v>
      </c>
      <c r="AX26" s="1442"/>
      <c r="AY26" s="2144">
        <v>80</v>
      </c>
      <c r="AZ26" s="2145">
        <v>70</v>
      </c>
      <c r="BA26" s="2145">
        <v>70</v>
      </c>
      <c r="BB26" s="2167">
        <v>70</v>
      </c>
      <c r="BC26" s="1606">
        <f>BB26</f>
        <v>70</v>
      </c>
      <c r="BD26" s="1442"/>
      <c r="BE26" s="1430">
        <v>70</v>
      </c>
      <c r="BF26" s="1401">
        <f>BE26</f>
        <v>70</v>
      </c>
      <c r="BG26" s="1401">
        <f>BF26</f>
        <v>70</v>
      </c>
      <c r="BH26" s="1401">
        <f>+BG26</f>
        <v>70</v>
      </c>
      <c r="BI26" s="1606">
        <f>BH26</f>
        <v>70</v>
      </c>
      <c r="BJ26" s="1442"/>
      <c r="BK26" s="1430">
        <v>70</v>
      </c>
      <c r="BL26" s="1401">
        <f>BK26</f>
        <v>70</v>
      </c>
      <c r="BM26" s="1401">
        <f>BL26</f>
        <v>70</v>
      </c>
      <c r="BN26" s="1605">
        <f>BM26</f>
        <v>70</v>
      </c>
      <c r="BO26" s="1606">
        <f>BN26</f>
        <v>70</v>
      </c>
      <c r="BP26" s="1442"/>
      <c r="BQ26" s="1430">
        <v>70</v>
      </c>
      <c r="BR26" s="1401">
        <f>BQ26</f>
        <v>70</v>
      </c>
      <c r="BS26" s="1401">
        <f>BR26</f>
        <v>70</v>
      </c>
      <c r="BT26" s="1605">
        <f>BS26</f>
        <v>70</v>
      </c>
      <c r="BU26" s="1606">
        <f>BT26</f>
        <v>70</v>
      </c>
      <c r="BV26" s="1442"/>
      <c r="BW26" s="1430">
        <f>+BU26-5</f>
        <v>65</v>
      </c>
      <c r="BX26" s="1401">
        <f>BW26</f>
        <v>65</v>
      </c>
      <c r="BY26" s="1401">
        <f>BX26</f>
        <v>65</v>
      </c>
      <c r="BZ26" s="1605">
        <f>BY26</f>
        <v>65</v>
      </c>
      <c r="CA26" s="1606">
        <f>BZ26</f>
        <v>65</v>
      </c>
      <c r="CB26" s="1442"/>
      <c r="CC26" s="1430">
        <f t="shared" ref="CC26" si="47">+CA26-5</f>
        <v>60</v>
      </c>
      <c r="CD26" s="1401">
        <f t="shared" ref="CD26:CG26" si="48">CC26</f>
        <v>60</v>
      </c>
      <c r="CE26" s="1401">
        <f t="shared" si="48"/>
        <v>60</v>
      </c>
      <c r="CF26" s="1605">
        <f t="shared" si="48"/>
        <v>60</v>
      </c>
      <c r="CG26" s="1606">
        <f t="shared" si="48"/>
        <v>60</v>
      </c>
      <c r="CH26" s="1442"/>
      <c r="CI26" s="1430">
        <f t="shared" ref="CI26" si="49">+CG26-5</f>
        <v>55</v>
      </c>
      <c r="CJ26" s="1401">
        <f t="shared" ref="CJ26:CM26" si="50">CI26</f>
        <v>55</v>
      </c>
      <c r="CK26" s="1401">
        <f t="shared" si="50"/>
        <v>55</v>
      </c>
      <c r="CL26" s="1605">
        <f t="shared" si="50"/>
        <v>55</v>
      </c>
      <c r="CM26" s="1606">
        <f t="shared" si="50"/>
        <v>55</v>
      </c>
      <c r="CN26" s="1442"/>
      <c r="CO26" s="1430">
        <f t="shared" ref="CO26" si="51">+CM26-5</f>
        <v>50</v>
      </c>
      <c r="CP26" s="1401">
        <f t="shared" ref="CP26:CS26" si="52">CO26</f>
        <v>50</v>
      </c>
      <c r="CQ26" s="1401">
        <f t="shared" si="52"/>
        <v>50</v>
      </c>
      <c r="CR26" s="1605">
        <f t="shared" si="52"/>
        <v>50</v>
      </c>
      <c r="CS26" s="1606">
        <f t="shared" si="52"/>
        <v>50</v>
      </c>
      <c r="CT26" s="201"/>
      <c r="CU26" s="201"/>
      <c r="CV26" s="9"/>
      <c r="CW26" s="201"/>
      <c r="CX26" s="201"/>
      <c r="CY26" s="201"/>
      <c r="CZ26" s="201"/>
      <c r="DA26" s="201"/>
      <c r="DB26" s="201"/>
      <c r="DC26" s="201"/>
      <c r="DD26" s="201"/>
      <c r="DE26" s="201"/>
      <c r="DF26" s="201"/>
      <c r="DG26" s="1401"/>
      <c r="DH26" s="201"/>
      <c r="DJ26" s="201"/>
      <c r="DK26" s="201"/>
      <c r="DL26" s="201"/>
      <c r="DM26" s="201"/>
      <c r="DN26" s="201"/>
      <c r="DO26" s="201"/>
      <c r="DP26" s="201"/>
      <c r="DQ26" s="201"/>
      <c r="DR26" s="201"/>
      <c r="DS26" s="201"/>
      <c r="DT26" s="201"/>
    </row>
    <row r="27" spans="1:138" ht="12.75" hidden="1" customHeight="1" outlineLevel="1">
      <c r="A27" s="1007" t="s">
        <v>218</v>
      </c>
      <c r="B27" s="737"/>
      <c r="C27" s="748">
        <v>30</v>
      </c>
      <c r="D27" s="738">
        <v>30</v>
      </c>
      <c r="E27" s="738">
        <v>38</v>
      </c>
      <c r="F27" s="738">
        <v>40</v>
      </c>
      <c r="G27" s="739">
        <f>SUM(C27:F27)</f>
        <v>138</v>
      </c>
      <c r="H27" s="737"/>
      <c r="I27" s="748">
        <v>37</v>
      </c>
      <c r="J27" s="738">
        <v>28</v>
      </c>
      <c r="K27" s="738">
        <v>33</v>
      </c>
      <c r="L27" s="773">
        <v>36</v>
      </c>
      <c r="M27" s="739">
        <f>SUM(I27:L27)</f>
        <v>134</v>
      </c>
      <c r="N27" s="737"/>
      <c r="O27" s="748">
        <v>50</v>
      </c>
      <c r="P27" s="738">
        <v>50</v>
      </c>
      <c r="Q27" s="738">
        <v>50</v>
      </c>
      <c r="R27" s="773">
        <v>50</v>
      </c>
      <c r="S27" s="741">
        <f>SUM(O27:R27)</f>
        <v>200</v>
      </c>
      <c r="T27" s="737"/>
      <c r="U27" s="748">
        <v>50</v>
      </c>
      <c r="V27" s="738">
        <v>40</v>
      </c>
      <c r="W27" s="738">
        <v>40</v>
      </c>
      <c r="X27" s="773">
        <v>69</v>
      </c>
      <c r="Y27" s="739">
        <f>SUM(U27:X27)</f>
        <v>199</v>
      </c>
      <c r="Z27" s="737"/>
      <c r="AA27" s="748">
        <v>70</v>
      </c>
      <c r="AB27" s="738">
        <v>66</v>
      </c>
      <c r="AC27" s="738">
        <v>50</v>
      </c>
      <c r="AD27" s="738">
        <v>75</v>
      </c>
      <c r="AE27" s="739">
        <f>SUM(AA27:AD27)</f>
        <v>261</v>
      </c>
      <c r="AF27" s="1608"/>
      <c r="AG27" s="1432">
        <v>80</v>
      </c>
      <c r="AH27" s="1611">
        <v>80</v>
      </c>
      <c r="AI27" s="1611">
        <v>80</v>
      </c>
      <c r="AJ27" s="1611">
        <v>90</v>
      </c>
      <c r="AK27" s="1610">
        <f>SUM(AG27:AJ27)</f>
        <v>330</v>
      </c>
      <c r="AL27" s="1608"/>
      <c r="AM27" s="2146">
        <v>90</v>
      </c>
      <c r="AN27" s="2147">
        <v>60</v>
      </c>
      <c r="AO27" s="2147">
        <v>75</v>
      </c>
      <c r="AP27" s="2147">
        <v>60</v>
      </c>
      <c r="AQ27" s="1610">
        <f>SUM(AM27:AP27)</f>
        <v>285</v>
      </c>
      <c r="AR27" s="1608"/>
      <c r="AS27" s="2146">
        <v>85</v>
      </c>
      <c r="AT27" s="2147">
        <v>50</v>
      </c>
      <c r="AU27" s="2147">
        <v>40</v>
      </c>
      <c r="AV27" s="2168">
        <v>25</v>
      </c>
      <c r="AW27" s="1610">
        <f>SUM(AS27:AV27)</f>
        <v>200</v>
      </c>
      <c r="AX27" s="1608"/>
      <c r="AY27" s="2146">
        <v>25</v>
      </c>
      <c r="AZ27" s="2147">
        <v>55</v>
      </c>
      <c r="BA27" s="2147">
        <v>40</v>
      </c>
      <c r="BB27" s="2168">
        <v>70</v>
      </c>
      <c r="BC27" s="1610">
        <f>SUM(AY27:BB27)</f>
        <v>190</v>
      </c>
      <c r="BD27" s="1608"/>
      <c r="BE27" s="1673">
        <v>60</v>
      </c>
      <c r="BF27" s="2252">
        <v>85</v>
      </c>
      <c r="BG27" s="2252">
        <v>100</v>
      </c>
      <c r="BH27" s="2407">
        <v>45</v>
      </c>
      <c r="BI27" s="1610">
        <f>SUM(BE27:BH27)</f>
        <v>290</v>
      </c>
      <c r="BJ27" s="1608"/>
      <c r="BK27" s="1673">
        <v>70</v>
      </c>
      <c r="BL27" s="2252">
        <v>85</v>
      </c>
      <c r="BM27" s="2744">
        <v>170</v>
      </c>
      <c r="BN27" s="2744">
        <v>115</v>
      </c>
      <c r="BO27" s="1610">
        <f>SUM(BK27:BN27)</f>
        <v>440</v>
      </c>
      <c r="BP27" s="1608"/>
      <c r="BQ27" s="3032">
        <v>85</v>
      </c>
      <c r="BR27" s="2418">
        <f>BQ27</f>
        <v>85</v>
      </c>
      <c r="BS27" s="2418">
        <f>BR27</f>
        <v>85</v>
      </c>
      <c r="BT27" s="2418">
        <f>BS27</f>
        <v>85</v>
      </c>
      <c r="BU27" s="1610">
        <f>SUM(BQ27:BT27)</f>
        <v>340</v>
      </c>
      <c r="BV27" s="1608"/>
      <c r="BW27" s="2417">
        <f>+BT27-5</f>
        <v>80</v>
      </c>
      <c r="BX27" s="2418">
        <f>BW27</f>
        <v>80</v>
      </c>
      <c r="BY27" s="2418">
        <f>BX27</f>
        <v>80</v>
      </c>
      <c r="BZ27" s="2418">
        <f>BY27</f>
        <v>80</v>
      </c>
      <c r="CA27" s="1610">
        <f>SUM(BW27:BZ27)</f>
        <v>320</v>
      </c>
      <c r="CB27" s="1608"/>
      <c r="CC27" s="2417">
        <f t="shared" ref="CC27" si="53">+BW27</f>
        <v>80</v>
      </c>
      <c r="CD27" s="2418">
        <f t="shared" ref="CD27:CF27" si="54">CC27</f>
        <v>80</v>
      </c>
      <c r="CE27" s="2418">
        <f t="shared" si="54"/>
        <v>80</v>
      </c>
      <c r="CF27" s="2418">
        <f t="shared" si="54"/>
        <v>80</v>
      </c>
      <c r="CG27" s="1610">
        <f t="shared" ref="CG27" si="55">SUM(CC27:CF27)</f>
        <v>320</v>
      </c>
      <c r="CH27" s="1608"/>
      <c r="CI27" s="2417">
        <f t="shared" ref="CI27" si="56">+CC27</f>
        <v>80</v>
      </c>
      <c r="CJ27" s="2418">
        <f t="shared" ref="CJ27:CL27" si="57">CI27</f>
        <v>80</v>
      </c>
      <c r="CK27" s="2418">
        <f t="shared" si="57"/>
        <v>80</v>
      </c>
      <c r="CL27" s="2418">
        <f t="shared" si="57"/>
        <v>80</v>
      </c>
      <c r="CM27" s="1610">
        <f t="shared" ref="CM27" si="58">SUM(CI27:CL27)</f>
        <v>320</v>
      </c>
      <c r="CN27" s="1608"/>
      <c r="CO27" s="2417">
        <f t="shared" ref="CO27" si="59">+CI27</f>
        <v>80</v>
      </c>
      <c r="CP27" s="2418">
        <f t="shared" ref="CP27:CR27" si="60">CO27</f>
        <v>80</v>
      </c>
      <c r="CQ27" s="2418">
        <f t="shared" si="60"/>
        <v>80</v>
      </c>
      <c r="CR27" s="2418">
        <f t="shared" si="60"/>
        <v>80</v>
      </c>
      <c r="CS27" s="1610">
        <f t="shared" ref="CS27" si="61">SUM(CO27:CR27)</f>
        <v>320</v>
      </c>
      <c r="CT27" s="205"/>
      <c r="CU27" s="205"/>
      <c r="CV27" s="9"/>
      <c r="CW27" s="205"/>
      <c r="CX27" s="205"/>
      <c r="CY27" s="205"/>
      <c r="CZ27" s="205"/>
      <c r="DA27" s="205"/>
      <c r="DB27" s="205"/>
      <c r="DC27" s="205"/>
      <c r="DD27" s="205"/>
      <c r="DE27" s="205"/>
      <c r="DF27" s="205"/>
      <c r="DG27" s="205"/>
      <c r="DH27" s="205"/>
      <c r="DI27" s="205"/>
      <c r="DJ27" s="205"/>
      <c r="DK27" s="205"/>
      <c r="DL27" s="205"/>
      <c r="DM27" s="205"/>
      <c r="DN27" s="205"/>
      <c r="DO27" s="205"/>
      <c r="DP27" s="205"/>
      <c r="DQ27" s="205"/>
      <c r="DR27" s="205"/>
      <c r="DS27" s="205"/>
      <c r="DT27" s="205"/>
    </row>
    <row r="28" spans="1:138" ht="12.75" hidden="1" customHeight="1" outlineLevel="1">
      <c r="A28" s="206" t="s">
        <v>11</v>
      </c>
      <c r="B28" s="207"/>
      <c r="C28" s="749">
        <v>50</v>
      </c>
      <c r="D28" s="742">
        <f>C28+D27</f>
        <v>80</v>
      </c>
      <c r="E28" s="742">
        <f>D28+E27</f>
        <v>118</v>
      </c>
      <c r="F28" s="742">
        <f>E28+F27</f>
        <v>158</v>
      </c>
      <c r="G28" s="743">
        <f>F28</f>
        <v>158</v>
      </c>
      <c r="H28" s="742"/>
      <c r="I28" s="745">
        <f>F28+I27</f>
        <v>195</v>
      </c>
      <c r="J28" s="742">
        <f>I28+J27</f>
        <v>223</v>
      </c>
      <c r="K28" s="742">
        <f>J28+K27</f>
        <v>256</v>
      </c>
      <c r="L28" s="744">
        <f>K28+L27</f>
        <v>292</v>
      </c>
      <c r="M28" s="743">
        <f>L28</f>
        <v>292</v>
      </c>
      <c r="N28" s="742"/>
      <c r="O28" s="745">
        <f>L28+O27</f>
        <v>342</v>
      </c>
      <c r="P28" s="742">
        <f>O28+P27</f>
        <v>392</v>
      </c>
      <c r="Q28" s="742">
        <f>P28+Q27</f>
        <v>442</v>
      </c>
      <c r="R28" s="744">
        <f>Q28+R27</f>
        <v>492</v>
      </c>
      <c r="S28" s="744">
        <f>R28</f>
        <v>492</v>
      </c>
      <c r="T28" s="742"/>
      <c r="U28" s="745">
        <f>R28+U27</f>
        <v>542</v>
      </c>
      <c r="V28" s="742">
        <f>U28+V27</f>
        <v>582</v>
      </c>
      <c r="W28" s="742">
        <f>V28+W27</f>
        <v>622</v>
      </c>
      <c r="X28" s="744">
        <f>W28+X27</f>
        <v>691</v>
      </c>
      <c r="Y28" s="743">
        <v>1086.5</v>
      </c>
      <c r="Z28" s="742"/>
      <c r="AA28" s="745">
        <f>X28+AA27</f>
        <v>761</v>
      </c>
      <c r="AB28" s="742">
        <f>AA28+AB27</f>
        <v>827</v>
      </c>
      <c r="AC28" s="742">
        <f>AB28+AC27</f>
        <v>877</v>
      </c>
      <c r="AD28" s="744">
        <f>AC28+AD27</f>
        <v>952</v>
      </c>
      <c r="AE28" s="743">
        <f>AD28</f>
        <v>952</v>
      </c>
      <c r="AF28" s="742"/>
      <c r="AG28" s="745">
        <f>AD28+AG27</f>
        <v>1032</v>
      </c>
      <c r="AH28" s="742">
        <f>AG28+AH27</f>
        <v>1112</v>
      </c>
      <c r="AI28" s="742">
        <f>AH28+AI27</f>
        <v>1192</v>
      </c>
      <c r="AJ28" s="742">
        <f>AI28+AJ27</f>
        <v>1282</v>
      </c>
      <c r="AK28" s="743">
        <f>AJ28</f>
        <v>1282</v>
      </c>
      <c r="AL28" s="742"/>
      <c r="AM28" s="745">
        <f>AJ28+AM27</f>
        <v>1372</v>
      </c>
      <c r="AN28" s="742">
        <f>AM28+AN27</f>
        <v>1432</v>
      </c>
      <c r="AO28" s="742">
        <f>AN28+AO27</f>
        <v>1507</v>
      </c>
      <c r="AP28" s="742">
        <f>AO28+AP27</f>
        <v>1567</v>
      </c>
      <c r="AQ28" s="743">
        <f>AP28</f>
        <v>1567</v>
      </c>
      <c r="AR28" s="742"/>
      <c r="AS28" s="1431">
        <f>AP28+AS27</f>
        <v>1652</v>
      </c>
      <c r="AT28" s="742">
        <f>AS28+AT27</f>
        <v>1702</v>
      </c>
      <c r="AU28" s="742">
        <f>AT28+AU27</f>
        <v>1742</v>
      </c>
      <c r="AV28" s="1680">
        <f>AU28+AV27</f>
        <v>1767</v>
      </c>
      <c r="AW28" s="1681">
        <f>AV28</f>
        <v>1767</v>
      </c>
      <c r="AX28" s="1682"/>
      <c r="AY28" s="1431">
        <f>AV28+AY27</f>
        <v>1792</v>
      </c>
      <c r="AZ28" s="1682">
        <f>AY28+AZ27</f>
        <v>1847</v>
      </c>
      <c r="BA28" s="1682">
        <f>AZ28+BA27</f>
        <v>1887</v>
      </c>
      <c r="BB28" s="1680">
        <f>BA28+BB27</f>
        <v>1957</v>
      </c>
      <c r="BC28" s="1681">
        <f>BB28</f>
        <v>1957</v>
      </c>
      <c r="BD28" s="1682"/>
      <c r="BE28" s="1431">
        <f>BB28+BE27</f>
        <v>2017</v>
      </c>
      <c r="BF28" s="1682">
        <f>BE28+BF27</f>
        <v>2102</v>
      </c>
      <c r="BG28" s="1682">
        <f>BF28+BG27</f>
        <v>2202</v>
      </c>
      <c r="BH28" s="1682">
        <f>BG28+BH27</f>
        <v>2247</v>
      </c>
      <c r="BI28" s="1681">
        <f>BH28</f>
        <v>2247</v>
      </c>
      <c r="BJ28" s="1682"/>
      <c r="BK28" s="1431">
        <f>BH28+BK27</f>
        <v>2317</v>
      </c>
      <c r="BL28" s="1682">
        <f>BK28+BL27</f>
        <v>2402</v>
      </c>
      <c r="BM28" s="1682">
        <f>BL28+BM27</f>
        <v>2572</v>
      </c>
      <c r="BN28" s="1680">
        <f>BM28+BN27</f>
        <v>2687</v>
      </c>
      <c r="BO28" s="1681">
        <f>BN28</f>
        <v>2687</v>
      </c>
      <c r="BP28" s="1682"/>
      <c r="BQ28" s="1431">
        <f>BN28+BQ27</f>
        <v>2772</v>
      </c>
      <c r="BR28" s="1682">
        <f>BQ28+BR27</f>
        <v>2857</v>
      </c>
      <c r="BS28" s="1682">
        <f>BR28+BS27</f>
        <v>2942</v>
      </c>
      <c r="BT28" s="1680">
        <f>BS28+BT27</f>
        <v>3027</v>
      </c>
      <c r="BU28" s="1681">
        <f>BT28</f>
        <v>3027</v>
      </c>
      <c r="BV28" s="1682"/>
      <c r="BW28" s="1431">
        <f>BT28+BW27</f>
        <v>3107</v>
      </c>
      <c r="BX28" s="1682">
        <f>BW28+BX27</f>
        <v>3187</v>
      </c>
      <c r="BY28" s="1682">
        <f>BX28+BY27</f>
        <v>3267</v>
      </c>
      <c r="BZ28" s="1680">
        <f>BY28+BZ27</f>
        <v>3347</v>
      </c>
      <c r="CA28" s="1681">
        <f>BZ28</f>
        <v>3347</v>
      </c>
      <c r="CB28" s="1682"/>
      <c r="CC28" s="1431">
        <f>BZ28+CC27</f>
        <v>3427</v>
      </c>
      <c r="CD28" s="1682">
        <f>CC28+CD27</f>
        <v>3507</v>
      </c>
      <c r="CE28" s="1682">
        <f>CD28+CE27</f>
        <v>3587</v>
      </c>
      <c r="CF28" s="1680">
        <f>CE28+CF27</f>
        <v>3667</v>
      </c>
      <c r="CG28" s="1681">
        <f>CF28</f>
        <v>3667</v>
      </c>
      <c r="CH28" s="1682"/>
      <c r="CI28" s="1431">
        <f>CF28+CI27</f>
        <v>3747</v>
      </c>
      <c r="CJ28" s="1682">
        <f>CI28+CJ27</f>
        <v>3827</v>
      </c>
      <c r="CK28" s="1682">
        <f>CJ28+CK27</f>
        <v>3907</v>
      </c>
      <c r="CL28" s="1680">
        <f>CK28+CL27</f>
        <v>3987</v>
      </c>
      <c r="CM28" s="1681">
        <f>CL28</f>
        <v>3987</v>
      </c>
      <c r="CN28" s="1682"/>
      <c r="CO28" s="1431">
        <f>CL28+CO27</f>
        <v>4067</v>
      </c>
      <c r="CP28" s="1682">
        <f>CO28+CP27</f>
        <v>4147</v>
      </c>
      <c r="CQ28" s="1682">
        <f>CP28+CQ27</f>
        <v>4227</v>
      </c>
      <c r="CR28" s="1680">
        <f>CQ28+CR27</f>
        <v>4307</v>
      </c>
      <c r="CS28" s="1681">
        <f>CR28</f>
        <v>4307</v>
      </c>
      <c r="CT28" s="207"/>
      <c r="CU28" s="205"/>
      <c r="CV28" s="9"/>
      <c r="CW28" s="205"/>
      <c r="CX28" s="205"/>
      <c r="CY28" s="205"/>
      <c r="CZ28" s="205"/>
      <c r="DA28" s="205"/>
      <c r="DB28" s="205"/>
      <c r="DC28" s="205"/>
      <c r="DD28" s="205"/>
      <c r="DE28" s="205"/>
      <c r="DF28" s="205"/>
      <c r="DG28" s="205"/>
      <c r="DJ28" s="205"/>
      <c r="DK28" s="205"/>
      <c r="DL28" s="205"/>
      <c r="DM28" s="205"/>
      <c r="DO28" s="205"/>
      <c r="DP28" s="205"/>
      <c r="DQ28" s="205"/>
      <c r="DR28" s="205"/>
      <c r="DT28" s="205"/>
      <c r="DU28" s="205"/>
      <c r="DV28" s="205"/>
      <c r="DW28" s="205"/>
      <c r="DY28" s="205"/>
      <c r="DZ28" s="205"/>
      <c r="EA28" s="205"/>
      <c r="EB28" s="205"/>
    </row>
    <row r="29" spans="1:138" ht="12.75" hidden="1" customHeight="1" outlineLevel="1">
      <c r="A29" s="784" t="s">
        <v>220</v>
      </c>
      <c r="B29" s="205"/>
      <c r="C29" s="760">
        <f>AVERAGE(C28,246)</f>
        <v>148</v>
      </c>
      <c r="D29" s="740">
        <f>AVERAGE(C28:D28)</f>
        <v>65</v>
      </c>
      <c r="E29" s="740">
        <f>AVERAGE(D28:E28)</f>
        <v>99</v>
      </c>
      <c r="F29" s="740">
        <f>AVERAGE(E28:F28)</f>
        <v>138</v>
      </c>
      <c r="G29" s="739">
        <f>AVERAGE(C29:F29)</f>
        <v>112.5</v>
      </c>
      <c r="H29" s="740"/>
      <c r="I29" s="760">
        <f>AVERAGE(I28,F28)</f>
        <v>176.5</v>
      </c>
      <c r="J29" s="740">
        <f>AVERAGE(I28:J28)</f>
        <v>209</v>
      </c>
      <c r="K29" s="740">
        <f>AVERAGE(J28:K28)</f>
        <v>239.5</v>
      </c>
      <c r="L29" s="741">
        <f>AVERAGE(K28:L28)</f>
        <v>274</v>
      </c>
      <c r="M29" s="739">
        <f>AVERAGE(I29:L29)</f>
        <v>224.75</v>
      </c>
      <c r="N29" s="740"/>
      <c r="O29" s="760">
        <f>AVERAGE(O28,L28)</f>
        <v>317</v>
      </c>
      <c r="P29" s="740">
        <f>AVERAGE(O28:P28)</f>
        <v>367</v>
      </c>
      <c r="Q29" s="740">
        <f>AVERAGE(P28:Q28)</f>
        <v>417</v>
      </c>
      <c r="R29" s="741">
        <f>AVERAGE(Q28:R28)</f>
        <v>467</v>
      </c>
      <c r="S29" s="741">
        <f>AVERAGE(O29:R29)</f>
        <v>392</v>
      </c>
      <c r="T29" s="740"/>
      <c r="U29" s="760">
        <f>AVERAGE(U28,R28)</f>
        <v>517</v>
      </c>
      <c r="V29" s="740">
        <f>AVERAGE(U28:V28)</f>
        <v>562</v>
      </c>
      <c r="W29" s="740">
        <f>AVERAGE(V28:W28)</f>
        <v>602</v>
      </c>
      <c r="X29" s="740">
        <f>AVERAGE(W28:X28)</f>
        <v>656.5</v>
      </c>
      <c r="Y29" s="739">
        <f>AVERAGE(U29:X29)</f>
        <v>584.375</v>
      </c>
      <c r="Z29" s="740"/>
      <c r="AA29" s="760">
        <f>AVERAGE(AA28,X28)</f>
        <v>726</v>
      </c>
      <c r="AB29" s="740">
        <f>AVERAGE(AA28:AB28)</f>
        <v>794</v>
      </c>
      <c r="AC29" s="740">
        <f>AVERAGE(AB28:AC28)</f>
        <v>852</v>
      </c>
      <c r="AD29" s="741">
        <f>AVERAGE(AC28:AD28)</f>
        <v>914.5</v>
      </c>
      <c r="AE29" s="739">
        <f>AVERAGE(AA29:AD29)</f>
        <v>821.625</v>
      </c>
      <c r="AF29" s="740"/>
      <c r="AG29" s="760">
        <f>AVERAGE(AG28,AD28)</f>
        <v>992</v>
      </c>
      <c r="AH29" s="740">
        <f>AVERAGE(AG28:AH28)</f>
        <v>1072</v>
      </c>
      <c r="AI29" s="740">
        <f>AVERAGE(AH28:AI28)</f>
        <v>1152</v>
      </c>
      <c r="AJ29" s="740">
        <f>AVERAGE(AI28:AJ28)</f>
        <v>1237</v>
      </c>
      <c r="AK29" s="739">
        <f>AVERAGE(AG29:AJ29)</f>
        <v>1113.25</v>
      </c>
      <c r="AL29" s="760"/>
      <c r="AM29" s="760">
        <f>AVERAGE(AM28,AJ28)</f>
        <v>1327</v>
      </c>
      <c r="AN29" s="740">
        <f>AVERAGE(AM28:AN28)</f>
        <v>1402</v>
      </c>
      <c r="AO29" s="740">
        <f>AVERAGE(AN28:AO28)</f>
        <v>1469.5</v>
      </c>
      <c r="AP29" s="740">
        <f>AVERAGE(AO28:AP28)</f>
        <v>1537</v>
      </c>
      <c r="AQ29" s="739">
        <f>AVERAGE(AM29:AP29)</f>
        <v>1433.875</v>
      </c>
      <c r="AR29" s="740"/>
      <c r="AS29" s="1432">
        <f>AVERAGE(AS28,AQ28)</f>
        <v>1609.5</v>
      </c>
      <c r="AT29" s="740">
        <f>AVERAGE(AS28:AT28)</f>
        <v>1677</v>
      </c>
      <c r="AU29" s="740">
        <f>AVERAGE(AT28:AU28)</f>
        <v>1722</v>
      </c>
      <c r="AV29" s="1679">
        <f>AVERAGE(AU28:AV28)</f>
        <v>1754.5</v>
      </c>
      <c r="AW29" s="1610">
        <f>AVERAGE(AS29:AV29)</f>
        <v>1690.75</v>
      </c>
      <c r="AX29" s="1611"/>
      <c r="AY29" s="1432">
        <f>AVERAGE(AY28,AW28)</f>
        <v>1779.5</v>
      </c>
      <c r="AZ29" s="1611">
        <f>AVERAGE(AY28:AZ28)</f>
        <v>1819.5</v>
      </c>
      <c r="BA29" s="1611">
        <f>AVERAGE(AZ28:BA28)</f>
        <v>1867</v>
      </c>
      <c r="BB29" s="1679">
        <f>AVERAGE(BA28:BB28)</f>
        <v>1922</v>
      </c>
      <c r="BC29" s="1610">
        <f>AVERAGE(AY29:BB29)</f>
        <v>1847</v>
      </c>
      <c r="BD29" s="1611"/>
      <c r="BE29" s="1432">
        <f>AVERAGE(BE28,BC28)</f>
        <v>1987</v>
      </c>
      <c r="BF29" s="1611">
        <f>AVERAGE(BE28:BF28)</f>
        <v>2059.5</v>
      </c>
      <c r="BG29" s="1611">
        <f>AVERAGE(BF28:BG28)</f>
        <v>2152</v>
      </c>
      <c r="BH29" s="1611">
        <f>AVERAGE(BG28:BH28)</f>
        <v>2224.5</v>
      </c>
      <c r="BI29" s="1610">
        <f>AVERAGE(BE29:BH29)</f>
        <v>2105.75</v>
      </c>
      <c r="BJ29" s="1611"/>
      <c r="BK29" s="1432">
        <f>AVERAGE(BK28,BI28)</f>
        <v>2282</v>
      </c>
      <c r="BL29" s="1611">
        <f>AVERAGE(BK28:BL28)</f>
        <v>2359.5</v>
      </c>
      <c r="BM29" s="1611">
        <f>AVERAGE(BL28:BM28)</f>
        <v>2487</v>
      </c>
      <c r="BN29" s="1611">
        <f>AVERAGE(BM28:BN28)</f>
        <v>2629.5</v>
      </c>
      <c r="BO29" s="1610">
        <f>AVERAGE(BK29:BN29)</f>
        <v>2439.5</v>
      </c>
      <c r="BP29" s="1611"/>
      <c r="BQ29" s="1432">
        <f>AVERAGE(BQ28,BO28)</f>
        <v>2729.5</v>
      </c>
      <c r="BR29" s="1611">
        <f>AVERAGE(BQ28:BR28)</f>
        <v>2814.5</v>
      </c>
      <c r="BS29" s="1611">
        <f>AVERAGE(BR28:BS28)</f>
        <v>2899.5</v>
      </c>
      <c r="BT29" s="1611">
        <f>AVERAGE(BS28:BT28)</f>
        <v>2984.5</v>
      </c>
      <c r="BU29" s="1610">
        <f>AVERAGE(BQ29:BT29)</f>
        <v>2857</v>
      </c>
      <c r="BV29" s="1611"/>
      <c r="BW29" s="1432">
        <f>AVERAGE(BW28,BU28)</f>
        <v>3067</v>
      </c>
      <c r="BX29" s="1611">
        <f>AVERAGE(BW28:BX28)</f>
        <v>3147</v>
      </c>
      <c r="BY29" s="1611">
        <f>AVERAGE(BX28:BY28)</f>
        <v>3227</v>
      </c>
      <c r="BZ29" s="1611">
        <f>AVERAGE(BY28:BZ28)</f>
        <v>3307</v>
      </c>
      <c r="CA29" s="1610">
        <f>AVERAGE(BW29:BZ29)</f>
        <v>3187</v>
      </c>
      <c r="CB29" s="1611"/>
      <c r="CC29" s="1432">
        <f>AVERAGE(CC28,CA28)</f>
        <v>3387</v>
      </c>
      <c r="CD29" s="1611">
        <f>AVERAGE(CC28:CD28)</f>
        <v>3467</v>
      </c>
      <c r="CE29" s="1611">
        <f>AVERAGE(CD28:CE28)</f>
        <v>3547</v>
      </c>
      <c r="CF29" s="1611">
        <f>AVERAGE(CE28:CF28)</f>
        <v>3627</v>
      </c>
      <c r="CG29" s="1610">
        <f>AVERAGE(CC29:CF29)</f>
        <v>3507</v>
      </c>
      <c r="CH29" s="1611"/>
      <c r="CI29" s="1432">
        <f>AVERAGE(CI28,CG28)</f>
        <v>3707</v>
      </c>
      <c r="CJ29" s="1611">
        <f>AVERAGE(CI28:CJ28)</f>
        <v>3787</v>
      </c>
      <c r="CK29" s="1611">
        <f>AVERAGE(CJ28:CK28)</f>
        <v>3867</v>
      </c>
      <c r="CL29" s="1611">
        <f>AVERAGE(CK28:CL28)</f>
        <v>3947</v>
      </c>
      <c r="CM29" s="1610">
        <f>AVERAGE(CI29:CL29)</f>
        <v>3827</v>
      </c>
      <c r="CN29" s="1611"/>
      <c r="CO29" s="1432">
        <f>AVERAGE(CO28,CM28)</f>
        <v>4027</v>
      </c>
      <c r="CP29" s="1611">
        <f>AVERAGE(CO28:CP28)</f>
        <v>4107</v>
      </c>
      <c r="CQ29" s="1611">
        <f>AVERAGE(CP28:CQ28)</f>
        <v>4187</v>
      </c>
      <c r="CR29" s="1611">
        <f>AVERAGE(CQ28:CR28)</f>
        <v>4267</v>
      </c>
      <c r="CS29" s="1610">
        <f>AVERAGE(CO29:CR29)</f>
        <v>4147</v>
      </c>
      <c r="CT29" s="205"/>
      <c r="CU29" s="205"/>
      <c r="CV29" s="205"/>
      <c r="CW29" s="60"/>
      <c r="CX29" s="205"/>
      <c r="CY29" s="205"/>
      <c r="CZ29" s="205"/>
      <c r="DA29" s="205"/>
      <c r="DB29" s="205"/>
      <c r="DC29" s="205"/>
      <c r="DD29" s="205"/>
      <c r="DE29" s="205"/>
      <c r="DF29" s="205"/>
      <c r="DG29" s="1401"/>
      <c r="DJ29" s="205"/>
      <c r="DK29" s="205"/>
      <c r="DL29" s="205"/>
      <c r="DM29" s="205"/>
      <c r="DN29" s="205"/>
      <c r="DO29" s="205"/>
      <c r="DP29" s="205"/>
      <c r="DQ29" s="205"/>
      <c r="DR29" s="205"/>
      <c r="DS29" s="205"/>
      <c r="DT29" s="205"/>
      <c r="DU29" s="205"/>
      <c r="DV29" s="205"/>
      <c r="DW29" s="205"/>
      <c r="DX29" s="205"/>
      <c r="DY29" s="205"/>
      <c r="DZ29" s="205"/>
      <c r="EA29" s="205"/>
      <c r="EB29" s="205"/>
      <c r="EC29" s="205"/>
      <c r="ED29" s="9"/>
      <c r="EE29" s="60"/>
      <c r="EF29" s="60"/>
      <c r="EG29" s="60"/>
      <c r="EH29" s="205"/>
    </row>
    <row r="30" spans="1:138" ht="12.75" hidden="1" customHeight="1" outlineLevel="1" collapsed="1">
      <c r="A30" s="1602" t="s">
        <v>502</v>
      </c>
      <c r="B30" s="1008"/>
      <c r="C30" s="193">
        <f>(C31*4*1000)/C29</f>
        <v>1023.5832432432433</v>
      </c>
      <c r="D30" s="1008">
        <f>(D31*4*1000)/D29</f>
        <v>2678</v>
      </c>
      <c r="E30" s="1008">
        <f>(E31*4*1000)/E29</f>
        <v>1975.9595959595961</v>
      </c>
      <c r="F30" s="1008">
        <f>(F31*4*1000)/F29</f>
        <v>1455.6521739130435</v>
      </c>
      <c r="G30" s="1009">
        <f>AVERAGE(C30:F30)</f>
        <v>1783.2987532789707</v>
      </c>
      <c r="H30" s="1008"/>
      <c r="I30" s="193">
        <f>(I31*4*1000)/I29</f>
        <v>1248.3413031161472</v>
      </c>
      <c r="J30" s="1008">
        <f>(J31*4*1000)/J29</f>
        <v>1349.1148325358852</v>
      </c>
      <c r="K30" s="1008">
        <f>(K31*4*1000)/K29</f>
        <v>1260.0835073068893</v>
      </c>
      <c r="L30" s="1010">
        <f>(L31*4*1000)/L29</f>
        <v>1168.1852554744526</v>
      </c>
      <c r="M30" s="1009">
        <f>AVERAGE(I30:L30)</f>
        <v>1256.4312246083437</v>
      </c>
      <c r="N30" s="205"/>
      <c r="O30" s="193">
        <f>(O31*4*1000)/O29</f>
        <v>997.3186119873817</v>
      </c>
      <c r="P30" s="1008">
        <f>(P31*4*1000)/P29</f>
        <v>723.69209809264305</v>
      </c>
      <c r="Q30" s="1008">
        <f>(Q31*4*1000)/Q29</f>
        <v>493.66906474820144</v>
      </c>
      <c r="R30" s="1010">
        <f>(R31*4*1000)/R29</f>
        <v>542.67665952890798</v>
      </c>
      <c r="S30" s="1010">
        <f>AVERAGE(O30:R30)</f>
        <v>689.33910858928357</v>
      </c>
      <c r="T30" s="205"/>
      <c r="U30" s="193">
        <f>(U31*4*1000)/U29</f>
        <v>529.09090909090901</v>
      </c>
      <c r="V30" s="1008">
        <f>(V31*4*1000)/V29</f>
        <v>582.74377224199281</v>
      </c>
      <c r="W30" s="1008">
        <f>(W31*4*1000)/W29</f>
        <v>548.84325581395353</v>
      </c>
      <c r="X30" s="1008">
        <f>(X31*4*1000)/X29</f>
        <v>449.43716679360261</v>
      </c>
      <c r="Y30" s="1009">
        <f>AVERAGE(U30:X30)</f>
        <v>527.52877598511441</v>
      </c>
      <c r="Z30" s="205"/>
      <c r="AA30" s="193">
        <f>(AA31*4*1000)/AA29</f>
        <v>413.48760330578511</v>
      </c>
      <c r="AB30" s="1008">
        <f>(AB31*4*1000)/AB29</f>
        <v>444.81565491183886</v>
      </c>
      <c r="AC30" s="1008">
        <f>(AC31*4*1000)/AC29</f>
        <v>336.67591549295776</v>
      </c>
      <c r="AD30" s="1008">
        <f>(AD31*4*1000)/AD29</f>
        <v>284.93548387096757</v>
      </c>
      <c r="AE30" s="1009">
        <f>AVERAGE(AA30:AD30)</f>
        <v>369.97866439538734</v>
      </c>
      <c r="AF30" s="205"/>
      <c r="AG30" s="193">
        <f>(AG31*4*1000)/AG29</f>
        <v>309.43770161290325</v>
      </c>
      <c r="AH30" s="1008">
        <f>(AH31*4*1000)/AH29</f>
        <v>270.54863805970149</v>
      </c>
      <c r="AI30" s="1008">
        <f>(AI31*4*1000)/AI29</f>
        <v>229.44325086805546</v>
      </c>
      <c r="AJ30" s="1008">
        <f>(AJ31*4*1000)/AJ29</f>
        <v>233.9955476758285</v>
      </c>
      <c r="AK30" s="1009">
        <f>AVERAGE(AG30:AJ30)</f>
        <v>260.85628455412217</v>
      </c>
      <c r="AL30" s="205"/>
      <c r="AM30" s="193">
        <f>(AM31*4*1000)/AM29</f>
        <v>230.04171170976889</v>
      </c>
      <c r="AN30" s="1008">
        <f>(AN31*4*1000)/AN29</f>
        <v>217.78760657631949</v>
      </c>
      <c r="AO30" s="1008">
        <f>(AO31*4*1000)/AO29</f>
        <v>188.08379720993528</v>
      </c>
      <c r="AP30" s="1008">
        <f>(AP31*4*1000)/AP29</f>
        <v>208.15565499186721</v>
      </c>
      <c r="AQ30" s="1009">
        <f>AVERAGE(AM30:AP30)</f>
        <v>211.01719262197273</v>
      </c>
      <c r="AR30" s="205"/>
      <c r="AS30" s="1433">
        <f>(AS31*4*1000)/AS29</f>
        <v>199.18935341643635</v>
      </c>
      <c r="AT30" s="1008">
        <f>(AT31*4*1000)/AT29</f>
        <v>173.94462471138934</v>
      </c>
      <c r="AU30" s="1008">
        <f>(AU31*4*1000)/AU29</f>
        <v>141.93217305458768</v>
      </c>
      <c r="AV30" s="1683">
        <f>(AV31*4*1000)/AV29</f>
        <v>163.08648716015952</v>
      </c>
      <c r="AW30" s="1660">
        <f>AVERAGE(AS30:AV30)</f>
        <v>169.53815958564323</v>
      </c>
      <c r="AX30" s="9"/>
      <c r="AY30" s="1433">
        <f>(AY31*4*1000)/AY29</f>
        <v>155.09974711997751</v>
      </c>
      <c r="AZ30" s="1384">
        <f>(AZ31*4*1000)/AZ29</f>
        <v>120.91233855454796</v>
      </c>
      <c r="BA30" s="1384">
        <f>(BA31*4*1000)/BA29</f>
        <v>111.40867702196036</v>
      </c>
      <c r="BB30" s="1683">
        <f>(BB31*4*1000)/BB29</f>
        <v>143.60041623309053</v>
      </c>
      <c r="BC30" s="1660">
        <f>AVERAGE(AY30:BB30)</f>
        <v>132.75529473239408</v>
      </c>
      <c r="BD30" s="9"/>
      <c r="BE30" s="1433">
        <f>(BE31*4*1000)/BE29</f>
        <v>130.85052843482637</v>
      </c>
      <c r="BF30" s="1384">
        <f>(BF31*4*1000)/BF29</f>
        <v>132.07089099295945</v>
      </c>
      <c r="BG30" s="1384">
        <f>(BG31*4*1000)/BG29</f>
        <v>117.1003717472119</v>
      </c>
      <c r="BH30" s="1384">
        <f>(BH31*4*1000)/BH29</f>
        <v>136.65992357833221</v>
      </c>
      <c r="BI30" s="1660">
        <f>AVERAGE(BE30:BH30)</f>
        <v>129.17042868833249</v>
      </c>
      <c r="BJ30" s="9"/>
      <c r="BK30" s="1433">
        <f>(BK31*4*1000)/BK29</f>
        <v>120.94653812445223</v>
      </c>
      <c r="BL30" s="1384">
        <f>(BL31*4*1000)/BL29</f>
        <v>108.49756304301759</v>
      </c>
      <c r="BM30" s="1384">
        <f>(BM31*4*1000)/BM29</f>
        <v>114.19380780056292</v>
      </c>
      <c r="BN30" s="1384">
        <f>(BN31*4*1000)/BN29</f>
        <v>124.73854344932496</v>
      </c>
      <c r="BO30" s="1660">
        <f>AVERAGE(BK30:BN30)</f>
        <v>117.09411310433944</v>
      </c>
      <c r="BP30" s="9"/>
      <c r="BQ30" s="1433">
        <f>(BQ31*4*1000)/BQ29</f>
        <v>127.49587836600109</v>
      </c>
      <c r="BR30" s="1384">
        <f>(BR31*4*1000)/BR29</f>
        <v>109.14904956475395</v>
      </c>
      <c r="BS30" s="1384">
        <f>(BS31*4*1000)/BS29</f>
        <v>107.74271426107951</v>
      </c>
      <c r="BT30" s="1384">
        <f>(BT31*4*1000)/BT29</f>
        <v>118.69324845032669</v>
      </c>
      <c r="BU30" s="1660">
        <f>AVERAGE(BQ30:BT30)</f>
        <v>115.77022266054031</v>
      </c>
      <c r="BV30" s="9"/>
      <c r="BW30" s="1433">
        <f>(BW31*4*1000)/BW29</f>
        <v>119.13922399739161</v>
      </c>
      <c r="BX30" s="1384">
        <f>(BX31*4*1000)/BX29</f>
        <v>102.49761677788369</v>
      </c>
      <c r="BY30" s="1384">
        <f>(BY31*4*1000)/BY29</f>
        <v>101.64859002169199</v>
      </c>
      <c r="BZ30" s="1384">
        <f>(BZ31*4*1000)/BZ29</f>
        <v>112.47414575143635</v>
      </c>
      <c r="CA30" s="1660">
        <f>AVERAGE(BW30:BZ30)</f>
        <v>108.93989413710091</v>
      </c>
      <c r="CB30" s="9"/>
      <c r="CC30" s="1433">
        <f>(CC31*4*1000)/CC29</f>
        <v>113.27723649247123</v>
      </c>
      <c r="CD30" s="1384">
        <f>(CD31*4*1000)/CD29</f>
        <v>97.689068358811667</v>
      </c>
      <c r="CE30" s="1384">
        <f>(CE31*4*1000)/CE29</f>
        <v>97.102058077248401</v>
      </c>
      <c r="CF30" s="1384">
        <f>(CF31*4*1000)/CF29</f>
        <v>107.67841191066996</v>
      </c>
      <c r="CG30" s="1660">
        <f>AVERAGE(CC30:CF30)</f>
        <v>103.93669370980032</v>
      </c>
      <c r="CH30" s="9"/>
      <c r="CI30" s="1433">
        <f>(CI31*4*1000)/CI29</f>
        <v>108.6737253844079</v>
      </c>
      <c r="CJ30" s="1384">
        <f>(CJ31*4*1000)/CJ29</f>
        <v>93.906099815157134</v>
      </c>
      <c r="CK30" s="1384">
        <f>(CK31*4*1000)/CK29</f>
        <v>93.520054305663322</v>
      </c>
      <c r="CL30" s="1384">
        <f>(CL31*4*1000)/CL29</f>
        <v>103.89589054978465</v>
      </c>
      <c r="CM30" s="1660">
        <f>AVERAGE(CI30:CL30)</f>
        <v>99.998942513753263</v>
      </c>
      <c r="CN30" s="9"/>
      <c r="CO30" s="1433">
        <f>(CO31*4*1000)/CO29</f>
        <v>105.04002359076237</v>
      </c>
      <c r="CP30" s="1384">
        <f>(CP31*4*1000)/CP29</f>
        <v>90.918802045288558</v>
      </c>
      <c r="CQ30" s="1384">
        <f>(CQ31*4*1000)/CQ29</f>
        <v>90.691223429663268</v>
      </c>
      <c r="CR30" s="1384">
        <f>(CR31*4*1000)/CR29</f>
        <v>100.90952284977737</v>
      </c>
      <c r="CS30" s="1660">
        <f>AVERAGE(CO30:CR30)</f>
        <v>96.889892978872894</v>
      </c>
      <c r="CT30" s="226"/>
      <c r="CU30" s="60"/>
      <c r="CV30" s="60"/>
      <c r="CW30" s="68"/>
      <c r="CX30" s="60"/>
      <c r="CY30" s="60"/>
      <c r="CZ30" s="60"/>
      <c r="DA30" s="60"/>
      <c r="DB30" s="60"/>
      <c r="DC30" s="60"/>
      <c r="DD30" s="60"/>
      <c r="DE30" s="60"/>
      <c r="DF30" s="60"/>
      <c r="DG30" s="1401"/>
      <c r="DH30" s="60"/>
      <c r="DI30" s="60"/>
      <c r="DJ30" s="60"/>
      <c r="DK30" s="60"/>
      <c r="DL30" s="60"/>
      <c r="DM30" s="60"/>
      <c r="DN30" s="205"/>
      <c r="DO30" s="60"/>
      <c r="DP30" s="60"/>
      <c r="DQ30" s="60"/>
      <c r="DR30" s="60"/>
      <c r="DS30" s="205"/>
      <c r="DT30" s="60"/>
      <c r="DU30" s="60"/>
      <c r="DV30" s="60"/>
      <c r="DW30" s="60"/>
      <c r="DX30" s="205"/>
      <c r="DY30" s="60"/>
      <c r="DZ30" s="60"/>
      <c r="EA30" s="60"/>
      <c r="EB30" s="60"/>
      <c r="EC30" s="205"/>
      <c r="ED30" s="60"/>
      <c r="EE30" s="205"/>
      <c r="EF30" s="205"/>
      <c r="EG30" s="205"/>
      <c r="EH30" s="205"/>
    </row>
    <row r="31" spans="1:138" collapsed="1">
      <c r="A31" s="784" t="s">
        <v>381</v>
      </c>
      <c r="B31" s="205"/>
      <c r="C31" s="776">
        <v>37.872579999999999</v>
      </c>
      <c r="D31" s="746">
        <v>43.517499999999998</v>
      </c>
      <c r="E31" s="746">
        <v>48.905000000000001</v>
      </c>
      <c r="F31" s="746">
        <v>50.22</v>
      </c>
      <c r="G31" s="191">
        <f>SUM(C31:F31)</f>
        <v>180.51507999999998</v>
      </c>
      <c r="H31" s="205"/>
      <c r="I31" s="776">
        <v>55.083059999999996</v>
      </c>
      <c r="J31" s="746">
        <v>70.491249999999994</v>
      </c>
      <c r="K31" s="746">
        <v>75.447500000000005</v>
      </c>
      <c r="L31" s="746">
        <v>80.020690000000002</v>
      </c>
      <c r="M31" s="191">
        <f>SUM(I31:L31)</f>
        <v>281.04250000000002</v>
      </c>
      <c r="N31" s="205"/>
      <c r="O31" s="750">
        <f>+O33+O35+O37</f>
        <v>79.037499999999994</v>
      </c>
      <c r="P31" s="205">
        <f>+P33+P35+P37</f>
        <v>66.398750000000007</v>
      </c>
      <c r="Q31" s="205">
        <f>+Q33+Q35+Q37</f>
        <v>51.465000000000003</v>
      </c>
      <c r="R31" s="789">
        <f>+R33+R35+R37</f>
        <v>63.357500000000002</v>
      </c>
      <c r="S31" s="789">
        <f>+S33+S35+S37</f>
        <v>260.25874999999996</v>
      </c>
      <c r="T31" s="205"/>
      <c r="U31" s="750">
        <f>+U33+U35+U37</f>
        <v>68.384999999999991</v>
      </c>
      <c r="V31" s="205">
        <f>+V33+V35+V37</f>
        <v>81.875499999999988</v>
      </c>
      <c r="W31" s="205">
        <f>+W33+W35+W37</f>
        <v>82.600909999999999</v>
      </c>
      <c r="X31" s="205">
        <f>+X33+X35+X37</f>
        <v>73.763875000000027</v>
      </c>
      <c r="Y31" s="191">
        <f>+Y33+Y35+Y37</f>
        <v>306.62528500000002</v>
      </c>
      <c r="Z31" s="205"/>
      <c r="AA31" s="750">
        <f>+AA33+AA35+AA37</f>
        <v>75.048000000000002</v>
      </c>
      <c r="AB31" s="205">
        <f>+AB33+AB35+AB37</f>
        <v>88.295907500000013</v>
      </c>
      <c r="AC31" s="205">
        <f>+AC33+AC35+AC37</f>
        <v>71.711970000000008</v>
      </c>
      <c r="AD31" s="205">
        <f>+AD33+AD35+AD37</f>
        <v>65.143374999999963</v>
      </c>
      <c r="AE31" s="191">
        <f>+AE33+AE35+AE37</f>
        <v>300.1992525</v>
      </c>
      <c r="AF31" s="205"/>
      <c r="AG31" s="750">
        <f>+AG33+AG35+AG37</f>
        <v>76.740549999999999</v>
      </c>
      <c r="AH31" s="205">
        <f>+AH33+AH35+AH37</f>
        <v>72.507035000000002</v>
      </c>
      <c r="AI31" s="205">
        <f>+AI33+AI35+AI37</f>
        <v>66.079656249999971</v>
      </c>
      <c r="AJ31" s="205">
        <f>+AJ33+AJ35+AJ37</f>
        <v>72.363123118749968</v>
      </c>
      <c r="AK31" s="191">
        <f>SUM(AG31:AJ31)</f>
        <v>287.69036436874995</v>
      </c>
      <c r="AL31" s="205"/>
      <c r="AM31" s="750">
        <f>+AM33+AM35+AM37</f>
        <v>76.31633785971583</v>
      </c>
      <c r="AN31" s="205">
        <f>+AN33+AN35+AN37</f>
        <v>76.334556104999976</v>
      </c>
      <c r="AO31" s="205">
        <f>+AO33+AO35+AO37</f>
        <v>69.097284999999971</v>
      </c>
      <c r="AP31" s="205">
        <f>+AP33+AP35+AP37</f>
        <v>79.98381043062497</v>
      </c>
      <c r="AQ31" s="191">
        <f>+AQ33+AQ35+AQ37</f>
        <v>301.73198939534075</v>
      </c>
      <c r="AR31" s="205"/>
      <c r="AS31" s="89">
        <f>+AS33+AS35+AS37</f>
        <v>80.148816080938573</v>
      </c>
      <c r="AT31" s="205">
        <f>+AT33+AT35+AT37</f>
        <v>72.926283910249992</v>
      </c>
      <c r="AU31" s="205">
        <f>+AU33+AU35+AU37</f>
        <v>61.101800499999989</v>
      </c>
      <c r="AV31" s="90">
        <f>+AV33+AV35+AV37</f>
        <v>71.533810430624968</v>
      </c>
      <c r="AW31" s="188">
        <f>+AW33+AW35+AW37</f>
        <v>285.71071092181353</v>
      </c>
      <c r="AX31" s="9"/>
      <c r="AY31" s="2436">
        <v>69</v>
      </c>
      <c r="AZ31" s="2743">
        <v>55</v>
      </c>
      <c r="BA31" s="2743">
        <v>52</v>
      </c>
      <c r="BB31" s="2765">
        <v>69</v>
      </c>
      <c r="BC31" s="188">
        <f>+SUM(AY31:BB31)</f>
        <v>245</v>
      </c>
      <c r="BD31" s="9"/>
      <c r="BE31" s="2436">
        <v>65</v>
      </c>
      <c r="BF31" s="2743">
        <v>68</v>
      </c>
      <c r="BG31" s="2743">
        <v>63</v>
      </c>
      <c r="BH31" s="2743">
        <v>76</v>
      </c>
      <c r="BI31" s="188">
        <f>+SUM(BE31:BH31)</f>
        <v>272</v>
      </c>
      <c r="BJ31" s="9"/>
      <c r="BK31" s="2436">
        <v>69</v>
      </c>
      <c r="BL31" s="2743">
        <v>64</v>
      </c>
      <c r="BM31" s="2743">
        <v>71</v>
      </c>
      <c r="BN31" s="2743">
        <v>82</v>
      </c>
      <c r="BO31" s="188">
        <f>+SUM(BK31:BN31)</f>
        <v>286</v>
      </c>
      <c r="BP31" s="9"/>
      <c r="BQ31" s="2436">
        <v>87</v>
      </c>
      <c r="BR31" s="9">
        <f t="shared" ref="BR31:BS31" si="62">+BL31*(1+BR32)</f>
        <v>76.8</v>
      </c>
      <c r="BS31" s="9">
        <f t="shared" si="62"/>
        <v>78.100000000000009</v>
      </c>
      <c r="BT31" s="9">
        <f>+BN31*(1+BT32)</f>
        <v>88.56</v>
      </c>
      <c r="BU31" s="188">
        <f>+SUM(BQ31:BT31)</f>
        <v>330.46000000000004</v>
      </c>
      <c r="BV31" s="9"/>
      <c r="BW31" s="89">
        <f t="shared" ref="BW31" si="63">+BQ31*(1+BW32)</f>
        <v>91.350000000000009</v>
      </c>
      <c r="BX31" s="9">
        <f t="shared" ref="BX31" si="64">+BR31*(1+BX32)</f>
        <v>80.64</v>
      </c>
      <c r="BY31" s="9">
        <f t="shared" ref="BY31:BZ31" si="65">+BS31*(1+BY32)</f>
        <v>82.00500000000001</v>
      </c>
      <c r="BZ31" s="9">
        <f t="shared" si="65"/>
        <v>92.988</v>
      </c>
      <c r="CA31" s="188">
        <f t="shared" ref="CA31" si="66">+SUM(BW31:BZ31)</f>
        <v>346.983</v>
      </c>
      <c r="CB31" s="9"/>
      <c r="CC31" s="89">
        <f t="shared" ref="CC31" si="67">+BW31*(1+CC32)</f>
        <v>95.917500000000018</v>
      </c>
      <c r="CD31" s="9">
        <f t="shared" ref="CD31" si="68">+BX31*(1+CD32)</f>
        <v>84.672000000000011</v>
      </c>
      <c r="CE31" s="9">
        <f t="shared" ref="CE31" si="69">+BY31*(1+CE32)</f>
        <v>86.105250000000012</v>
      </c>
      <c r="CF31" s="9">
        <f t="shared" ref="CF31" si="70">+BZ31*(1+CF32)</f>
        <v>97.6374</v>
      </c>
      <c r="CG31" s="188">
        <f t="shared" ref="CG31" si="71">+SUM(CC31:CF31)</f>
        <v>364.33215000000007</v>
      </c>
      <c r="CH31" s="9"/>
      <c r="CI31" s="89">
        <f t="shared" ref="CI31" si="72">+CC31*(1+CI32)</f>
        <v>100.71337500000003</v>
      </c>
      <c r="CJ31" s="9">
        <f t="shared" ref="CJ31" si="73">+CD31*(1+CJ32)</f>
        <v>88.905600000000021</v>
      </c>
      <c r="CK31" s="9">
        <f t="shared" ref="CK31" si="74">+CE31*(1+CK32)</f>
        <v>90.41051250000001</v>
      </c>
      <c r="CL31" s="9">
        <f t="shared" ref="CL31" si="75">+CF31*(1+CL32)</f>
        <v>102.51927000000001</v>
      </c>
      <c r="CM31" s="188">
        <f t="shared" ref="CM31" si="76">+SUM(CI31:CL31)</f>
        <v>382.54875750000008</v>
      </c>
      <c r="CN31" s="9"/>
      <c r="CO31" s="89">
        <f t="shared" ref="CO31" si="77">+CI31*(1+CO32)</f>
        <v>105.74904375000003</v>
      </c>
      <c r="CP31" s="9">
        <f t="shared" ref="CP31" si="78">+CJ31*(1+CP32)</f>
        <v>93.350880000000032</v>
      </c>
      <c r="CQ31" s="9">
        <f t="shared" ref="CQ31" si="79">+CK31*(1+CQ32)</f>
        <v>94.931038125000015</v>
      </c>
      <c r="CR31" s="9">
        <f t="shared" ref="CR31" si="80">+CL31*(1+CR32)</f>
        <v>107.64523350000002</v>
      </c>
      <c r="CS31" s="188">
        <f t="shared" ref="CS31" si="81">+SUM(CO31:CR31)</f>
        <v>401.67619537500013</v>
      </c>
      <c r="CT31" s="187"/>
      <c r="CU31" s="201"/>
      <c r="CV31" s="201"/>
      <c r="CW31" s="60"/>
      <c r="CX31" s="201"/>
      <c r="CY31" s="201"/>
      <c r="CZ31" s="201"/>
      <c r="DA31" s="201"/>
      <c r="DB31" s="201"/>
      <c r="DC31" s="201"/>
      <c r="DD31" s="201"/>
      <c r="DE31" s="201"/>
      <c r="DF31" s="201"/>
      <c r="DG31" s="1401"/>
      <c r="DH31" s="201"/>
      <c r="DI31" s="201"/>
      <c r="DJ31" s="201"/>
      <c r="DK31" s="201"/>
      <c r="DL31" s="201"/>
      <c r="DM31" s="201"/>
      <c r="DN31" s="201"/>
      <c r="DO31" s="201"/>
      <c r="DP31" s="201"/>
      <c r="DQ31" s="201"/>
      <c r="DR31" s="201"/>
      <c r="DS31" s="201"/>
      <c r="DT31" s="201"/>
      <c r="DU31" s="201"/>
      <c r="DV31" s="201"/>
      <c r="DW31" s="201"/>
      <c r="DX31" s="201"/>
      <c r="DY31" s="201"/>
      <c r="DZ31" s="201"/>
      <c r="EA31" s="201"/>
      <c r="EB31" s="201"/>
      <c r="EC31" s="201"/>
      <c r="ED31" s="201"/>
      <c r="EE31" s="201"/>
      <c r="EF31" s="201"/>
      <c r="EG31" s="201"/>
      <c r="EH31" s="201"/>
    </row>
    <row r="32" spans="1:138">
      <c r="A32" s="208" t="s">
        <v>219</v>
      </c>
      <c r="B32" s="205"/>
      <c r="C32" s="776"/>
      <c r="D32" s="746"/>
      <c r="E32" s="746"/>
      <c r="F32" s="746"/>
      <c r="G32" s="191"/>
      <c r="H32" s="205"/>
      <c r="I32" s="2822">
        <f>+I31/C31-1</f>
        <v>0.45443114781195248</v>
      </c>
      <c r="J32" s="113">
        <f t="shared" ref="J32:M32" si="82">+J31/D31-1</f>
        <v>0.61983684724536103</v>
      </c>
      <c r="K32" s="113">
        <f t="shared" si="82"/>
        <v>0.54273591657294773</v>
      </c>
      <c r="L32" s="113">
        <f t="shared" si="82"/>
        <v>0.59340282755874152</v>
      </c>
      <c r="M32" s="2823">
        <f t="shared" si="82"/>
        <v>0.55689208901549958</v>
      </c>
      <c r="N32" s="205"/>
      <c r="O32" s="2822">
        <f t="shared" ref="O32" si="83">+O31/I31-1</f>
        <v>0.43487852708255503</v>
      </c>
      <c r="P32" s="113">
        <f t="shared" ref="P32" si="84">+P31/J31-1</f>
        <v>-5.8056851027609602E-2</v>
      </c>
      <c r="Q32" s="113">
        <f t="shared" ref="Q32" si="85">+Q31/K31-1</f>
        <v>-0.31787004208224257</v>
      </c>
      <c r="R32" s="113">
        <f t="shared" ref="R32" si="86">+R31/L31-1</f>
        <v>-0.20823601995933805</v>
      </c>
      <c r="S32" s="2823">
        <f t="shared" ref="S32" si="87">+S31/M31-1</f>
        <v>-7.3952338169494092E-2</v>
      </c>
      <c r="T32" s="205"/>
      <c r="U32" s="2822">
        <f t="shared" ref="U32" si="88">+U31/O31-1</f>
        <v>-0.13477779535030843</v>
      </c>
      <c r="V32" s="113">
        <f t="shared" ref="V32" si="89">+V31/P31-1</f>
        <v>0.23308797228863454</v>
      </c>
      <c r="W32" s="113">
        <f t="shared" ref="W32" si="90">+W31/Q31-1</f>
        <v>0.60499193626736614</v>
      </c>
      <c r="X32" s="113">
        <f t="shared" ref="X32" si="91">+X31/R31-1</f>
        <v>0.16424851043680744</v>
      </c>
      <c r="Y32" s="2823">
        <f t="shared" ref="Y32" si="92">+Y31/S31-1</f>
        <v>0.17815552791212608</v>
      </c>
      <c r="Z32" s="205"/>
      <c r="AA32" s="2822">
        <f t="shared" ref="AA32" si="93">+AA31/U31-1</f>
        <v>9.7433647729765482E-2</v>
      </c>
      <c r="AB32" s="113">
        <f t="shared" ref="AB32" si="94">+AB31/V31-1</f>
        <v>7.8416711959011343E-2</v>
      </c>
      <c r="AC32" s="113">
        <f t="shared" ref="AC32" si="95">+AC31/W31-1</f>
        <v>-0.13182590845548781</v>
      </c>
      <c r="AD32" s="113">
        <f t="shared" ref="AD32" si="96">+AD31/X31-1</f>
        <v>-0.11686614891096847</v>
      </c>
      <c r="AE32" s="2823">
        <f t="shared" ref="AE32" si="97">+AE31/Y31-1</f>
        <v>-2.0957281784507842E-2</v>
      </c>
      <c r="AF32" s="205"/>
      <c r="AG32" s="2822">
        <f t="shared" ref="AG32" si="98">+AG31/AA31-1</f>
        <v>2.2552899477667587E-2</v>
      </c>
      <c r="AH32" s="113">
        <f t="shared" ref="AH32" si="99">+AH31/AB31-1</f>
        <v>-0.17881771587205231</v>
      </c>
      <c r="AI32" s="113">
        <f t="shared" ref="AI32" si="100">+AI31/AC31-1</f>
        <v>-7.85407756891916E-2</v>
      </c>
      <c r="AJ32" s="113">
        <f t="shared" ref="AJ32" si="101">+AJ31/AD31-1</f>
        <v>0.1108285856965503</v>
      </c>
      <c r="AK32" s="2823">
        <f t="shared" ref="AK32" si="102">+AK31/AE31-1</f>
        <v>-4.1668618516130573E-2</v>
      </c>
      <c r="AL32" s="205"/>
      <c r="AM32" s="2822">
        <f t="shared" ref="AM32" si="103">+AM31/AG31-1</f>
        <v>-5.5278746410362123E-3</v>
      </c>
      <c r="AN32" s="113">
        <f t="shared" ref="AN32" si="104">+AN31/AH31-1</f>
        <v>5.2788272269028491E-2</v>
      </c>
      <c r="AO32" s="113">
        <f t="shared" ref="AO32" si="105">+AO31/AI31-1</f>
        <v>4.5666532201429355E-2</v>
      </c>
      <c r="AP32" s="113">
        <f t="shared" ref="AP32" si="106">+AP31/AJ31-1</f>
        <v>0.10531175249815061</v>
      </c>
      <c r="AQ32" s="2823">
        <f t="shared" ref="AQ32" si="107">+AQ31/AK31-1</f>
        <v>4.8808117217971292E-2</v>
      </c>
      <c r="AR32" s="205"/>
      <c r="AS32" s="2822">
        <f t="shared" ref="AS32" si="108">+AS31/AM31-1</f>
        <v>5.021831928397269E-2</v>
      </c>
      <c r="AT32" s="113">
        <f t="shared" ref="AT32" si="109">+AT31/AN31-1</f>
        <v>-4.4649138852157932E-2</v>
      </c>
      <c r="AU32" s="113">
        <f t="shared" ref="AU32" si="110">+AU31/AO31-1</f>
        <v>-0.11571343939201062</v>
      </c>
      <c r="AV32" s="113">
        <f t="shared" ref="AV32" si="111">+AV31/AP31-1</f>
        <v>-0.10564637961740053</v>
      </c>
      <c r="AW32" s="2823">
        <f t="shared" ref="AW32" si="112">+AW31/AQ31-1</f>
        <v>-5.3097712660938767E-2</v>
      </c>
      <c r="AX32" s="205"/>
      <c r="AY32" s="2822">
        <f t="shared" ref="AY32" si="113">+AY31/AS31-1</f>
        <v>-0.13910144436419247</v>
      </c>
      <c r="AZ32" s="113">
        <f t="shared" ref="AZ32" si="114">+AZ31/AT31-1</f>
        <v>-0.24581375807262829</v>
      </c>
      <c r="BA32" s="113">
        <f t="shared" ref="BA32" si="115">+BA31/AU31-1</f>
        <v>-0.14896124869511806</v>
      </c>
      <c r="BB32" s="113">
        <f t="shared" ref="BB32" si="116">+BB31/AV31-1</f>
        <v>-3.5421158405678832E-2</v>
      </c>
      <c r="BC32" s="2823">
        <f t="shared" ref="BC32" si="117">+BC31/AW31-1</f>
        <v>-0.14248927101985431</v>
      </c>
      <c r="BD32" s="205"/>
      <c r="BE32" s="2822">
        <f t="shared" ref="BE32" si="118">+BE31/AY31-1</f>
        <v>-5.7971014492753659E-2</v>
      </c>
      <c r="BF32" s="113">
        <f t="shared" ref="BF32" si="119">+BF31/AZ31-1</f>
        <v>0.23636363636363633</v>
      </c>
      <c r="BG32" s="113">
        <f t="shared" ref="BG32" si="120">+BG31/BA31-1</f>
        <v>0.21153846153846145</v>
      </c>
      <c r="BH32" s="113">
        <f t="shared" ref="BH32" si="121">+BH31/BB31-1</f>
        <v>0.10144927536231885</v>
      </c>
      <c r="BI32" s="2823">
        <f t="shared" ref="BI32" si="122">+BI31/BC31-1</f>
        <v>0.11020408163265305</v>
      </c>
      <c r="BJ32" s="205"/>
      <c r="BK32" s="2822">
        <f t="shared" ref="BK32" si="123">+BK31/BE31-1</f>
        <v>6.1538461538461542E-2</v>
      </c>
      <c r="BL32" s="113">
        <f t="shared" ref="BL32" si="124">+BL31/BF31-1</f>
        <v>-5.8823529411764719E-2</v>
      </c>
      <c r="BM32" s="113">
        <f t="shared" ref="BM32:BN32" si="125">+BM31/BG31-1</f>
        <v>0.12698412698412698</v>
      </c>
      <c r="BN32" s="113">
        <f t="shared" si="125"/>
        <v>7.8947368421052655E-2</v>
      </c>
      <c r="BO32" s="2823">
        <f t="shared" ref="BO32" si="126">+BO31/BI31-1</f>
        <v>5.1470588235294157E-2</v>
      </c>
      <c r="BP32" s="205"/>
      <c r="BQ32" s="2822">
        <f t="shared" ref="BQ32" si="127">+BQ31/BK31-1</f>
        <v>0.26086956521739135</v>
      </c>
      <c r="BR32" s="2824">
        <v>0.2</v>
      </c>
      <c r="BS32" s="2824">
        <v>0.1</v>
      </c>
      <c r="BT32" s="2824">
        <v>0.08</v>
      </c>
      <c r="BU32" s="2823">
        <f t="shared" ref="BU32" si="128">+BU31/BO31-1</f>
        <v>0.15545454545454551</v>
      </c>
      <c r="BV32" s="205"/>
      <c r="BW32" s="2825">
        <v>0.05</v>
      </c>
      <c r="BX32" s="2824">
        <f>+BW32</f>
        <v>0.05</v>
      </c>
      <c r="BY32" s="2824">
        <f>+BX32</f>
        <v>0.05</v>
      </c>
      <c r="BZ32" s="2824">
        <f>+BY32</f>
        <v>0.05</v>
      </c>
      <c r="CA32" s="2823">
        <f t="shared" ref="CA32" si="129">+CA31/BU31-1</f>
        <v>4.9999999999999822E-2</v>
      </c>
      <c r="CB32" s="205"/>
      <c r="CC32" s="2825">
        <v>0.05</v>
      </c>
      <c r="CD32" s="2824">
        <f t="shared" ref="CD32:CF32" si="130">+CC32</f>
        <v>0.05</v>
      </c>
      <c r="CE32" s="2824">
        <f t="shared" si="130"/>
        <v>0.05</v>
      </c>
      <c r="CF32" s="2824">
        <f t="shared" si="130"/>
        <v>0.05</v>
      </c>
      <c r="CG32" s="2823">
        <f t="shared" ref="CG32" si="131">+CG31/CA31-1</f>
        <v>5.0000000000000266E-2</v>
      </c>
      <c r="CH32" s="205"/>
      <c r="CI32" s="2825">
        <v>0.05</v>
      </c>
      <c r="CJ32" s="2824">
        <f t="shared" ref="CJ32" si="132">+CI32</f>
        <v>0.05</v>
      </c>
      <c r="CK32" s="2824">
        <f t="shared" ref="CK32" si="133">+CJ32</f>
        <v>0.05</v>
      </c>
      <c r="CL32" s="2824">
        <f t="shared" ref="CL32" si="134">+CK32</f>
        <v>0.05</v>
      </c>
      <c r="CM32" s="2823">
        <f t="shared" ref="CM32" si="135">+CM31/CG31-1</f>
        <v>5.0000000000000044E-2</v>
      </c>
      <c r="CN32" s="205"/>
      <c r="CO32" s="2825">
        <v>0.05</v>
      </c>
      <c r="CP32" s="2824">
        <f t="shared" ref="CP32" si="136">+CO32</f>
        <v>0.05</v>
      </c>
      <c r="CQ32" s="2824">
        <f t="shared" ref="CQ32" si="137">+CP32</f>
        <v>0.05</v>
      </c>
      <c r="CR32" s="2824">
        <f t="shared" ref="CR32" si="138">+CQ32</f>
        <v>0.05</v>
      </c>
      <c r="CS32" s="2823">
        <f t="shared" ref="CS32" si="139">+CS31/CM31-1</f>
        <v>5.0000000000000044E-2</v>
      </c>
      <c r="CT32" s="187"/>
      <c r="CU32" s="201"/>
      <c r="CV32" s="201"/>
      <c r="CW32" s="60"/>
      <c r="CX32" s="201"/>
      <c r="CY32" s="201"/>
      <c r="CZ32" s="201"/>
      <c r="DA32" s="201"/>
      <c r="DB32" s="201"/>
      <c r="DC32" s="201"/>
      <c r="DD32" s="201"/>
      <c r="DE32" s="201"/>
      <c r="DF32" s="201"/>
      <c r="DG32" s="1401"/>
      <c r="DH32" s="201"/>
      <c r="DI32" s="201"/>
      <c r="DJ32" s="201"/>
      <c r="DK32" s="201"/>
      <c r="DL32" s="201"/>
      <c r="DM32" s="201"/>
      <c r="DN32" s="201"/>
      <c r="DO32" s="201"/>
      <c r="DP32" s="201"/>
      <c r="DQ32" s="201"/>
      <c r="DR32" s="201"/>
      <c r="DS32" s="201"/>
      <c r="DT32" s="201"/>
      <c r="DU32" s="201"/>
      <c r="DV32" s="201"/>
      <c r="DW32" s="201"/>
      <c r="DX32" s="201"/>
      <c r="DY32" s="201"/>
      <c r="DZ32" s="201"/>
      <c r="EA32" s="201"/>
      <c r="EB32" s="201"/>
      <c r="EC32" s="201"/>
      <c r="ED32" s="201"/>
      <c r="EE32" s="201"/>
      <c r="EF32" s="201"/>
      <c r="EG32" s="201"/>
      <c r="EH32" s="201"/>
    </row>
    <row r="33" spans="1:140" ht="12.75" hidden="1" customHeight="1">
      <c r="A33" s="796" t="s">
        <v>4</v>
      </c>
      <c r="B33" s="205"/>
      <c r="C33" s="776"/>
      <c r="D33" s="746"/>
      <c r="E33" s="746"/>
      <c r="F33" s="746"/>
      <c r="G33" s="1011">
        <v>120</v>
      </c>
      <c r="H33" s="205"/>
      <c r="I33" s="776"/>
      <c r="J33" s="746"/>
      <c r="K33" s="746"/>
      <c r="L33" s="746"/>
      <c r="M33" s="1011">
        <v>195</v>
      </c>
      <c r="N33" s="205"/>
      <c r="O33" s="776">
        <v>53</v>
      </c>
      <c r="P33" s="746">
        <v>38.998750000000001</v>
      </c>
      <c r="Q33" s="746">
        <v>25.3</v>
      </c>
      <c r="R33" s="772">
        <v>37</v>
      </c>
      <c r="S33" s="789">
        <f>SUM(O33:R33)</f>
        <v>154.29874999999998</v>
      </c>
      <c r="T33" s="205"/>
      <c r="U33" s="776">
        <f>36.5-0.111250000000013</f>
        <v>36.388749999999987</v>
      </c>
      <c r="V33" s="746">
        <v>36.875499999999995</v>
      </c>
      <c r="W33" s="746">
        <f>38-0.00843499999999153</f>
        <v>37.991565000000008</v>
      </c>
      <c r="X33" s="772">
        <f>37.5-0.244937499999992</f>
        <v>37.255062500000008</v>
      </c>
      <c r="Y33" s="191">
        <f>SUM(U33:X33)</f>
        <v>148.51087749999999</v>
      </c>
      <c r="Z33" s="205"/>
      <c r="AA33" s="776">
        <v>34.981000000000023</v>
      </c>
      <c r="AB33" s="746">
        <v>37</v>
      </c>
      <c r="AC33" s="746">
        <v>31.70558625000001</v>
      </c>
      <c r="AD33" s="746">
        <v>32.143374999999963</v>
      </c>
      <c r="AE33" s="191">
        <f>SUM(AA33:AD33)</f>
        <v>135.82996125</v>
      </c>
      <c r="AF33" s="9"/>
      <c r="AG33" s="95">
        <v>35</v>
      </c>
      <c r="AH33" s="7">
        <v>30</v>
      </c>
      <c r="AI33" s="7">
        <v>27.262156249999972</v>
      </c>
      <c r="AJ33" s="7">
        <v>31</v>
      </c>
      <c r="AK33" s="188">
        <f>SUM(AG33:AJ33)</f>
        <v>123.26215624999998</v>
      </c>
      <c r="AL33" s="89"/>
      <c r="AM33" s="2165">
        <v>27.47578785971584</v>
      </c>
      <c r="AN33" s="9">
        <f>AH33*(1+AN34)</f>
        <v>26.4</v>
      </c>
      <c r="AO33" s="9">
        <f>AI33*(1+AO34)</f>
        <v>23.990697499999975</v>
      </c>
      <c r="AP33" s="9">
        <f>AJ33*(1+AP34)</f>
        <v>31</v>
      </c>
      <c r="AQ33" s="188">
        <f>SUM(AM33:AP33)</f>
        <v>108.86648535971582</v>
      </c>
      <c r="AR33" s="9"/>
      <c r="AS33" s="89">
        <f>AM33*(1+AS34)</f>
        <v>25.277724830938574</v>
      </c>
      <c r="AT33" s="9">
        <f>AN33*(1+AT34)</f>
        <v>17.16</v>
      </c>
      <c r="AU33" s="9">
        <f>AO33*(1+AU34)</f>
        <v>13.194883624999987</v>
      </c>
      <c r="AV33" s="90">
        <f>AP33*(1+AV34)</f>
        <v>21.7</v>
      </c>
      <c r="AW33" s="188">
        <f>SUM(AS33:AV33)</f>
        <v>77.332608455938569</v>
      </c>
      <c r="AX33" s="9"/>
      <c r="AY33" s="89">
        <f>AS33*(1+AY34)</f>
        <v>21.486066106297788</v>
      </c>
      <c r="AZ33" s="9">
        <f>AT33*(1+AZ34)</f>
        <v>14.5002</v>
      </c>
      <c r="BA33" s="9">
        <f>AU33*(1+BA34)</f>
        <v>10.555906899999989</v>
      </c>
      <c r="BB33" s="90">
        <f>AV33*(1+BB34)</f>
        <v>19.963999999999999</v>
      </c>
      <c r="BC33" s="188">
        <f>SUM(AY33:BB33)</f>
        <v>66.506173006297786</v>
      </c>
      <c r="BD33" s="9"/>
      <c r="BE33" s="89"/>
      <c r="BF33" s="9"/>
      <c r="BG33" s="9"/>
      <c r="BH33" s="9"/>
      <c r="BI33" s="188"/>
      <c r="BJ33" s="9"/>
      <c r="BK33" s="89"/>
      <c r="BL33" s="9"/>
      <c r="BM33" s="9"/>
      <c r="BN33" s="9"/>
      <c r="BO33" s="188"/>
      <c r="BP33" s="9"/>
      <c r="BQ33" s="89"/>
      <c r="BR33" s="9"/>
      <c r="BS33" s="9"/>
      <c r="BT33" s="9"/>
      <c r="BU33" s="188"/>
      <c r="BV33" s="9"/>
      <c r="BW33" s="89"/>
      <c r="BX33" s="9"/>
      <c r="BY33" s="9"/>
      <c r="BZ33" s="9"/>
      <c r="CA33" s="188"/>
      <c r="CB33" s="9"/>
      <c r="CC33" s="89"/>
      <c r="CD33" s="9"/>
      <c r="CE33" s="9"/>
      <c r="CF33" s="9"/>
      <c r="CG33" s="188"/>
      <c r="CH33" s="9"/>
      <c r="CI33" s="89"/>
      <c r="CJ33" s="9"/>
      <c r="CK33" s="9"/>
      <c r="CL33" s="9"/>
      <c r="CM33" s="188"/>
      <c r="CN33" s="9"/>
      <c r="CO33" s="89"/>
      <c r="CP33" s="9"/>
      <c r="CQ33" s="9"/>
      <c r="CR33" s="9"/>
      <c r="CS33" s="188"/>
      <c r="CT33" s="205"/>
      <c r="CU33" s="1598"/>
      <c r="CV33" s="205"/>
      <c r="CX33" s="205"/>
      <c r="CY33" s="205"/>
      <c r="CZ33" s="205"/>
      <c r="DA33" s="205"/>
      <c r="DB33" s="205"/>
      <c r="DC33" s="205"/>
      <c r="DD33" s="205"/>
      <c r="DE33" s="205"/>
      <c r="DF33" s="205"/>
      <c r="DG33" s="9"/>
      <c r="DH33" s="205"/>
      <c r="DI33" s="205"/>
      <c r="DJ33" s="205"/>
      <c r="DK33" s="205"/>
      <c r="DL33" s="205"/>
      <c r="DM33" s="205"/>
      <c r="DO33" s="205"/>
      <c r="DP33" s="205"/>
      <c r="DQ33" s="205"/>
      <c r="DR33" s="205"/>
      <c r="DT33" s="205"/>
      <c r="DU33" s="205"/>
      <c r="DV33" s="205"/>
      <c r="DW33" s="205"/>
      <c r="DY33" s="205"/>
      <c r="DZ33" s="205"/>
      <c r="EA33" s="205"/>
      <c r="EB33" s="205"/>
      <c r="ED33" s="60"/>
    </row>
    <row r="34" spans="1:140" ht="12.75" hidden="1" customHeight="1">
      <c r="A34" s="208" t="s">
        <v>219</v>
      </c>
      <c r="B34" s="60"/>
      <c r="C34" s="1012"/>
      <c r="D34" s="1013"/>
      <c r="E34" s="1013"/>
      <c r="F34" s="1013"/>
      <c r="G34" s="1014"/>
      <c r="H34" s="60"/>
      <c r="I34" s="1015"/>
      <c r="J34" s="1016"/>
      <c r="K34" s="1016"/>
      <c r="L34" s="1016"/>
      <c r="M34" s="209">
        <f>M33/G33-1</f>
        <v>0.625</v>
      </c>
      <c r="N34" s="1017"/>
      <c r="O34" s="790"/>
      <c r="P34" s="24"/>
      <c r="Q34" s="24"/>
      <c r="R34" s="210"/>
      <c r="S34" s="210">
        <f>S33/M33-1</f>
        <v>-0.20872435897435904</v>
      </c>
      <c r="T34" s="1017"/>
      <c r="U34" s="225">
        <f>U33/O33-1</f>
        <v>-0.31341981132075492</v>
      </c>
      <c r="V34" s="24">
        <f>V33/P33-1</f>
        <v>-5.4444052693996769E-2</v>
      </c>
      <c r="W34" s="24">
        <f>W33/Q33-1</f>
        <v>0.5016428853754944</v>
      </c>
      <c r="X34" s="210">
        <f>X33/R33-1</f>
        <v>6.8935810810812903E-3</v>
      </c>
      <c r="Y34" s="209">
        <f>+Y33/S33-1</f>
        <v>-3.7510819109033533E-2</v>
      </c>
      <c r="Z34" s="1017"/>
      <c r="AA34" s="225">
        <f>AA33/U33-1</f>
        <v>-3.8686407200026474E-2</v>
      </c>
      <c r="AB34" s="24">
        <f>AB33/V33-1</f>
        <v>3.3762254071132425E-3</v>
      </c>
      <c r="AC34" s="114">
        <v>-0.02</v>
      </c>
      <c r="AD34" s="114">
        <v>0.01</v>
      </c>
      <c r="AE34" s="209">
        <f>+AE33/Y33-1</f>
        <v>-8.5387120886145196E-2</v>
      </c>
      <c r="AF34" s="1612"/>
      <c r="AG34" s="225">
        <f>AG33/AA33-1</f>
        <v>5.4315199679755288E-4</v>
      </c>
      <c r="AH34" s="24">
        <f>AH33/AB33-1</f>
        <v>-0.18918918918918914</v>
      </c>
      <c r="AI34" s="24">
        <f>AI33/AC33-1</f>
        <v>-0.14014659640617866</v>
      </c>
      <c r="AJ34" s="24">
        <f>AJ33/AD33-1</f>
        <v>-3.5571093576824642E-2</v>
      </c>
      <c r="AK34" s="209">
        <f>AK33/AE33-1</f>
        <v>-9.2526014763918862E-2</v>
      </c>
      <c r="AL34" s="1612"/>
      <c r="AM34" s="225">
        <f>AM33/AG33-1</f>
        <v>-0.2149774897224046</v>
      </c>
      <c r="AN34" s="2164">
        <v>-0.12</v>
      </c>
      <c r="AO34" s="2164">
        <v>-0.12</v>
      </c>
      <c r="AP34" s="2164">
        <v>0</v>
      </c>
      <c r="AQ34" s="209">
        <f>AQ33/AK33-1</f>
        <v>-0.11678905617298219</v>
      </c>
      <c r="AR34" s="1612"/>
      <c r="AS34" s="2162">
        <v>-0.08</v>
      </c>
      <c r="AT34" s="2164">
        <v>-0.35</v>
      </c>
      <c r="AU34" s="2164">
        <v>-0.45</v>
      </c>
      <c r="AV34" s="2171">
        <v>-0.3</v>
      </c>
      <c r="AW34" s="209">
        <f>AW33/AQ33-1</f>
        <v>-0.28965642456062812</v>
      </c>
      <c r="AX34" s="1612"/>
      <c r="AY34" s="2162">
        <v>-0.15</v>
      </c>
      <c r="AZ34" s="2164">
        <v>-0.155</v>
      </c>
      <c r="BA34" s="2164">
        <v>-0.2</v>
      </c>
      <c r="BB34" s="2082">
        <v>-0.08</v>
      </c>
      <c r="BC34" s="209">
        <f>BC33/AW33-1</f>
        <v>-0.13999832238698262</v>
      </c>
      <c r="BD34" s="1612"/>
      <c r="BE34" s="769"/>
      <c r="BF34" s="2164"/>
      <c r="BG34" s="2164"/>
      <c r="BH34" s="2082"/>
      <c r="BI34" s="209"/>
      <c r="BJ34" s="1612"/>
      <c r="BK34" s="769"/>
      <c r="BL34" s="2164"/>
      <c r="BM34" s="2784"/>
      <c r="BN34" s="2741"/>
      <c r="BO34" s="209"/>
      <c r="BP34" s="1612"/>
      <c r="BQ34" s="2785"/>
      <c r="BR34" s="2741"/>
      <c r="BS34" s="2741"/>
      <c r="BT34" s="2741"/>
      <c r="BU34" s="209"/>
      <c r="BV34" s="1612"/>
      <c r="BW34" s="769"/>
      <c r="BX34" s="24"/>
      <c r="BY34" s="24"/>
      <c r="BZ34" s="24"/>
      <c r="CA34" s="209"/>
      <c r="CB34" s="1612"/>
      <c r="CC34" s="769"/>
      <c r="CD34" s="24"/>
      <c r="CE34" s="24"/>
      <c r="CF34" s="24"/>
      <c r="CG34" s="209"/>
      <c r="CH34" s="1612"/>
      <c r="CI34" s="769"/>
      <c r="CJ34" s="24"/>
      <c r="CK34" s="24"/>
      <c r="CL34" s="24"/>
      <c r="CM34" s="209"/>
      <c r="CN34" s="1612"/>
      <c r="CO34" s="769"/>
      <c r="CP34" s="24"/>
      <c r="CQ34" s="24"/>
      <c r="CR34" s="24"/>
      <c r="CS34" s="209"/>
      <c r="CT34" s="24"/>
      <c r="CU34" s="60"/>
      <c r="CV34" s="60"/>
      <c r="CW34" s="1356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P34" s="60"/>
      <c r="DQ34" s="60"/>
      <c r="DR34" s="60"/>
      <c r="DS34" s="60"/>
      <c r="DT34" s="60"/>
      <c r="DV34" s="60"/>
      <c r="DY34" s="60"/>
      <c r="EA34" s="60"/>
    </row>
    <row r="35" spans="1:140" ht="12.75" hidden="1" customHeight="1">
      <c r="A35" s="796" t="s">
        <v>383</v>
      </c>
      <c r="B35" s="205"/>
      <c r="C35" s="776"/>
      <c r="D35" s="746"/>
      <c r="E35" s="746"/>
      <c r="F35" s="746"/>
      <c r="G35" s="1011">
        <v>60.5</v>
      </c>
      <c r="H35" s="205"/>
      <c r="I35" s="776"/>
      <c r="J35" s="746"/>
      <c r="K35" s="746"/>
      <c r="L35" s="746"/>
      <c r="M35" s="1011">
        <f>M31-M33</f>
        <v>86.042500000000018</v>
      </c>
      <c r="N35" s="205"/>
      <c r="O35" s="776">
        <v>26.037500000000001</v>
      </c>
      <c r="P35" s="746">
        <v>27.4</v>
      </c>
      <c r="Q35" s="746">
        <f>26.2-0.0349999999999966</f>
        <v>26.165000000000003</v>
      </c>
      <c r="R35" s="772">
        <v>26.357500000000002</v>
      </c>
      <c r="S35" s="789">
        <f>SUM(O35:R35)</f>
        <v>105.96000000000001</v>
      </c>
      <c r="T35" s="205"/>
      <c r="U35" s="776">
        <f>32-0.00374999999999659</f>
        <v>31.996250000000003</v>
      </c>
      <c r="V35" s="746">
        <v>45</v>
      </c>
      <c r="W35" s="746">
        <v>44.60934499999999</v>
      </c>
      <c r="X35" s="772">
        <v>36.508812500000019</v>
      </c>
      <c r="Y35" s="191">
        <f>SUM(U35:X35)</f>
        <v>158.11440750000003</v>
      </c>
      <c r="Z35" s="205"/>
      <c r="AA35" s="776">
        <v>40.066999999999986</v>
      </c>
      <c r="AB35" s="746">
        <v>51.295907500000013</v>
      </c>
      <c r="AC35" s="746">
        <v>40.006383749999998</v>
      </c>
      <c r="AD35" s="746">
        <v>33</v>
      </c>
      <c r="AE35" s="191">
        <f>SUM(AA35:AD35)</f>
        <v>164.36929125</v>
      </c>
      <c r="AF35" s="9"/>
      <c r="AG35" s="95">
        <v>41.740549999999999</v>
      </c>
      <c r="AH35" s="7">
        <v>42.507034999999995</v>
      </c>
      <c r="AI35" s="7">
        <v>37.817500000000003</v>
      </c>
      <c r="AJ35" s="7">
        <v>34.394373118749968</v>
      </c>
      <c r="AK35" s="188">
        <f>SUM(AG35:AJ35)</f>
        <v>156.45945811874995</v>
      </c>
      <c r="AL35" s="9"/>
      <c r="AM35" s="89">
        <f>AG35*(1+AM36)</f>
        <v>41.740549999999999</v>
      </c>
      <c r="AN35" s="9">
        <f>AH35*(1+AN36)</f>
        <v>42.634556104999987</v>
      </c>
      <c r="AO35" s="9">
        <f>AI35*(1+AO36)</f>
        <v>38.006587500000002</v>
      </c>
      <c r="AP35" s="9">
        <f>AJ35*(1+AP36)</f>
        <v>37.833810430624965</v>
      </c>
      <c r="AQ35" s="188">
        <f>SUM(AM35:AP35)</f>
        <v>160.21550403562495</v>
      </c>
      <c r="AR35" s="9"/>
      <c r="AS35" s="89">
        <f>AM35*(1+AS36)</f>
        <v>44.871091249999999</v>
      </c>
      <c r="AT35" s="9">
        <f>AN35*(1+AT36)</f>
        <v>44.766283910249989</v>
      </c>
      <c r="AU35" s="9">
        <f>AO35*(1+AU36)</f>
        <v>39.906916875</v>
      </c>
      <c r="AV35" s="90">
        <f>AP35*(1+AV36)</f>
        <v>37.833810430624965</v>
      </c>
      <c r="AW35" s="188">
        <f>SUM(AS35:AV35)</f>
        <v>167.37810246587495</v>
      </c>
      <c r="AX35" s="9"/>
      <c r="AY35" s="89">
        <f>AS35*(1+AY36)</f>
        <v>44.871091249999999</v>
      </c>
      <c r="AZ35" s="9">
        <f>AT35*(1+AZ36)</f>
        <v>39.394329841019989</v>
      </c>
      <c r="BA35" s="9">
        <f>AU35*(1+BA36)</f>
        <v>33.122741006249996</v>
      </c>
      <c r="BB35" s="90">
        <f>AV35*(1+BB36)</f>
        <v>34.807105596174971</v>
      </c>
      <c r="BC35" s="188">
        <f>SUM(AY35:BB35)</f>
        <v>152.19526769344495</v>
      </c>
      <c r="BD35" s="9"/>
      <c r="BE35" s="89"/>
      <c r="BF35" s="9"/>
      <c r="BG35" s="9"/>
      <c r="BH35" s="9"/>
      <c r="BI35" s="188"/>
      <c r="BJ35" s="9"/>
      <c r="BK35" s="89"/>
      <c r="BL35" s="9"/>
      <c r="BM35" s="9"/>
      <c r="BN35" s="9"/>
      <c r="BO35" s="188"/>
      <c r="BP35" s="9"/>
      <c r="BQ35" s="89"/>
      <c r="BR35" s="9"/>
      <c r="BS35" s="9"/>
      <c r="BT35" s="9"/>
      <c r="BU35" s="188"/>
      <c r="BV35" s="9"/>
      <c r="BW35" s="89"/>
      <c r="BX35" s="9"/>
      <c r="BY35" s="9"/>
      <c r="BZ35" s="9"/>
      <c r="CA35" s="188"/>
      <c r="CB35" s="9"/>
      <c r="CC35" s="89"/>
      <c r="CD35" s="9"/>
      <c r="CE35" s="9"/>
      <c r="CF35" s="9"/>
      <c r="CG35" s="188"/>
      <c r="CH35" s="9"/>
      <c r="CI35" s="89"/>
      <c r="CJ35" s="9"/>
      <c r="CK35" s="9"/>
      <c r="CL35" s="9"/>
      <c r="CM35" s="188"/>
      <c r="CN35" s="9"/>
      <c r="CO35" s="89"/>
      <c r="CP35" s="9"/>
      <c r="CQ35" s="9"/>
      <c r="CR35" s="9"/>
      <c r="CS35" s="188"/>
      <c r="CT35" s="205"/>
      <c r="CU35" s="205"/>
      <c r="CV35" s="205"/>
      <c r="CW35" s="60"/>
      <c r="CX35" s="205"/>
      <c r="CY35" s="205"/>
      <c r="CZ35" s="205"/>
      <c r="DA35" s="205"/>
      <c r="DB35" s="205"/>
      <c r="DC35" s="205"/>
      <c r="DD35" s="205"/>
      <c r="DE35" s="205"/>
      <c r="DF35" s="205"/>
      <c r="DG35" s="9"/>
      <c r="DH35" s="205"/>
      <c r="DI35" s="205"/>
      <c r="DJ35" s="205"/>
      <c r="DK35" s="205"/>
      <c r="DL35" s="205"/>
      <c r="DM35" s="205"/>
      <c r="DN35" s="205"/>
      <c r="DO35" s="205"/>
      <c r="DP35" s="205"/>
      <c r="DQ35" s="205"/>
      <c r="DR35" s="205"/>
      <c r="DS35" s="205"/>
      <c r="DT35" s="205"/>
      <c r="DU35" s="205"/>
      <c r="DV35" s="205"/>
      <c r="DW35" s="205"/>
      <c r="DX35" s="205"/>
      <c r="DY35" s="205"/>
      <c r="DZ35" s="205"/>
      <c r="EA35" s="205"/>
      <c r="EB35" s="205"/>
      <c r="EC35" s="205"/>
      <c r="ED35" s="205"/>
      <c r="EE35" s="205"/>
      <c r="EF35" s="205"/>
      <c r="EG35" s="205"/>
      <c r="EH35" s="205"/>
    </row>
    <row r="36" spans="1:140" ht="12.75" hidden="1" customHeight="1">
      <c r="A36" s="208" t="s">
        <v>219</v>
      </c>
      <c r="B36" s="60"/>
      <c r="C36" s="1018"/>
      <c r="D36" s="951"/>
      <c r="E36" s="951"/>
      <c r="F36" s="951"/>
      <c r="G36" s="224"/>
      <c r="H36" s="60"/>
      <c r="I36" s="1015"/>
      <c r="J36" s="1016"/>
      <c r="K36" s="1016"/>
      <c r="L36" s="1016"/>
      <c r="M36" s="209">
        <f>M35/G35-1</f>
        <v>0.42219008264462832</v>
      </c>
      <c r="N36" s="1017"/>
      <c r="O36" s="225"/>
      <c r="P36" s="211"/>
      <c r="Q36" s="211"/>
      <c r="R36" s="791"/>
      <c r="S36" s="210">
        <f>S35/M35-1</f>
        <v>0.23148444082866004</v>
      </c>
      <c r="T36" s="1017"/>
      <c r="U36" s="225">
        <f>U35/O35-1</f>
        <v>0.22885261641862709</v>
      </c>
      <c r="V36" s="24">
        <f>V35/P35-1</f>
        <v>0.64233576642335777</v>
      </c>
      <c r="W36" s="24">
        <f>W35/Q35-1</f>
        <v>0.70492432639021541</v>
      </c>
      <c r="X36" s="24">
        <f>X35/R35-1</f>
        <v>0.38513942900502762</v>
      </c>
      <c r="Y36" s="209">
        <f>+Y35/S35-1</f>
        <v>0.49220845130237834</v>
      </c>
      <c r="Z36" s="1017"/>
      <c r="AA36" s="225">
        <f>AA35/U35-1</f>
        <v>0.25224049693323369</v>
      </c>
      <c r="AB36" s="24">
        <f>AB35/V35-1</f>
        <v>0.13990905555555577</v>
      </c>
      <c r="AC36" s="24">
        <f>AC35/W35-1</f>
        <v>-0.10318378918139226</v>
      </c>
      <c r="AD36" s="24">
        <f>AD35/X35-1</f>
        <v>-9.6108645001806492E-2</v>
      </c>
      <c r="AE36" s="209">
        <f>+AE35/Y35-1</f>
        <v>3.9559227074230874E-2</v>
      </c>
      <c r="AF36" s="1612"/>
      <c r="AG36" s="225">
        <f>AG35/AA35-1</f>
        <v>4.1768787281304176E-2</v>
      </c>
      <c r="AH36" s="24">
        <f>AH35/AB35-1</f>
        <v>-0.17133671921098215</v>
      </c>
      <c r="AI36" s="24">
        <f>AI35/AC35-1</f>
        <v>-5.4713361839408781E-2</v>
      </c>
      <c r="AJ36" s="24">
        <f>AJ35/AD35-1</f>
        <v>4.2253730871211204E-2</v>
      </c>
      <c r="AK36" s="209">
        <f>AK35/AE35-1</f>
        <v>-4.8122329123020169E-2</v>
      </c>
      <c r="AL36" s="1612"/>
      <c r="AM36" s="2162">
        <v>0</v>
      </c>
      <c r="AN36" s="2164">
        <v>3.0000000000000001E-3</v>
      </c>
      <c r="AO36" s="2164">
        <v>5.0000000000000001E-3</v>
      </c>
      <c r="AP36" s="2164">
        <v>0.1</v>
      </c>
      <c r="AQ36" s="209">
        <f>AQ35/AK35-1</f>
        <v>2.4006512370918554E-2</v>
      </c>
      <c r="AR36" s="1612"/>
      <c r="AS36" s="2162">
        <v>7.4999999999999997E-2</v>
      </c>
      <c r="AT36" s="2164">
        <v>0.05</v>
      </c>
      <c r="AU36" s="2164">
        <v>0.05</v>
      </c>
      <c r="AV36" s="2171">
        <v>0</v>
      </c>
      <c r="AW36" s="209">
        <f>AW35/AQ35-1</f>
        <v>4.4706025633183044E-2</v>
      </c>
      <c r="AX36" s="1612"/>
      <c r="AY36" s="2162">
        <v>0</v>
      </c>
      <c r="AZ36" s="2164">
        <v>-0.12</v>
      </c>
      <c r="BA36" s="2164">
        <v>-0.17</v>
      </c>
      <c r="BB36" s="2082">
        <v>-0.08</v>
      </c>
      <c r="BC36" s="209">
        <f>BC35/AW35-1</f>
        <v>-9.0709803425603308E-2</v>
      </c>
      <c r="BD36" s="1612"/>
      <c r="BE36" s="769"/>
      <c r="BF36" s="2164"/>
      <c r="BG36" s="114"/>
      <c r="BH36" s="114"/>
      <c r="BI36" s="209"/>
      <c r="BJ36" s="1612"/>
      <c r="BK36" s="769"/>
      <c r="BL36" s="2164"/>
      <c r="BM36" s="2784"/>
      <c r="BN36" s="2741"/>
      <c r="BO36" s="209"/>
      <c r="BP36" s="1612"/>
      <c r="BQ36" s="2785"/>
      <c r="BR36" s="114"/>
      <c r="BS36" s="114"/>
      <c r="BT36" s="114"/>
      <c r="BU36" s="209"/>
      <c r="BV36" s="1612"/>
      <c r="BW36" s="769"/>
      <c r="BX36" s="114"/>
      <c r="BY36" s="114"/>
      <c r="BZ36" s="114"/>
      <c r="CA36" s="209"/>
      <c r="CB36" s="1612"/>
      <c r="CC36" s="769"/>
      <c r="CD36" s="114"/>
      <c r="CE36" s="114"/>
      <c r="CF36" s="114"/>
      <c r="CG36" s="209"/>
      <c r="CH36" s="1612"/>
      <c r="CI36" s="769"/>
      <c r="CJ36" s="114"/>
      <c r="CK36" s="114"/>
      <c r="CL36" s="114"/>
      <c r="CM36" s="209"/>
      <c r="CN36" s="1612"/>
      <c r="CO36" s="769"/>
      <c r="CP36" s="114"/>
      <c r="CQ36" s="114"/>
      <c r="CR36" s="114"/>
      <c r="CS36" s="209"/>
      <c r="CT36" s="24"/>
      <c r="CU36" s="60"/>
      <c r="CV36" s="60"/>
      <c r="CW36" s="952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60"/>
      <c r="DI36" s="60"/>
      <c r="DJ36" s="1356"/>
      <c r="DK36" s="1356"/>
      <c r="DL36" s="1356"/>
      <c r="DM36" s="1356"/>
      <c r="DN36" s="1356"/>
      <c r="DO36" s="1356"/>
      <c r="DP36" s="1356"/>
      <c r="DQ36" s="1356"/>
      <c r="DR36" s="1356"/>
      <c r="DS36" s="1356"/>
      <c r="DT36" s="1356"/>
      <c r="DU36" s="1356"/>
      <c r="DV36" s="1356"/>
      <c r="DW36" s="1356"/>
      <c r="DX36" s="1356"/>
      <c r="DY36" s="1356"/>
      <c r="DZ36" s="1356"/>
      <c r="EA36" s="1356"/>
      <c r="EB36" s="1356"/>
      <c r="EC36" s="1356"/>
      <c r="ED36" s="1356"/>
      <c r="EE36" s="1356"/>
      <c r="EF36" s="1356"/>
      <c r="EG36" s="1356"/>
      <c r="EH36" s="1356"/>
      <c r="EJ36" s="1356"/>
    </row>
    <row r="37" spans="1:140" ht="12.75" hidden="1" customHeight="1">
      <c r="A37" s="1590" t="s">
        <v>876</v>
      </c>
      <c r="B37" s="205"/>
      <c r="C37" s="750"/>
      <c r="D37" s="205"/>
      <c r="E37" s="205"/>
      <c r="F37" s="205"/>
      <c r="G37" s="191"/>
      <c r="H37" s="205"/>
      <c r="I37" s="776"/>
      <c r="J37" s="746"/>
      <c r="K37" s="746"/>
      <c r="L37" s="746"/>
      <c r="M37" s="1019"/>
      <c r="N37" s="205"/>
      <c r="O37" s="757"/>
      <c r="P37" s="86"/>
      <c r="Q37" s="86"/>
      <c r="R37" s="767"/>
      <c r="S37" s="767"/>
      <c r="T37" s="205"/>
      <c r="U37" s="757"/>
      <c r="V37" s="86"/>
      <c r="W37" s="86"/>
      <c r="X37" s="86"/>
      <c r="Y37" s="88"/>
      <c r="Z37" s="205"/>
      <c r="AA37" s="757"/>
      <c r="AB37" s="86"/>
      <c r="AC37" s="212"/>
      <c r="AD37" s="212"/>
      <c r="AE37" s="88"/>
      <c r="AF37" s="9"/>
      <c r="AG37" s="770"/>
      <c r="AH37" s="212"/>
      <c r="AI37" s="7">
        <v>1</v>
      </c>
      <c r="AJ37" s="7">
        <v>6.96875</v>
      </c>
      <c r="AK37" s="188">
        <f>SUM(AG37:AJ37)</f>
        <v>7.96875</v>
      </c>
      <c r="AL37" s="9"/>
      <c r="AM37" s="2165">
        <v>7.1</v>
      </c>
      <c r="AN37" s="2166">
        <v>7.3</v>
      </c>
      <c r="AO37" s="2166">
        <v>7.1</v>
      </c>
      <c r="AP37" s="2166">
        <f>AJ37*1.6</f>
        <v>11.15</v>
      </c>
      <c r="AQ37" s="188">
        <f>SUM(AM37:AP37)</f>
        <v>32.65</v>
      </c>
      <c r="AR37" s="9"/>
      <c r="AS37" s="2165">
        <v>10</v>
      </c>
      <c r="AT37" s="2166">
        <v>11</v>
      </c>
      <c r="AU37" s="2166">
        <v>8</v>
      </c>
      <c r="AV37" s="2170">
        <v>12</v>
      </c>
      <c r="AW37" s="188">
        <f>SUM(AS37:AV37)</f>
        <v>41</v>
      </c>
      <c r="AX37" s="9"/>
      <c r="AY37" s="2165">
        <v>11.5</v>
      </c>
      <c r="AZ37" s="9">
        <f>AT37*(1+AZ38)</f>
        <v>9.9</v>
      </c>
      <c r="BA37" s="9">
        <f>AU37*(1+BA38)</f>
        <v>7.2</v>
      </c>
      <c r="BB37" s="90">
        <f>AV37*(1+BB38)</f>
        <v>10.8</v>
      </c>
      <c r="BC37" s="188">
        <f>SUM(AY37:BB37)</f>
        <v>39.4</v>
      </c>
      <c r="BD37" s="9"/>
      <c r="BE37" s="95"/>
      <c r="BF37" s="9"/>
      <c r="BG37" s="9"/>
      <c r="BH37" s="9"/>
      <c r="BI37" s="188"/>
      <c r="BJ37" s="9"/>
      <c r="BK37" s="95"/>
      <c r="BL37" s="9"/>
      <c r="BM37" s="9"/>
      <c r="BN37" s="2742"/>
      <c r="BO37" s="188"/>
      <c r="BP37" s="9"/>
      <c r="BQ37" s="95"/>
      <c r="BR37" s="9"/>
      <c r="BS37" s="9"/>
      <c r="BT37" s="9"/>
      <c r="BU37" s="188"/>
      <c r="BV37" s="9"/>
      <c r="BW37" s="95"/>
      <c r="BX37" s="9"/>
      <c r="BY37" s="9"/>
      <c r="BZ37" s="9"/>
      <c r="CA37" s="188"/>
      <c r="CB37" s="9"/>
      <c r="CC37" s="95"/>
      <c r="CD37" s="9"/>
      <c r="CE37" s="9"/>
      <c r="CF37" s="9"/>
      <c r="CG37" s="188"/>
      <c r="CH37" s="9"/>
      <c r="CI37" s="95"/>
      <c r="CJ37" s="9"/>
      <c r="CK37" s="9"/>
      <c r="CL37" s="9"/>
      <c r="CM37" s="188"/>
      <c r="CN37" s="9"/>
      <c r="CO37" s="95"/>
      <c r="CP37" s="9"/>
      <c r="CQ37" s="9"/>
      <c r="CR37" s="9"/>
      <c r="CS37" s="188"/>
      <c r="CT37" s="86"/>
      <c r="CU37" s="9"/>
      <c r="CV37" s="205"/>
      <c r="CW37" s="205"/>
      <c r="CX37" s="205"/>
      <c r="CY37" s="205"/>
      <c r="CZ37" s="205"/>
      <c r="DA37" s="205"/>
      <c r="DB37" s="205"/>
      <c r="DC37" s="205"/>
      <c r="DD37" s="205"/>
      <c r="DE37" s="205"/>
      <c r="DF37" s="205"/>
      <c r="DG37" s="9"/>
      <c r="DH37" s="205"/>
      <c r="DI37" s="205"/>
      <c r="DJ37" s="60"/>
      <c r="DK37" s="60"/>
      <c r="DL37" s="60"/>
      <c r="DM37" s="60"/>
      <c r="DN37" s="205"/>
      <c r="DO37" s="60"/>
      <c r="DP37" s="60"/>
      <c r="DQ37" s="60"/>
      <c r="DR37" s="60"/>
      <c r="DS37" s="205"/>
      <c r="DT37" s="60"/>
      <c r="DU37" s="60"/>
      <c r="DV37" s="60"/>
      <c r="DW37" s="60"/>
      <c r="DX37" s="205"/>
      <c r="DY37" s="60"/>
      <c r="DZ37" s="60"/>
      <c r="EA37" s="60"/>
      <c r="EB37" s="60"/>
      <c r="EC37" s="205"/>
      <c r="ED37" s="60"/>
      <c r="EE37" s="60"/>
      <c r="EF37" s="60"/>
      <c r="EG37" s="60"/>
      <c r="EH37" s="205"/>
    </row>
    <row r="38" spans="1:140" ht="12.75" hidden="1" customHeight="1">
      <c r="A38" s="208" t="s">
        <v>219</v>
      </c>
      <c r="B38" s="60"/>
      <c r="C38" s="1018"/>
      <c r="D38" s="951"/>
      <c r="E38" s="951"/>
      <c r="F38" s="951"/>
      <c r="G38" s="224"/>
      <c r="H38" s="60"/>
      <c r="I38" s="284" t="str">
        <f>IF(ISERROR(I37/C37-1),"NM",I37/C37-1)</f>
        <v>NM</v>
      </c>
      <c r="J38" s="213" t="str">
        <f>IF(ISERROR(J37/D37-1),"NM",J37/D37-1)</f>
        <v>NM</v>
      </c>
      <c r="K38" s="213" t="str">
        <f>IF(ISERROR(K37/E37-1),"NM",K37/E37-1)</f>
        <v>NM</v>
      </c>
      <c r="L38" s="213" t="str">
        <f>IF(ISERROR(L37/F37-1),"NM",L37/F37-1)</f>
        <v>NM</v>
      </c>
      <c r="M38" s="214" t="str">
        <f>IF(ISERROR(+M37/G37-1),"NM",+M37/G37-1)</f>
        <v>NM</v>
      </c>
      <c r="N38" s="1017"/>
      <c r="O38" s="284" t="str">
        <f>IF(ISERROR(O37/I37-1),"NM",O37/I37-1)</f>
        <v>NM</v>
      </c>
      <c r="P38" s="213" t="str">
        <f>IF(ISERROR(P37/J37-1),"NM",P37/J37-1)</f>
        <v>NM</v>
      </c>
      <c r="Q38" s="213" t="str">
        <f>IF(ISERROR(Q37/K37-1),"NM",Q37/K37-1)</f>
        <v>NM</v>
      </c>
      <c r="R38" s="285" t="str">
        <f>IF(ISERROR(R37/L37-1),"NM",R37/L37-1)</f>
        <v>NM</v>
      </c>
      <c r="S38" s="285" t="str">
        <f>IF(ISERROR(+S37/M37-1),"NM",+S37/M37-1)</f>
        <v>NM</v>
      </c>
      <c r="T38" s="1017"/>
      <c r="U38" s="284" t="str">
        <f>IF(ISERROR(U37/O37-1),"NM",U37/O37-1)</f>
        <v>NM</v>
      </c>
      <c r="V38" s="213" t="str">
        <f>IF(ISERROR(V37/P37-1),"NM",V37/P37-1)</f>
        <v>NM</v>
      </c>
      <c r="W38" s="213" t="str">
        <f>IF(ISERROR(W37/Q37-1),"NM",W37/Q37-1)</f>
        <v>NM</v>
      </c>
      <c r="X38" s="213" t="str">
        <f>IF(ISERROR(X37/R37-1),"NM",X37/R37-1)</f>
        <v>NM</v>
      </c>
      <c r="Y38" s="214" t="str">
        <f>IF(ISERROR(+Y37/S37-1),"NM",+Y37/S37-1)</f>
        <v>NM</v>
      </c>
      <c r="Z38" s="1017"/>
      <c r="AA38" s="284" t="str">
        <f>IF(ISERROR(AA37/U37-1),"NM",AA37/U37-1)</f>
        <v>NM</v>
      </c>
      <c r="AB38" s="213" t="str">
        <f>IF(ISERROR(AB37/V37-1),"NM",AB37/V37-1)</f>
        <v>NM</v>
      </c>
      <c r="AC38" s="213" t="str">
        <f>IF(ISERROR(AC37/W37-1),"NM",AC37/W37-1)</f>
        <v>NM</v>
      </c>
      <c r="AD38" s="213" t="str">
        <f>IF(ISERROR(AD37/X37-1),"NM",AD37/X37-1)</f>
        <v>NM</v>
      </c>
      <c r="AE38" s="214" t="str">
        <f>IF(ISERROR(+AE37/Y37-1),"NM",+AE37/Y37-1)</f>
        <v>NM</v>
      </c>
      <c r="AF38" s="1017"/>
      <c r="AG38" s="284" t="str">
        <f>IF(ISERROR(AG37/AA37-1),"NM",AG37/AA37-1)</f>
        <v>NM</v>
      </c>
      <c r="AH38" s="213" t="str">
        <f>IF(ISERROR(AH37/AB37-1),"NM",AH37/AB37-1)</f>
        <v>NM</v>
      </c>
      <c r="AI38" s="213" t="str">
        <f>IF(ISERROR(AI37/AC37-1),"NM",AI37/AC37-1)</f>
        <v>NM</v>
      </c>
      <c r="AJ38" s="213" t="str">
        <f>IF(ISERROR(AJ37/AD37-1),"NM",AJ37/AD37-1)</f>
        <v>NM</v>
      </c>
      <c r="AK38" s="775" t="str">
        <f>IF(ISERROR(AK37/AE37-1),"NM",AK37/AE37-1)</f>
        <v>NM</v>
      </c>
      <c r="AL38" s="1017"/>
      <c r="AM38" s="284" t="str">
        <f>IF(ISERROR(AM37/AG37-1),"NM",AM37/AG37-1)</f>
        <v>NM</v>
      </c>
      <c r="AN38" s="213" t="str">
        <f>IF(ISERROR(AN37/AH37-1),"NM",AN37/AH37-1)</f>
        <v>NM</v>
      </c>
      <c r="AO38" s="213">
        <f>IF(ISERROR(AO37/AI37-1),"NM",AO37/AI37-1)</f>
        <v>6.1</v>
      </c>
      <c r="AP38" s="213">
        <f>IF(ISERROR(AP37/AJ37-1),"NM",AP37/AJ37-1)</f>
        <v>0.60000000000000009</v>
      </c>
      <c r="AQ38" s="775">
        <f>IF(ISERROR(AQ37/AK37-1),"NM",AQ37/AK37-1)</f>
        <v>3.0972549019607838</v>
      </c>
      <c r="AR38" s="1017"/>
      <c r="AS38" s="284">
        <f>IF(ISERROR(AS37/AM37-1),"NM",AS37/AM37-1)</f>
        <v>0.40845070422535223</v>
      </c>
      <c r="AT38" s="213">
        <f>IF(ISERROR(AT37/AN37-1),"NM",AT37/AN37-1)</f>
        <v>0.50684931506849318</v>
      </c>
      <c r="AU38" s="213">
        <f>IF(ISERROR(AU37/AO37-1),"NM",AU37/AO37-1)</f>
        <v>0.12676056338028174</v>
      </c>
      <c r="AV38" s="285">
        <f>IF(ISERROR(AV37/AP37-1),"NM",AV37/AP37-1)</f>
        <v>7.623318385650224E-2</v>
      </c>
      <c r="AW38" s="775">
        <f>IF(ISERROR(AW37/AQ37-1),"NM",AW37/AQ37-1)</f>
        <v>0.25574272588055136</v>
      </c>
      <c r="AX38" s="1612"/>
      <c r="AY38" s="284">
        <f>IF(ISERROR(AY37/AS37-1),"NM",AY37/AS37-1)</f>
        <v>0.14999999999999991</v>
      </c>
      <c r="AZ38" s="2169">
        <v>-0.1</v>
      </c>
      <c r="BA38" s="2164">
        <v>-0.1</v>
      </c>
      <c r="BB38" s="2082">
        <v>-0.1</v>
      </c>
      <c r="BC38" s="775">
        <f>IF(ISERROR(BC37/AW37-1),"NM",BC37/AW37-1)</f>
        <v>-3.9024390243902474E-2</v>
      </c>
      <c r="BD38" s="1612"/>
      <c r="BE38" s="284"/>
      <c r="BF38" s="2164"/>
      <c r="BG38" s="114"/>
      <c r="BH38" s="114"/>
      <c r="BI38" s="775"/>
      <c r="BJ38" s="1612"/>
      <c r="BK38" s="284"/>
      <c r="BL38" s="2164"/>
      <c r="BM38" s="2164"/>
      <c r="BN38" s="213"/>
      <c r="BO38" s="775"/>
      <c r="BP38" s="1612"/>
      <c r="BQ38" s="284"/>
      <c r="BR38" s="213"/>
      <c r="BS38" s="213"/>
      <c r="BT38" s="213"/>
      <c r="BU38" s="775"/>
      <c r="BV38" s="1612"/>
      <c r="BW38" s="284"/>
      <c r="BX38" s="213"/>
      <c r="BY38" s="213"/>
      <c r="BZ38" s="213"/>
      <c r="CA38" s="775"/>
      <c r="CB38" s="1612"/>
      <c r="CC38" s="284"/>
      <c r="CD38" s="213"/>
      <c r="CE38" s="213"/>
      <c r="CF38" s="213"/>
      <c r="CG38" s="775"/>
      <c r="CH38" s="1612"/>
      <c r="CI38" s="284"/>
      <c r="CJ38" s="213"/>
      <c r="CK38" s="213"/>
      <c r="CL38" s="213"/>
      <c r="CM38" s="775"/>
      <c r="CN38" s="1612"/>
      <c r="CO38" s="284"/>
      <c r="CP38" s="213"/>
      <c r="CQ38" s="213"/>
      <c r="CR38" s="213"/>
      <c r="CS38" s="775"/>
      <c r="CT38" s="24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1356"/>
      <c r="DK38" s="1356"/>
      <c r="DL38" s="1356"/>
      <c r="DM38" s="1356"/>
      <c r="DN38" s="1356"/>
      <c r="DO38" s="1356"/>
      <c r="DP38" s="1356"/>
      <c r="DQ38" s="1356"/>
      <c r="DR38" s="1356"/>
      <c r="DS38" s="1356"/>
      <c r="DT38" s="1356"/>
      <c r="DU38" s="1356"/>
      <c r="DV38" s="1356"/>
      <c r="DW38" s="1356"/>
      <c r="DX38" s="1356"/>
      <c r="DY38" s="1356"/>
      <c r="DZ38" s="1356"/>
      <c r="EA38" s="1356"/>
      <c r="EB38" s="1356"/>
      <c r="EC38" s="1356"/>
      <c r="ED38" s="1356"/>
      <c r="EE38" s="1356"/>
      <c r="EF38" s="1356"/>
      <c r="EG38" s="1356"/>
      <c r="EH38" s="1356"/>
    </row>
    <row r="39" spans="1:140">
      <c r="A39" s="2826" t="s">
        <v>790</v>
      </c>
      <c r="B39" s="2827"/>
      <c r="C39" s="2828">
        <f>C31+C24</f>
        <v>48.177700000000002</v>
      </c>
      <c r="D39" s="2827">
        <f>D31+D24</f>
        <v>53.417499999999997</v>
      </c>
      <c r="E39" s="2827">
        <f>E31+E24</f>
        <v>64.405000000000001</v>
      </c>
      <c r="F39" s="2829">
        <f>F31+F24</f>
        <v>67.22</v>
      </c>
      <c r="G39" s="2830">
        <f>G31+G24</f>
        <v>233.22019999999998</v>
      </c>
      <c r="H39" s="2827"/>
      <c r="I39" s="2828">
        <f>I31+I24</f>
        <v>70.856259999999992</v>
      </c>
      <c r="J39" s="2827">
        <f>J31+J24</f>
        <v>81.191249999999997</v>
      </c>
      <c r="K39" s="2827">
        <f>K31+K24</f>
        <v>87.247500000000002</v>
      </c>
      <c r="L39" s="2829">
        <f>L31+L24</f>
        <v>91.447489999999988</v>
      </c>
      <c r="M39" s="2830">
        <f>M31+M24</f>
        <v>330.74250000000001</v>
      </c>
      <c r="N39" s="2827"/>
      <c r="O39" s="2828">
        <f>O31+O24</f>
        <v>87.9375</v>
      </c>
      <c r="P39" s="2827">
        <f>P31+P24</f>
        <v>75.698750000000004</v>
      </c>
      <c r="Q39" s="2827">
        <f>Q31+Q24</f>
        <v>62.164999999999964</v>
      </c>
      <c r="R39" s="2831">
        <f>R31+R24</f>
        <v>73.157499999999999</v>
      </c>
      <c r="S39" s="2831">
        <f>S31+S24</f>
        <v>298.95874999999995</v>
      </c>
      <c r="T39" s="2827"/>
      <c r="U39" s="2828">
        <f>U31+U24</f>
        <v>78.527291666666656</v>
      </c>
      <c r="V39" s="2827">
        <f>V31+V24</f>
        <v>89.165716666666654</v>
      </c>
      <c r="W39" s="2827">
        <f>W31+W24</f>
        <v>87.593103333333332</v>
      </c>
      <c r="X39" s="2829">
        <f>X31+X24</f>
        <v>85.235558333333387</v>
      </c>
      <c r="Y39" s="2830">
        <f>Y31+Y24</f>
        <v>340.52167000000003</v>
      </c>
      <c r="Z39" s="2827"/>
      <c r="AA39" s="2828">
        <f>AA31+AA24</f>
        <v>81.760159999999999</v>
      </c>
      <c r="AB39" s="2827">
        <f>AB31+AB24</f>
        <v>94.816479500000014</v>
      </c>
      <c r="AC39" s="2827">
        <f>AC31+AC24</f>
        <v>76.26300866666665</v>
      </c>
      <c r="AD39" s="2829">
        <f>AD31+AD24</f>
        <v>72.694701666666646</v>
      </c>
      <c r="AE39" s="2830">
        <f>AE31+AE24</f>
        <v>325.53434983333335</v>
      </c>
      <c r="AF39" s="2827"/>
      <c r="AG39" s="2828">
        <f>AG31+AG24</f>
        <v>84.578014999999994</v>
      </c>
      <c r="AH39" s="2827">
        <f>AH31+AH24</f>
        <v>78.107034999999996</v>
      </c>
      <c r="AI39" s="2827">
        <f>AI31+AI24</f>
        <v>74.682150916666671</v>
      </c>
      <c r="AJ39" s="2827">
        <f>AJ31+AJ24</f>
        <v>82.263123118749974</v>
      </c>
      <c r="AK39" s="2832">
        <f>AK31+AK24</f>
        <v>319.63032403541666</v>
      </c>
      <c r="AL39" s="2827"/>
      <c r="AM39" s="2828">
        <f>AM31+AM24</f>
        <v>84.866337859715827</v>
      </c>
      <c r="AN39" s="2827">
        <f>AN31+AN24</f>
        <v>81.134556104999973</v>
      </c>
      <c r="AO39" s="2827">
        <f>AO31+AO24</f>
        <v>75.847284999999971</v>
      </c>
      <c r="AP39" s="2827">
        <f>AP31+AP24</f>
        <v>84.183810430624973</v>
      </c>
      <c r="AQ39" s="2832">
        <f>AQ31+AQ24</f>
        <v>326.03198939534076</v>
      </c>
      <c r="AR39" s="2827"/>
      <c r="AS39" s="2828">
        <f>AS31+AS24</f>
        <v>88.648816080938573</v>
      </c>
      <c r="AT39" s="2827">
        <f>AT31+AT24</f>
        <v>77.700131898583464</v>
      </c>
      <c r="AU39" s="2827">
        <f>AU31+AU24</f>
        <v>63.901800499999986</v>
      </c>
      <c r="AV39" s="2831">
        <f>AV31+AV24</f>
        <v>73.283810430624968</v>
      </c>
      <c r="AW39" s="2832">
        <f>AW31+AW24</f>
        <v>303.53455891014698</v>
      </c>
      <c r="AX39" s="2827"/>
      <c r="AY39" s="2828">
        <f>AY31+AY24</f>
        <v>71</v>
      </c>
      <c r="AZ39" s="2827">
        <f>AZ31+AZ24</f>
        <v>58.85</v>
      </c>
      <c r="BA39" s="2827">
        <f>BA31+BA24</f>
        <v>54.8</v>
      </c>
      <c r="BB39" s="2831">
        <f>BB31+BB24</f>
        <v>73.900000000000006</v>
      </c>
      <c r="BC39" s="2832">
        <f>BC31+BC24</f>
        <v>258.55</v>
      </c>
      <c r="BD39" s="2827"/>
      <c r="BE39" s="2828">
        <f>BE31+BE24</f>
        <v>69.2</v>
      </c>
      <c r="BF39" s="2827">
        <f>BF31+BF24</f>
        <v>73.95</v>
      </c>
      <c r="BG39" s="2827">
        <f>BG31+BG24</f>
        <v>70</v>
      </c>
      <c r="BH39" s="2827">
        <f>BH31+BH24</f>
        <v>79.150000000000006</v>
      </c>
      <c r="BI39" s="2832">
        <f>BI31+BI24</f>
        <v>292.3</v>
      </c>
      <c r="BJ39" s="2827"/>
      <c r="BK39" s="2828">
        <f>BK31+BK24</f>
        <v>73.900000000000006</v>
      </c>
      <c r="BL39" s="2827">
        <f>BL31+BL24</f>
        <v>69.95</v>
      </c>
      <c r="BM39" s="2827">
        <f>BM31+BM24</f>
        <v>82.9</v>
      </c>
      <c r="BN39" s="2829">
        <f>BN31+BN24</f>
        <v>90.05</v>
      </c>
      <c r="BO39" s="2830">
        <f>BO31+BO24</f>
        <v>316.8</v>
      </c>
      <c r="BP39" s="2827"/>
      <c r="BQ39" s="2828">
        <f>BQ31+BQ24</f>
        <v>92.95</v>
      </c>
      <c r="BR39" s="2827">
        <f>BR31+BR24</f>
        <v>82.75</v>
      </c>
      <c r="BS39" s="2827">
        <f>BS31+BS24</f>
        <v>84.050000000000011</v>
      </c>
      <c r="BT39" s="2829">
        <f>BT31+BT24</f>
        <v>94.51</v>
      </c>
      <c r="BU39" s="2830">
        <f>BU31+BU24</f>
        <v>354.26000000000005</v>
      </c>
      <c r="BV39" s="2827"/>
      <c r="BW39" s="2828">
        <f>BW31+BW24</f>
        <v>96.550000000000011</v>
      </c>
      <c r="BX39" s="2827">
        <f>BX31+BX24</f>
        <v>85.84</v>
      </c>
      <c r="BY39" s="2827">
        <f>BY31+BY24</f>
        <v>87.205000000000013</v>
      </c>
      <c r="BZ39" s="2829">
        <f>BZ31+BZ24</f>
        <v>98.188000000000002</v>
      </c>
      <c r="CA39" s="2830">
        <f>CA31+CA24</f>
        <v>367.78300000000002</v>
      </c>
      <c r="CB39" s="2827"/>
      <c r="CC39" s="2828">
        <f>CC31+CC24</f>
        <v>100.71750000000002</v>
      </c>
      <c r="CD39" s="2827">
        <f>CD31+CD24</f>
        <v>89.472000000000008</v>
      </c>
      <c r="CE39" s="2827">
        <f>CE31+CE24</f>
        <v>90.905250000000009</v>
      </c>
      <c r="CF39" s="2829">
        <f>CF31+CF24</f>
        <v>102.4374</v>
      </c>
      <c r="CG39" s="2830">
        <f>CG31+CG24</f>
        <v>383.53215000000006</v>
      </c>
      <c r="CH39" s="2827"/>
      <c r="CI39" s="2828">
        <f>CI31+CI24</f>
        <v>105.11337500000003</v>
      </c>
      <c r="CJ39" s="2827">
        <f>CJ31+CJ24</f>
        <v>93.305600000000027</v>
      </c>
      <c r="CK39" s="2827">
        <f>CK31+CK24</f>
        <v>94.810512500000016</v>
      </c>
      <c r="CL39" s="2829">
        <f>CL31+CL24</f>
        <v>106.91927000000001</v>
      </c>
      <c r="CM39" s="2830">
        <f>CM31+CM24</f>
        <v>400.1487575000001</v>
      </c>
      <c r="CN39" s="2827"/>
      <c r="CO39" s="2828">
        <f>CO31+CO24</f>
        <v>109.74904375000003</v>
      </c>
      <c r="CP39" s="2827">
        <f>CP31+CP24</f>
        <v>97.350880000000032</v>
      </c>
      <c r="CQ39" s="2827">
        <f>CQ31+CQ24</f>
        <v>98.931038125000015</v>
      </c>
      <c r="CR39" s="2829">
        <f>CR31+CR24</f>
        <v>111.64523350000002</v>
      </c>
      <c r="CS39" s="2830">
        <f>CS31+CS24</f>
        <v>417.67619537500013</v>
      </c>
      <c r="CT39" s="201"/>
      <c r="CU39" s="70"/>
      <c r="CV39" s="70"/>
      <c r="CW39" s="70"/>
      <c r="CX39" s="70"/>
      <c r="CY39" s="70"/>
      <c r="CZ39" s="70"/>
      <c r="DA39" s="70"/>
      <c r="DB39" s="70"/>
      <c r="DC39" s="70"/>
      <c r="DD39" s="70"/>
      <c r="DE39" s="70"/>
      <c r="DF39" s="70"/>
      <c r="DG39" s="9"/>
      <c r="DH39" s="70"/>
      <c r="DI39" s="70"/>
      <c r="DJ39" s="205"/>
      <c r="DK39" s="205"/>
      <c r="DL39" s="205"/>
      <c r="DM39" s="205"/>
      <c r="DN39" s="205"/>
      <c r="DO39" s="60"/>
      <c r="DP39" s="60"/>
      <c r="DQ39" s="60"/>
      <c r="DR39" s="60"/>
      <c r="DS39" s="205"/>
      <c r="DT39" s="60"/>
      <c r="DU39" s="205"/>
      <c r="DV39" s="60"/>
      <c r="DW39" s="60"/>
      <c r="DX39" s="205"/>
      <c r="DY39" s="60"/>
      <c r="DZ39" s="205"/>
      <c r="EA39" s="60"/>
      <c r="EB39" s="60"/>
      <c r="EC39" s="205"/>
      <c r="ED39" s="60"/>
      <c r="EE39" s="205"/>
      <c r="EF39" s="60"/>
      <c r="EG39" s="60"/>
      <c r="EH39" s="205"/>
    </row>
    <row r="40" spans="1:140" s="8" customFormat="1">
      <c r="A40" s="2840" t="s">
        <v>219</v>
      </c>
      <c r="B40" s="2833"/>
      <c r="C40" s="2834"/>
      <c r="D40" s="2833"/>
      <c r="E40" s="2833"/>
      <c r="F40" s="2835"/>
      <c r="G40" s="2836"/>
      <c r="H40" s="2837"/>
      <c r="I40" s="2838"/>
      <c r="J40" s="2837"/>
      <c r="K40" s="2837"/>
      <c r="L40" s="2835"/>
      <c r="M40" s="2836"/>
      <c r="N40" s="2837"/>
      <c r="O40" s="2838"/>
      <c r="P40" s="2837"/>
      <c r="Q40" s="2837"/>
      <c r="R40" s="2839"/>
      <c r="S40" s="2839"/>
      <c r="T40" s="2837"/>
      <c r="U40" s="2838"/>
      <c r="V40" s="2837"/>
      <c r="W40" s="2837"/>
      <c r="X40" s="2835"/>
      <c r="Y40" s="2836"/>
      <c r="Z40" s="2837"/>
      <c r="AA40" s="2838"/>
      <c r="AB40" s="2837"/>
      <c r="AC40" s="2837"/>
      <c r="AD40" s="2835"/>
      <c r="AE40" s="2836"/>
      <c r="AF40" s="2837"/>
      <c r="AG40" s="2838"/>
      <c r="AH40" s="2837"/>
      <c r="AI40" s="2837"/>
      <c r="AJ40" s="2837"/>
      <c r="AK40" s="2841">
        <f t="shared" ref="AK40" si="140">+AK39/AE39-1</f>
        <v>-1.8136414178532734E-2</v>
      </c>
      <c r="AL40" s="2842"/>
      <c r="AM40" s="2843">
        <f t="shared" ref="AM40" si="141">+AM39/AG39-1</f>
        <v>3.4089575135551886E-3</v>
      </c>
      <c r="AN40" s="2842">
        <f t="shared" ref="AN40" si="142">+AN39/AH39-1</f>
        <v>3.8761183355634721E-2</v>
      </c>
      <c r="AO40" s="2842">
        <f t="shared" ref="AO40" si="143">+AO39/AI39-1</f>
        <v>1.5601238971188813E-2</v>
      </c>
      <c r="AP40" s="2842">
        <f t="shared" ref="AP40" si="144">+AP39/AJ39-1</f>
        <v>2.3348096194967249E-2</v>
      </c>
      <c r="AQ40" s="2841">
        <f t="shared" ref="AQ40" si="145">+AQ39/AK39-1</f>
        <v>2.0028341738985711E-2</v>
      </c>
      <c r="AR40" s="2842"/>
      <c r="AS40" s="2843">
        <f t="shared" ref="AS40" si="146">+AS39/AM39-1</f>
        <v>4.4569829647594705E-2</v>
      </c>
      <c r="AT40" s="2842">
        <f t="shared" ref="AT40" si="147">+AT39/AN39-1</f>
        <v>-4.2329980852694349E-2</v>
      </c>
      <c r="AU40" s="2842">
        <f t="shared" ref="AU40" si="148">+AU39/AO39-1</f>
        <v>-0.15749389711180817</v>
      </c>
      <c r="AV40" s="2842">
        <f t="shared" ref="AV40" si="149">+AV39/AP39-1</f>
        <v>-0.12947857722575518</v>
      </c>
      <c r="AW40" s="2841">
        <f t="shared" ref="AW40" si="150">+AW39/AQ39-1</f>
        <v>-6.9003751830970739E-2</v>
      </c>
      <c r="AX40" s="2842"/>
      <c r="AY40" s="2843">
        <f t="shared" ref="AY40" si="151">+AY39/AS39-1</f>
        <v>-0.19908687855261109</v>
      </c>
      <c r="AZ40" s="2842">
        <f t="shared" ref="AZ40" si="152">+AZ39/AT39-1</f>
        <v>-0.24260102831211683</v>
      </c>
      <c r="BA40" s="2842">
        <f t="shared" ref="BA40" si="153">+BA39/AU39-1</f>
        <v>-0.14243417914335588</v>
      </c>
      <c r="BB40" s="2842">
        <f t="shared" ref="BB40" si="154">+BB39/AV39-1</f>
        <v>8.4082632406015101E-3</v>
      </c>
      <c r="BC40" s="2841">
        <f t="shared" ref="BC40" si="155">+BC39/AW39-1</f>
        <v>-0.14820242898095637</v>
      </c>
      <c r="BD40" s="2842"/>
      <c r="BE40" s="2843">
        <f t="shared" ref="BE40" si="156">+BE39/AY39-1</f>
        <v>-2.5352112676056304E-2</v>
      </c>
      <c r="BF40" s="2842">
        <f t="shared" ref="BF40" si="157">+BF39/AZ39-1</f>
        <v>0.2565845369583688</v>
      </c>
      <c r="BG40" s="2842">
        <f t="shared" ref="BG40" si="158">+BG39/BA39-1</f>
        <v>0.27737226277372273</v>
      </c>
      <c r="BH40" s="2842">
        <f t="shared" ref="BH40" si="159">+BH39/BB39-1</f>
        <v>7.1041948579161129E-2</v>
      </c>
      <c r="BI40" s="2841">
        <f t="shared" ref="BI40" si="160">+BI39/BC39-1</f>
        <v>0.13053567975246572</v>
      </c>
      <c r="BJ40" s="2842"/>
      <c r="BK40" s="2843">
        <f t="shared" ref="BK40" si="161">+BK39/BE39-1</f>
        <v>6.7919075144508678E-2</v>
      </c>
      <c r="BL40" s="2842">
        <f t="shared" ref="BL40" si="162">+BL39/BF39-1</f>
        <v>-5.4090601757944556E-2</v>
      </c>
      <c r="BM40" s="2842">
        <f t="shared" ref="BM40" si="163">+BM39/BG39-1</f>
        <v>0.18428571428571439</v>
      </c>
      <c r="BN40" s="2842">
        <f t="shared" ref="BN40" si="164">+BN39/BH39-1</f>
        <v>0.13771320277953247</v>
      </c>
      <c r="BO40" s="2841">
        <f t="shared" ref="BO40" si="165">+BO39/BI39-1</f>
        <v>8.3817995210400342E-2</v>
      </c>
      <c r="BP40" s="2842"/>
      <c r="BQ40" s="2843">
        <f t="shared" ref="BQ40" si="166">+BQ39/BK39-1</f>
        <v>0.25778078484438427</v>
      </c>
      <c r="BR40" s="2842">
        <f t="shared" ref="BR40" si="167">+BR39/BL39-1</f>
        <v>0.18298784846318794</v>
      </c>
      <c r="BS40" s="2842">
        <f t="shared" ref="BS40" si="168">+BS39/BM39-1</f>
        <v>1.3872135102533267E-2</v>
      </c>
      <c r="BT40" s="2842">
        <f t="shared" ref="BT40" si="169">+BT39/BN39-1</f>
        <v>4.9528039977790206E-2</v>
      </c>
      <c r="BU40" s="2841">
        <f t="shared" ref="BU40" si="170">+BU39/BO39-1</f>
        <v>0.11824494949494957</v>
      </c>
      <c r="BV40" s="2842"/>
      <c r="BW40" s="2843">
        <f t="shared" ref="BW40" si="171">+BW39/BQ39-1</f>
        <v>3.8730500268961965E-2</v>
      </c>
      <c r="BX40" s="2842">
        <f t="shared" ref="BX40" si="172">+BX39/BR39-1</f>
        <v>3.7341389728096752E-2</v>
      </c>
      <c r="BY40" s="2842">
        <f t="shared" ref="BY40" si="173">+BY39/BS39-1</f>
        <v>3.7537180249851199E-2</v>
      </c>
      <c r="BZ40" s="2842">
        <f t="shared" ref="BZ40" si="174">+BZ39/BT39-1</f>
        <v>3.8916516770712173E-2</v>
      </c>
      <c r="CA40" s="2841">
        <f t="shared" ref="CA40" si="175">+CA39/BU39-1</f>
        <v>3.8172528651273074E-2</v>
      </c>
      <c r="CB40" s="2842"/>
      <c r="CC40" s="2843">
        <f t="shared" ref="CC40" si="176">+CC39/BW39-1</f>
        <v>4.3164163645779352E-2</v>
      </c>
      <c r="CD40" s="2842">
        <f t="shared" ref="CD40" si="177">+CD39/BX39-1</f>
        <v>4.2311276794035457E-2</v>
      </c>
      <c r="CE40" s="2842">
        <f t="shared" ref="CE40" si="178">+CE39/BY39-1</f>
        <v>4.2431626626913577E-2</v>
      </c>
      <c r="CF40" s="2842">
        <f t="shared" ref="CF40" si="179">+CF39/BZ39-1</f>
        <v>4.3278201002159067E-2</v>
      </c>
      <c r="CG40" s="2841">
        <f t="shared" ref="CG40" si="180">+CG39/CA39-1</f>
        <v>4.2821854191194442E-2</v>
      </c>
      <c r="CH40" s="2842"/>
      <c r="CI40" s="2843">
        <f t="shared" ref="CI40" si="181">+CI39/CC39-1</f>
        <v>4.3645592871149663E-2</v>
      </c>
      <c r="CJ40" s="2842">
        <f t="shared" ref="CJ40" si="182">+CJ39/CD39-1</f>
        <v>4.284692417739655E-2</v>
      </c>
      <c r="CK40" s="2842">
        <f t="shared" ref="CK40" si="183">+CK39/CE39-1</f>
        <v>4.2959702547432643E-2</v>
      </c>
      <c r="CL40" s="2842">
        <f t="shared" ref="CL40" si="184">+CL39/CF39-1</f>
        <v>4.3752281881422439E-2</v>
      </c>
      <c r="CM40" s="2841">
        <f t="shared" ref="CM40" si="185">+CM39/CG39-1</f>
        <v>4.3325201029431382E-2</v>
      </c>
      <c r="CN40" s="2842"/>
      <c r="CO40" s="2843">
        <f t="shared" ref="CO40" si="186">+CO39/CI39-1</f>
        <v>4.4101606955347039E-2</v>
      </c>
      <c r="CP40" s="2842">
        <f t="shared" ref="CP40" si="187">+CP39/CJ39-1</f>
        <v>4.3355168392893884E-2</v>
      </c>
      <c r="CQ40" s="2842">
        <f t="shared" ref="CQ40" si="188">+CQ39/CK39-1</f>
        <v>4.3460640770188741E-2</v>
      </c>
      <c r="CR40" s="2842">
        <f t="shared" ref="CR40" si="189">+CR39/CL39-1</f>
        <v>4.420123238776319E-2</v>
      </c>
      <c r="CS40" s="2841">
        <f t="shared" ref="CS40" si="190">+CS39/CM39-1</f>
        <v>4.3802304884078103E-2</v>
      </c>
      <c r="CT40" s="201"/>
      <c r="CU40" s="70"/>
      <c r="CV40" s="70"/>
      <c r="CW40" s="70"/>
      <c r="CX40" s="70"/>
      <c r="CY40" s="70"/>
      <c r="CZ40" s="70"/>
      <c r="DA40" s="70"/>
      <c r="DB40" s="70"/>
      <c r="DC40" s="70"/>
      <c r="DD40" s="70"/>
      <c r="DE40" s="70"/>
      <c r="DF40" s="70"/>
      <c r="DG40" s="9"/>
      <c r="DH40" s="70"/>
      <c r="DI40" s="70"/>
      <c r="DJ40" s="205"/>
      <c r="DK40" s="205"/>
      <c r="DL40" s="205"/>
      <c r="DM40" s="205"/>
      <c r="DN40" s="205"/>
      <c r="DO40" s="60"/>
      <c r="DP40" s="60"/>
      <c r="DQ40" s="60"/>
      <c r="DR40" s="60"/>
      <c r="DS40" s="205"/>
      <c r="DT40" s="60"/>
      <c r="DU40" s="205"/>
      <c r="DV40" s="60"/>
      <c r="DW40" s="60"/>
      <c r="DX40" s="205"/>
      <c r="DY40" s="60"/>
      <c r="DZ40" s="205"/>
      <c r="EA40" s="60"/>
      <c r="EB40" s="60"/>
      <c r="EC40" s="205"/>
      <c r="ED40" s="60"/>
      <c r="EE40" s="205"/>
      <c r="EF40" s="60"/>
      <c r="EG40" s="60"/>
      <c r="EH40" s="205"/>
    </row>
    <row r="41" spans="1:140">
      <c r="A41" s="1020"/>
      <c r="B41" s="60"/>
      <c r="C41" s="60"/>
      <c r="D41" s="60"/>
      <c r="E41" s="60"/>
      <c r="F41" s="60"/>
      <c r="G41" s="201"/>
      <c r="H41" s="60"/>
      <c r="I41" s="1021"/>
      <c r="J41" s="60"/>
      <c r="K41" s="60"/>
      <c r="L41" s="215"/>
      <c r="M41" s="1021"/>
      <c r="N41" s="62"/>
      <c r="O41" s="1021"/>
      <c r="P41" s="1022"/>
      <c r="Q41" s="1021"/>
      <c r="R41" s="1021"/>
      <c r="S41" s="1021"/>
      <c r="T41" s="62"/>
      <c r="U41" s="1023"/>
      <c r="V41" s="1022"/>
      <c r="W41" s="215"/>
      <c r="X41" s="1022"/>
      <c r="Y41" s="1024"/>
      <c r="Z41" s="1022"/>
      <c r="AA41" s="1022"/>
      <c r="AB41" s="62"/>
      <c r="AC41" s="63"/>
      <c r="AD41" s="1025"/>
      <c r="AE41" s="216"/>
      <c r="AF41" s="62"/>
      <c r="AG41" s="62"/>
      <c r="AH41" s="62"/>
      <c r="AI41" s="1023"/>
      <c r="AJ41" s="1331"/>
      <c r="AK41" s="2278"/>
      <c r="AL41" s="62"/>
      <c r="AM41" s="1343"/>
      <c r="AN41" s="1343"/>
      <c r="AO41" s="1343"/>
      <c r="AP41" s="1343"/>
      <c r="AQ41" s="2278"/>
      <c r="AR41" s="62"/>
      <c r="AS41" s="1710"/>
      <c r="AT41" s="1710"/>
      <c r="AU41" s="1710"/>
      <c r="AV41" s="1710"/>
      <c r="AW41" s="2278"/>
      <c r="AX41" s="2437"/>
      <c r="AY41" s="2278"/>
      <c r="AZ41" s="2278"/>
      <c r="BA41" s="2278"/>
      <c r="BB41" s="2278"/>
      <c r="BC41" s="2278"/>
      <c r="BD41" s="2437"/>
      <c r="BE41" s="2278"/>
      <c r="BF41" s="2278"/>
      <c r="BG41" s="2278"/>
      <c r="BH41" s="2278"/>
      <c r="BI41" s="2278"/>
      <c r="BJ41" s="2804"/>
      <c r="BK41" s="3013"/>
      <c r="BL41" s="3013"/>
      <c r="BM41" s="3013"/>
      <c r="BN41" s="3013"/>
      <c r="BO41" s="3013"/>
      <c r="BP41" s="3013"/>
      <c r="BQ41" s="3013"/>
      <c r="BR41" s="3013"/>
      <c r="BS41" s="3013"/>
      <c r="BT41" s="3013"/>
      <c r="BU41" s="3013"/>
      <c r="BV41" s="2442"/>
      <c r="BW41" s="1368"/>
      <c r="BX41" s="2442"/>
      <c r="BY41" s="2442"/>
      <c r="BZ41" s="2442"/>
      <c r="CA41" s="2278"/>
      <c r="CB41" s="2442"/>
      <c r="CC41" s="2442"/>
      <c r="CD41" s="2442"/>
      <c r="CE41" s="2442"/>
      <c r="CF41" s="2442"/>
      <c r="CG41" s="2278"/>
      <c r="CH41" s="2442"/>
      <c r="CI41" s="2442"/>
      <c r="CJ41" s="2442"/>
      <c r="CK41" s="2442"/>
      <c r="CL41" s="2442"/>
      <c r="CM41" s="2278"/>
      <c r="CN41" s="2442"/>
      <c r="CO41" s="2442"/>
      <c r="CP41" s="2442"/>
      <c r="CQ41" s="2442"/>
      <c r="CR41" s="2442"/>
      <c r="CS41" s="2278"/>
      <c r="CT41" s="216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  <c r="DR41" s="60"/>
      <c r="DS41" s="60"/>
      <c r="DT41" s="1356"/>
      <c r="DU41" s="1356"/>
      <c r="DV41" s="1356"/>
      <c r="DW41" s="1356"/>
      <c r="DX41" s="1356"/>
      <c r="DY41" s="1356"/>
      <c r="DZ41" s="1356"/>
      <c r="EA41" s="1356"/>
      <c r="EB41" s="1356"/>
      <c r="EC41" s="1356"/>
      <c r="ED41" s="1356"/>
      <c r="EE41" s="1356"/>
      <c r="EF41" s="1356"/>
      <c r="EG41" s="1356"/>
      <c r="EH41" s="1356"/>
    </row>
    <row r="42" spans="1:140" ht="13.5" customHeight="1">
      <c r="A42" s="1958" t="s">
        <v>848</v>
      </c>
      <c r="B42" s="972"/>
      <c r="C42" s="973"/>
      <c r="D42" s="972"/>
      <c r="E42" s="972"/>
      <c r="F42" s="972"/>
      <c r="G42" s="974"/>
      <c r="H42" s="972"/>
      <c r="I42" s="973"/>
      <c r="J42" s="972"/>
      <c r="K42" s="972"/>
      <c r="L42" s="972"/>
      <c r="M42" s="974"/>
      <c r="N42" s="972"/>
      <c r="O42" s="973"/>
      <c r="P42" s="972"/>
      <c r="Q42" s="972"/>
      <c r="R42" s="972"/>
      <c r="S42" s="974"/>
      <c r="T42" s="972"/>
      <c r="U42" s="973"/>
      <c r="V42" s="972"/>
      <c r="W42" s="972"/>
      <c r="X42" s="972"/>
      <c r="Y42" s="974"/>
      <c r="Z42" s="972"/>
      <c r="AA42" s="973"/>
      <c r="AB42" s="972"/>
      <c r="AC42" s="972"/>
      <c r="AD42" s="972"/>
      <c r="AE42" s="974"/>
      <c r="AF42" s="972"/>
      <c r="AG42" s="973"/>
      <c r="AH42" s="972"/>
      <c r="AI42" s="972"/>
      <c r="AJ42" s="975"/>
      <c r="AK42" s="1026"/>
      <c r="AL42" s="972"/>
      <c r="AM42" s="973"/>
      <c r="AN42" s="1352"/>
      <c r="AO42" s="1352"/>
      <c r="AP42" s="1349"/>
      <c r="AQ42" s="974"/>
      <c r="AR42" s="972"/>
      <c r="AS42" s="1539"/>
      <c r="AT42" s="1540"/>
      <c r="AU42" s="1540"/>
      <c r="AV42" s="1415"/>
      <c r="AW42" s="1417"/>
      <c r="AX42" s="1415"/>
      <c r="AY42" s="1416"/>
      <c r="AZ42" s="1415"/>
      <c r="BA42" s="1415"/>
      <c r="BB42" s="1415"/>
      <c r="BC42" s="1417"/>
      <c r="BD42" s="1415"/>
      <c r="BE42" s="1416"/>
      <c r="BF42" s="2341"/>
      <c r="BG42" s="1415"/>
      <c r="BH42" s="1415"/>
      <c r="BI42" s="1417"/>
      <c r="BJ42" s="1415"/>
      <c r="BK42" s="1416"/>
      <c r="BL42" s="2733"/>
      <c r="BM42" s="1415"/>
      <c r="BN42" s="1415"/>
      <c r="BO42" s="1417"/>
      <c r="BP42" s="1415"/>
      <c r="BQ42" s="1416"/>
      <c r="BR42" s="1415"/>
      <c r="BS42" s="1415"/>
      <c r="BT42" s="1415"/>
      <c r="BU42" s="1417"/>
      <c r="BV42" s="1415"/>
      <c r="BW42" s="1416"/>
      <c r="BX42" s="1415"/>
      <c r="BY42" s="1415"/>
      <c r="BZ42" s="1415"/>
      <c r="CA42" s="1417"/>
      <c r="CB42" s="1415"/>
      <c r="CC42" s="1416"/>
      <c r="CD42" s="1415"/>
      <c r="CE42" s="1415"/>
      <c r="CF42" s="1415"/>
      <c r="CG42" s="1417"/>
      <c r="CH42" s="1415"/>
      <c r="CI42" s="1416"/>
      <c r="CJ42" s="1415"/>
      <c r="CK42" s="1415"/>
      <c r="CL42" s="1415"/>
      <c r="CM42" s="1417"/>
      <c r="CN42" s="1415"/>
      <c r="CO42" s="1416"/>
      <c r="CP42" s="1415"/>
      <c r="CQ42" s="1415"/>
      <c r="CR42" s="1415"/>
      <c r="CS42" s="1417"/>
      <c r="CT42" s="815"/>
      <c r="CU42" s="68"/>
      <c r="CV42" s="68"/>
      <c r="CW42" s="68"/>
      <c r="CX42" s="68"/>
      <c r="CY42" s="68"/>
      <c r="CZ42" s="68"/>
      <c r="DA42" s="68"/>
      <c r="DB42" s="68"/>
      <c r="DC42" s="68"/>
      <c r="DD42" s="68"/>
      <c r="DE42" s="68"/>
      <c r="DF42" s="68"/>
      <c r="DG42" s="68"/>
      <c r="DH42" s="68"/>
      <c r="DI42" s="68"/>
      <c r="DJ42" s="68"/>
      <c r="DK42" s="68"/>
      <c r="DL42" s="68"/>
      <c r="DM42" s="68"/>
      <c r="DN42" s="68"/>
      <c r="DO42" s="205"/>
      <c r="DP42" s="205"/>
      <c r="DQ42" s="205"/>
      <c r="DR42" s="205"/>
      <c r="DS42" s="68"/>
      <c r="DT42" s="205"/>
      <c r="DU42" s="205"/>
      <c r="DV42" s="205"/>
      <c r="DW42" s="205"/>
      <c r="DY42" s="205"/>
    </row>
    <row r="43" spans="1:140">
      <c r="A43" s="2416" t="s">
        <v>464</v>
      </c>
      <c r="B43" s="1648"/>
      <c r="C43" s="1647">
        <f>C44+C50+C59</f>
        <v>9.3000000000000007</v>
      </c>
      <c r="D43" s="1648">
        <f>D44+D50+D59</f>
        <v>15.5</v>
      </c>
      <c r="E43" s="1648">
        <f>E44+E50+E59</f>
        <v>18.600000000000001</v>
      </c>
      <c r="F43" s="1648">
        <f>F44+F50+F59</f>
        <v>24.8</v>
      </c>
      <c r="G43" s="1650">
        <f>G44+G50+G59</f>
        <v>68.2</v>
      </c>
      <c r="H43" s="1648"/>
      <c r="I43" s="1647">
        <f>I44+I50+I59</f>
        <v>28.5</v>
      </c>
      <c r="J43" s="1648">
        <f>J44+J50+J59</f>
        <v>32.5</v>
      </c>
      <c r="K43" s="1648">
        <f>K44+K50+K59</f>
        <v>35</v>
      </c>
      <c r="L43" s="1648">
        <f>L44+L50+L59</f>
        <v>40</v>
      </c>
      <c r="M43" s="1650">
        <f>M44+M50+M59</f>
        <v>136</v>
      </c>
      <c r="N43" s="1648"/>
      <c r="O43" s="1647">
        <f>O44+O50+O59</f>
        <v>41.5</v>
      </c>
      <c r="P43" s="1648">
        <f>P44+P50+P59</f>
        <v>44.5</v>
      </c>
      <c r="Q43" s="1648">
        <f>Q44+Q50+Q59</f>
        <v>50</v>
      </c>
      <c r="R43" s="1648">
        <f>R44+R50+R59</f>
        <v>51</v>
      </c>
      <c r="S43" s="1650">
        <f>S44+S50+S59</f>
        <v>187</v>
      </c>
      <c r="T43" s="1648"/>
      <c r="U43" s="1647">
        <f>U44+U50+U59</f>
        <v>47.057708333333338</v>
      </c>
      <c r="V43" s="1648">
        <f>V44+V50+V59</f>
        <v>62.609783333333326</v>
      </c>
      <c r="W43" s="1648">
        <f>W44+W50+W59</f>
        <v>82.807806666666664</v>
      </c>
      <c r="X43" s="1648">
        <f>X44+X50+X59</f>
        <v>98.228316666666657</v>
      </c>
      <c r="Y43" s="1650">
        <f>Y44+Y50+Y59</f>
        <v>290.70361500000001</v>
      </c>
      <c r="Z43" s="1648"/>
      <c r="AA43" s="1647">
        <f>AA44+AA50+AA59</f>
        <v>107.58784</v>
      </c>
      <c r="AB43" s="1648">
        <f>AB44+AB50+AB59</f>
        <v>100.179428</v>
      </c>
      <c r="AC43" s="1648">
        <f>AC44+AC50+AC59</f>
        <v>67.248961333333327</v>
      </c>
      <c r="AD43" s="1648">
        <f>AD44+AD50+AD59</f>
        <v>72.748673333333329</v>
      </c>
      <c r="AE43" s="1650">
        <f>AE44+AE50+AE59</f>
        <v>347.76490266666667</v>
      </c>
      <c r="AF43" s="1648"/>
      <c r="AG43" s="1647">
        <f>AG44+AG50+AG59+AG47</f>
        <v>71.397535000000005</v>
      </c>
      <c r="AH43" s="1648">
        <f>AH44+AH50+AH59+AH47</f>
        <v>67.071333666666675</v>
      </c>
      <c r="AI43" s="1648">
        <f>AI44+AI50+AI59+AI47</f>
        <v>73.797505333333334</v>
      </c>
      <c r="AJ43" s="1648">
        <f>AJ44+AJ50+AJ59+AJ47</f>
        <v>69.740416666666675</v>
      </c>
      <c r="AK43" s="1650">
        <f>AK44+AK50+AK59+AK47</f>
        <v>282.00679066666669</v>
      </c>
      <c r="AL43" s="1648"/>
      <c r="AM43" s="1647">
        <f>AM44+AM50+AM53+AM59+AM47</f>
        <v>79.289999999999992</v>
      </c>
      <c r="AN43" s="1648">
        <f>AN44+AN50+AN53+AN59+AN47</f>
        <v>90.13</v>
      </c>
      <c r="AO43" s="1648">
        <f>AO44+AO50+AO53+AO59+AO47</f>
        <v>92.75</v>
      </c>
      <c r="AP43" s="1648">
        <f>AP44+AP50+AP53+AP59+AP47</f>
        <v>85.12</v>
      </c>
      <c r="AQ43" s="1650">
        <f>AQ44+AQ50+AQ53+AQ59+AQ47</f>
        <v>347.28999999999996</v>
      </c>
      <c r="AR43" s="1648"/>
      <c r="AS43" s="1647">
        <f>AS44+AS50+AS53+AS59+AS47</f>
        <v>106.9</v>
      </c>
      <c r="AT43" s="1648">
        <f>AT44+AT50+AT53+AT59+AT47</f>
        <v>135.63999999999999</v>
      </c>
      <c r="AU43" s="1648">
        <f>AU44+AU50+AU53+AU59+AU47</f>
        <v>146.97499999999999</v>
      </c>
      <c r="AV43" s="1648">
        <f>AV44+AV50+AV53+AV59+AV47</f>
        <v>154.655</v>
      </c>
      <c r="AW43" s="1650">
        <f>AW44+AW50+AW53+AW59+AW47</f>
        <v>544.16999999999996</v>
      </c>
      <c r="AX43" s="1648"/>
      <c r="AY43" s="1647">
        <f>AY44+AY50+AY53+AY59+AY56+AY47</f>
        <v>143.91845000000001</v>
      </c>
      <c r="AZ43" s="1648">
        <f>AZ44+AZ50+AZ53+AZ59+AZ56+AZ47</f>
        <v>150.90440025037594</v>
      </c>
      <c r="BA43" s="1648">
        <f>BA44+BA50+BA53+BA59+BA56+BA47</f>
        <v>142.38400030977445</v>
      </c>
      <c r="BB43" s="1648">
        <f>BB44+BB50+BB53+BB59+BB56+BB47</f>
        <v>142.88531029999999</v>
      </c>
      <c r="BC43" s="1650">
        <f>BC44+BC50+BC53+BC59+BC56+BC47</f>
        <v>580.09216086015033</v>
      </c>
      <c r="BD43" s="1648"/>
      <c r="BE43" s="1647">
        <f>BE44+BE50+BE53+BE59+BE56+BE47</f>
        <v>113.82849958646617</v>
      </c>
      <c r="BF43" s="1648">
        <f>BF44+BF50+BF53+BF59+BF56+BF47</f>
        <v>119.76945898646616</v>
      </c>
      <c r="BG43" s="1648">
        <f>BG44+BG50+BG53+BG59+BG56+BG47</f>
        <v>104.902859968</v>
      </c>
      <c r="BH43" s="1427">
        <f>BH44+BH50+BH53+BH59+BH56+BH47</f>
        <v>111.26747033280002</v>
      </c>
      <c r="BI43" s="1650">
        <f>BI44+BI50+BI53+BI59+BI56+BI47</f>
        <v>449.76828887373227</v>
      </c>
      <c r="BJ43" s="1648"/>
      <c r="BK43" s="1426">
        <f>BK44+BK50+BK53+BK59+BK56+BK47+BK112</f>
        <v>94.983675177919991</v>
      </c>
      <c r="BL43" s="1648">
        <f t="shared" ref="BL43:CF43" si="191">BL44+BL50+BL53+BL59+BL56+BL47+BL112</f>
        <v>130.473092996128</v>
      </c>
      <c r="BM43" s="1648">
        <f t="shared" si="191"/>
        <v>127.7726</v>
      </c>
      <c r="BN43" s="1648">
        <f t="shared" si="191"/>
        <v>131.06049999999999</v>
      </c>
      <c r="BO43" s="1414">
        <f>BO44+BO50+BO53+BO59+BO56+BO47+BO112</f>
        <v>484.28986817404797</v>
      </c>
      <c r="BP43" s="1648">
        <f t="shared" si="191"/>
        <v>0</v>
      </c>
      <c r="BQ43" s="1647">
        <f t="shared" si="191"/>
        <v>112.17375000000001</v>
      </c>
      <c r="BR43" s="1648">
        <f t="shared" si="191"/>
        <v>121.23399999999999</v>
      </c>
      <c r="BS43" s="1648">
        <f t="shared" si="191"/>
        <v>124.73075</v>
      </c>
      <c r="BT43" s="1648">
        <f t="shared" si="191"/>
        <v>124.73075</v>
      </c>
      <c r="BU43" s="1414">
        <f>BU44+BU50+BU53+BU59+BU56+BU47+BU112</f>
        <v>482.86924999999997</v>
      </c>
      <c r="BV43" s="1648">
        <f t="shared" si="191"/>
        <v>0</v>
      </c>
      <c r="BW43" s="1647">
        <f t="shared" si="191"/>
        <v>108.57675</v>
      </c>
      <c r="BX43" s="1648">
        <f t="shared" si="191"/>
        <v>108.57675</v>
      </c>
      <c r="BY43" s="1648">
        <f t="shared" si="191"/>
        <v>108.57675</v>
      </c>
      <c r="BZ43" s="1648">
        <f t="shared" si="191"/>
        <v>108.57675</v>
      </c>
      <c r="CA43" s="1414">
        <f>CA44+CA50+CA53+CA59+CA56+CA47+CA112</f>
        <v>434.30700000000002</v>
      </c>
      <c r="CB43" s="1648">
        <f t="shared" si="191"/>
        <v>0</v>
      </c>
      <c r="CC43" s="1647">
        <f t="shared" si="191"/>
        <v>102.4205</v>
      </c>
      <c r="CD43" s="1648">
        <f t="shared" si="191"/>
        <v>102.4205</v>
      </c>
      <c r="CE43" s="1648">
        <f t="shared" si="191"/>
        <v>102.4205</v>
      </c>
      <c r="CF43" s="1648">
        <f t="shared" si="191"/>
        <v>102.4205</v>
      </c>
      <c r="CG43" s="1414">
        <f>CG44+CG50+CG53+CG59+CG56+CG47+CG112</f>
        <v>409.68200000000002</v>
      </c>
      <c r="CH43" s="1648">
        <f t="shared" ref="CH43:CL43" si="192">CH44+CH50+CH53+CH59+CH56+CH47+CH112</f>
        <v>0</v>
      </c>
      <c r="CI43" s="1647">
        <f t="shared" si="192"/>
        <v>102.4205</v>
      </c>
      <c r="CJ43" s="1648">
        <f t="shared" si="192"/>
        <v>102.4205</v>
      </c>
      <c r="CK43" s="1648">
        <f t="shared" si="192"/>
        <v>102.4205</v>
      </c>
      <c r="CL43" s="1648">
        <f t="shared" si="192"/>
        <v>102.4205</v>
      </c>
      <c r="CM43" s="1414">
        <f>CM44+CM50+CM53+CM59+CM56+CM47+CM112</f>
        <v>409.68200000000002</v>
      </c>
      <c r="CN43" s="1648">
        <f t="shared" ref="CN43:CR43" si="193">CN44+CN50+CN53+CN59+CN56+CN47+CN112</f>
        <v>0</v>
      </c>
      <c r="CO43" s="1647">
        <f t="shared" si="193"/>
        <v>102.4205</v>
      </c>
      <c r="CP43" s="1648">
        <f t="shared" si="193"/>
        <v>102.4205</v>
      </c>
      <c r="CQ43" s="1648">
        <f t="shared" si="193"/>
        <v>102.4205</v>
      </c>
      <c r="CR43" s="1648">
        <f t="shared" si="193"/>
        <v>102.4205</v>
      </c>
      <c r="CS43" s="1414">
        <f>CS44+CS50+CS53+CS59+CS56+CS47+CS112</f>
        <v>409.68200000000002</v>
      </c>
      <c r="CT43" s="187"/>
      <c r="CU43" s="952"/>
      <c r="CV43" s="201"/>
      <c r="CW43" s="201"/>
      <c r="CX43" s="201"/>
      <c r="CY43" s="201"/>
      <c r="CZ43" s="201"/>
      <c r="DA43" s="201"/>
      <c r="DB43" s="201"/>
      <c r="DC43" s="201"/>
      <c r="DD43" s="201"/>
      <c r="DE43" s="201"/>
      <c r="DF43" s="201"/>
      <c r="DG43" s="9"/>
      <c r="DH43" s="201"/>
      <c r="DI43" s="201"/>
      <c r="DJ43" s="205"/>
      <c r="DK43" s="205"/>
      <c r="DL43" s="205"/>
      <c r="DM43" s="205"/>
      <c r="DN43" s="205"/>
      <c r="DO43" s="205"/>
      <c r="DP43" s="205"/>
      <c r="DQ43" s="205"/>
      <c r="DR43" s="205"/>
      <c r="DS43" s="205"/>
      <c r="DT43" s="205"/>
      <c r="DU43" s="205"/>
      <c r="DV43" s="205"/>
      <c r="DW43" s="205"/>
      <c r="DX43" s="205"/>
      <c r="DY43" s="205"/>
      <c r="DZ43" s="205"/>
      <c r="EA43" s="205"/>
      <c r="EB43" s="205"/>
      <c r="EC43" s="205"/>
      <c r="ED43" s="205"/>
      <c r="EE43" s="205"/>
      <c r="EF43" s="205"/>
      <c r="EG43" s="205"/>
      <c r="EH43" s="205"/>
    </row>
    <row r="44" spans="1:140" ht="12.75" hidden="1" customHeight="1" outlineLevel="2">
      <c r="A44" s="792" t="s">
        <v>382</v>
      </c>
      <c r="B44" s="793"/>
      <c r="C44" s="794">
        <f>(C46*C45)/1000</f>
        <v>9.3000000000000007</v>
      </c>
      <c r="D44" s="793">
        <f>(D46*D45)/1000</f>
        <v>15.5</v>
      </c>
      <c r="E44" s="793">
        <f>(E46*E45)/1000</f>
        <v>18.600000000000001</v>
      </c>
      <c r="F44" s="793">
        <f>(F46*F45)/1000</f>
        <v>24.8</v>
      </c>
      <c r="G44" s="795">
        <f>SUM(C44:F44)</f>
        <v>68.2</v>
      </c>
      <c r="H44" s="793"/>
      <c r="I44" s="794">
        <f>(I46*I45)/1000</f>
        <v>28.5</v>
      </c>
      <c r="J44" s="793">
        <f>(J46*J45)/1000</f>
        <v>32.5</v>
      </c>
      <c r="K44" s="793">
        <f>(K46*K45)/1000</f>
        <v>35</v>
      </c>
      <c r="L44" s="793">
        <f>(L46*L45)/1000</f>
        <v>40</v>
      </c>
      <c r="M44" s="795">
        <f>SUM(I44:L44)</f>
        <v>136</v>
      </c>
      <c r="N44" s="793"/>
      <c r="O44" s="794">
        <f>(O46*O45)/1000</f>
        <v>41.5</v>
      </c>
      <c r="P44" s="793">
        <f>(P46*P45)/1000</f>
        <v>44.5</v>
      </c>
      <c r="Q44" s="793">
        <f>(Q46*Q45)/1000</f>
        <v>50</v>
      </c>
      <c r="R44" s="793">
        <f>(R46*R45)/1000</f>
        <v>51</v>
      </c>
      <c r="S44" s="795">
        <f>SUM(O44:R44)</f>
        <v>187</v>
      </c>
      <c r="T44" s="793"/>
      <c r="U44" s="794">
        <f>((86*U45)/1000)+((225*2)/1000)</f>
        <v>43.45</v>
      </c>
      <c r="V44" s="793">
        <f>((45*V45)/1000)+((225*2)/1000)</f>
        <v>22.95</v>
      </c>
      <c r="W44" s="793">
        <f>(W46*W45)/1000</f>
        <v>11</v>
      </c>
      <c r="X44" s="793">
        <f>(X46*X45)/1000</f>
        <v>17.5</v>
      </c>
      <c r="Y44" s="795">
        <f>SUM(U44:X44)</f>
        <v>94.9</v>
      </c>
      <c r="Z44" s="793"/>
      <c r="AA44" s="794">
        <f>(AA46*AA45)/1000</f>
        <v>0.47499999999999998</v>
      </c>
      <c r="AB44" s="793">
        <f>(AB46*AB45)/1000</f>
        <v>2.85</v>
      </c>
      <c r="AC44" s="793">
        <f>(AC46*AC45)/1000</f>
        <v>2.375</v>
      </c>
      <c r="AD44" s="793">
        <f>(AD46*AD45)/1000</f>
        <v>0.47499999999999998</v>
      </c>
      <c r="AE44" s="795">
        <f>SUM(AA44:AD44)</f>
        <v>6.1749999999999998</v>
      </c>
      <c r="AF44" s="793"/>
      <c r="AG44" s="1624"/>
      <c r="AH44" s="1625"/>
      <c r="AI44" s="1625"/>
      <c r="AJ44" s="1625"/>
      <c r="AK44" s="1626"/>
      <c r="AL44" s="793"/>
      <c r="AM44" s="1624"/>
      <c r="AN44" s="1625"/>
      <c r="AO44" s="1625"/>
      <c r="AP44" s="1625"/>
      <c r="AQ44" s="1626"/>
      <c r="AR44" s="793"/>
      <c r="AS44" s="1624"/>
      <c r="AT44" s="1625"/>
      <c r="AU44" s="1625"/>
      <c r="AV44" s="1684"/>
      <c r="AW44" s="1685"/>
      <c r="AX44" s="1686"/>
      <c r="AY44" s="1687"/>
      <c r="AZ44" s="1684"/>
      <c r="BA44" s="1684"/>
      <c r="BB44" s="1684"/>
      <c r="BC44" s="1685"/>
      <c r="BD44" s="1686"/>
      <c r="BE44" s="1687"/>
      <c r="BF44" s="1684"/>
      <c r="BG44" s="1684"/>
      <c r="BH44" s="1684"/>
      <c r="BI44" s="2408"/>
      <c r="BJ44" s="1686"/>
      <c r="BK44" s="1687"/>
      <c r="BL44" s="1684"/>
      <c r="BM44" s="1684"/>
      <c r="BN44" s="1684"/>
      <c r="BO44" s="2408"/>
      <c r="BP44" s="1686"/>
      <c r="BQ44" s="1687"/>
      <c r="BR44" s="1684"/>
      <c r="BS44" s="1684"/>
      <c r="BT44" s="1684"/>
      <c r="BU44" s="2408"/>
      <c r="BV44" s="1686"/>
      <c r="BW44" s="1687"/>
      <c r="BX44" s="1684"/>
      <c r="BY44" s="1684"/>
      <c r="BZ44" s="1684"/>
      <c r="CA44" s="2408"/>
      <c r="CB44" s="1686"/>
      <c r="CC44" s="1687"/>
      <c r="CD44" s="1684"/>
      <c r="CE44" s="1684"/>
      <c r="CF44" s="1684"/>
      <c r="CG44" s="2408"/>
      <c r="CH44" s="1686"/>
      <c r="CI44" s="1687"/>
      <c r="CJ44" s="1684"/>
      <c r="CK44" s="1684"/>
      <c r="CL44" s="1684"/>
      <c r="CM44" s="2408"/>
      <c r="CN44" s="1686"/>
      <c r="CO44" s="1687"/>
      <c r="CP44" s="1684"/>
      <c r="CQ44" s="1684"/>
      <c r="CR44" s="1684"/>
      <c r="CS44" s="2408"/>
      <c r="CT44" s="217"/>
      <c r="CU44" s="1027"/>
      <c r="CV44" s="1027"/>
      <c r="CW44" s="1027"/>
      <c r="CX44" s="1027"/>
      <c r="CY44" s="1027"/>
      <c r="CZ44" s="1027"/>
      <c r="DA44" s="1027"/>
      <c r="DB44" s="1027"/>
      <c r="DC44" s="1027"/>
      <c r="DD44" s="1027"/>
      <c r="DE44" s="1027"/>
      <c r="DF44" s="1027"/>
      <c r="DG44" s="1027"/>
      <c r="DH44" s="1027"/>
      <c r="DI44" s="1027"/>
      <c r="DJ44" s="1027"/>
      <c r="DK44" s="1027"/>
      <c r="DL44" s="1027"/>
      <c r="DM44" s="1027"/>
      <c r="DN44" s="1027"/>
      <c r="DO44" s="1027"/>
      <c r="DP44" s="1027"/>
      <c r="DQ44" s="1027"/>
      <c r="DR44" s="1027"/>
      <c r="DS44" s="1027"/>
      <c r="DT44" s="1027"/>
      <c r="DY44" s="1356"/>
    </row>
    <row r="45" spans="1:140" ht="12.75" hidden="1" customHeight="1" outlineLevel="2">
      <c r="A45" s="1028" t="s">
        <v>223</v>
      </c>
      <c r="B45" s="201"/>
      <c r="C45" s="768">
        <v>620</v>
      </c>
      <c r="D45" s="204">
        <v>620</v>
      </c>
      <c r="E45" s="204">
        <v>620</v>
      </c>
      <c r="F45" s="204">
        <v>620</v>
      </c>
      <c r="G45" s="203">
        <f>AVERAGE(C45:F45)</f>
        <v>620</v>
      </c>
      <c r="H45" s="201"/>
      <c r="I45" s="768">
        <v>500</v>
      </c>
      <c r="J45" s="204">
        <v>500</v>
      </c>
      <c r="K45" s="204">
        <v>500</v>
      </c>
      <c r="L45" s="204">
        <v>500</v>
      </c>
      <c r="M45" s="203">
        <f>AVERAGE(I45:L45)</f>
        <v>500</v>
      </c>
      <c r="N45" s="201"/>
      <c r="O45" s="768">
        <v>500</v>
      </c>
      <c r="P45" s="204">
        <v>500</v>
      </c>
      <c r="Q45" s="204">
        <v>500</v>
      </c>
      <c r="R45" s="204">
        <v>500</v>
      </c>
      <c r="S45" s="203">
        <f>AVERAGE(O45:R45)</f>
        <v>500</v>
      </c>
      <c r="T45" s="201"/>
      <c r="U45" s="768">
        <v>500</v>
      </c>
      <c r="V45" s="204">
        <v>500</v>
      </c>
      <c r="W45" s="204">
        <v>500</v>
      </c>
      <c r="X45" s="204">
        <v>500</v>
      </c>
      <c r="Y45" s="203">
        <f>AVERAGE(U45:X45)</f>
        <v>500</v>
      </c>
      <c r="Z45" s="201"/>
      <c r="AA45" s="768">
        <v>475</v>
      </c>
      <c r="AB45" s="201">
        <f>AA45</f>
        <v>475</v>
      </c>
      <c r="AC45" s="201">
        <f>+AB45</f>
        <v>475</v>
      </c>
      <c r="AD45" s="201">
        <f>+AC45</f>
        <v>475</v>
      </c>
      <c r="AE45" s="203">
        <f>AVERAGE(AA45:AD45)</f>
        <v>475</v>
      </c>
      <c r="AF45" s="201"/>
      <c r="AG45" s="1617"/>
      <c r="AH45" s="1618"/>
      <c r="AI45" s="1618"/>
      <c r="AJ45" s="1618"/>
      <c r="AK45" s="1619"/>
      <c r="AL45" s="201"/>
      <c r="AM45" s="1617"/>
      <c r="AN45" s="1618"/>
      <c r="AO45" s="1618"/>
      <c r="AP45" s="1618"/>
      <c r="AQ45" s="1619"/>
      <c r="AR45" s="81"/>
      <c r="AS45" s="1617"/>
      <c r="AT45" s="1618"/>
      <c r="AU45" s="1618"/>
      <c r="AV45" s="1688"/>
      <c r="AW45" s="1689"/>
      <c r="AX45" s="81"/>
      <c r="AY45" s="1690"/>
      <c r="AZ45" s="1688"/>
      <c r="BA45" s="1688"/>
      <c r="BB45" s="2084"/>
      <c r="BC45" s="1689"/>
      <c r="BD45" s="81"/>
      <c r="BE45" s="1690"/>
      <c r="BF45" s="1688"/>
      <c r="BG45" s="1688"/>
      <c r="BH45" s="1688"/>
      <c r="BI45" s="2087"/>
      <c r="BJ45" s="81"/>
      <c r="BK45" s="2518"/>
      <c r="BL45" s="1688"/>
      <c r="BM45" s="1688"/>
      <c r="BN45" s="1688"/>
      <c r="BO45" s="1689"/>
      <c r="BP45" s="81"/>
      <c r="BQ45" s="1690"/>
      <c r="BR45" s="1688"/>
      <c r="BS45" s="1688"/>
      <c r="BT45" s="1688"/>
      <c r="BU45" s="1689"/>
      <c r="BV45" s="81"/>
      <c r="BW45" s="1690"/>
      <c r="BX45" s="1688"/>
      <c r="BY45" s="1688"/>
      <c r="BZ45" s="1688"/>
      <c r="CA45" s="1689"/>
      <c r="CB45" s="81"/>
      <c r="CC45" s="1690"/>
      <c r="CD45" s="1688"/>
      <c r="CE45" s="1688"/>
      <c r="CF45" s="1688"/>
      <c r="CG45" s="1689"/>
      <c r="CH45" s="81"/>
      <c r="CI45" s="1690"/>
      <c r="CJ45" s="1688"/>
      <c r="CK45" s="1688"/>
      <c r="CL45" s="1688"/>
      <c r="CM45" s="1689"/>
      <c r="CN45" s="81"/>
      <c r="CO45" s="1690"/>
      <c r="CP45" s="1688"/>
      <c r="CQ45" s="1688"/>
      <c r="CR45" s="1688"/>
      <c r="CS45" s="1689"/>
      <c r="CT45" s="201"/>
      <c r="CU45" s="952"/>
      <c r="CV45" s="201"/>
      <c r="CW45" s="201"/>
      <c r="CY45" s="1593"/>
      <c r="CZ45" s="1593"/>
      <c r="DA45" s="1593"/>
      <c r="DB45" s="1593"/>
      <c r="DC45" s="1593"/>
      <c r="DD45" s="1593"/>
      <c r="DE45" s="1593"/>
      <c r="DF45" s="1593"/>
      <c r="DG45" s="1593"/>
      <c r="DH45" s="1593"/>
      <c r="DI45" s="1593"/>
      <c r="DJ45" s="1"/>
      <c r="DK45" s="1"/>
      <c r="DL45" s="1"/>
      <c r="DM45" s="1"/>
      <c r="DN45" s="1"/>
      <c r="DO45" s="201"/>
      <c r="DP45" s="201"/>
      <c r="DQ45" s="201"/>
      <c r="DR45" s="201"/>
      <c r="DS45" s="201"/>
      <c r="DT45" s="201"/>
      <c r="DY45" s="1356"/>
    </row>
    <row r="46" spans="1:140" ht="12.75" hidden="1" customHeight="1" outlineLevel="2" collapsed="1">
      <c r="A46" s="1029" t="s">
        <v>218</v>
      </c>
      <c r="B46" s="205"/>
      <c r="C46" s="748">
        <v>15</v>
      </c>
      <c r="D46" s="738">
        <v>25</v>
      </c>
      <c r="E46" s="738">
        <v>30</v>
      </c>
      <c r="F46" s="738">
        <v>40</v>
      </c>
      <c r="G46" s="739">
        <f>SUM(C46:F46)</f>
        <v>110</v>
      </c>
      <c r="H46" s="740"/>
      <c r="I46" s="748">
        <v>57</v>
      </c>
      <c r="J46" s="738">
        <v>65</v>
      </c>
      <c r="K46" s="738">
        <v>70</v>
      </c>
      <c r="L46" s="738">
        <v>80</v>
      </c>
      <c r="M46" s="739">
        <f>SUM(I46:L46)</f>
        <v>272</v>
      </c>
      <c r="N46" s="740"/>
      <c r="O46" s="748">
        <v>83</v>
      </c>
      <c r="P46" s="738">
        <v>89</v>
      </c>
      <c r="Q46" s="738">
        <v>100</v>
      </c>
      <c r="R46" s="738">
        <v>102</v>
      </c>
      <c r="S46" s="739">
        <f>SUM(O46:R46)</f>
        <v>374</v>
      </c>
      <c r="T46" s="740"/>
      <c r="U46" s="748">
        <f>90+2</f>
        <v>92</v>
      </c>
      <c r="V46" s="738">
        <f>45+2</f>
        <v>47</v>
      </c>
      <c r="W46" s="738">
        <v>22</v>
      </c>
      <c r="X46" s="738">
        <v>35</v>
      </c>
      <c r="Y46" s="739">
        <f>SUM(U46:X46)</f>
        <v>196</v>
      </c>
      <c r="Z46" s="740"/>
      <c r="AA46" s="748">
        <v>1</v>
      </c>
      <c r="AB46" s="738">
        <v>6</v>
      </c>
      <c r="AC46" s="738">
        <v>5</v>
      </c>
      <c r="AD46" s="738">
        <v>1</v>
      </c>
      <c r="AE46" s="739">
        <f>SUM(AA46:AD46)</f>
        <v>13</v>
      </c>
      <c r="AF46" s="740"/>
      <c r="AG46" s="1617"/>
      <c r="AH46" s="1618"/>
      <c r="AI46" s="1618"/>
      <c r="AJ46" s="1618"/>
      <c r="AK46" s="1619"/>
      <c r="AL46" s="740"/>
      <c r="AM46" s="1617"/>
      <c r="AN46" s="1618"/>
      <c r="AO46" s="1618"/>
      <c r="AP46" s="1618"/>
      <c r="AQ46" s="1619"/>
      <c r="AR46" s="740"/>
      <c r="AS46" s="1617"/>
      <c r="AT46" s="1618"/>
      <c r="AU46" s="1618"/>
      <c r="AV46" s="1688"/>
      <c r="AW46" s="1689"/>
      <c r="AX46" s="1611"/>
      <c r="AY46" s="1690"/>
      <c r="AZ46" s="1688"/>
      <c r="BA46" s="1688"/>
      <c r="BB46" s="1688"/>
      <c r="BC46" s="1689"/>
      <c r="BD46" s="1611"/>
      <c r="BE46" s="1690"/>
      <c r="BF46" s="1688"/>
      <c r="BG46" s="1688"/>
      <c r="BH46" s="1688"/>
      <c r="BI46" s="1689"/>
      <c r="BJ46" s="1611"/>
      <c r="BK46" s="1690"/>
      <c r="BL46" s="1688"/>
      <c r="BM46" s="1688"/>
      <c r="BN46" s="1688"/>
      <c r="BO46" s="1689"/>
      <c r="BP46" s="1611"/>
      <c r="BQ46" s="1690"/>
      <c r="BR46" s="1688"/>
      <c r="BS46" s="1688"/>
      <c r="BT46" s="1688"/>
      <c r="BU46" s="1689"/>
      <c r="BV46" s="1611"/>
      <c r="BW46" s="1690"/>
      <c r="BX46" s="1688"/>
      <c r="BY46" s="1688"/>
      <c r="BZ46" s="1688"/>
      <c r="CA46" s="1689"/>
      <c r="CB46" s="1611"/>
      <c r="CC46" s="1690"/>
      <c r="CD46" s="1688"/>
      <c r="CE46" s="1688"/>
      <c r="CF46" s="1688"/>
      <c r="CG46" s="1689"/>
      <c r="CH46" s="1611"/>
      <c r="CI46" s="1690"/>
      <c r="CJ46" s="1688"/>
      <c r="CK46" s="1688"/>
      <c r="CL46" s="1688"/>
      <c r="CM46" s="1689"/>
      <c r="CN46" s="1611"/>
      <c r="CO46" s="1690"/>
      <c r="CP46" s="1688"/>
      <c r="CQ46" s="1688"/>
      <c r="CR46" s="1688"/>
      <c r="CS46" s="1689"/>
      <c r="CT46" s="205"/>
      <c r="CU46" s="205"/>
      <c r="CV46" s="205"/>
      <c r="CW46" s="205"/>
      <c r="CX46" s="1387" t="s">
        <v>544</v>
      </c>
      <c r="DS46" s="205"/>
      <c r="DT46" s="205"/>
      <c r="EC46" s="205"/>
    </row>
    <row r="47" spans="1:140" collapsed="1">
      <c r="A47" s="1814" t="s">
        <v>613</v>
      </c>
      <c r="B47" s="789"/>
      <c r="C47" s="750"/>
      <c r="D47" s="205"/>
      <c r="E47" s="205"/>
      <c r="F47" s="205"/>
      <c r="G47" s="191"/>
      <c r="H47" s="205"/>
      <c r="I47" s="750"/>
      <c r="J47" s="205"/>
      <c r="K47" s="205"/>
      <c r="L47" s="205"/>
      <c r="M47" s="191"/>
      <c r="N47" s="205"/>
      <c r="O47" s="750"/>
      <c r="P47" s="205"/>
      <c r="Q47" s="205"/>
      <c r="R47" s="205"/>
      <c r="S47" s="191"/>
      <c r="T47" s="205"/>
      <c r="U47" s="748"/>
      <c r="V47" s="738"/>
      <c r="W47" s="738"/>
      <c r="X47" s="738"/>
      <c r="Y47" s="739"/>
      <c r="Z47" s="740"/>
      <c r="AA47" s="748"/>
      <c r="AB47" s="738"/>
      <c r="AC47" s="738"/>
      <c r="AD47" s="738"/>
      <c r="AE47" s="739"/>
      <c r="AF47" s="740"/>
      <c r="AG47" s="1617"/>
      <c r="AH47" s="1618"/>
      <c r="AI47" s="1618"/>
      <c r="AJ47" s="1618"/>
      <c r="AK47" s="1619"/>
      <c r="AL47" s="740"/>
      <c r="AM47" s="1617"/>
      <c r="AN47" s="1618"/>
      <c r="AO47" s="1618"/>
      <c r="AP47" s="1618"/>
      <c r="AQ47" s="1619"/>
      <c r="AR47" s="740"/>
      <c r="AS47" s="1617"/>
      <c r="AT47" s="1618"/>
      <c r="AU47" s="1618"/>
      <c r="AV47" s="1688"/>
      <c r="AW47" s="1689"/>
      <c r="AX47" s="1611"/>
      <c r="AY47" s="1690"/>
      <c r="AZ47" s="1688"/>
      <c r="BA47" s="1688"/>
      <c r="BB47" s="1688"/>
      <c r="BC47" s="1689"/>
      <c r="BD47" s="1432"/>
      <c r="BE47" s="89">
        <f>(BE48*BE49)/1000</f>
        <v>4.2</v>
      </c>
      <c r="BF47" s="9">
        <f>(BF48*BF49)/1000</f>
        <v>2.71875</v>
      </c>
      <c r="BG47" s="9">
        <f>(BG48*BG49)/1000</f>
        <v>4</v>
      </c>
      <c r="BH47" s="9">
        <f>(BH48*BH49)/1000</f>
        <v>5.95</v>
      </c>
      <c r="BI47" s="188">
        <f>SUM(BE47:BH47)</f>
        <v>16.868749999999999</v>
      </c>
      <c r="BJ47" s="9"/>
      <c r="BK47" s="89">
        <f>(BK48*BK49)/1000</f>
        <v>4.25</v>
      </c>
      <c r="BL47" s="9">
        <f>(BL48*BL49)/1000</f>
        <v>4.25</v>
      </c>
      <c r="BM47" s="9">
        <f>(BM48*BM49)/1000</f>
        <v>4.28</v>
      </c>
      <c r="BN47" s="9">
        <f>(BN48*BN49)/1000</f>
        <v>4.28</v>
      </c>
      <c r="BO47" s="188">
        <f>SUM(BK47:BN47)</f>
        <v>17.060000000000002</v>
      </c>
      <c r="BP47" s="9"/>
      <c r="BQ47" s="89">
        <f>(BQ48*BQ49)/1000</f>
        <v>4.28</v>
      </c>
      <c r="BR47" s="9">
        <f>(BR48*BR49)/1000</f>
        <v>4.7080000000000002</v>
      </c>
      <c r="BS47" s="9">
        <f>(BS48*BS49)/1000</f>
        <v>4.7080000000000002</v>
      </c>
      <c r="BT47" s="9">
        <f>(BT48*BT49)/1000</f>
        <v>4.7080000000000002</v>
      </c>
      <c r="BU47" s="188">
        <f>SUM(BQ47:BT47)</f>
        <v>18.404</v>
      </c>
      <c r="BV47" s="9"/>
      <c r="BW47" s="89">
        <f>(BW48*BW49)/1000</f>
        <v>4.7080000000000002</v>
      </c>
      <c r="BX47" s="9">
        <f>(BX48*BX49)/1000</f>
        <v>4.7080000000000002</v>
      </c>
      <c r="BY47" s="9">
        <f>(BY48*BY49)/1000</f>
        <v>4.7080000000000002</v>
      </c>
      <c r="BZ47" s="9">
        <f>(BZ48*BZ49)/1000</f>
        <v>4.7080000000000002</v>
      </c>
      <c r="CA47" s="188">
        <f>SUM(BW47:BZ47)</f>
        <v>18.832000000000001</v>
      </c>
      <c r="CB47" s="9"/>
      <c r="CC47" s="89">
        <f>(CC48*CC49)/1000</f>
        <v>4.7080000000000002</v>
      </c>
      <c r="CD47" s="9">
        <f>(CD48*CD49)/1000</f>
        <v>4.7080000000000002</v>
      </c>
      <c r="CE47" s="9">
        <f>(CE48*CE49)/1000</f>
        <v>4.7080000000000002</v>
      </c>
      <c r="CF47" s="9">
        <f>(CF48*CF49)/1000</f>
        <v>4.7080000000000002</v>
      </c>
      <c r="CG47" s="188">
        <f>SUM(CC47:CF47)</f>
        <v>18.832000000000001</v>
      </c>
      <c r="CH47" s="9"/>
      <c r="CI47" s="89">
        <f>(CI48*CI49)/1000</f>
        <v>4.7080000000000002</v>
      </c>
      <c r="CJ47" s="9">
        <f>(CJ48*CJ49)/1000</f>
        <v>4.7080000000000002</v>
      </c>
      <c r="CK47" s="9">
        <f>(CK48*CK49)/1000</f>
        <v>4.7080000000000002</v>
      </c>
      <c r="CL47" s="9">
        <f>(CL48*CL49)/1000</f>
        <v>4.7080000000000002</v>
      </c>
      <c r="CM47" s="188">
        <f>SUM(CI47:CL47)</f>
        <v>18.832000000000001</v>
      </c>
      <c r="CN47" s="9"/>
      <c r="CO47" s="89">
        <f>(CO48*CO49)/1000</f>
        <v>4.7080000000000002</v>
      </c>
      <c r="CP47" s="9">
        <f>(CP48*CP49)/1000</f>
        <v>4.7080000000000002</v>
      </c>
      <c r="CQ47" s="9">
        <f>(CQ48*CQ49)/1000</f>
        <v>4.7080000000000002</v>
      </c>
      <c r="CR47" s="9">
        <f>(CR48*CR49)/1000</f>
        <v>4.7080000000000002</v>
      </c>
      <c r="CS47" s="188">
        <f>SUM(CO47:CR47)</f>
        <v>18.832000000000001</v>
      </c>
      <c r="CT47" s="205"/>
      <c r="CU47" s="205"/>
      <c r="CV47" s="205"/>
      <c r="CW47" s="205"/>
      <c r="CX47" s="2384"/>
      <c r="CY47" s="2383" t="s">
        <v>114</v>
      </c>
      <c r="CZ47" s="2383" t="s">
        <v>271</v>
      </c>
      <c r="DA47" s="2383" t="s">
        <v>101</v>
      </c>
      <c r="DB47" s="2383" t="s">
        <v>100</v>
      </c>
      <c r="DC47" s="2383" t="s">
        <v>94</v>
      </c>
      <c r="DD47" s="2383" t="s">
        <v>93</v>
      </c>
      <c r="DE47" s="2383" t="s">
        <v>92</v>
      </c>
      <c r="DF47" s="2383" t="s">
        <v>91</v>
      </c>
      <c r="DG47" s="2383" t="s">
        <v>115</v>
      </c>
      <c r="DH47" s="2383" t="s">
        <v>116</v>
      </c>
      <c r="DI47" s="2383" t="s">
        <v>117</v>
      </c>
      <c r="DJ47" s="2383" t="s">
        <v>118</v>
      </c>
      <c r="DK47" s="2383" t="s">
        <v>509</v>
      </c>
      <c r="DL47" s="2383" t="s">
        <v>510</v>
      </c>
      <c r="DM47" s="2383" t="s">
        <v>511</v>
      </c>
      <c r="DN47" s="2383" t="s">
        <v>512</v>
      </c>
      <c r="DO47" s="2383" t="s">
        <v>551</v>
      </c>
      <c r="DP47" s="2383" t="s">
        <v>552</v>
      </c>
      <c r="DQ47" s="2383" t="s">
        <v>553</v>
      </c>
      <c r="DR47" s="2383" t="s">
        <v>554</v>
      </c>
      <c r="DS47" s="2383" t="s">
        <v>772</v>
      </c>
      <c r="DT47" s="2383" t="s">
        <v>798</v>
      </c>
      <c r="DU47" s="2383" t="s">
        <v>799</v>
      </c>
      <c r="DV47" s="2383" t="s">
        <v>800</v>
      </c>
      <c r="DW47" s="2383" t="s">
        <v>581</v>
      </c>
      <c r="DX47" s="2383" t="s">
        <v>582</v>
      </c>
      <c r="DY47" s="2383" t="s">
        <v>583</v>
      </c>
      <c r="DZ47" s="2383" t="s">
        <v>584</v>
      </c>
      <c r="EA47" s="2383" t="s">
        <v>760</v>
      </c>
      <c r="EB47" s="2383" t="s">
        <v>761</v>
      </c>
      <c r="EC47" s="2383" t="s">
        <v>762</v>
      </c>
      <c r="ED47" s="2383" t="s">
        <v>763</v>
      </c>
      <c r="EE47" s="2383" t="s">
        <v>764</v>
      </c>
      <c r="EF47" s="2383" t="s">
        <v>765</v>
      </c>
      <c r="EG47" s="2383" t="s">
        <v>766</v>
      </c>
      <c r="EH47" s="2383" t="s">
        <v>767</v>
      </c>
    </row>
    <row r="48" spans="1:140" ht="12.75" hidden="1" customHeight="1" outlineLevel="1">
      <c r="A48" s="1028" t="s">
        <v>223</v>
      </c>
      <c r="B48" s="789"/>
      <c r="C48" s="748"/>
      <c r="D48" s="738"/>
      <c r="E48" s="738"/>
      <c r="F48" s="738"/>
      <c r="G48" s="739"/>
      <c r="H48" s="740"/>
      <c r="I48" s="748"/>
      <c r="J48" s="738"/>
      <c r="K48" s="738"/>
      <c r="L48" s="738"/>
      <c r="M48" s="739"/>
      <c r="N48" s="740"/>
      <c r="O48" s="748"/>
      <c r="P48" s="738"/>
      <c r="Q48" s="738"/>
      <c r="R48" s="738"/>
      <c r="S48" s="739"/>
      <c r="T48" s="740"/>
      <c r="U48" s="748"/>
      <c r="V48" s="738"/>
      <c r="W48" s="738"/>
      <c r="X48" s="738"/>
      <c r="Y48" s="739"/>
      <c r="Z48" s="740"/>
      <c r="AA48" s="748"/>
      <c r="AB48" s="738"/>
      <c r="AC48" s="738"/>
      <c r="AD48" s="738"/>
      <c r="AE48" s="739"/>
      <c r="AF48" s="740"/>
      <c r="AG48" s="1617"/>
      <c r="AH48" s="1618"/>
      <c r="AI48" s="1618"/>
      <c r="AJ48" s="1618"/>
      <c r="AK48" s="1619"/>
      <c r="AL48" s="740"/>
      <c r="AM48" s="1617"/>
      <c r="AN48" s="1618"/>
      <c r="AO48" s="1618"/>
      <c r="AP48" s="1618"/>
      <c r="AQ48" s="1619"/>
      <c r="AR48" s="740"/>
      <c r="AS48" s="1617"/>
      <c r="AT48" s="1618"/>
      <c r="AU48" s="1618"/>
      <c r="AV48" s="1688"/>
      <c r="AW48" s="1689"/>
      <c r="AX48" s="1611"/>
      <c r="AY48" s="1690"/>
      <c r="AZ48" s="1688"/>
      <c r="BA48" s="1688"/>
      <c r="BB48" s="1688"/>
      <c r="BC48" s="1689"/>
      <c r="BD48" s="1611"/>
      <c r="BE48" s="2148">
        <v>40</v>
      </c>
      <c r="BF48" s="2149">
        <f>50*0.725</f>
        <v>36.25</v>
      </c>
      <c r="BG48" s="2149">
        <f>50*0.8</f>
        <v>40</v>
      </c>
      <c r="BH48" s="2149">
        <f>50*0.85</f>
        <v>42.5</v>
      </c>
      <c r="BI48" s="1606">
        <f>BI47/BI49*1000</f>
        <v>40.163690476190467</v>
      </c>
      <c r="BJ48" s="1698"/>
      <c r="BK48" s="2148">
        <f>+BH48</f>
        <v>42.5</v>
      </c>
      <c r="BL48" s="2149">
        <f>+BK48</f>
        <v>42.5</v>
      </c>
      <c r="BM48" s="2149">
        <v>42.8</v>
      </c>
      <c r="BN48" s="2149">
        <f>+BM48</f>
        <v>42.8</v>
      </c>
      <c r="BO48" s="1606">
        <f>BO47/BO49*1000</f>
        <v>42.650000000000006</v>
      </c>
      <c r="BP48" s="1698"/>
      <c r="BQ48" s="2148">
        <f>+BN48</f>
        <v>42.8</v>
      </c>
      <c r="BR48" s="2149">
        <f>+BQ48</f>
        <v>42.8</v>
      </c>
      <c r="BS48" s="2149">
        <f>+BR48</f>
        <v>42.8</v>
      </c>
      <c r="BT48" s="2149">
        <f>+BS48</f>
        <v>42.8</v>
      </c>
      <c r="BU48" s="1606">
        <f>BU47/BU49*1000</f>
        <v>42.8</v>
      </c>
      <c r="BV48" s="1698"/>
      <c r="BW48" s="2148">
        <f>+BT48</f>
        <v>42.8</v>
      </c>
      <c r="BX48" s="2149">
        <f>+BW48</f>
        <v>42.8</v>
      </c>
      <c r="BY48" s="2149">
        <f>+BX48</f>
        <v>42.8</v>
      </c>
      <c r="BZ48" s="2149">
        <f>+BY48</f>
        <v>42.8</v>
      </c>
      <c r="CA48" s="1606">
        <f>CA47/CA49*1000</f>
        <v>42.800000000000004</v>
      </c>
      <c r="CB48" s="1698"/>
      <c r="CC48" s="2148">
        <f>+BZ48</f>
        <v>42.8</v>
      </c>
      <c r="CD48" s="2149">
        <f>+CC48</f>
        <v>42.8</v>
      </c>
      <c r="CE48" s="2149">
        <f>+CD48</f>
        <v>42.8</v>
      </c>
      <c r="CF48" s="2149">
        <f>+CE48</f>
        <v>42.8</v>
      </c>
      <c r="CG48" s="1606">
        <f>CG47/CG49*1000</f>
        <v>42.800000000000004</v>
      </c>
      <c r="CH48" s="1698"/>
      <c r="CI48" s="2148">
        <f>+CF48</f>
        <v>42.8</v>
      </c>
      <c r="CJ48" s="2149">
        <f>+CI48</f>
        <v>42.8</v>
      </c>
      <c r="CK48" s="2149">
        <f>+CJ48</f>
        <v>42.8</v>
      </c>
      <c r="CL48" s="2149">
        <f>+CK48</f>
        <v>42.8</v>
      </c>
      <c r="CM48" s="1606">
        <f>CM47/CM49*1000</f>
        <v>42.800000000000004</v>
      </c>
      <c r="CN48" s="1698"/>
      <c r="CO48" s="2148">
        <f>+CL48</f>
        <v>42.8</v>
      </c>
      <c r="CP48" s="2149">
        <f>+CO48</f>
        <v>42.8</v>
      </c>
      <c r="CQ48" s="2149">
        <f>+CP48</f>
        <v>42.8</v>
      </c>
      <c r="CR48" s="2149">
        <f>+CQ48</f>
        <v>42.8</v>
      </c>
      <c r="CS48" s="1606">
        <f>CS47/CS49*1000</f>
        <v>42.800000000000004</v>
      </c>
      <c r="CT48" s="205"/>
      <c r="CU48" s="205"/>
      <c r="CV48" s="205"/>
      <c r="CW48" s="205"/>
      <c r="CX48" s="2022"/>
      <c r="CY48" s="2023"/>
      <c r="CZ48" s="2023"/>
      <c r="DA48" s="2023"/>
      <c r="DB48" s="2023"/>
      <c r="DC48" s="2023"/>
      <c r="DD48" s="2023"/>
      <c r="DE48" s="2023"/>
      <c r="DF48" s="2023"/>
      <c r="DG48" s="2023"/>
      <c r="DH48" s="2023"/>
      <c r="DI48" s="2023"/>
      <c r="DJ48" s="2023"/>
      <c r="DK48" s="2023"/>
      <c r="DL48" s="2023"/>
      <c r="DM48" s="2023"/>
      <c r="DN48" s="2023"/>
      <c r="DO48" s="2023"/>
      <c r="DP48" s="2023"/>
      <c r="DQ48" s="2023"/>
      <c r="DR48" s="2023"/>
      <c r="DS48" s="2023"/>
      <c r="DT48" s="2023"/>
      <c r="DU48" s="2023"/>
      <c r="DV48" s="2023"/>
      <c r="DW48" s="2023"/>
      <c r="DX48" s="2023"/>
      <c r="DY48" s="2023"/>
      <c r="DZ48" s="2023"/>
      <c r="EA48" s="2023"/>
      <c r="EB48" s="2023"/>
      <c r="EC48" s="2023"/>
      <c r="ED48" s="2023"/>
      <c r="EE48" s="2023"/>
      <c r="EF48" s="2023"/>
      <c r="EG48" s="2023"/>
      <c r="EH48" s="2023"/>
    </row>
    <row r="49" spans="1:138" ht="12.75" hidden="1" customHeight="1" outlineLevel="1">
      <c r="A49" s="1029" t="s">
        <v>218</v>
      </c>
      <c r="B49" s="789"/>
      <c r="C49" s="748"/>
      <c r="D49" s="738"/>
      <c r="E49" s="738"/>
      <c r="F49" s="738"/>
      <c r="G49" s="739"/>
      <c r="H49" s="740"/>
      <c r="I49" s="748"/>
      <c r="J49" s="738"/>
      <c r="K49" s="738"/>
      <c r="L49" s="738"/>
      <c r="M49" s="739"/>
      <c r="N49" s="740"/>
      <c r="O49" s="748"/>
      <c r="P49" s="738"/>
      <c r="Q49" s="738"/>
      <c r="R49" s="738"/>
      <c r="S49" s="739"/>
      <c r="T49" s="740"/>
      <c r="U49" s="748"/>
      <c r="V49" s="738"/>
      <c r="W49" s="738"/>
      <c r="X49" s="738"/>
      <c r="Y49" s="739"/>
      <c r="Z49" s="740"/>
      <c r="AA49" s="748"/>
      <c r="AB49" s="738"/>
      <c r="AC49" s="738"/>
      <c r="AD49" s="738"/>
      <c r="AE49" s="739"/>
      <c r="AF49" s="740"/>
      <c r="AG49" s="1617"/>
      <c r="AH49" s="1618"/>
      <c r="AI49" s="1618"/>
      <c r="AJ49" s="1618"/>
      <c r="AK49" s="1622"/>
      <c r="AL49" s="1031"/>
      <c r="AM49" s="1620"/>
      <c r="AN49" s="1621"/>
      <c r="AO49" s="1621"/>
      <c r="AP49" s="1621"/>
      <c r="AQ49" s="1622"/>
      <c r="AR49" s="1031"/>
      <c r="AS49" s="1620"/>
      <c r="AT49" s="1621"/>
      <c r="AU49" s="1621"/>
      <c r="AV49" s="2430"/>
      <c r="AW49" s="2431"/>
      <c r="AX49" s="1692"/>
      <c r="AY49" s="2432"/>
      <c r="AZ49" s="2430"/>
      <c r="BA49" s="2430"/>
      <c r="BB49" s="2430"/>
      <c r="BC49" s="2431"/>
      <c r="BD49" s="1692"/>
      <c r="BE49" s="2152">
        <v>105</v>
      </c>
      <c r="BF49" s="2153">
        <v>75</v>
      </c>
      <c r="BG49" s="2153">
        <v>100</v>
      </c>
      <c r="BH49" s="2153">
        <v>140</v>
      </c>
      <c r="BI49" s="1691">
        <f>SUM(BE49:BH49)</f>
        <v>420</v>
      </c>
      <c r="BJ49" s="1692"/>
      <c r="BK49" s="2152">
        <v>100</v>
      </c>
      <c r="BL49" s="2153">
        <v>100</v>
      </c>
      <c r="BM49" s="2153">
        <v>100</v>
      </c>
      <c r="BN49" s="2153">
        <v>100</v>
      </c>
      <c r="BO49" s="1691">
        <f>SUM(BK49:BN49)</f>
        <v>400</v>
      </c>
      <c r="BP49" s="1692"/>
      <c r="BQ49" s="2152">
        <v>100</v>
      </c>
      <c r="BR49" s="2153">
        <v>110</v>
      </c>
      <c r="BS49" s="2153">
        <f>+BR49</f>
        <v>110</v>
      </c>
      <c r="BT49" s="2153">
        <f>+BS49</f>
        <v>110</v>
      </c>
      <c r="BU49" s="1691">
        <f>SUM(BQ49:BT49)</f>
        <v>430</v>
      </c>
      <c r="BV49" s="1692"/>
      <c r="BW49" s="2152">
        <f>+BT49</f>
        <v>110</v>
      </c>
      <c r="BX49" s="2153">
        <f>+BW49</f>
        <v>110</v>
      </c>
      <c r="BY49" s="2153">
        <f>+BW49</f>
        <v>110</v>
      </c>
      <c r="BZ49" s="2153">
        <f>+BW49</f>
        <v>110</v>
      </c>
      <c r="CA49" s="1691">
        <f>SUM(BW49:BZ49)</f>
        <v>440</v>
      </c>
      <c r="CB49" s="1692"/>
      <c r="CC49" s="2152">
        <f>+BZ49</f>
        <v>110</v>
      </c>
      <c r="CD49" s="2153">
        <f>+CC49</f>
        <v>110</v>
      </c>
      <c r="CE49" s="2153">
        <f>+CC49</f>
        <v>110</v>
      </c>
      <c r="CF49" s="2153">
        <f>+CC49</f>
        <v>110</v>
      </c>
      <c r="CG49" s="1691">
        <f>SUM(CC49:CF49)</f>
        <v>440</v>
      </c>
      <c r="CH49" s="1692"/>
      <c r="CI49" s="2152">
        <f>+CF49</f>
        <v>110</v>
      </c>
      <c r="CJ49" s="2153">
        <f>+CI49</f>
        <v>110</v>
      </c>
      <c r="CK49" s="2153">
        <f>+CI49</f>
        <v>110</v>
      </c>
      <c r="CL49" s="2153">
        <f>+CI49</f>
        <v>110</v>
      </c>
      <c r="CM49" s="1691">
        <f>SUM(CI49:CL49)</f>
        <v>440</v>
      </c>
      <c r="CN49" s="1692"/>
      <c r="CO49" s="2152">
        <f>+CL49</f>
        <v>110</v>
      </c>
      <c r="CP49" s="2153">
        <f>+CO49</f>
        <v>110</v>
      </c>
      <c r="CQ49" s="2153">
        <f>+CO49</f>
        <v>110</v>
      </c>
      <c r="CR49" s="2153">
        <f>+CO49</f>
        <v>110</v>
      </c>
      <c r="CS49" s="1691">
        <f>SUM(CO49:CR49)</f>
        <v>440</v>
      </c>
      <c r="CT49" s="205"/>
      <c r="CU49" s="205"/>
      <c r="CV49" s="205"/>
      <c r="CW49" s="205"/>
      <c r="CX49" s="2022"/>
      <c r="CY49" s="2023"/>
      <c r="CZ49" s="2023"/>
      <c r="DA49" s="2023"/>
      <c r="DB49" s="2023"/>
      <c r="DC49" s="2023"/>
      <c r="DD49" s="2023"/>
      <c r="DE49" s="2023"/>
      <c r="DF49" s="2023"/>
      <c r="DG49" s="2023"/>
      <c r="DH49" s="2023"/>
      <c r="DI49" s="2023"/>
      <c r="DJ49" s="2023"/>
      <c r="DK49" s="2023"/>
      <c r="DL49" s="2023"/>
      <c r="DM49" s="2023"/>
      <c r="DN49" s="2023"/>
      <c r="DO49" s="2023"/>
      <c r="DP49" s="2023"/>
      <c r="DQ49" s="2023"/>
      <c r="DR49" s="2023"/>
      <c r="DS49" s="2023"/>
      <c r="DT49" s="2023"/>
      <c r="DU49" s="2023"/>
      <c r="DV49" s="2023"/>
      <c r="DW49" s="2023"/>
      <c r="DX49" s="2023"/>
      <c r="DY49" s="2023"/>
      <c r="DZ49" s="2023"/>
      <c r="EA49" s="2023"/>
      <c r="EB49" s="2023"/>
      <c r="EC49" s="2023"/>
      <c r="ED49" s="2023"/>
      <c r="EE49" s="2023"/>
      <c r="EF49" s="2023"/>
      <c r="EG49" s="2023"/>
      <c r="EH49" s="2023"/>
    </row>
    <row r="50" spans="1:138" collapsed="1">
      <c r="A50" s="730" t="s">
        <v>426</v>
      </c>
      <c r="B50" s="789"/>
      <c r="C50" s="750"/>
      <c r="D50" s="205"/>
      <c r="E50" s="205"/>
      <c r="F50" s="205"/>
      <c r="G50" s="191"/>
      <c r="H50" s="205"/>
      <c r="I50" s="750"/>
      <c r="J50" s="205"/>
      <c r="K50" s="205"/>
      <c r="L50" s="205"/>
      <c r="M50" s="191"/>
      <c r="N50" s="205"/>
      <c r="O50" s="750"/>
      <c r="P50" s="205"/>
      <c r="Q50" s="205"/>
      <c r="R50" s="205"/>
      <c r="S50" s="191"/>
      <c r="T50" s="205"/>
      <c r="U50" s="776">
        <v>0</v>
      </c>
      <c r="V50" s="746">
        <v>0</v>
      </c>
      <c r="W50" s="746">
        <v>0</v>
      </c>
      <c r="X50" s="746">
        <v>0</v>
      </c>
      <c r="Y50" s="191">
        <f>SUM(U50:X50)</f>
        <v>0</v>
      </c>
      <c r="Z50" s="205"/>
      <c r="AA50" s="750">
        <f>(AA52*AA51)/1000</f>
        <v>0</v>
      </c>
      <c r="AB50" s="205">
        <f>(AB52*AB51)/1000</f>
        <v>0</v>
      </c>
      <c r="AC50" s="205">
        <f>(AC52*AC51)/1000</f>
        <v>5.4</v>
      </c>
      <c r="AD50" s="205">
        <f>(AD52*AD51)/1000</f>
        <v>15.6</v>
      </c>
      <c r="AE50" s="191">
        <f>SUM(AA50:AD50)</f>
        <v>21</v>
      </c>
      <c r="AF50" s="205"/>
      <c r="AG50" s="750">
        <f>(AG52*AG51)/1000</f>
        <v>30.875</v>
      </c>
      <c r="AH50" s="205">
        <f>(AH52*AH51)/1000</f>
        <v>26.76</v>
      </c>
      <c r="AI50" s="205">
        <f>(AI52*AI51)/1000</f>
        <v>31.2</v>
      </c>
      <c r="AJ50" s="205">
        <f>(AJ52*AJ51)/1000</f>
        <v>30.6</v>
      </c>
      <c r="AK50" s="191">
        <f>SUM(AG50:AJ50)</f>
        <v>119.435</v>
      </c>
      <c r="AL50" s="205"/>
      <c r="AM50" s="750">
        <f>(AM52*AM51)/1000</f>
        <v>29.9</v>
      </c>
      <c r="AN50" s="205">
        <f>(AN52*AN51)/1000</f>
        <v>29.9</v>
      </c>
      <c r="AO50" s="205">
        <f>(AO52*AO51)/1000</f>
        <v>29.9</v>
      </c>
      <c r="AP50" s="205">
        <f>(AP52*AP51)/1000</f>
        <v>32.200000000000003</v>
      </c>
      <c r="AQ50" s="191">
        <f>SUM(AM50:AP50)</f>
        <v>121.89999999999999</v>
      </c>
      <c r="AR50" s="205"/>
      <c r="AS50" s="89">
        <f>(AS52*AS51)/1000</f>
        <v>28.5</v>
      </c>
      <c r="AT50" s="205">
        <f>(AT52*AT51)/1000</f>
        <v>26.6</v>
      </c>
      <c r="AU50" s="205">
        <f>(AU52*AU51)/1000</f>
        <v>25.175000000000001</v>
      </c>
      <c r="AV50" s="9">
        <f>(AV52*AV51)/1000</f>
        <v>28.975000000000001</v>
      </c>
      <c r="AW50" s="188">
        <f>SUM(AS50:AV50)</f>
        <v>109.25</v>
      </c>
      <c r="AX50" s="9"/>
      <c r="AY50" s="89">
        <f>(AY52*AY51)/1000</f>
        <v>23.8</v>
      </c>
      <c r="AZ50" s="9">
        <f>(AZ52*AZ51)/1000</f>
        <v>21.25</v>
      </c>
      <c r="BA50" s="9">
        <f>(BA52*BA51)/1000</f>
        <v>17.850000000000001</v>
      </c>
      <c r="BB50" s="9">
        <f>(BB52*BB51)/1000</f>
        <v>26.52</v>
      </c>
      <c r="BC50" s="188">
        <f>SUM(AY50:BB50)</f>
        <v>89.42</v>
      </c>
      <c r="BD50" s="9"/>
      <c r="BE50" s="89">
        <f>(BE52*BE51)/1000</f>
        <v>22.5</v>
      </c>
      <c r="BF50" s="9">
        <f>(BF52*BF51)/1000</f>
        <v>22.5</v>
      </c>
      <c r="BG50" s="9">
        <f>(BG52*BG51)/1000</f>
        <v>22.5</v>
      </c>
      <c r="BH50" s="9">
        <f>(BH52*BH51)/1000</f>
        <v>20.7</v>
      </c>
      <c r="BI50" s="188">
        <f>SUM(BE50:BH50)</f>
        <v>88.2</v>
      </c>
      <c r="BJ50" s="9"/>
      <c r="BK50" s="89">
        <f>(BK52*BK51)/1000</f>
        <v>22.5</v>
      </c>
      <c r="BL50" s="9">
        <f>(BL52*BL51)/1000</f>
        <v>17.55</v>
      </c>
      <c r="BM50" s="9">
        <f>(BM52*BM51)/1000</f>
        <v>17.55</v>
      </c>
      <c r="BN50" s="9">
        <f>(BN52*BN51)/1000</f>
        <v>16.649999999999999</v>
      </c>
      <c r="BO50" s="188">
        <f>SUM(BK50:BN50)</f>
        <v>74.25</v>
      </c>
      <c r="BP50" s="9"/>
      <c r="BQ50" s="89">
        <f>(BQ52*BQ51)/1000</f>
        <v>17.100000000000001</v>
      </c>
      <c r="BR50" s="9">
        <f>(BR52*BR51)/1000</f>
        <v>18</v>
      </c>
      <c r="BS50" s="9">
        <f>(BS52*BS51)/1000</f>
        <v>18</v>
      </c>
      <c r="BT50" s="9">
        <f>(BT52*BT51)/1000</f>
        <v>18</v>
      </c>
      <c r="BU50" s="188">
        <f>SUM(BQ50:BT50)</f>
        <v>71.099999999999994</v>
      </c>
      <c r="BV50" s="9"/>
      <c r="BW50" s="89">
        <f>(BW52*BW51)/1000</f>
        <v>18</v>
      </c>
      <c r="BX50" s="9">
        <f>(BX52*BX51)/1000</f>
        <v>18</v>
      </c>
      <c r="BY50" s="9">
        <f>(BY52*BY51)/1000</f>
        <v>18</v>
      </c>
      <c r="BZ50" s="9">
        <f>(BZ52*BZ51)/1000</f>
        <v>18</v>
      </c>
      <c r="CA50" s="188">
        <f>SUM(BW50:BZ50)</f>
        <v>72</v>
      </c>
      <c r="CB50" s="9"/>
      <c r="CC50" s="89">
        <f>(CC52*CC51)/1000</f>
        <v>18</v>
      </c>
      <c r="CD50" s="9">
        <f>(CD52*CD51)/1000</f>
        <v>18</v>
      </c>
      <c r="CE50" s="9">
        <f>(CE52*CE51)/1000</f>
        <v>18</v>
      </c>
      <c r="CF50" s="9">
        <f>(CF52*CF51)/1000</f>
        <v>18</v>
      </c>
      <c r="CG50" s="188">
        <f>SUM(CC50:CF50)</f>
        <v>72</v>
      </c>
      <c r="CH50" s="9"/>
      <c r="CI50" s="89">
        <f>(CI52*CI51)/1000</f>
        <v>18</v>
      </c>
      <c r="CJ50" s="9">
        <f>(CJ52*CJ51)/1000</f>
        <v>18</v>
      </c>
      <c r="CK50" s="9">
        <f>(CK52*CK51)/1000</f>
        <v>18</v>
      </c>
      <c r="CL50" s="9">
        <f>(CL52*CL51)/1000</f>
        <v>18</v>
      </c>
      <c r="CM50" s="188">
        <f>SUM(CI50:CL50)</f>
        <v>72</v>
      </c>
      <c r="CN50" s="9"/>
      <c r="CO50" s="89">
        <f>(CO52*CO51)/1000</f>
        <v>18</v>
      </c>
      <c r="CP50" s="9">
        <f>(CP52*CP51)/1000</f>
        <v>18</v>
      </c>
      <c r="CQ50" s="9">
        <f>(CQ52*CQ51)/1000</f>
        <v>18</v>
      </c>
      <c r="CR50" s="9">
        <f>(CR52*CR51)/1000</f>
        <v>18</v>
      </c>
      <c r="CS50" s="188">
        <f>SUM(CO50:CR50)</f>
        <v>72</v>
      </c>
      <c r="CT50" s="189"/>
      <c r="CU50" s="189"/>
      <c r="CV50" s="189"/>
      <c r="CW50" s="189"/>
      <c r="CX50" s="1823" t="s">
        <v>615</v>
      </c>
      <c r="CY50" s="1822">
        <f>+AG53</f>
        <v>0</v>
      </c>
      <c r="CZ50" s="1822">
        <f>+AH53</f>
        <v>0</v>
      </c>
      <c r="DA50" s="1822">
        <f>+AI53</f>
        <v>0</v>
      </c>
      <c r="DB50" s="1822">
        <f>+AJ53</f>
        <v>0</v>
      </c>
      <c r="DC50" s="1822">
        <f>+AM53</f>
        <v>0</v>
      </c>
      <c r="DD50" s="1822">
        <f>+AN53</f>
        <v>0</v>
      </c>
      <c r="DE50" s="1822">
        <f>+AO53</f>
        <v>0</v>
      </c>
      <c r="DF50" s="1822">
        <f>+AP53</f>
        <v>0</v>
      </c>
      <c r="DG50" s="1822">
        <f>+AS49</f>
        <v>0</v>
      </c>
      <c r="DH50" s="1822">
        <f>+AT49</f>
        <v>0</v>
      </c>
      <c r="DI50" s="1822">
        <f>+AU49</f>
        <v>0</v>
      </c>
      <c r="DJ50" s="1822">
        <f>+AV49</f>
        <v>0</v>
      </c>
      <c r="DK50" s="1822">
        <f>+AY49</f>
        <v>0</v>
      </c>
      <c r="DL50" s="1822">
        <f>+AZ49</f>
        <v>0</v>
      </c>
      <c r="DM50" s="1822">
        <f>+BA49</f>
        <v>0</v>
      </c>
      <c r="DN50" s="1822">
        <f>+BB49</f>
        <v>0</v>
      </c>
      <c r="DO50" s="1822">
        <f>+BE49</f>
        <v>105</v>
      </c>
      <c r="DP50" s="1822">
        <f>+BF49</f>
        <v>75</v>
      </c>
      <c r="DQ50" s="1822">
        <f>+BG49</f>
        <v>100</v>
      </c>
      <c r="DR50" s="1822">
        <f>+BH49</f>
        <v>140</v>
      </c>
      <c r="DS50" s="1822">
        <f>+BK49</f>
        <v>100</v>
      </c>
      <c r="DT50" s="1822">
        <f>+BL49</f>
        <v>100</v>
      </c>
      <c r="DU50" s="1822">
        <f>+BM49</f>
        <v>100</v>
      </c>
      <c r="DV50" s="1822">
        <f>+BN49</f>
        <v>100</v>
      </c>
      <c r="DW50" s="1822">
        <f>+BQ49</f>
        <v>100</v>
      </c>
      <c r="DX50" s="1822">
        <f>+BR49</f>
        <v>110</v>
      </c>
      <c r="DY50" s="1822">
        <f>+BS49</f>
        <v>110</v>
      </c>
      <c r="DZ50" s="1822">
        <f>+BT49</f>
        <v>110</v>
      </c>
      <c r="EA50" s="1822">
        <f>+BW49</f>
        <v>110</v>
      </c>
      <c r="EB50" s="1822">
        <f>+BX49</f>
        <v>110</v>
      </c>
      <c r="EC50" s="1822">
        <f>+BY49</f>
        <v>110</v>
      </c>
      <c r="ED50" s="1822">
        <f>+BZ49</f>
        <v>110</v>
      </c>
      <c r="EE50" s="1822">
        <f>+CC49</f>
        <v>110</v>
      </c>
      <c r="EF50" s="1822">
        <f>+CD49</f>
        <v>110</v>
      </c>
      <c r="EG50" s="1822">
        <f>+CE49</f>
        <v>110</v>
      </c>
      <c r="EH50" s="1822">
        <f>+CF49</f>
        <v>110</v>
      </c>
    </row>
    <row r="51" spans="1:138" ht="12.75" hidden="1" customHeight="1" outlineLevel="1">
      <c r="A51" s="1028" t="s">
        <v>223</v>
      </c>
      <c r="B51" s="202"/>
      <c r="C51" s="751"/>
      <c r="D51" s="201"/>
      <c r="E51" s="201"/>
      <c r="F51" s="201"/>
      <c r="G51" s="203"/>
      <c r="H51" s="201"/>
      <c r="I51" s="751"/>
      <c r="J51" s="201"/>
      <c r="K51" s="201"/>
      <c r="L51" s="201"/>
      <c r="M51" s="203"/>
      <c r="N51" s="201"/>
      <c r="O51" s="751"/>
      <c r="P51" s="201"/>
      <c r="Q51" s="201"/>
      <c r="R51" s="201"/>
      <c r="S51" s="203"/>
      <c r="T51" s="201"/>
      <c r="U51" s="768">
        <v>0</v>
      </c>
      <c r="V51" s="204">
        <v>0</v>
      </c>
      <c r="W51" s="204">
        <v>0</v>
      </c>
      <c r="X51" s="204">
        <v>0</v>
      </c>
      <c r="Y51" s="203">
        <f>AVERAGE(U51:X51)</f>
        <v>0</v>
      </c>
      <c r="Z51" s="201"/>
      <c r="AA51" s="751">
        <f>X51/1.05</f>
        <v>0</v>
      </c>
      <c r="AB51" s="201">
        <f>+AA51</f>
        <v>0</v>
      </c>
      <c r="AC51" s="201">
        <v>120</v>
      </c>
      <c r="AD51" s="201">
        <f>+AC51</f>
        <v>120</v>
      </c>
      <c r="AE51" s="203">
        <f>AVERAGE(AA51:AD51)</f>
        <v>60</v>
      </c>
      <c r="AF51" s="201"/>
      <c r="AG51" s="1430">
        <v>125</v>
      </c>
      <c r="AH51" s="1607">
        <v>120</v>
      </c>
      <c r="AI51" s="1401">
        <f>+AH51</f>
        <v>120</v>
      </c>
      <c r="AJ51" s="1607">
        <v>120</v>
      </c>
      <c r="AK51" s="203">
        <f>AVERAGE(AG51:AJ51)</f>
        <v>121.25</v>
      </c>
      <c r="AL51" s="201"/>
      <c r="AM51" s="768">
        <v>115</v>
      </c>
      <c r="AN51" s="201">
        <f>+AM51</f>
        <v>115</v>
      </c>
      <c r="AO51" s="201">
        <f>+AN51</f>
        <v>115</v>
      </c>
      <c r="AP51" s="202">
        <f>+AO51</f>
        <v>115</v>
      </c>
      <c r="AQ51" s="203">
        <f>AVERAGE(AM51:AP51)</f>
        <v>115</v>
      </c>
      <c r="AR51" s="201"/>
      <c r="AS51" s="1435">
        <f>+AT51</f>
        <v>95</v>
      </c>
      <c r="AT51" s="1401">
        <f>+AU51</f>
        <v>95</v>
      </c>
      <c r="AU51" s="1538">
        <v>95</v>
      </c>
      <c r="AV51" s="1401">
        <f>+AU51</f>
        <v>95</v>
      </c>
      <c r="AW51" s="1606">
        <f>AW50/AW52*1000</f>
        <v>95</v>
      </c>
      <c r="AX51" s="1401"/>
      <c r="AY51" s="2144">
        <v>85</v>
      </c>
      <c r="AZ51" s="2145">
        <v>85</v>
      </c>
      <c r="BA51" s="2145">
        <v>85</v>
      </c>
      <c r="BB51" s="2145">
        <f>+BA51</f>
        <v>85</v>
      </c>
      <c r="BC51" s="1606">
        <f>AVERAGE(AY51:BB51)</f>
        <v>85</v>
      </c>
      <c r="BD51" s="1401"/>
      <c r="BE51" s="2148">
        <v>90</v>
      </c>
      <c r="BF51" s="2149">
        <f t="shared" ref="BF51:BH52" si="194">+BE51</f>
        <v>90</v>
      </c>
      <c r="BG51" s="2149">
        <f t="shared" si="194"/>
        <v>90</v>
      </c>
      <c r="BH51" s="2149">
        <f t="shared" si="194"/>
        <v>90</v>
      </c>
      <c r="BI51" s="1606">
        <f>AVERAGE(BE51:BH51)</f>
        <v>90</v>
      </c>
      <c r="BJ51" s="1401"/>
      <c r="BK51" s="2148">
        <v>90</v>
      </c>
      <c r="BL51" s="2149">
        <f t="shared" ref="BL51:BN51" si="195">+BK51</f>
        <v>90</v>
      </c>
      <c r="BM51" s="2149">
        <f t="shared" si="195"/>
        <v>90</v>
      </c>
      <c r="BN51" s="2149">
        <f t="shared" si="195"/>
        <v>90</v>
      </c>
      <c r="BO51" s="1606">
        <f>AVERAGE(BK51:BN51)</f>
        <v>90</v>
      </c>
      <c r="BP51" s="1401"/>
      <c r="BQ51" s="2148">
        <v>90</v>
      </c>
      <c r="BR51" s="2149">
        <f t="shared" ref="BR51:BT52" si="196">+BQ51</f>
        <v>90</v>
      </c>
      <c r="BS51" s="2149">
        <f t="shared" si="196"/>
        <v>90</v>
      </c>
      <c r="BT51" s="2149">
        <f t="shared" si="196"/>
        <v>90</v>
      </c>
      <c r="BU51" s="1606">
        <f>AVERAGE(BQ51:BT51)</f>
        <v>90</v>
      </c>
      <c r="BV51" s="1401"/>
      <c r="BW51" s="2148">
        <v>90</v>
      </c>
      <c r="BX51" s="2149">
        <f t="shared" ref="BX51:BX52" si="197">+BW51</f>
        <v>90</v>
      </c>
      <c r="BY51" s="2149">
        <f t="shared" ref="BY51:BY52" si="198">+BX51</f>
        <v>90</v>
      </c>
      <c r="BZ51" s="2149">
        <f t="shared" ref="BZ51:BZ52" si="199">+BY51</f>
        <v>90</v>
      </c>
      <c r="CA51" s="1606">
        <f>AVERAGE(BW51:BZ51)</f>
        <v>90</v>
      </c>
      <c r="CB51" s="1401"/>
      <c r="CC51" s="2148">
        <v>90</v>
      </c>
      <c r="CD51" s="2149">
        <f t="shared" ref="CD51:CD52" si="200">+CC51</f>
        <v>90</v>
      </c>
      <c r="CE51" s="2149">
        <f t="shared" ref="CE51:CE52" si="201">+CD51</f>
        <v>90</v>
      </c>
      <c r="CF51" s="2149">
        <f t="shared" ref="CF51:CF52" si="202">+CE51</f>
        <v>90</v>
      </c>
      <c r="CG51" s="1606">
        <f>AVERAGE(CC51:CF51)</f>
        <v>90</v>
      </c>
      <c r="CH51" s="1401"/>
      <c r="CI51" s="2148">
        <v>90</v>
      </c>
      <c r="CJ51" s="2149">
        <f t="shared" ref="CJ51:CJ52" si="203">+CI51</f>
        <v>90</v>
      </c>
      <c r="CK51" s="2149">
        <f t="shared" ref="CK51:CK52" si="204">+CJ51</f>
        <v>90</v>
      </c>
      <c r="CL51" s="2149">
        <f t="shared" ref="CL51:CL52" si="205">+CK51</f>
        <v>90</v>
      </c>
      <c r="CM51" s="1606">
        <f>AVERAGE(CI51:CL51)</f>
        <v>90</v>
      </c>
      <c r="CN51" s="1401"/>
      <c r="CO51" s="2148">
        <v>90</v>
      </c>
      <c r="CP51" s="2149">
        <f t="shared" ref="CP51:CP52" si="206">+CO51</f>
        <v>90</v>
      </c>
      <c r="CQ51" s="2149">
        <f t="shared" ref="CQ51:CQ52" si="207">+CP51</f>
        <v>90</v>
      </c>
      <c r="CR51" s="2149">
        <f t="shared" ref="CR51:CR52" si="208">+CQ51</f>
        <v>90</v>
      </c>
      <c r="CS51" s="1606">
        <f>AVERAGE(CO51:CR51)</f>
        <v>90</v>
      </c>
      <c r="CT51" s="201"/>
      <c r="CU51" s="201"/>
      <c r="CV51" s="201"/>
      <c r="CW51" s="201"/>
      <c r="CX51" s="1803" t="s">
        <v>230</v>
      </c>
      <c r="CY51" s="1821">
        <f>+AG52</f>
        <v>247</v>
      </c>
      <c r="CZ51" s="1821">
        <f>+AH52</f>
        <v>223</v>
      </c>
      <c r="DA51" s="1821">
        <f>+AI52</f>
        <v>260</v>
      </c>
      <c r="DB51" s="1821">
        <f>+AJ52</f>
        <v>255</v>
      </c>
      <c r="DC51" s="1821">
        <f>+AM52</f>
        <v>260</v>
      </c>
      <c r="DD51" s="1821">
        <f>+AN52</f>
        <v>260</v>
      </c>
      <c r="DE51" s="1821">
        <f>+AO52</f>
        <v>260</v>
      </c>
      <c r="DF51" s="1821">
        <f>+AP52</f>
        <v>280</v>
      </c>
      <c r="DG51" s="1821">
        <f>+AS52</f>
        <v>300</v>
      </c>
      <c r="DH51" s="1821">
        <f>+AT52</f>
        <v>280</v>
      </c>
      <c r="DI51" s="1821">
        <f>+AU52</f>
        <v>265</v>
      </c>
      <c r="DJ51" s="1821">
        <f>+AV52</f>
        <v>305</v>
      </c>
      <c r="DK51" s="1821">
        <f>+AY52</f>
        <v>280</v>
      </c>
      <c r="DL51" s="1821">
        <f>+AZ52</f>
        <v>250</v>
      </c>
      <c r="DM51" s="1821">
        <f>+BA52</f>
        <v>210</v>
      </c>
      <c r="DN51" s="1821">
        <f>+BB52</f>
        <v>312</v>
      </c>
      <c r="DO51" s="1821">
        <f>+BE52</f>
        <v>250</v>
      </c>
      <c r="DP51" s="1821">
        <f>+BF52</f>
        <v>250</v>
      </c>
      <c r="DQ51" s="1821">
        <f>+BG52</f>
        <v>250</v>
      </c>
      <c r="DR51" s="1821">
        <f>+BH52</f>
        <v>230</v>
      </c>
      <c r="DS51" s="1821">
        <f>+BK52</f>
        <v>250</v>
      </c>
      <c r="DT51" s="1821">
        <f>+BL52</f>
        <v>195</v>
      </c>
      <c r="DU51" s="1821">
        <f>+BM52</f>
        <v>195</v>
      </c>
      <c r="DV51" s="1821">
        <f>+BN52</f>
        <v>185</v>
      </c>
      <c r="DW51" s="1822">
        <f>+BQ52</f>
        <v>190</v>
      </c>
      <c r="DX51" s="1821">
        <f>+BR52</f>
        <v>200</v>
      </c>
      <c r="DY51" s="1821">
        <f>+BS52</f>
        <v>200</v>
      </c>
      <c r="DZ51" s="1821">
        <f>+BT52</f>
        <v>200</v>
      </c>
      <c r="EA51" s="1821">
        <f>+BW52</f>
        <v>200</v>
      </c>
      <c r="EB51" s="1821">
        <f>+BX52</f>
        <v>200</v>
      </c>
      <c r="EC51" s="1821">
        <f>+BY52</f>
        <v>200</v>
      </c>
      <c r="ED51" s="1821">
        <f>+BZ52</f>
        <v>200</v>
      </c>
      <c r="EE51" s="1821">
        <f>+CC52</f>
        <v>200</v>
      </c>
      <c r="EF51" s="1821">
        <f>+CD52</f>
        <v>200</v>
      </c>
      <c r="EG51" s="1821">
        <f>+CE52</f>
        <v>200</v>
      </c>
      <c r="EH51" s="1821">
        <f>+CF52</f>
        <v>200</v>
      </c>
    </row>
    <row r="52" spans="1:138" ht="12.75" hidden="1" customHeight="1" outlineLevel="1" collapsed="1">
      <c r="A52" s="1029" t="s">
        <v>218</v>
      </c>
      <c r="B52" s="789"/>
      <c r="C52" s="193"/>
      <c r="D52" s="1008"/>
      <c r="E52" s="1008"/>
      <c r="F52" s="1008"/>
      <c r="G52" s="1009"/>
      <c r="H52" s="1008"/>
      <c r="I52" s="193"/>
      <c r="J52" s="1008"/>
      <c r="K52" s="1008"/>
      <c r="L52" s="1008"/>
      <c r="M52" s="1009"/>
      <c r="N52" s="1008"/>
      <c r="O52" s="193"/>
      <c r="P52" s="1008"/>
      <c r="Q52" s="1008"/>
      <c r="R52" s="1008"/>
      <c r="S52" s="1009"/>
      <c r="T52" s="1008"/>
      <c r="U52" s="1035">
        <v>0</v>
      </c>
      <c r="V52" s="1036">
        <v>0</v>
      </c>
      <c r="W52" s="1036">
        <v>0</v>
      </c>
      <c r="X52" s="1036">
        <v>0</v>
      </c>
      <c r="Y52" s="1033">
        <f>SUM(U52:X52)</f>
        <v>0</v>
      </c>
      <c r="Z52" s="1031"/>
      <c r="AA52" s="1035">
        <v>0</v>
      </c>
      <c r="AB52" s="1036">
        <v>0</v>
      </c>
      <c r="AC52" s="1036">
        <v>45</v>
      </c>
      <c r="AD52" s="1036">
        <v>130</v>
      </c>
      <c r="AE52" s="1033">
        <f>SUM(AA52:AD52)</f>
        <v>175</v>
      </c>
      <c r="AF52" s="1031"/>
      <c r="AG52" s="2157">
        <v>247</v>
      </c>
      <c r="AH52" s="2160">
        <v>223</v>
      </c>
      <c r="AI52" s="2160">
        <v>260</v>
      </c>
      <c r="AJ52" s="1036">
        <v>255</v>
      </c>
      <c r="AK52" s="1033">
        <f>SUM(AG52:AJ52)</f>
        <v>985</v>
      </c>
      <c r="AL52" s="1031"/>
      <c r="AM52" s="2157">
        <v>260</v>
      </c>
      <c r="AN52" s="2160">
        <v>260</v>
      </c>
      <c r="AO52" s="2160">
        <v>260</v>
      </c>
      <c r="AP52" s="2160">
        <v>280</v>
      </c>
      <c r="AQ52" s="1033">
        <f>SUM(AM52:AP52)</f>
        <v>1060</v>
      </c>
      <c r="AR52" s="1031"/>
      <c r="AS52" s="2157">
        <v>300</v>
      </c>
      <c r="AT52" s="2160">
        <v>280</v>
      </c>
      <c r="AU52" s="2160">
        <v>265</v>
      </c>
      <c r="AV52" s="1546">
        <v>305</v>
      </c>
      <c r="AW52" s="1691">
        <f>SUM(AS52:AV52)</f>
        <v>1150</v>
      </c>
      <c r="AX52" s="1692"/>
      <c r="AY52" s="2157">
        <v>280</v>
      </c>
      <c r="AZ52" s="2160">
        <v>250</v>
      </c>
      <c r="BA52" s="2160">
        <v>210</v>
      </c>
      <c r="BB52" s="2160">
        <v>312</v>
      </c>
      <c r="BC52" s="1691">
        <f>SUM(AY52:BB52)</f>
        <v>1052</v>
      </c>
      <c r="BD52" s="1692"/>
      <c r="BE52" s="2152">
        <v>250</v>
      </c>
      <c r="BF52" s="2153">
        <v>250</v>
      </c>
      <c r="BG52" s="2153">
        <f t="shared" si="194"/>
        <v>250</v>
      </c>
      <c r="BH52" s="2153">
        <v>230</v>
      </c>
      <c r="BI52" s="1691">
        <f>SUM(BE52:BH52)</f>
        <v>980</v>
      </c>
      <c r="BJ52" s="1692"/>
      <c r="BK52" s="2152">
        <v>250</v>
      </c>
      <c r="BL52" s="2153">
        <v>195</v>
      </c>
      <c r="BM52" s="2153">
        <v>195</v>
      </c>
      <c r="BN52" s="2153">
        <v>185</v>
      </c>
      <c r="BO52" s="1691">
        <f>SUM(BK52:BN52)</f>
        <v>825</v>
      </c>
      <c r="BP52" s="1692"/>
      <c r="BQ52" s="2152">
        <v>190</v>
      </c>
      <c r="BR52" s="2153">
        <v>200</v>
      </c>
      <c r="BS52" s="2153">
        <f t="shared" si="196"/>
        <v>200</v>
      </c>
      <c r="BT52" s="2153">
        <f t="shared" si="196"/>
        <v>200</v>
      </c>
      <c r="BU52" s="1691">
        <f t="shared" ref="BU52" si="209">SUM(BQ52:BT52)</f>
        <v>790</v>
      </c>
      <c r="BV52" s="1692"/>
      <c r="BW52" s="2152">
        <v>200</v>
      </c>
      <c r="BX52" s="2153">
        <f t="shared" si="197"/>
        <v>200</v>
      </c>
      <c r="BY52" s="2153">
        <f t="shared" si="198"/>
        <v>200</v>
      </c>
      <c r="BZ52" s="2153">
        <f t="shared" si="199"/>
        <v>200</v>
      </c>
      <c r="CA52" s="1691">
        <f t="shared" ref="CA52" si="210">SUM(BW52:BZ52)</f>
        <v>800</v>
      </c>
      <c r="CB52" s="1692"/>
      <c r="CC52" s="2152">
        <v>200</v>
      </c>
      <c r="CD52" s="2153">
        <f t="shared" si="200"/>
        <v>200</v>
      </c>
      <c r="CE52" s="2153">
        <f t="shared" si="201"/>
        <v>200</v>
      </c>
      <c r="CF52" s="2153">
        <f t="shared" si="202"/>
        <v>200</v>
      </c>
      <c r="CG52" s="1691">
        <f t="shared" ref="CG52" si="211">SUM(CC52:CF52)</f>
        <v>800</v>
      </c>
      <c r="CH52" s="1692"/>
      <c r="CI52" s="2152">
        <v>200</v>
      </c>
      <c r="CJ52" s="2153">
        <f t="shared" si="203"/>
        <v>200</v>
      </c>
      <c r="CK52" s="2153">
        <f t="shared" si="204"/>
        <v>200</v>
      </c>
      <c r="CL52" s="2153">
        <f t="shared" si="205"/>
        <v>200</v>
      </c>
      <c r="CM52" s="1691">
        <f t="shared" ref="CM52" si="212">SUM(CI52:CL52)</f>
        <v>800</v>
      </c>
      <c r="CN52" s="1692"/>
      <c r="CO52" s="2152">
        <v>200</v>
      </c>
      <c r="CP52" s="2153">
        <f t="shared" si="206"/>
        <v>200</v>
      </c>
      <c r="CQ52" s="2153">
        <f t="shared" si="207"/>
        <v>200</v>
      </c>
      <c r="CR52" s="2153">
        <f t="shared" si="208"/>
        <v>200</v>
      </c>
      <c r="CS52" s="1691">
        <f t="shared" ref="CS52" si="213">SUM(CO52:CR52)</f>
        <v>800</v>
      </c>
      <c r="CT52" s="205"/>
      <c r="CU52" s="205"/>
      <c r="CV52" s="205"/>
      <c r="CW52" s="205"/>
      <c r="CX52" s="1823" t="s">
        <v>447</v>
      </c>
      <c r="CY52" s="1822">
        <f>+AG55</f>
        <v>0</v>
      </c>
      <c r="CZ52" s="1822">
        <f>+AH55</f>
        <v>0</v>
      </c>
      <c r="DA52" s="1822">
        <f>+AI55</f>
        <v>0</v>
      </c>
      <c r="DB52" s="1822">
        <f>+AJ55</f>
        <v>0</v>
      </c>
      <c r="DC52" s="1822">
        <f>+AM55</f>
        <v>0</v>
      </c>
      <c r="DD52" s="1822">
        <f>+AN55</f>
        <v>0</v>
      </c>
      <c r="DE52" s="1822">
        <f>+AO55</f>
        <v>0</v>
      </c>
      <c r="DF52" s="1822">
        <f>+AP55</f>
        <v>0</v>
      </c>
      <c r="DG52" s="1822">
        <f>+AS55</f>
        <v>65</v>
      </c>
      <c r="DH52" s="1822">
        <f>+AT55</f>
        <v>135</v>
      </c>
      <c r="DI52" s="1822">
        <f>+AU55</f>
        <v>155</v>
      </c>
      <c r="DJ52" s="1822">
        <f>+AV55</f>
        <v>178</v>
      </c>
      <c r="DK52" s="1822">
        <f>+AY55</f>
        <v>135</v>
      </c>
      <c r="DL52" s="1822">
        <f>+AZ55</f>
        <v>155</v>
      </c>
      <c r="DM52" s="1822">
        <f>+BA55</f>
        <v>140</v>
      </c>
      <c r="DN52" s="1822">
        <f>+BB55</f>
        <v>200</v>
      </c>
      <c r="DO52" s="1822">
        <f>+BE55</f>
        <v>150</v>
      </c>
      <c r="DP52" s="1822">
        <f>+BF55</f>
        <v>160</v>
      </c>
      <c r="DQ52" s="1822">
        <f>+BG55</f>
        <v>165</v>
      </c>
      <c r="DR52" s="1822">
        <f>+BH55</f>
        <v>150</v>
      </c>
      <c r="DS52" s="1822">
        <f>+BK55</f>
        <v>165</v>
      </c>
      <c r="DT52" s="1822">
        <f>+BL55</f>
        <v>135</v>
      </c>
      <c r="DU52" s="1822">
        <f>+BM55</f>
        <v>130</v>
      </c>
      <c r="DV52" s="1822">
        <f>+BN55</f>
        <v>145</v>
      </c>
      <c r="DW52" s="1822">
        <f>+BQ55</f>
        <v>140</v>
      </c>
      <c r="DX52" s="1822">
        <f>+BR55</f>
        <v>140</v>
      </c>
      <c r="DY52" s="1822">
        <f>+BS55</f>
        <v>140</v>
      </c>
      <c r="DZ52" s="1822">
        <f>+BT55</f>
        <v>140</v>
      </c>
      <c r="EA52" s="1822">
        <f>+BW55</f>
        <v>140</v>
      </c>
      <c r="EB52" s="1822">
        <f>+BX55</f>
        <v>140</v>
      </c>
      <c r="EC52" s="1822">
        <f>+BY55</f>
        <v>140</v>
      </c>
      <c r="ED52" s="1822">
        <f>+BZ55</f>
        <v>140</v>
      </c>
      <c r="EE52" s="1822">
        <f>+CC55</f>
        <v>140</v>
      </c>
      <c r="EF52" s="1822">
        <f>+CD55</f>
        <v>140</v>
      </c>
      <c r="EG52" s="1822">
        <f>+CE55</f>
        <v>140</v>
      </c>
      <c r="EH52" s="1822">
        <f>+CF55</f>
        <v>140</v>
      </c>
    </row>
    <row r="53" spans="1:138" collapsed="1">
      <c r="A53" s="730" t="s">
        <v>446</v>
      </c>
      <c r="B53" s="789"/>
      <c r="C53" s="750"/>
      <c r="D53" s="205"/>
      <c r="E53" s="205"/>
      <c r="F53" s="205"/>
      <c r="G53" s="191"/>
      <c r="H53" s="205"/>
      <c r="I53" s="750"/>
      <c r="J53" s="205"/>
      <c r="K53" s="205"/>
      <c r="L53" s="205"/>
      <c r="M53" s="191"/>
      <c r="N53" s="205"/>
      <c r="O53" s="750"/>
      <c r="P53" s="205"/>
      <c r="Q53" s="205"/>
      <c r="R53" s="205"/>
      <c r="S53" s="191"/>
      <c r="T53" s="205"/>
      <c r="U53" s="748"/>
      <c r="V53" s="738"/>
      <c r="W53" s="738"/>
      <c r="X53" s="738"/>
      <c r="Y53" s="739"/>
      <c r="Z53" s="740"/>
      <c r="AA53" s="748"/>
      <c r="AB53" s="738"/>
      <c r="AC53" s="738"/>
      <c r="AD53" s="738"/>
      <c r="AE53" s="739"/>
      <c r="AF53" s="740"/>
      <c r="AG53" s="1617"/>
      <c r="AH53" s="1618"/>
      <c r="AI53" s="1618"/>
      <c r="AJ53" s="1618"/>
      <c r="AK53" s="1619"/>
      <c r="AL53" s="740"/>
      <c r="AM53" s="1617"/>
      <c r="AN53" s="1618"/>
      <c r="AO53" s="1618"/>
      <c r="AP53" s="1618"/>
      <c r="AQ53" s="1619"/>
      <c r="AR53" s="740"/>
      <c r="AS53" s="89">
        <f>(AS54*AS55)/1000</f>
        <v>15.6</v>
      </c>
      <c r="AT53" s="205">
        <f>(AT54*AT55)/1000</f>
        <v>32.4</v>
      </c>
      <c r="AU53" s="205">
        <f>(AU54*AU55)/1000</f>
        <v>34.875</v>
      </c>
      <c r="AV53" s="9">
        <f>(AV54*AV55)/1000</f>
        <v>39.159999999999997</v>
      </c>
      <c r="AW53" s="188">
        <f>SUM(AS53:AV53)</f>
        <v>122.035</v>
      </c>
      <c r="AX53" s="1611"/>
      <c r="AY53" s="89">
        <f>(AY54*AY55)/1000</f>
        <v>27</v>
      </c>
      <c r="AZ53" s="9">
        <f>(AZ54*AZ55)/1000</f>
        <v>31</v>
      </c>
      <c r="BA53" s="9">
        <f>(BA54*BA55)/1000</f>
        <v>28</v>
      </c>
      <c r="BB53" s="9">
        <f>(BB54*BB55)/1000</f>
        <v>40</v>
      </c>
      <c r="BC53" s="188">
        <f>SUM(AY53:BB53)</f>
        <v>126</v>
      </c>
      <c r="BD53" s="1611"/>
      <c r="BE53" s="89">
        <f>(BE54*BE55)/1000</f>
        <v>30</v>
      </c>
      <c r="BF53" s="9">
        <f>(BF54*BF55)/1000</f>
        <v>32</v>
      </c>
      <c r="BG53" s="9">
        <f>(BG54*BG55)/1000</f>
        <v>33</v>
      </c>
      <c r="BH53" s="9">
        <f>(BH54*BH55)/1000</f>
        <v>30</v>
      </c>
      <c r="BI53" s="188">
        <f>SUM(BE53:BH53)</f>
        <v>125</v>
      </c>
      <c r="BJ53" s="1611"/>
      <c r="BK53" s="89">
        <f>(BK54*BK55)/1000</f>
        <v>33</v>
      </c>
      <c r="BL53" s="9">
        <f>(BL54*BL55)/1000</f>
        <v>27</v>
      </c>
      <c r="BM53" s="9">
        <f>(BM54*BM55)/1000</f>
        <v>26</v>
      </c>
      <c r="BN53" s="9">
        <f>(BN54*BN55)/1000</f>
        <v>29</v>
      </c>
      <c r="BO53" s="188">
        <f>SUM(BK53:BN53)</f>
        <v>115</v>
      </c>
      <c r="BP53" s="1611"/>
      <c r="BQ53" s="89">
        <f>(BQ54*BQ55)/1000</f>
        <v>28</v>
      </c>
      <c r="BR53" s="9">
        <f>(BR54*BR55)/1000</f>
        <v>28</v>
      </c>
      <c r="BS53" s="9">
        <f>(BS54*BS55)/1000</f>
        <v>28</v>
      </c>
      <c r="BT53" s="9">
        <f>(BT54*BT55)/1000</f>
        <v>28</v>
      </c>
      <c r="BU53" s="188">
        <f>SUM(BQ53:BT53)</f>
        <v>112</v>
      </c>
      <c r="BV53" s="1611"/>
      <c r="BW53" s="89">
        <f>(BW54*BW55)/1000</f>
        <v>28</v>
      </c>
      <c r="BX53" s="9">
        <f>(BX54*BX55)/1000</f>
        <v>28</v>
      </c>
      <c r="BY53" s="9">
        <f>(BY54*BY55)/1000</f>
        <v>28</v>
      </c>
      <c r="BZ53" s="9">
        <f>(BZ54*BZ55)/1000</f>
        <v>28</v>
      </c>
      <c r="CA53" s="188">
        <f>SUM(BW53:BZ53)</f>
        <v>112</v>
      </c>
      <c r="CB53" s="1611"/>
      <c r="CC53" s="89">
        <f>(CC54*CC55)/1000</f>
        <v>28</v>
      </c>
      <c r="CD53" s="9">
        <f>(CD54*CD55)/1000</f>
        <v>28</v>
      </c>
      <c r="CE53" s="9">
        <f>(CE54*CE55)/1000</f>
        <v>28</v>
      </c>
      <c r="CF53" s="9">
        <f>(CF54*CF55)/1000</f>
        <v>28</v>
      </c>
      <c r="CG53" s="188">
        <f>SUM(CC53:CF53)</f>
        <v>112</v>
      </c>
      <c r="CH53" s="1611"/>
      <c r="CI53" s="89">
        <f>(CI54*CI55)/1000</f>
        <v>28</v>
      </c>
      <c r="CJ53" s="9">
        <f>(CJ54*CJ55)/1000</f>
        <v>28</v>
      </c>
      <c r="CK53" s="9">
        <f>(CK54*CK55)/1000</f>
        <v>28</v>
      </c>
      <c r="CL53" s="9">
        <f>(CL54*CL55)/1000</f>
        <v>28</v>
      </c>
      <c r="CM53" s="188">
        <f>SUM(CI53:CL53)</f>
        <v>112</v>
      </c>
      <c r="CN53" s="1611"/>
      <c r="CO53" s="89">
        <f>(CO54*CO55)/1000</f>
        <v>28</v>
      </c>
      <c r="CP53" s="9">
        <f>(CP54*CP55)/1000</f>
        <v>28</v>
      </c>
      <c r="CQ53" s="9">
        <f>(CQ54*CQ55)/1000</f>
        <v>28</v>
      </c>
      <c r="CR53" s="9">
        <f>(CR54*CR55)/1000</f>
        <v>28</v>
      </c>
      <c r="CS53" s="188">
        <f>SUM(CO53:CR53)</f>
        <v>112</v>
      </c>
      <c r="CT53" s="205"/>
      <c r="CU53" s="205"/>
      <c r="CV53" s="205"/>
      <c r="CW53" s="205"/>
      <c r="CX53" s="1803" t="s">
        <v>26</v>
      </c>
      <c r="CY53" s="1821">
        <f>+AG72</f>
        <v>0</v>
      </c>
      <c r="CZ53" s="1821">
        <f>+AH72</f>
        <v>0</v>
      </c>
      <c r="DA53" s="1821">
        <f>+AI72</f>
        <v>2</v>
      </c>
      <c r="DB53" s="1821">
        <f>+AJ72</f>
        <v>42</v>
      </c>
      <c r="DC53" s="1821">
        <f>+AM72</f>
        <v>44</v>
      </c>
      <c r="DD53" s="1821">
        <f>+AN72</f>
        <v>56</v>
      </c>
      <c r="DE53" s="1821">
        <f>+AO72</f>
        <v>70</v>
      </c>
      <c r="DF53" s="1821">
        <f>+AP72</f>
        <v>70</v>
      </c>
      <c r="DG53" s="1821">
        <f>+AS72</f>
        <v>71</v>
      </c>
      <c r="DH53" s="1821">
        <f>+AT72</f>
        <v>65</v>
      </c>
      <c r="DI53" s="1821">
        <f>+AU72</f>
        <v>65</v>
      </c>
      <c r="DJ53" s="1821">
        <f>+AV72</f>
        <v>68</v>
      </c>
      <c r="DK53" s="1821">
        <f>+AY72</f>
        <v>15</v>
      </c>
      <c r="DL53" s="1821">
        <f>+AZ72</f>
        <v>10</v>
      </c>
      <c r="DM53" s="1821">
        <f>+BA72</f>
        <v>0</v>
      </c>
      <c r="DN53" s="1821">
        <f>+BB72</f>
        <v>10</v>
      </c>
      <c r="DO53" s="1821">
        <f>+BE72</f>
        <v>8</v>
      </c>
      <c r="DP53" s="1821">
        <f>+BF72</f>
        <v>3</v>
      </c>
      <c r="DQ53" s="1821">
        <f>+BG72</f>
        <v>2</v>
      </c>
      <c r="DR53" s="1821">
        <f>+BH72</f>
        <v>0</v>
      </c>
      <c r="DS53" s="1821">
        <f>+BK72</f>
        <v>0</v>
      </c>
      <c r="DT53" s="1821">
        <f>+BL72</f>
        <v>0</v>
      </c>
      <c r="DU53" s="1821">
        <f>+BM72</f>
        <v>0</v>
      </c>
      <c r="DV53" s="1821">
        <f>+BN72</f>
        <v>0</v>
      </c>
      <c r="DW53" s="1822">
        <f>+BQ72</f>
        <v>0</v>
      </c>
      <c r="DX53" s="1821">
        <f>+BR72</f>
        <v>0</v>
      </c>
      <c r="DY53" s="1821">
        <f>+BS72</f>
        <v>0</v>
      </c>
      <c r="DZ53" s="1821">
        <f>+BT72</f>
        <v>0</v>
      </c>
      <c r="EA53" s="1821">
        <f>+BW72</f>
        <v>0</v>
      </c>
      <c r="EB53" s="1821">
        <f>+BX72</f>
        <v>0</v>
      </c>
      <c r="EC53" s="1821">
        <f>+BY72</f>
        <v>0</v>
      </c>
      <c r="ED53" s="1821">
        <f>+BZ72</f>
        <v>0</v>
      </c>
      <c r="EE53" s="1821">
        <f>+CC72</f>
        <v>0</v>
      </c>
      <c r="EF53" s="1821">
        <f>+CD72</f>
        <v>0</v>
      </c>
      <c r="EG53" s="1821">
        <f>+CE72</f>
        <v>0</v>
      </c>
      <c r="EH53" s="1821">
        <f>+CF72</f>
        <v>0</v>
      </c>
    </row>
    <row r="54" spans="1:138" ht="12.75" hidden="1" customHeight="1" outlineLevel="1">
      <c r="A54" s="1029" t="s">
        <v>223</v>
      </c>
      <c r="B54" s="789"/>
      <c r="C54" s="750"/>
      <c r="D54" s="205"/>
      <c r="E54" s="205"/>
      <c r="F54" s="205"/>
      <c r="G54" s="191"/>
      <c r="H54" s="205"/>
      <c r="I54" s="750"/>
      <c r="J54" s="205"/>
      <c r="K54" s="205"/>
      <c r="L54" s="205"/>
      <c r="M54" s="191"/>
      <c r="N54" s="205"/>
      <c r="O54" s="750"/>
      <c r="P54" s="205"/>
      <c r="Q54" s="205"/>
      <c r="R54" s="205"/>
      <c r="S54" s="191"/>
      <c r="T54" s="205"/>
      <c r="U54" s="748"/>
      <c r="V54" s="738"/>
      <c r="W54" s="738"/>
      <c r="X54" s="738"/>
      <c r="Y54" s="739"/>
      <c r="Z54" s="740"/>
      <c r="AA54" s="748"/>
      <c r="AB54" s="738"/>
      <c r="AC54" s="738"/>
      <c r="AD54" s="738"/>
      <c r="AE54" s="739"/>
      <c r="AF54" s="740"/>
      <c r="AG54" s="1617"/>
      <c r="AH54" s="1618"/>
      <c r="AI54" s="1618"/>
      <c r="AJ54" s="1618"/>
      <c r="AK54" s="1619"/>
      <c r="AL54" s="740"/>
      <c r="AM54" s="1617"/>
      <c r="AN54" s="1618"/>
      <c r="AO54" s="1618"/>
      <c r="AP54" s="1618"/>
      <c r="AQ54" s="1619"/>
      <c r="AR54" s="740"/>
      <c r="AS54" s="1430">
        <v>240</v>
      </c>
      <c r="AT54" s="1401">
        <f>+AS54</f>
        <v>240</v>
      </c>
      <c r="AU54" s="1538">
        <v>225</v>
      </c>
      <c r="AV54" s="1538">
        <v>220</v>
      </c>
      <c r="AW54" s="1606">
        <f>AW53/AW55*1000</f>
        <v>228.95872420262663</v>
      </c>
      <c r="AX54" s="1611"/>
      <c r="AY54" s="2144">
        <v>200</v>
      </c>
      <c r="AZ54" s="2145">
        <v>200</v>
      </c>
      <c r="BA54" s="2145">
        <v>200</v>
      </c>
      <c r="BB54" s="2145">
        <f>BA54</f>
        <v>200</v>
      </c>
      <c r="BC54" s="1606">
        <f>BC53/BC55*1000</f>
        <v>200</v>
      </c>
      <c r="BD54" s="1611"/>
      <c r="BE54" s="2148">
        <f>BC54</f>
        <v>200</v>
      </c>
      <c r="BF54" s="2149">
        <f t="shared" ref="BF54:BH54" si="214">BE54</f>
        <v>200</v>
      </c>
      <c r="BG54" s="2149">
        <f t="shared" si="214"/>
        <v>200</v>
      </c>
      <c r="BH54" s="2149">
        <f t="shared" si="214"/>
        <v>200</v>
      </c>
      <c r="BI54" s="1606">
        <f>BI53/BI55*1000</f>
        <v>200</v>
      </c>
      <c r="BJ54" s="1611"/>
      <c r="BK54" s="2148">
        <f>BI54</f>
        <v>200</v>
      </c>
      <c r="BL54" s="2149">
        <f t="shared" ref="BL54:BN54" si="215">BK54</f>
        <v>200</v>
      </c>
      <c r="BM54" s="2149">
        <f t="shared" si="215"/>
        <v>200</v>
      </c>
      <c r="BN54" s="2149">
        <f t="shared" si="215"/>
        <v>200</v>
      </c>
      <c r="BO54" s="1606">
        <f>BO53/BO55*1000</f>
        <v>200</v>
      </c>
      <c r="BP54" s="1611"/>
      <c r="BQ54" s="2148">
        <f>BO54</f>
        <v>200</v>
      </c>
      <c r="BR54" s="2149">
        <f t="shared" ref="BR54:BT55" si="216">BQ54</f>
        <v>200</v>
      </c>
      <c r="BS54" s="2149">
        <f t="shared" si="216"/>
        <v>200</v>
      </c>
      <c r="BT54" s="2149">
        <f t="shared" si="216"/>
        <v>200</v>
      </c>
      <c r="BU54" s="1606">
        <f>BU53/BU55*1000</f>
        <v>200</v>
      </c>
      <c r="BV54" s="1611"/>
      <c r="BW54" s="2148">
        <f>BU54</f>
        <v>200</v>
      </c>
      <c r="BX54" s="2149">
        <f t="shared" ref="BX54:BX55" si="217">BW54</f>
        <v>200</v>
      </c>
      <c r="BY54" s="2149">
        <f t="shared" ref="BY54:BY55" si="218">BX54</f>
        <v>200</v>
      </c>
      <c r="BZ54" s="2149">
        <f t="shared" ref="BZ54:BZ55" si="219">BY54</f>
        <v>200</v>
      </c>
      <c r="CA54" s="1606">
        <f>CA53/CA55*1000</f>
        <v>200</v>
      </c>
      <c r="CB54" s="1611"/>
      <c r="CC54" s="2148">
        <f>CA54</f>
        <v>200</v>
      </c>
      <c r="CD54" s="2149">
        <f t="shared" ref="CD54:CD55" si="220">CC54</f>
        <v>200</v>
      </c>
      <c r="CE54" s="2149">
        <f t="shared" ref="CE54:CE55" si="221">CD54</f>
        <v>200</v>
      </c>
      <c r="CF54" s="2149">
        <f t="shared" ref="CF54:CF55" si="222">CE54</f>
        <v>200</v>
      </c>
      <c r="CG54" s="1606">
        <f>CG53/CG55*1000</f>
        <v>200</v>
      </c>
      <c r="CH54" s="1611"/>
      <c r="CI54" s="2148">
        <f>CG54</f>
        <v>200</v>
      </c>
      <c r="CJ54" s="2149">
        <f t="shared" ref="CJ54:CJ55" si="223">CI54</f>
        <v>200</v>
      </c>
      <c r="CK54" s="2149">
        <f t="shared" ref="CK54:CK55" si="224">CJ54</f>
        <v>200</v>
      </c>
      <c r="CL54" s="2149">
        <f t="shared" ref="CL54:CL55" si="225">CK54</f>
        <v>200</v>
      </c>
      <c r="CM54" s="1606">
        <f>CM53/CM55*1000</f>
        <v>200</v>
      </c>
      <c r="CN54" s="1611"/>
      <c r="CO54" s="2148">
        <f>CM54</f>
        <v>200</v>
      </c>
      <c r="CP54" s="2149">
        <f t="shared" ref="CP54:CP55" si="226">CO54</f>
        <v>200</v>
      </c>
      <c r="CQ54" s="2149">
        <f t="shared" ref="CQ54:CQ55" si="227">CP54</f>
        <v>200</v>
      </c>
      <c r="CR54" s="2149">
        <f t="shared" ref="CR54:CR55" si="228">CQ54</f>
        <v>200</v>
      </c>
      <c r="CS54" s="1606">
        <f>CS53/CS55*1000</f>
        <v>200</v>
      </c>
      <c r="CT54" s="205"/>
      <c r="CU54" s="205"/>
      <c r="CV54" s="205"/>
      <c r="CW54" s="205"/>
      <c r="CX54" s="1823" t="s">
        <v>517</v>
      </c>
      <c r="CY54" s="1822">
        <f>+AG81</f>
        <v>0</v>
      </c>
      <c r="CZ54" s="1822">
        <f>+AH81</f>
        <v>0</v>
      </c>
      <c r="DA54" s="1822">
        <f>+AI81</f>
        <v>0</v>
      </c>
      <c r="DB54" s="1822">
        <f>+AJ81</f>
        <v>0</v>
      </c>
      <c r="DC54" s="1822">
        <f>+AM81</f>
        <v>0</v>
      </c>
      <c r="DD54" s="1822">
        <f>+AN81</f>
        <v>0</v>
      </c>
      <c r="DE54" s="1822">
        <f>+AO81</f>
        <v>0</v>
      </c>
      <c r="DF54" s="1822">
        <f>+AP81</f>
        <v>0</v>
      </c>
      <c r="DG54" s="1822">
        <f>+AS81</f>
        <v>0</v>
      </c>
      <c r="DH54" s="1822">
        <f>+AT81</f>
        <v>0</v>
      </c>
      <c r="DI54" s="1822">
        <f>+AU81</f>
        <v>0</v>
      </c>
      <c r="DJ54" s="1822">
        <f>+AV81</f>
        <v>0</v>
      </c>
      <c r="DK54" s="1822">
        <f>+AY81</f>
        <v>16.876000000000001</v>
      </c>
      <c r="DL54" s="1822">
        <f>+AZ81</f>
        <v>24.015887218045112</v>
      </c>
      <c r="DM54" s="1822">
        <f>+BA81</f>
        <v>26.449248120300751</v>
      </c>
      <c r="DN54" s="1822">
        <f>+BB81</f>
        <v>11.875999999999999</v>
      </c>
      <c r="DO54" s="1822">
        <f>+BE81</f>
        <v>14.955860150375941</v>
      </c>
      <c r="DP54" s="1822">
        <f>+BF81</f>
        <v>8.0146601503759403</v>
      </c>
      <c r="DQ54" s="1822">
        <f>+BG81</f>
        <v>4.0334000000000003</v>
      </c>
      <c r="DR54" s="1822">
        <f>+BH81</f>
        <v>0.93800000000000006</v>
      </c>
      <c r="DS54" s="1822">
        <f>+BK81</f>
        <v>0</v>
      </c>
      <c r="DT54" s="1822">
        <f>+BL81</f>
        <v>0</v>
      </c>
      <c r="DU54" s="1822">
        <f>+BM81</f>
        <v>0</v>
      </c>
      <c r="DV54" s="1822">
        <f>+BN81</f>
        <v>0</v>
      </c>
      <c r="DW54" s="1822">
        <f>+BQ81</f>
        <v>0</v>
      </c>
      <c r="DX54" s="1822">
        <f>+BR81</f>
        <v>0</v>
      </c>
      <c r="DY54" s="1822">
        <f>+BS81</f>
        <v>0</v>
      </c>
      <c r="DZ54" s="1822">
        <f>+BT81</f>
        <v>0</v>
      </c>
      <c r="EA54" s="1822">
        <f>+BW81</f>
        <v>0</v>
      </c>
      <c r="EB54" s="1822">
        <f>+BX81</f>
        <v>0</v>
      </c>
      <c r="EC54" s="1822">
        <f>+BY81</f>
        <v>0</v>
      </c>
      <c r="ED54" s="1822">
        <f>+BZ81</f>
        <v>0</v>
      </c>
      <c r="EE54" s="1822">
        <f>+CC81</f>
        <v>0</v>
      </c>
      <c r="EF54" s="1822">
        <f>+CD81</f>
        <v>0</v>
      </c>
      <c r="EG54" s="1822">
        <f>+CE81</f>
        <v>0</v>
      </c>
      <c r="EH54" s="1822">
        <f>+CF81</f>
        <v>0</v>
      </c>
    </row>
    <row r="55" spans="1:138" ht="12.75" hidden="1" customHeight="1" outlineLevel="1">
      <c r="A55" s="1029" t="s">
        <v>218</v>
      </c>
      <c r="B55" s="789"/>
      <c r="C55" s="193"/>
      <c r="D55" s="1008"/>
      <c r="E55" s="1008"/>
      <c r="F55" s="1008"/>
      <c r="G55" s="1009"/>
      <c r="H55" s="1008"/>
      <c r="I55" s="193"/>
      <c r="J55" s="1008"/>
      <c r="K55" s="1008"/>
      <c r="L55" s="1008"/>
      <c r="M55" s="1009"/>
      <c r="N55" s="1008"/>
      <c r="O55" s="193"/>
      <c r="P55" s="1008"/>
      <c r="Q55" s="1008"/>
      <c r="R55" s="1008"/>
      <c r="S55" s="1009"/>
      <c r="T55" s="1008"/>
      <c r="U55" s="1035"/>
      <c r="V55" s="1036"/>
      <c r="W55" s="1036"/>
      <c r="X55" s="1036"/>
      <c r="Y55" s="1033"/>
      <c r="Z55" s="1031"/>
      <c r="AA55" s="1035"/>
      <c r="AB55" s="1036"/>
      <c r="AC55" s="1036"/>
      <c r="AD55" s="1036"/>
      <c r="AE55" s="1033"/>
      <c r="AF55" s="1031"/>
      <c r="AG55" s="1620"/>
      <c r="AH55" s="1621"/>
      <c r="AI55" s="1621"/>
      <c r="AJ55" s="1621"/>
      <c r="AK55" s="1622"/>
      <c r="AL55" s="1031"/>
      <c r="AM55" s="1620"/>
      <c r="AN55" s="1621"/>
      <c r="AO55" s="1621"/>
      <c r="AP55" s="1621"/>
      <c r="AQ55" s="1622"/>
      <c r="AR55" s="1031"/>
      <c r="AS55" s="1667">
        <v>65</v>
      </c>
      <c r="AT55" s="1036">
        <v>135</v>
      </c>
      <c r="AU55" s="1036">
        <f>355-AT55-AS55</f>
        <v>155</v>
      </c>
      <c r="AV55" s="1693">
        <v>178</v>
      </c>
      <c r="AW55" s="1691">
        <f>SUM(AS55:AV55)</f>
        <v>533</v>
      </c>
      <c r="AX55" s="1692"/>
      <c r="AY55" s="2157">
        <v>135</v>
      </c>
      <c r="AZ55" s="2160">
        <v>155</v>
      </c>
      <c r="BA55" s="2160">
        <v>140</v>
      </c>
      <c r="BB55" s="2160">
        <v>200</v>
      </c>
      <c r="BC55" s="1691">
        <f>SUM(AY55:BB55)</f>
        <v>630</v>
      </c>
      <c r="BD55" s="1692"/>
      <c r="BE55" s="2152">
        <v>150</v>
      </c>
      <c r="BF55" s="2153">
        <v>160</v>
      </c>
      <c r="BG55" s="2153">
        <v>165</v>
      </c>
      <c r="BH55" s="2153">
        <v>150</v>
      </c>
      <c r="BI55" s="1691">
        <f>SUM(BE55:BH55)</f>
        <v>625</v>
      </c>
      <c r="BJ55" s="1692"/>
      <c r="BK55" s="2152">
        <v>165</v>
      </c>
      <c r="BL55" s="2153">
        <v>135</v>
      </c>
      <c r="BM55" s="2153">
        <v>130</v>
      </c>
      <c r="BN55" s="2153">
        <v>145</v>
      </c>
      <c r="BO55" s="1691">
        <f>SUM(BK55:BN55)</f>
        <v>575</v>
      </c>
      <c r="BP55" s="1692"/>
      <c r="BQ55" s="2152">
        <v>140</v>
      </c>
      <c r="BR55" s="2153">
        <f t="shared" si="216"/>
        <v>140</v>
      </c>
      <c r="BS55" s="2153">
        <f t="shared" si="216"/>
        <v>140</v>
      </c>
      <c r="BT55" s="2153">
        <f t="shared" si="216"/>
        <v>140</v>
      </c>
      <c r="BU55" s="1691">
        <f t="shared" ref="BU55" si="229">SUM(BQ55:BT55)</f>
        <v>560</v>
      </c>
      <c r="BV55" s="1692"/>
      <c r="BW55" s="2152">
        <f>+BT55</f>
        <v>140</v>
      </c>
      <c r="BX55" s="2153">
        <f t="shared" si="217"/>
        <v>140</v>
      </c>
      <c r="BY55" s="2153">
        <f t="shared" si="218"/>
        <v>140</v>
      </c>
      <c r="BZ55" s="2153">
        <f t="shared" si="219"/>
        <v>140</v>
      </c>
      <c r="CA55" s="1691">
        <f t="shared" ref="CA55" si="230">SUM(BW55:BZ55)</f>
        <v>560</v>
      </c>
      <c r="CB55" s="1692"/>
      <c r="CC55" s="2152">
        <f>+BZ55</f>
        <v>140</v>
      </c>
      <c r="CD55" s="2153">
        <f t="shared" si="220"/>
        <v>140</v>
      </c>
      <c r="CE55" s="2153">
        <f t="shared" si="221"/>
        <v>140</v>
      </c>
      <c r="CF55" s="2153">
        <f t="shared" si="222"/>
        <v>140</v>
      </c>
      <c r="CG55" s="1691">
        <f t="shared" ref="CG55" si="231">SUM(CC55:CF55)</f>
        <v>560</v>
      </c>
      <c r="CH55" s="1692"/>
      <c r="CI55" s="2152">
        <f>+CF55</f>
        <v>140</v>
      </c>
      <c r="CJ55" s="2153">
        <f t="shared" si="223"/>
        <v>140</v>
      </c>
      <c r="CK55" s="2153">
        <f t="shared" si="224"/>
        <v>140</v>
      </c>
      <c r="CL55" s="2153">
        <f t="shared" si="225"/>
        <v>140</v>
      </c>
      <c r="CM55" s="1691">
        <f t="shared" ref="CM55" si="232">SUM(CI55:CL55)</f>
        <v>560</v>
      </c>
      <c r="CN55" s="1692"/>
      <c r="CO55" s="2152">
        <f>+CL55</f>
        <v>140</v>
      </c>
      <c r="CP55" s="2153">
        <f t="shared" si="226"/>
        <v>140</v>
      </c>
      <c r="CQ55" s="2153">
        <f t="shared" si="227"/>
        <v>140</v>
      </c>
      <c r="CR55" s="2153">
        <f t="shared" si="228"/>
        <v>140</v>
      </c>
      <c r="CS55" s="1691">
        <f t="shared" ref="CS55" si="233">SUM(CO55:CR55)</f>
        <v>560</v>
      </c>
      <c r="CT55" s="205"/>
      <c r="CU55" s="215"/>
      <c r="CV55" s="205"/>
      <c r="CW55" s="205"/>
      <c r="CX55" s="1824" t="s">
        <v>518</v>
      </c>
      <c r="CY55" s="1821">
        <f>+AG91</f>
        <v>0</v>
      </c>
      <c r="CZ55" s="1821">
        <f>+AH91</f>
        <v>0</v>
      </c>
      <c r="DA55" s="1821">
        <f>+AI91</f>
        <v>0</v>
      </c>
      <c r="DB55" s="1821">
        <f>+AJ91</f>
        <v>0</v>
      </c>
      <c r="DC55" s="1821">
        <f>+AM91</f>
        <v>0</v>
      </c>
      <c r="DD55" s="1821">
        <f>+AN91</f>
        <v>0</v>
      </c>
      <c r="DE55" s="1821">
        <f>+AO91</f>
        <v>0</v>
      </c>
      <c r="DF55" s="1821">
        <f>+AP91</f>
        <v>0</v>
      </c>
      <c r="DG55" s="1821">
        <f>+AS91</f>
        <v>0</v>
      </c>
      <c r="DH55" s="1821">
        <f>+AT91</f>
        <v>0</v>
      </c>
      <c r="DI55" s="1821">
        <f>+AU91</f>
        <v>0</v>
      </c>
      <c r="DJ55" s="1821">
        <f>+AV91</f>
        <v>0</v>
      </c>
      <c r="DK55" s="1821">
        <f>+AY91</f>
        <v>46.415000000000006</v>
      </c>
      <c r="DL55" s="1821">
        <f>+AZ91</f>
        <v>54.822000000000003</v>
      </c>
      <c r="DM55" s="1821">
        <f>+BA91</f>
        <v>50.008000000000003</v>
      </c>
      <c r="DN55" s="1821">
        <f>+BB91</f>
        <v>39.566000000000003</v>
      </c>
      <c r="DO55" s="1821">
        <f>+BE91</f>
        <v>30.077999999999999</v>
      </c>
      <c r="DP55" s="1821">
        <f>+BF91</f>
        <v>28.952400000000001</v>
      </c>
      <c r="DQ55" s="1821">
        <f>+BG91</f>
        <v>21.041399999999999</v>
      </c>
      <c r="DR55" s="1821">
        <f>+BH91</f>
        <v>26.326000000000001</v>
      </c>
      <c r="DS55" s="1821">
        <f>+BK91</f>
        <v>7.0350000000000001</v>
      </c>
      <c r="DT55" s="1821">
        <f>+BL91</f>
        <v>0</v>
      </c>
      <c r="DU55" s="1821">
        <f>+BM91</f>
        <v>0</v>
      </c>
      <c r="DV55" s="1821">
        <f>+BN91</f>
        <v>3</v>
      </c>
      <c r="DW55" s="1822">
        <f>+BQ91</f>
        <v>0</v>
      </c>
      <c r="DX55" s="1821">
        <f>+BR91</f>
        <v>0</v>
      </c>
      <c r="DY55" s="1821">
        <f>+BS91</f>
        <v>0</v>
      </c>
      <c r="DZ55" s="1821">
        <f>+BT91</f>
        <v>0</v>
      </c>
      <c r="EA55" s="1821">
        <f>+BW91</f>
        <v>0</v>
      </c>
      <c r="EB55" s="1821">
        <f>+BX91</f>
        <v>0</v>
      </c>
      <c r="EC55" s="1821">
        <f>+BY91</f>
        <v>0</v>
      </c>
      <c r="ED55" s="1821">
        <f>+BZ91</f>
        <v>0</v>
      </c>
      <c r="EE55" s="1821">
        <f>+CC91</f>
        <v>0</v>
      </c>
      <c r="EF55" s="1821">
        <f>+CD91</f>
        <v>0</v>
      </c>
      <c r="EG55" s="1821">
        <f>+CE91</f>
        <v>0</v>
      </c>
      <c r="EH55" s="1821">
        <f>+CF91</f>
        <v>0</v>
      </c>
    </row>
    <row r="56" spans="1:138" collapsed="1">
      <c r="A56" s="1814" t="s">
        <v>531</v>
      </c>
      <c r="B56" s="1847"/>
      <c r="C56" s="752"/>
      <c r="D56" s="60"/>
      <c r="E56" s="60"/>
      <c r="F56" s="60"/>
      <c r="G56" s="736"/>
      <c r="H56" s="60"/>
      <c r="I56" s="753"/>
      <c r="J56" s="226"/>
      <c r="K56" s="226"/>
      <c r="L56" s="226"/>
      <c r="M56" s="736"/>
      <c r="N56" s="60"/>
      <c r="O56" s="753"/>
      <c r="P56" s="226"/>
      <c r="Q56" s="226"/>
      <c r="R56" s="226"/>
      <c r="S56" s="736"/>
      <c r="T56" s="60"/>
      <c r="U56" s="758"/>
      <c r="V56" s="223"/>
      <c r="W56" s="223"/>
      <c r="X56" s="223"/>
      <c r="Y56" s="224"/>
      <c r="Z56" s="60"/>
      <c r="AA56" s="758"/>
      <c r="AB56" s="223"/>
      <c r="AC56" s="223"/>
      <c r="AD56" s="223"/>
      <c r="AE56" s="224"/>
      <c r="AF56" s="740"/>
      <c r="AG56" s="1617"/>
      <c r="AH56" s="1618"/>
      <c r="AI56" s="1618"/>
      <c r="AJ56" s="1618"/>
      <c r="AK56" s="1619"/>
      <c r="AL56" s="740"/>
      <c r="AM56" s="1617"/>
      <c r="AN56" s="1618"/>
      <c r="AO56" s="1618"/>
      <c r="AP56" s="1618"/>
      <c r="AQ56" s="1619"/>
      <c r="AR56" s="226"/>
      <c r="AS56" s="1617"/>
      <c r="AT56" s="1618"/>
      <c r="AU56" s="1618"/>
      <c r="AV56" s="1618"/>
      <c r="AW56" s="2846"/>
      <c r="AX56" s="1698"/>
      <c r="AY56" s="89">
        <f>(AY57*AY58)/1000</f>
        <v>0.44</v>
      </c>
      <c r="AZ56" s="9">
        <f>(AZ57*AZ58)/1000</f>
        <v>0.6</v>
      </c>
      <c r="BA56" s="9">
        <f>(BA57*BA58)/1000</f>
        <v>2</v>
      </c>
      <c r="BB56" s="9">
        <f>(BB57*BB58)/1000</f>
        <v>3.6</v>
      </c>
      <c r="BC56" s="188">
        <f>SUM(AY56:BB56)</f>
        <v>6.6400000000000006</v>
      </c>
      <c r="BD56" s="9"/>
      <c r="BE56" s="89">
        <f>(BE57*BE58)/1000</f>
        <v>2.8</v>
      </c>
      <c r="BF56" s="9">
        <f>(BF57*BF58)/1000</f>
        <v>2.8</v>
      </c>
      <c r="BG56" s="9">
        <f>(BG57*BG58)/1000</f>
        <v>2.8</v>
      </c>
      <c r="BH56" s="9">
        <f>(BH57*BH58)/1000</f>
        <v>2.4</v>
      </c>
      <c r="BI56" s="188">
        <f>SUM(BE56:BH56)</f>
        <v>10.799999999999999</v>
      </c>
      <c r="BJ56" s="9"/>
      <c r="BK56" s="89">
        <f>(BK57*BK58)/1000</f>
        <v>0</v>
      </c>
      <c r="BL56" s="9">
        <f>(BL57*BL58)/1000</f>
        <v>0</v>
      </c>
      <c r="BM56" s="9">
        <f>(BM57*BM58)/1000</f>
        <v>0</v>
      </c>
      <c r="BN56" s="9">
        <f>(BN57*BN58)/1000</f>
        <v>0</v>
      </c>
      <c r="BO56" s="188">
        <f>SUM(BK56:BN56)</f>
        <v>0</v>
      </c>
      <c r="BP56" s="9"/>
      <c r="BQ56" s="89">
        <f>(BQ57*BQ58)/1000</f>
        <v>0</v>
      </c>
      <c r="BR56" s="9">
        <f>(BR57*BR58)/1000</f>
        <v>0</v>
      </c>
      <c r="BS56" s="9">
        <f>(BS57*BS58)/1000</f>
        <v>0</v>
      </c>
      <c r="BT56" s="9">
        <f>(BT57*BT58)/1000</f>
        <v>0</v>
      </c>
      <c r="BU56" s="188">
        <f>SUM(BQ56:BT56)</f>
        <v>0</v>
      </c>
      <c r="BV56" s="9"/>
      <c r="BW56" s="89">
        <f>(BW57*BW58)/1000</f>
        <v>0</v>
      </c>
      <c r="BX56" s="9">
        <f>(BX57*BX58)/1000</f>
        <v>0</v>
      </c>
      <c r="BY56" s="9">
        <f>(BY57*BY58)/1000</f>
        <v>0</v>
      </c>
      <c r="BZ56" s="9">
        <f>(BZ57*BZ58)/1000</f>
        <v>0</v>
      </c>
      <c r="CA56" s="188">
        <f>SUM(BW56:BZ56)</f>
        <v>0</v>
      </c>
      <c r="CB56" s="9"/>
      <c r="CC56" s="89">
        <f>(CC57*CC58)/1000</f>
        <v>0</v>
      </c>
      <c r="CD56" s="9">
        <f>(CD57*CD58)/1000</f>
        <v>0</v>
      </c>
      <c r="CE56" s="9">
        <f>(CE57*CE58)/1000</f>
        <v>0</v>
      </c>
      <c r="CF56" s="9">
        <f>(CF57*CF58)/1000</f>
        <v>0</v>
      </c>
      <c r="CG56" s="188">
        <f>SUM(CC56:CF56)</f>
        <v>0</v>
      </c>
      <c r="CH56" s="9"/>
      <c r="CI56" s="89">
        <f>(CI57*CI58)/1000</f>
        <v>0</v>
      </c>
      <c r="CJ56" s="9">
        <f>(CJ57*CJ58)/1000</f>
        <v>0</v>
      </c>
      <c r="CK56" s="9">
        <f>(CK57*CK58)/1000</f>
        <v>0</v>
      </c>
      <c r="CL56" s="9">
        <f>(CL57*CL58)/1000</f>
        <v>0</v>
      </c>
      <c r="CM56" s="188">
        <f>SUM(CI56:CL56)</f>
        <v>0</v>
      </c>
      <c r="CN56" s="9"/>
      <c r="CO56" s="89">
        <f>(CO57*CO58)/1000</f>
        <v>0</v>
      </c>
      <c r="CP56" s="9">
        <f>(CP57*CP58)/1000</f>
        <v>0</v>
      </c>
      <c r="CQ56" s="9">
        <f>(CQ57*CQ58)/1000</f>
        <v>0</v>
      </c>
      <c r="CR56" s="9">
        <f>(CR57*CR58)/1000</f>
        <v>0</v>
      </c>
      <c r="CS56" s="188">
        <f>SUM(CO56:CR56)</f>
        <v>0</v>
      </c>
      <c r="CT56" s="60"/>
      <c r="CU56" s="4"/>
      <c r="CV56" s="60"/>
      <c r="CW56" s="60"/>
      <c r="CX56" s="2207" t="s">
        <v>541</v>
      </c>
      <c r="CY56" s="2208">
        <f t="shared" ref="CY56:DP56" si="234">SUM(CY53:CY55)</f>
        <v>0</v>
      </c>
      <c r="CZ56" s="2208">
        <f t="shared" si="234"/>
        <v>0</v>
      </c>
      <c r="DA56" s="2208">
        <f t="shared" si="234"/>
        <v>2</v>
      </c>
      <c r="DB56" s="2208">
        <f t="shared" si="234"/>
        <v>42</v>
      </c>
      <c r="DC56" s="2208">
        <f t="shared" si="234"/>
        <v>44</v>
      </c>
      <c r="DD56" s="2208">
        <f t="shared" si="234"/>
        <v>56</v>
      </c>
      <c r="DE56" s="2208">
        <f t="shared" si="234"/>
        <v>70</v>
      </c>
      <c r="DF56" s="2208">
        <f t="shared" si="234"/>
        <v>70</v>
      </c>
      <c r="DG56" s="2208">
        <f t="shared" si="234"/>
        <v>71</v>
      </c>
      <c r="DH56" s="2208">
        <f t="shared" si="234"/>
        <v>65</v>
      </c>
      <c r="DI56" s="2208">
        <f t="shared" si="234"/>
        <v>65</v>
      </c>
      <c r="DJ56" s="2208">
        <f t="shared" si="234"/>
        <v>68</v>
      </c>
      <c r="DK56" s="2208">
        <f t="shared" si="234"/>
        <v>78.291000000000011</v>
      </c>
      <c r="DL56" s="2208">
        <f t="shared" si="234"/>
        <v>88.837887218045111</v>
      </c>
      <c r="DM56" s="2208">
        <f t="shared" si="234"/>
        <v>76.457248120300761</v>
      </c>
      <c r="DN56" s="2208">
        <f t="shared" si="234"/>
        <v>61.442</v>
      </c>
      <c r="DO56" s="2208">
        <f t="shared" si="234"/>
        <v>53.033860150375943</v>
      </c>
      <c r="DP56" s="2208">
        <f t="shared" si="234"/>
        <v>39.967060150375943</v>
      </c>
      <c r="DQ56" s="2208">
        <f t="shared" ref="DQ56" si="235">SUM(DQ53:DQ55)</f>
        <v>27.0748</v>
      </c>
      <c r="DR56" s="2208">
        <f t="shared" ref="DR56" si="236">SUM(DR53:DR55)</f>
        <v>27.263999999999999</v>
      </c>
      <c r="DS56" s="2208">
        <f t="shared" ref="DS56:DV56" si="237">SUM(DS53:DS55)</f>
        <v>7.0350000000000001</v>
      </c>
      <c r="DT56" s="2208">
        <f t="shared" si="237"/>
        <v>0</v>
      </c>
      <c r="DU56" s="2208">
        <f t="shared" si="237"/>
        <v>0</v>
      </c>
      <c r="DV56" s="2208">
        <f t="shared" si="237"/>
        <v>3</v>
      </c>
      <c r="DW56" s="2208">
        <f t="shared" ref="DW56:DZ56" si="238">SUM(DW53:DW55)</f>
        <v>0</v>
      </c>
      <c r="DX56" s="2208">
        <f t="shared" si="238"/>
        <v>0</v>
      </c>
      <c r="DY56" s="2208">
        <f t="shared" si="238"/>
        <v>0</v>
      </c>
      <c r="DZ56" s="2208">
        <f t="shared" si="238"/>
        <v>0</v>
      </c>
      <c r="EA56" s="2208">
        <f t="shared" ref="EA56:ED56" si="239">SUM(EA53:EA55)</f>
        <v>0</v>
      </c>
      <c r="EB56" s="2208">
        <f t="shared" si="239"/>
        <v>0</v>
      </c>
      <c r="EC56" s="2208">
        <f t="shared" si="239"/>
        <v>0</v>
      </c>
      <c r="ED56" s="2208">
        <f t="shared" si="239"/>
        <v>0</v>
      </c>
      <c r="EE56" s="2208">
        <f t="shared" ref="EE56:EH56" si="240">SUM(EE53:EE55)</f>
        <v>0</v>
      </c>
      <c r="EF56" s="2208">
        <f t="shared" si="240"/>
        <v>0</v>
      </c>
      <c r="EG56" s="2208">
        <f t="shared" si="240"/>
        <v>0</v>
      </c>
      <c r="EH56" s="2208">
        <f t="shared" si="240"/>
        <v>0</v>
      </c>
    </row>
    <row r="57" spans="1:138" ht="12.75" hidden="1" customHeight="1" outlineLevel="1">
      <c r="A57" s="1028" t="s">
        <v>223</v>
      </c>
      <c r="B57" s="60"/>
      <c r="C57" s="752"/>
      <c r="D57" s="60"/>
      <c r="E57" s="60"/>
      <c r="F57" s="60"/>
      <c r="G57" s="736"/>
      <c r="H57" s="60"/>
      <c r="I57" s="753"/>
      <c r="J57" s="226"/>
      <c r="K57" s="226"/>
      <c r="L57" s="226"/>
      <c r="M57" s="736"/>
      <c r="N57" s="60"/>
      <c r="O57" s="753"/>
      <c r="P57" s="226"/>
      <c r="Q57" s="226"/>
      <c r="R57" s="226"/>
      <c r="S57" s="736"/>
      <c r="T57" s="60"/>
      <c r="U57" s="758"/>
      <c r="V57" s="223"/>
      <c r="W57" s="223"/>
      <c r="X57" s="223"/>
      <c r="Y57" s="224"/>
      <c r="Z57" s="60"/>
      <c r="AA57" s="758"/>
      <c r="AB57" s="223"/>
      <c r="AC57" s="223"/>
      <c r="AD57" s="223"/>
      <c r="AE57" s="224"/>
      <c r="AF57" s="740"/>
      <c r="AG57" s="1617"/>
      <c r="AH57" s="1618"/>
      <c r="AI57" s="1618"/>
      <c r="AJ57" s="1618"/>
      <c r="AK57" s="1619"/>
      <c r="AL57" s="740"/>
      <c r="AM57" s="1617"/>
      <c r="AN57" s="1618"/>
      <c r="AO57" s="1618"/>
      <c r="AP57" s="1618"/>
      <c r="AQ57" s="1619"/>
      <c r="AR57" s="226"/>
      <c r="AS57" s="1617"/>
      <c r="AT57" s="1618"/>
      <c r="AU57" s="1618"/>
      <c r="AV57" s="1618"/>
      <c r="AW57" s="2846"/>
      <c r="AX57" s="1698"/>
      <c r="AY57" s="2144">
        <v>40</v>
      </c>
      <c r="AZ57" s="2156">
        <f>AY57</f>
        <v>40</v>
      </c>
      <c r="BA57" s="2156">
        <f>AZ57</f>
        <v>40</v>
      </c>
      <c r="BB57" s="2156">
        <f>BA57</f>
        <v>40</v>
      </c>
      <c r="BC57" s="1655">
        <f>BC56/BC58*1000</f>
        <v>40</v>
      </c>
      <c r="BD57" s="1698"/>
      <c r="BE57" s="2154">
        <f>BB57</f>
        <v>40</v>
      </c>
      <c r="BF57" s="2155">
        <f t="shared" ref="BF57:BH58" si="241">BE57</f>
        <v>40</v>
      </c>
      <c r="BG57" s="2155">
        <f t="shared" si="241"/>
        <v>40</v>
      </c>
      <c r="BH57" s="2155">
        <f t="shared" si="241"/>
        <v>40</v>
      </c>
      <c r="BI57" s="1655">
        <f>BI56/BI58*1000</f>
        <v>39.999999999999993</v>
      </c>
      <c r="BJ57" s="1698"/>
      <c r="BK57" s="2154">
        <f>BH57</f>
        <v>40</v>
      </c>
      <c r="BL57" s="2155">
        <f t="shared" ref="BL57:BN58" si="242">BK57</f>
        <v>40</v>
      </c>
      <c r="BM57" s="2155">
        <f t="shared" si="242"/>
        <v>40</v>
      </c>
      <c r="BN57" s="2155">
        <f t="shared" si="242"/>
        <v>40</v>
      </c>
      <c r="BO57" s="1655">
        <f>+BN57</f>
        <v>40</v>
      </c>
      <c r="BP57" s="1698"/>
      <c r="BQ57" s="2154">
        <f>BN57</f>
        <v>40</v>
      </c>
      <c r="BR57" s="2155">
        <f t="shared" ref="BR57:BT58" si="243">BQ57</f>
        <v>40</v>
      </c>
      <c r="BS57" s="2155">
        <f t="shared" si="243"/>
        <v>40</v>
      </c>
      <c r="BT57" s="2155">
        <f t="shared" si="243"/>
        <v>40</v>
      </c>
      <c r="BU57" s="1655">
        <f>+BT57</f>
        <v>40</v>
      </c>
      <c r="BV57" s="1698"/>
      <c r="BW57" s="2154">
        <f>BT57</f>
        <v>40</v>
      </c>
      <c r="BX57" s="2155">
        <f t="shared" ref="BX57:BX58" si="244">BW57</f>
        <v>40</v>
      </c>
      <c r="BY57" s="2155">
        <f t="shared" ref="BY57:BY58" si="245">BX57</f>
        <v>40</v>
      </c>
      <c r="BZ57" s="2155">
        <f t="shared" ref="BZ57:BZ58" si="246">BY57</f>
        <v>40</v>
      </c>
      <c r="CA57" s="1655">
        <f>+BZ57</f>
        <v>40</v>
      </c>
      <c r="CB57" s="1698"/>
      <c r="CC57" s="2154">
        <f>BZ57</f>
        <v>40</v>
      </c>
      <c r="CD57" s="2155">
        <f t="shared" ref="CD57:CD58" si="247">CC57</f>
        <v>40</v>
      </c>
      <c r="CE57" s="2155">
        <f t="shared" ref="CE57:CE58" si="248">CD57</f>
        <v>40</v>
      </c>
      <c r="CF57" s="2155">
        <f t="shared" ref="CF57:CF58" si="249">CE57</f>
        <v>40</v>
      </c>
      <c r="CG57" s="1655">
        <f>+CF57</f>
        <v>40</v>
      </c>
      <c r="CH57" s="1698"/>
      <c r="CI57" s="2154">
        <f>CF57</f>
        <v>40</v>
      </c>
      <c r="CJ57" s="2155">
        <f t="shared" ref="CJ57:CJ58" si="250">CI57</f>
        <v>40</v>
      </c>
      <c r="CK57" s="2155">
        <f t="shared" ref="CK57:CK58" si="251">CJ57</f>
        <v>40</v>
      </c>
      <c r="CL57" s="2155">
        <f t="shared" ref="CL57:CL58" si="252">CK57</f>
        <v>40</v>
      </c>
      <c r="CM57" s="1655">
        <f>+CL57</f>
        <v>40</v>
      </c>
      <c r="CN57" s="1698"/>
      <c r="CO57" s="2154">
        <f>CL57</f>
        <v>40</v>
      </c>
      <c r="CP57" s="2155">
        <f t="shared" ref="CP57:CP58" si="253">CO57</f>
        <v>40</v>
      </c>
      <c r="CQ57" s="2155">
        <f t="shared" ref="CQ57:CQ58" si="254">CP57</f>
        <v>40</v>
      </c>
      <c r="CR57" s="2155">
        <f t="shared" ref="CR57:CR58" si="255">CQ57</f>
        <v>40</v>
      </c>
      <c r="CS57" s="1655">
        <f>+CR57</f>
        <v>40</v>
      </c>
      <c r="CT57" s="60"/>
      <c r="CU57" s="4"/>
      <c r="CV57" s="60"/>
      <c r="CW57" s="60"/>
      <c r="CX57" s="1803" t="s">
        <v>542</v>
      </c>
      <c r="CY57" s="1821">
        <f>+AG103</f>
        <v>0</v>
      </c>
      <c r="CZ57" s="1821">
        <f>+AH103</f>
        <v>0</v>
      </c>
      <c r="DA57" s="1821">
        <f>+AI103</f>
        <v>0</v>
      </c>
      <c r="DB57" s="1821">
        <f>+AJ103</f>
        <v>0</v>
      </c>
      <c r="DC57" s="1821">
        <f>+AM103</f>
        <v>0</v>
      </c>
      <c r="DD57" s="1821">
        <f>+AN103</f>
        <v>0</v>
      </c>
      <c r="DE57" s="1821">
        <f>+AO103</f>
        <v>0</v>
      </c>
      <c r="DF57" s="1821">
        <f>+AP103</f>
        <v>0</v>
      </c>
      <c r="DG57" s="1821">
        <f>+AS103</f>
        <v>0</v>
      </c>
      <c r="DH57" s="1821">
        <f>+AT103</f>
        <v>0</v>
      </c>
      <c r="DI57" s="1821">
        <f>+AU103</f>
        <v>0</v>
      </c>
      <c r="DJ57" s="1821">
        <f>+AV103</f>
        <v>0</v>
      </c>
      <c r="DK57" s="1821">
        <f>+AY103</f>
        <v>0</v>
      </c>
      <c r="DL57" s="1821">
        <f>+AZ103</f>
        <v>6</v>
      </c>
      <c r="DM57" s="1821">
        <f>+BA103</f>
        <v>6.3</v>
      </c>
      <c r="DN57" s="1821">
        <f>+BB103</f>
        <v>7.08</v>
      </c>
      <c r="DO57" s="1821">
        <f>+BE103</f>
        <v>10.247999999999999</v>
      </c>
      <c r="DP57" s="1821">
        <f>+BF103</f>
        <v>12.686</v>
      </c>
      <c r="DQ57" s="1821">
        <f>+BG103</f>
        <v>9.98184</v>
      </c>
      <c r="DR57" s="1821">
        <f>+BH103</f>
        <v>9.9898304000000007</v>
      </c>
      <c r="DS57" s="1821">
        <f>+BK103</f>
        <v>2.2714329599999998</v>
      </c>
      <c r="DT57" s="1821">
        <f>+BL103</f>
        <v>0</v>
      </c>
      <c r="DU57" s="1821">
        <f>+BM103</f>
        <v>0</v>
      </c>
      <c r="DV57" s="1821">
        <f>+BN103</f>
        <v>0</v>
      </c>
      <c r="DW57" s="1822">
        <f>+BQ103</f>
        <v>0</v>
      </c>
      <c r="DX57" s="1821">
        <f>+BR103</f>
        <v>0</v>
      </c>
      <c r="DY57" s="1821">
        <f>+BS103</f>
        <v>0</v>
      </c>
      <c r="DZ57" s="1821">
        <f>+BT103</f>
        <v>0</v>
      </c>
      <c r="EA57" s="1821">
        <f>+BW103</f>
        <v>0</v>
      </c>
      <c r="EB57" s="1821">
        <f>+BX103</f>
        <v>0</v>
      </c>
      <c r="EC57" s="1821">
        <f>+BY103</f>
        <v>0</v>
      </c>
      <c r="ED57" s="1821">
        <f>+BZ103</f>
        <v>0</v>
      </c>
      <c r="EE57" s="1821">
        <f>+CC103</f>
        <v>0</v>
      </c>
      <c r="EF57" s="1821">
        <f>+CD103</f>
        <v>0</v>
      </c>
      <c r="EG57" s="1821">
        <f>+CE103</f>
        <v>0</v>
      </c>
      <c r="EH57" s="1821">
        <f>+CF103</f>
        <v>0</v>
      </c>
    </row>
    <row r="58" spans="1:138" ht="12.75" hidden="1" customHeight="1" outlineLevel="1">
      <c r="A58" s="1034" t="s">
        <v>218</v>
      </c>
      <c r="B58" s="800"/>
      <c r="C58" s="801"/>
      <c r="D58" s="800"/>
      <c r="E58" s="800"/>
      <c r="F58" s="800"/>
      <c r="G58" s="802"/>
      <c r="H58" s="800"/>
      <c r="I58" s="803"/>
      <c r="J58" s="804"/>
      <c r="K58" s="804"/>
      <c r="L58" s="804"/>
      <c r="M58" s="802"/>
      <c r="N58" s="800"/>
      <c r="O58" s="803"/>
      <c r="P58" s="804"/>
      <c r="Q58" s="804"/>
      <c r="R58" s="804"/>
      <c r="S58" s="802"/>
      <c r="T58" s="800"/>
      <c r="U58" s="805"/>
      <c r="V58" s="806"/>
      <c r="W58" s="806"/>
      <c r="X58" s="806"/>
      <c r="Y58" s="807"/>
      <c r="Z58" s="800"/>
      <c r="AA58" s="805"/>
      <c r="AB58" s="806"/>
      <c r="AC58" s="806"/>
      <c r="AD58" s="806"/>
      <c r="AE58" s="807"/>
      <c r="AF58" s="1031"/>
      <c r="AG58" s="1620"/>
      <c r="AH58" s="1621"/>
      <c r="AI58" s="1621"/>
      <c r="AJ58" s="1621"/>
      <c r="AK58" s="1622"/>
      <c r="AL58" s="1031"/>
      <c r="AM58" s="1620"/>
      <c r="AN58" s="1621"/>
      <c r="AO58" s="1621"/>
      <c r="AP58" s="1621"/>
      <c r="AQ58" s="1622"/>
      <c r="AR58" s="804"/>
      <c r="AS58" s="1620"/>
      <c r="AT58" s="1621"/>
      <c r="AU58" s="1621"/>
      <c r="AV58" s="1621"/>
      <c r="AW58" s="1622"/>
      <c r="AX58" s="1700"/>
      <c r="AY58" s="2157">
        <v>11</v>
      </c>
      <c r="AZ58" s="2158">
        <v>15</v>
      </c>
      <c r="BA58" s="2158">
        <v>50</v>
      </c>
      <c r="BB58" s="2159">
        <v>90</v>
      </c>
      <c r="BC58" s="1691">
        <f>SUM(AY58:BB58)</f>
        <v>166</v>
      </c>
      <c r="BD58" s="1692"/>
      <c r="BE58" s="2152">
        <v>70</v>
      </c>
      <c r="BF58" s="2153">
        <f t="shared" si="241"/>
        <v>70</v>
      </c>
      <c r="BG58" s="2153">
        <f t="shared" si="241"/>
        <v>70</v>
      </c>
      <c r="BH58" s="2153">
        <v>60</v>
      </c>
      <c r="BI58" s="1691">
        <f>SUM(BE58:BH58)</f>
        <v>270</v>
      </c>
      <c r="BJ58" s="1692"/>
      <c r="BK58" s="2152">
        <v>0</v>
      </c>
      <c r="BL58" s="2153">
        <f t="shared" si="242"/>
        <v>0</v>
      </c>
      <c r="BM58" s="2153">
        <f t="shared" si="242"/>
        <v>0</v>
      </c>
      <c r="BN58" s="2153">
        <f t="shared" si="242"/>
        <v>0</v>
      </c>
      <c r="BO58" s="1691">
        <f>SUM(BK58:BN58)</f>
        <v>0</v>
      </c>
      <c r="BP58" s="1692"/>
      <c r="BQ58" s="2152">
        <v>0</v>
      </c>
      <c r="BR58" s="2153">
        <f t="shared" si="243"/>
        <v>0</v>
      </c>
      <c r="BS58" s="2153">
        <f t="shared" si="243"/>
        <v>0</v>
      </c>
      <c r="BT58" s="2153">
        <f t="shared" si="243"/>
        <v>0</v>
      </c>
      <c r="BU58" s="1691">
        <f>SUM(BQ58:BT58)</f>
        <v>0</v>
      </c>
      <c r="BV58" s="1692"/>
      <c r="BW58" s="2152">
        <v>0</v>
      </c>
      <c r="BX58" s="2153">
        <f t="shared" si="244"/>
        <v>0</v>
      </c>
      <c r="BY58" s="2153">
        <f t="shared" si="245"/>
        <v>0</v>
      </c>
      <c r="BZ58" s="2153">
        <f t="shared" si="246"/>
        <v>0</v>
      </c>
      <c r="CA58" s="1691">
        <f>SUM(BW58:BZ58)</f>
        <v>0</v>
      </c>
      <c r="CB58" s="1692"/>
      <c r="CC58" s="2152">
        <v>0</v>
      </c>
      <c r="CD58" s="2153">
        <f t="shared" si="247"/>
        <v>0</v>
      </c>
      <c r="CE58" s="2153">
        <f t="shared" si="248"/>
        <v>0</v>
      </c>
      <c r="CF58" s="2153">
        <f t="shared" si="249"/>
        <v>0</v>
      </c>
      <c r="CG58" s="1691">
        <f>SUM(CC58:CF58)</f>
        <v>0</v>
      </c>
      <c r="CH58" s="1692"/>
      <c r="CI58" s="2152">
        <v>0</v>
      </c>
      <c r="CJ58" s="2153">
        <f t="shared" si="250"/>
        <v>0</v>
      </c>
      <c r="CK58" s="2153">
        <f t="shared" si="251"/>
        <v>0</v>
      </c>
      <c r="CL58" s="2153">
        <f t="shared" si="252"/>
        <v>0</v>
      </c>
      <c r="CM58" s="1691">
        <f>SUM(CI58:CL58)</f>
        <v>0</v>
      </c>
      <c r="CN58" s="1692"/>
      <c r="CO58" s="2152">
        <v>0</v>
      </c>
      <c r="CP58" s="2153">
        <f t="shared" si="253"/>
        <v>0</v>
      </c>
      <c r="CQ58" s="2153">
        <f t="shared" si="254"/>
        <v>0</v>
      </c>
      <c r="CR58" s="2153">
        <f t="shared" si="255"/>
        <v>0</v>
      </c>
      <c r="CS58" s="1691">
        <f>SUM(CO58:CR58)</f>
        <v>0</v>
      </c>
      <c r="CT58" s="60"/>
      <c r="CU58" s="4"/>
      <c r="CV58" s="60"/>
      <c r="CW58" s="60"/>
      <c r="CX58" s="1823" t="s">
        <v>234</v>
      </c>
      <c r="CY58" s="1822">
        <f>+AG109</f>
        <v>0</v>
      </c>
      <c r="CZ58" s="1822">
        <f>+AH109</f>
        <v>0</v>
      </c>
      <c r="DA58" s="1822">
        <f>+AI109</f>
        <v>0</v>
      </c>
      <c r="DB58" s="1822">
        <f>+AJ109</f>
        <v>0</v>
      </c>
      <c r="DC58" s="1822">
        <f>+AM109</f>
        <v>0</v>
      </c>
      <c r="DD58" s="1822">
        <f>+AN109</f>
        <v>0</v>
      </c>
      <c r="DE58" s="1822">
        <f>+AO109</f>
        <v>0</v>
      </c>
      <c r="DF58" s="1822">
        <f>+AP109</f>
        <v>0</v>
      </c>
      <c r="DG58" s="1822">
        <f>+AS109</f>
        <v>12</v>
      </c>
      <c r="DH58" s="1822">
        <f>+AT109</f>
        <v>34</v>
      </c>
      <c r="DI58" s="1822">
        <f>+AU109</f>
        <v>45</v>
      </c>
      <c r="DJ58" s="1822">
        <f>+AV109</f>
        <v>43</v>
      </c>
      <c r="DK58" s="1822">
        <f>+AY109</f>
        <v>46.9</v>
      </c>
      <c r="DL58" s="1822">
        <f>+AZ109</f>
        <v>34.068000000000005</v>
      </c>
      <c r="DM58" s="1822">
        <f>+BA109</f>
        <v>38</v>
      </c>
      <c r="DN58" s="1822">
        <f>+BB109</f>
        <v>26.622399999999995</v>
      </c>
      <c r="DO58" s="1822">
        <f>+BE109</f>
        <v>10.352399999999999</v>
      </c>
      <c r="DP58" s="1822">
        <f>+BF109</f>
        <v>21.343451999999996</v>
      </c>
      <c r="DQ58" s="1822">
        <f>+BG109</f>
        <v>15.59984944</v>
      </c>
      <c r="DR58" s="1822">
        <f>+BH109</f>
        <v>24.045559424</v>
      </c>
      <c r="DS58" s="1822">
        <f>+BK109</f>
        <v>5.6068339135999992</v>
      </c>
      <c r="DT58" s="1822">
        <f>+BL109</f>
        <v>5.0461505222399996</v>
      </c>
      <c r="DU58" s="1822">
        <f>+BM109</f>
        <v>0</v>
      </c>
      <c r="DV58" s="1822">
        <f>+BN109</f>
        <v>0</v>
      </c>
      <c r="DW58" s="1822">
        <f>+BQ109</f>
        <v>0</v>
      </c>
      <c r="DX58" s="1822">
        <f>+BR109</f>
        <v>0</v>
      </c>
      <c r="DY58" s="1822">
        <f>+BS109</f>
        <v>0</v>
      </c>
      <c r="DZ58" s="1822">
        <f>+BT109</f>
        <v>0</v>
      </c>
      <c r="EA58" s="1822">
        <f>+BW109</f>
        <v>0</v>
      </c>
      <c r="EB58" s="1822">
        <f>+BX109</f>
        <v>0</v>
      </c>
      <c r="EC58" s="1822">
        <f>+BY109</f>
        <v>0</v>
      </c>
      <c r="ED58" s="1822">
        <f>+BZ109</f>
        <v>0</v>
      </c>
      <c r="EE58" s="1822">
        <f>+CC109</f>
        <v>0</v>
      </c>
      <c r="EF58" s="1822">
        <f>+CD109</f>
        <v>0</v>
      </c>
      <c r="EG58" s="1822">
        <f>+CE109</f>
        <v>0</v>
      </c>
      <c r="EH58" s="1822">
        <f>+CF109</f>
        <v>0</v>
      </c>
    </row>
    <row r="59" spans="1:138" collapsed="1">
      <c r="A59" s="730" t="s">
        <v>427</v>
      </c>
      <c r="B59" s="205"/>
      <c r="C59" s="750"/>
      <c r="D59" s="205"/>
      <c r="E59" s="205"/>
      <c r="F59" s="205"/>
      <c r="G59" s="191"/>
      <c r="H59" s="205"/>
      <c r="I59" s="750"/>
      <c r="J59" s="205"/>
      <c r="K59" s="205"/>
      <c r="L59" s="205"/>
      <c r="M59" s="191"/>
      <c r="N59" s="205"/>
      <c r="O59" s="750"/>
      <c r="P59" s="205"/>
      <c r="Q59" s="205"/>
      <c r="R59" s="205"/>
      <c r="S59" s="191"/>
      <c r="T59" s="205"/>
      <c r="U59" s="89">
        <f>U69+U62+U105</f>
        <v>3.6077083333333335</v>
      </c>
      <c r="V59" s="205">
        <f>V69+V62+V105</f>
        <v>39.65978333333333</v>
      </c>
      <c r="W59" s="205">
        <f>W69+W62+W105</f>
        <v>71.807806666666664</v>
      </c>
      <c r="X59" s="789">
        <f>X69+X62+X105</f>
        <v>80.728316666666657</v>
      </c>
      <c r="Y59" s="191">
        <f>Y69+Y62+Y105</f>
        <v>195.80361499999998</v>
      </c>
      <c r="Z59" s="205"/>
      <c r="AA59" s="89">
        <f>AA69+AA62+AA105</f>
        <v>107.11284000000001</v>
      </c>
      <c r="AB59" s="205">
        <f>AB69+AB62+AB105</f>
        <v>97.329428000000007</v>
      </c>
      <c r="AC59" s="205">
        <f>AC69+AC62+AC105</f>
        <v>59.473961333333328</v>
      </c>
      <c r="AD59" s="789">
        <f>AD69+AD62+AD105</f>
        <v>56.673673333333326</v>
      </c>
      <c r="AE59" s="191">
        <f>AE69+AE62+AE105</f>
        <v>320.58990266666666</v>
      </c>
      <c r="AF59" s="205"/>
      <c r="AG59" s="89">
        <f>AG69+AG62+AG105</f>
        <v>40.522535000000005</v>
      </c>
      <c r="AH59" s="205">
        <f>AH69+AH62+AH105</f>
        <v>40.31133366666667</v>
      </c>
      <c r="AI59" s="205">
        <f>AI69+AI62+AI105</f>
        <v>42.597505333333331</v>
      </c>
      <c r="AJ59" s="789">
        <f>AJ69+AJ62+AJ105</f>
        <v>39.140416666666667</v>
      </c>
      <c r="AK59" s="191">
        <f>AK69+AK62+AK105</f>
        <v>162.57179066666669</v>
      </c>
      <c r="AL59" s="205"/>
      <c r="AM59" s="89">
        <f>AM69+AM62+AM105</f>
        <v>49.39</v>
      </c>
      <c r="AN59" s="205">
        <f>AN69+AN62+AN105</f>
        <v>60.230000000000004</v>
      </c>
      <c r="AO59" s="205">
        <f>AO69+AO62+AO105</f>
        <v>62.849999999999994</v>
      </c>
      <c r="AP59" s="789">
        <f>AP69+AP62+AP105</f>
        <v>52.92</v>
      </c>
      <c r="AQ59" s="191">
        <f>AQ69+AQ62+AQ105</f>
        <v>225.39</v>
      </c>
      <c r="AR59" s="205"/>
      <c r="AS59" s="89">
        <f>AS69+AS62+AS105</f>
        <v>62.800000000000004</v>
      </c>
      <c r="AT59" s="205">
        <f>AT69+AT62+AT105</f>
        <v>76.64</v>
      </c>
      <c r="AU59" s="205">
        <f>AU69+AU62+AU105</f>
        <v>86.924999999999997</v>
      </c>
      <c r="AV59" s="90">
        <f>AV69+AV62+AV105+AV139</f>
        <v>86.52000000000001</v>
      </c>
      <c r="AW59" s="188">
        <f>AW69+AW62+AW105</f>
        <v>312.88499999999999</v>
      </c>
      <c r="AX59" s="9"/>
      <c r="AY59" s="89">
        <f>AY69+AY62+AY105+AY78+AY88+AY99</f>
        <v>92.678449999999998</v>
      </c>
      <c r="AZ59" s="9">
        <f>AZ69+AZ62+AZ105+AZ78+AZ88+AZ99</f>
        <v>98.054400250375949</v>
      </c>
      <c r="BA59" s="9">
        <f>BA69+BA62+BA105+BA78+BA88+BA99</f>
        <v>94.534000309774441</v>
      </c>
      <c r="BB59" s="90">
        <f>BB69+BB62+BB105+BB78+BB88+BB99</f>
        <v>72.765310299999996</v>
      </c>
      <c r="BC59" s="188">
        <f>BC69+BC62+BC105+BC78+BC88+BC99</f>
        <v>358.03216086015033</v>
      </c>
      <c r="BD59" s="9"/>
      <c r="BE59" s="89">
        <f>BE69+BE62+BE105+BE78+BE88+BE99</f>
        <v>54.328499586466158</v>
      </c>
      <c r="BF59" s="9">
        <f>BF69+BF62+BF105+BF78+BF88+BF99</f>
        <v>59.750708986466165</v>
      </c>
      <c r="BG59" s="9">
        <f>BG69+BG62+BG105+BG78+BG88+BG99</f>
        <v>42.602859968000004</v>
      </c>
      <c r="BH59" s="90">
        <f>BH69+BH62+BH105+BH78+BH88+BH99</f>
        <v>52.217470332800005</v>
      </c>
      <c r="BI59" s="188">
        <f>BI69+BI62+BI105+BI78+BI88+BI99</f>
        <v>208.89953887373233</v>
      </c>
      <c r="BJ59" s="9"/>
      <c r="BK59" s="89">
        <f>BK69+BK62+BK105+BK78+BK88+BK99</f>
        <v>12.87417517792</v>
      </c>
      <c r="BL59" s="9">
        <f>BL69+BL62+BL105+BL78+BL88+BL99</f>
        <v>4.7938429961280002</v>
      </c>
      <c r="BM59" s="9">
        <f>BM69+BM62+BM105+BM78+BM88+BM99</f>
        <v>0</v>
      </c>
      <c r="BN59" s="90">
        <f>BN69+BN62+BN105+BN78+BN88+BN99</f>
        <v>1.05</v>
      </c>
      <c r="BO59" s="188">
        <f>BO69+BO62+BO105+BO78+BO88+BO99</f>
        <v>18.718018174047998</v>
      </c>
      <c r="BP59" s="9"/>
      <c r="BQ59" s="89">
        <f>BQ69+BQ62+BQ105+BQ78+BQ88+BQ99</f>
        <v>0</v>
      </c>
      <c r="BR59" s="9">
        <f>BR69+BR62+BR105+BR78+BR88+BR99</f>
        <v>0</v>
      </c>
      <c r="BS59" s="9">
        <f>BS69+BS62+BS105+BS78+BS88+BS99</f>
        <v>0</v>
      </c>
      <c r="BT59" s="90">
        <f>BT69+BT62+BT105+BT78+BT88+BT99</f>
        <v>0</v>
      </c>
      <c r="BU59" s="188">
        <f>BU69+BU62+BU105+BU78+BU88+BU99</f>
        <v>0</v>
      </c>
      <c r="BV59" s="9"/>
      <c r="BW59" s="89">
        <f>BW69+BW62+BW105+BW78+BW88+BW99</f>
        <v>0</v>
      </c>
      <c r="BX59" s="9">
        <f>BX69+BX62+BX105+BX78+BX88+BX99</f>
        <v>0</v>
      </c>
      <c r="BY59" s="9">
        <f>BY69+BY62+BY105+BY78+BY88+BY99</f>
        <v>0</v>
      </c>
      <c r="BZ59" s="90">
        <f>BZ69+BZ62+BZ105+BZ78+BZ88+BZ99</f>
        <v>0</v>
      </c>
      <c r="CA59" s="188">
        <f>CA69+CA62+CA105+CA78+CA88+CA99</f>
        <v>0</v>
      </c>
      <c r="CB59" s="9"/>
      <c r="CC59" s="89">
        <f>CC69+CC62+CC105+CC78+CC88+CC99</f>
        <v>0</v>
      </c>
      <c r="CD59" s="9">
        <f>CD69+CD62+CD105+CD78+CD88+CD99</f>
        <v>0</v>
      </c>
      <c r="CE59" s="9">
        <f>CE69+CE62+CE105+CE78+CE88+CE99</f>
        <v>0</v>
      </c>
      <c r="CF59" s="90">
        <f>CF69+CF62+CF105+CF78+CF88+CF99</f>
        <v>0</v>
      </c>
      <c r="CG59" s="188">
        <f>CG69+CG62+CG105+CG78+CG88+CG99</f>
        <v>0</v>
      </c>
      <c r="CH59" s="9"/>
      <c r="CI59" s="89">
        <f>CI69+CI62+CI105+CI78+CI88+CI99</f>
        <v>0</v>
      </c>
      <c r="CJ59" s="9">
        <f>CJ69+CJ62+CJ105+CJ78+CJ88+CJ99</f>
        <v>0</v>
      </c>
      <c r="CK59" s="9">
        <f>CK69+CK62+CK105+CK78+CK88+CK99</f>
        <v>0</v>
      </c>
      <c r="CL59" s="90">
        <f>CL69+CL62+CL105+CL78+CL88+CL99</f>
        <v>0</v>
      </c>
      <c r="CM59" s="188">
        <f>CM69+CM62+CM105+CM78+CM88+CM99</f>
        <v>0</v>
      </c>
      <c r="CN59" s="9"/>
      <c r="CO59" s="89">
        <f>CO69+CO62+CO105+CO78+CO88+CO99</f>
        <v>0</v>
      </c>
      <c r="CP59" s="9">
        <f>CP69+CP62+CP105+CP78+CP88+CP99</f>
        <v>0</v>
      </c>
      <c r="CQ59" s="9">
        <f>CQ69+CQ62+CQ105+CQ78+CQ88+CQ99</f>
        <v>0</v>
      </c>
      <c r="CR59" s="90">
        <f>CR69+CR62+CR105+CR78+CR88+CR99</f>
        <v>0</v>
      </c>
      <c r="CS59" s="188">
        <f>CS69+CS62+CS105+CS78+CS88+CS99</f>
        <v>0</v>
      </c>
      <c r="CT59" s="205"/>
      <c r="CU59" s="952"/>
      <c r="CV59" s="205"/>
      <c r="CW59" s="205"/>
      <c r="CX59" s="2209" t="s">
        <v>543</v>
      </c>
      <c r="CY59" s="2210">
        <f t="shared" ref="CY59:DP59" si="256">SUM(CY57:CY58)</f>
        <v>0</v>
      </c>
      <c r="CZ59" s="2210">
        <f t="shared" si="256"/>
        <v>0</v>
      </c>
      <c r="DA59" s="2210">
        <f t="shared" si="256"/>
        <v>0</v>
      </c>
      <c r="DB59" s="2210">
        <f t="shared" si="256"/>
        <v>0</v>
      </c>
      <c r="DC59" s="2210">
        <f t="shared" si="256"/>
        <v>0</v>
      </c>
      <c r="DD59" s="2210">
        <f t="shared" si="256"/>
        <v>0</v>
      </c>
      <c r="DE59" s="2210">
        <f t="shared" si="256"/>
        <v>0</v>
      </c>
      <c r="DF59" s="2210">
        <f t="shared" si="256"/>
        <v>0</v>
      </c>
      <c r="DG59" s="2210">
        <f t="shared" si="256"/>
        <v>12</v>
      </c>
      <c r="DH59" s="2210">
        <f t="shared" si="256"/>
        <v>34</v>
      </c>
      <c r="DI59" s="2210">
        <f t="shared" si="256"/>
        <v>45</v>
      </c>
      <c r="DJ59" s="2210">
        <f t="shared" si="256"/>
        <v>43</v>
      </c>
      <c r="DK59" s="2210">
        <f t="shared" si="256"/>
        <v>46.9</v>
      </c>
      <c r="DL59" s="2210">
        <f t="shared" si="256"/>
        <v>40.068000000000005</v>
      </c>
      <c r="DM59" s="2210">
        <f t="shared" si="256"/>
        <v>44.3</v>
      </c>
      <c r="DN59" s="2210">
        <f t="shared" si="256"/>
        <v>33.702399999999997</v>
      </c>
      <c r="DO59" s="2210">
        <f t="shared" si="256"/>
        <v>20.6004</v>
      </c>
      <c r="DP59" s="2210">
        <f t="shared" si="256"/>
        <v>34.029451999999992</v>
      </c>
      <c r="DQ59" s="2210">
        <f t="shared" ref="DQ59" si="257">SUM(DQ57:DQ58)</f>
        <v>25.581689439999998</v>
      </c>
      <c r="DR59" s="2210">
        <f t="shared" ref="DR59" si="258">SUM(DR57:DR58)</f>
        <v>34.035389823999999</v>
      </c>
      <c r="DS59" s="2210">
        <f t="shared" ref="DS59:DV59" si="259">SUM(DS57:DS58)</f>
        <v>7.8782668735999994</v>
      </c>
      <c r="DT59" s="2210">
        <f t="shared" si="259"/>
        <v>5.0461505222399996</v>
      </c>
      <c r="DU59" s="2210">
        <f t="shared" si="259"/>
        <v>0</v>
      </c>
      <c r="DV59" s="2210">
        <f t="shared" si="259"/>
        <v>0</v>
      </c>
      <c r="DW59" s="2208">
        <f t="shared" ref="DW59:DZ59" si="260">SUM(DW57:DW58)</f>
        <v>0</v>
      </c>
      <c r="DX59" s="2210">
        <f t="shared" si="260"/>
        <v>0</v>
      </c>
      <c r="DY59" s="2210">
        <f t="shared" si="260"/>
        <v>0</v>
      </c>
      <c r="DZ59" s="2210">
        <f t="shared" si="260"/>
        <v>0</v>
      </c>
      <c r="EA59" s="2210">
        <f t="shared" ref="EA59:ED59" si="261">SUM(EA57:EA58)</f>
        <v>0</v>
      </c>
      <c r="EB59" s="2210">
        <f t="shared" si="261"/>
        <v>0</v>
      </c>
      <c r="EC59" s="2210">
        <f t="shared" si="261"/>
        <v>0</v>
      </c>
      <c r="ED59" s="2210">
        <f t="shared" si="261"/>
        <v>0</v>
      </c>
      <c r="EE59" s="2210">
        <f t="shared" ref="EE59:EH59" si="262">SUM(EE57:EE58)</f>
        <v>0</v>
      </c>
      <c r="EF59" s="2210">
        <f t="shared" si="262"/>
        <v>0</v>
      </c>
      <c r="EG59" s="2210">
        <f t="shared" si="262"/>
        <v>0</v>
      </c>
      <c r="EH59" s="2210">
        <f t="shared" si="262"/>
        <v>0</v>
      </c>
    </row>
    <row r="60" spans="1:138">
      <c r="A60" s="1839" t="s">
        <v>759</v>
      </c>
      <c r="B60" s="740"/>
      <c r="C60" s="760"/>
      <c r="D60" s="740"/>
      <c r="E60" s="740"/>
      <c r="F60" s="740"/>
      <c r="G60" s="739"/>
      <c r="H60" s="740"/>
      <c r="I60" s="760"/>
      <c r="J60" s="740"/>
      <c r="K60" s="740"/>
      <c r="L60" s="740"/>
      <c r="M60" s="739"/>
      <c r="N60" s="740"/>
      <c r="O60" s="760"/>
      <c r="P60" s="740"/>
      <c r="Q60" s="740"/>
      <c r="R60" s="740"/>
      <c r="S60" s="739"/>
      <c r="T60" s="740"/>
      <c r="U60" s="1432">
        <f>+U64+U72+U81+U91</f>
        <v>18</v>
      </c>
      <c r="V60" s="740">
        <f>+V64+V72+V81+V91</f>
        <v>60</v>
      </c>
      <c r="W60" s="740">
        <f>+W64+W72+W81+W91</f>
        <v>75</v>
      </c>
      <c r="X60" s="740">
        <f>+X64+X72+X81+X91</f>
        <v>90</v>
      </c>
      <c r="Y60" s="739">
        <f>+Y64+Y72+Y81+Y91</f>
        <v>243</v>
      </c>
      <c r="Z60" s="740"/>
      <c r="AA60" s="1432">
        <f>+AA64+AA72+AA81+AA91</f>
        <v>93</v>
      </c>
      <c r="AB60" s="740">
        <f>+AB64+AB72+AB81+AB91</f>
        <v>95</v>
      </c>
      <c r="AC60" s="740">
        <f>+AC64+AC72+AC81+AC91</f>
        <v>80</v>
      </c>
      <c r="AD60" s="740">
        <f>+AD64+AD72+AD81+AD91</f>
        <v>70</v>
      </c>
      <c r="AE60" s="739">
        <f>+AE64+AE72+AE81+AE91</f>
        <v>338</v>
      </c>
      <c r="AF60" s="740"/>
      <c r="AG60" s="1432">
        <f>+AG64+AG72+AG81+AG91</f>
        <v>33.5</v>
      </c>
      <c r="AH60" s="740">
        <f>+AH64+AH72+AH81+AH91</f>
        <v>39.5</v>
      </c>
      <c r="AI60" s="740">
        <f>+AI64+AI72+AI81+AI91</f>
        <v>61.5</v>
      </c>
      <c r="AJ60" s="740">
        <f>+AJ64+AJ72+AJ81+AJ91</f>
        <v>54.5</v>
      </c>
      <c r="AK60" s="739">
        <f>+AK64+AK72+AK81+AK91</f>
        <v>189</v>
      </c>
      <c r="AL60" s="740"/>
      <c r="AM60" s="1432">
        <f>+AM64+AM72+AM81+AM91</f>
        <v>61</v>
      </c>
      <c r="AN60" s="740">
        <f>+AN64+AN72+AN81+AN91</f>
        <v>73</v>
      </c>
      <c r="AO60" s="740">
        <f>+AO64+AO72+AO81+AO91</f>
        <v>85</v>
      </c>
      <c r="AP60" s="740">
        <f>+AP64+AP72+AP81+AP91</f>
        <v>74</v>
      </c>
      <c r="AQ60" s="739">
        <f>+AQ64+AQ72+AQ81+AQ91</f>
        <v>293</v>
      </c>
      <c r="AR60" s="740"/>
      <c r="AS60" s="1432">
        <f>+AS64+AS72+AS81+AS91</f>
        <v>75</v>
      </c>
      <c r="AT60" s="740">
        <f>+AT64+AT72+AT81+AT91</f>
        <v>65</v>
      </c>
      <c r="AU60" s="740">
        <f>+AU64+AU72+AU81+AU91</f>
        <v>65</v>
      </c>
      <c r="AV60" s="740">
        <f>+AV64+AV72+AV81+AV91</f>
        <v>68</v>
      </c>
      <c r="AW60" s="739">
        <f>+AW64+AW72+AW81+AW91</f>
        <v>273</v>
      </c>
      <c r="AX60" s="740"/>
      <c r="AY60" s="1432">
        <f>+AY64+AY72+AY81+AY91</f>
        <v>78.291000000000011</v>
      </c>
      <c r="AZ60" s="740">
        <f>+AZ64+AZ72+AZ81+AZ91</f>
        <v>88.837887218045111</v>
      </c>
      <c r="BA60" s="740">
        <f>+BA64+BA72+BA81+BA91</f>
        <v>76.457248120300761</v>
      </c>
      <c r="BB60" s="740">
        <f>+BB64+BB72+BB81+BB91</f>
        <v>61.442</v>
      </c>
      <c r="BC60" s="739">
        <f>+BC64+BC72+BC81+BC91</f>
        <v>305.02813533834586</v>
      </c>
      <c r="BD60" s="740"/>
      <c r="BE60" s="1432">
        <f>+BE64+BE72+BE81+BE91</f>
        <v>53.033860150375943</v>
      </c>
      <c r="BF60" s="1611">
        <f>+BF64+BF72+BF81+BF91</f>
        <v>39.967060150375943</v>
      </c>
      <c r="BG60" s="1611">
        <f>+BG64+BG72+BG81+BG91</f>
        <v>27.0748</v>
      </c>
      <c r="BH60" s="1611">
        <f>+BH64+BH72+BH81+BH91</f>
        <v>27.263999999999999</v>
      </c>
      <c r="BI60" s="1610">
        <f>+BI64+BI72+BI81+BI91</f>
        <v>147.33972030075188</v>
      </c>
      <c r="BJ60" s="1611"/>
      <c r="BK60" s="1432">
        <f>+BK64+BK72+BK81+BK91+BK120+BK131</f>
        <v>32.034999999999997</v>
      </c>
      <c r="BL60" s="1611">
        <f>+BL64+BL72+BL81+BL91+BL120+BL131</f>
        <v>83</v>
      </c>
      <c r="BM60" s="1611">
        <f>+BM64+BM72+BM81+BM91+BM120+BM131</f>
        <v>89</v>
      </c>
      <c r="BN60" s="1611">
        <f>+BN64+BN72+BN81+BN91+BN120+BN131</f>
        <v>92</v>
      </c>
      <c r="BO60" s="1610">
        <f>+BO64+BO72+BO81+BO91+BO120+BO131</f>
        <v>296.03500000000003</v>
      </c>
      <c r="BP60" s="1611"/>
      <c r="BQ60" s="1432">
        <f>+BQ64+BQ72+BQ81+BQ91+BQ120+BQ131</f>
        <v>77</v>
      </c>
      <c r="BR60" s="1611">
        <f>+BR64+BR72+BR81+BR91+BR120+BR131</f>
        <v>80</v>
      </c>
      <c r="BS60" s="1611">
        <f>+BS64+BS72+BS81+BS91+BS120+BS131</f>
        <v>84</v>
      </c>
      <c r="BT60" s="1611">
        <f>+BT64+BT72+BT81+BT91+BT120+BT131</f>
        <v>84</v>
      </c>
      <c r="BU60" s="1610">
        <f>+BU64+BU72+BU81+BU91+BU120+BU131</f>
        <v>325</v>
      </c>
      <c r="BV60" s="1611"/>
      <c r="BW60" s="1432">
        <f>+BW64+BW72+BW81+BW91+BW120+BW131</f>
        <v>67</v>
      </c>
      <c r="BX60" s="1611">
        <f>+BX64+BX72+BX81+BX91+BX120+BX131</f>
        <v>67</v>
      </c>
      <c r="BY60" s="1611">
        <f>+BY64+BY72+BY81+BY91+BY120+BY131</f>
        <v>67</v>
      </c>
      <c r="BZ60" s="1611">
        <f>+BZ64+BZ72+BZ81+BZ91+BZ120+BZ131</f>
        <v>67</v>
      </c>
      <c r="CA60" s="1610">
        <f>+CA64+CA72+CA81+CA91+CA120+CA131</f>
        <v>268</v>
      </c>
      <c r="CB60" s="1611"/>
      <c r="CC60" s="1432">
        <f>+CC64+CC72+CC81+CC91+CC120+CC131</f>
        <v>60</v>
      </c>
      <c r="CD60" s="1611">
        <f>+CD64+CD72+CD81+CD91+CD120+CD131</f>
        <v>60</v>
      </c>
      <c r="CE60" s="1611">
        <f>+CE64+CE72+CE81+CE91+CE120+CE131</f>
        <v>60</v>
      </c>
      <c r="CF60" s="1611">
        <f>+CF64+CF72+CF81+CF91+CF120+CF131</f>
        <v>60</v>
      </c>
      <c r="CG60" s="1610">
        <f>+CG64+CG72+CG81+CG91+CG120+CG131</f>
        <v>240</v>
      </c>
      <c r="CH60" s="1611"/>
      <c r="CI60" s="1432">
        <f>+CI64+CI72+CI81+CI91+CI120+CI131</f>
        <v>60</v>
      </c>
      <c r="CJ60" s="1611">
        <f>+CJ64+CJ72+CJ81+CJ91+CJ120+CJ131</f>
        <v>60</v>
      </c>
      <c r="CK60" s="1611">
        <f>+CK64+CK72+CK81+CK91+CK120+CK131</f>
        <v>60</v>
      </c>
      <c r="CL60" s="1611">
        <f>+CL64+CL72+CL81+CL91+CL120+CL131</f>
        <v>60</v>
      </c>
      <c r="CM60" s="1610">
        <f>+CM64+CM72+CM81+CM91+CM120+CM131</f>
        <v>240</v>
      </c>
      <c r="CN60" s="1611"/>
      <c r="CO60" s="1432">
        <f>+CO64+CO72+CO81+CO91+CO120+CO131</f>
        <v>60</v>
      </c>
      <c r="CP60" s="1611">
        <f>+CP64+CP72+CP81+CP91+CP120+CP131</f>
        <v>60</v>
      </c>
      <c r="CQ60" s="1611">
        <f>+CQ64+CQ72+CQ81+CQ91+CQ120+CQ131</f>
        <v>60</v>
      </c>
      <c r="CR60" s="1611">
        <f>+CR64+CR72+CR81+CR91+CR120+CR131</f>
        <v>60</v>
      </c>
      <c r="CS60" s="1610">
        <f>+CS64+CS72+CS81+CS91+CS120+CS131</f>
        <v>240</v>
      </c>
      <c r="CT60" s="952"/>
      <c r="CU60" s="1840"/>
      <c r="CV60" s="740"/>
      <c r="CW60" s="740"/>
      <c r="CX60" s="1823" t="s">
        <v>757</v>
      </c>
      <c r="CY60" s="1822">
        <f t="shared" ref="CY60:DR60" si="263">+AO120</f>
        <v>0</v>
      </c>
      <c r="CZ60" s="1822">
        <f t="shared" si="263"/>
        <v>0</v>
      </c>
      <c r="DA60" s="1822">
        <f t="shared" si="263"/>
        <v>0</v>
      </c>
      <c r="DB60" s="1822">
        <f t="shared" si="263"/>
        <v>0</v>
      </c>
      <c r="DC60" s="1822">
        <f t="shared" si="263"/>
        <v>0</v>
      </c>
      <c r="DD60" s="1822">
        <f t="shared" si="263"/>
        <v>0</v>
      </c>
      <c r="DE60" s="1822">
        <f t="shared" si="263"/>
        <v>0</v>
      </c>
      <c r="DF60" s="1822">
        <f t="shared" si="263"/>
        <v>0</v>
      </c>
      <c r="DG60" s="1822">
        <f t="shared" si="263"/>
        <v>0</v>
      </c>
      <c r="DH60" s="1822">
        <f t="shared" si="263"/>
        <v>0</v>
      </c>
      <c r="DI60" s="1822">
        <f t="shared" si="263"/>
        <v>0</v>
      </c>
      <c r="DJ60" s="1822">
        <f t="shared" si="263"/>
        <v>0</v>
      </c>
      <c r="DK60" s="1822">
        <f t="shared" si="263"/>
        <v>0</v>
      </c>
      <c r="DL60" s="1822">
        <f t="shared" si="263"/>
        <v>0</v>
      </c>
      <c r="DM60" s="1822">
        <f t="shared" si="263"/>
        <v>0</v>
      </c>
      <c r="DN60" s="1822">
        <f t="shared" si="263"/>
        <v>0</v>
      </c>
      <c r="DO60" s="1822">
        <f t="shared" si="263"/>
        <v>0</v>
      </c>
      <c r="DP60" s="1822">
        <f t="shared" si="263"/>
        <v>0</v>
      </c>
      <c r="DQ60" s="1822">
        <f t="shared" si="263"/>
        <v>0</v>
      </c>
      <c r="DR60" s="1822">
        <f t="shared" si="263"/>
        <v>0</v>
      </c>
      <c r="DS60" s="1822">
        <f>+BK120</f>
        <v>0</v>
      </c>
      <c r="DT60" s="1822">
        <f>+BL120</f>
        <v>0</v>
      </c>
      <c r="DU60" s="1822">
        <f>+BM120</f>
        <v>0</v>
      </c>
      <c r="DV60" s="1822">
        <f>+BN120</f>
        <v>0</v>
      </c>
      <c r="DW60" s="1822">
        <f>+BQ120</f>
        <v>0</v>
      </c>
      <c r="DX60" s="1822">
        <f>+BR120</f>
        <v>0</v>
      </c>
      <c r="DY60" s="1822">
        <f>+BS120</f>
        <v>0</v>
      </c>
      <c r="DZ60" s="1822">
        <f>+BT120</f>
        <v>0</v>
      </c>
      <c r="EA60" s="1822">
        <f>+BW120</f>
        <v>0</v>
      </c>
      <c r="EB60" s="1822">
        <f>+BX120</f>
        <v>0</v>
      </c>
      <c r="EC60" s="1822">
        <f>+BY120</f>
        <v>0</v>
      </c>
      <c r="ED60" s="1822">
        <f>+BZ120</f>
        <v>0</v>
      </c>
      <c r="EE60" s="1822">
        <f>+CC120</f>
        <v>0</v>
      </c>
      <c r="EF60" s="1822">
        <f>+CD120</f>
        <v>0</v>
      </c>
      <c r="EG60" s="1822">
        <f>+CE120</f>
        <v>0</v>
      </c>
      <c r="EH60" s="1822">
        <f>+CF120</f>
        <v>0</v>
      </c>
    </row>
    <row r="61" spans="1:138">
      <c r="A61" s="1814" t="s">
        <v>545</v>
      </c>
      <c r="B61" s="205"/>
      <c r="C61" s="750"/>
      <c r="D61" s="205"/>
      <c r="E61" s="205"/>
      <c r="F61" s="205"/>
      <c r="G61" s="191"/>
      <c r="H61" s="205"/>
      <c r="I61" s="750"/>
      <c r="J61" s="205"/>
      <c r="K61" s="205"/>
      <c r="L61" s="205"/>
      <c r="M61" s="191"/>
      <c r="N61" s="205"/>
      <c r="O61" s="750"/>
      <c r="P61" s="205"/>
      <c r="Q61" s="205"/>
      <c r="R61" s="205"/>
      <c r="S61" s="191"/>
      <c r="T61" s="205"/>
      <c r="U61" s="1419"/>
      <c r="V61" s="1268"/>
      <c r="W61" s="1268"/>
      <c r="X61" s="1268"/>
      <c r="Y61" s="191"/>
      <c r="Z61" s="205"/>
      <c r="AA61" s="1419">
        <f>AA60/(X152+X154+X156+X158)</f>
        <v>0.20672179247799413</v>
      </c>
      <c r="AB61" s="1268">
        <f>AB60/(AA152+AA154+AA156+AA158)</f>
        <v>0.14897287125607653</v>
      </c>
      <c r="AC61" s="1268">
        <f>AC60/(AB152+AB154+AB156+AB158)</f>
        <v>9.9047411519709194E-2</v>
      </c>
      <c r="AD61" s="1268">
        <f>AD60/(AC152+AC154+AC156+AC158)</f>
        <v>7.7133286318758806E-2</v>
      </c>
      <c r="AE61" s="1269">
        <f>AVERAGE(AA61:AD61)</f>
        <v>0.13296884039313467</v>
      </c>
      <c r="AF61" s="205"/>
      <c r="AG61" s="1419">
        <f>AG60/(AG172)</f>
        <v>3.1308996429839808E-2</v>
      </c>
      <c r="AH61" s="1268">
        <f>AH60/(AH172)</f>
        <v>3.4833680200359797E-2</v>
      </c>
      <c r="AI61" s="1268">
        <f>AI60/(AI172)</f>
        <v>5.1318852794165502E-2</v>
      </c>
      <c r="AJ61" s="1268">
        <f>AJ60/(AJ172)</f>
        <v>4.3499429319413516E-2</v>
      </c>
      <c r="AK61" s="1269">
        <f>AK60/(AK172)</f>
        <v>0.15085123195172759</v>
      </c>
      <c r="AL61" s="205"/>
      <c r="AM61" s="1419">
        <f>AM60/(AM172)</f>
        <v>4.6427022049029973E-2</v>
      </c>
      <c r="AN61" s="1268">
        <f>AN60/(AN172)</f>
        <v>5.2635753376259108E-2</v>
      </c>
      <c r="AO61" s="1268">
        <f>AO60/(AO172)</f>
        <v>5.7748880690812486E-2</v>
      </c>
      <c r="AP61" s="1268">
        <f>AP60/(AP172)</f>
        <v>4.7908097451748725E-2</v>
      </c>
      <c r="AQ61" s="1269">
        <f>AQ60/(AQ172)</f>
        <v>0.18969016964003213</v>
      </c>
      <c r="AR61" s="205"/>
      <c r="AS61" s="1419">
        <f>AS60/(AS172)</f>
        <v>4.5966470973152818E-2</v>
      </c>
      <c r="AT61" s="1268">
        <f>AT60/(AT172)</f>
        <v>3.7558705842996358E-2</v>
      </c>
      <c r="AU61" s="1268">
        <f>AU60/(AU172)</f>
        <v>3.5314109712707771E-2</v>
      </c>
      <c r="AV61" s="1268">
        <f>AV60/(AV172)</f>
        <v>3.4842776018430763E-2</v>
      </c>
      <c r="AW61" s="1269">
        <f>AW60/(AW172)</f>
        <v>0.13988349783869999</v>
      </c>
      <c r="AX61" s="205"/>
      <c r="AY61" s="1419">
        <f>AY60/(AY172)</f>
        <v>3.803258923011122E-2</v>
      </c>
      <c r="AZ61" s="1268">
        <f>AZ60/(AZ172)</f>
        <v>4.1022447788193458E-2</v>
      </c>
      <c r="BA61" s="1268">
        <f>BA60/(BA172)</f>
        <v>3.3757568170919558E-2</v>
      </c>
      <c r="BB61" s="1268">
        <f>BB60/(BB172)</f>
        <v>2.6127804364733449E-2</v>
      </c>
      <c r="BC61" s="1269">
        <f>BC60/(BC172)</f>
        <v>0.12971119829855374</v>
      </c>
      <c r="BD61" s="205"/>
      <c r="BE61" s="1419">
        <f>BE60/(BE172)</f>
        <v>2.2847322061181702E-2</v>
      </c>
      <c r="BF61" s="1268">
        <f>BF60/(BF172)</f>
        <v>1.7034622080430831E-2</v>
      </c>
      <c r="BG61" s="1268">
        <f>BG60/(BG172)</f>
        <v>1.1615690211013042E-2</v>
      </c>
      <c r="BH61" s="1268">
        <f>BH60/(BH172)</f>
        <v>1.1932161503895786E-2</v>
      </c>
      <c r="BI61" s="1269">
        <f>BI60/(BI172)</f>
        <v>6.4483617171633076E-2</v>
      </c>
      <c r="BJ61" s="205"/>
      <c r="BK61" s="1419">
        <f>BK60/(BK172)</f>
        <v>1.3941624349368924E-2</v>
      </c>
      <c r="BL61" s="1268">
        <f>BL60/(BL172)</f>
        <v>3.5231571807515426E-2</v>
      </c>
      <c r="BM61" s="1268">
        <f>BM60/(BM172)</f>
        <v>3.6748894975250898E-2</v>
      </c>
      <c r="BN61" s="1268">
        <f>BN60/(BN172)</f>
        <v>3.6935308378625228E-2</v>
      </c>
      <c r="BO61" s="1269">
        <f>BO60/(BO172)</f>
        <v>0.10148669766329048</v>
      </c>
      <c r="BP61" s="205"/>
      <c r="BQ61" s="1419">
        <f>BQ60/(BQ172)</f>
        <v>3.020980281455846E-2</v>
      </c>
      <c r="BR61" s="1268">
        <f>BR60/(BR172)</f>
        <v>3.114244265106016E-2</v>
      </c>
      <c r="BS61" s="1268">
        <f>BS60/(BS172)</f>
        <v>3.3138166246416557E-2</v>
      </c>
      <c r="BT61" s="1268">
        <f>BT60/(BT172)</f>
        <v>3.3588693654596109E-2</v>
      </c>
      <c r="BU61" s="1269">
        <f>BU60/(BU172)</f>
        <v>0.12995625521123497</v>
      </c>
      <c r="BV61" s="205"/>
      <c r="BW61" s="1419">
        <f>BW60/(BW172)</f>
        <v>2.725969075159811E-2</v>
      </c>
      <c r="BX61" s="1268">
        <f>BX60/(BX172)</f>
        <v>2.7745091838248401E-2</v>
      </c>
      <c r="BY61" s="1268">
        <f>BY60/(BY172)</f>
        <v>2.8248092959698479E-2</v>
      </c>
      <c r="BZ61" s="1268">
        <f>BZ60/(BZ172)</f>
        <v>2.8769669023197626E-2</v>
      </c>
      <c r="CA61" s="1269">
        <f>CA60/(CA172)</f>
        <v>0.1150786760927905</v>
      </c>
      <c r="CB61" s="205"/>
      <c r="CC61" s="1419">
        <f>CC60/(CC172)</f>
        <v>2.6214134633997667E-2</v>
      </c>
      <c r="CD61" s="1268">
        <f>CD60/(CD172)</f>
        <v>2.6680403764919682E-2</v>
      </c>
      <c r="CE61" s="1268">
        <f>CE60/(CE172)</f>
        <v>2.7163560268694008E-2</v>
      </c>
      <c r="CF61" s="1268">
        <f>CF60/(CF172)</f>
        <v>2.7664538508073787E-2</v>
      </c>
      <c r="CG61" s="1269">
        <f>CG60/(CG172)</f>
        <v>0.11065815403229515</v>
      </c>
      <c r="CH61" s="205"/>
      <c r="CI61" s="1419">
        <f>CI60/(CI172)</f>
        <v>2.8184343070879865E-2</v>
      </c>
      <c r="CJ61" s="1268">
        <f>CJ60/(CJ172)</f>
        <v>2.9428476486920908E-2</v>
      </c>
      <c r="CK61" s="1268">
        <f>CK60/(CK172)</f>
        <v>3.0266564463487963E-2</v>
      </c>
      <c r="CL61" s="1268">
        <f>CL60/(CL172)</f>
        <v>3.0114653281017048E-2</v>
      </c>
      <c r="CM61" s="1269">
        <f>CM60/(CM172)</f>
        <v>0.12045861312406819</v>
      </c>
      <c r="CN61" s="205"/>
      <c r="CO61" s="1419">
        <f>CO60/(CO172)</f>
        <v>2.9234273277347234E-2</v>
      </c>
      <c r="CP61" s="1268">
        <f>CP60/(CP172)</f>
        <v>2.9092523480388349E-2</v>
      </c>
      <c r="CQ61" s="1268">
        <f>CQ60/(CQ172)</f>
        <v>2.8952141670163887E-2</v>
      </c>
      <c r="CR61" s="1268">
        <f>CR60/(CR172)</f>
        <v>2.881310813869899E-2</v>
      </c>
      <c r="CS61" s="1269">
        <f>CS60/(CS172)</f>
        <v>0.11525243255479596</v>
      </c>
      <c r="CT61" s="205"/>
      <c r="CU61" s="952"/>
      <c r="CV61" s="205"/>
      <c r="CW61" s="205"/>
      <c r="CX61" s="1824" t="s">
        <v>758</v>
      </c>
      <c r="CY61" s="1821">
        <f t="shared" ref="CY61:DV61" si="264">+AQ131</f>
        <v>0</v>
      </c>
      <c r="CZ61" s="1821">
        <f t="shared" si="264"/>
        <v>0</v>
      </c>
      <c r="DA61" s="1821">
        <f t="shared" si="264"/>
        <v>0</v>
      </c>
      <c r="DB61" s="1821">
        <f t="shared" si="264"/>
        <v>0</v>
      </c>
      <c r="DC61" s="1821">
        <f t="shared" si="264"/>
        <v>0</v>
      </c>
      <c r="DD61" s="1821">
        <f t="shared" si="264"/>
        <v>0</v>
      </c>
      <c r="DE61" s="1821">
        <f t="shared" si="264"/>
        <v>0</v>
      </c>
      <c r="DF61" s="1821">
        <f t="shared" si="264"/>
        <v>0</v>
      </c>
      <c r="DG61" s="1821">
        <f t="shared" si="264"/>
        <v>0</v>
      </c>
      <c r="DH61" s="1821">
        <f t="shared" si="264"/>
        <v>0</v>
      </c>
      <c r="DI61" s="1821">
        <f t="shared" si="264"/>
        <v>0</v>
      </c>
      <c r="DJ61" s="1821">
        <f t="shared" si="264"/>
        <v>0</v>
      </c>
      <c r="DK61" s="1821">
        <f t="shared" si="264"/>
        <v>0</v>
      </c>
      <c r="DL61" s="1821">
        <f t="shared" si="264"/>
        <v>0</v>
      </c>
      <c r="DM61" s="1821">
        <f t="shared" si="264"/>
        <v>0</v>
      </c>
      <c r="DN61" s="1821">
        <f t="shared" si="264"/>
        <v>0</v>
      </c>
      <c r="DO61" s="1821">
        <f t="shared" si="264"/>
        <v>0</v>
      </c>
      <c r="DP61" s="1821">
        <f t="shared" si="264"/>
        <v>0</v>
      </c>
      <c r="DQ61" s="1821">
        <f t="shared" si="264"/>
        <v>0</v>
      </c>
      <c r="DR61" s="1821">
        <f t="shared" si="264"/>
        <v>0</v>
      </c>
      <c r="DS61" s="1821">
        <f t="shared" si="264"/>
        <v>25</v>
      </c>
      <c r="DT61" s="1821">
        <f t="shared" si="264"/>
        <v>83</v>
      </c>
      <c r="DU61" s="1821">
        <f t="shared" si="264"/>
        <v>89</v>
      </c>
      <c r="DV61" s="1821">
        <f t="shared" si="264"/>
        <v>89</v>
      </c>
      <c r="DW61" s="1822">
        <f>+BQ131</f>
        <v>77</v>
      </c>
      <c r="DX61" s="1821">
        <f>+BR131</f>
        <v>80</v>
      </c>
      <c r="DY61" s="1821">
        <f>+BS131</f>
        <v>84</v>
      </c>
      <c r="DZ61" s="1821">
        <f>+BT131</f>
        <v>84</v>
      </c>
      <c r="EA61" s="1821">
        <f>+BW131</f>
        <v>67</v>
      </c>
      <c r="EB61" s="1821">
        <f>+BX131</f>
        <v>67</v>
      </c>
      <c r="EC61" s="1821">
        <f>+BY131</f>
        <v>67</v>
      </c>
      <c r="ED61" s="1821">
        <f>+BZ131</f>
        <v>67</v>
      </c>
      <c r="EE61" s="1821">
        <f>+CC131</f>
        <v>60</v>
      </c>
      <c r="EF61" s="1821">
        <f>+CD131</f>
        <v>60</v>
      </c>
      <c r="EG61" s="1821">
        <f>+CE131</f>
        <v>60</v>
      </c>
      <c r="EH61" s="1821">
        <f>+CF131</f>
        <v>60</v>
      </c>
    </row>
    <row r="62" spans="1:138" ht="12.75" hidden="1" customHeight="1" outlineLevel="1">
      <c r="A62" s="797" t="s">
        <v>388</v>
      </c>
      <c r="B62" s="781"/>
      <c r="C62" s="782"/>
      <c r="D62" s="781"/>
      <c r="E62" s="781"/>
      <c r="F62" s="781"/>
      <c r="G62" s="783"/>
      <c r="H62" s="781"/>
      <c r="I62" s="782"/>
      <c r="J62" s="781"/>
      <c r="K62" s="781"/>
      <c r="L62" s="781"/>
      <c r="M62" s="783"/>
      <c r="N62" s="781"/>
      <c r="O62" s="782"/>
      <c r="P62" s="781"/>
      <c r="Q62" s="781"/>
      <c r="R62" s="781"/>
      <c r="S62" s="783"/>
      <c r="T62" s="781"/>
      <c r="U62" s="782">
        <f>((U68*U63)+(U66*U63*0.75))/1000+U139</f>
        <v>3.6077083333333335</v>
      </c>
      <c r="V62" s="781">
        <f>(((V68*V63)+(V66*V63*0.6))/1000)+V139</f>
        <v>39.65978333333333</v>
      </c>
      <c r="W62" s="781">
        <f>(((W68*W63)+(W66*W63*0.65))/1000)+W139</f>
        <v>71.807806666666664</v>
      </c>
      <c r="X62" s="781">
        <f>(((X68*X63)+(X66*X63*0.6))/1000)+X139</f>
        <v>80.728316666666657</v>
      </c>
      <c r="Y62" s="783">
        <f>SUM(U62:X62)</f>
        <v>195.80361499999998</v>
      </c>
      <c r="Z62" s="781"/>
      <c r="AA62" s="782">
        <f>((AA68*AA63)+(AA66*AA63*0.8))/1000+AA139</f>
        <v>107.11284000000001</v>
      </c>
      <c r="AB62" s="781">
        <f>((AB68*AB63)+(AB66*AB63*0.8))/1000+AB139</f>
        <v>97.329428000000007</v>
      </c>
      <c r="AC62" s="781">
        <f>((AC68*AC63)+(AC66*AC63*0.825))/1000+AC139</f>
        <v>59.473961333333328</v>
      </c>
      <c r="AD62" s="781">
        <f>((AD68*AD63)+(AD66*AD63*0.85))/1000+AD139</f>
        <v>56.673673333333326</v>
      </c>
      <c r="AE62" s="783">
        <f>SUM(AA62:AD62)</f>
        <v>320.58990266666666</v>
      </c>
      <c r="AF62" s="781"/>
      <c r="AG62" s="782">
        <f>((AG68*AG63)+(AG66*AG63*0.86))/1000+AG139</f>
        <v>40.522535000000005</v>
      </c>
      <c r="AH62" s="781">
        <f>((AH68*AH63)+(AH66*AH63*0.86))/1000+AH139</f>
        <v>40.31133366666667</v>
      </c>
      <c r="AI62" s="781">
        <f>((AI68*AI63)+(AI66*AI63*0.86))/1000+AI139</f>
        <v>41.117505333333334</v>
      </c>
      <c r="AJ62" s="781">
        <f>((AJ68*AJ63)+(AJ66*AJ63*0.86))/1000+AJ139</f>
        <v>3.9004166666666666</v>
      </c>
      <c r="AK62" s="783">
        <f>SUM(AG62:AJ62)</f>
        <v>125.85179066666669</v>
      </c>
      <c r="AL62" s="781"/>
      <c r="AM62" s="782">
        <f>((AM68*AM63)+(AM66*AM63*0.86))/1000+AM139</f>
        <v>10.71</v>
      </c>
      <c r="AN62" s="781">
        <f>((AN68*AN63)+(AN66*AN63*0.86))/1000+AN139</f>
        <v>10.71</v>
      </c>
      <c r="AO62" s="781">
        <f>((AO68*AO63)+(AO66*AO63*0.86))/1000+AO139</f>
        <v>9.4499999999999993</v>
      </c>
      <c r="AP62" s="781">
        <f>((AP68*AP63)+(AP66*AP63*0.86))/1000+AP139</f>
        <v>2.52</v>
      </c>
      <c r="AQ62" s="783">
        <f>SUM(AM62:AP62)</f>
        <v>33.39</v>
      </c>
      <c r="AR62" s="781"/>
      <c r="AS62" s="1434">
        <f>((AS68*AS63)+(AS66*AS63*0.86))/1000+AS139</f>
        <v>2.52</v>
      </c>
      <c r="AT62" s="781">
        <f>((AT68*AT63)+(AT66*AT63*0.86))/1000+AT139</f>
        <v>0</v>
      </c>
      <c r="AU62" s="781">
        <f>((AU68*AU63)+(AU66*AU63*0.86))/1000+AU139</f>
        <v>0</v>
      </c>
      <c r="AV62" s="1385">
        <f>((AV68*AV63)+(AV66*AV63*0.86))/1000+AV142</f>
        <v>0</v>
      </c>
      <c r="AW62" s="1645">
        <f>SUM(AS62:AV62)</f>
        <v>2.52</v>
      </c>
      <c r="AX62" s="1385"/>
      <c r="AY62" s="1434">
        <f>((AY68*AY63)+(AY66*AY63*0.86))/1000+AY139</f>
        <v>0</v>
      </c>
      <c r="AZ62" s="1385">
        <f>((AZ68*AZ63)+(AZ66*AZ63*0.86))/1000+AZ139</f>
        <v>0</v>
      </c>
      <c r="BA62" s="1385">
        <f>((BA68*BA63)+(BA66*BA63*0.86))/1000+BA139</f>
        <v>0</v>
      </c>
      <c r="BB62" s="1385">
        <f>((BB68*BB63)+(BB66*BB63*0.86))/1000+BB139</f>
        <v>0</v>
      </c>
      <c r="BC62" s="1645">
        <f>SUM(AY62:BB62)</f>
        <v>0</v>
      </c>
      <c r="BD62" s="1385"/>
      <c r="BE62" s="1434">
        <f>((BE68*BE63)+(BE66*BE63*0.86))/1000+BE139</f>
        <v>0</v>
      </c>
      <c r="BF62" s="1385">
        <f>((BF68*BF63)+(BF66*BF63*0.86))/1000+BF139</f>
        <v>0</v>
      </c>
      <c r="BG62" s="1385">
        <f>((BG68*BG63)+(BG66*BG63*0.86))/1000+BG139</f>
        <v>0</v>
      </c>
      <c r="BH62" s="1385">
        <f>((BH68*BH63)+(BH66*BH63*0.86))/1000+BH139</f>
        <v>0</v>
      </c>
      <c r="BI62" s="1645">
        <f>SUM(BE62:BH62)</f>
        <v>0</v>
      </c>
      <c r="BJ62" s="1385"/>
      <c r="BK62" s="1434">
        <f>((BK68*BK63)+(BK66*BK63*0.86))/1000+BK139</f>
        <v>0</v>
      </c>
      <c r="BL62" s="1385">
        <f>((BL68*BL63)+(BL66*BL63*0.86))/1000+BL139</f>
        <v>0</v>
      </c>
      <c r="BM62" s="1385">
        <f>((BM68*BM63)+(BM66*BM63*0.86))/1000+BM139</f>
        <v>0</v>
      </c>
      <c r="BN62" s="1385">
        <f>((BN68*BN63)+(BN66*BN63*0.86))/1000+BN139</f>
        <v>0</v>
      </c>
      <c r="BO62" s="1645">
        <f>SUM(BK62:BN62)</f>
        <v>0</v>
      </c>
      <c r="BP62" s="1385"/>
      <c r="BQ62" s="1434">
        <f>((BQ68*BQ63)+(BQ66*BQ63*0.86))/1000+BQ139</f>
        <v>0</v>
      </c>
      <c r="BR62" s="1385">
        <f>((BR68*BR63)+(BR66*BR63*0.86))/1000+BR139</f>
        <v>0</v>
      </c>
      <c r="BS62" s="1385">
        <f>((BS68*BS63)+(BS66*BS63*0.86))/1000+BS139</f>
        <v>0</v>
      </c>
      <c r="BT62" s="1385">
        <f>((BT68*BT63)+(BT66*BT63*0.86))/1000+BT139</f>
        <v>0</v>
      </c>
      <c r="BU62" s="1645">
        <f>SUM(BQ62:BT62)</f>
        <v>0</v>
      </c>
      <c r="BV62" s="1385"/>
      <c r="BW62" s="1434">
        <f>((BW68*BW63)+(BW66*BW63*0.86))/1000+BW139</f>
        <v>0</v>
      </c>
      <c r="BX62" s="1385">
        <f>((BX68*BX63)+(BX66*BX63*0.86))/1000+BX139</f>
        <v>0</v>
      </c>
      <c r="BY62" s="1385">
        <f>((BY68*BY63)+(BY66*BY63*0.86))/1000+BY139</f>
        <v>0</v>
      </c>
      <c r="BZ62" s="1385">
        <f>((BZ68*BZ63)+(BZ66*BZ63*0.86))/1000+BZ139</f>
        <v>0</v>
      </c>
      <c r="CA62" s="1645">
        <f>SUM(BW62:BZ62)</f>
        <v>0</v>
      </c>
      <c r="CB62" s="1385"/>
      <c r="CC62" s="1434">
        <f>((CC68*CC63)+(CC66*CC63*0.86))/1000+CC139</f>
        <v>0</v>
      </c>
      <c r="CD62" s="1385">
        <f>((CD68*CD63)+(CD66*CD63*0.86))/1000+CD139</f>
        <v>0</v>
      </c>
      <c r="CE62" s="1385">
        <f>((CE68*CE63)+(CE66*CE63*0.86))/1000+CE139</f>
        <v>0</v>
      </c>
      <c r="CF62" s="1385">
        <f>((CF68*CF63)+(CF66*CF63*0.86))/1000+CF139</f>
        <v>0</v>
      </c>
      <c r="CG62" s="1645">
        <f>SUM(CC62:CF62)</f>
        <v>0</v>
      </c>
      <c r="CH62" s="1385"/>
      <c r="CI62" s="1434">
        <f>((CI68*CI63)+(CI66*CI63*0.86))/1000+CI139</f>
        <v>0</v>
      </c>
      <c r="CJ62" s="1385">
        <f>((CJ68*CJ63)+(CJ66*CJ63*0.86))/1000+CJ139</f>
        <v>0</v>
      </c>
      <c r="CK62" s="1385">
        <f>((CK68*CK63)+(CK66*CK63*0.86))/1000+CK139</f>
        <v>0</v>
      </c>
      <c r="CL62" s="1385">
        <f>((CL68*CL63)+(CL66*CL63*0.86))/1000+CL139</f>
        <v>0</v>
      </c>
      <c r="CM62" s="1645">
        <f>SUM(CI62:CL62)</f>
        <v>0</v>
      </c>
      <c r="CN62" s="1385"/>
      <c r="CO62" s="1434">
        <f>((CO68*CO63)+(CO66*CO63*0.86))/1000+CO139</f>
        <v>0</v>
      </c>
      <c r="CP62" s="1385">
        <f>((CP68*CP63)+(CP66*CP63*0.86))/1000+CP139</f>
        <v>0</v>
      </c>
      <c r="CQ62" s="1385">
        <f>((CQ68*CQ63)+(CQ66*CQ63*0.86))/1000+CQ139</f>
        <v>0</v>
      </c>
      <c r="CR62" s="1385">
        <f>((CR68*CR63)+(CR66*CR63*0.86))/1000+CR139</f>
        <v>0</v>
      </c>
      <c r="CS62" s="1645">
        <f>SUM(CO62:CR62)</f>
        <v>0</v>
      </c>
      <c r="CT62" s="205"/>
      <c r="CU62" s="205"/>
      <c r="CV62" s="205"/>
      <c r="CW62" s="205"/>
      <c r="CX62" s="2207" t="s">
        <v>768</v>
      </c>
      <c r="CY62" s="2208">
        <f t="shared" ref="CY62:DT62" si="265">SUM(CY60:CY61)</f>
        <v>0</v>
      </c>
      <c r="CZ62" s="2208">
        <f t="shared" si="265"/>
        <v>0</v>
      </c>
      <c r="DA62" s="2208">
        <f t="shared" si="265"/>
        <v>0</v>
      </c>
      <c r="DB62" s="2208">
        <f t="shared" si="265"/>
        <v>0</v>
      </c>
      <c r="DC62" s="2208">
        <f t="shared" si="265"/>
        <v>0</v>
      </c>
      <c r="DD62" s="2208">
        <f t="shared" si="265"/>
        <v>0</v>
      </c>
      <c r="DE62" s="2208">
        <f t="shared" si="265"/>
        <v>0</v>
      </c>
      <c r="DF62" s="2208">
        <f t="shared" si="265"/>
        <v>0</v>
      </c>
      <c r="DG62" s="2208">
        <f t="shared" si="265"/>
        <v>0</v>
      </c>
      <c r="DH62" s="2208">
        <f t="shared" si="265"/>
        <v>0</v>
      </c>
      <c r="DI62" s="2208">
        <f t="shared" si="265"/>
        <v>0</v>
      </c>
      <c r="DJ62" s="2208">
        <f t="shared" si="265"/>
        <v>0</v>
      </c>
      <c r="DK62" s="2208">
        <f t="shared" si="265"/>
        <v>0</v>
      </c>
      <c r="DL62" s="2208">
        <f t="shared" si="265"/>
        <v>0</v>
      </c>
      <c r="DM62" s="2208">
        <f t="shared" si="265"/>
        <v>0</v>
      </c>
      <c r="DN62" s="2208">
        <f t="shared" si="265"/>
        <v>0</v>
      </c>
      <c r="DO62" s="2208">
        <f t="shared" si="265"/>
        <v>0</v>
      </c>
      <c r="DP62" s="2208">
        <f t="shared" si="265"/>
        <v>0</v>
      </c>
      <c r="DQ62" s="2208">
        <f t="shared" ref="DQ62" si="266">SUM(DQ60:DQ61)</f>
        <v>0</v>
      </c>
      <c r="DR62" s="2208">
        <f t="shared" ref="DR62" si="267">SUM(DR60:DR61)</f>
        <v>0</v>
      </c>
      <c r="DS62" s="2208">
        <f t="shared" si="265"/>
        <v>25</v>
      </c>
      <c r="DT62" s="2208">
        <f t="shared" si="265"/>
        <v>83</v>
      </c>
      <c r="DU62" s="2208">
        <f>SUM(DU60:DU61)</f>
        <v>89</v>
      </c>
      <c r="DV62" s="2208">
        <f t="shared" ref="DV62" si="268">SUM(DV59:DV61)</f>
        <v>89</v>
      </c>
      <c r="DW62" s="2208">
        <f t="shared" ref="DW62" si="269">SUM(DW60:DW61)</f>
        <v>77</v>
      </c>
      <c r="DX62" s="2208">
        <f t="shared" ref="DX62" si="270">SUM(DX60:DX61)</f>
        <v>80</v>
      </c>
      <c r="DY62" s="2208">
        <f>SUM(DY60:DY61)</f>
        <v>84</v>
      </c>
      <c r="DZ62" s="2208">
        <f t="shared" ref="DZ62" si="271">SUM(DZ59:DZ61)</f>
        <v>84</v>
      </c>
      <c r="EA62" s="2208">
        <f t="shared" ref="EA62" si="272">SUM(EA60:EA61)</f>
        <v>67</v>
      </c>
      <c r="EB62" s="2208">
        <f t="shared" ref="EB62" si="273">SUM(EB60:EB61)</f>
        <v>67</v>
      </c>
      <c r="EC62" s="2208">
        <f>SUM(EC60:EC61)</f>
        <v>67</v>
      </c>
      <c r="ED62" s="2208">
        <f t="shared" ref="ED62" si="274">SUM(ED59:ED61)</f>
        <v>67</v>
      </c>
      <c r="EE62" s="2208">
        <f t="shared" ref="EE62" si="275">SUM(EE60:EE61)</f>
        <v>60</v>
      </c>
      <c r="EF62" s="2208">
        <f t="shared" ref="EF62" si="276">SUM(EF60:EF61)</f>
        <v>60</v>
      </c>
      <c r="EG62" s="2208">
        <f>SUM(EG60:EG61)</f>
        <v>60</v>
      </c>
      <c r="EH62" s="2208">
        <f t="shared" ref="EH62" si="277">SUM(EH59:EH61)</f>
        <v>60</v>
      </c>
    </row>
    <row r="63" spans="1:138" ht="12.75" hidden="1" customHeight="1" outlineLevel="1">
      <c r="A63" s="735" t="s">
        <v>223</v>
      </c>
      <c r="B63" s="201"/>
      <c r="C63" s="751"/>
      <c r="D63" s="201"/>
      <c r="E63" s="201"/>
      <c r="F63" s="201"/>
      <c r="G63" s="203"/>
      <c r="H63" s="201"/>
      <c r="I63" s="751"/>
      <c r="J63" s="201"/>
      <c r="K63" s="201"/>
      <c r="L63" s="201"/>
      <c r="M63" s="203"/>
      <c r="N63" s="201"/>
      <c r="O63" s="751"/>
      <c r="P63" s="201"/>
      <c r="Q63" s="201"/>
      <c r="R63" s="201"/>
      <c r="S63" s="203"/>
      <c r="T63" s="201"/>
      <c r="U63" s="768">
        <v>695</v>
      </c>
      <c r="V63" s="201">
        <f>U63</f>
        <v>695</v>
      </c>
      <c r="W63" s="201">
        <f>V63</f>
        <v>695</v>
      </c>
      <c r="X63" s="201">
        <f>W63</f>
        <v>695</v>
      </c>
      <c r="Y63" s="203">
        <f>AVERAGE(U63:X63)</f>
        <v>695</v>
      </c>
      <c r="Z63" s="201"/>
      <c r="AA63" s="768">
        <v>640</v>
      </c>
      <c r="AB63" s="201">
        <f>AA63</f>
        <v>640</v>
      </c>
      <c r="AC63" s="201">
        <f>AB63</f>
        <v>640</v>
      </c>
      <c r="AD63" s="201">
        <f>AC63</f>
        <v>640</v>
      </c>
      <c r="AE63" s="203">
        <f>AVERAGE(AA63:AD63)</f>
        <v>640</v>
      </c>
      <c r="AF63" s="201"/>
      <c r="AG63" s="1430">
        <v>635</v>
      </c>
      <c r="AH63" s="1607">
        <v>640</v>
      </c>
      <c r="AI63" s="1401">
        <f>AH63</f>
        <v>640</v>
      </c>
      <c r="AJ63" s="1401">
        <v>640</v>
      </c>
      <c r="AK63" s="1606">
        <f>AK62*1000/AK64</f>
        <v>867.94338390804603</v>
      </c>
      <c r="AL63" s="1401"/>
      <c r="AM63" s="1435">
        <f>AQ63</f>
        <v>630</v>
      </c>
      <c r="AN63" s="1401">
        <f>AM63</f>
        <v>630</v>
      </c>
      <c r="AO63" s="1401">
        <f>AN63</f>
        <v>630</v>
      </c>
      <c r="AP63" s="1401">
        <f>AO63</f>
        <v>630</v>
      </c>
      <c r="AQ63" s="1623">
        <v>630</v>
      </c>
      <c r="AR63" s="201"/>
      <c r="AS63" s="1435">
        <f>AW63</f>
        <v>630</v>
      </c>
      <c r="AT63" s="1401">
        <f>AS63</f>
        <v>630</v>
      </c>
      <c r="AU63" s="1401">
        <f>AT63</f>
        <v>630</v>
      </c>
      <c r="AV63" s="1605">
        <f>AU63</f>
        <v>630</v>
      </c>
      <c r="AW63" s="1623">
        <v>630</v>
      </c>
      <c r="AX63" s="1401"/>
      <c r="AY63" s="2032">
        <v>0</v>
      </c>
      <c r="AZ63" s="2033">
        <f>AY63</f>
        <v>0</v>
      </c>
      <c r="BA63" s="2033">
        <f>AZ63</f>
        <v>0</v>
      </c>
      <c r="BB63" s="2033">
        <f>BA63</f>
        <v>0</v>
      </c>
      <c r="BC63" s="1623">
        <f>+AY63</f>
        <v>0</v>
      </c>
      <c r="BD63" s="1401"/>
      <c r="BE63" s="2148">
        <v>0</v>
      </c>
      <c r="BF63" s="2149">
        <f>BE63</f>
        <v>0</v>
      </c>
      <c r="BG63" s="2149">
        <f>BF63</f>
        <v>0</v>
      </c>
      <c r="BH63" s="2149">
        <f>BG63</f>
        <v>0</v>
      </c>
      <c r="BI63" s="1606">
        <f>+AVERAGE(BE63:BH63)</f>
        <v>0</v>
      </c>
      <c r="BJ63" s="1401"/>
      <c r="BK63" s="2148">
        <v>0</v>
      </c>
      <c r="BL63" s="2149">
        <f>BK63</f>
        <v>0</v>
      </c>
      <c r="BM63" s="2149">
        <f>BL63</f>
        <v>0</v>
      </c>
      <c r="BN63" s="2149">
        <f>BM63</f>
        <v>0</v>
      </c>
      <c r="BO63" s="1606">
        <f>+AVERAGE(BK63:BN63)</f>
        <v>0</v>
      </c>
      <c r="BP63" s="1401"/>
      <c r="BQ63" s="2148">
        <v>0</v>
      </c>
      <c r="BR63" s="2149">
        <f>BQ63</f>
        <v>0</v>
      </c>
      <c r="BS63" s="2149">
        <f>BR63</f>
        <v>0</v>
      </c>
      <c r="BT63" s="2149">
        <f>BS63</f>
        <v>0</v>
      </c>
      <c r="BU63" s="1606">
        <f>+AVERAGE(BQ63:BT63)</f>
        <v>0</v>
      </c>
      <c r="BV63" s="1401"/>
      <c r="BW63" s="2148">
        <v>0</v>
      </c>
      <c r="BX63" s="2149">
        <f>BW63</f>
        <v>0</v>
      </c>
      <c r="BY63" s="2149">
        <f>BX63</f>
        <v>0</v>
      </c>
      <c r="BZ63" s="2149">
        <f>BY63</f>
        <v>0</v>
      </c>
      <c r="CA63" s="1606">
        <f>+AVERAGE(BW63:BZ63)</f>
        <v>0</v>
      </c>
      <c r="CB63" s="1401"/>
      <c r="CC63" s="2148">
        <v>0</v>
      </c>
      <c r="CD63" s="2149">
        <f>CC63</f>
        <v>0</v>
      </c>
      <c r="CE63" s="2149">
        <f>CD63</f>
        <v>0</v>
      </c>
      <c r="CF63" s="2149">
        <f>CE63</f>
        <v>0</v>
      </c>
      <c r="CG63" s="1606">
        <f>+AVERAGE(CC63:CF63)</f>
        <v>0</v>
      </c>
      <c r="CH63" s="1401"/>
      <c r="CI63" s="2148">
        <v>0</v>
      </c>
      <c r="CJ63" s="2149">
        <f>CI63</f>
        <v>0</v>
      </c>
      <c r="CK63" s="2149">
        <f>CJ63</f>
        <v>0</v>
      </c>
      <c r="CL63" s="2149">
        <f>CK63</f>
        <v>0</v>
      </c>
      <c r="CM63" s="1606">
        <f>+AVERAGE(CI63:CL63)</f>
        <v>0</v>
      </c>
      <c r="CN63" s="1401"/>
      <c r="CO63" s="2148">
        <v>0</v>
      </c>
      <c r="CP63" s="2149">
        <f>CO63</f>
        <v>0</v>
      </c>
      <c r="CQ63" s="2149">
        <f>CP63</f>
        <v>0</v>
      </c>
      <c r="CR63" s="2149">
        <f>CQ63</f>
        <v>0</v>
      </c>
      <c r="CS63" s="1606">
        <f>+AVERAGE(CO63:CR63)</f>
        <v>0</v>
      </c>
      <c r="CT63" s="201"/>
      <c r="CU63" s="201"/>
      <c r="CV63" s="201"/>
      <c r="CW63" s="201"/>
      <c r="CX63" s="201"/>
      <c r="CY63" s="201"/>
      <c r="CZ63" s="201"/>
      <c r="DA63" s="201"/>
      <c r="DB63" s="201"/>
      <c r="DC63" s="201"/>
      <c r="DD63" s="201"/>
      <c r="DE63" s="201"/>
      <c r="DF63" s="201"/>
      <c r="DG63" s="201"/>
      <c r="DH63" s="201"/>
      <c r="DI63" s="201"/>
      <c r="DJ63" s="201"/>
      <c r="DK63" s="201"/>
      <c r="DL63" s="201"/>
      <c r="DM63" s="201"/>
      <c r="DN63" s="201"/>
      <c r="DO63" s="201"/>
      <c r="DP63" s="201"/>
      <c r="DQ63" s="201"/>
      <c r="DR63" s="201"/>
      <c r="DS63" s="201"/>
      <c r="DT63" s="201"/>
    </row>
    <row r="64" spans="1:138" ht="12.75" hidden="1" customHeight="1" outlineLevel="1">
      <c r="A64" s="759" t="s">
        <v>218</v>
      </c>
      <c r="B64" s="740"/>
      <c r="C64" s="760"/>
      <c r="D64" s="740"/>
      <c r="E64" s="740"/>
      <c r="F64" s="740"/>
      <c r="G64" s="739"/>
      <c r="H64" s="740"/>
      <c r="I64" s="760"/>
      <c r="J64" s="740"/>
      <c r="K64" s="740"/>
      <c r="L64" s="740"/>
      <c r="M64" s="739"/>
      <c r="N64" s="740"/>
      <c r="O64" s="760"/>
      <c r="P64" s="740"/>
      <c r="Q64" s="740"/>
      <c r="R64" s="740"/>
      <c r="S64" s="739"/>
      <c r="T64" s="740"/>
      <c r="U64" s="760">
        <f>U68+U140</f>
        <v>18</v>
      </c>
      <c r="V64" s="740">
        <f>V68+V140</f>
        <v>60</v>
      </c>
      <c r="W64" s="740">
        <f>W68+W140</f>
        <v>75</v>
      </c>
      <c r="X64" s="740">
        <f>X68+X140</f>
        <v>90</v>
      </c>
      <c r="Y64" s="739">
        <f>SUM(U64:X64)</f>
        <v>243</v>
      </c>
      <c r="Z64" s="740"/>
      <c r="AA64" s="760">
        <f>AA68+AA140</f>
        <v>93</v>
      </c>
      <c r="AB64" s="740">
        <f>AB68+AB140</f>
        <v>95</v>
      </c>
      <c r="AC64" s="740">
        <f>AC68+AC140</f>
        <v>80</v>
      </c>
      <c r="AD64" s="740">
        <f>AD68+AD140</f>
        <v>70</v>
      </c>
      <c r="AE64" s="739">
        <f>SUM(AA64:AD64)</f>
        <v>338</v>
      </c>
      <c r="AF64" s="740"/>
      <c r="AG64" s="760">
        <f>AG68+AG140</f>
        <v>33.5</v>
      </c>
      <c r="AH64" s="740">
        <f>AH68+AH140</f>
        <v>39.5</v>
      </c>
      <c r="AI64" s="740">
        <f>AI68+AI140</f>
        <v>59.5</v>
      </c>
      <c r="AJ64" s="741">
        <f>AJ68+AJ140</f>
        <v>12.5</v>
      </c>
      <c r="AK64" s="739">
        <f>SUM(AG64:AJ64)</f>
        <v>145</v>
      </c>
      <c r="AL64" s="740"/>
      <c r="AM64" s="760">
        <f>AM66+AM68</f>
        <v>17</v>
      </c>
      <c r="AN64" s="740">
        <f>AN66+AN68</f>
        <v>17</v>
      </c>
      <c r="AO64" s="740">
        <f>AO66+AO68</f>
        <v>15</v>
      </c>
      <c r="AP64" s="740">
        <f>AP66+AP68</f>
        <v>4</v>
      </c>
      <c r="AQ64" s="739">
        <f>SUM(AM64:AP64)</f>
        <v>53</v>
      </c>
      <c r="AR64" s="740"/>
      <c r="AS64" s="1432">
        <f>AS66+AS68</f>
        <v>4</v>
      </c>
      <c r="AT64" s="740">
        <f>AT66+AT68</f>
        <v>0</v>
      </c>
      <c r="AU64" s="740">
        <f>AU66+AU68</f>
        <v>0</v>
      </c>
      <c r="AV64" s="1611">
        <f>AV66+AV68</f>
        <v>0</v>
      </c>
      <c r="AW64" s="1610">
        <f>SUM(AS64:AV64)</f>
        <v>4</v>
      </c>
      <c r="AX64" s="1611"/>
      <c r="AY64" s="1432">
        <f>AY66+AY68</f>
        <v>0</v>
      </c>
      <c r="AZ64" s="1611">
        <f>AZ66+AZ68</f>
        <v>0</v>
      </c>
      <c r="BA64" s="1611">
        <f>BA66+BA68</f>
        <v>0</v>
      </c>
      <c r="BB64" s="1611">
        <f>BB66+BB68</f>
        <v>0</v>
      </c>
      <c r="BC64" s="1610">
        <f>SUM(AY64:BB64)</f>
        <v>0</v>
      </c>
      <c r="BD64" s="1611"/>
      <c r="BE64" s="1432">
        <f>BE66+BE68</f>
        <v>0</v>
      </c>
      <c r="BF64" s="1611">
        <f>BF66+BF68</f>
        <v>0</v>
      </c>
      <c r="BG64" s="1611">
        <f>BG66+BG68</f>
        <v>0</v>
      </c>
      <c r="BH64" s="1611">
        <f>BH66+BH68</f>
        <v>0</v>
      </c>
      <c r="BI64" s="1610">
        <f>SUM(BE64:BH64)</f>
        <v>0</v>
      </c>
      <c r="BJ64" s="1611"/>
      <c r="BK64" s="1432">
        <f>BK66+BK68</f>
        <v>0</v>
      </c>
      <c r="BL64" s="1611">
        <f>BL66+BL68</f>
        <v>0</v>
      </c>
      <c r="BM64" s="1611">
        <f>BM66+BM68</f>
        <v>0</v>
      </c>
      <c r="BN64" s="1611">
        <f>BN66+BN68</f>
        <v>0</v>
      </c>
      <c r="BO64" s="1610">
        <f>SUM(BK64:BN64)</f>
        <v>0</v>
      </c>
      <c r="BP64" s="1611"/>
      <c r="BQ64" s="1432">
        <f>BQ66+BQ68</f>
        <v>0</v>
      </c>
      <c r="BR64" s="1611">
        <f>BR66+BR68</f>
        <v>0</v>
      </c>
      <c r="BS64" s="1611">
        <f>BS66+BS68</f>
        <v>0</v>
      </c>
      <c r="BT64" s="1611">
        <f>BT66+BT68</f>
        <v>0</v>
      </c>
      <c r="BU64" s="1610">
        <f>SUM(BQ64:BT64)</f>
        <v>0</v>
      </c>
      <c r="BV64" s="1611"/>
      <c r="BW64" s="1432">
        <f>BW66+BW68</f>
        <v>0</v>
      </c>
      <c r="BX64" s="1611">
        <f>BX66+BX68</f>
        <v>0</v>
      </c>
      <c r="BY64" s="1611">
        <f>BY66+BY68</f>
        <v>0</v>
      </c>
      <c r="BZ64" s="1611">
        <f>BZ66+BZ68</f>
        <v>0</v>
      </c>
      <c r="CA64" s="1610">
        <f>SUM(BW64:BZ64)</f>
        <v>0</v>
      </c>
      <c r="CB64" s="1611"/>
      <c r="CC64" s="1432">
        <f>CC66+CC68</f>
        <v>0</v>
      </c>
      <c r="CD64" s="1611">
        <f>CD66+CD68</f>
        <v>0</v>
      </c>
      <c r="CE64" s="1611">
        <f>CE66+CE68</f>
        <v>0</v>
      </c>
      <c r="CF64" s="1611">
        <f>CF66+CF68</f>
        <v>0</v>
      </c>
      <c r="CG64" s="1610">
        <f>SUM(CC64:CF64)</f>
        <v>0</v>
      </c>
      <c r="CH64" s="1611"/>
      <c r="CI64" s="1432">
        <f>CI66+CI68</f>
        <v>0</v>
      </c>
      <c r="CJ64" s="1611">
        <f>CJ66+CJ68</f>
        <v>0</v>
      </c>
      <c r="CK64" s="1611">
        <f>CK66+CK68</f>
        <v>0</v>
      </c>
      <c r="CL64" s="1611">
        <f>CL66+CL68</f>
        <v>0</v>
      </c>
      <c r="CM64" s="1610">
        <f>SUM(CI64:CL64)</f>
        <v>0</v>
      </c>
      <c r="CN64" s="1611"/>
      <c r="CO64" s="1432">
        <f>CO66+CO68</f>
        <v>0</v>
      </c>
      <c r="CP64" s="1611">
        <f>CP66+CP68</f>
        <v>0</v>
      </c>
      <c r="CQ64" s="1611">
        <f>CQ66+CQ68</f>
        <v>0</v>
      </c>
      <c r="CR64" s="1611">
        <f>CR66+CR68</f>
        <v>0</v>
      </c>
      <c r="CS64" s="1610">
        <f>SUM(CO64:CR64)</f>
        <v>0</v>
      </c>
      <c r="CT64" s="205"/>
      <c r="CU64" s="205"/>
      <c r="CV64" s="205"/>
      <c r="CW64" s="205"/>
      <c r="CX64" s="205"/>
      <c r="CY64" s="205"/>
      <c r="CZ64" s="205"/>
      <c r="DA64" s="205"/>
      <c r="DB64" s="205"/>
      <c r="DC64" s="205"/>
      <c r="DD64" s="205"/>
      <c r="DE64" s="205"/>
      <c r="DF64" s="205"/>
      <c r="DG64" s="205"/>
      <c r="DH64" s="205"/>
      <c r="DI64" s="205"/>
      <c r="DJ64" s="205"/>
      <c r="DK64" s="205"/>
      <c r="DL64" s="205"/>
      <c r="DM64" s="205"/>
      <c r="DN64" s="205"/>
      <c r="DO64" s="205"/>
      <c r="DP64" s="205"/>
      <c r="DQ64" s="205"/>
      <c r="DR64" s="205"/>
      <c r="DS64" s="205"/>
      <c r="DT64" s="205"/>
    </row>
    <row r="65" spans="1:124" ht="12.75" hidden="1" customHeight="1" outlineLevel="1">
      <c r="A65" s="1037" t="s">
        <v>15</v>
      </c>
      <c r="B65" s="205"/>
      <c r="C65" s="750"/>
      <c r="D65" s="205"/>
      <c r="E65" s="205"/>
      <c r="F65" s="205"/>
      <c r="G65" s="191"/>
      <c r="H65" s="205"/>
      <c r="I65" s="750"/>
      <c r="J65" s="205"/>
      <c r="K65" s="205"/>
      <c r="L65" s="205"/>
      <c r="M65" s="191"/>
      <c r="N65" s="205"/>
      <c r="O65" s="750"/>
      <c r="P65" s="205"/>
      <c r="Q65" s="205"/>
      <c r="R65" s="205"/>
      <c r="S65" s="191"/>
      <c r="T65" s="205"/>
      <c r="U65" s="760">
        <f>U64</f>
        <v>18</v>
      </c>
      <c r="V65" s="740">
        <f>U65+V64</f>
        <v>78</v>
      </c>
      <c r="W65" s="740">
        <f>V65+W64</f>
        <v>153</v>
      </c>
      <c r="X65" s="740">
        <f>W65+X64</f>
        <v>243</v>
      </c>
      <c r="Y65" s="739">
        <f>X65</f>
        <v>243</v>
      </c>
      <c r="Z65" s="740"/>
      <c r="AA65" s="760">
        <f>X65+AA64</f>
        <v>336</v>
      </c>
      <c r="AB65" s="740">
        <f>AA65+AB64</f>
        <v>431</v>
      </c>
      <c r="AC65" s="740">
        <f>AB65+AC64</f>
        <v>511</v>
      </c>
      <c r="AD65" s="740">
        <f>AC65+AD64</f>
        <v>581</v>
      </c>
      <c r="AE65" s="739">
        <f>AD65</f>
        <v>581</v>
      </c>
      <c r="AF65" s="740"/>
      <c r="AG65" s="760">
        <f>AD65+AG64</f>
        <v>614.5</v>
      </c>
      <c r="AH65" s="740">
        <f>AG65+AH64</f>
        <v>654</v>
      </c>
      <c r="AI65" s="740">
        <f>AH65+AI64</f>
        <v>713.5</v>
      </c>
      <c r="AJ65" s="740">
        <f>AI65+AJ64</f>
        <v>726</v>
      </c>
      <c r="AK65" s="739">
        <f>AJ65</f>
        <v>726</v>
      </c>
      <c r="AL65" s="740"/>
      <c r="AM65" s="760">
        <f>AJ65+AM64</f>
        <v>743</v>
      </c>
      <c r="AN65" s="740">
        <f>AM65+AN64</f>
        <v>760</v>
      </c>
      <c r="AO65" s="740">
        <f>AN65+AO64</f>
        <v>775</v>
      </c>
      <c r="AP65" s="740">
        <f>AO65+AP64</f>
        <v>779</v>
      </c>
      <c r="AQ65" s="739">
        <f>AP65</f>
        <v>779</v>
      </c>
      <c r="AR65" s="740"/>
      <c r="AS65" s="1432">
        <f>AP65+AS64</f>
        <v>783</v>
      </c>
      <c r="AT65" s="740">
        <f>AS65+AT64</f>
        <v>783</v>
      </c>
      <c r="AU65" s="740">
        <f>AT65+AU64</f>
        <v>783</v>
      </c>
      <c r="AV65" s="1611">
        <f>AU65+AV64</f>
        <v>783</v>
      </c>
      <c r="AW65" s="1610">
        <f>AV65</f>
        <v>783</v>
      </c>
      <c r="AX65" s="1611"/>
      <c r="AY65" s="1432">
        <f>AV65+AY64</f>
        <v>783</v>
      </c>
      <c r="AZ65" s="1611">
        <f>AY65+AZ64</f>
        <v>783</v>
      </c>
      <c r="BA65" s="1611">
        <f>AZ65+BA64</f>
        <v>783</v>
      </c>
      <c r="BB65" s="1611">
        <f>BA65+BB64</f>
        <v>783</v>
      </c>
      <c r="BC65" s="1610">
        <f>BB65</f>
        <v>783</v>
      </c>
      <c r="BD65" s="1611"/>
      <c r="BE65" s="1432">
        <f>BB65+BE64</f>
        <v>783</v>
      </c>
      <c r="BF65" s="1611">
        <f>BE65+BF64</f>
        <v>783</v>
      </c>
      <c r="BG65" s="1611">
        <f>BF65+BG64</f>
        <v>783</v>
      </c>
      <c r="BH65" s="1611">
        <f>BG65+BH64</f>
        <v>783</v>
      </c>
      <c r="BI65" s="1610">
        <f>BH65</f>
        <v>783</v>
      </c>
      <c r="BJ65" s="1611"/>
      <c r="BK65" s="1432">
        <f>BH65+BK64</f>
        <v>783</v>
      </c>
      <c r="BL65" s="1611">
        <f>BK65+BL64</f>
        <v>783</v>
      </c>
      <c r="BM65" s="1611">
        <f>BL65+BM64</f>
        <v>783</v>
      </c>
      <c r="BN65" s="1611">
        <f>BM65+BN64</f>
        <v>783</v>
      </c>
      <c r="BO65" s="1610">
        <f>BN65</f>
        <v>783</v>
      </c>
      <c r="BP65" s="1611"/>
      <c r="BQ65" s="1432">
        <f>BN65+BQ64</f>
        <v>783</v>
      </c>
      <c r="BR65" s="1611">
        <f>BQ65+BR64</f>
        <v>783</v>
      </c>
      <c r="BS65" s="1611">
        <f>BR65+BS64</f>
        <v>783</v>
      </c>
      <c r="BT65" s="1611">
        <f>BS65+BT64</f>
        <v>783</v>
      </c>
      <c r="BU65" s="1610">
        <f>BT65</f>
        <v>783</v>
      </c>
      <c r="BV65" s="1611"/>
      <c r="BW65" s="1432">
        <f>BT65+BW64</f>
        <v>783</v>
      </c>
      <c r="BX65" s="1611">
        <f>BW65+BX64</f>
        <v>783</v>
      </c>
      <c r="BY65" s="1611">
        <f>BX65+BY64</f>
        <v>783</v>
      </c>
      <c r="BZ65" s="1611">
        <f>BY65+BZ64</f>
        <v>783</v>
      </c>
      <c r="CA65" s="1610">
        <f>BZ65</f>
        <v>783</v>
      </c>
      <c r="CB65" s="1611"/>
      <c r="CC65" s="1432">
        <f>BZ65+CC64</f>
        <v>783</v>
      </c>
      <c r="CD65" s="1611">
        <f>CC65+CD64</f>
        <v>783</v>
      </c>
      <c r="CE65" s="1611">
        <f>CD65+CE64</f>
        <v>783</v>
      </c>
      <c r="CF65" s="1611">
        <f>CE65+CF64</f>
        <v>783</v>
      </c>
      <c r="CG65" s="1610">
        <f>CF65</f>
        <v>783</v>
      </c>
      <c r="CH65" s="1611"/>
      <c r="CI65" s="1432">
        <f>CF65+CI64</f>
        <v>783</v>
      </c>
      <c r="CJ65" s="1611">
        <f>CI65+CJ64</f>
        <v>783</v>
      </c>
      <c r="CK65" s="1611">
        <f>CJ65+CK64</f>
        <v>783</v>
      </c>
      <c r="CL65" s="1611">
        <f>CK65+CL64</f>
        <v>783</v>
      </c>
      <c r="CM65" s="1610">
        <f>CL65</f>
        <v>783</v>
      </c>
      <c r="CN65" s="1611"/>
      <c r="CO65" s="1432">
        <f>CL65+CO64</f>
        <v>783</v>
      </c>
      <c r="CP65" s="1611">
        <f>CO65+CP64</f>
        <v>783</v>
      </c>
      <c r="CQ65" s="1611">
        <f>CP65+CQ64</f>
        <v>783</v>
      </c>
      <c r="CR65" s="1611">
        <f>CQ65+CR64</f>
        <v>783</v>
      </c>
      <c r="CS65" s="1610">
        <f>CR65</f>
        <v>783</v>
      </c>
      <c r="CT65" s="205"/>
      <c r="CU65" s="205"/>
      <c r="CV65" s="205"/>
      <c r="CW65" s="205"/>
      <c r="CX65" s="205"/>
      <c r="CY65" s="205"/>
      <c r="CZ65" s="205"/>
      <c r="DA65" s="205"/>
      <c r="DB65" s="205"/>
      <c r="DC65" s="205"/>
      <c r="DD65" s="205"/>
      <c r="DE65" s="205"/>
      <c r="DF65" s="205"/>
      <c r="DG65" s="205"/>
      <c r="DH65" s="205"/>
      <c r="DI65" s="205"/>
      <c r="DJ65" s="205"/>
      <c r="DK65" s="205"/>
      <c r="DL65" s="205"/>
      <c r="DM65" s="205"/>
      <c r="DN65" s="205"/>
      <c r="DO65" s="205"/>
      <c r="DP65" s="205"/>
      <c r="DQ65" s="205"/>
      <c r="DR65" s="205"/>
      <c r="DS65" s="205"/>
      <c r="DT65" s="205"/>
    </row>
    <row r="66" spans="1:124" ht="12.75" hidden="1" customHeight="1" outlineLevel="1">
      <c r="A66" s="763" t="s">
        <v>224</v>
      </c>
      <c r="B66" s="740"/>
      <c r="C66" s="760"/>
      <c r="D66" s="740"/>
      <c r="E66" s="740"/>
      <c r="F66" s="740"/>
      <c r="G66" s="739"/>
      <c r="H66" s="740"/>
      <c r="I66" s="760"/>
      <c r="J66" s="740"/>
      <c r="K66" s="740"/>
      <c r="L66" s="740"/>
      <c r="M66" s="739"/>
      <c r="N66" s="740"/>
      <c r="O66" s="760"/>
      <c r="P66" s="740"/>
      <c r="Q66" s="740"/>
      <c r="R66" s="740"/>
      <c r="S66" s="739"/>
      <c r="T66" s="740"/>
      <c r="U66" s="748">
        <v>0</v>
      </c>
      <c r="V66" s="740">
        <f>V67*$U$144</f>
        <v>43.1</v>
      </c>
      <c r="W66" s="740">
        <f>W67*$U$144</f>
        <v>77.58</v>
      </c>
      <c r="X66" s="740">
        <f>X67*$U$144</f>
        <v>86.2</v>
      </c>
      <c r="Y66" s="739">
        <f>SUM(U66:X66)</f>
        <v>206.88</v>
      </c>
      <c r="Z66" s="740"/>
      <c r="AA66" s="760">
        <f>AA67*$U$144</f>
        <v>94.820000000000007</v>
      </c>
      <c r="AB66" s="740">
        <f>AB67*$U$144</f>
        <v>74.994</v>
      </c>
      <c r="AC66" s="740">
        <f>AC67*$U$144</f>
        <v>19.826000000000001</v>
      </c>
      <c r="AD66" s="740">
        <f>AD67*$U$144</f>
        <v>25.86</v>
      </c>
      <c r="AE66" s="739">
        <f>SUM(AA66:AD66)</f>
        <v>215.5</v>
      </c>
      <c r="AF66" s="740"/>
      <c r="AG66" s="760">
        <f>AG67*$U$144</f>
        <v>43.1</v>
      </c>
      <c r="AH66" s="740">
        <f>AH67*$U$144</f>
        <v>34.480000000000004</v>
      </c>
      <c r="AI66" s="740">
        <f>AI67*$U$144</f>
        <v>12.93</v>
      </c>
      <c r="AJ66" s="740">
        <f>AJ67*$U$144</f>
        <v>0</v>
      </c>
      <c r="AK66" s="739">
        <f>SUM(AG66:AJ66)</f>
        <v>90.510000000000019</v>
      </c>
      <c r="AL66" s="740"/>
      <c r="AM66" s="760">
        <f>AM67*$U$144</f>
        <v>0</v>
      </c>
      <c r="AN66" s="740">
        <f>AN67*$U$144</f>
        <v>0</v>
      </c>
      <c r="AO66" s="740">
        <f>AO67*$U$144</f>
        <v>0</v>
      </c>
      <c r="AP66" s="740">
        <f>AP67*$U$144</f>
        <v>0</v>
      </c>
      <c r="AQ66" s="739">
        <f>SUM(AM66:AP66)</f>
        <v>0</v>
      </c>
      <c r="AR66" s="740"/>
      <c r="AS66" s="1432">
        <f>AS67*$U$144</f>
        <v>0</v>
      </c>
      <c r="AT66" s="740">
        <f>AT67*$U$144</f>
        <v>0</v>
      </c>
      <c r="AU66" s="740">
        <f>AU67*$U$144</f>
        <v>0</v>
      </c>
      <c r="AV66" s="1611">
        <f>AV67*$U$150</f>
        <v>0</v>
      </c>
      <c r="AW66" s="1610">
        <f>SUM(AS66:AV66)</f>
        <v>0</v>
      </c>
      <c r="AX66" s="1611"/>
      <c r="AY66" s="1432">
        <f>AY67*$U$144</f>
        <v>0</v>
      </c>
      <c r="AZ66" s="1611">
        <f>AZ67*$U$144</f>
        <v>0</v>
      </c>
      <c r="BA66" s="1611">
        <f>BA67*$U$144</f>
        <v>0</v>
      </c>
      <c r="BB66" s="1611">
        <f>BB67*$U$144</f>
        <v>0</v>
      </c>
      <c r="BC66" s="1610">
        <f>SUM(AY66:BB66)</f>
        <v>0</v>
      </c>
      <c r="BD66" s="1611"/>
      <c r="BE66" s="2150">
        <f>BE67*$U$144</f>
        <v>0</v>
      </c>
      <c r="BF66" s="2151">
        <f>BF67*$U$144</f>
        <v>0</v>
      </c>
      <c r="BG66" s="2151">
        <f>BG67*$U$144</f>
        <v>0</v>
      </c>
      <c r="BH66" s="2151">
        <f>BH67*$U$144</f>
        <v>0</v>
      </c>
      <c r="BI66" s="1610">
        <f>SUM(BE66:BH66)</f>
        <v>0</v>
      </c>
      <c r="BJ66" s="1611"/>
      <c r="BK66" s="2150">
        <f>BK67*$U$144</f>
        <v>0</v>
      </c>
      <c r="BL66" s="2151">
        <f>BL67*$U$144</f>
        <v>0</v>
      </c>
      <c r="BM66" s="2151">
        <f>BM67*$U$144</f>
        <v>0</v>
      </c>
      <c r="BN66" s="2151">
        <f>BN67*$U$144</f>
        <v>0</v>
      </c>
      <c r="BO66" s="1610">
        <f>SUM(BK66:BN66)</f>
        <v>0</v>
      </c>
      <c r="BP66" s="1611"/>
      <c r="BQ66" s="2150">
        <f>BQ67*$U$144</f>
        <v>0</v>
      </c>
      <c r="BR66" s="2151">
        <f>BR67*$U$144</f>
        <v>0</v>
      </c>
      <c r="BS66" s="2151">
        <f>BS67*$U$144</f>
        <v>0</v>
      </c>
      <c r="BT66" s="2151">
        <f>BT67*$U$144</f>
        <v>0</v>
      </c>
      <c r="BU66" s="1610">
        <f>SUM(BQ66:BT66)</f>
        <v>0</v>
      </c>
      <c r="BV66" s="1611"/>
      <c r="BW66" s="2150">
        <f>BW67*$U$144</f>
        <v>0</v>
      </c>
      <c r="BX66" s="2151">
        <f>BX67*$U$144</f>
        <v>0</v>
      </c>
      <c r="BY66" s="2151">
        <f>BY67*$U$144</f>
        <v>0</v>
      </c>
      <c r="BZ66" s="2151">
        <f>BZ67*$U$144</f>
        <v>0</v>
      </c>
      <c r="CA66" s="1610">
        <f>SUM(BW66:BZ66)</f>
        <v>0</v>
      </c>
      <c r="CB66" s="1611"/>
      <c r="CC66" s="2150">
        <f>CC67*$U$144</f>
        <v>0</v>
      </c>
      <c r="CD66" s="2151">
        <f>CD67*$U$144</f>
        <v>0</v>
      </c>
      <c r="CE66" s="2151">
        <f>CE67*$U$144</f>
        <v>0</v>
      </c>
      <c r="CF66" s="2151">
        <f>CF67*$U$144</f>
        <v>0</v>
      </c>
      <c r="CG66" s="1610">
        <f>SUM(CC66:CF66)</f>
        <v>0</v>
      </c>
      <c r="CH66" s="1611"/>
      <c r="CI66" s="2150">
        <f>CI67*$U$144</f>
        <v>0</v>
      </c>
      <c r="CJ66" s="2151">
        <f>CJ67*$U$144</f>
        <v>0</v>
      </c>
      <c r="CK66" s="2151">
        <f>CK67*$U$144</f>
        <v>0</v>
      </c>
      <c r="CL66" s="2151">
        <f>CL67*$U$144</f>
        <v>0</v>
      </c>
      <c r="CM66" s="1610">
        <f>SUM(CI66:CL66)</f>
        <v>0</v>
      </c>
      <c r="CN66" s="1611"/>
      <c r="CO66" s="2150">
        <f>CO67*$U$144</f>
        <v>0</v>
      </c>
      <c r="CP66" s="2151">
        <f>CP67*$U$144</f>
        <v>0</v>
      </c>
      <c r="CQ66" s="2151">
        <f>CQ67*$U$144</f>
        <v>0</v>
      </c>
      <c r="CR66" s="2151">
        <f>CR67*$U$144</f>
        <v>0</v>
      </c>
      <c r="CS66" s="1610">
        <f>SUM(CO66:CR66)</f>
        <v>0</v>
      </c>
      <c r="CT66" s="205"/>
      <c r="CU66" s="205"/>
      <c r="CV66" s="205"/>
      <c r="CW66" s="205"/>
      <c r="CX66" s="205"/>
      <c r="CY66" s="205"/>
      <c r="CZ66" s="205"/>
      <c r="DA66" s="205"/>
      <c r="DB66" s="205"/>
      <c r="DC66" s="205"/>
      <c r="DD66" s="205"/>
      <c r="DE66" s="205"/>
      <c r="DF66" s="205"/>
      <c r="DG66" s="205"/>
      <c r="DH66" s="205"/>
      <c r="DI66" s="205"/>
      <c r="DJ66" s="205"/>
      <c r="DK66" s="205"/>
      <c r="DL66" s="205"/>
      <c r="DM66" s="205"/>
      <c r="DN66" s="205"/>
      <c r="DO66" s="205"/>
      <c r="DP66" s="205"/>
      <c r="DQ66" s="205"/>
      <c r="DR66" s="205"/>
      <c r="DS66" s="205"/>
      <c r="DT66" s="205"/>
    </row>
    <row r="67" spans="1:124" ht="12.75" hidden="1" customHeight="1" outlineLevel="1">
      <c r="A67" s="731" t="s">
        <v>225</v>
      </c>
      <c r="B67" s="60"/>
      <c r="C67" s="752"/>
      <c r="D67" s="60"/>
      <c r="E67" s="60"/>
      <c r="F67" s="60"/>
      <c r="G67" s="736"/>
      <c r="H67" s="60"/>
      <c r="I67" s="753"/>
      <c r="J67" s="226"/>
      <c r="K67" s="226"/>
      <c r="L67" s="226"/>
      <c r="M67" s="736"/>
      <c r="N67" s="60"/>
      <c r="O67" s="753"/>
      <c r="P67" s="226"/>
      <c r="Q67" s="226"/>
      <c r="R67" s="226"/>
      <c r="S67" s="736"/>
      <c r="T67" s="60"/>
      <c r="U67" s="753"/>
      <c r="V67" s="219">
        <v>0.05</v>
      </c>
      <c r="W67" s="219">
        <v>0.09</v>
      </c>
      <c r="X67" s="219">
        <v>0.1</v>
      </c>
      <c r="Y67" s="209">
        <f>Y66/$U144</f>
        <v>0.24</v>
      </c>
      <c r="Z67" s="196"/>
      <c r="AA67" s="765">
        <v>0.11</v>
      </c>
      <c r="AB67" s="219">
        <v>8.6999999999999994E-2</v>
      </c>
      <c r="AC67" s="219">
        <v>2.3E-2</v>
      </c>
      <c r="AD67" s="114">
        <v>0.03</v>
      </c>
      <c r="AE67" s="209">
        <f>(AE66+Y66)/$U$144</f>
        <v>0.49</v>
      </c>
      <c r="AF67" s="194"/>
      <c r="AG67" s="2162">
        <v>0.05</v>
      </c>
      <c r="AH67" s="2164">
        <v>0.04</v>
      </c>
      <c r="AI67" s="2164">
        <v>1.4999999999999999E-2</v>
      </c>
      <c r="AJ67" s="2164">
        <v>0</v>
      </c>
      <c r="AK67" s="209">
        <f>(AK66+AE66+Y66)/$U$144</f>
        <v>0.59499999999999997</v>
      </c>
      <c r="AL67" s="194"/>
      <c r="AM67" s="769"/>
      <c r="AN67" s="24"/>
      <c r="AO67" s="24"/>
      <c r="AP67" s="24"/>
      <c r="AQ67" s="209"/>
      <c r="AR67" s="194"/>
      <c r="AS67" s="769"/>
      <c r="AT67" s="24"/>
      <c r="AU67" s="24"/>
      <c r="AV67" s="24">
        <f>AU67</f>
        <v>0</v>
      </c>
      <c r="AW67" s="209"/>
      <c r="AX67" s="194"/>
      <c r="AY67" s="225"/>
      <c r="AZ67" s="24"/>
      <c r="BA67" s="24"/>
      <c r="BB67" s="24"/>
      <c r="BC67" s="209"/>
      <c r="BD67" s="194"/>
      <c r="BE67" s="2178"/>
      <c r="BF67" s="2179"/>
      <c r="BG67" s="2179"/>
      <c r="BH67" s="2179"/>
      <c r="BI67" s="209"/>
      <c r="BJ67" s="194"/>
      <c r="BK67" s="2178"/>
      <c r="BL67" s="2179"/>
      <c r="BM67" s="2179"/>
      <c r="BN67" s="2179"/>
      <c r="BO67" s="209"/>
      <c r="BP67" s="194"/>
      <c r="BQ67" s="2178"/>
      <c r="BR67" s="2179"/>
      <c r="BS67" s="2179"/>
      <c r="BT67" s="2179"/>
      <c r="BU67" s="209"/>
      <c r="BV67" s="194"/>
      <c r="BW67" s="2178"/>
      <c r="BX67" s="2179"/>
      <c r="BY67" s="2179"/>
      <c r="BZ67" s="2179"/>
      <c r="CA67" s="209"/>
      <c r="CB67" s="194"/>
      <c r="CC67" s="2178"/>
      <c r="CD67" s="2179"/>
      <c r="CE67" s="2179"/>
      <c r="CF67" s="2179"/>
      <c r="CG67" s="209"/>
      <c r="CH67" s="194"/>
      <c r="CI67" s="2178"/>
      <c r="CJ67" s="2179"/>
      <c r="CK67" s="2179"/>
      <c r="CL67" s="2179"/>
      <c r="CM67" s="209"/>
      <c r="CN67" s="194"/>
      <c r="CO67" s="2178"/>
      <c r="CP67" s="2179"/>
      <c r="CQ67" s="2179"/>
      <c r="CR67" s="2179"/>
      <c r="CS67" s="209"/>
      <c r="CT67" s="60"/>
      <c r="CU67" s="60"/>
      <c r="CV67" s="60"/>
      <c r="CW67" s="226"/>
      <c r="CX67" s="226"/>
      <c r="CY67" s="226"/>
      <c r="CZ67" s="226"/>
      <c r="DA67" s="226"/>
      <c r="DB67" s="60"/>
      <c r="DC67" s="60"/>
      <c r="DD67" s="60"/>
      <c r="DE67" s="60"/>
      <c r="DF67" s="60"/>
      <c r="DG67" s="60"/>
      <c r="DH67" s="60"/>
      <c r="DI67" s="68"/>
      <c r="DJ67" s="68"/>
      <c r="DK67" s="68"/>
      <c r="DL67" s="68"/>
      <c r="DM67" s="68"/>
      <c r="DN67" s="68"/>
      <c r="DO67" s="68"/>
      <c r="DP67" s="68"/>
      <c r="DQ67" s="68"/>
      <c r="DR67" s="68"/>
      <c r="DS67" s="68"/>
      <c r="DT67" s="68"/>
    </row>
    <row r="68" spans="1:124" ht="12.75" hidden="1" customHeight="1" outlineLevel="1">
      <c r="A68" s="1038" t="s">
        <v>226</v>
      </c>
      <c r="B68" s="1031"/>
      <c r="C68" s="1032"/>
      <c r="D68" s="1031"/>
      <c r="E68" s="1031"/>
      <c r="F68" s="1031"/>
      <c r="G68" s="1033"/>
      <c r="H68" s="1031"/>
      <c r="I68" s="1032"/>
      <c r="J68" s="1031"/>
      <c r="K68" s="1031"/>
      <c r="L68" s="1031"/>
      <c r="M68" s="1033"/>
      <c r="N68" s="1031"/>
      <c r="O68" s="1032"/>
      <c r="P68" s="1031"/>
      <c r="Q68" s="1031"/>
      <c r="R68" s="1031"/>
      <c r="S68" s="1033"/>
      <c r="T68" s="1031"/>
      <c r="U68" s="1035">
        <v>5</v>
      </c>
      <c r="V68" s="1036">
        <v>30</v>
      </c>
      <c r="W68" s="1036">
        <v>50</v>
      </c>
      <c r="X68" s="1036">
        <v>60</v>
      </c>
      <c r="Y68" s="1033">
        <f>SUM(U68:X68)</f>
        <v>145</v>
      </c>
      <c r="Z68" s="1031"/>
      <c r="AA68" s="1035">
        <v>85</v>
      </c>
      <c r="AB68" s="1036">
        <v>85</v>
      </c>
      <c r="AC68" s="1036">
        <v>70</v>
      </c>
      <c r="AD68" s="1036">
        <v>60</v>
      </c>
      <c r="AE68" s="1033">
        <f>SUM(AA68:AD68)</f>
        <v>300</v>
      </c>
      <c r="AF68" s="1031"/>
      <c r="AG68" s="2157">
        <v>24</v>
      </c>
      <c r="AH68" s="2160">
        <v>30</v>
      </c>
      <c r="AI68" s="2160">
        <v>50</v>
      </c>
      <c r="AJ68" s="2160">
        <v>3</v>
      </c>
      <c r="AK68" s="1033">
        <f>SUM(AG68:AJ68)</f>
        <v>107</v>
      </c>
      <c r="AL68" s="1031"/>
      <c r="AM68" s="2157">
        <v>17</v>
      </c>
      <c r="AN68" s="2160">
        <v>17</v>
      </c>
      <c r="AO68" s="2160">
        <v>15</v>
      </c>
      <c r="AP68" s="2160">
        <v>4</v>
      </c>
      <c r="AQ68" s="1033">
        <f>SUM(AM68:AP68)</f>
        <v>53</v>
      </c>
      <c r="AR68" s="1031"/>
      <c r="AS68" s="1035">
        <v>4</v>
      </c>
      <c r="AT68" s="1036">
        <v>0</v>
      </c>
      <c r="AU68" s="1036">
        <v>0</v>
      </c>
      <c r="AV68" s="1693">
        <v>0</v>
      </c>
      <c r="AW68" s="1691">
        <f>SUM(AS68:AV68)</f>
        <v>4</v>
      </c>
      <c r="AX68" s="1692"/>
      <c r="AY68" s="2030">
        <v>0</v>
      </c>
      <c r="AZ68" s="2031">
        <f>AY68</f>
        <v>0</v>
      </c>
      <c r="BA68" s="2031">
        <f>AZ68</f>
        <v>0</v>
      </c>
      <c r="BB68" s="2031">
        <f>BA68</f>
        <v>0</v>
      </c>
      <c r="BC68" s="1695">
        <v>0</v>
      </c>
      <c r="BD68" s="1692"/>
      <c r="BE68" s="2152">
        <v>0</v>
      </c>
      <c r="BF68" s="2153">
        <f>BE68</f>
        <v>0</v>
      </c>
      <c r="BG68" s="2153">
        <f>BF68</f>
        <v>0</v>
      </c>
      <c r="BH68" s="2153">
        <f>BG68</f>
        <v>0</v>
      </c>
      <c r="BI68" s="1695">
        <v>0</v>
      </c>
      <c r="BJ68" s="1692"/>
      <c r="BK68" s="2152">
        <v>0</v>
      </c>
      <c r="BL68" s="2153">
        <f>BK68</f>
        <v>0</v>
      </c>
      <c r="BM68" s="2153">
        <f>BL68</f>
        <v>0</v>
      </c>
      <c r="BN68" s="2153">
        <f>BM68</f>
        <v>0</v>
      </c>
      <c r="BO68" s="1695">
        <v>0</v>
      </c>
      <c r="BP68" s="1692"/>
      <c r="BQ68" s="2152">
        <v>0</v>
      </c>
      <c r="BR68" s="2153">
        <f>BQ68</f>
        <v>0</v>
      </c>
      <c r="BS68" s="2153">
        <f>BR68</f>
        <v>0</v>
      </c>
      <c r="BT68" s="2153">
        <f>BS68</f>
        <v>0</v>
      </c>
      <c r="BU68" s="1695">
        <v>0</v>
      </c>
      <c r="BV68" s="1692"/>
      <c r="BW68" s="2152">
        <v>0</v>
      </c>
      <c r="BX68" s="2153">
        <f>BW68</f>
        <v>0</v>
      </c>
      <c r="BY68" s="2153">
        <f>BX68</f>
        <v>0</v>
      </c>
      <c r="BZ68" s="2153">
        <f>BY68</f>
        <v>0</v>
      </c>
      <c r="CA68" s="1695">
        <v>0</v>
      </c>
      <c r="CB68" s="1692"/>
      <c r="CC68" s="2152">
        <v>0</v>
      </c>
      <c r="CD68" s="2153">
        <f>CC68</f>
        <v>0</v>
      </c>
      <c r="CE68" s="2153">
        <f>CD68</f>
        <v>0</v>
      </c>
      <c r="CF68" s="2153">
        <f>CE68</f>
        <v>0</v>
      </c>
      <c r="CG68" s="1695">
        <v>0</v>
      </c>
      <c r="CH68" s="1692"/>
      <c r="CI68" s="2152">
        <v>0</v>
      </c>
      <c r="CJ68" s="2153">
        <f>CI68</f>
        <v>0</v>
      </c>
      <c r="CK68" s="2153">
        <f>CJ68</f>
        <v>0</v>
      </c>
      <c r="CL68" s="2153">
        <f>CK68</f>
        <v>0</v>
      </c>
      <c r="CM68" s="1695">
        <v>0</v>
      </c>
      <c r="CN68" s="1692"/>
      <c r="CO68" s="2152">
        <v>0</v>
      </c>
      <c r="CP68" s="2153">
        <f>CO68</f>
        <v>0</v>
      </c>
      <c r="CQ68" s="2153">
        <f>CP68</f>
        <v>0</v>
      </c>
      <c r="CR68" s="2153">
        <f>CQ68</f>
        <v>0</v>
      </c>
      <c r="CS68" s="1695">
        <v>0</v>
      </c>
      <c r="CT68" s="205"/>
      <c r="CU68" s="205"/>
      <c r="CV68" s="205"/>
      <c r="CW68" s="205"/>
      <c r="CX68" s="205"/>
      <c r="CY68" s="205"/>
      <c r="CZ68" s="205"/>
      <c r="DA68" s="205"/>
      <c r="DB68" s="205"/>
      <c r="DC68" s="205"/>
      <c r="DD68" s="205"/>
      <c r="DE68" s="205"/>
      <c r="DF68" s="205"/>
      <c r="DG68" s="205"/>
      <c r="DH68" s="205"/>
      <c r="DI68" s="205"/>
      <c r="DJ68" s="205"/>
      <c r="DK68" s="205"/>
      <c r="DL68" s="205"/>
      <c r="DM68" s="205"/>
      <c r="DN68" s="205"/>
      <c r="DO68" s="205"/>
      <c r="DP68" s="205"/>
      <c r="DQ68" s="205"/>
      <c r="DR68" s="205"/>
      <c r="DS68" s="205"/>
      <c r="DT68" s="205"/>
    </row>
    <row r="69" spans="1:124" ht="12.75" hidden="1" customHeight="1" outlineLevel="1">
      <c r="A69" s="798" t="s">
        <v>389</v>
      </c>
      <c r="B69" s="205"/>
      <c r="C69" s="750"/>
      <c r="D69" s="205"/>
      <c r="E69" s="205"/>
      <c r="F69" s="205"/>
      <c r="G69" s="191"/>
      <c r="H69" s="205"/>
      <c r="I69" s="750"/>
      <c r="J69" s="205"/>
      <c r="K69" s="205"/>
      <c r="L69" s="205"/>
      <c r="M69" s="191"/>
      <c r="N69" s="205"/>
      <c r="O69" s="750"/>
      <c r="P69" s="205"/>
      <c r="Q69" s="205"/>
      <c r="R69" s="205"/>
      <c r="S69" s="221"/>
      <c r="T69" s="222"/>
      <c r="U69" s="755"/>
      <c r="V69" s="220"/>
      <c r="W69" s="220"/>
      <c r="X69" s="220"/>
      <c r="Y69" s="221"/>
      <c r="Z69" s="222"/>
      <c r="AA69" s="755"/>
      <c r="AB69" s="220"/>
      <c r="AC69" s="220"/>
      <c r="AD69" s="220"/>
      <c r="AE69" s="221"/>
      <c r="AF69" s="222"/>
      <c r="AG69" s="1640"/>
      <c r="AH69" s="1589"/>
      <c r="AI69" s="205">
        <f>((AI77*AI70)+(AI74*AI71))/1000</f>
        <v>1.48</v>
      </c>
      <c r="AJ69" s="205">
        <f>((AJ77*AJ70)+(AJ74*AJ71))/1000</f>
        <v>35.24</v>
      </c>
      <c r="AK69" s="221">
        <f>SUM(AG69:AJ69)</f>
        <v>36.72</v>
      </c>
      <c r="AL69" s="222"/>
      <c r="AM69" s="750">
        <f>((AM77*AM70)+(AM74*AM71))/1000</f>
        <v>38.68</v>
      </c>
      <c r="AN69" s="205">
        <f>((AN77*AN70)+(AN74*AN71))/1000</f>
        <v>49.52</v>
      </c>
      <c r="AO69" s="205">
        <f>((AO77*AO70)+(AO74*AO71))/1000</f>
        <v>53.4</v>
      </c>
      <c r="AP69" s="205">
        <f>((AP77*AP70)+(AP74*AP71))/1000</f>
        <v>50.4</v>
      </c>
      <c r="AQ69" s="221">
        <f>SUM(AM69:AP69)</f>
        <v>192</v>
      </c>
      <c r="AR69" s="222"/>
      <c r="AS69" s="89">
        <f>((AS77*AS70)+(AS74*AS71))/1000</f>
        <v>48.28</v>
      </c>
      <c r="AT69" s="205">
        <f>((AT77*AT70)+(AT74*AT71))/1000</f>
        <v>42.64</v>
      </c>
      <c r="AU69" s="205">
        <f>((AU77*AU70)+(AU74*AU71))/1000</f>
        <v>41.924999999999997</v>
      </c>
      <c r="AV69" s="9">
        <f>((AV77*AV70)+(AV74*AV71))/1000</f>
        <v>43.52</v>
      </c>
      <c r="AW69" s="1696">
        <f>SUM(AS69:AV69)</f>
        <v>176.36500000000001</v>
      </c>
      <c r="AX69" s="1386"/>
      <c r="AY69" s="89">
        <f>((AY77*AY70)+(AY74*AY71))/1000</f>
        <v>8.25</v>
      </c>
      <c r="AZ69" s="9">
        <f>((AZ77*AZ70)+(AZ74*AZ71))/1000</f>
        <v>5.5</v>
      </c>
      <c r="BA69" s="9">
        <f>((BA77*BA70)+(BA74*BA71))/1000</f>
        <v>0</v>
      </c>
      <c r="BB69" s="9">
        <f>((BB77*BB70)+(BB74*BB71))/1000</f>
        <v>4.5</v>
      </c>
      <c r="BC69" s="1696">
        <f>SUM(AY69:BB69)</f>
        <v>18.25</v>
      </c>
      <c r="BD69" s="1386"/>
      <c r="BE69" s="89">
        <f>((BE77*BE70)+(BE74*BE71))/1000</f>
        <v>4</v>
      </c>
      <c r="BF69" s="9">
        <f>((BF77*BF70)+(BF74*BF71))/1000</f>
        <v>1.5</v>
      </c>
      <c r="BG69" s="9">
        <f>((BG77*BG70)+(BG74*BG71))/1000</f>
        <v>1</v>
      </c>
      <c r="BH69" s="9">
        <f>((BH77*BH70)+(BH74*BH71))/1000</f>
        <v>0</v>
      </c>
      <c r="BI69" s="1696">
        <f>SUM(BE69:BH69)</f>
        <v>6.5</v>
      </c>
      <c r="BJ69" s="1386"/>
      <c r="BK69" s="89">
        <f>((BK77*BK70)+(BK74*BK71))/1000</f>
        <v>0</v>
      </c>
      <c r="BL69" s="9">
        <f>((BL77*BL70)+(BL74*BL71))/1000</f>
        <v>0</v>
      </c>
      <c r="BM69" s="9">
        <f>((BM77*BM70)+(BM74*BM71))/1000</f>
        <v>0</v>
      </c>
      <c r="BN69" s="9">
        <f>((BN77*BN70)+(BN74*BN71))/1000</f>
        <v>0</v>
      </c>
      <c r="BO69" s="1696">
        <f>SUM(BK69:BN69)</f>
        <v>0</v>
      </c>
      <c r="BP69" s="1386"/>
      <c r="BQ69" s="89">
        <f>((BQ77*BQ70)+(BQ74*BQ71))/1000</f>
        <v>0</v>
      </c>
      <c r="BR69" s="9">
        <f>((BR77*BR70)+(BR74*BR71))/1000</f>
        <v>0</v>
      </c>
      <c r="BS69" s="9">
        <f>((BS77*BS70)+(BS74*BS71))/1000</f>
        <v>0</v>
      </c>
      <c r="BT69" s="9">
        <f>((BT77*BT70)+(BT74*BT71))/1000</f>
        <v>0</v>
      </c>
      <c r="BU69" s="1696">
        <f>SUM(BQ69:BT69)</f>
        <v>0</v>
      </c>
      <c r="BV69" s="1386"/>
      <c r="BW69" s="89">
        <f>((BW77*BW70)+(BW74*BW71))/1000</f>
        <v>0</v>
      </c>
      <c r="BX69" s="9">
        <f>((BX77*BX70)+(BX74*BX71))/1000</f>
        <v>0</v>
      </c>
      <c r="BY69" s="9">
        <f>((BY77*BY70)+(BY74*BY71))/1000</f>
        <v>0</v>
      </c>
      <c r="BZ69" s="9">
        <f>((BZ77*BZ70)+(BZ74*BZ71))/1000</f>
        <v>0</v>
      </c>
      <c r="CA69" s="1696">
        <f>SUM(BW69:BZ69)</f>
        <v>0</v>
      </c>
      <c r="CB69" s="1386"/>
      <c r="CC69" s="89">
        <f>((CC77*CC70)+(CC74*CC71))/1000</f>
        <v>0</v>
      </c>
      <c r="CD69" s="9">
        <f>((CD77*CD70)+(CD74*CD71))/1000</f>
        <v>0</v>
      </c>
      <c r="CE69" s="9">
        <f>((CE77*CE70)+(CE74*CE71))/1000</f>
        <v>0</v>
      </c>
      <c r="CF69" s="9">
        <f>((CF77*CF70)+(CF74*CF71))/1000</f>
        <v>0</v>
      </c>
      <c r="CG69" s="1696">
        <f>SUM(CC69:CF69)</f>
        <v>0</v>
      </c>
      <c r="CH69" s="1386"/>
      <c r="CI69" s="89">
        <f>((CI77*CI70)+(CI74*CI71))/1000</f>
        <v>0</v>
      </c>
      <c r="CJ69" s="9">
        <f>((CJ77*CJ70)+(CJ74*CJ71))/1000</f>
        <v>0</v>
      </c>
      <c r="CK69" s="9">
        <f>((CK77*CK70)+(CK74*CK71))/1000</f>
        <v>0</v>
      </c>
      <c r="CL69" s="9">
        <f>((CL77*CL70)+(CL74*CL71))/1000</f>
        <v>0</v>
      </c>
      <c r="CM69" s="1696">
        <f>SUM(CI69:CL69)</f>
        <v>0</v>
      </c>
      <c r="CN69" s="1386"/>
      <c r="CO69" s="89">
        <f>((CO77*CO70)+(CO74*CO71))/1000</f>
        <v>0</v>
      </c>
      <c r="CP69" s="9">
        <f>((CP77*CP70)+(CP74*CP71))/1000</f>
        <v>0</v>
      </c>
      <c r="CQ69" s="9">
        <f>((CQ77*CQ70)+(CQ74*CQ71))/1000</f>
        <v>0</v>
      </c>
      <c r="CR69" s="9">
        <f>((CR77*CR70)+(CR74*CR71))/1000</f>
        <v>0</v>
      </c>
      <c r="CS69" s="1696">
        <f>SUM(CO69:CR69)</f>
        <v>0</v>
      </c>
      <c r="CT69" s="205"/>
      <c r="CU69" s="205"/>
      <c r="CV69" s="205"/>
      <c r="CW69" s="205"/>
      <c r="CX69" s="205"/>
      <c r="CY69" s="205"/>
      <c r="CZ69" s="205"/>
      <c r="DA69" s="205"/>
      <c r="DB69" s="205"/>
      <c r="DC69" s="205"/>
      <c r="DD69" s="205"/>
      <c r="DE69" s="205"/>
      <c r="DF69" s="205"/>
      <c r="DG69" s="205"/>
      <c r="DH69" s="205"/>
      <c r="DI69" s="205"/>
      <c r="DJ69" s="205"/>
      <c r="DK69" s="205"/>
      <c r="DL69" s="205"/>
      <c r="DM69" s="205"/>
      <c r="DN69" s="205"/>
      <c r="DO69" s="205"/>
      <c r="DP69" s="205"/>
      <c r="DQ69" s="205"/>
      <c r="DR69" s="205"/>
      <c r="DS69" s="205"/>
      <c r="DT69" s="205"/>
    </row>
    <row r="70" spans="1:124" ht="12.75" hidden="1" customHeight="1" outlineLevel="1">
      <c r="A70" s="735" t="s">
        <v>363</v>
      </c>
      <c r="B70" s="201"/>
      <c r="C70" s="751"/>
      <c r="D70" s="201"/>
      <c r="E70" s="201"/>
      <c r="F70" s="201"/>
      <c r="G70" s="203"/>
      <c r="H70" s="201"/>
      <c r="I70" s="751"/>
      <c r="J70" s="201"/>
      <c r="K70" s="201"/>
      <c r="L70" s="201"/>
      <c r="M70" s="203"/>
      <c r="N70" s="201"/>
      <c r="O70" s="751"/>
      <c r="P70" s="201"/>
      <c r="Q70" s="201"/>
      <c r="R70" s="201"/>
      <c r="S70" s="203"/>
      <c r="T70" s="201"/>
      <c r="U70" s="756"/>
      <c r="V70" s="81"/>
      <c r="W70" s="81"/>
      <c r="X70" s="81"/>
      <c r="Y70" s="203"/>
      <c r="Z70" s="201"/>
      <c r="AA70" s="756"/>
      <c r="AB70" s="81"/>
      <c r="AC70" s="81"/>
      <c r="AD70" s="81"/>
      <c r="AE70" s="203"/>
      <c r="AF70" s="201"/>
      <c r="AG70" s="1631"/>
      <c r="AH70" s="1632"/>
      <c r="AI70" s="1607">
        <v>740</v>
      </c>
      <c r="AJ70" s="1607">
        <v>720</v>
      </c>
      <c r="AK70" s="1606">
        <f>AVERAGE(AG70:AJ70)</f>
        <v>730</v>
      </c>
      <c r="AL70" s="1401"/>
      <c r="AM70" s="1435">
        <f>AQ70</f>
        <v>720</v>
      </c>
      <c r="AN70" s="1401">
        <f>AM70</f>
        <v>720</v>
      </c>
      <c r="AO70" s="1401">
        <f>AN70</f>
        <v>720</v>
      </c>
      <c r="AP70" s="1401">
        <f>AO70</f>
        <v>720</v>
      </c>
      <c r="AQ70" s="1623">
        <v>720</v>
      </c>
      <c r="AR70" s="201"/>
      <c r="AS70" s="1668">
        <v>680</v>
      </c>
      <c r="AT70" s="1538">
        <v>656</v>
      </c>
      <c r="AU70" s="1538">
        <v>645</v>
      </c>
      <c r="AV70" s="1538">
        <v>640</v>
      </c>
      <c r="AW70" s="2161">
        <v>660</v>
      </c>
      <c r="AX70" s="1401"/>
      <c r="AY70" s="2144">
        <v>550</v>
      </c>
      <c r="AZ70" s="2145">
        <v>550</v>
      </c>
      <c r="BA70" s="2145">
        <v>500</v>
      </c>
      <c r="BB70" s="2145">
        <v>450</v>
      </c>
      <c r="BC70" s="1606">
        <f>+SUMPRODUCT(AY70:BB70,AY77:BB77)/BC77</f>
        <v>521.42857142857144</v>
      </c>
      <c r="BD70" s="1401"/>
      <c r="BE70" s="2148">
        <v>500</v>
      </c>
      <c r="BF70" s="2149">
        <f t="shared" ref="BF70:BH71" si="278">BE70</f>
        <v>500</v>
      </c>
      <c r="BG70" s="2149">
        <f t="shared" si="278"/>
        <v>500</v>
      </c>
      <c r="BH70" s="2149">
        <f t="shared" si="278"/>
        <v>500</v>
      </c>
      <c r="BI70" s="1606">
        <f>+SUMPRODUCT(BE70:BH70,BE77:BH77)/BI77</f>
        <v>500</v>
      </c>
      <c r="BJ70" s="1401"/>
      <c r="BK70" s="2148">
        <v>500</v>
      </c>
      <c r="BL70" s="2149">
        <f t="shared" ref="BL70:BN71" si="279">BK70</f>
        <v>500</v>
      </c>
      <c r="BM70" s="2149">
        <f t="shared" si="279"/>
        <v>500</v>
      </c>
      <c r="BN70" s="2149">
        <f t="shared" si="279"/>
        <v>500</v>
      </c>
      <c r="BO70" s="1606">
        <f>+AVERAGE(BK70:BN70)</f>
        <v>500</v>
      </c>
      <c r="BP70" s="1401"/>
      <c r="BQ70" s="2148">
        <v>500</v>
      </c>
      <c r="BR70" s="2149">
        <f t="shared" ref="BR70:BT71" si="280">BQ70</f>
        <v>500</v>
      </c>
      <c r="BS70" s="2149">
        <f t="shared" si="280"/>
        <v>500</v>
      </c>
      <c r="BT70" s="2149">
        <f t="shared" si="280"/>
        <v>500</v>
      </c>
      <c r="BU70" s="1606">
        <f>+AVERAGE(BQ70:BT70)</f>
        <v>500</v>
      </c>
      <c r="BV70" s="1401"/>
      <c r="BW70" s="2148">
        <v>500</v>
      </c>
      <c r="BX70" s="2149">
        <f t="shared" ref="BX70:BX71" si="281">BW70</f>
        <v>500</v>
      </c>
      <c r="BY70" s="2149">
        <f t="shared" ref="BY70:BY71" si="282">BX70</f>
        <v>500</v>
      </c>
      <c r="BZ70" s="2149">
        <f t="shared" ref="BZ70:BZ71" si="283">BY70</f>
        <v>500</v>
      </c>
      <c r="CA70" s="1606">
        <f>+AVERAGE(BW70:BZ70)</f>
        <v>500</v>
      </c>
      <c r="CB70" s="1401"/>
      <c r="CC70" s="2148">
        <v>500</v>
      </c>
      <c r="CD70" s="2149">
        <f t="shared" ref="CD70:CD71" si="284">CC70</f>
        <v>500</v>
      </c>
      <c r="CE70" s="2149">
        <f t="shared" ref="CE70:CE71" si="285">CD70</f>
        <v>500</v>
      </c>
      <c r="CF70" s="2149">
        <f t="shared" ref="CF70:CF71" si="286">CE70</f>
        <v>500</v>
      </c>
      <c r="CG70" s="1606">
        <f>+AVERAGE(CC70:CF70)</f>
        <v>500</v>
      </c>
      <c r="CH70" s="1401"/>
      <c r="CI70" s="2148">
        <v>500</v>
      </c>
      <c r="CJ70" s="2149">
        <f t="shared" ref="CJ70:CJ71" si="287">CI70</f>
        <v>500</v>
      </c>
      <c r="CK70" s="2149">
        <f t="shared" ref="CK70:CK71" si="288">CJ70</f>
        <v>500</v>
      </c>
      <c r="CL70" s="2149">
        <f t="shared" ref="CL70:CL71" si="289">CK70</f>
        <v>500</v>
      </c>
      <c r="CM70" s="1606">
        <f>+AVERAGE(CI70:CL70)</f>
        <v>500</v>
      </c>
      <c r="CN70" s="1401"/>
      <c r="CO70" s="2148">
        <v>500</v>
      </c>
      <c r="CP70" s="2149">
        <f t="shared" ref="CP70:CP71" si="290">CO70</f>
        <v>500</v>
      </c>
      <c r="CQ70" s="2149">
        <f t="shared" ref="CQ70:CQ71" si="291">CP70</f>
        <v>500</v>
      </c>
      <c r="CR70" s="2149">
        <f t="shared" ref="CR70:CR71" si="292">CQ70</f>
        <v>500</v>
      </c>
      <c r="CS70" s="1606">
        <f>+AVERAGE(CO70:CR70)</f>
        <v>500</v>
      </c>
      <c r="CT70" s="201"/>
      <c r="CU70" s="201"/>
      <c r="CV70" s="201"/>
      <c r="CW70" s="201"/>
      <c r="CX70" s="201"/>
      <c r="CY70" s="201"/>
      <c r="CZ70" s="201"/>
      <c r="DA70" s="201"/>
      <c r="DB70" s="201"/>
      <c r="DC70" s="201"/>
      <c r="DD70" s="201"/>
      <c r="DE70" s="201"/>
      <c r="DF70" s="201"/>
      <c r="DG70" s="201"/>
      <c r="DH70" s="201"/>
      <c r="DI70" s="201"/>
      <c r="DJ70" s="201"/>
      <c r="DK70" s="201"/>
      <c r="DL70" s="201"/>
      <c r="DM70" s="201"/>
      <c r="DN70" s="201"/>
      <c r="DO70" s="201"/>
      <c r="DP70" s="201"/>
      <c r="DQ70" s="201"/>
      <c r="DR70" s="201"/>
      <c r="DS70" s="201"/>
      <c r="DT70" s="201"/>
    </row>
    <row r="71" spans="1:124" ht="12.75" hidden="1" customHeight="1" outlineLevel="1">
      <c r="A71" s="735" t="s">
        <v>364</v>
      </c>
      <c r="B71" s="201"/>
      <c r="C71" s="751"/>
      <c r="D71" s="201"/>
      <c r="E71" s="201"/>
      <c r="F71" s="201"/>
      <c r="G71" s="203"/>
      <c r="H71" s="201"/>
      <c r="I71" s="751"/>
      <c r="J71" s="201"/>
      <c r="K71" s="201"/>
      <c r="L71" s="201"/>
      <c r="M71" s="203"/>
      <c r="N71" s="201"/>
      <c r="O71" s="751"/>
      <c r="P71" s="201"/>
      <c r="Q71" s="201"/>
      <c r="R71" s="201"/>
      <c r="S71" s="203"/>
      <c r="T71" s="201"/>
      <c r="U71" s="756"/>
      <c r="V71" s="81"/>
      <c r="W71" s="81"/>
      <c r="X71" s="81"/>
      <c r="Y71" s="203"/>
      <c r="Z71" s="201"/>
      <c r="AA71" s="756"/>
      <c r="AB71" s="81"/>
      <c r="AC71" s="81"/>
      <c r="AD71" s="81"/>
      <c r="AE71" s="203"/>
      <c r="AF71" s="201"/>
      <c r="AG71" s="1631"/>
      <c r="AH71" s="1632"/>
      <c r="AI71" s="1607">
        <v>50</v>
      </c>
      <c r="AJ71" s="1607">
        <v>50</v>
      </c>
      <c r="AK71" s="1606">
        <f>AVERAGE(AG71:AJ71)</f>
        <v>50</v>
      </c>
      <c r="AL71" s="1401"/>
      <c r="AM71" s="1430">
        <v>50</v>
      </c>
      <c r="AN71" s="1607">
        <v>80</v>
      </c>
      <c r="AO71" s="1607">
        <v>100</v>
      </c>
      <c r="AP71" s="1401">
        <f>AO71</f>
        <v>100</v>
      </c>
      <c r="AQ71" s="1606">
        <v>125</v>
      </c>
      <c r="AR71" s="201"/>
      <c r="AS71" s="1435">
        <f>AW71</f>
        <v>70</v>
      </c>
      <c r="AT71" s="1401">
        <f>AS71</f>
        <v>70</v>
      </c>
      <c r="AU71" s="1401">
        <f>+AT71</f>
        <v>70</v>
      </c>
      <c r="AV71" s="1401">
        <f>AU71</f>
        <v>70</v>
      </c>
      <c r="AW71" s="1697">
        <v>70</v>
      </c>
      <c r="AX71" s="1401"/>
      <c r="AY71" s="2144">
        <f>BC71</f>
        <v>70</v>
      </c>
      <c r="AZ71" s="2145">
        <f>AY71</f>
        <v>70</v>
      </c>
      <c r="BA71" s="2145">
        <f>AZ71</f>
        <v>70</v>
      </c>
      <c r="BB71" s="2145">
        <f>BA71</f>
        <v>70</v>
      </c>
      <c r="BC71" s="1606">
        <f>AW71</f>
        <v>70</v>
      </c>
      <c r="BD71" s="1401"/>
      <c r="BE71" s="2148">
        <f>BI71</f>
        <v>70</v>
      </c>
      <c r="BF71" s="2149">
        <f t="shared" si="278"/>
        <v>70</v>
      </c>
      <c r="BG71" s="2149">
        <f t="shared" si="278"/>
        <v>70</v>
      </c>
      <c r="BH71" s="2149">
        <f t="shared" si="278"/>
        <v>70</v>
      </c>
      <c r="BI71" s="1606">
        <f>BC71</f>
        <v>70</v>
      </c>
      <c r="BJ71" s="1401"/>
      <c r="BK71" s="2148">
        <f>BO71</f>
        <v>70</v>
      </c>
      <c r="BL71" s="2149">
        <f t="shared" si="279"/>
        <v>70</v>
      </c>
      <c r="BM71" s="2149">
        <f t="shared" si="279"/>
        <v>70</v>
      </c>
      <c r="BN71" s="2149">
        <f t="shared" si="279"/>
        <v>70</v>
      </c>
      <c r="BO71" s="1606">
        <f>BI71</f>
        <v>70</v>
      </c>
      <c r="BP71" s="1401"/>
      <c r="BQ71" s="2148">
        <f>BU71</f>
        <v>70</v>
      </c>
      <c r="BR71" s="2149">
        <f t="shared" si="280"/>
        <v>70</v>
      </c>
      <c r="BS71" s="2149">
        <f t="shared" si="280"/>
        <v>70</v>
      </c>
      <c r="BT71" s="2149">
        <f t="shared" si="280"/>
        <v>70</v>
      </c>
      <c r="BU71" s="1606">
        <f>BO71</f>
        <v>70</v>
      </c>
      <c r="BV71" s="1401"/>
      <c r="BW71" s="2148">
        <f>CA71</f>
        <v>70</v>
      </c>
      <c r="BX71" s="2149">
        <f t="shared" si="281"/>
        <v>70</v>
      </c>
      <c r="BY71" s="2149">
        <f t="shared" si="282"/>
        <v>70</v>
      </c>
      <c r="BZ71" s="2149">
        <f t="shared" si="283"/>
        <v>70</v>
      </c>
      <c r="CA71" s="1606">
        <f>BU71</f>
        <v>70</v>
      </c>
      <c r="CB71" s="1401"/>
      <c r="CC71" s="2148">
        <f>CG71</f>
        <v>70</v>
      </c>
      <c r="CD71" s="2149">
        <f t="shared" si="284"/>
        <v>70</v>
      </c>
      <c r="CE71" s="2149">
        <f t="shared" si="285"/>
        <v>70</v>
      </c>
      <c r="CF71" s="2149">
        <f t="shared" si="286"/>
        <v>70</v>
      </c>
      <c r="CG71" s="1606">
        <f>CA71</f>
        <v>70</v>
      </c>
      <c r="CH71" s="1401"/>
      <c r="CI71" s="2148">
        <f>CM71</f>
        <v>70</v>
      </c>
      <c r="CJ71" s="2149">
        <f t="shared" si="287"/>
        <v>70</v>
      </c>
      <c r="CK71" s="2149">
        <f t="shared" si="288"/>
        <v>70</v>
      </c>
      <c r="CL71" s="2149">
        <f t="shared" si="289"/>
        <v>70</v>
      </c>
      <c r="CM71" s="1606">
        <f>CG71</f>
        <v>70</v>
      </c>
      <c r="CN71" s="1401"/>
      <c r="CO71" s="2148">
        <f>CS71</f>
        <v>70</v>
      </c>
      <c r="CP71" s="2149">
        <f t="shared" si="290"/>
        <v>70</v>
      </c>
      <c r="CQ71" s="2149">
        <f t="shared" si="291"/>
        <v>70</v>
      </c>
      <c r="CR71" s="2149">
        <f t="shared" si="292"/>
        <v>70</v>
      </c>
      <c r="CS71" s="1606">
        <f>CM71</f>
        <v>70</v>
      </c>
      <c r="CT71" s="201"/>
      <c r="CU71" s="201"/>
      <c r="CV71" s="201"/>
      <c r="CW71" s="201"/>
      <c r="CX71" s="201"/>
      <c r="CY71" s="201"/>
      <c r="CZ71" s="201"/>
      <c r="DA71" s="201"/>
      <c r="DB71" s="201"/>
      <c r="DC71" s="201"/>
      <c r="DD71" s="201"/>
      <c r="DE71" s="201"/>
      <c r="DF71" s="201"/>
      <c r="DG71" s="201"/>
      <c r="DH71" s="201"/>
      <c r="DI71" s="201"/>
      <c r="DJ71" s="201"/>
      <c r="DK71" s="201"/>
      <c r="DL71" s="201"/>
      <c r="DM71" s="201"/>
      <c r="DN71" s="201"/>
      <c r="DO71" s="201"/>
      <c r="DP71" s="201"/>
      <c r="DQ71" s="201"/>
      <c r="DR71" s="201"/>
      <c r="DS71" s="201"/>
      <c r="DT71" s="201"/>
    </row>
    <row r="72" spans="1:124" ht="12.75" hidden="1" customHeight="1" outlineLevel="1">
      <c r="A72" s="759" t="s">
        <v>218</v>
      </c>
      <c r="B72" s="740"/>
      <c r="C72" s="760"/>
      <c r="D72" s="740"/>
      <c r="E72" s="740"/>
      <c r="F72" s="740"/>
      <c r="G72" s="739"/>
      <c r="H72" s="740"/>
      <c r="I72" s="760"/>
      <c r="J72" s="740"/>
      <c r="K72" s="740"/>
      <c r="L72" s="740"/>
      <c r="M72" s="739"/>
      <c r="N72" s="740"/>
      <c r="O72" s="760"/>
      <c r="P72" s="740"/>
      <c r="Q72" s="740"/>
      <c r="R72" s="740"/>
      <c r="S72" s="739"/>
      <c r="T72" s="740"/>
      <c r="U72" s="761"/>
      <c r="V72" s="762"/>
      <c r="W72" s="762"/>
      <c r="X72" s="762"/>
      <c r="Y72" s="739"/>
      <c r="Z72" s="740"/>
      <c r="AA72" s="761"/>
      <c r="AB72" s="762"/>
      <c r="AC72" s="762"/>
      <c r="AD72" s="762"/>
      <c r="AE72" s="739"/>
      <c r="AF72" s="740"/>
      <c r="AG72" s="1633"/>
      <c r="AH72" s="1632"/>
      <c r="AI72" s="740">
        <v>2</v>
      </c>
      <c r="AJ72" s="740">
        <f>+AJ77</f>
        <v>42</v>
      </c>
      <c r="AK72" s="739">
        <f>SUM(AG72:AJ72)</f>
        <v>44</v>
      </c>
      <c r="AL72" s="740"/>
      <c r="AM72" s="760">
        <f>+AM77</f>
        <v>44</v>
      </c>
      <c r="AN72" s="740">
        <f>+AN77</f>
        <v>56</v>
      </c>
      <c r="AO72" s="740">
        <f>+AO77</f>
        <v>70</v>
      </c>
      <c r="AP72" s="740">
        <f>+AP77</f>
        <v>70</v>
      </c>
      <c r="AQ72" s="739">
        <f>SUM(AM72:AP72)</f>
        <v>240</v>
      </c>
      <c r="AR72" s="740"/>
      <c r="AS72" s="1432">
        <f>+AS77</f>
        <v>71</v>
      </c>
      <c r="AT72" s="740">
        <f>+AT77</f>
        <v>65</v>
      </c>
      <c r="AU72" s="740">
        <f>+AU77</f>
        <v>65</v>
      </c>
      <c r="AV72" s="1611">
        <f>+AV77</f>
        <v>68</v>
      </c>
      <c r="AW72" s="1610">
        <f>SUM(AS72:AV72)</f>
        <v>269</v>
      </c>
      <c r="AX72" s="1611"/>
      <c r="AY72" s="1432">
        <f>AY74+AY77</f>
        <v>15</v>
      </c>
      <c r="AZ72" s="1611">
        <f>AZ74+AZ77</f>
        <v>10</v>
      </c>
      <c r="BA72" s="1611">
        <v>0</v>
      </c>
      <c r="BB72" s="1611">
        <f>BB74+BB77</f>
        <v>10</v>
      </c>
      <c r="BC72" s="1610">
        <f>SUM(AY72:BB72)</f>
        <v>35</v>
      </c>
      <c r="BD72" s="1611"/>
      <c r="BE72" s="1432">
        <f>BE74+BE77</f>
        <v>8</v>
      </c>
      <c r="BF72" s="1611">
        <f>BF74+BF77</f>
        <v>3</v>
      </c>
      <c r="BG72" s="1611">
        <f>BG74+BG77</f>
        <v>2</v>
      </c>
      <c r="BH72" s="1611">
        <f>BH74+BH77</f>
        <v>0</v>
      </c>
      <c r="BI72" s="1610">
        <f>SUM(BE72:BH72)</f>
        <v>13</v>
      </c>
      <c r="BJ72" s="1611"/>
      <c r="BK72" s="1432">
        <f>BK74+BK77</f>
        <v>0</v>
      </c>
      <c r="BL72" s="1611">
        <f>BL74+BL77</f>
        <v>0</v>
      </c>
      <c r="BM72" s="1611">
        <f>BM74+BM77</f>
        <v>0</v>
      </c>
      <c r="BN72" s="1611">
        <f>BN74+BN77</f>
        <v>0</v>
      </c>
      <c r="BO72" s="1610">
        <f>SUM(BK72:BN72)</f>
        <v>0</v>
      </c>
      <c r="BP72" s="1611"/>
      <c r="BQ72" s="1432">
        <f>BQ74+BQ77</f>
        <v>0</v>
      </c>
      <c r="BR72" s="1611">
        <f>BR74+BR77</f>
        <v>0</v>
      </c>
      <c r="BS72" s="1611">
        <f>BS74+BS77</f>
        <v>0</v>
      </c>
      <c r="BT72" s="1611">
        <f>BT74+BT77</f>
        <v>0</v>
      </c>
      <c r="BU72" s="1610">
        <f>SUM(BQ72:BT72)</f>
        <v>0</v>
      </c>
      <c r="BV72" s="1611"/>
      <c r="BW72" s="1432">
        <f>BW74+BW77</f>
        <v>0</v>
      </c>
      <c r="BX72" s="1611">
        <f>BX74+BX77</f>
        <v>0</v>
      </c>
      <c r="BY72" s="1611">
        <f>BY74+BY77</f>
        <v>0</v>
      </c>
      <c r="BZ72" s="1611">
        <f>BZ74+BZ77</f>
        <v>0</v>
      </c>
      <c r="CA72" s="1610">
        <f>SUM(BW72:BZ72)</f>
        <v>0</v>
      </c>
      <c r="CB72" s="1611"/>
      <c r="CC72" s="1432">
        <f>CC74+CC77</f>
        <v>0</v>
      </c>
      <c r="CD72" s="1611">
        <f>CD74+CD77</f>
        <v>0</v>
      </c>
      <c r="CE72" s="1611">
        <f>CE74+CE77</f>
        <v>0</v>
      </c>
      <c r="CF72" s="1611">
        <f>CF74+CF77</f>
        <v>0</v>
      </c>
      <c r="CG72" s="1610">
        <f>SUM(CC72:CF72)</f>
        <v>0</v>
      </c>
      <c r="CH72" s="1611"/>
      <c r="CI72" s="1432">
        <f>CI74+CI77</f>
        <v>0</v>
      </c>
      <c r="CJ72" s="1611">
        <f>CJ74+CJ77</f>
        <v>0</v>
      </c>
      <c r="CK72" s="1611">
        <f>CK74+CK77</f>
        <v>0</v>
      </c>
      <c r="CL72" s="1611">
        <f>CL74+CL77</f>
        <v>0</v>
      </c>
      <c r="CM72" s="1610">
        <f>SUM(CI72:CL72)</f>
        <v>0</v>
      </c>
      <c r="CN72" s="1611"/>
      <c r="CO72" s="1432">
        <f>CO74+CO77</f>
        <v>0</v>
      </c>
      <c r="CP72" s="1611">
        <f>CP74+CP77</f>
        <v>0</v>
      </c>
      <c r="CQ72" s="1611">
        <f>CQ74+CQ77</f>
        <v>0</v>
      </c>
      <c r="CR72" s="1611">
        <f>CR74+CR77</f>
        <v>0</v>
      </c>
      <c r="CS72" s="1610">
        <f>SUM(CO72:CR72)</f>
        <v>0</v>
      </c>
      <c r="CT72" s="205"/>
      <c r="CU72" s="205"/>
      <c r="CV72" s="205"/>
      <c r="CW72" s="205"/>
      <c r="CX72" s="205"/>
      <c r="CY72" s="205"/>
      <c r="CZ72" s="205"/>
      <c r="DA72" s="205"/>
      <c r="DB72" s="205"/>
      <c r="DC72" s="205"/>
      <c r="DD72" s="205"/>
      <c r="DE72" s="205"/>
      <c r="DF72" s="205"/>
      <c r="DG72" s="205"/>
      <c r="DH72" s="205"/>
      <c r="DI72" s="205"/>
      <c r="DJ72" s="205"/>
      <c r="DK72" s="205"/>
      <c r="DL72" s="205"/>
      <c r="DM72" s="205"/>
      <c r="DN72" s="205"/>
      <c r="DO72" s="205"/>
      <c r="DP72" s="205"/>
      <c r="DQ72" s="205"/>
      <c r="DR72" s="205"/>
      <c r="DS72" s="205"/>
      <c r="DT72" s="205"/>
    </row>
    <row r="73" spans="1:124" ht="12.75" hidden="1" customHeight="1" outlineLevel="1">
      <c r="A73" s="759" t="s">
        <v>15</v>
      </c>
      <c r="B73" s="740"/>
      <c r="C73" s="760"/>
      <c r="D73" s="740"/>
      <c r="E73" s="740"/>
      <c r="F73" s="740"/>
      <c r="G73" s="739"/>
      <c r="H73" s="740"/>
      <c r="I73" s="760"/>
      <c r="J73" s="740"/>
      <c r="K73" s="740"/>
      <c r="L73" s="740"/>
      <c r="M73" s="739"/>
      <c r="N73" s="740"/>
      <c r="O73" s="760"/>
      <c r="P73" s="740"/>
      <c r="Q73" s="740"/>
      <c r="R73" s="740"/>
      <c r="S73" s="739"/>
      <c r="T73" s="740"/>
      <c r="U73" s="761"/>
      <c r="V73" s="762"/>
      <c r="W73" s="762"/>
      <c r="X73" s="762"/>
      <c r="Y73" s="739"/>
      <c r="Z73" s="740"/>
      <c r="AA73" s="761"/>
      <c r="AB73" s="762"/>
      <c r="AC73" s="762"/>
      <c r="AD73" s="762"/>
      <c r="AE73" s="739"/>
      <c r="AF73" s="740"/>
      <c r="AG73" s="1633"/>
      <c r="AH73" s="1634"/>
      <c r="AI73" s="740">
        <f>AI72</f>
        <v>2</v>
      </c>
      <c r="AJ73" s="740">
        <f>AI73+AJ72</f>
        <v>44</v>
      </c>
      <c r="AK73" s="739">
        <f>AJ73</f>
        <v>44</v>
      </c>
      <c r="AL73" s="740"/>
      <c r="AM73" s="760">
        <f>AK73+AM72</f>
        <v>88</v>
      </c>
      <c r="AN73" s="740">
        <f>AM73+AN72</f>
        <v>144</v>
      </c>
      <c r="AO73" s="740">
        <f>AN73+AO72</f>
        <v>214</v>
      </c>
      <c r="AP73" s="740">
        <f>AO73+AP72</f>
        <v>284</v>
      </c>
      <c r="AQ73" s="739">
        <f>AP73</f>
        <v>284</v>
      </c>
      <c r="AR73" s="740"/>
      <c r="AS73" s="1432">
        <f>AQ73+AS72</f>
        <v>355</v>
      </c>
      <c r="AT73" s="740">
        <f>AS73+AT72</f>
        <v>420</v>
      </c>
      <c r="AU73" s="740">
        <f>AT73+AU72</f>
        <v>485</v>
      </c>
      <c r="AV73" s="1611">
        <f>AU73+AV72</f>
        <v>553</v>
      </c>
      <c r="AW73" s="1610">
        <f>AV73</f>
        <v>553</v>
      </c>
      <c r="AX73" s="1611"/>
      <c r="AY73" s="1432">
        <f>AW73+AY72</f>
        <v>568</v>
      </c>
      <c r="AZ73" s="1611">
        <f>AY73+AZ72</f>
        <v>578</v>
      </c>
      <c r="BA73" s="1611">
        <f>AZ73+BA72</f>
        <v>578</v>
      </c>
      <c r="BB73" s="1611">
        <f>BA73+BB72</f>
        <v>588</v>
      </c>
      <c r="BC73" s="1610">
        <f>BB73</f>
        <v>588</v>
      </c>
      <c r="BD73" s="1611"/>
      <c r="BE73" s="1432">
        <f>BC73+BE72</f>
        <v>596</v>
      </c>
      <c r="BF73" s="1611">
        <f>BE73+BF72</f>
        <v>599</v>
      </c>
      <c r="BG73" s="1611">
        <f>BF73+BG72</f>
        <v>601</v>
      </c>
      <c r="BH73" s="1611">
        <f>BG73+BH72</f>
        <v>601</v>
      </c>
      <c r="BI73" s="1610">
        <f>BH73</f>
        <v>601</v>
      </c>
      <c r="BJ73" s="1611"/>
      <c r="BK73" s="1432">
        <f>BI73+BK72</f>
        <v>601</v>
      </c>
      <c r="BL73" s="1611">
        <f>BK73+BL72</f>
        <v>601</v>
      </c>
      <c r="BM73" s="1611">
        <f>BL73+BM72</f>
        <v>601</v>
      </c>
      <c r="BN73" s="1611">
        <f>BM73+BN72</f>
        <v>601</v>
      </c>
      <c r="BO73" s="1610">
        <f>BN73</f>
        <v>601</v>
      </c>
      <c r="BP73" s="1611"/>
      <c r="BQ73" s="1432">
        <f>BO73+BQ72</f>
        <v>601</v>
      </c>
      <c r="BR73" s="1611">
        <f>BQ73+BR72</f>
        <v>601</v>
      </c>
      <c r="BS73" s="1611">
        <f>BR73+BS72</f>
        <v>601</v>
      </c>
      <c r="BT73" s="1611">
        <f>BS73+BT72</f>
        <v>601</v>
      </c>
      <c r="BU73" s="1610">
        <f>BT73</f>
        <v>601</v>
      </c>
      <c r="BV73" s="1611"/>
      <c r="BW73" s="1432">
        <f>BU73+BW72</f>
        <v>601</v>
      </c>
      <c r="BX73" s="1611">
        <f>BW73+BX72</f>
        <v>601</v>
      </c>
      <c r="BY73" s="1611">
        <f>BX73+BY72</f>
        <v>601</v>
      </c>
      <c r="BZ73" s="1611">
        <f>BY73+BZ72</f>
        <v>601</v>
      </c>
      <c r="CA73" s="1610">
        <f>BZ73</f>
        <v>601</v>
      </c>
      <c r="CB73" s="1611"/>
      <c r="CC73" s="1432">
        <f>CA73+CC72</f>
        <v>601</v>
      </c>
      <c r="CD73" s="1611">
        <f>CC73+CD72</f>
        <v>601</v>
      </c>
      <c r="CE73" s="1611">
        <f>CD73+CE72</f>
        <v>601</v>
      </c>
      <c r="CF73" s="1611">
        <f>CE73+CF72</f>
        <v>601</v>
      </c>
      <c r="CG73" s="1610">
        <f>CF73</f>
        <v>601</v>
      </c>
      <c r="CH73" s="1611"/>
      <c r="CI73" s="1432">
        <f>CG73+CI72</f>
        <v>601</v>
      </c>
      <c r="CJ73" s="1611">
        <f>CI73+CJ72</f>
        <v>601</v>
      </c>
      <c r="CK73" s="1611">
        <f>CJ73+CK72</f>
        <v>601</v>
      </c>
      <c r="CL73" s="1611">
        <f>CK73+CL72</f>
        <v>601</v>
      </c>
      <c r="CM73" s="1610">
        <f>CL73</f>
        <v>601</v>
      </c>
      <c r="CN73" s="1611"/>
      <c r="CO73" s="1432">
        <f>CM73+CO72</f>
        <v>601</v>
      </c>
      <c r="CP73" s="1611">
        <f>CO73+CP72</f>
        <v>601</v>
      </c>
      <c r="CQ73" s="1611">
        <f>CP73+CQ72</f>
        <v>601</v>
      </c>
      <c r="CR73" s="1611">
        <f>CQ73+CR72</f>
        <v>601</v>
      </c>
      <c r="CS73" s="1610">
        <f>CR73</f>
        <v>601</v>
      </c>
      <c r="CT73" s="205"/>
      <c r="CU73" s="205"/>
      <c r="CV73" s="205"/>
      <c r="CW73" s="205"/>
      <c r="CX73" s="205"/>
      <c r="CY73" s="205"/>
      <c r="CZ73" s="205"/>
      <c r="DA73" s="205"/>
      <c r="DB73" s="205"/>
      <c r="DC73" s="205"/>
      <c r="DD73" s="205"/>
      <c r="DE73" s="205"/>
      <c r="DF73" s="205"/>
      <c r="DG73" s="205"/>
      <c r="DH73" s="205"/>
      <c r="DI73" s="205"/>
      <c r="DJ73" s="205"/>
      <c r="DK73" s="205"/>
      <c r="DL73" s="205"/>
      <c r="DM73" s="205"/>
      <c r="DN73" s="205"/>
      <c r="DO73" s="205"/>
      <c r="DP73" s="205"/>
      <c r="DQ73" s="205"/>
      <c r="DR73" s="205"/>
      <c r="DS73" s="205"/>
      <c r="DT73" s="205"/>
    </row>
    <row r="74" spans="1:124" ht="12.75" hidden="1" customHeight="1" outlineLevel="1">
      <c r="A74" s="1765" t="s">
        <v>537</v>
      </c>
      <c r="B74" s="740"/>
      <c r="C74" s="760"/>
      <c r="D74" s="740"/>
      <c r="E74" s="740"/>
      <c r="F74" s="740"/>
      <c r="G74" s="739"/>
      <c r="H74" s="740"/>
      <c r="I74" s="760"/>
      <c r="J74" s="740"/>
      <c r="K74" s="740"/>
      <c r="L74" s="740"/>
      <c r="M74" s="739"/>
      <c r="N74" s="740"/>
      <c r="O74" s="760"/>
      <c r="P74" s="740"/>
      <c r="Q74" s="740"/>
      <c r="R74" s="740"/>
      <c r="S74" s="739"/>
      <c r="T74" s="740"/>
      <c r="U74" s="761"/>
      <c r="V74" s="762"/>
      <c r="W74" s="762"/>
      <c r="X74" s="762"/>
      <c r="Y74" s="739"/>
      <c r="Z74" s="740"/>
      <c r="AA74" s="761"/>
      <c r="AB74" s="762"/>
      <c r="AC74" s="762"/>
      <c r="AD74" s="762"/>
      <c r="AE74" s="739"/>
      <c r="AF74" s="740"/>
      <c r="AG74" s="1633"/>
      <c r="AH74" s="1635"/>
      <c r="AI74" s="740">
        <v>0</v>
      </c>
      <c r="AJ74" s="2147">
        <v>100</v>
      </c>
      <c r="AK74" s="739">
        <f>SUM(AG74:AJ74)</f>
        <v>100</v>
      </c>
      <c r="AL74" s="740"/>
      <c r="AM74" s="2146">
        <v>140</v>
      </c>
      <c r="AN74" s="2147">
        <v>115</v>
      </c>
      <c r="AO74" s="2147">
        <v>30</v>
      </c>
      <c r="AP74" s="2147">
        <v>0</v>
      </c>
      <c r="AQ74" s="739">
        <f>SUM(AM74:AP74)</f>
        <v>285</v>
      </c>
      <c r="AR74" s="740"/>
      <c r="AS74" s="1432">
        <v>0</v>
      </c>
      <c r="AT74" s="740">
        <v>0</v>
      </c>
      <c r="AU74" s="740">
        <v>0</v>
      </c>
      <c r="AV74" s="1611">
        <v>0</v>
      </c>
      <c r="AW74" s="1610">
        <f>SUM(AS74:AV74)</f>
        <v>0</v>
      </c>
      <c r="AX74" s="1611"/>
      <c r="AY74" s="1432">
        <f>AY75*AV152</f>
        <v>0</v>
      </c>
      <c r="AZ74" s="1611">
        <f>AZ75*AY152</f>
        <v>0</v>
      </c>
      <c r="BA74" s="1611">
        <f>BA75*AZ152</f>
        <v>0</v>
      </c>
      <c r="BB74" s="1611">
        <f>BB75*BA152</f>
        <v>0</v>
      </c>
      <c r="BC74" s="1610">
        <f>SUM(AY74:BB74)</f>
        <v>0</v>
      </c>
      <c r="BD74" s="1611"/>
      <c r="BE74" s="1432">
        <f>BE75*BB152</f>
        <v>0</v>
      </c>
      <c r="BF74" s="1611">
        <f>BF75*BE152</f>
        <v>0</v>
      </c>
      <c r="BG74" s="1611">
        <f>BG75*BF152</f>
        <v>0</v>
      </c>
      <c r="BH74" s="1611">
        <f>BH75*BG152</f>
        <v>0</v>
      </c>
      <c r="BI74" s="1610">
        <f>SUM(BE74:BH74)</f>
        <v>0</v>
      </c>
      <c r="BJ74" s="1611"/>
      <c r="BK74" s="1432">
        <f>BK75*BH152</f>
        <v>0</v>
      </c>
      <c r="BL74" s="1611">
        <f>BL75*BK152</f>
        <v>0</v>
      </c>
      <c r="BM74" s="1611">
        <f>BM75*BL152</f>
        <v>0</v>
      </c>
      <c r="BN74" s="1611">
        <f>BN75*BM152</f>
        <v>0</v>
      </c>
      <c r="BO74" s="1610">
        <f>SUM(BK74:BN74)</f>
        <v>0</v>
      </c>
      <c r="BP74" s="1611"/>
      <c r="BQ74" s="1432">
        <f>BQ75*BN152</f>
        <v>0</v>
      </c>
      <c r="BR74" s="1611">
        <f>BR75*BQ152</f>
        <v>0</v>
      </c>
      <c r="BS74" s="1611">
        <f>BS75*BR152</f>
        <v>0</v>
      </c>
      <c r="BT74" s="1611">
        <f>BT75*BS152</f>
        <v>0</v>
      </c>
      <c r="BU74" s="1610">
        <f>SUM(BQ74:BT74)</f>
        <v>0</v>
      </c>
      <c r="BV74" s="1611"/>
      <c r="BW74" s="1432">
        <f>BW75*BT152</f>
        <v>0</v>
      </c>
      <c r="BX74" s="1611">
        <f>BX75*BW152</f>
        <v>0</v>
      </c>
      <c r="BY74" s="1611">
        <f>BY75*BX152</f>
        <v>0</v>
      </c>
      <c r="BZ74" s="1611">
        <f>BZ75*BY152</f>
        <v>0</v>
      </c>
      <c r="CA74" s="1610">
        <f>SUM(BW74:BZ74)</f>
        <v>0</v>
      </c>
      <c r="CB74" s="1611"/>
      <c r="CC74" s="1432">
        <f>CC75*BZ152</f>
        <v>0</v>
      </c>
      <c r="CD74" s="1611">
        <f>CD75*CC152</f>
        <v>0</v>
      </c>
      <c r="CE74" s="1611">
        <f>CE75*CD152</f>
        <v>0</v>
      </c>
      <c r="CF74" s="1611">
        <f>CF75*CE152</f>
        <v>0</v>
      </c>
      <c r="CG74" s="1610">
        <f>SUM(CC74:CF74)</f>
        <v>0</v>
      </c>
      <c r="CH74" s="1611"/>
      <c r="CI74" s="1432">
        <f>CI75*CF152</f>
        <v>0</v>
      </c>
      <c r="CJ74" s="1611">
        <f>CJ75*CI152</f>
        <v>0</v>
      </c>
      <c r="CK74" s="1611">
        <f>CK75*CJ152</f>
        <v>0</v>
      </c>
      <c r="CL74" s="1611">
        <f>CL75*CK152</f>
        <v>0</v>
      </c>
      <c r="CM74" s="1610">
        <f>SUM(CI74:CL74)</f>
        <v>0</v>
      </c>
      <c r="CN74" s="1611"/>
      <c r="CO74" s="1432">
        <f>CO75*CL152</f>
        <v>0</v>
      </c>
      <c r="CP74" s="1611">
        <f>CP75*CO152</f>
        <v>0</v>
      </c>
      <c r="CQ74" s="1611">
        <f>CQ75*CP152</f>
        <v>0</v>
      </c>
      <c r="CR74" s="1611">
        <f>CR75*CQ152</f>
        <v>0</v>
      </c>
      <c r="CS74" s="1610">
        <f>SUM(CO74:CR74)</f>
        <v>0</v>
      </c>
      <c r="CT74" s="205"/>
      <c r="CU74" s="205"/>
      <c r="CV74" s="205"/>
      <c r="CW74" s="1039"/>
      <c r="CX74" s="1039"/>
      <c r="CY74" s="1039"/>
      <c r="CZ74" s="1039"/>
      <c r="DA74" s="1039"/>
      <c r="DB74" s="1039"/>
      <c r="DC74" s="1039"/>
      <c r="DD74" s="205"/>
      <c r="DE74" s="205"/>
      <c r="DF74" s="205"/>
      <c r="DG74" s="205"/>
      <c r="DH74" s="205"/>
      <c r="DI74" s="205"/>
      <c r="DJ74" s="205"/>
      <c r="DK74" s="205"/>
      <c r="DL74" s="205"/>
      <c r="DM74" s="205"/>
      <c r="DN74" s="205"/>
      <c r="DO74" s="205"/>
      <c r="DP74" s="205"/>
      <c r="DQ74" s="205"/>
      <c r="DR74" s="205"/>
      <c r="DS74" s="205"/>
      <c r="DT74" s="205"/>
    </row>
    <row r="75" spans="1:124" ht="12.75" hidden="1" customHeight="1" outlineLevel="1">
      <c r="A75" s="731" t="s">
        <v>27</v>
      </c>
      <c r="B75" s="60"/>
      <c r="C75" s="752"/>
      <c r="D75" s="60"/>
      <c r="E75" s="60"/>
      <c r="F75" s="60"/>
      <c r="G75" s="736"/>
      <c r="H75" s="60"/>
      <c r="I75" s="753"/>
      <c r="J75" s="226"/>
      <c r="K75" s="226"/>
      <c r="L75" s="226"/>
      <c r="M75" s="736"/>
      <c r="N75" s="60"/>
      <c r="O75" s="753"/>
      <c r="P75" s="226"/>
      <c r="Q75" s="226"/>
      <c r="R75" s="226"/>
      <c r="S75" s="736"/>
      <c r="T75" s="60"/>
      <c r="U75" s="758"/>
      <c r="V75" s="223"/>
      <c r="W75" s="223"/>
      <c r="X75" s="223"/>
      <c r="Y75" s="224"/>
      <c r="Z75" s="60"/>
      <c r="AA75" s="758"/>
      <c r="AB75" s="223"/>
      <c r="AC75" s="223"/>
      <c r="AD75" s="223"/>
      <c r="AE75" s="224"/>
      <c r="AF75" s="60"/>
      <c r="AG75" s="1636"/>
      <c r="AH75" s="1637"/>
      <c r="AI75" s="114">
        <v>0</v>
      </c>
      <c r="AJ75" s="24">
        <f>+AJ74/$AI$152</f>
        <v>8.3584784225879519E-2</v>
      </c>
      <c r="AK75" s="209">
        <f>AK74/AI152</f>
        <v>8.3584784225879519E-2</v>
      </c>
      <c r="AL75" s="4"/>
      <c r="AM75" s="225">
        <f>+AM74/$AI$152</f>
        <v>0.11701869791623132</v>
      </c>
      <c r="AN75" s="24">
        <f>+AN74/$AI$152</f>
        <v>9.6122501859761442E-2</v>
      </c>
      <c r="AO75" s="24">
        <f>+AO74/$AI$152</f>
        <v>2.5075435267763853E-2</v>
      </c>
      <c r="AP75" s="2164">
        <v>0</v>
      </c>
      <c r="AQ75" s="209">
        <f>(AQ74+AK74)/$AI$152</f>
        <v>0.32180141926963612</v>
      </c>
      <c r="AR75" s="226"/>
      <c r="AS75" s="2162">
        <v>0</v>
      </c>
      <c r="AT75" s="2164">
        <v>0</v>
      </c>
      <c r="AU75" s="2164">
        <v>0</v>
      </c>
      <c r="AV75" s="114">
        <v>0</v>
      </c>
      <c r="AW75" s="209">
        <v>0</v>
      </c>
      <c r="AX75" s="1698"/>
      <c r="AY75" s="2162">
        <v>0</v>
      </c>
      <c r="AZ75" s="114">
        <v>0</v>
      </c>
      <c r="BA75" s="114">
        <v>0</v>
      </c>
      <c r="BB75" s="114">
        <v>0</v>
      </c>
      <c r="BC75" s="209">
        <v>0</v>
      </c>
      <c r="BD75" s="1698"/>
      <c r="BE75" s="2178">
        <v>0</v>
      </c>
      <c r="BF75" s="2179">
        <f>BE75</f>
        <v>0</v>
      </c>
      <c r="BG75" s="2179">
        <f>BF75</f>
        <v>0</v>
      </c>
      <c r="BH75" s="2179">
        <f>BG75</f>
        <v>0</v>
      </c>
      <c r="BI75" s="209">
        <v>0</v>
      </c>
      <c r="BJ75" s="1698"/>
      <c r="BK75" s="2178">
        <v>0</v>
      </c>
      <c r="BL75" s="2179">
        <f>BK75</f>
        <v>0</v>
      </c>
      <c r="BM75" s="2179">
        <f>BL75</f>
        <v>0</v>
      </c>
      <c r="BN75" s="2179">
        <f>BM75</f>
        <v>0</v>
      </c>
      <c r="BO75" s="209">
        <v>0</v>
      </c>
      <c r="BP75" s="1698"/>
      <c r="BQ75" s="2178">
        <v>0</v>
      </c>
      <c r="BR75" s="2179">
        <f>BQ75</f>
        <v>0</v>
      </c>
      <c r="BS75" s="2179">
        <f>BR75</f>
        <v>0</v>
      </c>
      <c r="BT75" s="2179">
        <f>BS75</f>
        <v>0</v>
      </c>
      <c r="BU75" s="209">
        <v>0</v>
      </c>
      <c r="BV75" s="1698"/>
      <c r="BW75" s="2178">
        <v>0</v>
      </c>
      <c r="BX75" s="2179">
        <f>BW75</f>
        <v>0</v>
      </c>
      <c r="BY75" s="2179">
        <f>BX75</f>
        <v>0</v>
      </c>
      <c r="BZ75" s="2179">
        <f>BY75</f>
        <v>0</v>
      </c>
      <c r="CA75" s="209">
        <v>0</v>
      </c>
      <c r="CB75" s="1698"/>
      <c r="CC75" s="2178">
        <v>0</v>
      </c>
      <c r="CD75" s="2179">
        <f>CC75</f>
        <v>0</v>
      </c>
      <c r="CE75" s="2179">
        <f>CD75</f>
        <v>0</v>
      </c>
      <c r="CF75" s="2179">
        <f>CE75</f>
        <v>0</v>
      </c>
      <c r="CG75" s="209">
        <v>0</v>
      </c>
      <c r="CH75" s="1698"/>
      <c r="CI75" s="2178">
        <v>0</v>
      </c>
      <c r="CJ75" s="2179">
        <f>CI75</f>
        <v>0</v>
      </c>
      <c r="CK75" s="2179">
        <f>CJ75</f>
        <v>0</v>
      </c>
      <c r="CL75" s="2179">
        <f>CK75</f>
        <v>0</v>
      </c>
      <c r="CM75" s="209">
        <v>0</v>
      </c>
      <c r="CN75" s="1698"/>
      <c r="CO75" s="2178">
        <v>0</v>
      </c>
      <c r="CP75" s="2179">
        <f>CO75</f>
        <v>0</v>
      </c>
      <c r="CQ75" s="2179">
        <f>CP75</f>
        <v>0</v>
      </c>
      <c r="CR75" s="2179">
        <f>CQ75</f>
        <v>0</v>
      </c>
      <c r="CS75" s="209">
        <v>0</v>
      </c>
      <c r="CT75" s="60"/>
      <c r="CU75" s="60"/>
      <c r="CV75" s="60"/>
      <c r="CW75" s="952"/>
      <c r="CX75" s="952"/>
      <c r="CY75" s="952"/>
      <c r="CZ75" s="952"/>
      <c r="DA75" s="952"/>
      <c r="DB75" s="952"/>
      <c r="DC75" s="952"/>
      <c r="DD75" s="60"/>
      <c r="DE75" s="60"/>
      <c r="DF75" s="60"/>
      <c r="DG75" s="60"/>
      <c r="DH75" s="60"/>
      <c r="DI75" s="68"/>
      <c r="DJ75" s="68"/>
      <c r="DK75" s="68"/>
      <c r="DL75" s="68"/>
      <c r="DM75" s="68"/>
      <c r="DN75" s="68"/>
      <c r="DO75" s="68"/>
      <c r="DP75" s="68"/>
      <c r="DQ75" s="68"/>
      <c r="DR75" s="68"/>
      <c r="DS75" s="68"/>
      <c r="DT75" s="68"/>
    </row>
    <row r="76" spans="1:124" ht="12.75" hidden="1" customHeight="1" outlineLevel="1">
      <c r="A76" s="731" t="s">
        <v>538</v>
      </c>
      <c r="B76" s="60"/>
      <c r="C76" s="752"/>
      <c r="D76" s="60"/>
      <c r="E76" s="60"/>
      <c r="F76" s="60"/>
      <c r="G76" s="736"/>
      <c r="H76" s="60"/>
      <c r="I76" s="753"/>
      <c r="J76" s="226"/>
      <c r="K76" s="226"/>
      <c r="L76" s="226"/>
      <c r="M76" s="736"/>
      <c r="N76" s="60"/>
      <c r="O76" s="753"/>
      <c r="P76" s="226"/>
      <c r="Q76" s="226"/>
      <c r="R76" s="226"/>
      <c r="S76" s="736"/>
      <c r="T76" s="60"/>
      <c r="U76" s="758"/>
      <c r="V76" s="223"/>
      <c r="W76" s="223"/>
      <c r="X76" s="223"/>
      <c r="Y76" s="224"/>
      <c r="Z76" s="60"/>
      <c r="AA76" s="758"/>
      <c r="AB76" s="223"/>
      <c r="AC76" s="223"/>
      <c r="AD76" s="223"/>
      <c r="AE76" s="224"/>
      <c r="AF76" s="60"/>
      <c r="AG76" s="1636"/>
      <c r="AH76" s="1637"/>
      <c r="AI76" s="1401">
        <f>+AI74*AI71/1000</f>
        <v>0</v>
      </c>
      <c r="AJ76" s="1401">
        <f>+AJ74*AJ71/1000</f>
        <v>5</v>
      </c>
      <c r="AK76" s="1812">
        <f>SUM(AI76:AJ76)</f>
        <v>5</v>
      </c>
      <c r="AL76" s="4"/>
      <c r="AM76" s="1435">
        <f>+AM74*AM71/1000</f>
        <v>7</v>
      </c>
      <c r="AN76" s="1401">
        <f>+AN74*AN71/1000</f>
        <v>9.1999999999999993</v>
      </c>
      <c r="AO76" s="1401">
        <f>+AO74*AO71/1000</f>
        <v>3</v>
      </c>
      <c r="AP76" s="1401">
        <f>+AP74*AP71/1000</f>
        <v>0</v>
      </c>
      <c r="AQ76" s="1812">
        <f>SUM(AM76:AP76)</f>
        <v>19.2</v>
      </c>
      <c r="AR76" s="226"/>
      <c r="AS76" s="1613"/>
      <c r="AT76" s="1614"/>
      <c r="AU76" s="1614"/>
      <c r="AV76" s="114"/>
      <c r="AW76" s="209"/>
      <c r="AX76" s="1698"/>
      <c r="AY76" s="769"/>
      <c r="AZ76" s="114"/>
      <c r="BA76" s="114"/>
      <c r="BB76" s="114"/>
      <c r="BC76" s="209"/>
      <c r="BD76" s="1698"/>
      <c r="BE76" s="2178"/>
      <c r="BF76" s="2179"/>
      <c r="BG76" s="2179"/>
      <c r="BH76" s="2179"/>
      <c r="BI76" s="209"/>
      <c r="BJ76" s="1698"/>
      <c r="BK76" s="2178"/>
      <c r="BL76" s="2179"/>
      <c r="BM76" s="2179"/>
      <c r="BN76" s="2179"/>
      <c r="BO76" s="209"/>
      <c r="BP76" s="1698"/>
      <c r="BQ76" s="2178"/>
      <c r="BR76" s="2179"/>
      <c r="BS76" s="2179"/>
      <c r="BT76" s="2179"/>
      <c r="BU76" s="209"/>
      <c r="BV76" s="1698"/>
      <c r="BW76" s="2178"/>
      <c r="BX76" s="2179"/>
      <c r="BY76" s="2179"/>
      <c r="BZ76" s="2179"/>
      <c r="CA76" s="209"/>
      <c r="CB76" s="1698"/>
      <c r="CC76" s="2178"/>
      <c r="CD76" s="2179"/>
      <c r="CE76" s="2179"/>
      <c r="CF76" s="2179"/>
      <c r="CG76" s="209"/>
      <c r="CH76" s="1698"/>
      <c r="CI76" s="2178"/>
      <c r="CJ76" s="2179"/>
      <c r="CK76" s="2179"/>
      <c r="CL76" s="2179"/>
      <c r="CM76" s="209"/>
      <c r="CN76" s="1698"/>
      <c r="CO76" s="2178"/>
      <c r="CP76" s="2179"/>
      <c r="CQ76" s="2179"/>
      <c r="CR76" s="2179"/>
      <c r="CS76" s="209"/>
      <c r="CT76" s="60"/>
      <c r="CU76" s="60"/>
      <c r="CV76" s="60"/>
      <c r="CW76" s="952"/>
      <c r="CX76" s="952"/>
      <c r="CY76" s="952"/>
      <c r="CZ76" s="952"/>
      <c r="DA76" s="952"/>
      <c r="DB76" s="952"/>
      <c r="DC76" s="952"/>
      <c r="DD76" s="60"/>
      <c r="DE76" s="60"/>
      <c r="DF76" s="60"/>
      <c r="DG76" s="60"/>
      <c r="DH76" s="60"/>
      <c r="DI76" s="68"/>
      <c r="DJ76" s="68"/>
      <c r="DK76" s="68"/>
      <c r="DL76" s="68"/>
      <c r="DM76" s="68"/>
      <c r="DN76" s="68"/>
      <c r="DO76" s="68"/>
      <c r="DP76" s="68"/>
      <c r="DQ76" s="68"/>
      <c r="DR76" s="68"/>
      <c r="DS76" s="68"/>
      <c r="DT76" s="68"/>
    </row>
    <row r="77" spans="1:124" ht="12.75" hidden="1" customHeight="1" outlineLevel="1">
      <c r="A77" s="799" t="s">
        <v>226</v>
      </c>
      <c r="B77" s="800"/>
      <c r="C77" s="801"/>
      <c r="D77" s="800"/>
      <c r="E77" s="800"/>
      <c r="F77" s="800"/>
      <c r="G77" s="802"/>
      <c r="H77" s="800"/>
      <c r="I77" s="803"/>
      <c r="J77" s="804"/>
      <c r="K77" s="804"/>
      <c r="L77" s="804"/>
      <c r="M77" s="802"/>
      <c r="N77" s="800"/>
      <c r="O77" s="803"/>
      <c r="P77" s="804"/>
      <c r="Q77" s="804"/>
      <c r="R77" s="804"/>
      <c r="S77" s="802"/>
      <c r="T77" s="800"/>
      <c r="U77" s="805"/>
      <c r="V77" s="806"/>
      <c r="W77" s="806"/>
      <c r="X77" s="806"/>
      <c r="Y77" s="807"/>
      <c r="Z77" s="800"/>
      <c r="AA77" s="805"/>
      <c r="AB77" s="806"/>
      <c r="AC77" s="806"/>
      <c r="AD77" s="806"/>
      <c r="AE77" s="807"/>
      <c r="AF77" s="800"/>
      <c r="AG77" s="1638"/>
      <c r="AH77" s="1639"/>
      <c r="AI77" s="1603">
        <v>2</v>
      </c>
      <c r="AJ77" s="1371">
        <v>42</v>
      </c>
      <c r="AK77" s="1369">
        <f>SUM(AG77:AJ77)</f>
        <v>44</v>
      </c>
      <c r="AL77" s="1370"/>
      <c r="AM77" s="2163">
        <v>44</v>
      </c>
      <c r="AN77" s="2158">
        <v>56</v>
      </c>
      <c r="AO77" s="1603">
        <v>70</v>
      </c>
      <c r="AP77" s="2158">
        <v>70</v>
      </c>
      <c r="AQ77" s="1369">
        <f>SUM(AM77:AP77)</f>
        <v>240</v>
      </c>
      <c r="AR77" s="1370"/>
      <c r="AS77" s="1669">
        <v>71</v>
      </c>
      <c r="AT77" s="2158">
        <v>65</v>
      </c>
      <c r="AU77" s="2158">
        <v>65</v>
      </c>
      <c r="AV77" s="1699">
        <v>68</v>
      </c>
      <c r="AW77" s="1672">
        <f>SUM(AS77:AV77)</f>
        <v>269</v>
      </c>
      <c r="AX77" s="1671"/>
      <c r="AY77" s="2163">
        <v>15</v>
      </c>
      <c r="AZ77" s="1699">
        <v>10</v>
      </c>
      <c r="BA77" s="1699">
        <v>0</v>
      </c>
      <c r="BB77" s="1763">
        <v>10</v>
      </c>
      <c r="BC77" s="1672">
        <f>SUM(AY77:BB77)</f>
        <v>35</v>
      </c>
      <c r="BD77" s="1671"/>
      <c r="BE77" s="2180">
        <v>8</v>
      </c>
      <c r="BF77" s="2133">
        <v>3</v>
      </c>
      <c r="BG77" s="2133">
        <v>2</v>
      </c>
      <c r="BH77" s="2181">
        <v>0</v>
      </c>
      <c r="BI77" s="1672">
        <f>SUM(BE77:BH77)</f>
        <v>13</v>
      </c>
      <c r="BJ77" s="1671"/>
      <c r="BK77" s="2180">
        <v>0</v>
      </c>
      <c r="BL77" s="2133">
        <f>BK77</f>
        <v>0</v>
      </c>
      <c r="BM77" s="2133">
        <f>BL77</f>
        <v>0</v>
      </c>
      <c r="BN77" s="2133">
        <f>BM77</f>
        <v>0</v>
      </c>
      <c r="BO77" s="1672">
        <f>SUM(BK77:BN77)</f>
        <v>0</v>
      </c>
      <c r="BP77" s="1671"/>
      <c r="BQ77" s="2180">
        <v>0</v>
      </c>
      <c r="BR77" s="2133">
        <f>BQ77</f>
        <v>0</v>
      </c>
      <c r="BS77" s="2133">
        <f>BR77</f>
        <v>0</v>
      </c>
      <c r="BT77" s="2133">
        <f>BS77</f>
        <v>0</v>
      </c>
      <c r="BU77" s="1672">
        <f>SUM(BQ77:BT77)</f>
        <v>0</v>
      </c>
      <c r="BV77" s="1671"/>
      <c r="BW77" s="2180">
        <v>0</v>
      </c>
      <c r="BX77" s="2133">
        <f>BW77</f>
        <v>0</v>
      </c>
      <c r="BY77" s="2133">
        <f>BX77</f>
        <v>0</v>
      </c>
      <c r="BZ77" s="2133">
        <f>BY77</f>
        <v>0</v>
      </c>
      <c r="CA77" s="1672">
        <f>SUM(BW77:BZ77)</f>
        <v>0</v>
      </c>
      <c r="CB77" s="1671"/>
      <c r="CC77" s="2180">
        <v>0</v>
      </c>
      <c r="CD77" s="2133">
        <f>CC77</f>
        <v>0</v>
      </c>
      <c r="CE77" s="2133">
        <f>CD77</f>
        <v>0</v>
      </c>
      <c r="CF77" s="2133">
        <f>CE77</f>
        <v>0</v>
      </c>
      <c r="CG77" s="1672">
        <f>SUM(CC77:CF77)</f>
        <v>0</v>
      </c>
      <c r="CH77" s="1671"/>
      <c r="CI77" s="2180">
        <v>0</v>
      </c>
      <c r="CJ77" s="2133">
        <f>CI77</f>
        <v>0</v>
      </c>
      <c r="CK77" s="2133">
        <f>CJ77</f>
        <v>0</v>
      </c>
      <c r="CL77" s="2133">
        <f>CK77</f>
        <v>0</v>
      </c>
      <c r="CM77" s="1672">
        <f>SUM(CI77:CL77)</f>
        <v>0</v>
      </c>
      <c r="CN77" s="1671"/>
      <c r="CO77" s="2180">
        <v>0</v>
      </c>
      <c r="CP77" s="2133">
        <f>CO77</f>
        <v>0</v>
      </c>
      <c r="CQ77" s="2133">
        <f>CP77</f>
        <v>0</v>
      </c>
      <c r="CR77" s="2133">
        <f>CQ77</f>
        <v>0</v>
      </c>
      <c r="CS77" s="1672">
        <f>SUM(CO77:CR77)</f>
        <v>0</v>
      </c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60"/>
      <c r="DI77" s="68"/>
      <c r="DJ77" s="68"/>
      <c r="DK77" s="68"/>
      <c r="DL77" s="68"/>
      <c r="DM77" s="68"/>
      <c r="DN77" s="68"/>
      <c r="DO77" s="68"/>
      <c r="DP77" s="68"/>
      <c r="DQ77" s="68"/>
      <c r="DR77" s="68"/>
      <c r="DS77" s="68"/>
      <c r="DT77" s="68"/>
    </row>
    <row r="78" spans="1:124" ht="12.75" hidden="1" customHeight="1" outlineLevel="1">
      <c r="A78" s="1747" t="s">
        <v>513</v>
      </c>
      <c r="B78" s="205"/>
      <c r="C78" s="750"/>
      <c r="D78" s="205"/>
      <c r="E78" s="205"/>
      <c r="F78" s="205"/>
      <c r="G78" s="191"/>
      <c r="H78" s="205"/>
      <c r="I78" s="750"/>
      <c r="J78" s="205"/>
      <c r="K78" s="205"/>
      <c r="L78" s="205"/>
      <c r="M78" s="191"/>
      <c r="N78" s="205"/>
      <c r="O78" s="750"/>
      <c r="P78" s="205"/>
      <c r="Q78" s="205"/>
      <c r="R78" s="205"/>
      <c r="S78" s="221"/>
      <c r="T78" s="222"/>
      <c r="U78" s="755"/>
      <c r="V78" s="220"/>
      <c r="W78" s="220"/>
      <c r="X78" s="220"/>
      <c r="Y78" s="221"/>
      <c r="Z78" s="222"/>
      <c r="AA78" s="755"/>
      <c r="AB78" s="220"/>
      <c r="AC78" s="220"/>
      <c r="AD78" s="220"/>
      <c r="AE78" s="221"/>
      <c r="AF78" s="222"/>
      <c r="AG78" s="1617"/>
      <c r="AH78" s="1618"/>
      <c r="AI78" s="1618"/>
      <c r="AJ78" s="1618"/>
      <c r="AK78" s="1619"/>
      <c r="AL78" s="740"/>
      <c r="AM78" s="1617"/>
      <c r="AN78" s="1618"/>
      <c r="AO78" s="1618"/>
      <c r="AP78" s="1618"/>
      <c r="AQ78" s="1619"/>
      <c r="AR78" s="740"/>
      <c r="AS78" s="1617"/>
      <c r="AT78" s="1618"/>
      <c r="AU78" s="1618"/>
      <c r="AV78" s="1618"/>
      <c r="AW78" s="1619"/>
      <c r="AX78" s="1386"/>
      <c r="AY78" s="89">
        <f>((AY87*AY79)+(AY83*AY80)+(AY85*AY80))/1000</f>
        <v>9.7037000000000013</v>
      </c>
      <c r="AZ78" s="9">
        <f>((AZ87*AZ79)+(AZ83*AZ80)+(AZ85*AZ80))/1000</f>
        <v>13.809135150375941</v>
      </c>
      <c r="BA78" s="9">
        <f>((BA87*BA79)+(BA83*BA80)+(BA85*BA80))/1000</f>
        <v>15.340563909774437</v>
      </c>
      <c r="BB78" s="9">
        <f>((BB87*BB79)+(BB83*BB80)+(BB85*BB80))/1000</f>
        <v>6.8880799999999995</v>
      </c>
      <c r="BC78" s="1696">
        <f>SUM(AY78:BB78)</f>
        <v>45.741479060150382</v>
      </c>
      <c r="BD78" s="1386"/>
      <c r="BE78" s="89">
        <f>((BE87*BE79)+(BE83*BE80)+(BE85*BE80))/1000</f>
        <v>8.5996195864661651</v>
      </c>
      <c r="BF78" s="9">
        <f>((BF87*BF79)+(BF83*BF80)+(BF85*BF80))/1000</f>
        <v>4.6084295864661655</v>
      </c>
      <c r="BG78" s="9">
        <f>((BG87*BG79)+(BG83*BG80)+(BG85*BG80))/1000</f>
        <v>2.3192050000000002</v>
      </c>
      <c r="BH78" s="9">
        <f>((BH87*BH79)+(BH83*BH80)+(BH85*BH80))/1000</f>
        <v>0.53935</v>
      </c>
      <c r="BI78" s="1696">
        <f>SUM(BE78:BH78)</f>
        <v>16.06660417293233</v>
      </c>
      <c r="BJ78" s="1386"/>
      <c r="BK78" s="89">
        <f>((BK87*BK79)+(BK83*BK80)+(BK85*BK80))/1000</f>
        <v>0</v>
      </c>
      <c r="BL78" s="9">
        <f>((BL87*BL79)+(BL83*BL80)+(BL85*BL80))/1000</f>
        <v>0</v>
      </c>
      <c r="BM78" s="9">
        <f>((BM87*BM79)+(BM83*BM80)+(BM85*BM80))/1000</f>
        <v>0</v>
      </c>
      <c r="BN78" s="9">
        <f>((BN87*BN79)+(BN83*BN80)+(BN85*BN80))/1000</f>
        <v>0</v>
      </c>
      <c r="BO78" s="1696">
        <f>SUM(BK78:BN78)</f>
        <v>0</v>
      </c>
      <c r="BP78" s="1386"/>
      <c r="BQ78" s="89">
        <f>((BQ87*BQ79)+(BQ83*BQ80)+(BQ85*BQ80))/1000</f>
        <v>0</v>
      </c>
      <c r="BR78" s="9">
        <f>((BR87*BR79)+(BR83*BR80)+(BR85*BR80))/1000</f>
        <v>0</v>
      </c>
      <c r="BS78" s="9">
        <f>((BS87*BS79)+(BS83*BS80)+(BS85*BS80))/1000</f>
        <v>0</v>
      </c>
      <c r="BT78" s="9">
        <f>((BT87*BT79)+(BT83*BT80)+(BT85*BT80))/1000</f>
        <v>0</v>
      </c>
      <c r="BU78" s="1696">
        <f>SUM(BQ78:BT78)</f>
        <v>0</v>
      </c>
      <c r="BV78" s="1386"/>
      <c r="BW78" s="89">
        <f>((BW87*BW79)+(BW83*BW80)+(BW85*BW80))/1000</f>
        <v>0</v>
      </c>
      <c r="BX78" s="9">
        <f>((BX87*BX79)+(BX83*BX80)+(BX85*BX80))/1000</f>
        <v>0</v>
      </c>
      <c r="BY78" s="9">
        <f>((BY87*BY79)+(BY83*BY80)+(BY85*BY80))/1000</f>
        <v>0</v>
      </c>
      <c r="BZ78" s="9">
        <f>((BZ87*BZ79)+(BZ83*BZ80)+(BZ85*BZ80))/1000</f>
        <v>0</v>
      </c>
      <c r="CA78" s="1696">
        <f>SUM(BW78:BZ78)</f>
        <v>0</v>
      </c>
      <c r="CB78" s="1386"/>
      <c r="CC78" s="89">
        <f>((CC87*CC79)+(CC83*CC80)+(CC85*CC80))/1000</f>
        <v>0</v>
      </c>
      <c r="CD78" s="9">
        <f>((CD87*CD79)+(CD83*CD80)+(CD85*CD80))/1000</f>
        <v>0</v>
      </c>
      <c r="CE78" s="9">
        <f>((CE87*CE79)+(CE83*CE80)+(CE85*CE80))/1000</f>
        <v>0</v>
      </c>
      <c r="CF78" s="9">
        <f>((CF87*CF79)+(CF83*CF80)+(CF85*CF80))/1000</f>
        <v>0</v>
      </c>
      <c r="CG78" s="1696">
        <f>SUM(CC78:CF78)</f>
        <v>0</v>
      </c>
      <c r="CH78" s="1386"/>
      <c r="CI78" s="89">
        <f>((CI87*CI79)+(CI83*CI80)+(CI85*CI80))/1000</f>
        <v>0</v>
      </c>
      <c r="CJ78" s="9">
        <f>((CJ87*CJ79)+(CJ83*CJ80)+(CJ85*CJ80))/1000</f>
        <v>0</v>
      </c>
      <c r="CK78" s="9">
        <f>((CK87*CK79)+(CK83*CK80)+(CK85*CK80))/1000</f>
        <v>0</v>
      </c>
      <c r="CL78" s="9">
        <f>((CL87*CL79)+(CL83*CL80)+(CL85*CL80))/1000</f>
        <v>0</v>
      </c>
      <c r="CM78" s="1696">
        <f>SUM(CI78:CL78)</f>
        <v>0</v>
      </c>
      <c r="CN78" s="1386"/>
      <c r="CO78" s="89">
        <f>((CO87*CO79)+(CO83*CO80)+(CO85*CO80))/1000</f>
        <v>0</v>
      </c>
      <c r="CP78" s="9">
        <f>((CP87*CP79)+(CP83*CP80)+(CP85*CP80))/1000</f>
        <v>0</v>
      </c>
      <c r="CQ78" s="9">
        <f>((CQ87*CQ79)+(CQ83*CQ80)+(CQ85*CQ80))/1000</f>
        <v>0</v>
      </c>
      <c r="CR78" s="9">
        <f>((CR87*CR79)+(CR83*CR80)+(CR85*CR80))/1000</f>
        <v>0</v>
      </c>
      <c r="CS78" s="1696">
        <f>SUM(CO78:CR78)</f>
        <v>0</v>
      </c>
      <c r="CT78" s="205"/>
      <c r="CU78" s="205"/>
      <c r="CV78" s="205"/>
      <c r="CW78" s="205"/>
      <c r="CX78" s="205"/>
      <c r="CY78" s="205"/>
      <c r="CZ78" s="205"/>
      <c r="DA78" s="205"/>
      <c r="DB78" s="205"/>
      <c r="DC78" s="205"/>
      <c r="DD78" s="205"/>
      <c r="DE78" s="205"/>
      <c r="DF78" s="205"/>
      <c r="DG78" s="205"/>
      <c r="DH78" s="205"/>
      <c r="DI78" s="205"/>
      <c r="DJ78" s="205"/>
      <c r="DK78" s="205"/>
      <c r="DL78" s="205"/>
      <c r="DM78" s="205"/>
      <c r="DN78" s="205"/>
      <c r="DO78" s="205"/>
      <c r="DP78" s="205"/>
      <c r="DQ78" s="205"/>
      <c r="DR78" s="205"/>
      <c r="DS78" s="205"/>
      <c r="DT78" s="205"/>
    </row>
    <row r="79" spans="1:124" ht="12.75" hidden="1" customHeight="1" outlineLevel="1">
      <c r="A79" s="735" t="s">
        <v>363</v>
      </c>
      <c r="B79" s="201"/>
      <c r="C79" s="751"/>
      <c r="D79" s="201"/>
      <c r="E79" s="201"/>
      <c r="F79" s="201"/>
      <c r="G79" s="203"/>
      <c r="H79" s="201"/>
      <c r="I79" s="751"/>
      <c r="J79" s="201"/>
      <c r="K79" s="201"/>
      <c r="L79" s="201"/>
      <c r="M79" s="203"/>
      <c r="N79" s="201"/>
      <c r="O79" s="751"/>
      <c r="P79" s="201"/>
      <c r="Q79" s="201"/>
      <c r="R79" s="201"/>
      <c r="S79" s="203"/>
      <c r="T79" s="201"/>
      <c r="U79" s="756"/>
      <c r="V79" s="81"/>
      <c r="W79" s="81"/>
      <c r="X79" s="81"/>
      <c r="Y79" s="203"/>
      <c r="Z79" s="201"/>
      <c r="AA79" s="756"/>
      <c r="AB79" s="81"/>
      <c r="AC79" s="81"/>
      <c r="AD79" s="81"/>
      <c r="AE79" s="203"/>
      <c r="AF79" s="201"/>
      <c r="AG79" s="1617"/>
      <c r="AH79" s="1618"/>
      <c r="AI79" s="1618"/>
      <c r="AJ79" s="1618"/>
      <c r="AK79" s="1619"/>
      <c r="AL79" s="740"/>
      <c r="AM79" s="1642"/>
      <c r="AN79" s="1618"/>
      <c r="AO79" s="1618"/>
      <c r="AP79" s="1618"/>
      <c r="AQ79" s="1619"/>
      <c r="AR79" s="740"/>
      <c r="AS79" s="1642"/>
      <c r="AT79" s="1618"/>
      <c r="AU79" s="1618"/>
      <c r="AV79" s="1618"/>
      <c r="AW79" s="1619"/>
      <c r="AX79" s="1401"/>
      <c r="AY79" s="2144">
        <v>575</v>
      </c>
      <c r="AZ79" s="2145">
        <f>AY79</f>
        <v>575</v>
      </c>
      <c r="BA79" s="2145">
        <v>580</v>
      </c>
      <c r="BB79" s="2145">
        <f>BA79</f>
        <v>580</v>
      </c>
      <c r="BC79" s="1606">
        <f>+SUMPRODUCT(AY79:BB79,AY87:BB87)/BC87</f>
        <v>577.30769230769226</v>
      </c>
      <c r="BD79" s="1401"/>
      <c r="BE79" s="2148">
        <v>575</v>
      </c>
      <c r="BF79" s="2149">
        <f t="shared" ref="BF79:BH80" si="293">BE79</f>
        <v>575</v>
      </c>
      <c r="BG79" s="2149">
        <f t="shared" si="293"/>
        <v>575</v>
      </c>
      <c r="BH79" s="2149">
        <f t="shared" si="293"/>
        <v>575</v>
      </c>
      <c r="BI79" s="1606">
        <f>+BH79</f>
        <v>575</v>
      </c>
      <c r="BJ79" s="1401"/>
      <c r="BK79" s="2148">
        <f>+BI79</f>
        <v>575</v>
      </c>
      <c r="BL79" s="2149">
        <f t="shared" ref="BL79:BN80" si="294">BK79</f>
        <v>575</v>
      </c>
      <c r="BM79" s="2149">
        <f t="shared" si="294"/>
        <v>575</v>
      </c>
      <c r="BN79" s="2149">
        <f t="shared" si="294"/>
        <v>575</v>
      </c>
      <c r="BO79" s="1606">
        <f>+BN79</f>
        <v>575</v>
      </c>
      <c r="BP79" s="1401"/>
      <c r="BQ79" s="2148">
        <f>+BO79</f>
        <v>575</v>
      </c>
      <c r="BR79" s="2149">
        <f t="shared" ref="BR79:BT80" si="295">BQ79</f>
        <v>575</v>
      </c>
      <c r="BS79" s="2149">
        <f t="shared" si="295"/>
        <v>575</v>
      </c>
      <c r="BT79" s="2149">
        <f t="shared" si="295"/>
        <v>575</v>
      </c>
      <c r="BU79" s="1606">
        <f>+AVERAGE(BQ79:BT79)</f>
        <v>575</v>
      </c>
      <c r="BV79" s="1401"/>
      <c r="BW79" s="2148">
        <f>+BU79</f>
        <v>575</v>
      </c>
      <c r="BX79" s="2149">
        <f t="shared" ref="BX79:BX80" si="296">BW79</f>
        <v>575</v>
      </c>
      <c r="BY79" s="2149">
        <f t="shared" ref="BY79:BY80" si="297">BX79</f>
        <v>575</v>
      </c>
      <c r="BZ79" s="2149">
        <f t="shared" ref="BZ79:BZ80" si="298">BY79</f>
        <v>575</v>
      </c>
      <c r="CA79" s="1606">
        <f>+AVERAGE(BW79:BZ79)</f>
        <v>575</v>
      </c>
      <c r="CB79" s="1401"/>
      <c r="CC79" s="2148">
        <f>+CA79</f>
        <v>575</v>
      </c>
      <c r="CD79" s="2149">
        <f t="shared" ref="CD79:CD80" si="299">CC79</f>
        <v>575</v>
      </c>
      <c r="CE79" s="2149">
        <f t="shared" ref="CE79:CE80" si="300">CD79</f>
        <v>575</v>
      </c>
      <c r="CF79" s="2149">
        <f t="shared" ref="CF79:CF80" si="301">CE79</f>
        <v>575</v>
      </c>
      <c r="CG79" s="1606">
        <f>+AVERAGE(CC79:CF79)</f>
        <v>575</v>
      </c>
      <c r="CH79" s="1401"/>
      <c r="CI79" s="2148">
        <f>+CG79</f>
        <v>575</v>
      </c>
      <c r="CJ79" s="2149">
        <f t="shared" ref="CJ79:CJ80" si="302">CI79</f>
        <v>575</v>
      </c>
      <c r="CK79" s="2149">
        <f t="shared" ref="CK79:CK80" si="303">CJ79</f>
        <v>575</v>
      </c>
      <c r="CL79" s="2149">
        <f t="shared" ref="CL79:CL80" si="304">CK79</f>
        <v>575</v>
      </c>
      <c r="CM79" s="1606">
        <f>+AVERAGE(CI79:CL79)</f>
        <v>575</v>
      </c>
      <c r="CN79" s="1401"/>
      <c r="CO79" s="2148">
        <f>+CM79</f>
        <v>575</v>
      </c>
      <c r="CP79" s="2149">
        <f t="shared" ref="CP79:CP80" si="305">CO79</f>
        <v>575</v>
      </c>
      <c r="CQ79" s="2149">
        <f t="shared" ref="CQ79:CQ80" si="306">CP79</f>
        <v>575</v>
      </c>
      <c r="CR79" s="2149">
        <f t="shared" ref="CR79:CR80" si="307">CQ79</f>
        <v>575</v>
      </c>
      <c r="CS79" s="1606">
        <f>+AVERAGE(CO79:CR79)</f>
        <v>575</v>
      </c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</row>
    <row r="80" spans="1:124" ht="12.75" hidden="1" customHeight="1" outlineLevel="1">
      <c r="A80" s="735" t="s">
        <v>364</v>
      </c>
      <c r="B80" s="201"/>
      <c r="C80" s="751"/>
      <c r="D80" s="201"/>
      <c r="E80" s="201"/>
      <c r="F80" s="201"/>
      <c r="G80" s="203"/>
      <c r="H80" s="201"/>
      <c r="I80" s="751"/>
      <c r="J80" s="201"/>
      <c r="K80" s="201"/>
      <c r="L80" s="201"/>
      <c r="M80" s="203"/>
      <c r="N80" s="201"/>
      <c r="O80" s="751"/>
      <c r="P80" s="201"/>
      <c r="Q80" s="201"/>
      <c r="R80" s="201"/>
      <c r="S80" s="203"/>
      <c r="T80" s="201"/>
      <c r="U80" s="756"/>
      <c r="V80" s="81"/>
      <c r="W80" s="81"/>
      <c r="X80" s="81"/>
      <c r="Y80" s="203"/>
      <c r="Z80" s="201"/>
      <c r="AA80" s="756"/>
      <c r="AB80" s="81"/>
      <c r="AC80" s="81"/>
      <c r="AD80" s="81"/>
      <c r="AE80" s="203"/>
      <c r="AF80" s="201"/>
      <c r="AG80" s="1617"/>
      <c r="AH80" s="1618"/>
      <c r="AI80" s="1618"/>
      <c r="AJ80" s="1807"/>
      <c r="AK80" s="1619"/>
      <c r="AL80" s="740"/>
      <c r="AM80" s="1642"/>
      <c r="AN80" s="1813"/>
      <c r="AO80" s="1807"/>
      <c r="AP80" s="1618"/>
      <c r="AQ80" s="1619"/>
      <c r="AR80" s="740"/>
      <c r="AS80" s="1642"/>
      <c r="AT80" s="1618"/>
      <c r="AU80" s="1618"/>
      <c r="AV80" s="1618"/>
      <c r="AW80" s="1619"/>
      <c r="AX80" s="1401"/>
      <c r="AY80" s="2144">
        <f>+AY79</f>
        <v>575</v>
      </c>
      <c r="AZ80" s="2145">
        <f>AY80</f>
        <v>575</v>
      </c>
      <c r="BA80" s="2145">
        <v>580</v>
      </c>
      <c r="BB80" s="2145">
        <f>BA80</f>
        <v>580</v>
      </c>
      <c r="BC80" s="1606">
        <f>+BC79</f>
        <v>577.30769230769226</v>
      </c>
      <c r="BD80" s="1401"/>
      <c r="BE80" s="2148">
        <v>575</v>
      </c>
      <c r="BF80" s="2149">
        <f t="shared" si="293"/>
        <v>575</v>
      </c>
      <c r="BG80" s="2149">
        <f t="shared" si="293"/>
        <v>575</v>
      </c>
      <c r="BH80" s="2149">
        <f t="shared" si="293"/>
        <v>575</v>
      </c>
      <c r="BI80" s="1606">
        <f>+BI79</f>
        <v>575</v>
      </c>
      <c r="BJ80" s="1401"/>
      <c r="BK80" s="2148">
        <f>+BI80</f>
        <v>575</v>
      </c>
      <c r="BL80" s="2149">
        <f t="shared" si="294"/>
        <v>575</v>
      </c>
      <c r="BM80" s="2149">
        <f t="shared" si="294"/>
        <v>575</v>
      </c>
      <c r="BN80" s="2149">
        <f t="shared" si="294"/>
        <v>575</v>
      </c>
      <c r="BO80" s="1606">
        <f>+BO79</f>
        <v>575</v>
      </c>
      <c r="BP80" s="1401"/>
      <c r="BQ80" s="2148">
        <f>+BO80</f>
        <v>575</v>
      </c>
      <c r="BR80" s="2149">
        <f t="shared" si="295"/>
        <v>575</v>
      </c>
      <c r="BS80" s="2149">
        <f t="shared" si="295"/>
        <v>575</v>
      </c>
      <c r="BT80" s="2149">
        <f t="shared" si="295"/>
        <v>575</v>
      </c>
      <c r="BU80" s="1606">
        <f>+BU79</f>
        <v>575</v>
      </c>
      <c r="BV80" s="1401"/>
      <c r="BW80" s="2148">
        <f>+BU80</f>
        <v>575</v>
      </c>
      <c r="BX80" s="2149">
        <f t="shared" si="296"/>
        <v>575</v>
      </c>
      <c r="BY80" s="2149">
        <f t="shared" si="297"/>
        <v>575</v>
      </c>
      <c r="BZ80" s="2149">
        <f t="shared" si="298"/>
        <v>575</v>
      </c>
      <c r="CA80" s="1606">
        <f>+CA79</f>
        <v>575</v>
      </c>
      <c r="CB80" s="1401"/>
      <c r="CC80" s="2148">
        <f>+CA80</f>
        <v>575</v>
      </c>
      <c r="CD80" s="2149">
        <f t="shared" si="299"/>
        <v>575</v>
      </c>
      <c r="CE80" s="2149">
        <f t="shared" si="300"/>
        <v>575</v>
      </c>
      <c r="CF80" s="2149">
        <f t="shared" si="301"/>
        <v>575</v>
      </c>
      <c r="CG80" s="1606">
        <f>+CG79</f>
        <v>575</v>
      </c>
      <c r="CH80" s="1401"/>
      <c r="CI80" s="2148">
        <f>+CG80</f>
        <v>575</v>
      </c>
      <c r="CJ80" s="2149">
        <f t="shared" si="302"/>
        <v>575</v>
      </c>
      <c r="CK80" s="2149">
        <f t="shared" si="303"/>
        <v>575</v>
      </c>
      <c r="CL80" s="2149">
        <f t="shared" si="304"/>
        <v>575</v>
      </c>
      <c r="CM80" s="1606">
        <f>+CM79</f>
        <v>575</v>
      </c>
      <c r="CN80" s="1401"/>
      <c r="CO80" s="2148">
        <f>+CM80</f>
        <v>575</v>
      </c>
      <c r="CP80" s="2149">
        <f t="shared" si="305"/>
        <v>575</v>
      </c>
      <c r="CQ80" s="2149">
        <f t="shared" si="306"/>
        <v>575</v>
      </c>
      <c r="CR80" s="2149">
        <f t="shared" si="307"/>
        <v>575</v>
      </c>
      <c r="CS80" s="1606">
        <f>+CS79</f>
        <v>575</v>
      </c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</row>
    <row r="81" spans="1:124" ht="12.75" hidden="1" customHeight="1" outlineLevel="1">
      <c r="A81" s="759" t="s">
        <v>218</v>
      </c>
      <c r="B81" s="740"/>
      <c r="C81" s="760"/>
      <c r="D81" s="740"/>
      <c r="E81" s="740"/>
      <c r="F81" s="740"/>
      <c r="G81" s="739"/>
      <c r="H81" s="740"/>
      <c r="I81" s="760"/>
      <c r="J81" s="740"/>
      <c r="K81" s="740"/>
      <c r="L81" s="740"/>
      <c r="M81" s="739"/>
      <c r="N81" s="740"/>
      <c r="O81" s="760"/>
      <c r="P81" s="740"/>
      <c r="Q81" s="740"/>
      <c r="R81" s="740"/>
      <c r="S81" s="739"/>
      <c r="T81" s="740"/>
      <c r="U81" s="761"/>
      <c r="V81" s="762"/>
      <c r="W81" s="762"/>
      <c r="X81" s="762"/>
      <c r="Y81" s="739"/>
      <c r="Z81" s="740"/>
      <c r="AA81" s="761"/>
      <c r="AB81" s="762"/>
      <c r="AC81" s="762"/>
      <c r="AD81" s="762"/>
      <c r="AE81" s="739"/>
      <c r="AF81" s="740"/>
      <c r="AG81" s="1617"/>
      <c r="AH81" s="1618"/>
      <c r="AI81" s="1618"/>
      <c r="AJ81" s="1808"/>
      <c r="AK81" s="1809"/>
      <c r="AL81" s="1810"/>
      <c r="AM81" s="1811"/>
      <c r="AN81" s="1808"/>
      <c r="AO81" s="1808"/>
      <c r="AP81" s="1618"/>
      <c r="AQ81" s="1619"/>
      <c r="AR81" s="740"/>
      <c r="AS81" s="1642"/>
      <c r="AT81" s="1618"/>
      <c r="AU81" s="1618"/>
      <c r="AV81" s="1618"/>
      <c r="AW81" s="1619"/>
      <c r="AX81" s="1611"/>
      <c r="AY81" s="1432">
        <f>+AY83+AY87+AY85</f>
        <v>16.876000000000001</v>
      </c>
      <c r="AZ81" s="1611">
        <f>+AZ83+AZ87+AZ85</f>
        <v>24.015887218045112</v>
      </c>
      <c r="BA81" s="1611">
        <f>+BA83+BA87+BA85</f>
        <v>26.449248120300751</v>
      </c>
      <c r="BB81" s="1611">
        <f>+BB83+BB87+BB85</f>
        <v>11.875999999999999</v>
      </c>
      <c r="BC81" s="1610">
        <f>SUM(AY81:BB81)</f>
        <v>79.217135338345869</v>
      </c>
      <c r="BD81" s="1611"/>
      <c r="BE81" s="1432">
        <f>+BE83+BE87+BE85</f>
        <v>14.955860150375941</v>
      </c>
      <c r="BF81" s="1611">
        <f>+BF83+BF87+BF85</f>
        <v>8.0146601503759403</v>
      </c>
      <c r="BG81" s="1611">
        <f>+BG83+BG87+BG85</f>
        <v>4.0334000000000003</v>
      </c>
      <c r="BH81" s="1611">
        <f>+BH83+BH87+BH85</f>
        <v>0.93800000000000006</v>
      </c>
      <c r="BI81" s="1610">
        <f>SUM(BE81:BH81)</f>
        <v>27.941920300751878</v>
      </c>
      <c r="BJ81" s="1611"/>
      <c r="BK81" s="1432">
        <f>+BK83+BK87+BK85</f>
        <v>0</v>
      </c>
      <c r="BL81" s="1611">
        <f>+BL83+BL87+BL85</f>
        <v>0</v>
      </c>
      <c r="BM81" s="1611">
        <f>+BM83+BM87+BM85</f>
        <v>0</v>
      </c>
      <c r="BN81" s="1611">
        <f>+BN83+BN87+BN85</f>
        <v>0</v>
      </c>
      <c r="BO81" s="1610">
        <f>SUM(BK81:BN81)</f>
        <v>0</v>
      </c>
      <c r="BP81" s="1611"/>
      <c r="BQ81" s="1432">
        <f>+BQ83+BQ87+BQ85</f>
        <v>0</v>
      </c>
      <c r="BR81" s="1611">
        <f>+BR83+BR87+BR85</f>
        <v>0</v>
      </c>
      <c r="BS81" s="1611">
        <f>+BS83+BS87+BS85</f>
        <v>0</v>
      </c>
      <c r="BT81" s="1611">
        <f>+BT83+BT87+BT85</f>
        <v>0</v>
      </c>
      <c r="BU81" s="1610">
        <f>SUM(BQ81:BT81)</f>
        <v>0</v>
      </c>
      <c r="BV81" s="1611"/>
      <c r="BW81" s="1432">
        <f>+BW83+BW87+BW85</f>
        <v>0</v>
      </c>
      <c r="BX81" s="1611">
        <f>+BX83+BX87+BX85</f>
        <v>0</v>
      </c>
      <c r="BY81" s="1611">
        <f>+BY83+BY87+BY85</f>
        <v>0</v>
      </c>
      <c r="BZ81" s="1611">
        <f>+BZ83+BZ87+BZ85</f>
        <v>0</v>
      </c>
      <c r="CA81" s="1610">
        <f>SUM(BW81:BZ81)</f>
        <v>0</v>
      </c>
      <c r="CB81" s="1611"/>
      <c r="CC81" s="1432">
        <f>+CC83+CC87+CC85</f>
        <v>0</v>
      </c>
      <c r="CD81" s="1611">
        <f>+CD83+CD87+CD85</f>
        <v>0</v>
      </c>
      <c r="CE81" s="1611">
        <f>+CE83+CE87+CE85</f>
        <v>0</v>
      </c>
      <c r="CF81" s="1611">
        <f>+CF83+CF87+CF85</f>
        <v>0</v>
      </c>
      <c r="CG81" s="1610">
        <f>SUM(CC81:CF81)</f>
        <v>0</v>
      </c>
      <c r="CH81" s="1611"/>
      <c r="CI81" s="1432">
        <f>+CI83+CI87+CI85</f>
        <v>0</v>
      </c>
      <c r="CJ81" s="1611">
        <f>+CJ83+CJ87+CJ85</f>
        <v>0</v>
      </c>
      <c r="CK81" s="1611">
        <f>+CK83+CK87+CK85</f>
        <v>0</v>
      </c>
      <c r="CL81" s="1611">
        <f>+CL83+CL87+CL85</f>
        <v>0</v>
      </c>
      <c r="CM81" s="1610">
        <f>SUM(CI81:CL81)</f>
        <v>0</v>
      </c>
      <c r="CN81" s="1611"/>
      <c r="CO81" s="1432">
        <f>+CO83+CO87+CO85</f>
        <v>0</v>
      </c>
      <c r="CP81" s="1611">
        <f>+CP83+CP87+CP85</f>
        <v>0</v>
      </c>
      <c r="CQ81" s="1611">
        <f>+CQ83+CQ87+CQ85</f>
        <v>0</v>
      </c>
      <c r="CR81" s="1611">
        <f>+CR83+CR87+CR85</f>
        <v>0</v>
      </c>
      <c r="CS81" s="1610">
        <f>SUM(CO81:CR81)</f>
        <v>0</v>
      </c>
      <c r="DD81" s="205"/>
      <c r="DE81" s="205"/>
      <c r="DF81" s="205"/>
      <c r="DG81" s="205"/>
      <c r="DH81" s="205"/>
      <c r="DI81" s="205"/>
      <c r="DJ81" s="205"/>
      <c r="DK81" s="205"/>
      <c r="DL81" s="205"/>
      <c r="DM81" s="205"/>
      <c r="DN81" s="205"/>
      <c r="DO81" s="205"/>
      <c r="DP81" s="205"/>
      <c r="DQ81" s="205"/>
      <c r="DR81" s="205"/>
      <c r="DS81" s="205"/>
      <c r="DT81" s="205"/>
    </row>
    <row r="82" spans="1:124" ht="12.75" hidden="1" customHeight="1" outlineLevel="1">
      <c r="A82" s="759" t="s">
        <v>15</v>
      </c>
      <c r="B82" s="740"/>
      <c r="C82" s="760"/>
      <c r="D82" s="740"/>
      <c r="E82" s="740"/>
      <c r="F82" s="740"/>
      <c r="G82" s="739"/>
      <c r="H82" s="740"/>
      <c r="I82" s="760"/>
      <c r="J82" s="740"/>
      <c r="K82" s="740"/>
      <c r="L82" s="740"/>
      <c r="M82" s="739"/>
      <c r="N82" s="740"/>
      <c r="O82" s="760"/>
      <c r="P82" s="740"/>
      <c r="Q82" s="740"/>
      <c r="R82" s="740"/>
      <c r="S82" s="739"/>
      <c r="T82" s="740"/>
      <c r="U82" s="761"/>
      <c r="V82" s="762"/>
      <c r="W82" s="762"/>
      <c r="X82" s="762"/>
      <c r="Y82" s="739"/>
      <c r="Z82" s="740"/>
      <c r="AA82" s="761"/>
      <c r="AB82" s="762"/>
      <c r="AC82" s="762"/>
      <c r="AD82" s="762"/>
      <c r="AE82" s="739"/>
      <c r="AF82" s="740"/>
      <c r="AG82" s="1617"/>
      <c r="AH82" s="1618"/>
      <c r="AI82" s="1618"/>
      <c r="AJ82" s="1618"/>
      <c r="AK82" s="1619"/>
      <c r="AL82" s="740"/>
      <c r="AM82" s="1617"/>
      <c r="AN82" s="1618"/>
      <c r="AO82" s="1618"/>
      <c r="AP82" s="1618"/>
      <c r="AQ82" s="1619"/>
      <c r="AR82" s="740"/>
      <c r="AS82" s="1617"/>
      <c r="AT82" s="1618"/>
      <c r="AU82" s="1618"/>
      <c r="AV82" s="1618"/>
      <c r="AW82" s="1619"/>
      <c r="AX82" s="1611"/>
      <c r="AY82" s="1432">
        <f>AW82+AY81</f>
        <v>16.876000000000001</v>
      </c>
      <c r="AZ82" s="1611">
        <f>AY82+AZ81</f>
        <v>40.891887218045113</v>
      </c>
      <c r="BA82" s="1611">
        <f>AZ82+BA81</f>
        <v>67.341135338345865</v>
      </c>
      <c r="BB82" s="1611">
        <f>BA82+BB81</f>
        <v>79.217135338345869</v>
      </c>
      <c r="BC82" s="1610">
        <f>BB82</f>
        <v>79.217135338345869</v>
      </c>
      <c r="BD82" s="1611"/>
      <c r="BE82" s="1432">
        <f>BC82+BE81</f>
        <v>94.17299548872181</v>
      </c>
      <c r="BF82" s="1611">
        <f>BE82+BF81</f>
        <v>102.18765563909776</v>
      </c>
      <c r="BG82" s="1611">
        <f>BF82+BG81</f>
        <v>106.22105563909776</v>
      </c>
      <c r="BH82" s="1611">
        <f>BG82+BH81</f>
        <v>107.15905563909776</v>
      </c>
      <c r="BI82" s="1610">
        <f>BH82</f>
        <v>107.15905563909776</v>
      </c>
      <c r="BJ82" s="1611"/>
      <c r="BK82" s="1432">
        <f>BI82+BK81</f>
        <v>107.15905563909776</v>
      </c>
      <c r="BL82" s="1611">
        <f>BK82+BL81</f>
        <v>107.15905563909776</v>
      </c>
      <c r="BM82" s="1611">
        <f>BL82+BM81</f>
        <v>107.15905563909776</v>
      </c>
      <c r="BN82" s="1611">
        <f>BM82+BN81</f>
        <v>107.15905563909776</v>
      </c>
      <c r="BO82" s="1610">
        <f>BN82</f>
        <v>107.15905563909776</v>
      </c>
      <c r="BP82" s="1611"/>
      <c r="BQ82" s="1432">
        <f>BO82+BQ81</f>
        <v>107.15905563909776</v>
      </c>
      <c r="BR82" s="1611">
        <f>BQ82+BR81</f>
        <v>107.15905563909776</v>
      </c>
      <c r="BS82" s="1611">
        <f>BR82+BS81</f>
        <v>107.15905563909776</v>
      </c>
      <c r="BT82" s="1611">
        <f>BS82+BT81</f>
        <v>107.15905563909776</v>
      </c>
      <c r="BU82" s="1610">
        <f>BT82</f>
        <v>107.15905563909776</v>
      </c>
      <c r="BV82" s="1611"/>
      <c r="BW82" s="1432">
        <f>BU82+BW81</f>
        <v>107.15905563909776</v>
      </c>
      <c r="BX82" s="1611">
        <f>BW82+BX81</f>
        <v>107.15905563909776</v>
      </c>
      <c r="BY82" s="1611">
        <f>BX82+BY81</f>
        <v>107.15905563909776</v>
      </c>
      <c r="BZ82" s="1611">
        <f>BY82+BZ81</f>
        <v>107.15905563909776</v>
      </c>
      <c r="CA82" s="1610">
        <f>BZ82</f>
        <v>107.15905563909776</v>
      </c>
      <c r="CB82" s="1611"/>
      <c r="CC82" s="1432">
        <f>CA82+CC81</f>
        <v>107.15905563909776</v>
      </c>
      <c r="CD82" s="1611">
        <f>CC82+CD81</f>
        <v>107.15905563909776</v>
      </c>
      <c r="CE82" s="1611">
        <f>CD82+CE81</f>
        <v>107.15905563909776</v>
      </c>
      <c r="CF82" s="1611">
        <f>CE82+CF81</f>
        <v>107.15905563909776</v>
      </c>
      <c r="CG82" s="1610">
        <f>CF82</f>
        <v>107.15905563909776</v>
      </c>
      <c r="CH82" s="1611"/>
      <c r="CI82" s="1432">
        <f>CG82+CI81</f>
        <v>107.15905563909776</v>
      </c>
      <c r="CJ82" s="1611">
        <f>CI82+CJ81</f>
        <v>107.15905563909776</v>
      </c>
      <c r="CK82" s="1611">
        <f>CJ82+CK81</f>
        <v>107.15905563909776</v>
      </c>
      <c r="CL82" s="1611">
        <f>CK82+CL81</f>
        <v>107.15905563909776</v>
      </c>
      <c r="CM82" s="1610">
        <f>CL82</f>
        <v>107.15905563909776</v>
      </c>
      <c r="CN82" s="1611"/>
      <c r="CO82" s="1432">
        <f>CM82+CO81</f>
        <v>107.15905563909776</v>
      </c>
      <c r="CP82" s="1611">
        <f>CO82+CP81</f>
        <v>107.15905563909776</v>
      </c>
      <c r="CQ82" s="1611">
        <f>CP82+CQ81</f>
        <v>107.15905563909776</v>
      </c>
      <c r="CR82" s="1611">
        <f>CQ82+CR81</f>
        <v>107.15905563909776</v>
      </c>
      <c r="CS82" s="1610">
        <f>CR82</f>
        <v>107.15905563909776</v>
      </c>
      <c r="DD82" s="205"/>
      <c r="DE82" s="205"/>
      <c r="DF82" s="205"/>
      <c r="DG82" s="205"/>
      <c r="DH82" s="205"/>
      <c r="DI82" s="205"/>
      <c r="DJ82" s="205"/>
      <c r="DK82" s="205"/>
      <c r="DL82" s="205"/>
      <c r="DM82" s="205"/>
      <c r="DN82" s="205"/>
      <c r="DO82" s="205"/>
      <c r="DP82" s="205"/>
      <c r="DQ82" s="205"/>
      <c r="DR82" s="205"/>
      <c r="DS82" s="205"/>
      <c r="DT82" s="205"/>
    </row>
    <row r="83" spans="1:124" ht="12.75" hidden="1" customHeight="1" outlineLevel="1">
      <c r="A83" s="1765" t="s">
        <v>534</v>
      </c>
      <c r="B83" s="740"/>
      <c r="C83" s="760"/>
      <c r="D83" s="740"/>
      <c r="E83" s="740"/>
      <c r="F83" s="740"/>
      <c r="G83" s="739"/>
      <c r="H83" s="740"/>
      <c r="I83" s="760"/>
      <c r="J83" s="740"/>
      <c r="K83" s="740"/>
      <c r="L83" s="740"/>
      <c r="M83" s="739"/>
      <c r="N83" s="740"/>
      <c r="O83" s="760"/>
      <c r="P83" s="740"/>
      <c r="Q83" s="740"/>
      <c r="R83" s="740"/>
      <c r="S83" s="739"/>
      <c r="T83" s="740"/>
      <c r="U83" s="761"/>
      <c r="V83" s="762"/>
      <c r="W83" s="762"/>
      <c r="X83" s="762"/>
      <c r="Y83" s="739"/>
      <c r="Z83" s="740"/>
      <c r="AA83" s="761"/>
      <c r="AB83" s="762"/>
      <c r="AC83" s="762"/>
      <c r="AD83" s="762"/>
      <c r="AE83" s="739"/>
      <c r="AF83" s="740"/>
      <c r="AG83" s="1617"/>
      <c r="AH83" s="1618"/>
      <c r="AI83" s="1618"/>
      <c r="AJ83" s="1618"/>
      <c r="AK83" s="1619"/>
      <c r="AL83" s="740"/>
      <c r="AM83" s="1617"/>
      <c r="AN83" s="1618"/>
      <c r="AO83" s="1618"/>
      <c r="AP83" s="1618"/>
      <c r="AQ83" s="1619"/>
      <c r="AR83" s="740"/>
      <c r="AS83" s="1617"/>
      <c r="AT83" s="1618"/>
      <c r="AU83" s="1618"/>
      <c r="AV83" s="1618"/>
      <c r="AW83" s="1619"/>
      <c r="AX83" s="1611"/>
      <c r="AY83" s="1432">
        <f>AY84*$AW$154</f>
        <v>1.8760000000000001</v>
      </c>
      <c r="AZ83" s="1611">
        <f>AZ84*$AW$154</f>
        <v>3.7520000000000002</v>
      </c>
      <c r="BA83" s="1611">
        <f>BA84*$AW$154</f>
        <v>4.6900000000000004</v>
      </c>
      <c r="BB83" s="1611">
        <f>BB84*$AW$154</f>
        <v>1.8760000000000001</v>
      </c>
      <c r="BC83" s="1610">
        <f>SUM(AY83:BB83)</f>
        <v>12.194000000000001</v>
      </c>
      <c r="BD83" s="1611"/>
      <c r="BE83" s="1432">
        <f>BE84*$AW$154</f>
        <v>12.7568</v>
      </c>
      <c r="BF83" s="1611">
        <f>BF84*$AW$154</f>
        <v>5.8155999999999999</v>
      </c>
      <c r="BG83" s="1611">
        <f>BG84*$AW$154</f>
        <v>4.0334000000000003</v>
      </c>
      <c r="BH83" s="1611">
        <f>BH84*$AW$154</f>
        <v>0.93800000000000006</v>
      </c>
      <c r="BI83" s="1610">
        <f>SUM(BE83:BH83)</f>
        <v>23.543800000000001</v>
      </c>
      <c r="BJ83" s="1611"/>
      <c r="BK83" s="1432">
        <f>BK84*BH174</f>
        <v>0</v>
      </c>
      <c r="BL83" s="1611">
        <f>BL84*BK174</f>
        <v>0</v>
      </c>
      <c r="BM83" s="1611">
        <f>BM84*BL174</f>
        <v>0</v>
      </c>
      <c r="BN83" s="1611">
        <f>BN84*BM174</f>
        <v>0</v>
      </c>
      <c r="BO83" s="1610">
        <f>SUM(BK83:BN83)</f>
        <v>0</v>
      </c>
      <c r="BP83" s="1611"/>
      <c r="BQ83" s="1432">
        <f>BQ84*BN174</f>
        <v>0</v>
      </c>
      <c r="BR83" s="1611">
        <f>BR84*BQ174</f>
        <v>0</v>
      </c>
      <c r="BS83" s="1611">
        <f>BS84*BR174</f>
        <v>0</v>
      </c>
      <c r="BT83" s="1611">
        <f>BT84*BS174</f>
        <v>0</v>
      </c>
      <c r="BU83" s="1610">
        <f>SUM(BQ83:BT83)</f>
        <v>0</v>
      </c>
      <c r="BV83" s="1611"/>
      <c r="BW83" s="1432">
        <f>BW84*BT174</f>
        <v>0</v>
      </c>
      <c r="BX83" s="1611">
        <f>BX84*BW174</f>
        <v>0</v>
      </c>
      <c r="BY83" s="1611">
        <f>BY84*BX174</f>
        <v>0</v>
      </c>
      <c r="BZ83" s="1611">
        <f>BZ84*BY174</f>
        <v>0</v>
      </c>
      <c r="CA83" s="1610">
        <f>SUM(BW83:BZ83)</f>
        <v>0</v>
      </c>
      <c r="CB83" s="1611"/>
      <c r="CC83" s="1432">
        <f>CC84*BZ174</f>
        <v>0</v>
      </c>
      <c r="CD83" s="1611">
        <f>CD84*CC174</f>
        <v>0</v>
      </c>
      <c r="CE83" s="1611">
        <f>CE84*CD174</f>
        <v>0</v>
      </c>
      <c r="CF83" s="1611">
        <f>CF84*CE174</f>
        <v>0</v>
      </c>
      <c r="CG83" s="1610">
        <f>SUM(CC83:CF83)</f>
        <v>0</v>
      </c>
      <c r="CH83" s="1611"/>
      <c r="CI83" s="1432">
        <f>CI84*CF174</f>
        <v>0</v>
      </c>
      <c r="CJ83" s="1611">
        <f>CJ84*CI174</f>
        <v>0</v>
      </c>
      <c r="CK83" s="1611">
        <f>CK84*CJ174</f>
        <v>0</v>
      </c>
      <c r="CL83" s="1611">
        <f>CL84*CK174</f>
        <v>0</v>
      </c>
      <c r="CM83" s="1610">
        <f>SUM(CI83:CL83)</f>
        <v>0</v>
      </c>
      <c r="CN83" s="1611"/>
      <c r="CO83" s="1432">
        <f>CO84*CL174</f>
        <v>0</v>
      </c>
      <c r="CP83" s="1611">
        <f>CP84*CO174</f>
        <v>0</v>
      </c>
      <c r="CQ83" s="1611">
        <f>CQ84*CP174</f>
        <v>0</v>
      </c>
      <c r="CR83" s="1611">
        <f>CR84*CQ174</f>
        <v>0</v>
      </c>
      <c r="CS83" s="1610">
        <f>SUM(CO83:CR83)</f>
        <v>0</v>
      </c>
      <c r="CT83" s="205"/>
      <c r="CU83" s="205"/>
      <c r="CV83" s="205"/>
      <c r="CW83" s="1039"/>
      <c r="CX83" s="1039"/>
      <c r="CY83" s="1039"/>
      <c r="CZ83" s="1039"/>
      <c r="DA83" s="1039"/>
      <c r="DB83" s="1039"/>
      <c r="DC83" s="1039"/>
      <c r="DD83" s="205"/>
      <c r="DE83" s="205"/>
      <c r="DF83" s="205"/>
      <c r="DG83" s="205"/>
      <c r="DH83" s="205"/>
      <c r="DI83" s="205"/>
      <c r="DJ83" s="205"/>
      <c r="DK83" s="205"/>
      <c r="DL83" s="205"/>
      <c r="DM83" s="205"/>
      <c r="DN83" s="205"/>
      <c r="DO83" s="205"/>
      <c r="DP83" s="205"/>
      <c r="DQ83" s="205"/>
      <c r="DR83" s="205"/>
      <c r="DS83" s="205"/>
      <c r="DT83" s="205"/>
    </row>
    <row r="84" spans="1:124" ht="12.75" hidden="1" customHeight="1" outlineLevel="1">
      <c r="A84" s="731" t="s">
        <v>532</v>
      </c>
      <c r="B84" s="60"/>
      <c r="C84" s="752"/>
      <c r="D84" s="60"/>
      <c r="E84" s="60"/>
      <c r="F84" s="60"/>
      <c r="G84" s="736"/>
      <c r="H84" s="60"/>
      <c r="I84" s="753"/>
      <c r="J84" s="226"/>
      <c r="K84" s="226"/>
      <c r="L84" s="226"/>
      <c r="M84" s="736"/>
      <c r="N84" s="60"/>
      <c r="O84" s="753"/>
      <c r="P84" s="226"/>
      <c r="Q84" s="226"/>
      <c r="R84" s="226"/>
      <c r="S84" s="736"/>
      <c r="T84" s="60"/>
      <c r="U84" s="758"/>
      <c r="V84" s="223"/>
      <c r="W84" s="223"/>
      <c r="X84" s="223"/>
      <c r="Y84" s="224"/>
      <c r="Z84" s="60"/>
      <c r="AA84" s="758"/>
      <c r="AB84" s="223"/>
      <c r="AC84" s="223"/>
      <c r="AD84" s="223"/>
      <c r="AE84" s="224"/>
      <c r="AF84" s="60"/>
      <c r="AG84" s="1617"/>
      <c r="AH84" s="1618"/>
      <c r="AI84" s="1618"/>
      <c r="AJ84" s="1618"/>
      <c r="AK84" s="1619"/>
      <c r="AL84" s="740"/>
      <c r="AM84" s="1617"/>
      <c r="AN84" s="1618"/>
      <c r="AO84" s="1618"/>
      <c r="AP84" s="1618"/>
      <c r="AQ84" s="1619"/>
      <c r="AR84" s="740"/>
      <c r="AS84" s="1617"/>
      <c r="AT84" s="1618"/>
      <c r="AU84" s="1618"/>
      <c r="AV84" s="1618"/>
      <c r="AW84" s="1619"/>
      <c r="AX84" s="1698"/>
      <c r="AY84" s="2162">
        <v>2E-3</v>
      </c>
      <c r="AZ84" s="114">
        <v>4.0000000000000001E-3</v>
      </c>
      <c r="BA84" s="114">
        <v>5.0000000000000001E-3</v>
      </c>
      <c r="BB84" s="114">
        <v>2E-3</v>
      </c>
      <c r="BC84" s="209">
        <v>2E-3</v>
      </c>
      <c r="BD84" s="1698"/>
      <c r="BE84" s="2363">
        <v>1.3599999999999999E-2</v>
      </c>
      <c r="BF84" s="2364">
        <v>6.1999999999999998E-3</v>
      </c>
      <c r="BG84" s="2364">
        <v>4.3E-3</v>
      </c>
      <c r="BH84" s="2364">
        <v>1E-3</v>
      </c>
      <c r="BI84" s="209">
        <v>2E-3</v>
      </c>
      <c r="BJ84" s="1698"/>
      <c r="BK84" s="2363">
        <v>0</v>
      </c>
      <c r="BL84" s="2364">
        <v>0</v>
      </c>
      <c r="BM84" s="2364">
        <v>0</v>
      </c>
      <c r="BN84" s="2364">
        <v>0</v>
      </c>
      <c r="BO84" s="209">
        <f>(BO83+BI83+BC83+AW83)/$AI$152</f>
        <v>2.987136301707637E-2</v>
      </c>
      <c r="BP84" s="1698"/>
      <c r="BQ84" s="2363">
        <v>0</v>
      </c>
      <c r="BR84" s="2364">
        <v>0</v>
      </c>
      <c r="BS84" s="2364">
        <v>0</v>
      </c>
      <c r="BT84" s="2364">
        <v>0</v>
      </c>
      <c r="BU84" s="209">
        <f>(BU83+BO83+BI83+BC83)/$AI$152</f>
        <v>2.987136301707637E-2</v>
      </c>
      <c r="BV84" s="1698"/>
      <c r="BW84" s="2363">
        <v>0</v>
      </c>
      <c r="BX84" s="2364">
        <v>0</v>
      </c>
      <c r="BY84" s="2364">
        <v>0</v>
      </c>
      <c r="BZ84" s="2364">
        <v>0</v>
      </c>
      <c r="CA84" s="209">
        <f>(CA83+BU83+BO83+BI83)/$AI$152</f>
        <v>1.9679034428572623E-2</v>
      </c>
      <c r="CB84" s="1698"/>
      <c r="CC84" s="2363">
        <v>0</v>
      </c>
      <c r="CD84" s="2364">
        <v>0</v>
      </c>
      <c r="CE84" s="2364">
        <v>0</v>
      </c>
      <c r="CF84" s="2364">
        <v>0</v>
      </c>
      <c r="CG84" s="209">
        <f>(CG83+CA83+BU83+BO83)/$AI$152</f>
        <v>0</v>
      </c>
      <c r="CH84" s="1698"/>
      <c r="CI84" s="2363">
        <v>0</v>
      </c>
      <c r="CJ84" s="2364">
        <v>0</v>
      </c>
      <c r="CK84" s="2364">
        <v>0</v>
      </c>
      <c r="CL84" s="2364">
        <v>0</v>
      </c>
      <c r="CM84" s="209">
        <f>(CM83+CG83+CA83+BU83)/$AI$152</f>
        <v>0</v>
      </c>
      <c r="CN84" s="1698"/>
      <c r="CO84" s="2363">
        <v>0</v>
      </c>
      <c r="CP84" s="2364">
        <v>0</v>
      </c>
      <c r="CQ84" s="2364">
        <v>0</v>
      </c>
      <c r="CR84" s="2364">
        <v>0</v>
      </c>
      <c r="CS84" s="209">
        <f>(CS83+CM83+CG83+CA83)/$AI$152</f>
        <v>0</v>
      </c>
      <c r="CT84" s="60"/>
      <c r="CU84" s="60"/>
      <c r="CV84" s="60"/>
      <c r="CW84" s="952"/>
      <c r="CX84" s="952"/>
      <c r="CY84" s="952"/>
      <c r="CZ84" s="952"/>
      <c r="DA84" s="952"/>
      <c r="DB84" s="952"/>
      <c r="DC84" s="952"/>
      <c r="DD84" s="60"/>
      <c r="DE84" s="60"/>
      <c r="DF84" s="60"/>
      <c r="DG84" s="60"/>
      <c r="DH84" s="60"/>
      <c r="DI84" s="68"/>
      <c r="DJ84" s="68"/>
      <c r="DK84" s="68"/>
      <c r="DL84" s="68"/>
      <c r="DM84" s="68"/>
      <c r="DN84" s="68"/>
      <c r="DO84" s="68"/>
      <c r="DP84" s="68"/>
      <c r="DQ84" s="68"/>
      <c r="DR84" s="68"/>
      <c r="DS84" s="68"/>
      <c r="DT84" s="68"/>
    </row>
    <row r="85" spans="1:124" ht="12.75" hidden="1" customHeight="1" outlineLevel="1">
      <c r="A85" s="1765" t="s">
        <v>617</v>
      </c>
      <c r="B85" s="60"/>
      <c r="C85" s="752"/>
      <c r="D85" s="60"/>
      <c r="E85" s="60"/>
      <c r="F85" s="60"/>
      <c r="G85" s="736"/>
      <c r="H85" s="60"/>
      <c r="I85" s="753"/>
      <c r="J85" s="226"/>
      <c r="K85" s="226"/>
      <c r="L85" s="226"/>
      <c r="M85" s="736"/>
      <c r="N85" s="60"/>
      <c r="O85" s="753"/>
      <c r="P85" s="226"/>
      <c r="Q85" s="226"/>
      <c r="R85" s="226"/>
      <c r="S85" s="736"/>
      <c r="T85" s="60"/>
      <c r="U85" s="758"/>
      <c r="V85" s="223"/>
      <c r="W85" s="223"/>
      <c r="X85" s="223"/>
      <c r="Y85" s="224"/>
      <c r="Z85" s="60"/>
      <c r="AA85" s="758"/>
      <c r="AB85" s="223"/>
      <c r="AC85" s="223"/>
      <c r="AD85" s="223"/>
      <c r="AE85" s="224"/>
      <c r="AF85" s="60"/>
      <c r="AG85" s="1617"/>
      <c r="AH85" s="1618"/>
      <c r="AI85" s="1618"/>
      <c r="AJ85" s="1618"/>
      <c r="AK85" s="1619"/>
      <c r="AL85" s="740"/>
      <c r="AM85" s="1617"/>
      <c r="AN85" s="1618"/>
      <c r="AO85" s="1618"/>
      <c r="AP85" s="1618"/>
      <c r="AQ85" s="1619"/>
      <c r="AR85" s="740"/>
      <c r="AS85" s="1617"/>
      <c r="AT85" s="1618"/>
      <c r="AU85" s="1618"/>
      <c r="AV85" s="1618"/>
      <c r="AW85" s="1619"/>
      <c r="AX85" s="1698"/>
      <c r="AY85" s="1432">
        <f>AY86*$AW$152</f>
        <v>0</v>
      </c>
      <c r="AZ85" s="1611">
        <f>AZ86*$AW$152</f>
        <v>0.26388721804511278</v>
      </c>
      <c r="BA85" s="1611">
        <f>BA86*$AW$152</f>
        <v>1.7592481203007519</v>
      </c>
      <c r="BB85" s="1611">
        <f>BB86*$AW$152</f>
        <v>0</v>
      </c>
      <c r="BC85" s="1610">
        <f>SUM(AY85:BB85)</f>
        <v>2.0231353383458646</v>
      </c>
      <c r="BD85" s="1611"/>
      <c r="BE85" s="1432">
        <f>BE86*$AW$152</f>
        <v>2.1990601503759399</v>
      </c>
      <c r="BF85" s="1611">
        <f>BF86*$AW$152</f>
        <v>2.1990601503759399</v>
      </c>
      <c r="BG85" s="1611">
        <f>BG86*$AW$152</f>
        <v>0</v>
      </c>
      <c r="BH85" s="1611">
        <f>BH86*$AW$152</f>
        <v>0</v>
      </c>
      <c r="BI85" s="1610">
        <f>SUM(BE85:BH85)</f>
        <v>4.3981203007518799</v>
      </c>
      <c r="BJ85" s="1611"/>
      <c r="BK85" s="1432">
        <f>BK86*$AW$152</f>
        <v>0</v>
      </c>
      <c r="BL85" s="1611">
        <f>BL86*$AW$152</f>
        <v>0</v>
      </c>
      <c r="BM85" s="1611">
        <f>BM86*$AW$152</f>
        <v>0</v>
      </c>
      <c r="BN85" s="1611">
        <f>BN86*$AW$152</f>
        <v>0</v>
      </c>
      <c r="BO85" s="1610">
        <f>SUM(BK85:BN85)</f>
        <v>0</v>
      </c>
      <c r="BP85" s="1611"/>
      <c r="BQ85" s="1432">
        <f>BQ86*$AW$152</f>
        <v>0</v>
      </c>
      <c r="BR85" s="1611">
        <f>BR86*$AW$152</f>
        <v>0</v>
      </c>
      <c r="BS85" s="1611">
        <f>BS86*$AW$152</f>
        <v>0</v>
      </c>
      <c r="BT85" s="1611">
        <f>BT86*$AW$152</f>
        <v>0</v>
      </c>
      <c r="BU85" s="1610">
        <f>SUM(BQ85:BT85)</f>
        <v>0</v>
      </c>
      <c r="BV85" s="1611"/>
      <c r="BW85" s="1432">
        <f>BW86*$AW$152</f>
        <v>0</v>
      </c>
      <c r="BX85" s="1611">
        <f>BX86*$AW$152</f>
        <v>0</v>
      </c>
      <c r="BY85" s="1611">
        <f>BY86*$AW$152</f>
        <v>0</v>
      </c>
      <c r="BZ85" s="1611">
        <f>BZ86*$AW$152</f>
        <v>0</v>
      </c>
      <c r="CA85" s="1610">
        <f>SUM(BW85:BZ85)</f>
        <v>0</v>
      </c>
      <c r="CB85" s="1611"/>
      <c r="CC85" s="1432">
        <f>CC86*$AW$152</f>
        <v>0</v>
      </c>
      <c r="CD85" s="1611">
        <f>CD86*$AW$152</f>
        <v>0</v>
      </c>
      <c r="CE85" s="1611">
        <f>CE86*$AW$152</f>
        <v>0</v>
      </c>
      <c r="CF85" s="1611">
        <f>CF86*$AW$152</f>
        <v>0</v>
      </c>
      <c r="CG85" s="1610">
        <f>SUM(CC85:CF85)</f>
        <v>0</v>
      </c>
      <c r="CH85" s="1611"/>
      <c r="CI85" s="1432">
        <f>CI86*$AW$152</f>
        <v>0</v>
      </c>
      <c r="CJ85" s="1611">
        <f>CJ86*$AW$152</f>
        <v>0</v>
      </c>
      <c r="CK85" s="1611">
        <f>CK86*$AW$152</f>
        <v>0</v>
      </c>
      <c r="CL85" s="1611">
        <f>CL86*$AW$152</f>
        <v>0</v>
      </c>
      <c r="CM85" s="1610">
        <f>SUM(CI85:CL85)</f>
        <v>0</v>
      </c>
      <c r="CN85" s="1611"/>
      <c r="CO85" s="1432">
        <f>CO86*$AW$152</f>
        <v>0</v>
      </c>
      <c r="CP85" s="1611">
        <f>CP86*$AW$152</f>
        <v>0</v>
      </c>
      <c r="CQ85" s="1611">
        <f>CQ86*$AW$152</f>
        <v>0</v>
      </c>
      <c r="CR85" s="1611">
        <f>CR86*$AW$152</f>
        <v>0</v>
      </c>
      <c r="CS85" s="1610">
        <f>SUM(CO85:CR85)</f>
        <v>0</v>
      </c>
      <c r="CT85" s="60"/>
      <c r="CU85" s="60"/>
      <c r="CV85" s="60"/>
      <c r="CW85" s="952"/>
      <c r="CX85" s="952"/>
      <c r="CY85" s="952"/>
      <c r="CZ85" s="952"/>
      <c r="DA85" s="952"/>
      <c r="DB85" s="952"/>
      <c r="DC85" s="952"/>
      <c r="DD85" s="60"/>
      <c r="DE85" s="60"/>
      <c r="DF85" s="60"/>
      <c r="DG85" s="60"/>
      <c r="DH85" s="60"/>
      <c r="DI85" s="68"/>
      <c r="DJ85" s="68"/>
      <c r="DK85" s="68"/>
      <c r="DL85" s="68"/>
      <c r="DM85" s="68"/>
      <c r="DN85" s="68"/>
      <c r="DO85" s="68"/>
      <c r="DP85" s="68"/>
      <c r="DQ85" s="68"/>
      <c r="DR85" s="68"/>
      <c r="DS85" s="68"/>
      <c r="DT85" s="68"/>
    </row>
    <row r="86" spans="1:124" ht="12.75" hidden="1" customHeight="1" outlineLevel="1">
      <c r="A86" s="731" t="s">
        <v>532</v>
      </c>
      <c r="B86" s="60"/>
      <c r="C86" s="752"/>
      <c r="D86" s="60"/>
      <c r="E86" s="60"/>
      <c r="F86" s="60"/>
      <c r="G86" s="736"/>
      <c r="H86" s="60"/>
      <c r="I86" s="753"/>
      <c r="J86" s="226"/>
      <c r="K86" s="226"/>
      <c r="L86" s="226"/>
      <c r="M86" s="736"/>
      <c r="N86" s="60"/>
      <c r="O86" s="753"/>
      <c r="P86" s="226"/>
      <c r="Q86" s="226"/>
      <c r="R86" s="226"/>
      <c r="S86" s="736"/>
      <c r="T86" s="60"/>
      <c r="U86" s="758"/>
      <c r="V86" s="223"/>
      <c r="W86" s="223"/>
      <c r="X86" s="223"/>
      <c r="Y86" s="224"/>
      <c r="Z86" s="60"/>
      <c r="AA86" s="758"/>
      <c r="AB86" s="223"/>
      <c r="AC86" s="223"/>
      <c r="AD86" s="223"/>
      <c r="AE86" s="224"/>
      <c r="AF86" s="60"/>
      <c r="AG86" s="1617"/>
      <c r="AH86" s="1618"/>
      <c r="AI86" s="1618"/>
      <c r="AJ86" s="1618"/>
      <c r="AK86" s="1619"/>
      <c r="AL86" s="740"/>
      <c r="AM86" s="1617"/>
      <c r="AN86" s="1618"/>
      <c r="AO86" s="1618"/>
      <c r="AP86" s="1618"/>
      <c r="AQ86" s="1619"/>
      <c r="AR86" s="740"/>
      <c r="AS86" s="1617"/>
      <c r="AT86" s="1618"/>
      <c r="AU86" s="1618"/>
      <c r="AV86" s="1618"/>
      <c r="AW86" s="1619"/>
      <c r="AX86" s="1698"/>
      <c r="AY86" s="2162">
        <v>0</v>
      </c>
      <c r="AZ86" s="114">
        <v>2.9999999999999997E-4</v>
      </c>
      <c r="BA86" s="114">
        <v>2E-3</v>
      </c>
      <c r="BB86" s="114">
        <v>0</v>
      </c>
      <c r="BC86" s="209">
        <v>2E-3</v>
      </c>
      <c r="BD86" s="1698"/>
      <c r="BE86" s="2363">
        <v>2.5000000000000001E-3</v>
      </c>
      <c r="BF86" s="2364">
        <v>2.5000000000000001E-3</v>
      </c>
      <c r="BG86" s="2364">
        <v>0</v>
      </c>
      <c r="BH86" s="2364">
        <v>0</v>
      </c>
      <c r="BI86" s="209">
        <v>2E-3</v>
      </c>
      <c r="BJ86" s="1698"/>
      <c r="BK86" s="2363">
        <v>0</v>
      </c>
      <c r="BL86" s="2364">
        <v>0</v>
      </c>
      <c r="BM86" s="2364">
        <v>0</v>
      </c>
      <c r="BN86" s="2364">
        <v>0</v>
      </c>
      <c r="BO86" s="209">
        <f>(BO85+BI85+BC85+AW85)/$AI$152</f>
        <v>5.36719267053197E-3</v>
      </c>
      <c r="BP86" s="1698"/>
      <c r="BQ86" s="2363">
        <v>0</v>
      </c>
      <c r="BR86" s="2364">
        <v>0</v>
      </c>
      <c r="BS86" s="2364">
        <v>0</v>
      </c>
      <c r="BT86" s="2364">
        <v>0</v>
      </c>
      <c r="BU86" s="209">
        <f>(BU85+BO85+BI85+BC85)/$AI$152</f>
        <v>5.36719267053197E-3</v>
      </c>
      <c r="BV86" s="1698"/>
      <c r="BW86" s="2363">
        <v>0</v>
      </c>
      <c r="BX86" s="2364">
        <v>0</v>
      </c>
      <c r="BY86" s="2364">
        <v>0</v>
      </c>
      <c r="BZ86" s="2364">
        <v>0</v>
      </c>
      <c r="CA86" s="209">
        <f>(CA85+BU85+BO85+BI85)/$AI$152</f>
        <v>3.676159363378062E-3</v>
      </c>
      <c r="CB86" s="1698"/>
      <c r="CC86" s="2363">
        <v>0</v>
      </c>
      <c r="CD86" s="2364">
        <v>0</v>
      </c>
      <c r="CE86" s="2364">
        <v>0</v>
      </c>
      <c r="CF86" s="2364">
        <v>0</v>
      </c>
      <c r="CG86" s="209">
        <f>(CG85+CA85+BU85+BO85)/$AI$152</f>
        <v>0</v>
      </c>
      <c r="CH86" s="1698"/>
      <c r="CI86" s="2363">
        <v>0</v>
      </c>
      <c r="CJ86" s="2364">
        <v>0</v>
      </c>
      <c r="CK86" s="2364">
        <v>0</v>
      </c>
      <c r="CL86" s="2364">
        <v>0</v>
      </c>
      <c r="CM86" s="209">
        <f>(CM85+CG85+CA85+BU85)/$AI$152</f>
        <v>0</v>
      </c>
      <c r="CN86" s="1698"/>
      <c r="CO86" s="2363">
        <v>0</v>
      </c>
      <c r="CP86" s="2364">
        <v>0</v>
      </c>
      <c r="CQ86" s="2364">
        <v>0</v>
      </c>
      <c r="CR86" s="2364">
        <v>0</v>
      </c>
      <c r="CS86" s="209">
        <f>(CS85+CM85+CG85+CA85)/$AI$152</f>
        <v>0</v>
      </c>
      <c r="CT86" s="60"/>
      <c r="CU86" s="60"/>
      <c r="CV86" s="60"/>
      <c r="CW86" s="952"/>
      <c r="CX86" s="952"/>
      <c r="CY86" s="952"/>
      <c r="CZ86" s="952"/>
      <c r="DA86" s="952"/>
      <c r="DB86" s="952"/>
      <c r="DC86" s="952"/>
      <c r="DD86" s="60"/>
      <c r="DE86" s="60"/>
      <c r="DF86" s="60"/>
      <c r="DG86" s="60"/>
      <c r="DH86" s="60"/>
      <c r="DI86" s="68"/>
      <c r="DJ86" s="68"/>
      <c r="DK86" s="68"/>
      <c r="DL86" s="68"/>
      <c r="DM86" s="68"/>
      <c r="DN86" s="68"/>
      <c r="DO86" s="68"/>
      <c r="DP86" s="68"/>
      <c r="DQ86" s="68"/>
      <c r="DR86" s="68"/>
      <c r="DS86" s="68"/>
      <c r="DT86" s="68"/>
    </row>
    <row r="87" spans="1:124" ht="12.75" hidden="1" customHeight="1" outlineLevel="1">
      <c r="A87" s="799" t="s">
        <v>226</v>
      </c>
      <c r="B87" s="800"/>
      <c r="C87" s="801"/>
      <c r="D87" s="800"/>
      <c r="E87" s="800"/>
      <c r="F87" s="800"/>
      <c r="G87" s="802"/>
      <c r="H87" s="800"/>
      <c r="I87" s="803"/>
      <c r="J87" s="804"/>
      <c r="K87" s="804"/>
      <c r="L87" s="804"/>
      <c r="M87" s="802"/>
      <c r="N87" s="800"/>
      <c r="O87" s="803"/>
      <c r="P87" s="804"/>
      <c r="Q87" s="804"/>
      <c r="R87" s="804"/>
      <c r="S87" s="802"/>
      <c r="T87" s="800"/>
      <c r="U87" s="805"/>
      <c r="V87" s="806"/>
      <c r="W87" s="806"/>
      <c r="X87" s="806"/>
      <c r="Y87" s="807"/>
      <c r="Z87" s="800"/>
      <c r="AA87" s="805"/>
      <c r="AB87" s="806"/>
      <c r="AC87" s="806"/>
      <c r="AD87" s="806"/>
      <c r="AE87" s="807"/>
      <c r="AF87" s="800"/>
      <c r="AG87" s="1620"/>
      <c r="AH87" s="1621"/>
      <c r="AI87" s="1621"/>
      <c r="AJ87" s="1621"/>
      <c r="AK87" s="1622"/>
      <c r="AL87" s="1031"/>
      <c r="AM87" s="1620"/>
      <c r="AN87" s="1621"/>
      <c r="AO87" s="1621"/>
      <c r="AP87" s="1621"/>
      <c r="AQ87" s="1622"/>
      <c r="AR87" s="1031"/>
      <c r="AS87" s="1620"/>
      <c r="AT87" s="1621"/>
      <c r="AU87" s="1621"/>
      <c r="AV87" s="1621"/>
      <c r="AW87" s="1622"/>
      <c r="AX87" s="1671"/>
      <c r="AY87" s="2085">
        <v>15</v>
      </c>
      <c r="AZ87" s="2086">
        <v>20</v>
      </c>
      <c r="BA87" s="2086">
        <f>AZ87</f>
        <v>20</v>
      </c>
      <c r="BB87" s="2086">
        <v>10</v>
      </c>
      <c r="BC87" s="1672">
        <f>SUM(AY87:BB87)</f>
        <v>65</v>
      </c>
      <c r="BD87" s="1671"/>
      <c r="BE87" s="2180">
        <v>0</v>
      </c>
      <c r="BF87" s="2133">
        <v>0</v>
      </c>
      <c r="BG87" s="2133">
        <v>0</v>
      </c>
      <c r="BH87" s="2133">
        <v>0</v>
      </c>
      <c r="BI87" s="1672">
        <f>SUM(BE87:BH87)</f>
        <v>0</v>
      </c>
      <c r="BJ87" s="1671"/>
      <c r="BK87" s="2180">
        <v>0</v>
      </c>
      <c r="BL87" s="2133">
        <v>0</v>
      </c>
      <c r="BM87" s="2133">
        <f>BL87</f>
        <v>0</v>
      </c>
      <c r="BN87" s="2133">
        <f>BM87</f>
        <v>0</v>
      </c>
      <c r="BO87" s="1672">
        <f>SUM(BK87:BN87)</f>
        <v>0</v>
      </c>
      <c r="BP87" s="1671"/>
      <c r="BQ87" s="2180">
        <v>0</v>
      </c>
      <c r="BR87" s="2133">
        <f>BQ87</f>
        <v>0</v>
      </c>
      <c r="BS87" s="2133">
        <f>BR87</f>
        <v>0</v>
      </c>
      <c r="BT87" s="2133">
        <f>BS87</f>
        <v>0</v>
      </c>
      <c r="BU87" s="1672">
        <f>SUM(BQ87:BT87)</f>
        <v>0</v>
      </c>
      <c r="BV87" s="1671"/>
      <c r="BW87" s="2180">
        <v>0</v>
      </c>
      <c r="BX87" s="2133">
        <f>BW87</f>
        <v>0</v>
      </c>
      <c r="BY87" s="2133">
        <f>BX87</f>
        <v>0</v>
      </c>
      <c r="BZ87" s="2133">
        <f>BY87</f>
        <v>0</v>
      </c>
      <c r="CA87" s="1672">
        <f>SUM(BW87:BZ87)</f>
        <v>0</v>
      </c>
      <c r="CB87" s="1671"/>
      <c r="CC87" s="2180">
        <v>0</v>
      </c>
      <c r="CD87" s="2133">
        <f>CC87</f>
        <v>0</v>
      </c>
      <c r="CE87" s="2133">
        <f>CD87</f>
        <v>0</v>
      </c>
      <c r="CF87" s="2133">
        <f>CE87</f>
        <v>0</v>
      </c>
      <c r="CG87" s="1672">
        <f>SUM(CC87:CF87)</f>
        <v>0</v>
      </c>
      <c r="CH87" s="1671"/>
      <c r="CI87" s="2180">
        <v>0</v>
      </c>
      <c r="CJ87" s="2133">
        <f>CI87</f>
        <v>0</v>
      </c>
      <c r="CK87" s="2133">
        <f>CJ87</f>
        <v>0</v>
      </c>
      <c r="CL87" s="2133">
        <f>CK87</f>
        <v>0</v>
      </c>
      <c r="CM87" s="1672">
        <f>SUM(CI87:CL87)</f>
        <v>0</v>
      </c>
      <c r="CN87" s="1671"/>
      <c r="CO87" s="2180">
        <v>0</v>
      </c>
      <c r="CP87" s="2133">
        <f>CO87</f>
        <v>0</v>
      </c>
      <c r="CQ87" s="2133">
        <f>CP87</f>
        <v>0</v>
      </c>
      <c r="CR87" s="2133">
        <f>CQ87</f>
        <v>0</v>
      </c>
      <c r="CS87" s="1672">
        <f>SUM(CO87:CR87)</f>
        <v>0</v>
      </c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60"/>
      <c r="DI87" s="68"/>
      <c r="DJ87" s="68"/>
      <c r="DK87" s="68"/>
      <c r="DL87" s="68"/>
      <c r="DM87" s="68"/>
      <c r="DN87" s="68"/>
      <c r="DO87" s="68"/>
      <c r="DP87" s="68"/>
      <c r="DQ87" s="68"/>
      <c r="DR87" s="68"/>
      <c r="DS87" s="68"/>
      <c r="DT87" s="68"/>
    </row>
    <row r="88" spans="1:124" ht="12.75" hidden="1" customHeight="1" outlineLevel="1">
      <c r="A88" s="1747" t="s">
        <v>514</v>
      </c>
      <c r="B88" s="205"/>
      <c r="C88" s="750"/>
      <c r="D88" s="205"/>
      <c r="E88" s="205"/>
      <c r="F88" s="205"/>
      <c r="G88" s="191"/>
      <c r="H88" s="205"/>
      <c r="I88" s="750"/>
      <c r="J88" s="205"/>
      <c r="K88" s="205"/>
      <c r="L88" s="205"/>
      <c r="M88" s="191"/>
      <c r="N88" s="205"/>
      <c r="O88" s="750"/>
      <c r="P88" s="205"/>
      <c r="Q88" s="205"/>
      <c r="R88" s="205"/>
      <c r="S88" s="221"/>
      <c r="T88" s="222"/>
      <c r="U88" s="755"/>
      <c r="V88" s="220"/>
      <c r="W88" s="220"/>
      <c r="X88" s="220"/>
      <c r="Y88" s="221"/>
      <c r="Z88" s="222"/>
      <c r="AA88" s="755"/>
      <c r="AB88" s="220"/>
      <c r="AC88" s="220"/>
      <c r="AD88" s="220"/>
      <c r="AE88" s="221"/>
      <c r="AF88" s="222"/>
      <c r="AG88" s="1617"/>
      <c r="AH88" s="1618"/>
      <c r="AI88" s="1618"/>
      <c r="AJ88" s="1618"/>
      <c r="AK88" s="1619"/>
      <c r="AL88" s="740"/>
      <c r="AM88" s="1617"/>
      <c r="AN88" s="1618"/>
      <c r="AO88" s="1618"/>
      <c r="AP88" s="1618"/>
      <c r="AQ88" s="1619"/>
      <c r="AR88" s="740"/>
      <c r="AS88" s="1617"/>
      <c r="AT88" s="1618"/>
      <c r="AU88" s="1618"/>
      <c r="AV88" s="1618"/>
      <c r="AW88" s="1619"/>
      <c r="AX88" s="1386"/>
      <c r="AY88" s="89">
        <f>((AY96*AY89)+(AY94*AY89))/1000</f>
        <v>30.169750000000001</v>
      </c>
      <c r="AZ88" s="9">
        <f>((AZ96*AZ89)+(AZ94*AZ89))/1000</f>
        <v>40.680665099999999</v>
      </c>
      <c r="BA88" s="9">
        <f>((BA96*BA89)+(BA94*BA89))/1000</f>
        <v>37.108436400000002</v>
      </c>
      <c r="BB88" s="9">
        <f>((BB96*BB89)+(BB94*BB89))/1000</f>
        <v>29.359950299999998</v>
      </c>
      <c r="BC88" s="1696">
        <f>SUM(AY88:BB88)</f>
        <v>137.31880179999999</v>
      </c>
      <c r="BD88" s="1386"/>
      <c r="BE88" s="89">
        <f>(((BE96+BE94)*BE89)+(BE93*BE90))/1000</f>
        <v>22.1585</v>
      </c>
      <c r="BF88" s="9">
        <f>(((BF96+BF94)*BF89)+(BF93*BF90))/1000</f>
        <v>21.314299999999999</v>
      </c>
      <c r="BG88" s="9">
        <f>(((BG96+BG94)*BG89)+(BG93*BG90))/1000</f>
        <v>14.98105</v>
      </c>
      <c r="BH88" s="9">
        <f>(((BH96+BH94)*BH89)+(BH93*BH90))/1000</f>
        <v>19.3445</v>
      </c>
      <c r="BI88" s="1696">
        <f>SUM(BE88:BH88)</f>
        <v>77.798349999999999</v>
      </c>
      <c r="BJ88" s="1386"/>
      <c r="BK88" s="89">
        <f>(((BK96+BK94)*BK89)+(BK93*BK90))/1000</f>
        <v>5.2762500000000001</v>
      </c>
      <c r="BL88" s="9">
        <f>(((BL96+BL94)*BL89)+(BL93*BL90))/1000</f>
        <v>0</v>
      </c>
      <c r="BM88" s="9">
        <f>(((BM96+BM94)*BM89)+(BM93*BM90))/1000</f>
        <v>0</v>
      </c>
      <c r="BN88" s="9">
        <f>(((BN96+BN94)*BN89)+(BN93*BN90))/1000</f>
        <v>1.05</v>
      </c>
      <c r="BO88" s="1696">
        <f>SUM(BK88:BN88)</f>
        <v>6.3262499999999999</v>
      </c>
      <c r="BP88" s="1386"/>
      <c r="BQ88" s="89">
        <f>(((BQ96+BQ94)*BQ89)+(BQ93*BQ90))/1000</f>
        <v>0</v>
      </c>
      <c r="BR88" s="9">
        <f>(((BR96+BR94)*BR89)+(BR93*BR90))/1000</f>
        <v>0</v>
      </c>
      <c r="BS88" s="9">
        <f>(((BS96+BS94)*BS89)+(BS93*BS90))/1000</f>
        <v>0</v>
      </c>
      <c r="BT88" s="9">
        <f>(((BT96+BT94)*BT89)+(BT93*BT90))/1000</f>
        <v>0</v>
      </c>
      <c r="BU88" s="1696">
        <f>SUM(BQ88:BT88)</f>
        <v>0</v>
      </c>
      <c r="BV88" s="1386"/>
      <c r="BW88" s="89">
        <f>(((BW96+BW94)*BW89)+(BW93*BW90))/1000</f>
        <v>0</v>
      </c>
      <c r="BX88" s="9">
        <f>(((BX96+BX94)*BX89)+(BX93*BX90))/1000</f>
        <v>0</v>
      </c>
      <c r="BY88" s="9">
        <f>(((BY96+BY94)*BY89)+(BY93*BY90))/1000</f>
        <v>0</v>
      </c>
      <c r="BZ88" s="9">
        <f>(((BZ96+BZ94)*BZ89)+(BZ93*BZ90))/1000</f>
        <v>0</v>
      </c>
      <c r="CA88" s="1696">
        <f>SUM(BW88:BZ88)</f>
        <v>0</v>
      </c>
      <c r="CB88" s="1386"/>
      <c r="CC88" s="89">
        <f>(((CC96+CC94)*CC89)+(CC93*CC90))/1000</f>
        <v>0</v>
      </c>
      <c r="CD88" s="9">
        <f>(((CD96+CD94)*CD89)+(CD93*CD90))/1000</f>
        <v>0</v>
      </c>
      <c r="CE88" s="9">
        <f>(((CE96+CE94)*CE89)+(CE93*CE90))/1000</f>
        <v>0</v>
      </c>
      <c r="CF88" s="9">
        <f>(((CF96+CF94)*CF89)+(CF93*CF90))/1000</f>
        <v>0</v>
      </c>
      <c r="CG88" s="1696">
        <f>SUM(CC88:CF88)</f>
        <v>0</v>
      </c>
      <c r="CH88" s="1386"/>
      <c r="CI88" s="89">
        <f>(((CI96+CI94)*CI89)+(CI93*CI90))/1000</f>
        <v>0</v>
      </c>
      <c r="CJ88" s="9">
        <f>(((CJ96+CJ94)*CJ89)+(CJ93*CJ90))/1000</f>
        <v>0</v>
      </c>
      <c r="CK88" s="9">
        <f>(((CK96+CK94)*CK89)+(CK93*CK90))/1000</f>
        <v>0</v>
      </c>
      <c r="CL88" s="9">
        <f>(((CL96+CL94)*CL89)+(CL93*CL90))/1000</f>
        <v>0</v>
      </c>
      <c r="CM88" s="1696">
        <f>SUM(CI88:CL88)</f>
        <v>0</v>
      </c>
      <c r="CN88" s="1386"/>
      <c r="CO88" s="89">
        <f>(((CO96+CO94)*CO89)+(CO93*CO90))/1000</f>
        <v>0</v>
      </c>
      <c r="CP88" s="9">
        <f>(((CP96+CP94)*CP89)+(CP93*CP90))/1000</f>
        <v>0</v>
      </c>
      <c r="CQ88" s="9">
        <f>(((CQ96+CQ94)*CQ89)+(CQ93*CQ90))/1000</f>
        <v>0</v>
      </c>
      <c r="CR88" s="9">
        <f>(((CR96+CR94)*CR89)+(CR93*CR90))/1000</f>
        <v>0</v>
      </c>
      <c r="CS88" s="1696">
        <f>SUM(CO88:CR88)</f>
        <v>0</v>
      </c>
      <c r="CT88" s="205"/>
      <c r="CU88" s="205"/>
      <c r="CV88" s="205"/>
      <c r="CW88" s="205"/>
      <c r="CX88" s="205"/>
      <c r="CY88" s="205"/>
      <c r="CZ88" s="205"/>
      <c r="DA88" s="205"/>
      <c r="DB88" s="205"/>
      <c r="DC88" s="205"/>
      <c r="DD88" s="205"/>
      <c r="DE88" s="205"/>
      <c r="DF88" s="205"/>
      <c r="DG88" s="205"/>
      <c r="DH88" s="205"/>
      <c r="DI88" s="205"/>
      <c r="DJ88" s="205"/>
      <c r="DK88" s="205"/>
      <c r="DL88" s="205"/>
      <c r="DM88" s="205"/>
      <c r="DN88" s="205"/>
      <c r="DO88" s="205"/>
      <c r="DP88" s="205"/>
      <c r="DQ88" s="205"/>
      <c r="DR88" s="205"/>
      <c r="DS88" s="205"/>
      <c r="DT88" s="205"/>
    </row>
    <row r="89" spans="1:124" ht="12.75" hidden="1" customHeight="1" outlineLevel="1">
      <c r="A89" s="735" t="s">
        <v>363</v>
      </c>
      <c r="B89" s="201"/>
      <c r="C89" s="751"/>
      <c r="D89" s="201"/>
      <c r="E89" s="201"/>
      <c r="F89" s="201"/>
      <c r="G89" s="203"/>
      <c r="H89" s="201"/>
      <c r="I89" s="751"/>
      <c r="J89" s="201"/>
      <c r="K89" s="201"/>
      <c r="L89" s="201"/>
      <c r="M89" s="203"/>
      <c r="N89" s="201"/>
      <c r="O89" s="751"/>
      <c r="P89" s="201"/>
      <c r="Q89" s="201"/>
      <c r="R89" s="201"/>
      <c r="S89" s="203"/>
      <c r="T89" s="201"/>
      <c r="U89" s="756"/>
      <c r="V89" s="81"/>
      <c r="W89" s="81"/>
      <c r="X89" s="81"/>
      <c r="Y89" s="203"/>
      <c r="Z89" s="201"/>
      <c r="AA89" s="756"/>
      <c r="AB89" s="81"/>
      <c r="AC89" s="81"/>
      <c r="AD89" s="81"/>
      <c r="AE89" s="203"/>
      <c r="AF89" s="201"/>
      <c r="AG89" s="1617"/>
      <c r="AH89" s="1618"/>
      <c r="AI89" s="1618"/>
      <c r="AJ89" s="1618"/>
      <c r="AK89" s="1619"/>
      <c r="AL89" s="740"/>
      <c r="AM89" s="1642"/>
      <c r="AN89" s="1618"/>
      <c r="AO89" s="1618"/>
      <c r="AP89" s="1618"/>
      <c r="AQ89" s="1619"/>
      <c r="AR89" s="740"/>
      <c r="AS89" s="1642"/>
      <c r="AT89" s="1618"/>
      <c r="AU89" s="1618"/>
      <c r="AV89" s="1618"/>
      <c r="AW89" s="1619"/>
      <c r="AX89" s="1401"/>
      <c r="AY89" s="2144">
        <v>650</v>
      </c>
      <c r="AZ89" s="2145">
        <f>900*0.97*0.85</f>
        <v>742.05</v>
      </c>
      <c r="BA89" s="2145">
        <f>+AZ89</f>
        <v>742.05</v>
      </c>
      <c r="BB89" s="2145">
        <f>BA89</f>
        <v>742.05</v>
      </c>
      <c r="BC89" s="1606">
        <f>+SUMPRODUCT(AY89:BB89,AY96:BB96)/BC96</f>
        <v>721.59444444444443</v>
      </c>
      <c r="BD89" s="1401"/>
      <c r="BE89" s="2148">
        <v>750</v>
      </c>
      <c r="BF89" s="2149">
        <f t="shared" ref="BF89:BH90" si="308">BE89</f>
        <v>750</v>
      </c>
      <c r="BG89" s="2149">
        <f t="shared" si="308"/>
        <v>750</v>
      </c>
      <c r="BH89" s="2149">
        <f t="shared" si="308"/>
        <v>750</v>
      </c>
      <c r="BI89" s="1606">
        <f>+AVERAGE(BE89:BH89)</f>
        <v>750</v>
      </c>
      <c r="BJ89" s="1401"/>
      <c r="BK89" s="2148">
        <f>+BI89</f>
        <v>750</v>
      </c>
      <c r="BL89" s="2149">
        <f t="shared" ref="BL89:BN90" si="309">BK89</f>
        <v>750</v>
      </c>
      <c r="BM89" s="2149">
        <f t="shared" si="309"/>
        <v>750</v>
      </c>
      <c r="BN89" s="2149">
        <f t="shared" si="309"/>
        <v>750</v>
      </c>
      <c r="BO89" s="1606">
        <f>+AVERAGE(BK89:BN89)</f>
        <v>750</v>
      </c>
      <c r="BP89" s="1401"/>
      <c r="BQ89" s="2148">
        <f>+BO89</f>
        <v>750</v>
      </c>
      <c r="BR89" s="2149">
        <f t="shared" ref="BR89:BT90" si="310">BQ89</f>
        <v>750</v>
      </c>
      <c r="BS89" s="2149">
        <f t="shared" si="310"/>
        <v>750</v>
      </c>
      <c r="BT89" s="2149">
        <f t="shared" si="310"/>
        <v>750</v>
      </c>
      <c r="BU89" s="1606">
        <f>+AVERAGE(BQ89:BT89)</f>
        <v>750</v>
      </c>
      <c r="BV89" s="1401"/>
      <c r="BW89" s="2148">
        <f>+BU89</f>
        <v>750</v>
      </c>
      <c r="BX89" s="2149">
        <f t="shared" ref="BX89:BX90" si="311">BW89</f>
        <v>750</v>
      </c>
      <c r="BY89" s="2149">
        <f t="shared" ref="BY89:BY90" si="312">BX89</f>
        <v>750</v>
      </c>
      <c r="BZ89" s="2149">
        <f t="shared" ref="BZ89:BZ90" si="313">BY89</f>
        <v>750</v>
      </c>
      <c r="CA89" s="1606">
        <f>+AVERAGE(BW89:BZ89)</f>
        <v>750</v>
      </c>
      <c r="CB89" s="1401"/>
      <c r="CC89" s="2148">
        <f>+CA89</f>
        <v>750</v>
      </c>
      <c r="CD89" s="2149">
        <f t="shared" ref="CD89:CD90" si="314">CC89</f>
        <v>750</v>
      </c>
      <c r="CE89" s="2149">
        <f t="shared" ref="CE89:CE90" si="315">CD89</f>
        <v>750</v>
      </c>
      <c r="CF89" s="2149">
        <f t="shared" ref="CF89:CF90" si="316">CE89</f>
        <v>750</v>
      </c>
      <c r="CG89" s="1606">
        <f>+AVERAGE(CC89:CF89)</f>
        <v>750</v>
      </c>
      <c r="CH89" s="1401"/>
      <c r="CI89" s="2148">
        <f>+CG89</f>
        <v>750</v>
      </c>
      <c r="CJ89" s="2149">
        <f t="shared" ref="CJ89:CJ90" si="317">CI89</f>
        <v>750</v>
      </c>
      <c r="CK89" s="2149">
        <f t="shared" ref="CK89:CK90" si="318">CJ89</f>
        <v>750</v>
      </c>
      <c r="CL89" s="2149">
        <f t="shared" ref="CL89:CL90" si="319">CK89</f>
        <v>750</v>
      </c>
      <c r="CM89" s="1606">
        <f>+AVERAGE(CI89:CL89)</f>
        <v>750</v>
      </c>
      <c r="CN89" s="1401"/>
      <c r="CO89" s="2148">
        <f>+CM89</f>
        <v>750</v>
      </c>
      <c r="CP89" s="2149">
        <f t="shared" ref="CP89:CP90" si="320">CO89</f>
        <v>750</v>
      </c>
      <c r="CQ89" s="2149">
        <f t="shared" ref="CQ89:CQ90" si="321">CP89</f>
        <v>750</v>
      </c>
      <c r="CR89" s="2149">
        <f t="shared" ref="CR89:CR90" si="322">CQ89</f>
        <v>750</v>
      </c>
      <c r="CS89" s="1606">
        <f>+AVERAGE(CO89:CR89)</f>
        <v>750</v>
      </c>
      <c r="CT89" s="201"/>
      <c r="CU89" s="201"/>
      <c r="CV89" s="201"/>
      <c r="CW89" s="201"/>
      <c r="CX89" s="201"/>
      <c r="CY89" s="201"/>
      <c r="CZ89" s="201"/>
      <c r="DA89" s="201"/>
      <c r="DB89" s="201"/>
      <c r="DC89" s="201"/>
      <c r="DD89" s="201"/>
      <c r="DE89" s="201"/>
      <c r="DF89" s="201"/>
      <c r="DG89" s="201"/>
      <c r="DH89" s="201"/>
      <c r="DI89" s="201"/>
      <c r="DJ89" s="201"/>
      <c r="DK89" s="201"/>
      <c r="DL89" s="201"/>
      <c r="DM89" s="201"/>
      <c r="DN89" s="201"/>
      <c r="DO89" s="201"/>
      <c r="DP89" s="201"/>
      <c r="DQ89" s="201"/>
      <c r="DR89" s="201"/>
      <c r="DS89" s="201"/>
      <c r="DT89" s="201"/>
    </row>
    <row r="90" spans="1:124" ht="12.75" hidden="1" customHeight="1" outlineLevel="1">
      <c r="A90" s="735" t="s">
        <v>364</v>
      </c>
      <c r="B90" s="201"/>
      <c r="C90" s="751"/>
      <c r="D90" s="201"/>
      <c r="E90" s="201"/>
      <c r="F90" s="201"/>
      <c r="G90" s="203"/>
      <c r="H90" s="201"/>
      <c r="I90" s="751"/>
      <c r="J90" s="201"/>
      <c r="K90" s="201"/>
      <c r="L90" s="201"/>
      <c r="M90" s="203"/>
      <c r="N90" s="201"/>
      <c r="O90" s="751"/>
      <c r="P90" s="201"/>
      <c r="Q90" s="201"/>
      <c r="R90" s="201"/>
      <c r="S90" s="203"/>
      <c r="T90" s="201"/>
      <c r="U90" s="756"/>
      <c r="V90" s="81"/>
      <c r="W90" s="81"/>
      <c r="X90" s="81"/>
      <c r="Y90" s="203"/>
      <c r="Z90" s="201"/>
      <c r="AA90" s="756"/>
      <c r="AB90" s="81"/>
      <c r="AC90" s="81"/>
      <c r="AD90" s="81"/>
      <c r="AE90" s="203"/>
      <c r="AF90" s="201"/>
      <c r="AG90" s="1617"/>
      <c r="AH90" s="1618"/>
      <c r="AI90" s="1618"/>
      <c r="AJ90" s="1618"/>
      <c r="AK90" s="1619"/>
      <c r="AL90" s="740"/>
      <c r="AM90" s="1642"/>
      <c r="AN90" s="1618"/>
      <c r="AO90" s="1618"/>
      <c r="AP90" s="1618"/>
      <c r="AQ90" s="1619"/>
      <c r="AR90" s="740"/>
      <c r="AS90" s="1642"/>
      <c r="AT90" s="1618"/>
      <c r="AU90" s="1618"/>
      <c r="AV90" s="1618"/>
      <c r="AW90" s="1619"/>
      <c r="AX90" s="1401"/>
      <c r="AY90" s="1435">
        <v>0</v>
      </c>
      <c r="AZ90" s="1401">
        <v>0</v>
      </c>
      <c r="BA90" s="1401">
        <f>AZ90</f>
        <v>0</v>
      </c>
      <c r="BB90" s="1401">
        <f>BA90</f>
        <v>0</v>
      </c>
      <c r="BC90" s="1606">
        <v>0</v>
      </c>
      <c r="BD90" s="1401"/>
      <c r="BE90" s="2148">
        <v>350</v>
      </c>
      <c r="BF90" s="2149">
        <f t="shared" si="308"/>
        <v>350</v>
      </c>
      <c r="BG90" s="2149">
        <f t="shared" si="308"/>
        <v>350</v>
      </c>
      <c r="BH90" s="2149">
        <f t="shared" si="308"/>
        <v>350</v>
      </c>
      <c r="BI90" s="1606">
        <f>+AVERAGE(BE90:BH90)</f>
        <v>350</v>
      </c>
      <c r="BJ90" s="1401"/>
      <c r="BK90" s="2148">
        <v>350</v>
      </c>
      <c r="BL90" s="2149">
        <f t="shared" si="309"/>
        <v>350</v>
      </c>
      <c r="BM90" s="2149">
        <f t="shared" si="309"/>
        <v>350</v>
      </c>
      <c r="BN90" s="2149">
        <f t="shared" si="309"/>
        <v>350</v>
      </c>
      <c r="BO90" s="1606">
        <f>+AVERAGE(BK90:BN90)</f>
        <v>350</v>
      </c>
      <c r="BP90" s="1401"/>
      <c r="BQ90" s="2148">
        <v>350</v>
      </c>
      <c r="BR90" s="2149">
        <f t="shared" si="310"/>
        <v>350</v>
      </c>
      <c r="BS90" s="2149">
        <f t="shared" si="310"/>
        <v>350</v>
      </c>
      <c r="BT90" s="2149">
        <f t="shared" si="310"/>
        <v>350</v>
      </c>
      <c r="BU90" s="1606">
        <f>+AVERAGE(BQ90:BT90)</f>
        <v>350</v>
      </c>
      <c r="BV90" s="1401"/>
      <c r="BW90" s="2148">
        <v>350</v>
      </c>
      <c r="BX90" s="2149">
        <f t="shared" si="311"/>
        <v>350</v>
      </c>
      <c r="BY90" s="2149">
        <f t="shared" si="312"/>
        <v>350</v>
      </c>
      <c r="BZ90" s="2149">
        <f t="shared" si="313"/>
        <v>350</v>
      </c>
      <c r="CA90" s="1606">
        <f>+AVERAGE(BW90:BZ90)</f>
        <v>350</v>
      </c>
      <c r="CB90" s="1401"/>
      <c r="CC90" s="2148">
        <v>350</v>
      </c>
      <c r="CD90" s="2149">
        <f t="shared" si="314"/>
        <v>350</v>
      </c>
      <c r="CE90" s="2149">
        <f t="shared" si="315"/>
        <v>350</v>
      </c>
      <c r="CF90" s="2149">
        <f t="shared" si="316"/>
        <v>350</v>
      </c>
      <c r="CG90" s="1606">
        <f>+AVERAGE(CC90:CF90)</f>
        <v>350</v>
      </c>
      <c r="CH90" s="1401"/>
      <c r="CI90" s="2148">
        <v>350</v>
      </c>
      <c r="CJ90" s="2149">
        <f t="shared" si="317"/>
        <v>350</v>
      </c>
      <c r="CK90" s="2149">
        <f t="shared" si="318"/>
        <v>350</v>
      </c>
      <c r="CL90" s="2149">
        <f t="shared" si="319"/>
        <v>350</v>
      </c>
      <c r="CM90" s="1606">
        <f>+AVERAGE(CI90:CL90)</f>
        <v>350</v>
      </c>
      <c r="CN90" s="1401"/>
      <c r="CO90" s="2148">
        <v>350</v>
      </c>
      <c r="CP90" s="2149">
        <f t="shared" si="320"/>
        <v>350</v>
      </c>
      <c r="CQ90" s="2149">
        <f t="shared" si="321"/>
        <v>350</v>
      </c>
      <c r="CR90" s="2149">
        <f t="shared" si="322"/>
        <v>350</v>
      </c>
      <c r="CS90" s="1606">
        <f>+AVERAGE(CO90:CR90)</f>
        <v>350</v>
      </c>
      <c r="CT90" s="201"/>
      <c r="CU90" s="201"/>
      <c r="CV90" s="201"/>
      <c r="CW90" s="201"/>
      <c r="CX90" s="201"/>
      <c r="CY90" s="201"/>
      <c r="CZ90" s="201"/>
      <c r="DA90" s="201"/>
      <c r="DB90" s="201"/>
      <c r="DC90" s="201"/>
      <c r="DD90" s="201"/>
      <c r="DE90" s="201"/>
      <c r="DF90" s="201"/>
      <c r="DG90" s="201"/>
      <c r="DH90" s="201"/>
      <c r="DI90" s="201"/>
      <c r="DJ90" s="201"/>
      <c r="DK90" s="201"/>
      <c r="DL90" s="201"/>
      <c r="DM90" s="201"/>
      <c r="DN90" s="201"/>
      <c r="DO90" s="201"/>
      <c r="DP90" s="201"/>
      <c r="DQ90" s="201"/>
      <c r="DR90" s="201"/>
      <c r="DS90" s="201"/>
      <c r="DT90" s="201"/>
    </row>
    <row r="91" spans="1:124" ht="12.75" hidden="1" customHeight="1" outlineLevel="1">
      <c r="A91" s="759" t="s">
        <v>218</v>
      </c>
      <c r="B91" s="740"/>
      <c r="C91" s="760"/>
      <c r="D91" s="740"/>
      <c r="E91" s="740"/>
      <c r="F91" s="740"/>
      <c r="G91" s="739"/>
      <c r="H91" s="740"/>
      <c r="I91" s="760"/>
      <c r="J91" s="740"/>
      <c r="K91" s="740"/>
      <c r="L91" s="740"/>
      <c r="M91" s="739"/>
      <c r="N91" s="740"/>
      <c r="O91" s="760"/>
      <c r="P91" s="740"/>
      <c r="Q91" s="740"/>
      <c r="R91" s="740"/>
      <c r="S91" s="739"/>
      <c r="T91" s="740"/>
      <c r="U91" s="761"/>
      <c r="V91" s="762"/>
      <c r="W91" s="762"/>
      <c r="X91" s="762"/>
      <c r="Y91" s="739"/>
      <c r="Z91" s="740"/>
      <c r="AA91" s="761"/>
      <c r="AB91" s="762"/>
      <c r="AC91" s="762"/>
      <c r="AD91" s="762"/>
      <c r="AE91" s="739"/>
      <c r="AF91" s="740"/>
      <c r="AG91" s="1617"/>
      <c r="AH91" s="1618"/>
      <c r="AI91" s="1618"/>
      <c r="AJ91" s="1618"/>
      <c r="AK91" s="1619"/>
      <c r="AL91" s="740"/>
      <c r="AM91" s="1642"/>
      <c r="AN91" s="1618"/>
      <c r="AO91" s="1618"/>
      <c r="AP91" s="1618"/>
      <c r="AQ91" s="1619"/>
      <c r="AR91" s="740"/>
      <c r="AS91" s="1642"/>
      <c r="AT91" s="1618"/>
      <c r="AU91" s="1618"/>
      <c r="AV91" s="1618"/>
      <c r="AW91" s="1619"/>
      <c r="AX91" s="1611"/>
      <c r="AY91" s="1432">
        <f>AY94+AY96+AY93</f>
        <v>46.415000000000006</v>
      </c>
      <c r="AZ91" s="1611">
        <f>AZ94+AZ96+AZ93</f>
        <v>54.822000000000003</v>
      </c>
      <c r="BA91" s="1611">
        <f>BA94+BA96+BA93</f>
        <v>50.008000000000003</v>
      </c>
      <c r="BB91" s="1611">
        <f>BB94+BB96+BB93</f>
        <v>39.566000000000003</v>
      </c>
      <c r="BC91" s="1610">
        <f>SUM(AY91:BB91)</f>
        <v>190.81100000000001</v>
      </c>
      <c r="BD91" s="1611"/>
      <c r="BE91" s="1432">
        <f>BE94+BE96+BE93</f>
        <v>30.077999999999999</v>
      </c>
      <c r="BF91" s="1611">
        <f>BF94+BF96+BF93</f>
        <v>28.952400000000001</v>
      </c>
      <c r="BG91" s="1611">
        <f>BG94+BG96+BG93</f>
        <v>21.041399999999999</v>
      </c>
      <c r="BH91" s="1611">
        <f>BH94+BH96+BH93</f>
        <v>26.326000000000001</v>
      </c>
      <c r="BI91" s="1610">
        <f>SUM(BE91:BH91)</f>
        <v>106.39779999999999</v>
      </c>
      <c r="BJ91" s="1611"/>
      <c r="BK91" s="1432">
        <f>BK94+BK96+BK93</f>
        <v>7.0350000000000001</v>
      </c>
      <c r="BL91" s="1611">
        <f>BL94+BL96+BL93</f>
        <v>0</v>
      </c>
      <c r="BM91" s="1611">
        <f>BM94+BM96+BM93</f>
        <v>0</v>
      </c>
      <c r="BN91" s="1611">
        <f>BN94+BN96+BN93</f>
        <v>3</v>
      </c>
      <c r="BO91" s="1610">
        <f>SUM(BK91:BN91)</f>
        <v>10.035</v>
      </c>
      <c r="BP91" s="1611"/>
      <c r="BQ91" s="1432">
        <f>BQ94+BQ96+BQ93</f>
        <v>0</v>
      </c>
      <c r="BR91" s="1611">
        <f>BR94+BR96+BR93</f>
        <v>0</v>
      </c>
      <c r="BS91" s="1611">
        <f>BS94+BS96+BS93</f>
        <v>0</v>
      </c>
      <c r="BT91" s="1611">
        <f>BT94+BT96+BT93</f>
        <v>0</v>
      </c>
      <c r="BU91" s="1610">
        <f>SUM(BQ91:BT91)</f>
        <v>0</v>
      </c>
      <c r="BV91" s="1611"/>
      <c r="BW91" s="1432">
        <f>BW94+BW96+BW93</f>
        <v>0</v>
      </c>
      <c r="BX91" s="1611">
        <f>BX94+BX96+BX93</f>
        <v>0</v>
      </c>
      <c r="BY91" s="1611">
        <f>BY94+BY96+BY93</f>
        <v>0</v>
      </c>
      <c r="BZ91" s="1611">
        <f>BZ94+BZ96+BZ93</f>
        <v>0</v>
      </c>
      <c r="CA91" s="1610">
        <f>SUM(BW91:BZ91)</f>
        <v>0</v>
      </c>
      <c r="CB91" s="1611"/>
      <c r="CC91" s="1432">
        <f>CC94+CC96+CC93</f>
        <v>0</v>
      </c>
      <c r="CD91" s="1611">
        <f>CD94+CD96+CD93</f>
        <v>0</v>
      </c>
      <c r="CE91" s="1611">
        <f>CE94+CE96+CE93</f>
        <v>0</v>
      </c>
      <c r="CF91" s="1611">
        <f>CF94+CF96+CF93</f>
        <v>0</v>
      </c>
      <c r="CG91" s="1610">
        <f>SUM(CC91:CF91)</f>
        <v>0</v>
      </c>
      <c r="CH91" s="1611"/>
      <c r="CI91" s="1432">
        <f>CI94+CI96+CI93</f>
        <v>0</v>
      </c>
      <c r="CJ91" s="1611">
        <f>CJ94+CJ96+CJ93</f>
        <v>0</v>
      </c>
      <c r="CK91" s="1611">
        <f>CK94+CK96+CK93</f>
        <v>0</v>
      </c>
      <c r="CL91" s="1611">
        <f>CL94+CL96+CL93</f>
        <v>0</v>
      </c>
      <c r="CM91" s="1610">
        <f>SUM(CI91:CL91)</f>
        <v>0</v>
      </c>
      <c r="CN91" s="1611"/>
      <c r="CO91" s="1432">
        <f>CO94+CO96+CO93</f>
        <v>0</v>
      </c>
      <c r="CP91" s="1611">
        <f>CP94+CP96+CP93</f>
        <v>0</v>
      </c>
      <c r="CQ91" s="1611">
        <f>CQ94+CQ96+CQ93</f>
        <v>0</v>
      </c>
      <c r="CR91" s="1611">
        <f>CR94+CR96+CR93</f>
        <v>0</v>
      </c>
      <c r="CS91" s="1610">
        <f>SUM(CO91:CR91)</f>
        <v>0</v>
      </c>
      <c r="CT91" s="205"/>
      <c r="CU91" s="205"/>
      <c r="CV91" s="205"/>
      <c r="CW91" s="205"/>
      <c r="CX91" s="205"/>
      <c r="CY91" s="205"/>
      <c r="CZ91" s="205"/>
      <c r="DA91" s="205"/>
      <c r="DB91" s="205"/>
      <c r="DC91" s="205"/>
      <c r="DD91" s="205"/>
      <c r="DE91" s="205"/>
      <c r="DF91" s="205"/>
      <c r="DG91" s="205"/>
      <c r="DH91" s="205"/>
      <c r="DI91" s="205"/>
      <c r="DJ91" s="205"/>
      <c r="DK91" s="205"/>
      <c r="DL91" s="205"/>
      <c r="DM91" s="205"/>
      <c r="DN91" s="205"/>
      <c r="DO91" s="205"/>
      <c r="DP91" s="205"/>
      <c r="DQ91" s="205"/>
      <c r="DR91" s="205"/>
      <c r="DS91" s="205"/>
      <c r="DT91" s="205"/>
    </row>
    <row r="92" spans="1:124" ht="12.75" hidden="1" customHeight="1" outlineLevel="1">
      <c r="A92" s="759" t="s">
        <v>15</v>
      </c>
      <c r="B92" s="740"/>
      <c r="C92" s="760"/>
      <c r="D92" s="740"/>
      <c r="E92" s="740"/>
      <c r="F92" s="740"/>
      <c r="G92" s="739"/>
      <c r="H92" s="740"/>
      <c r="I92" s="760"/>
      <c r="J92" s="740"/>
      <c r="K92" s="740"/>
      <c r="L92" s="740"/>
      <c r="M92" s="739"/>
      <c r="N92" s="740"/>
      <c r="O92" s="760"/>
      <c r="P92" s="740"/>
      <c r="Q92" s="740"/>
      <c r="R92" s="740"/>
      <c r="S92" s="739"/>
      <c r="T92" s="740"/>
      <c r="U92" s="761"/>
      <c r="V92" s="762"/>
      <c r="W92" s="762"/>
      <c r="X92" s="762"/>
      <c r="Y92" s="739"/>
      <c r="Z92" s="740"/>
      <c r="AA92" s="761"/>
      <c r="AB92" s="762"/>
      <c r="AC92" s="762"/>
      <c r="AD92" s="762"/>
      <c r="AE92" s="739"/>
      <c r="AF92" s="740"/>
      <c r="AG92" s="1617"/>
      <c r="AH92" s="1618"/>
      <c r="AI92" s="1618"/>
      <c r="AJ92" s="1618"/>
      <c r="AK92" s="1619"/>
      <c r="AL92" s="740"/>
      <c r="AM92" s="1617"/>
      <c r="AN92" s="1618"/>
      <c r="AO92" s="1618"/>
      <c r="AP92" s="1618"/>
      <c r="AQ92" s="1619"/>
      <c r="AR92" s="740"/>
      <c r="AS92" s="1617"/>
      <c r="AT92" s="1618"/>
      <c r="AU92" s="1618"/>
      <c r="AV92" s="1618"/>
      <c r="AW92" s="1619"/>
      <c r="AX92" s="1611"/>
      <c r="AY92" s="1432">
        <f>AW92+AY91</f>
        <v>46.415000000000006</v>
      </c>
      <c r="AZ92" s="1611">
        <f>AY92+AZ91</f>
        <v>101.23700000000001</v>
      </c>
      <c r="BA92" s="1611">
        <f>AZ92+BA91</f>
        <v>151.245</v>
      </c>
      <c r="BB92" s="1611">
        <f>BA92+BB91</f>
        <v>190.81100000000001</v>
      </c>
      <c r="BC92" s="1610">
        <f>BB92</f>
        <v>190.81100000000001</v>
      </c>
      <c r="BD92" s="1611"/>
      <c r="BE92" s="1432">
        <f>BC92+BE91</f>
        <v>220.88900000000001</v>
      </c>
      <c r="BF92" s="1611">
        <f>BE92+BF91</f>
        <v>249.84140000000002</v>
      </c>
      <c r="BG92" s="1611">
        <f>BF92+BG91</f>
        <v>270.88280000000003</v>
      </c>
      <c r="BH92" s="1611">
        <f>BG92+BH91</f>
        <v>297.20880000000005</v>
      </c>
      <c r="BI92" s="1610">
        <f>BH92</f>
        <v>297.20880000000005</v>
      </c>
      <c r="BJ92" s="1611"/>
      <c r="BK92" s="1432">
        <f>BI92+BK91</f>
        <v>304.24380000000008</v>
      </c>
      <c r="BL92" s="1611">
        <f>BK92+BL91</f>
        <v>304.24380000000008</v>
      </c>
      <c r="BM92" s="1611">
        <f>BL92+BM91</f>
        <v>304.24380000000008</v>
      </c>
      <c r="BN92" s="1611">
        <f>BM92+BN91</f>
        <v>307.24380000000008</v>
      </c>
      <c r="BO92" s="1610">
        <f>BN92</f>
        <v>307.24380000000008</v>
      </c>
      <c r="BP92" s="1611"/>
      <c r="BQ92" s="1432">
        <f>BO92+BQ91</f>
        <v>307.24380000000008</v>
      </c>
      <c r="BR92" s="1611">
        <f>BQ92+BR91</f>
        <v>307.24380000000008</v>
      </c>
      <c r="BS92" s="1611">
        <f>BR92+BS91</f>
        <v>307.24380000000008</v>
      </c>
      <c r="BT92" s="1611">
        <f>BS92+BT91</f>
        <v>307.24380000000008</v>
      </c>
      <c r="BU92" s="1610">
        <f>BT92</f>
        <v>307.24380000000008</v>
      </c>
      <c r="BV92" s="1611"/>
      <c r="BW92" s="1432">
        <f>BU92+BW91</f>
        <v>307.24380000000008</v>
      </c>
      <c r="BX92" s="1611">
        <f>BW92+BX91</f>
        <v>307.24380000000008</v>
      </c>
      <c r="BY92" s="1611">
        <f>BX92+BY91</f>
        <v>307.24380000000008</v>
      </c>
      <c r="BZ92" s="1611">
        <f>BY92+BZ91</f>
        <v>307.24380000000008</v>
      </c>
      <c r="CA92" s="1610">
        <f>BZ92</f>
        <v>307.24380000000008</v>
      </c>
      <c r="CB92" s="1611"/>
      <c r="CC92" s="1432">
        <f>CA92+CC91</f>
        <v>307.24380000000008</v>
      </c>
      <c r="CD92" s="1611">
        <f>CC92+CD91</f>
        <v>307.24380000000008</v>
      </c>
      <c r="CE92" s="1611">
        <f>CD92+CE91</f>
        <v>307.24380000000008</v>
      </c>
      <c r="CF92" s="1611">
        <f>CE92+CF91</f>
        <v>307.24380000000008</v>
      </c>
      <c r="CG92" s="1610">
        <f>CF92</f>
        <v>307.24380000000008</v>
      </c>
      <c r="CH92" s="1611"/>
      <c r="CI92" s="1432">
        <f>CG92+CI91</f>
        <v>307.24380000000008</v>
      </c>
      <c r="CJ92" s="1611">
        <f>CI92+CJ91</f>
        <v>307.24380000000008</v>
      </c>
      <c r="CK92" s="1611">
        <f>CJ92+CK91</f>
        <v>307.24380000000008</v>
      </c>
      <c r="CL92" s="1611">
        <f>CK92+CL91</f>
        <v>307.24380000000008</v>
      </c>
      <c r="CM92" s="1610">
        <f>CL92</f>
        <v>307.24380000000008</v>
      </c>
      <c r="CN92" s="1611"/>
      <c r="CO92" s="1432">
        <f>CM92+CO91</f>
        <v>307.24380000000008</v>
      </c>
      <c r="CP92" s="1611">
        <f>CO92+CP91</f>
        <v>307.24380000000008</v>
      </c>
      <c r="CQ92" s="1611">
        <f>CP92+CQ91</f>
        <v>307.24380000000008</v>
      </c>
      <c r="CR92" s="1611">
        <f>CQ92+CR91</f>
        <v>307.24380000000008</v>
      </c>
      <c r="CS92" s="1610">
        <f>CR92</f>
        <v>307.24380000000008</v>
      </c>
      <c r="CT92" s="205"/>
      <c r="CU92" s="952"/>
      <c r="CV92" s="205"/>
      <c r="CW92" s="205"/>
      <c r="CX92" s="205"/>
      <c r="CY92" s="205"/>
      <c r="CZ92" s="205"/>
      <c r="DA92" s="205"/>
      <c r="DB92" s="205"/>
      <c r="DC92" s="205"/>
      <c r="DD92" s="205"/>
      <c r="DE92" s="205"/>
      <c r="DF92" s="205"/>
      <c r="DG92" s="205"/>
      <c r="DH92" s="205"/>
      <c r="DI92" s="205"/>
      <c r="DJ92" s="205"/>
      <c r="DK92" s="205"/>
      <c r="DL92" s="205"/>
      <c r="DM92" s="205"/>
      <c r="DN92" s="205"/>
      <c r="DO92" s="205"/>
      <c r="DP92" s="205"/>
      <c r="DQ92" s="205"/>
      <c r="DR92" s="205"/>
      <c r="DS92" s="205"/>
      <c r="DT92" s="205"/>
    </row>
    <row r="93" spans="1:124" ht="12.75" hidden="1" customHeight="1" outlineLevel="1">
      <c r="A93" s="1765" t="s">
        <v>533</v>
      </c>
      <c r="B93" s="740"/>
      <c r="C93" s="760"/>
      <c r="D93" s="740"/>
      <c r="E93" s="740"/>
      <c r="F93" s="740"/>
      <c r="G93" s="739"/>
      <c r="H93" s="740"/>
      <c r="I93" s="760"/>
      <c r="J93" s="740"/>
      <c r="K93" s="740"/>
      <c r="L93" s="740"/>
      <c r="M93" s="739"/>
      <c r="N93" s="740"/>
      <c r="O93" s="760"/>
      <c r="P93" s="740"/>
      <c r="Q93" s="740"/>
      <c r="R93" s="740"/>
      <c r="S93" s="739"/>
      <c r="T93" s="740"/>
      <c r="U93" s="761"/>
      <c r="V93" s="762"/>
      <c r="W93" s="762"/>
      <c r="X93" s="762"/>
      <c r="Y93" s="739"/>
      <c r="Z93" s="740"/>
      <c r="AA93" s="761"/>
      <c r="AB93" s="762"/>
      <c r="AC93" s="762"/>
      <c r="AD93" s="762"/>
      <c r="AE93" s="739"/>
      <c r="AF93" s="740"/>
      <c r="AG93" s="1617"/>
      <c r="AH93" s="1618"/>
      <c r="AI93" s="1618"/>
      <c r="AJ93" s="1618"/>
      <c r="AK93" s="1619"/>
      <c r="AL93" s="740"/>
      <c r="AM93" s="1617"/>
      <c r="AN93" s="1618"/>
      <c r="AO93" s="1618"/>
      <c r="AP93" s="1618"/>
      <c r="AQ93" s="1619"/>
      <c r="AR93" s="740"/>
      <c r="AS93" s="1617"/>
      <c r="AT93" s="1618"/>
      <c r="AU93" s="1618"/>
      <c r="AV93" s="1618"/>
      <c r="AW93" s="1619"/>
      <c r="AX93" s="1611"/>
      <c r="AY93" s="1432">
        <v>0</v>
      </c>
      <c r="AZ93" s="1611">
        <v>0</v>
      </c>
      <c r="BA93" s="1611">
        <v>0</v>
      </c>
      <c r="BB93" s="1611">
        <v>0</v>
      </c>
      <c r="BC93" s="1610">
        <f>SUM(AY93:BB93)</f>
        <v>0</v>
      </c>
      <c r="BD93" s="1611"/>
      <c r="BE93" s="2182">
        <v>1</v>
      </c>
      <c r="BF93" s="2151">
        <v>1</v>
      </c>
      <c r="BG93" s="2151">
        <v>2</v>
      </c>
      <c r="BH93" s="2151">
        <v>1</v>
      </c>
      <c r="BI93" s="1610">
        <f>SUM(BE93:BH93)</f>
        <v>5</v>
      </c>
      <c r="BJ93" s="1611"/>
      <c r="BK93" s="2182">
        <v>0</v>
      </c>
      <c r="BL93" s="2151">
        <v>0</v>
      </c>
      <c r="BM93" s="2151">
        <v>0</v>
      </c>
      <c r="BN93" s="2151">
        <v>3</v>
      </c>
      <c r="BO93" s="1610">
        <f>SUM(BK93:BN93)</f>
        <v>3</v>
      </c>
      <c r="BP93" s="1611"/>
      <c r="BQ93" s="2182">
        <v>0</v>
      </c>
      <c r="BR93" s="2151">
        <v>0</v>
      </c>
      <c r="BS93" s="2151">
        <v>0</v>
      </c>
      <c r="BT93" s="2151">
        <v>0</v>
      </c>
      <c r="BU93" s="1610">
        <f>SUM(BQ93:BT93)</f>
        <v>0</v>
      </c>
      <c r="BV93" s="1611"/>
      <c r="BW93" s="2182">
        <v>0</v>
      </c>
      <c r="BX93" s="2151">
        <v>0</v>
      </c>
      <c r="BY93" s="2151">
        <v>0</v>
      </c>
      <c r="BZ93" s="2151">
        <v>0</v>
      </c>
      <c r="CA93" s="1610">
        <f>SUM(BW93:BZ93)</f>
        <v>0</v>
      </c>
      <c r="CB93" s="1611"/>
      <c r="CC93" s="2182">
        <v>0</v>
      </c>
      <c r="CD93" s="2151">
        <v>0</v>
      </c>
      <c r="CE93" s="2151">
        <v>0</v>
      </c>
      <c r="CF93" s="2151">
        <v>0</v>
      </c>
      <c r="CG93" s="1610">
        <f>SUM(CC93:CF93)</f>
        <v>0</v>
      </c>
      <c r="CH93" s="1611"/>
      <c r="CI93" s="2182">
        <v>0</v>
      </c>
      <c r="CJ93" s="2151">
        <v>0</v>
      </c>
      <c r="CK93" s="2151">
        <v>0</v>
      </c>
      <c r="CL93" s="2151">
        <v>0</v>
      </c>
      <c r="CM93" s="1610">
        <f>SUM(CI93:CL93)</f>
        <v>0</v>
      </c>
      <c r="CN93" s="1611"/>
      <c r="CO93" s="2182">
        <v>0</v>
      </c>
      <c r="CP93" s="2151">
        <v>0</v>
      </c>
      <c r="CQ93" s="2151">
        <v>0</v>
      </c>
      <c r="CR93" s="2151">
        <v>0</v>
      </c>
      <c r="CS93" s="1610">
        <f>SUM(CO93:CR93)</f>
        <v>0</v>
      </c>
      <c r="CT93" s="205"/>
      <c r="CU93" s="205"/>
      <c r="CV93" s="205"/>
      <c r="CW93" s="1039"/>
      <c r="CX93" s="1039"/>
      <c r="CY93" s="1039"/>
      <c r="CZ93" s="1039"/>
      <c r="DA93" s="1039"/>
      <c r="DB93" s="1039"/>
      <c r="DC93" s="1039"/>
      <c r="DD93" s="205"/>
      <c r="DE93" s="205"/>
      <c r="DF93" s="205"/>
      <c r="DG93" s="205"/>
      <c r="DH93" s="205"/>
      <c r="DI93" s="205"/>
      <c r="DJ93" s="205"/>
      <c r="DK93" s="205"/>
      <c r="DL93" s="205"/>
      <c r="DM93" s="205"/>
      <c r="DN93" s="205"/>
      <c r="DO93" s="205"/>
      <c r="DP93" s="205"/>
      <c r="DQ93" s="205"/>
      <c r="DR93" s="205"/>
      <c r="DS93" s="205"/>
      <c r="DT93" s="205"/>
    </row>
    <row r="94" spans="1:124" ht="12.75" hidden="1" customHeight="1" outlineLevel="1">
      <c r="A94" s="1765" t="s">
        <v>534</v>
      </c>
      <c r="B94" s="740"/>
      <c r="C94" s="760"/>
      <c r="D94" s="740"/>
      <c r="E94" s="740"/>
      <c r="F94" s="740"/>
      <c r="G94" s="739"/>
      <c r="H94" s="740"/>
      <c r="I94" s="760"/>
      <c r="J94" s="740"/>
      <c r="K94" s="740"/>
      <c r="L94" s="740"/>
      <c r="M94" s="739"/>
      <c r="N94" s="740"/>
      <c r="O94" s="760"/>
      <c r="P94" s="740"/>
      <c r="Q94" s="740"/>
      <c r="R94" s="740"/>
      <c r="S94" s="739"/>
      <c r="T94" s="740"/>
      <c r="U94" s="761"/>
      <c r="V94" s="762"/>
      <c r="W94" s="762"/>
      <c r="X94" s="762"/>
      <c r="Y94" s="739"/>
      <c r="Z94" s="740"/>
      <c r="AA94" s="761"/>
      <c r="AB94" s="762"/>
      <c r="AC94" s="762"/>
      <c r="AD94" s="762"/>
      <c r="AE94" s="739"/>
      <c r="AF94" s="740"/>
      <c r="AG94" s="1617"/>
      <c r="AH94" s="1618"/>
      <c r="AI94" s="1618"/>
      <c r="AJ94" s="1618"/>
      <c r="AK94" s="1619"/>
      <c r="AL94" s="740"/>
      <c r="AM94" s="1617"/>
      <c r="AN94" s="1618"/>
      <c r="AO94" s="1618"/>
      <c r="AP94" s="1618"/>
      <c r="AQ94" s="1619"/>
      <c r="AR94" s="740"/>
      <c r="AS94" s="1617"/>
      <c r="AT94" s="1618"/>
      <c r="AU94" s="1618"/>
      <c r="AV94" s="1618"/>
      <c r="AW94" s="1619"/>
      <c r="AX94" s="1611"/>
      <c r="AY94" s="1432">
        <f>AY95*$AW$154</f>
        <v>16.415000000000003</v>
      </c>
      <c r="AZ94" s="1611">
        <f>AZ95*$AW$154</f>
        <v>17.821999999999999</v>
      </c>
      <c r="BA94" s="1611">
        <f>BA95*$AW$154</f>
        <v>15.008000000000001</v>
      </c>
      <c r="BB94" s="1611">
        <f>BB95*$AW$154</f>
        <v>6.5659999999999998</v>
      </c>
      <c r="BC94" s="1610">
        <f>SUM(AY94:BB94)</f>
        <v>55.811000000000007</v>
      </c>
      <c r="BD94" s="1611"/>
      <c r="BE94" s="1432">
        <f>BE95*$AW$154</f>
        <v>29.077999999999999</v>
      </c>
      <c r="BF94" s="1611">
        <f>BF95*$AW$154</f>
        <v>27.952400000000001</v>
      </c>
      <c r="BG94" s="1611">
        <f>BG95*$AW$154</f>
        <v>19.041399999999999</v>
      </c>
      <c r="BH94" s="1611">
        <f>BH95*$AW$154</f>
        <v>25.326000000000001</v>
      </c>
      <c r="BI94" s="1610">
        <f>SUM(BE94:BH94)</f>
        <v>101.39779999999999</v>
      </c>
      <c r="BJ94" s="1611"/>
      <c r="BK94" s="1432">
        <f>BK95*$AW$154</f>
        <v>7.0350000000000001</v>
      </c>
      <c r="BL94" s="1611">
        <f>BL95*$AW$154</f>
        <v>0</v>
      </c>
      <c r="BM94" s="1611">
        <f>BM95*$AW$154</f>
        <v>0</v>
      </c>
      <c r="BN94" s="1611">
        <f>BN95*$AW$154</f>
        <v>0</v>
      </c>
      <c r="BO94" s="1610">
        <f>SUM(BK94:BN94)</f>
        <v>7.0350000000000001</v>
      </c>
      <c r="BP94" s="1611"/>
      <c r="BQ94" s="1432">
        <f>BQ95*$AW$154</f>
        <v>0</v>
      </c>
      <c r="BR94" s="1611">
        <f>BR95*$AW$154</f>
        <v>0</v>
      </c>
      <c r="BS94" s="1611">
        <f>BS95*$AW$154</f>
        <v>0</v>
      </c>
      <c r="BT94" s="1611">
        <f>BT95*$AW$154</f>
        <v>0</v>
      </c>
      <c r="BU94" s="1610">
        <f>SUM(BQ94:BT94)</f>
        <v>0</v>
      </c>
      <c r="BV94" s="1611"/>
      <c r="BW94" s="1432">
        <f>BW95*$AW$154</f>
        <v>0</v>
      </c>
      <c r="BX94" s="1611">
        <f>BX95*$AW$154</f>
        <v>0</v>
      </c>
      <c r="BY94" s="1611">
        <f>BY95*$AW$154</f>
        <v>0</v>
      </c>
      <c r="BZ94" s="1611">
        <f>BZ95*$AW$154</f>
        <v>0</v>
      </c>
      <c r="CA94" s="1610">
        <f>SUM(BW94:BZ94)</f>
        <v>0</v>
      </c>
      <c r="CB94" s="1611"/>
      <c r="CC94" s="1432">
        <f>CC95*$AW$154</f>
        <v>0</v>
      </c>
      <c r="CD94" s="1611">
        <f>CD95*$AW$154</f>
        <v>0</v>
      </c>
      <c r="CE94" s="1611">
        <f>CE95*$AW$154</f>
        <v>0</v>
      </c>
      <c r="CF94" s="1611">
        <f>CF95*$AW$154</f>
        <v>0</v>
      </c>
      <c r="CG94" s="1610">
        <f>SUM(CC94:CF94)</f>
        <v>0</v>
      </c>
      <c r="CH94" s="1611"/>
      <c r="CI94" s="1432">
        <f>CI95*$AW$154</f>
        <v>0</v>
      </c>
      <c r="CJ94" s="1611">
        <f>CJ95*$AW$154</f>
        <v>0</v>
      </c>
      <c r="CK94" s="1611">
        <f>CK95*$AW$154</f>
        <v>0</v>
      </c>
      <c r="CL94" s="1611">
        <f>CL95*$AW$154</f>
        <v>0</v>
      </c>
      <c r="CM94" s="1610">
        <f>SUM(CI94:CL94)</f>
        <v>0</v>
      </c>
      <c r="CN94" s="1611"/>
      <c r="CO94" s="1432">
        <f>CO95*$AW$154</f>
        <v>0</v>
      </c>
      <c r="CP94" s="1611">
        <f>CP95*$AW$154</f>
        <v>0</v>
      </c>
      <c r="CQ94" s="1611">
        <f>CQ95*$AW$154</f>
        <v>0</v>
      </c>
      <c r="CR94" s="1611">
        <f>CR95*$AW$154</f>
        <v>0</v>
      </c>
      <c r="CS94" s="1610">
        <f>SUM(CO94:CR94)</f>
        <v>0</v>
      </c>
      <c r="CT94" s="205"/>
      <c r="CU94" s="205"/>
      <c r="CV94" s="205"/>
      <c r="CW94" s="1039"/>
      <c r="CX94" s="1039"/>
      <c r="CY94" s="1039"/>
      <c r="CZ94" s="1039"/>
      <c r="DA94" s="1039"/>
      <c r="DB94" s="1039"/>
      <c r="DC94" s="1039"/>
      <c r="DD94" s="205"/>
      <c r="DE94" s="205"/>
      <c r="DF94" s="205"/>
      <c r="DG94" s="205"/>
      <c r="DH94" s="205"/>
      <c r="DI94" s="205"/>
      <c r="DJ94" s="205"/>
      <c r="DK94" s="205"/>
      <c r="DL94" s="205"/>
      <c r="DM94" s="205"/>
      <c r="DN94" s="205"/>
      <c r="DO94" s="205"/>
      <c r="DP94" s="205"/>
      <c r="DQ94" s="205"/>
      <c r="DR94" s="205"/>
      <c r="DS94" s="205"/>
      <c r="DT94" s="205"/>
    </row>
    <row r="95" spans="1:124" ht="12.75" hidden="1" customHeight="1" outlineLevel="1">
      <c r="A95" s="731" t="s">
        <v>532</v>
      </c>
      <c r="B95" s="60"/>
      <c r="C95" s="752"/>
      <c r="D95" s="60"/>
      <c r="E95" s="60"/>
      <c r="F95" s="60"/>
      <c r="G95" s="736"/>
      <c r="H95" s="60"/>
      <c r="I95" s="753"/>
      <c r="J95" s="226"/>
      <c r="K95" s="226"/>
      <c r="L95" s="226"/>
      <c r="M95" s="736"/>
      <c r="N95" s="60"/>
      <c r="O95" s="753"/>
      <c r="P95" s="226"/>
      <c r="Q95" s="226"/>
      <c r="R95" s="226"/>
      <c r="S95" s="736"/>
      <c r="T95" s="60"/>
      <c r="U95" s="758"/>
      <c r="V95" s="223"/>
      <c r="W95" s="223"/>
      <c r="X95" s="223"/>
      <c r="Y95" s="224"/>
      <c r="Z95" s="60"/>
      <c r="AA95" s="758"/>
      <c r="AB95" s="223"/>
      <c r="AC95" s="223"/>
      <c r="AD95" s="223"/>
      <c r="AE95" s="224"/>
      <c r="AF95" s="60"/>
      <c r="AG95" s="1617"/>
      <c r="AH95" s="1618"/>
      <c r="AI95" s="1618"/>
      <c r="AJ95" s="1618"/>
      <c r="AK95" s="1619"/>
      <c r="AL95" s="740"/>
      <c r="AM95" s="1617"/>
      <c r="AN95" s="1618"/>
      <c r="AO95" s="1618"/>
      <c r="AP95" s="1618"/>
      <c r="AQ95" s="1619"/>
      <c r="AR95" s="740"/>
      <c r="AS95" s="1617"/>
      <c r="AT95" s="1618"/>
      <c r="AU95" s="1618"/>
      <c r="AV95" s="1618"/>
      <c r="AW95" s="1619"/>
      <c r="AX95" s="1698"/>
      <c r="AY95" s="2162">
        <v>1.7500000000000002E-2</v>
      </c>
      <c r="AZ95" s="114">
        <v>1.9E-2</v>
      </c>
      <c r="BA95" s="114">
        <v>1.6E-2</v>
      </c>
      <c r="BB95" s="114">
        <v>7.0000000000000001E-3</v>
      </c>
      <c r="BC95" s="209">
        <f>(BC94)/$AW$154</f>
        <v>5.9500000000000004E-2</v>
      </c>
      <c r="BD95" s="1698"/>
      <c r="BE95" s="2363">
        <v>3.1E-2</v>
      </c>
      <c r="BF95" s="2364">
        <v>2.98E-2</v>
      </c>
      <c r="BG95" s="2364">
        <v>2.0299999999999999E-2</v>
      </c>
      <c r="BH95" s="2364">
        <v>2.7E-2</v>
      </c>
      <c r="BI95" s="209">
        <f>+BI93/$BC$156</f>
        <v>6.3117657292761239E-2</v>
      </c>
      <c r="BJ95" s="1698"/>
      <c r="BK95" s="2363">
        <v>7.4999999999999997E-3</v>
      </c>
      <c r="BL95" s="2364">
        <v>0</v>
      </c>
      <c r="BM95" s="2364">
        <f t="shared" ref="BL95:BN96" si="323">+BL95</f>
        <v>0</v>
      </c>
      <c r="BN95" s="2364">
        <f t="shared" si="323"/>
        <v>0</v>
      </c>
      <c r="BO95" s="209">
        <f>+BO93/$BC$156</f>
        <v>3.7870594375656742E-2</v>
      </c>
      <c r="BP95" s="1698"/>
      <c r="BQ95" s="2363">
        <f>+BN95</f>
        <v>0</v>
      </c>
      <c r="BR95" s="2364">
        <f t="shared" ref="BR95:BT96" si="324">+BQ95</f>
        <v>0</v>
      </c>
      <c r="BS95" s="2364">
        <f t="shared" si="324"/>
        <v>0</v>
      </c>
      <c r="BT95" s="2364">
        <f t="shared" si="324"/>
        <v>0</v>
      </c>
      <c r="BU95" s="209">
        <f>+BU93/$BC$156</f>
        <v>0</v>
      </c>
      <c r="BV95" s="1698"/>
      <c r="BW95" s="2363">
        <f>+BT95</f>
        <v>0</v>
      </c>
      <c r="BX95" s="2364">
        <f t="shared" ref="BX95:BZ96" si="325">+BW95</f>
        <v>0</v>
      </c>
      <c r="BY95" s="2364">
        <f t="shared" si="325"/>
        <v>0</v>
      </c>
      <c r="BZ95" s="2364">
        <f t="shared" si="325"/>
        <v>0</v>
      </c>
      <c r="CA95" s="209">
        <f>+CA93/$BC$156</f>
        <v>0</v>
      </c>
      <c r="CB95" s="1698"/>
      <c r="CC95" s="2363">
        <f>+BZ95</f>
        <v>0</v>
      </c>
      <c r="CD95" s="2364">
        <f t="shared" ref="CD95:CF96" si="326">+CC95</f>
        <v>0</v>
      </c>
      <c r="CE95" s="2364">
        <f t="shared" si="326"/>
        <v>0</v>
      </c>
      <c r="CF95" s="2364">
        <f t="shared" si="326"/>
        <v>0</v>
      </c>
      <c r="CG95" s="209">
        <f>+CG93/$BC$156</f>
        <v>0</v>
      </c>
      <c r="CH95" s="1698"/>
      <c r="CI95" s="2363">
        <f>+CF95</f>
        <v>0</v>
      </c>
      <c r="CJ95" s="2364">
        <f t="shared" ref="CJ95:CJ96" si="327">+CI95</f>
        <v>0</v>
      </c>
      <c r="CK95" s="2364">
        <f t="shared" ref="CK95:CK96" si="328">+CJ95</f>
        <v>0</v>
      </c>
      <c r="CL95" s="2364">
        <f t="shared" ref="CL95:CL96" si="329">+CK95</f>
        <v>0</v>
      </c>
      <c r="CM95" s="209">
        <f>+CM93/$BC$156</f>
        <v>0</v>
      </c>
      <c r="CN95" s="1698"/>
      <c r="CO95" s="2363">
        <f>+CL95</f>
        <v>0</v>
      </c>
      <c r="CP95" s="2364">
        <f t="shared" ref="CP95:CP96" si="330">+CO95</f>
        <v>0</v>
      </c>
      <c r="CQ95" s="2364">
        <f t="shared" ref="CQ95:CQ96" si="331">+CP95</f>
        <v>0</v>
      </c>
      <c r="CR95" s="2364">
        <f t="shared" ref="CR95:CR96" si="332">+CQ95</f>
        <v>0</v>
      </c>
      <c r="CS95" s="209">
        <f>+CS93/$BC$156</f>
        <v>0</v>
      </c>
      <c r="CT95" s="60"/>
      <c r="CU95" s="60"/>
      <c r="CV95" s="60"/>
      <c r="CW95" s="952"/>
      <c r="CX95" s="952"/>
      <c r="CY95" s="952"/>
      <c r="CZ95" s="952"/>
      <c r="DA95" s="952"/>
      <c r="DB95" s="952"/>
      <c r="DC95" s="952"/>
      <c r="DD95" s="60"/>
      <c r="DE95" s="60"/>
      <c r="DF95" s="60"/>
      <c r="DG95" s="60"/>
      <c r="DH95" s="60"/>
      <c r="DI95" s="68"/>
      <c r="DJ95" s="68"/>
      <c r="DK95" s="68"/>
      <c r="DL95" s="68"/>
      <c r="DM95" s="68"/>
      <c r="DN95" s="68"/>
      <c r="DO95" s="68"/>
      <c r="DP95" s="68"/>
      <c r="DQ95" s="68"/>
      <c r="DR95" s="68"/>
      <c r="DS95" s="68"/>
      <c r="DT95" s="68"/>
    </row>
    <row r="96" spans="1:124" ht="12.75" hidden="1" customHeight="1" outlineLevel="1">
      <c r="A96" s="799" t="s">
        <v>226</v>
      </c>
      <c r="B96" s="800"/>
      <c r="C96" s="801"/>
      <c r="D96" s="800"/>
      <c r="E96" s="800"/>
      <c r="F96" s="800"/>
      <c r="G96" s="802"/>
      <c r="H96" s="800"/>
      <c r="I96" s="803"/>
      <c r="J96" s="804"/>
      <c r="K96" s="804"/>
      <c r="L96" s="804"/>
      <c r="M96" s="802"/>
      <c r="N96" s="800"/>
      <c r="O96" s="803"/>
      <c r="P96" s="804"/>
      <c r="Q96" s="804"/>
      <c r="R96" s="804"/>
      <c r="S96" s="802"/>
      <c r="T96" s="800"/>
      <c r="U96" s="805"/>
      <c r="V96" s="806"/>
      <c r="W96" s="806"/>
      <c r="X96" s="806"/>
      <c r="Y96" s="807"/>
      <c r="Z96" s="800"/>
      <c r="AA96" s="805"/>
      <c r="AB96" s="806"/>
      <c r="AC96" s="806"/>
      <c r="AD96" s="806"/>
      <c r="AE96" s="807"/>
      <c r="AF96" s="800"/>
      <c r="AG96" s="1620"/>
      <c r="AH96" s="1621"/>
      <c r="AI96" s="1621"/>
      <c r="AJ96" s="1621"/>
      <c r="AK96" s="1622"/>
      <c r="AL96" s="1031"/>
      <c r="AM96" s="1620"/>
      <c r="AN96" s="1621"/>
      <c r="AO96" s="1621"/>
      <c r="AP96" s="1621"/>
      <c r="AQ96" s="1622"/>
      <c r="AR96" s="1031"/>
      <c r="AS96" s="1620"/>
      <c r="AT96" s="1621"/>
      <c r="AU96" s="1621"/>
      <c r="AV96" s="1621"/>
      <c r="AW96" s="1622"/>
      <c r="AX96" s="1671"/>
      <c r="AY96" s="2163">
        <v>30</v>
      </c>
      <c r="AZ96" s="1699">
        <v>37</v>
      </c>
      <c r="BA96" s="1699">
        <v>35</v>
      </c>
      <c r="BB96" s="1763">
        <v>33</v>
      </c>
      <c r="BC96" s="1672">
        <f>SUM(AY96:BB96)</f>
        <v>135</v>
      </c>
      <c r="BD96" s="1671"/>
      <c r="BE96" s="2180">
        <v>0</v>
      </c>
      <c r="BF96" s="2133">
        <v>0</v>
      </c>
      <c r="BG96" s="2133">
        <v>0</v>
      </c>
      <c r="BH96" s="2181">
        <v>0</v>
      </c>
      <c r="BI96" s="1672">
        <f>SUM(BE96:BH96)</f>
        <v>0</v>
      </c>
      <c r="BJ96" s="1671"/>
      <c r="BK96" s="2180">
        <v>0</v>
      </c>
      <c r="BL96" s="2133">
        <f t="shared" si="323"/>
        <v>0</v>
      </c>
      <c r="BM96" s="2133">
        <f t="shared" si="323"/>
        <v>0</v>
      </c>
      <c r="BN96" s="2181">
        <f t="shared" si="323"/>
        <v>0</v>
      </c>
      <c r="BO96" s="1672">
        <f>SUM(BK96:BN96)</f>
        <v>0</v>
      </c>
      <c r="BP96" s="1671"/>
      <c r="BQ96" s="2180">
        <v>0</v>
      </c>
      <c r="BR96" s="2133">
        <f t="shared" si="324"/>
        <v>0</v>
      </c>
      <c r="BS96" s="2133">
        <f t="shared" si="324"/>
        <v>0</v>
      </c>
      <c r="BT96" s="2181">
        <f t="shared" si="324"/>
        <v>0</v>
      </c>
      <c r="BU96" s="1672">
        <f t="shared" ref="BU96" si="333">SUM(BQ96:BT96)</f>
        <v>0</v>
      </c>
      <c r="BV96" s="1671"/>
      <c r="BW96" s="2180">
        <v>0</v>
      </c>
      <c r="BX96" s="2133">
        <f t="shared" si="325"/>
        <v>0</v>
      </c>
      <c r="BY96" s="2133">
        <f t="shared" si="325"/>
        <v>0</v>
      </c>
      <c r="BZ96" s="2181">
        <f t="shared" si="325"/>
        <v>0</v>
      </c>
      <c r="CA96" s="1672">
        <f t="shared" ref="CA96" si="334">SUM(BW96:BZ96)</f>
        <v>0</v>
      </c>
      <c r="CB96" s="1671"/>
      <c r="CC96" s="2180">
        <v>0</v>
      </c>
      <c r="CD96" s="2133">
        <f t="shared" si="326"/>
        <v>0</v>
      </c>
      <c r="CE96" s="2133">
        <f t="shared" si="326"/>
        <v>0</v>
      </c>
      <c r="CF96" s="2181">
        <f t="shared" si="326"/>
        <v>0</v>
      </c>
      <c r="CG96" s="1672">
        <f t="shared" ref="CG96" si="335">SUM(CC96:CF96)</f>
        <v>0</v>
      </c>
      <c r="CH96" s="1671"/>
      <c r="CI96" s="2180">
        <v>0</v>
      </c>
      <c r="CJ96" s="2133">
        <f t="shared" si="327"/>
        <v>0</v>
      </c>
      <c r="CK96" s="2133">
        <f t="shared" si="328"/>
        <v>0</v>
      </c>
      <c r="CL96" s="2181">
        <f t="shared" si="329"/>
        <v>0</v>
      </c>
      <c r="CM96" s="1672">
        <f t="shared" ref="CM96" si="336">SUM(CI96:CL96)</f>
        <v>0</v>
      </c>
      <c r="CN96" s="1671"/>
      <c r="CO96" s="2180">
        <v>0</v>
      </c>
      <c r="CP96" s="2133">
        <f t="shared" si="330"/>
        <v>0</v>
      </c>
      <c r="CQ96" s="2133">
        <f t="shared" si="331"/>
        <v>0</v>
      </c>
      <c r="CR96" s="2181">
        <f t="shared" si="332"/>
        <v>0</v>
      </c>
      <c r="CS96" s="1672">
        <f t="shared" ref="CS96" si="337">SUM(CO96:CR96)</f>
        <v>0</v>
      </c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60"/>
      <c r="DI96" s="68"/>
      <c r="DJ96" s="68"/>
      <c r="DK96" s="68"/>
      <c r="DL96" s="68"/>
      <c r="DM96" s="68"/>
      <c r="DN96" s="68"/>
      <c r="DO96" s="68"/>
      <c r="DP96" s="68"/>
      <c r="DQ96" s="68"/>
      <c r="DR96" s="68"/>
      <c r="DS96" s="68"/>
      <c r="DT96" s="68"/>
    </row>
    <row r="97" spans="1:126" ht="12.75" hidden="1" customHeight="1" outlineLevel="1">
      <c r="A97" s="1896" t="s">
        <v>539</v>
      </c>
      <c r="B97" s="1411"/>
      <c r="C97" s="1412"/>
      <c r="D97" s="1411"/>
      <c r="E97" s="1411"/>
      <c r="F97" s="1411"/>
      <c r="G97" s="1413"/>
      <c r="H97" s="1411"/>
      <c r="I97" s="1897"/>
      <c r="J97" s="1898"/>
      <c r="K97" s="1898"/>
      <c r="L97" s="1898"/>
      <c r="M97" s="1413"/>
      <c r="N97" s="1411"/>
      <c r="O97" s="1897"/>
      <c r="P97" s="1898"/>
      <c r="Q97" s="1898"/>
      <c r="R97" s="1898"/>
      <c r="S97" s="1413"/>
      <c r="T97" s="1411"/>
      <c r="U97" s="1899"/>
      <c r="V97" s="1900"/>
      <c r="W97" s="1900"/>
      <c r="X97" s="1900"/>
      <c r="Y97" s="1901"/>
      <c r="Z97" s="1411"/>
      <c r="AA97" s="1899"/>
      <c r="AB97" s="1900"/>
      <c r="AC97" s="1900"/>
      <c r="AD97" s="1900"/>
      <c r="AE97" s="1901"/>
      <c r="AF97" s="1411"/>
      <c r="AG97" s="1624"/>
      <c r="AH97" s="1625"/>
      <c r="AI97" s="1625"/>
      <c r="AJ97" s="1625"/>
      <c r="AK97" s="1626"/>
      <c r="AL97" s="1902"/>
      <c r="AM97" s="1624"/>
      <c r="AN97" s="1625"/>
      <c r="AO97" s="1625"/>
      <c r="AP97" s="1625"/>
      <c r="AQ97" s="1626"/>
      <c r="AR97" s="1903"/>
      <c r="AS97" s="1904">
        <f>+AS101+AS107</f>
        <v>104</v>
      </c>
      <c r="AT97" s="1905">
        <f>+AT101+AT107</f>
        <v>40</v>
      </c>
      <c r="AU97" s="1905">
        <f>+AU101+AU107</f>
        <v>20</v>
      </c>
      <c r="AV97" s="1905">
        <f>+AV101+AV107</f>
        <v>37</v>
      </c>
      <c r="AW97" s="1906">
        <f>+AW101+AW107</f>
        <v>201</v>
      </c>
      <c r="AX97" s="1903"/>
      <c r="AY97" s="1907">
        <f>+AY101+AY107</f>
        <v>35</v>
      </c>
      <c r="AZ97" s="1903">
        <f>+AZ101+AZ107</f>
        <v>40</v>
      </c>
      <c r="BA97" s="1903">
        <f>+BA101+BA107</f>
        <v>45</v>
      </c>
      <c r="BB97" s="1903">
        <f>+BB101+BB107</f>
        <v>45</v>
      </c>
      <c r="BC97" s="1908">
        <f>+BC101+BC107</f>
        <v>165</v>
      </c>
      <c r="BD97" s="1903"/>
      <c r="BE97" s="1907">
        <f>+BE101+BE107</f>
        <v>31</v>
      </c>
      <c r="BF97" s="1903">
        <f>+BF101+BF107</f>
        <v>35</v>
      </c>
      <c r="BG97" s="1903">
        <f>+BG101+BG107</f>
        <v>30</v>
      </c>
      <c r="BH97" s="1903">
        <f>+BH101+BH107</f>
        <v>30</v>
      </c>
      <c r="BI97" s="1908">
        <f>+BI101+BI107</f>
        <v>126</v>
      </c>
      <c r="BJ97" s="1903"/>
      <c r="BK97" s="1907">
        <f>+BK101+BK107</f>
        <v>0</v>
      </c>
      <c r="BL97" s="1903">
        <f>+BL101+BL107</f>
        <v>0</v>
      </c>
      <c r="BM97" s="1903">
        <f>+BM101+BM107</f>
        <v>0</v>
      </c>
      <c r="BN97" s="1903">
        <f>+BN101+BN107</f>
        <v>0</v>
      </c>
      <c r="BO97" s="1908">
        <f>+BO101+BO107</f>
        <v>0</v>
      </c>
      <c r="BP97" s="1903"/>
      <c r="BQ97" s="1907">
        <f>+BQ101+BQ107</f>
        <v>0</v>
      </c>
      <c r="BR97" s="1903">
        <f>+BR101+BR107</f>
        <v>0</v>
      </c>
      <c r="BS97" s="1903">
        <f>+BS101+BS107</f>
        <v>0</v>
      </c>
      <c r="BT97" s="1903">
        <f>+BT101+BT107</f>
        <v>0</v>
      </c>
      <c r="BU97" s="1908">
        <f>+BU101+BU107</f>
        <v>0</v>
      </c>
      <c r="BV97" s="1903"/>
      <c r="BW97" s="1907">
        <f>+BW101+BW107</f>
        <v>0</v>
      </c>
      <c r="BX97" s="1903">
        <f>+BX101+BX107</f>
        <v>0</v>
      </c>
      <c r="BY97" s="1903">
        <f>+BY101+BY107</f>
        <v>0</v>
      </c>
      <c r="BZ97" s="1903">
        <f>+BZ101+BZ107</f>
        <v>0</v>
      </c>
      <c r="CA97" s="1908">
        <f>+CA101+CA107</f>
        <v>0</v>
      </c>
      <c r="CB97" s="1903"/>
      <c r="CC97" s="1907">
        <f>+CC101+CC107</f>
        <v>0</v>
      </c>
      <c r="CD97" s="1903">
        <f>+CD101+CD107</f>
        <v>0</v>
      </c>
      <c r="CE97" s="1903">
        <f>+CE101+CE107</f>
        <v>0</v>
      </c>
      <c r="CF97" s="1903">
        <f>+CF101+CF107</f>
        <v>0</v>
      </c>
      <c r="CG97" s="1908">
        <f>+CG101+CG107</f>
        <v>0</v>
      </c>
      <c r="CH97" s="1903"/>
      <c r="CI97" s="1907">
        <f>+CI101+CI107</f>
        <v>0</v>
      </c>
      <c r="CJ97" s="1903">
        <f>+CJ101+CJ107</f>
        <v>0</v>
      </c>
      <c r="CK97" s="1903">
        <f>+CK101+CK107</f>
        <v>0</v>
      </c>
      <c r="CL97" s="1903">
        <f>+CL101+CL107</f>
        <v>0</v>
      </c>
      <c r="CM97" s="1908">
        <f>+CM101+CM107</f>
        <v>0</v>
      </c>
      <c r="CN97" s="1903"/>
      <c r="CO97" s="1907">
        <f>+CO101+CO107</f>
        <v>0</v>
      </c>
      <c r="CP97" s="1903">
        <f>+CP101+CP107</f>
        <v>0</v>
      </c>
      <c r="CQ97" s="1903">
        <f>+CQ101+CQ107</f>
        <v>0</v>
      </c>
      <c r="CR97" s="1903">
        <f>+CR101+CR107</f>
        <v>0</v>
      </c>
      <c r="CS97" s="1908">
        <f>+CS101+CS107</f>
        <v>0</v>
      </c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60"/>
      <c r="DI97" s="68"/>
      <c r="DJ97" s="68"/>
      <c r="DK97" s="68"/>
      <c r="DL97" s="68"/>
      <c r="DM97" s="68"/>
      <c r="DN97" s="68"/>
      <c r="DO97" s="68"/>
      <c r="DP97" s="68"/>
      <c r="DQ97" s="68"/>
      <c r="DR97" s="68"/>
      <c r="DS97" s="68"/>
      <c r="DT97" s="68"/>
    </row>
    <row r="98" spans="1:126" ht="12.75" hidden="1" customHeight="1" outlineLevel="1">
      <c r="A98" s="1909" t="s">
        <v>548</v>
      </c>
      <c r="B98" s="800"/>
      <c r="C98" s="801"/>
      <c r="D98" s="800"/>
      <c r="E98" s="800"/>
      <c r="F98" s="800"/>
      <c r="G98" s="802"/>
      <c r="H98" s="800"/>
      <c r="I98" s="803"/>
      <c r="J98" s="804"/>
      <c r="K98" s="804"/>
      <c r="L98" s="804"/>
      <c r="M98" s="802"/>
      <c r="N98" s="800"/>
      <c r="O98" s="803"/>
      <c r="P98" s="804"/>
      <c r="Q98" s="804"/>
      <c r="R98" s="804"/>
      <c r="S98" s="802"/>
      <c r="T98" s="800"/>
      <c r="U98" s="805"/>
      <c r="V98" s="806"/>
      <c r="W98" s="806"/>
      <c r="X98" s="806"/>
      <c r="Y98" s="807"/>
      <c r="Z98" s="800"/>
      <c r="AA98" s="805"/>
      <c r="AB98" s="806"/>
      <c r="AC98" s="806"/>
      <c r="AD98" s="806"/>
      <c r="AE98" s="807"/>
      <c r="AF98" s="800"/>
      <c r="AG98" s="1620"/>
      <c r="AH98" s="1621"/>
      <c r="AI98" s="1621"/>
      <c r="AJ98" s="1621"/>
      <c r="AK98" s="1622"/>
      <c r="AL98" s="1031"/>
      <c r="AM98" s="1620"/>
      <c r="AN98" s="1621"/>
      <c r="AO98" s="1621"/>
      <c r="AP98" s="1621"/>
      <c r="AQ98" s="1622"/>
      <c r="AR98" s="1692"/>
      <c r="AS98" s="1910">
        <f>AS102+AS108</f>
        <v>92</v>
      </c>
      <c r="AT98" s="1911">
        <f>AT102+AT108</f>
        <v>98</v>
      </c>
      <c r="AU98" s="1911">
        <f>AU102+AU108</f>
        <v>73</v>
      </c>
      <c r="AV98" s="1911">
        <f>AV102+AV108</f>
        <v>67</v>
      </c>
      <c r="AW98" s="1912">
        <f>AW102+AW108</f>
        <v>67</v>
      </c>
      <c r="AX98" s="1692"/>
      <c r="AY98" s="1694">
        <f>AY102+AY108</f>
        <v>55.1</v>
      </c>
      <c r="AZ98" s="1692">
        <f>AZ102+AZ108</f>
        <v>55.031999999999996</v>
      </c>
      <c r="BA98" s="1692">
        <f>BA102+BA108</f>
        <v>55.731999999999999</v>
      </c>
      <c r="BB98" s="1692">
        <f>BB102+BB108</f>
        <v>67.029599999999988</v>
      </c>
      <c r="BC98" s="1691">
        <f>BC102+BC108</f>
        <v>67.029599999999988</v>
      </c>
      <c r="BD98" s="1692"/>
      <c r="BE98" s="1694">
        <f>BE102+BE108</f>
        <v>77.429199999999994</v>
      </c>
      <c r="BF98" s="1692">
        <f>BF102+BF108</f>
        <v>78.399747999999988</v>
      </c>
      <c r="BG98" s="1692">
        <f>BG102+BG108</f>
        <v>82.818058559999997</v>
      </c>
      <c r="BH98" s="1692">
        <f>BH102+BH108</f>
        <v>78.782668735999991</v>
      </c>
      <c r="BI98" s="1691">
        <f>BI102+BI108</f>
        <v>78.782668735999991</v>
      </c>
      <c r="BJ98" s="1692"/>
      <c r="BK98" s="1694">
        <f>BK102+BK108</f>
        <v>70.904401862399993</v>
      </c>
      <c r="BL98" s="1692">
        <f>BL102+BL108</f>
        <v>65.858251340159995</v>
      </c>
      <c r="BM98" s="1692">
        <f>BM102+BM108</f>
        <v>65.858251340159995</v>
      </c>
      <c r="BN98" s="1692">
        <f>BN102+BN108</f>
        <v>65.858251340159995</v>
      </c>
      <c r="BO98" s="1691">
        <f>BO102+BO108</f>
        <v>65.858251340159995</v>
      </c>
      <c r="BP98" s="1692"/>
      <c r="BQ98" s="1694">
        <f>BQ102+BQ108</f>
        <v>65.858251340159995</v>
      </c>
      <c r="BR98" s="1692">
        <f>BR102+BR108</f>
        <v>65.858251340159995</v>
      </c>
      <c r="BS98" s="1692">
        <f>BS102+BS108</f>
        <v>65.858251340159995</v>
      </c>
      <c r="BT98" s="1692">
        <f>BT102+BT108</f>
        <v>65.858251340159995</v>
      </c>
      <c r="BU98" s="1691">
        <f>BU102+BU108</f>
        <v>65.858251340159995</v>
      </c>
      <c r="BV98" s="1692"/>
      <c r="BW98" s="1694">
        <f>BW102+BW108</f>
        <v>65.858251340159995</v>
      </c>
      <c r="BX98" s="1692">
        <f>BX102+BX108</f>
        <v>65.858251340159995</v>
      </c>
      <c r="BY98" s="1692">
        <f>BY102+BY108</f>
        <v>65.858251340159995</v>
      </c>
      <c r="BZ98" s="1692">
        <f>BZ102+BZ108</f>
        <v>65.858251340159995</v>
      </c>
      <c r="CA98" s="1691">
        <f>CA102+CA108</f>
        <v>65.858251340159995</v>
      </c>
      <c r="CB98" s="1692"/>
      <c r="CC98" s="1694">
        <f>CC102+CC108</f>
        <v>65.858251340159995</v>
      </c>
      <c r="CD98" s="1692">
        <f>CD102+CD108</f>
        <v>65.858251340159995</v>
      </c>
      <c r="CE98" s="1692">
        <f>CE102+CE108</f>
        <v>65.858251340159995</v>
      </c>
      <c r="CF98" s="1692">
        <f>CF102+CF108</f>
        <v>65.858251340159995</v>
      </c>
      <c r="CG98" s="1691">
        <f>CG102+CG108</f>
        <v>65.858251340159995</v>
      </c>
      <c r="CH98" s="1692"/>
      <c r="CI98" s="1694">
        <f>CI102+CI108</f>
        <v>65.858251340159995</v>
      </c>
      <c r="CJ98" s="1692">
        <f>CJ102+CJ108</f>
        <v>65.858251340159995</v>
      </c>
      <c r="CK98" s="1692">
        <f>CK102+CK108</f>
        <v>65.858251340159995</v>
      </c>
      <c r="CL98" s="1692">
        <f>CL102+CL108</f>
        <v>65.858251340159995</v>
      </c>
      <c r="CM98" s="1691">
        <f>CM102+CM108</f>
        <v>65.858251340159995</v>
      </c>
      <c r="CN98" s="1692"/>
      <c r="CO98" s="1694">
        <f>CO102+CO108</f>
        <v>65.858251340159995</v>
      </c>
      <c r="CP98" s="1692">
        <f>CP102+CP108</f>
        <v>65.858251340159995</v>
      </c>
      <c r="CQ98" s="1692">
        <f>CQ102+CQ108</f>
        <v>65.858251340159995</v>
      </c>
      <c r="CR98" s="1692">
        <f>CR102+CR108</f>
        <v>65.858251340159995</v>
      </c>
      <c r="CS98" s="1691">
        <f>CS102+CS108</f>
        <v>65.858251340159995</v>
      </c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60"/>
      <c r="DI98" s="68"/>
      <c r="DJ98" s="68"/>
      <c r="DK98" s="68"/>
      <c r="DL98" s="68"/>
      <c r="DM98" s="68"/>
      <c r="DN98" s="68"/>
      <c r="DO98" s="68"/>
      <c r="DP98" s="68"/>
      <c r="DQ98" s="68"/>
      <c r="DR98" s="68"/>
      <c r="DS98" s="68"/>
      <c r="DT98" s="68"/>
    </row>
    <row r="99" spans="1:126" ht="12.75" hidden="1" customHeight="1" outlineLevel="1">
      <c r="A99" s="1663" t="s">
        <v>516</v>
      </c>
      <c r="B99" s="60"/>
      <c r="C99" s="752"/>
      <c r="D99" s="60"/>
      <c r="E99" s="60"/>
      <c r="F99" s="60"/>
      <c r="G99" s="736"/>
      <c r="H99" s="60"/>
      <c r="I99" s="753"/>
      <c r="J99" s="226"/>
      <c r="K99" s="226"/>
      <c r="L99" s="226"/>
      <c r="M99" s="736"/>
      <c r="N99" s="60"/>
      <c r="O99" s="753"/>
      <c r="P99" s="226"/>
      <c r="Q99" s="226"/>
      <c r="R99" s="226"/>
      <c r="S99" s="736"/>
      <c r="T99" s="60"/>
      <c r="U99" s="758"/>
      <c r="V99" s="223"/>
      <c r="W99" s="223"/>
      <c r="X99" s="223"/>
      <c r="Y99" s="224"/>
      <c r="Z99" s="60"/>
      <c r="AA99" s="758"/>
      <c r="AB99" s="223"/>
      <c r="AC99" s="223"/>
      <c r="AD99" s="223"/>
      <c r="AE99" s="224"/>
      <c r="AF99" s="740"/>
      <c r="AG99" s="1617"/>
      <c r="AH99" s="1618"/>
      <c r="AI99" s="1618"/>
      <c r="AJ99" s="1618"/>
      <c r="AK99" s="1619"/>
      <c r="AL99" s="740"/>
      <c r="AM99" s="1617"/>
      <c r="AN99" s="1618"/>
      <c r="AO99" s="1618"/>
      <c r="AP99" s="1618"/>
      <c r="AQ99" s="1619"/>
      <c r="AR99" s="740"/>
      <c r="AS99" s="1617"/>
      <c r="AT99" s="1618"/>
      <c r="AU99" s="1618"/>
      <c r="AV99" s="1618"/>
      <c r="AW99" s="1619"/>
      <c r="AX99" s="1698"/>
      <c r="AY99" s="89">
        <f>(AY100*AY103)/1000</f>
        <v>0</v>
      </c>
      <c r="AZ99" s="9">
        <f>(AZ100*AZ103)/1000</f>
        <v>5.7</v>
      </c>
      <c r="BA99" s="9">
        <f>(BA100*BA103)/1000</f>
        <v>5.9850000000000003</v>
      </c>
      <c r="BB99" s="9">
        <f>(BB100*BB103)/1000</f>
        <v>6.726</v>
      </c>
      <c r="BC99" s="1610">
        <f>SUM(AY99:BB99)</f>
        <v>18.411000000000001</v>
      </c>
      <c r="BD99" s="1698"/>
      <c r="BE99" s="89">
        <f>(BE100*BE103)/1000</f>
        <v>9.735599999999998</v>
      </c>
      <c r="BF99" s="9">
        <f>(BF100*BF103)/1000</f>
        <v>12.0517</v>
      </c>
      <c r="BG99" s="9">
        <f>(BG100*BG103)/1000</f>
        <v>9.4827479999999991</v>
      </c>
      <c r="BH99" s="9">
        <f>(BH100*BH103)/1000</f>
        <v>9.4903388800000013</v>
      </c>
      <c r="BI99" s="1610">
        <f>SUM(BE99:BH99)</f>
        <v>40.760386879999999</v>
      </c>
      <c r="BJ99" s="1698"/>
      <c r="BK99" s="89">
        <f>(BK100*BK103)/1000</f>
        <v>2.2714329599999998</v>
      </c>
      <c r="BL99" s="9">
        <f>(BL100*BL103)/1000</f>
        <v>0</v>
      </c>
      <c r="BM99" s="9">
        <f>(BM100*BM103)/1000</f>
        <v>0</v>
      </c>
      <c r="BN99" s="9">
        <f>(BN100*BN103)/1000</f>
        <v>0</v>
      </c>
      <c r="BO99" s="188">
        <f>SUM(BK99:BN99)</f>
        <v>2.2714329599999998</v>
      </c>
      <c r="BP99" s="1698"/>
      <c r="BQ99" s="89">
        <f>(BQ100*BQ103)/1000</f>
        <v>0</v>
      </c>
      <c r="BR99" s="9">
        <f>(BR100*BR103)/1000</f>
        <v>0</v>
      </c>
      <c r="BS99" s="9">
        <f>(BS100*BS103)/1000</f>
        <v>0</v>
      </c>
      <c r="BT99" s="9">
        <f>(BT100*BT103)/1000</f>
        <v>0</v>
      </c>
      <c r="BU99" s="1610">
        <f>SUM(BQ99:BT99)</f>
        <v>0</v>
      </c>
      <c r="BV99" s="1698"/>
      <c r="BW99" s="89">
        <f>(BW100*BW103)/1000</f>
        <v>0</v>
      </c>
      <c r="BX99" s="9">
        <f>(BX100*BX103)/1000</f>
        <v>0</v>
      </c>
      <c r="BY99" s="9">
        <f>(BY100*BY103)/1000</f>
        <v>0</v>
      </c>
      <c r="BZ99" s="9">
        <f>(BZ100*BZ103)/1000</f>
        <v>0</v>
      </c>
      <c r="CA99" s="1610">
        <f>SUM(BW99:BZ99)</f>
        <v>0</v>
      </c>
      <c r="CB99" s="1698"/>
      <c r="CC99" s="89">
        <f>(CC100*CC103)/1000</f>
        <v>0</v>
      </c>
      <c r="CD99" s="9">
        <f>(CD100*CD103)/1000</f>
        <v>0</v>
      </c>
      <c r="CE99" s="9">
        <f>(CE100*CE103)/1000</f>
        <v>0</v>
      </c>
      <c r="CF99" s="9">
        <f>(CF100*CF103)/1000</f>
        <v>0</v>
      </c>
      <c r="CG99" s="1610">
        <f>SUM(CC99:CF99)</f>
        <v>0</v>
      </c>
      <c r="CH99" s="1698"/>
      <c r="CI99" s="89">
        <f>(CI100*CI103)/1000</f>
        <v>0</v>
      </c>
      <c r="CJ99" s="9">
        <f>(CJ100*CJ103)/1000</f>
        <v>0</v>
      </c>
      <c r="CK99" s="9">
        <f>(CK100*CK103)/1000</f>
        <v>0</v>
      </c>
      <c r="CL99" s="9">
        <f>(CL100*CL103)/1000</f>
        <v>0</v>
      </c>
      <c r="CM99" s="1610">
        <f>SUM(CI99:CL99)</f>
        <v>0</v>
      </c>
      <c r="CN99" s="1698"/>
      <c r="CO99" s="89">
        <f>(CO100*CO103)/1000</f>
        <v>0</v>
      </c>
      <c r="CP99" s="9">
        <f>(CP100*CP103)/1000</f>
        <v>0</v>
      </c>
      <c r="CQ99" s="9">
        <f>(CQ100*CQ103)/1000</f>
        <v>0</v>
      </c>
      <c r="CR99" s="9">
        <f>(CR100*CR103)/1000</f>
        <v>0</v>
      </c>
      <c r="CS99" s="1610">
        <f>SUM(CO99:CR99)</f>
        <v>0</v>
      </c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60"/>
      <c r="DI99" s="68"/>
      <c r="DJ99" s="68"/>
      <c r="DK99" s="68"/>
      <c r="DL99" s="68"/>
      <c r="DM99" s="68"/>
      <c r="DN99" s="68"/>
      <c r="DO99" s="68"/>
      <c r="DP99" s="68"/>
      <c r="DQ99" s="68"/>
      <c r="DR99" s="68"/>
      <c r="DS99" s="68"/>
      <c r="DT99" s="68"/>
    </row>
    <row r="100" spans="1:126" ht="12.75" hidden="1" customHeight="1" outlineLevel="1">
      <c r="A100" s="735" t="s">
        <v>223</v>
      </c>
      <c r="B100" s="60"/>
      <c r="C100" s="752"/>
      <c r="D100" s="60"/>
      <c r="E100" s="60"/>
      <c r="F100" s="60"/>
      <c r="G100" s="736"/>
      <c r="H100" s="60"/>
      <c r="I100" s="753"/>
      <c r="J100" s="226"/>
      <c r="K100" s="226"/>
      <c r="L100" s="226"/>
      <c r="M100" s="736"/>
      <c r="N100" s="60"/>
      <c r="O100" s="753"/>
      <c r="P100" s="226"/>
      <c r="Q100" s="226"/>
      <c r="R100" s="226"/>
      <c r="S100" s="736"/>
      <c r="T100" s="60"/>
      <c r="U100" s="758"/>
      <c r="V100" s="223"/>
      <c r="W100" s="223"/>
      <c r="X100" s="223"/>
      <c r="Y100" s="224"/>
      <c r="Z100" s="60"/>
      <c r="AA100" s="758"/>
      <c r="AB100" s="223"/>
      <c r="AC100" s="223"/>
      <c r="AD100" s="223"/>
      <c r="AE100" s="224"/>
      <c r="AF100" s="740"/>
      <c r="AG100" s="1617"/>
      <c r="AH100" s="1618"/>
      <c r="AI100" s="1618"/>
      <c r="AJ100" s="1618"/>
      <c r="AK100" s="1619"/>
      <c r="AL100" s="740"/>
      <c r="AM100" s="1642"/>
      <c r="AN100" s="1618"/>
      <c r="AO100" s="1618"/>
      <c r="AP100" s="1618"/>
      <c r="AQ100" s="1619"/>
      <c r="AR100" s="740"/>
      <c r="AS100" s="1642"/>
      <c r="AT100" s="1618"/>
      <c r="AU100" s="1618"/>
      <c r="AV100" s="1618"/>
      <c r="AW100" s="1619"/>
      <c r="AX100" s="1698"/>
      <c r="AY100" s="1435">
        <v>950</v>
      </c>
      <c r="AZ100" s="1401">
        <f>AY100</f>
        <v>950</v>
      </c>
      <c r="BA100" s="1401">
        <f>AZ100</f>
        <v>950</v>
      </c>
      <c r="BB100" s="1401">
        <f>BA100</f>
        <v>950</v>
      </c>
      <c r="BC100" s="1623">
        <v>950</v>
      </c>
      <c r="BD100" s="1698"/>
      <c r="BE100" s="2183">
        <v>950</v>
      </c>
      <c r="BF100" s="2149">
        <f>BE100</f>
        <v>950</v>
      </c>
      <c r="BG100" s="2149">
        <f>BF100</f>
        <v>950</v>
      </c>
      <c r="BH100" s="2149">
        <f>BG100</f>
        <v>950</v>
      </c>
      <c r="BI100" s="1655">
        <f>BI99/BI103*1000</f>
        <v>950</v>
      </c>
      <c r="BJ100" s="1698"/>
      <c r="BK100" s="2183">
        <v>1000</v>
      </c>
      <c r="BL100" s="2149">
        <f>BK100</f>
        <v>1000</v>
      </c>
      <c r="BM100" s="2149">
        <f>BL100</f>
        <v>1000</v>
      </c>
      <c r="BN100" s="2149">
        <f>BM100</f>
        <v>1000</v>
      </c>
      <c r="BO100" s="1655">
        <f>+BN100</f>
        <v>1000</v>
      </c>
      <c r="BP100" s="1698"/>
      <c r="BQ100" s="2183">
        <v>1000</v>
      </c>
      <c r="BR100" s="2149">
        <f>BQ100</f>
        <v>1000</v>
      </c>
      <c r="BS100" s="2149">
        <f>BR100</f>
        <v>1000</v>
      </c>
      <c r="BT100" s="2149">
        <f>BS100</f>
        <v>1000</v>
      </c>
      <c r="BU100" s="1655">
        <f>+BT100</f>
        <v>1000</v>
      </c>
      <c r="BV100" s="1698"/>
      <c r="BW100" s="2183">
        <v>1000</v>
      </c>
      <c r="BX100" s="2149">
        <f>BW100</f>
        <v>1000</v>
      </c>
      <c r="BY100" s="2149">
        <f>BX100</f>
        <v>1000</v>
      </c>
      <c r="BZ100" s="2149">
        <f>BY100</f>
        <v>1000</v>
      </c>
      <c r="CA100" s="1655">
        <f>+BZ100</f>
        <v>1000</v>
      </c>
      <c r="CB100" s="1698"/>
      <c r="CC100" s="2183">
        <v>1000</v>
      </c>
      <c r="CD100" s="2149">
        <f>CC100</f>
        <v>1000</v>
      </c>
      <c r="CE100" s="2149">
        <f>CD100</f>
        <v>1000</v>
      </c>
      <c r="CF100" s="2149">
        <f>CE100</f>
        <v>1000</v>
      </c>
      <c r="CG100" s="1655">
        <f>+CF100</f>
        <v>1000</v>
      </c>
      <c r="CH100" s="1698"/>
      <c r="CI100" s="2183">
        <v>1000</v>
      </c>
      <c r="CJ100" s="2149">
        <f>CI100</f>
        <v>1000</v>
      </c>
      <c r="CK100" s="2149">
        <f>CJ100</f>
        <v>1000</v>
      </c>
      <c r="CL100" s="2149">
        <f>CK100</f>
        <v>1000</v>
      </c>
      <c r="CM100" s="1655">
        <f>+CL100</f>
        <v>1000</v>
      </c>
      <c r="CN100" s="1698"/>
      <c r="CO100" s="2183">
        <v>1000</v>
      </c>
      <c r="CP100" s="2149">
        <f>CO100</f>
        <v>1000</v>
      </c>
      <c r="CQ100" s="2149">
        <f>CP100</f>
        <v>1000</v>
      </c>
      <c r="CR100" s="2149">
        <f>CQ100</f>
        <v>1000</v>
      </c>
      <c r="CS100" s="1655">
        <f>+CR100</f>
        <v>1000</v>
      </c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60"/>
      <c r="DI100" s="68"/>
      <c r="DJ100" s="68"/>
      <c r="DK100" s="68"/>
      <c r="DL100" s="68"/>
      <c r="DM100" s="68"/>
      <c r="DN100" s="68"/>
      <c r="DO100" s="68"/>
      <c r="DP100" s="68"/>
      <c r="DQ100" s="68"/>
      <c r="DR100" s="68"/>
      <c r="DS100" s="68"/>
      <c r="DT100" s="68"/>
    </row>
    <row r="101" spans="1:126" ht="12.75" hidden="1" customHeight="1" outlineLevel="1">
      <c r="A101" s="1664" t="s">
        <v>506</v>
      </c>
      <c r="B101" s="60"/>
      <c r="C101" s="752"/>
      <c r="D101" s="60"/>
      <c r="E101" s="60"/>
      <c r="F101" s="60"/>
      <c r="G101" s="736"/>
      <c r="H101" s="60"/>
      <c r="I101" s="753"/>
      <c r="J101" s="226"/>
      <c r="K101" s="226"/>
      <c r="L101" s="226"/>
      <c r="M101" s="736"/>
      <c r="N101" s="60"/>
      <c r="O101" s="753"/>
      <c r="P101" s="226"/>
      <c r="Q101" s="226"/>
      <c r="R101" s="226"/>
      <c r="S101" s="736"/>
      <c r="T101" s="60"/>
      <c r="U101" s="758"/>
      <c r="V101" s="223"/>
      <c r="W101" s="223"/>
      <c r="X101" s="223"/>
      <c r="Y101" s="224"/>
      <c r="Z101" s="60"/>
      <c r="AA101" s="758"/>
      <c r="AB101" s="223"/>
      <c r="AC101" s="223"/>
      <c r="AD101" s="223"/>
      <c r="AE101" s="224"/>
      <c r="AF101" s="740"/>
      <c r="AG101" s="1617"/>
      <c r="AH101" s="1618"/>
      <c r="AI101" s="1618"/>
      <c r="AJ101" s="1618"/>
      <c r="AK101" s="1619"/>
      <c r="AL101" s="740"/>
      <c r="AM101" s="1642"/>
      <c r="AN101" s="1618"/>
      <c r="AO101" s="1618"/>
      <c r="AP101" s="1618"/>
      <c r="AQ101" s="1619"/>
      <c r="AR101" s="740"/>
      <c r="AS101" s="1642"/>
      <c r="AT101" s="1618"/>
      <c r="AU101" s="1618"/>
      <c r="AV101" s="1618"/>
      <c r="AW101" s="1619"/>
      <c r="AX101" s="1698"/>
      <c r="AY101" s="2165">
        <v>5</v>
      </c>
      <c r="AZ101" s="7">
        <v>10</v>
      </c>
      <c r="BA101" s="7">
        <v>15</v>
      </c>
      <c r="BB101" s="7">
        <v>15</v>
      </c>
      <c r="BC101" s="1610">
        <f>SUM(AY101:BB101)</f>
        <v>45</v>
      </c>
      <c r="BD101" s="1698"/>
      <c r="BE101" s="2136">
        <v>10</v>
      </c>
      <c r="BF101" s="2138">
        <f>+AZ101</f>
        <v>10</v>
      </c>
      <c r="BG101" s="2138">
        <v>10</v>
      </c>
      <c r="BH101" s="2138">
        <v>10</v>
      </c>
      <c r="BI101" s="1610">
        <f>SUM(BE101:BH101)</f>
        <v>40</v>
      </c>
      <c r="BJ101" s="1698"/>
      <c r="BK101" s="2136">
        <v>0</v>
      </c>
      <c r="BL101" s="2138">
        <v>0</v>
      </c>
      <c r="BM101" s="2138">
        <v>0</v>
      </c>
      <c r="BN101" s="2138">
        <v>0</v>
      </c>
      <c r="BO101" s="1610">
        <f>SUM(BK101:BN101)</f>
        <v>0</v>
      </c>
      <c r="BP101" s="1698"/>
      <c r="BQ101" s="2136">
        <v>0</v>
      </c>
      <c r="BR101" s="2138">
        <f>+BQ101</f>
        <v>0</v>
      </c>
      <c r="BS101" s="2138">
        <f>+BR101</f>
        <v>0</v>
      </c>
      <c r="BT101" s="2138">
        <f>+BS101</f>
        <v>0</v>
      </c>
      <c r="BU101" s="1610">
        <f>SUM(BQ101:BT101)</f>
        <v>0</v>
      </c>
      <c r="BV101" s="1698"/>
      <c r="BW101" s="2136">
        <f>+BT101</f>
        <v>0</v>
      </c>
      <c r="BX101" s="2138">
        <f>+BW101</f>
        <v>0</v>
      </c>
      <c r="BY101" s="2138">
        <f>+BX101</f>
        <v>0</v>
      </c>
      <c r="BZ101" s="2138">
        <f>+BY101</f>
        <v>0</v>
      </c>
      <c r="CA101" s="1610">
        <f>SUM(BW101:BZ101)</f>
        <v>0</v>
      </c>
      <c r="CB101" s="1698"/>
      <c r="CC101" s="2136">
        <f>+BZ101</f>
        <v>0</v>
      </c>
      <c r="CD101" s="2138">
        <f>+CC101</f>
        <v>0</v>
      </c>
      <c r="CE101" s="2138">
        <f>+CD101</f>
        <v>0</v>
      </c>
      <c r="CF101" s="2138">
        <f>+CE101</f>
        <v>0</v>
      </c>
      <c r="CG101" s="1610">
        <f>SUM(CC101:CF101)</f>
        <v>0</v>
      </c>
      <c r="CH101" s="1698"/>
      <c r="CI101" s="2136">
        <f>+CF101</f>
        <v>0</v>
      </c>
      <c r="CJ101" s="2138">
        <f>+CI101</f>
        <v>0</v>
      </c>
      <c r="CK101" s="2138">
        <f>+CJ101</f>
        <v>0</v>
      </c>
      <c r="CL101" s="2138">
        <f>+CK101</f>
        <v>0</v>
      </c>
      <c r="CM101" s="1610">
        <f>SUM(CI101:CL101)</f>
        <v>0</v>
      </c>
      <c r="CN101" s="1698"/>
      <c r="CO101" s="2136">
        <f>+CL101</f>
        <v>0</v>
      </c>
      <c r="CP101" s="2138">
        <f>+CO101</f>
        <v>0</v>
      </c>
      <c r="CQ101" s="2138">
        <f>+CP101</f>
        <v>0</v>
      </c>
      <c r="CR101" s="2138">
        <f>+CQ101</f>
        <v>0</v>
      </c>
      <c r="CS101" s="1610">
        <f>SUM(CO101:CR101)</f>
        <v>0</v>
      </c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60"/>
      <c r="DI101" s="68"/>
      <c r="DJ101" s="68"/>
      <c r="DK101" s="68"/>
      <c r="DL101" s="68"/>
      <c r="DM101" s="68"/>
      <c r="DN101" s="68"/>
      <c r="DO101" s="68"/>
      <c r="DP101" s="68"/>
      <c r="DQ101" s="68"/>
      <c r="DR101" s="68"/>
      <c r="DS101" s="68"/>
      <c r="DT101" s="68"/>
    </row>
    <row r="102" spans="1:126" ht="12.75" hidden="1" customHeight="1" outlineLevel="1">
      <c r="A102" s="1664" t="s">
        <v>507</v>
      </c>
      <c r="B102" s="60"/>
      <c r="C102" s="752"/>
      <c r="D102" s="60"/>
      <c r="E102" s="60"/>
      <c r="F102" s="60"/>
      <c r="G102" s="736"/>
      <c r="H102" s="60"/>
      <c r="I102" s="753"/>
      <c r="J102" s="226"/>
      <c r="K102" s="226"/>
      <c r="L102" s="226"/>
      <c r="M102" s="736"/>
      <c r="N102" s="60"/>
      <c r="O102" s="753"/>
      <c r="P102" s="226"/>
      <c r="Q102" s="226"/>
      <c r="R102" s="226"/>
      <c r="S102" s="736"/>
      <c r="T102" s="60"/>
      <c r="U102" s="758"/>
      <c r="V102" s="223"/>
      <c r="W102" s="223"/>
      <c r="X102" s="223"/>
      <c r="Y102" s="224"/>
      <c r="Z102" s="60"/>
      <c r="AA102" s="758"/>
      <c r="AB102" s="223"/>
      <c r="AC102" s="223"/>
      <c r="AD102" s="223"/>
      <c r="AE102" s="224"/>
      <c r="AF102" s="740"/>
      <c r="AG102" s="1617"/>
      <c r="AH102" s="1618"/>
      <c r="AI102" s="1618"/>
      <c r="AJ102" s="1618"/>
      <c r="AK102" s="1619"/>
      <c r="AL102" s="740"/>
      <c r="AM102" s="1642"/>
      <c r="AN102" s="1618"/>
      <c r="AO102" s="1618"/>
      <c r="AP102" s="1618"/>
      <c r="AQ102" s="1619"/>
      <c r="AR102" s="740"/>
      <c r="AS102" s="1642"/>
      <c r="AT102" s="1618"/>
      <c r="AU102" s="1618"/>
      <c r="AV102" s="1618"/>
      <c r="AW102" s="1619"/>
      <c r="AX102" s="1698"/>
      <c r="AY102" s="89">
        <f>+AV102-AY103+AY101</f>
        <v>5</v>
      </c>
      <c r="AZ102" s="9">
        <f>+AY102-AZ103+AZ101</f>
        <v>9</v>
      </c>
      <c r="BA102" s="9">
        <f>+AZ102-BA103+BA101</f>
        <v>17.7</v>
      </c>
      <c r="BB102" s="9">
        <f>+BA102-BB103+BB101</f>
        <v>25.619999999999997</v>
      </c>
      <c r="BC102" s="1610">
        <f>+BB102</f>
        <v>25.619999999999997</v>
      </c>
      <c r="BD102" s="1698"/>
      <c r="BE102" s="1432">
        <f>+BB102-BE103+BE101</f>
        <v>25.372</v>
      </c>
      <c r="BF102" s="1611">
        <f>+BE102-BF103+BF101</f>
        <v>22.686</v>
      </c>
      <c r="BG102" s="1611">
        <f>+BF102-BG103+BG101</f>
        <v>22.704160000000002</v>
      </c>
      <c r="BH102" s="1611">
        <f>+BG102-BH103+BH101</f>
        <v>22.714329599999999</v>
      </c>
      <c r="BI102" s="1610">
        <f>+BH102</f>
        <v>22.714329599999999</v>
      </c>
      <c r="BJ102" s="1611"/>
      <c r="BK102" s="1432">
        <f>+BH102-BK103+BK101</f>
        <v>20.442896640000001</v>
      </c>
      <c r="BL102" s="1611">
        <f>+BK102-BL103+BL101</f>
        <v>20.442896640000001</v>
      </c>
      <c r="BM102" s="1611">
        <f>+BL102-BM103+BM101</f>
        <v>20.442896640000001</v>
      </c>
      <c r="BN102" s="1611">
        <f>+BM102-BN103+BN101</f>
        <v>20.442896640000001</v>
      </c>
      <c r="BO102" s="1610">
        <f>+BN102</f>
        <v>20.442896640000001</v>
      </c>
      <c r="BP102" s="1611"/>
      <c r="BQ102" s="1432">
        <f>+BN102-BQ103+BQ101</f>
        <v>20.442896640000001</v>
      </c>
      <c r="BR102" s="1611">
        <f>+BQ102-BR103+BR101</f>
        <v>20.442896640000001</v>
      </c>
      <c r="BS102" s="1611">
        <f>+BR102-BS103+BS101</f>
        <v>20.442896640000001</v>
      </c>
      <c r="BT102" s="1611">
        <f>+BS102-BT103+BT101</f>
        <v>20.442896640000001</v>
      </c>
      <c r="BU102" s="1610">
        <f>+BT102</f>
        <v>20.442896640000001</v>
      </c>
      <c r="BV102" s="1698"/>
      <c r="BW102" s="89">
        <f>+BT102-BW103+BW101</f>
        <v>20.442896640000001</v>
      </c>
      <c r="BX102" s="9">
        <f>+BW102-BX103+BX101</f>
        <v>20.442896640000001</v>
      </c>
      <c r="BY102" s="9">
        <f>+BX102-BY103+BY101</f>
        <v>20.442896640000001</v>
      </c>
      <c r="BZ102" s="9">
        <f>+BY102-BZ103+BZ101</f>
        <v>20.442896640000001</v>
      </c>
      <c r="CA102" s="1610">
        <f>+BZ102</f>
        <v>20.442896640000001</v>
      </c>
      <c r="CB102" s="1698"/>
      <c r="CC102" s="89">
        <f>+BZ102-CC103+CC101</f>
        <v>20.442896640000001</v>
      </c>
      <c r="CD102" s="9">
        <f>+CC102-CD103+CD101</f>
        <v>20.442896640000001</v>
      </c>
      <c r="CE102" s="9">
        <f>+CD102-CE103+CE101</f>
        <v>20.442896640000001</v>
      </c>
      <c r="CF102" s="9">
        <f>+CE102-CF103+CF101</f>
        <v>20.442896640000001</v>
      </c>
      <c r="CG102" s="1610">
        <f>+CF102</f>
        <v>20.442896640000001</v>
      </c>
      <c r="CH102" s="1698"/>
      <c r="CI102" s="89">
        <f>+CF102-CI103+CI101</f>
        <v>20.442896640000001</v>
      </c>
      <c r="CJ102" s="9">
        <f>+CI102-CJ103+CJ101</f>
        <v>20.442896640000001</v>
      </c>
      <c r="CK102" s="9">
        <f>+CJ102-CK103+CK101</f>
        <v>20.442896640000001</v>
      </c>
      <c r="CL102" s="9">
        <f>+CK102-CL103+CL101</f>
        <v>20.442896640000001</v>
      </c>
      <c r="CM102" s="1610">
        <f>+CL102</f>
        <v>20.442896640000001</v>
      </c>
      <c r="CN102" s="1698"/>
      <c r="CO102" s="89">
        <f>+CL102-CO103+CO101</f>
        <v>20.442896640000001</v>
      </c>
      <c r="CP102" s="9">
        <f>+CO102-CP103+CP101</f>
        <v>20.442896640000001</v>
      </c>
      <c r="CQ102" s="9">
        <f>+CP102-CQ103+CQ101</f>
        <v>20.442896640000001</v>
      </c>
      <c r="CR102" s="9">
        <f>+CQ102-CR103+CR101</f>
        <v>20.442896640000001</v>
      </c>
      <c r="CS102" s="1610">
        <f>+CR102</f>
        <v>20.442896640000001</v>
      </c>
      <c r="CT102" s="60"/>
      <c r="CU102" s="60"/>
      <c r="CV102" s="60"/>
      <c r="CW102" s="60"/>
      <c r="CX102" s="60"/>
      <c r="CY102" s="60"/>
      <c r="CZ102" s="60"/>
      <c r="DA102" s="60"/>
      <c r="DB102" s="60"/>
      <c r="DC102" s="60"/>
      <c r="DD102" s="60"/>
      <c r="DE102" s="60"/>
      <c r="DF102" s="60"/>
      <c r="DG102" s="60"/>
      <c r="DH102" s="60"/>
      <c r="DI102" s="68"/>
      <c r="DJ102" s="68"/>
      <c r="DK102" s="68"/>
      <c r="DL102" s="68"/>
      <c r="DM102" s="68"/>
      <c r="DN102" s="68"/>
      <c r="DO102" s="68"/>
      <c r="DP102" s="68"/>
      <c r="DQ102" s="68"/>
      <c r="DR102" s="68"/>
      <c r="DS102" s="68"/>
      <c r="DT102" s="68"/>
    </row>
    <row r="103" spans="1:126" ht="12.75" hidden="1" customHeight="1" outlineLevel="1">
      <c r="A103" s="759" t="s">
        <v>218</v>
      </c>
      <c r="B103" s="60"/>
      <c r="C103" s="752"/>
      <c r="D103" s="60"/>
      <c r="E103" s="60"/>
      <c r="F103" s="60"/>
      <c r="G103" s="736"/>
      <c r="H103" s="60"/>
      <c r="I103" s="753"/>
      <c r="J103" s="226"/>
      <c r="K103" s="226"/>
      <c r="L103" s="226"/>
      <c r="M103" s="736"/>
      <c r="N103" s="60"/>
      <c r="O103" s="753"/>
      <c r="P103" s="226"/>
      <c r="Q103" s="226"/>
      <c r="R103" s="226"/>
      <c r="S103" s="736"/>
      <c r="T103" s="60"/>
      <c r="U103" s="758"/>
      <c r="V103" s="223"/>
      <c r="W103" s="223"/>
      <c r="X103" s="223"/>
      <c r="Y103" s="224"/>
      <c r="Z103" s="60"/>
      <c r="AA103" s="758"/>
      <c r="AB103" s="223"/>
      <c r="AC103" s="223"/>
      <c r="AD103" s="223"/>
      <c r="AE103" s="224"/>
      <c r="AF103" s="740"/>
      <c r="AG103" s="1617"/>
      <c r="AH103" s="1618"/>
      <c r="AI103" s="1618"/>
      <c r="AJ103" s="1618"/>
      <c r="AK103" s="1619"/>
      <c r="AL103" s="740"/>
      <c r="AM103" s="1617"/>
      <c r="AN103" s="1618"/>
      <c r="AO103" s="1618"/>
      <c r="AP103" s="1618"/>
      <c r="AQ103" s="1619"/>
      <c r="AR103" s="740"/>
      <c r="AS103" s="1617"/>
      <c r="AT103" s="1618"/>
      <c r="AU103" s="1618"/>
      <c r="AV103" s="1618"/>
      <c r="AW103" s="1619"/>
      <c r="AX103" s="1750"/>
      <c r="AY103" s="1769">
        <f>+AV102*AY104</f>
        <v>0</v>
      </c>
      <c r="AZ103" s="1750">
        <f>+AY102*AZ104</f>
        <v>6</v>
      </c>
      <c r="BA103" s="1750">
        <f>+AZ102*BA104</f>
        <v>6.3</v>
      </c>
      <c r="BB103" s="1750">
        <f>+BA102*BB104</f>
        <v>7.08</v>
      </c>
      <c r="BC103" s="1751">
        <f>SUM(AY103:BB103)</f>
        <v>19.380000000000003</v>
      </c>
      <c r="BD103" s="1750"/>
      <c r="BE103" s="1769">
        <f>+BB102*BE104</f>
        <v>10.247999999999999</v>
      </c>
      <c r="BF103" s="1750">
        <f>+BE102*BF104</f>
        <v>12.686</v>
      </c>
      <c r="BG103" s="1750">
        <f>+BF102*BG104</f>
        <v>9.98184</v>
      </c>
      <c r="BH103" s="1750">
        <f>+BG102*BH104</f>
        <v>9.9898304000000007</v>
      </c>
      <c r="BI103" s="1751">
        <f>SUM(BE103:BH103)</f>
        <v>42.905670399999998</v>
      </c>
      <c r="BJ103" s="1750"/>
      <c r="BK103" s="1769">
        <f>+BH102*BK104</f>
        <v>2.2714329599999998</v>
      </c>
      <c r="BL103" s="1750">
        <f>+BK102*BL104</f>
        <v>0</v>
      </c>
      <c r="BM103" s="1750">
        <f t="shared" ref="BM103:BN103" si="338">+BL102*BM104</f>
        <v>0</v>
      </c>
      <c r="BN103" s="1750">
        <f t="shared" si="338"/>
        <v>0</v>
      </c>
      <c r="BO103" s="1751">
        <f>SUM(BK103:BN103)</f>
        <v>2.2714329599999998</v>
      </c>
      <c r="BP103" s="1750"/>
      <c r="BQ103" s="1769">
        <f>+BN102*BQ104</f>
        <v>0</v>
      </c>
      <c r="BR103" s="1750">
        <f>+BQ102*BR104</f>
        <v>0</v>
      </c>
      <c r="BS103" s="1750">
        <f t="shared" ref="BS103" si="339">+BR102*BS104</f>
        <v>0</v>
      </c>
      <c r="BT103" s="1750">
        <f t="shared" ref="BT103" si="340">+BS102*BT104</f>
        <v>0</v>
      </c>
      <c r="BU103" s="1751">
        <f>SUM(BQ103:BT103)</f>
        <v>0</v>
      </c>
      <c r="BV103" s="1750"/>
      <c r="BW103" s="1769">
        <f>+BT102*BW104</f>
        <v>0</v>
      </c>
      <c r="BX103" s="1750">
        <f>+BW102*BX104</f>
        <v>0</v>
      </c>
      <c r="BY103" s="1750">
        <f t="shared" ref="BY103" si="341">+BX102*BY104</f>
        <v>0</v>
      </c>
      <c r="BZ103" s="1750">
        <f t="shared" ref="BZ103" si="342">+BY102*BZ104</f>
        <v>0</v>
      </c>
      <c r="CA103" s="1751">
        <f>SUM(BW103:BZ103)</f>
        <v>0</v>
      </c>
      <c r="CB103" s="1750"/>
      <c r="CC103" s="1769">
        <f>+BZ102*CC104</f>
        <v>0</v>
      </c>
      <c r="CD103" s="1750">
        <f>+CC102*CD104</f>
        <v>0</v>
      </c>
      <c r="CE103" s="1750">
        <f t="shared" ref="CE103" si="343">+CD102*CE104</f>
        <v>0</v>
      </c>
      <c r="CF103" s="1750">
        <f t="shared" ref="CF103" si="344">+CE102*CF104</f>
        <v>0</v>
      </c>
      <c r="CG103" s="1751">
        <f>SUM(CC103:CF103)</f>
        <v>0</v>
      </c>
      <c r="CH103" s="1750"/>
      <c r="CI103" s="1769">
        <f>+CF102*CI104</f>
        <v>0</v>
      </c>
      <c r="CJ103" s="1750">
        <f>+CI102*CJ104</f>
        <v>0</v>
      </c>
      <c r="CK103" s="1750">
        <f t="shared" ref="CK103" si="345">+CJ102*CK104</f>
        <v>0</v>
      </c>
      <c r="CL103" s="1750">
        <f t="shared" ref="CL103" si="346">+CK102*CL104</f>
        <v>0</v>
      </c>
      <c r="CM103" s="1751">
        <f>SUM(CI103:CL103)</f>
        <v>0</v>
      </c>
      <c r="CN103" s="1750"/>
      <c r="CO103" s="1769">
        <f>+CL102*CO104</f>
        <v>0</v>
      </c>
      <c r="CP103" s="1750">
        <f>+CO102*CP104</f>
        <v>0</v>
      </c>
      <c r="CQ103" s="1750">
        <f t="shared" ref="CQ103" si="347">+CP102*CQ104</f>
        <v>0</v>
      </c>
      <c r="CR103" s="1750">
        <f t="shared" ref="CR103" si="348">+CQ102*CR104</f>
        <v>0</v>
      </c>
      <c r="CS103" s="1751">
        <f>SUM(CO103:CR103)</f>
        <v>0</v>
      </c>
      <c r="CT103" s="60"/>
      <c r="CU103" s="1703"/>
      <c r="CV103" s="60"/>
      <c r="CW103" s="60"/>
      <c r="CX103" s="60"/>
      <c r="CY103" s="60"/>
      <c r="CZ103" s="60"/>
      <c r="DA103" s="60"/>
      <c r="DB103" s="60"/>
      <c r="DC103" s="60"/>
      <c r="DD103" s="60"/>
      <c r="DE103" s="60"/>
      <c r="DF103" s="60"/>
      <c r="DG103" s="60"/>
      <c r="DH103" s="60"/>
      <c r="DI103" s="68"/>
      <c r="DJ103" s="68"/>
      <c r="DK103" s="68"/>
      <c r="DL103" s="68"/>
      <c r="DM103" s="68"/>
      <c r="DN103" s="68"/>
      <c r="DO103" s="68"/>
      <c r="DP103" s="68"/>
      <c r="DQ103" s="68"/>
      <c r="DR103" s="68"/>
      <c r="DS103" s="68"/>
      <c r="DT103" s="68"/>
    </row>
    <row r="104" spans="1:126" ht="12.75" hidden="1" customHeight="1" outlineLevel="1">
      <c r="A104" s="1748" t="s">
        <v>508</v>
      </c>
      <c r="B104" s="800"/>
      <c r="C104" s="801"/>
      <c r="D104" s="800"/>
      <c r="E104" s="800"/>
      <c r="F104" s="800"/>
      <c r="G104" s="802"/>
      <c r="H104" s="800"/>
      <c r="I104" s="803"/>
      <c r="J104" s="804"/>
      <c r="K104" s="804"/>
      <c r="L104" s="804"/>
      <c r="M104" s="802"/>
      <c r="N104" s="800"/>
      <c r="O104" s="803"/>
      <c r="P104" s="804"/>
      <c r="Q104" s="804"/>
      <c r="R104" s="804"/>
      <c r="S104" s="802"/>
      <c r="T104" s="800"/>
      <c r="U104" s="805"/>
      <c r="V104" s="806"/>
      <c r="W104" s="806"/>
      <c r="X104" s="806"/>
      <c r="Y104" s="807"/>
      <c r="Z104" s="800"/>
      <c r="AA104" s="805"/>
      <c r="AB104" s="806"/>
      <c r="AC104" s="806"/>
      <c r="AD104" s="806"/>
      <c r="AE104" s="807"/>
      <c r="AF104" s="1031"/>
      <c r="AG104" s="1620"/>
      <c r="AH104" s="1621"/>
      <c r="AI104" s="1621"/>
      <c r="AJ104" s="1621"/>
      <c r="AK104" s="1622"/>
      <c r="AL104" s="1031"/>
      <c r="AM104" s="1620"/>
      <c r="AN104" s="1621"/>
      <c r="AO104" s="1621"/>
      <c r="AP104" s="1621"/>
      <c r="AQ104" s="1622"/>
      <c r="AR104" s="1031"/>
      <c r="AS104" s="1620"/>
      <c r="AT104" s="1621"/>
      <c r="AU104" s="1621"/>
      <c r="AV104" s="1621"/>
      <c r="AW104" s="1622"/>
      <c r="AX104" s="1700"/>
      <c r="AY104" s="2172">
        <v>0</v>
      </c>
      <c r="AZ104" s="1767">
        <v>1.2</v>
      </c>
      <c r="BA104" s="1767">
        <v>0.7</v>
      </c>
      <c r="BB104" s="1767">
        <v>0.4</v>
      </c>
      <c r="BC104" s="1768"/>
      <c r="BD104" s="1700"/>
      <c r="BE104" s="2184">
        <v>0.4</v>
      </c>
      <c r="BF104" s="2185">
        <v>0.5</v>
      </c>
      <c r="BG104" s="2185">
        <v>0.44</v>
      </c>
      <c r="BH104" s="2185">
        <v>0.44</v>
      </c>
      <c r="BI104" s="2186">
        <f>+AVERAGE(BE104:BH104)</f>
        <v>0.44500000000000001</v>
      </c>
      <c r="BJ104" s="1700"/>
      <c r="BK104" s="2184">
        <v>0.1</v>
      </c>
      <c r="BL104" s="2185">
        <v>0</v>
      </c>
      <c r="BM104" s="2185">
        <v>0</v>
      </c>
      <c r="BN104" s="2185">
        <f>+BM104</f>
        <v>0</v>
      </c>
      <c r="BO104" s="2186">
        <f t="shared" ref="BO104" si="349">+AVERAGE(BK104:BN104)</f>
        <v>2.5000000000000001E-2</v>
      </c>
      <c r="BP104" s="1700"/>
      <c r="BQ104" s="2184">
        <v>0</v>
      </c>
      <c r="BR104" s="2185">
        <f>+BQ104</f>
        <v>0</v>
      </c>
      <c r="BS104" s="2185">
        <f>+BR104</f>
        <v>0</v>
      </c>
      <c r="BT104" s="2185">
        <f>+BS104</f>
        <v>0</v>
      </c>
      <c r="BU104" s="2186">
        <f t="shared" ref="BU104" si="350">+AVERAGE(BQ104:BT104)</f>
        <v>0</v>
      </c>
      <c r="BV104" s="1700"/>
      <c r="BW104" s="2184">
        <f t="shared" ref="BW104" si="351">+BT104</f>
        <v>0</v>
      </c>
      <c r="BX104" s="2185">
        <f t="shared" ref="BX104:BZ104" si="352">+BW104</f>
        <v>0</v>
      </c>
      <c r="BY104" s="2185">
        <f t="shared" si="352"/>
        <v>0</v>
      </c>
      <c r="BZ104" s="2185">
        <f t="shared" si="352"/>
        <v>0</v>
      </c>
      <c r="CA104" s="2186">
        <f t="shared" ref="CA104" si="353">+AVERAGE(BW104:BZ104)</f>
        <v>0</v>
      </c>
      <c r="CB104" s="1700"/>
      <c r="CC104" s="2184">
        <f t="shared" ref="CC104" si="354">+BZ104</f>
        <v>0</v>
      </c>
      <c r="CD104" s="2185">
        <f t="shared" ref="CD104:CF104" si="355">+CC104</f>
        <v>0</v>
      </c>
      <c r="CE104" s="2185">
        <f t="shared" si="355"/>
        <v>0</v>
      </c>
      <c r="CF104" s="2185">
        <f t="shared" si="355"/>
        <v>0</v>
      </c>
      <c r="CG104" s="2186">
        <f t="shared" ref="CG104" si="356">+AVERAGE(CC104:CF104)</f>
        <v>0</v>
      </c>
      <c r="CH104" s="1700"/>
      <c r="CI104" s="2184">
        <f t="shared" ref="CI104" si="357">+CF104</f>
        <v>0</v>
      </c>
      <c r="CJ104" s="2185">
        <f t="shared" ref="CJ104" si="358">+CI104</f>
        <v>0</v>
      </c>
      <c r="CK104" s="2185">
        <f t="shared" ref="CK104" si="359">+CJ104</f>
        <v>0</v>
      </c>
      <c r="CL104" s="2185">
        <f t="shared" ref="CL104" si="360">+CK104</f>
        <v>0</v>
      </c>
      <c r="CM104" s="2186">
        <f t="shared" ref="CM104" si="361">+AVERAGE(CI104:CL104)</f>
        <v>0</v>
      </c>
      <c r="CN104" s="1700"/>
      <c r="CO104" s="2184">
        <f t="shared" ref="CO104" si="362">+CL104</f>
        <v>0</v>
      </c>
      <c r="CP104" s="2185">
        <f t="shared" ref="CP104" si="363">+CO104</f>
        <v>0</v>
      </c>
      <c r="CQ104" s="2185">
        <f t="shared" ref="CQ104" si="364">+CP104</f>
        <v>0</v>
      </c>
      <c r="CR104" s="2185">
        <f t="shared" ref="CR104" si="365">+CQ104</f>
        <v>0</v>
      </c>
      <c r="CS104" s="2186">
        <f t="shared" ref="CS104" si="366">+AVERAGE(CO104:CR104)</f>
        <v>0</v>
      </c>
      <c r="CT104" s="60"/>
      <c r="CU104" s="4"/>
      <c r="CV104" s="60"/>
      <c r="CW104" s="60"/>
      <c r="CX104" s="60"/>
      <c r="CY104" s="60"/>
      <c r="CZ104" s="60"/>
      <c r="DA104" s="60"/>
      <c r="DB104" s="60"/>
      <c r="DC104" s="60"/>
      <c r="DD104" s="60"/>
      <c r="DE104" s="60"/>
      <c r="DF104" s="60"/>
      <c r="DG104" s="60"/>
      <c r="DH104" s="60"/>
      <c r="DI104" s="68"/>
      <c r="DJ104" s="68"/>
      <c r="DK104" s="68"/>
      <c r="DL104" s="68"/>
      <c r="DM104" s="68"/>
      <c r="DN104" s="68"/>
      <c r="DO104" s="68"/>
      <c r="DP104" s="68"/>
      <c r="DQ104" s="68"/>
      <c r="DR104" s="68"/>
      <c r="DS104" s="68"/>
      <c r="DT104" s="68"/>
    </row>
    <row r="105" spans="1:126" ht="12.75" hidden="1" customHeight="1" outlineLevel="1">
      <c r="A105" s="1663" t="s">
        <v>515</v>
      </c>
      <c r="B105" s="60"/>
      <c r="C105" s="752"/>
      <c r="D105" s="60"/>
      <c r="E105" s="60"/>
      <c r="F105" s="60"/>
      <c r="G105" s="736"/>
      <c r="H105" s="60"/>
      <c r="I105" s="753"/>
      <c r="J105" s="226"/>
      <c r="K105" s="226"/>
      <c r="L105" s="226"/>
      <c r="M105" s="736"/>
      <c r="N105" s="60"/>
      <c r="O105" s="753"/>
      <c r="P105" s="226"/>
      <c r="Q105" s="226"/>
      <c r="R105" s="226"/>
      <c r="S105" s="736"/>
      <c r="T105" s="60"/>
      <c r="U105" s="758"/>
      <c r="V105" s="223"/>
      <c r="W105" s="223"/>
      <c r="X105" s="223"/>
      <c r="Y105" s="224"/>
      <c r="Z105" s="60"/>
      <c r="AA105" s="758"/>
      <c r="AB105" s="223"/>
      <c r="AC105" s="223"/>
      <c r="AD105" s="223"/>
      <c r="AE105" s="224"/>
      <c r="AF105" s="740"/>
      <c r="AG105" s="1617"/>
      <c r="AH105" s="1618"/>
      <c r="AI105" s="1618"/>
      <c r="AJ105" s="1618"/>
      <c r="AK105" s="1619"/>
      <c r="AL105" s="740"/>
      <c r="AM105" s="1617"/>
      <c r="AN105" s="1618"/>
      <c r="AO105" s="1618"/>
      <c r="AP105" s="1618"/>
      <c r="AQ105" s="1619"/>
      <c r="AR105" s="226"/>
      <c r="AS105" s="89">
        <f>(AS106*AS109)/1000</f>
        <v>12</v>
      </c>
      <c r="AT105" s="205">
        <f>(AT106*AT109)/1000</f>
        <v>34</v>
      </c>
      <c r="AU105" s="205">
        <f>(AU106*AU109)/1000</f>
        <v>45</v>
      </c>
      <c r="AV105" s="9">
        <f>(AV106*AV109)/1000</f>
        <v>43</v>
      </c>
      <c r="AW105" s="1610">
        <f>SUM(AS105:AV105)</f>
        <v>134</v>
      </c>
      <c r="AX105" s="1698"/>
      <c r="AY105" s="89">
        <f>(AY106*AY109)/1000</f>
        <v>44.555</v>
      </c>
      <c r="AZ105" s="9">
        <f>(AZ106*AZ109)/1000</f>
        <v>32.364600000000003</v>
      </c>
      <c r="BA105" s="9">
        <f>(BA106*BA109)/1000</f>
        <v>36.1</v>
      </c>
      <c r="BB105" s="9">
        <f>(BB106*BB109)/1000</f>
        <v>25.291279999999997</v>
      </c>
      <c r="BC105" s="1610">
        <f>SUM(AY105:BB105)</f>
        <v>138.31088</v>
      </c>
      <c r="BD105" s="1698"/>
      <c r="BE105" s="89">
        <f>(BE106*BE109)/1000</f>
        <v>9.8347799999999985</v>
      </c>
      <c r="BF105" s="9">
        <f>(BF106*BF109)/1000</f>
        <v>20.276279399999996</v>
      </c>
      <c r="BG105" s="9">
        <f>(BG106*BG109)/1000</f>
        <v>14.819856968</v>
      </c>
      <c r="BH105" s="9">
        <f>(BH106*BH109)/1000</f>
        <v>22.843281452800003</v>
      </c>
      <c r="BI105" s="1610">
        <f>SUM(BE105:BH105)</f>
        <v>67.774197820799998</v>
      </c>
      <c r="BJ105" s="1698"/>
      <c r="BK105" s="89">
        <f>(BK106*BK109)/1000</f>
        <v>5.3264922179200003</v>
      </c>
      <c r="BL105" s="9">
        <f>(BL106*BL109)/1000</f>
        <v>4.7938429961280002</v>
      </c>
      <c r="BM105" s="9">
        <f>(BM106*BM109)/1000</f>
        <v>0</v>
      </c>
      <c r="BN105" s="9">
        <f>(BN106*BN109)/1000</f>
        <v>0</v>
      </c>
      <c r="BO105" s="1610">
        <f>SUM(BK105:BN105)</f>
        <v>10.120335214048001</v>
      </c>
      <c r="BP105" s="1698"/>
      <c r="BQ105" s="89">
        <f>(BQ106*BQ109)/1000</f>
        <v>0</v>
      </c>
      <c r="BR105" s="9">
        <f>(BR106*BR109)/1000</f>
        <v>0</v>
      </c>
      <c r="BS105" s="9">
        <f>(BS106*BS109)/1000</f>
        <v>0</v>
      </c>
      <c r="BT105" s="9">
        <f>(BT106*BT109)/1000</f>
        <v>0</v>
      </c>
      <c r="BU105" s="1610">
        <f>SUM(BQ105:BT105)</f>
        <v>0</v>
      </c>
      <c r="BV105" s="1698"/>
      <c r="BW105" s="89">
        <f>(BW106*BW109)/1000</f>
        <v>0</v>
      </c>
      <c r="BX105" s="9">
        <f>(BX106*BX109)/1000</f>
        <v>0</v>
      </c>
      <c r="BY105" s="9">
        <f>(BY106*BY109)/1000</f>
        <v>0</v>
      </c>
      <c r="BZ105" s="9">
        <f>(BZ106*BZ109)/1000</f>
        <v>0</v>
      </c>
      <c r="CA105" s="1610">
        <f>SUM(BW105:BZ105)</f>
        <v>0</v>
      </c>
      <c r="CB105" s="1698"/>
      <c r="CC105" s="89">
        <f>(CC106*CC109)/1000</f>
        <v>0</v>
      </c>
      <c r="CD105" s="9">
        <f>(CD106*CD109)/1000</f>
        <v>0</v>
      </c>
      <c r="CE105" s="9">
        <f>(CE106*CE109)/1000</f>
        <v>0</v>
      </c>
      <c r="CF105" s="9">
        <f>(CF106*CF109)/1000</f>
        <v>0</v>
      </c>
      <c r="CG105" s="1610">
        <f>SUM(CC105:CF105)</f>
        <v>0</v>
      </c>
      <c r="CH105" s="1698"/>
      <c r="CI105" s="89">
        <f>(CI106*CI109)/1000</f>
        <v>0</v>
      </c>
      <c r="CJ105" s="9">
        <f>(CJ106*CJ109)/1000</f>
        <v>0</v>
      </c>
      <c r="CK105" s="9">
        <f>(CK106*CK109)/1000</f>
        <v>0</v>
      </c>
      <c r="CL105" s="9">
        <f>(CL106*CL109)/1000</f>
        <v>0</v>
      </c>
      <c r="CM105" s="1610">
        <f>SUM(CI105:CL105)</f>
        <v>0</v>
      </c>
      <c r="CN105" s="1698"/>
      <c r="CO105" s="89">
        <f>(CO106*CO109)/1000</f>
        <v>0</v>
      </c>
      <c r="CP105" s="9">
        <f>(CP106*CP109)/1000</f>
        <v>0</v>
      </c>
      <c r="CQ105" s="9">
        <f>(CQ106*CQ109)/1000</f>
        <v>0</v>
      </c>
      <c r="CR105" s="9">
        <f>(CR106*CR109)/1000</f>
        <v>0</v>
      </c>
      <c r="CS105" s="1610">
        <f>SUM(CO105:CR105)</f>
        <v>0</v>
      </c>
      <c r="CT105" s="60"/>
      <c r="CU105" s="60"/>
      <c r="CV105" s="60"/>
      <c r="CW105" s="60"/>
      <c r="CX105" s="60"/>
      <c r="CY105" s="60"/>
      <c r="CZ105" s="60"/>
      <c r="DA105" s="60"/>
      <c r="DB105" s="60"/>
      <c r="DC105" s="60"/>
      <c r="DD105" s="60"/>
      <c r="DE105" s="60"/>
      <c r="DF105" s="60"/>
      <c r="DG105" s="60"/>
      <c r="DH105" s="60"/>
      <c r="DI105" s="68"/>
      <c r="DJ105" s="68"/>
      <c r="DK105" s="68"/>
      <c r="DL105" s="68"/>
      <c r="DM105" s="68"/>
      <c r="DN105" s="68"/>
      <c r="DO105" s="68"/>
      <c r="DP105" s="68"/>
      <c r="DQ105" s="68"/>
      <c r="DR105" s="68"/>
      <c r="DS105" s="68"/>
      <c r="DT105" s="68"/>
    </row>
    <row r="106" spans="1:126" ht="12.75" hidden="1" customHeight="1" outlineLevel="1">
      <c r="A106" s="735" t="s">
        <v>223</v>
      </c>
      <c r="B106" s="60"/>
      <c r="C106" s="752"/>
      <c r="D106" s="60"/>
      <c r="E106" s="60"/>
      <c r="F106" s="60"/>
      <c r="G106" s="736"/>
      <c r="H106" s="60"/>
      <c r="I106" s="753"/>
      <c r="J106" s="226"/>
      <c r="K106" s="226"/>
      <c r="L106" s="226"/>
      <c r="M106" s="736"/>
      <c r="N106" s="60"/>
      <c r="O106" s="753"/>
      <c r="P106" s="226"/>
      <c r="Q106" s="226"/>
      <c r="R106" s="226"/>
      <c r="S106" s="736"/>
      <c r="T106" s="60"/>
      <c r="U106" s="758"/>
      <c r="V106" s="223"/>
      <c r="W106" s="223"/>
      <c r="X106" s="223"/>
      <c r="Y106" s="224"/>
      <c r="Z106" s="60"/>
      <c r="AA106" s="758"/>
      <c r="AB106" s="223"/>
      <c r="AC106" s="223"/>
      <c r="AD106" s="223"/>
      <c r="AE106" s="224"/>
      <c r="AF106" s="740"/>
      <c r="AG106" s="1617"/>
      <c r="AH106" s="1618"/>
      <c r="AI106" s="1618"/>
      <c r="AJ106" s="1618"/>
      <c r="AK106" s="1619"/>
      <c r="AL106" s="740"/>
      <c r="AM106" s="1642"/>
      <c r="AN106" s="1618"/>
      <c r="AO106" s="1618"/>
      <c r="AP106" s="1618"/>
      <c r="AQ106" s="1619"/>
      <c r="AR106" s="226"/>
      <c r="AS106" s="1670">
        <v>1000</v>
      </c>
      <c r="AT106" s="1320">
        <f>AS106</f>
        <v>1000</v>
      </c>
      <c r="AU106" s="1320">
        <f>+AT106</f>
        <v>1000</v>
      </c>
      <c r="AV106" s="1654">
        <f>AU106</f>
        <v>1000</v>
      </c>
      <c r="AW106" s="1655">
        <f>AW105/AW109*1000</f>
        <v>1000</v>
      </c>
      <c r="AX106" s="1698"/>
      <c r="AY106" s="2173">
        <v>950</v>
      </c>
      <c r="AZ106" s="1653">
        <f>AY106</f>
        <v>950</v>
      </c>
      <c r="BA106" s="1653">
        <f>AZ106</f>
        <v>950</v>
      </c>
      <c r="BB106" s="1653">
        <f>BA106</f>
        <v>950</v>
      </c>
      <c r="BC106" s="1655">
        <f>BC105/BC109*1000</f>
        <v>950.00000000000011</v>
      </c>
      <c r="BD106" s="1698"/>
      <c r="BE106" s="2183">
        <v>950</v>
      </c>
      <c r="BF106" s="2149">
        <f>BE106</f>
        <v>950</v>
      </c>
      <c r="BG106" s="2149">
        <f>BF106</f>
        <v>950</v>
      </c>
      <c r="BH106" s="2149">
        <f>BG106</f>
        <v>950</v>
      </c>
      <c r="BI106" s="1655">
        <f>BI105/BI109*1000</f>
        <v>950.00000000000011</v>
      </c>
      <c r="BJ106" s="1698"/>
      <c r="BK106" s="2183">
        <f>BI106</f>
        <v>950.00000000000011</v>
      </c>
      <c r="BL106" s="2149">
        <f>BK106</f>
        <v>950.00000000000011</v>
      </c>
      <c r="BM106" s="2149">
        <f>BL106</f>
        <v>950.00000000000011</v>
      </c>
      <c r="BN106" s="2149">
        <f>BM106</f>
        <v>950.00000000000011</v>
      </c>
      <c r="BO106" s="1655">
        <f>+BN106</f>
        <v>950.00000000000011</v>
      </c>
      <c r="BP106" s="1698"/>
      <c r="BQ106" s="2183">
        <v>1000</v>
      </c>
      <c r="BR106" s="2149">
        <f>BQ106</f>
        <v>1000</v>
      </c>
      <c r="BS106" s="2149">
        <f>BR106</f>
        <v>1000</v>
      </c>
      <c r="BT106" s="2149">
        <f>BS106</f>
        <v>1000</v>
      </c>
      <c r="BU106" s="1655">
        <f>+BT106</f>
        <v>1000</v>
      </c>
      <c r="BV106" s="1698"/>
      <c r="BW106" s="2183">
        <v>1000</v>
      </c>
      <c r="BX106" s="2149">
        <f>BW106</f>
        <v>1000</v>
      </c>
      <c r="BY106" s="2149">
        <f>BX106</f>
        <v>1000</v>
      </c>
      <c r="BZ106" s="2149">
        <f>BY106</f>
        <v>1000</v>
      </c>
      <c r="CA106" s="1655">
        <f>+BZ106</f>
        <v>1000</v>
      </c>
      <c r="CB106" s="1698"/>
      <c r="CC106" s="2183">
        <v>1000</v>
      </c>
      <c r="CD106" s="2149">
        <f>CC106</f>
        <v>1000</v>
      </c>
      <c r="CE106" s="2149">
        <f>CD106</f>
        <v>1000</v>
      </c>
      <c r="CF106" s="2149">
        <f>CE106</f>
        <v>1000</v>
      </c>
      <c r="CG106" s="1655">
        <f>+CF106</f>
        <v>1000</v>
      </c>
      <c r="CH106" s="1698"/>
      <c r="CI106" s="2183">
        <v>1000</v>
      </c>
      <c r="CJ106" s="2149">
        <f>CI106</f>
        <v>1000</v>
      </c>
      <c r="CK106" s="2149">
        <f>CJ106</f>
        <v>1000</v>
      </c>
      <c r="CL106" s="2149">
        <f>CK106</f>
        <v>1000</v>
      </c>
      <c r="CM106" s="1655">
        <f>+CL106</f>
        <v>1000</v>
      </c>
      <c r="CN106" s="1698"/>
      <c r="CO106" s="2183">
        <v>1000</v>
      </c>
      <c r="CP106" s="2149">
        <f>CO106</f>
        <v>1000</v>
      </c>
      <c r="CQ106" s="2149">
        <f>CP106</f>
        <v>1000</v>
      </c>
      <c r="CR106" s="2149">
        <f>CQ106</f>
        <v>1000</v>
      </c>
      <c r="CS106" s="1655">
        <f>+CR106</f>
        <v>1000</v>
      </c>
      <c r="CT106" s="60"/>
      <c r="CU106" s="60"/>
      <c r="CV106" s="60"/>
      <c r="CW106" s="60"/>
      <c r="CX106" s="60"/>
      <c r="CY106" s="60"/>
      <c r="CZ106" s="60"/>
      <c r="DA106" s="60"/>
      <c r="DB106" s="60"/>
      <c r="DC106" s="60"/>
      <c r="DD106" s="60"/>
      <c r="DE106" s="60"/>
      <c r="DF106" s="60"/>
      <c r="DG106" s="60"/>
      <c r="DH106" s="60"/>
      <c r="DI106" s="68"/>
      <c r="DJ106" s="68"/>
      <c r="DK106" s="68"/>
      <c r="DL106" s="68"/>
      <c r="DM106" s="68"/>
      <c r="DN106" s="68"/>
      <c r="DO106" s="68"/>
      <c r="DP106" s="68"/>
      <c r="DQ106" s="68"/>
      <c r="DR106" s="68"/>
      <c r="DS106" s="68"/>
      <c r="DT106" s="68"/>
    </row>
    <row r="107" spans="1:126" ht="12.75" hidden="1" customHeight="1" outlineLevel="1">
      <c r="A107" s="1664" t="s">
        <v>506</v>
      </c>
      <c r="B107" s="60"/>
      <c r="C107" s="752"/>
      <c r="D107" s="60"/>
      <c r="E107" s="60"/>
      <c r="F107" s="60"/>
      <c r="G107" s="736"/>
      <c r="H107" s="60"/>
      <c r="I107" s="753"/>
      <c r="J107" s="226"/>
      <c r="K107" s="226"/>
      <c r="L107" s="226"/>
      <c r="M107" s="736"/>
      <c r="N107" s="60"/>
      <c r="O107" s="753"/>
      <c r="P107" s="226"/>
      <c r="Q107" s="226"/>
      <c r="R107" s="226"/>
      <c r="S107" s="736"/>
      <c r="T107" s="60"/>
      <c r="U107" s="758"/>
      <c r="V107" s="223"/>
      <c r="W107" s="223"/>
      <c r="X107" s="223"/>
      <c r="Y107" s="224"/>
      <c r="Z107" s="60"/>
      <c r="AA107" s="758"/>
      <c r="AB107" s="223"/>
      <c r="AC107" s="223"/>
      <c r="AD107" s="223"/>
      <c r="AE107" s="224"/>
      <c r="AF107" s="740"/>
      <c r="AG107" s="1617"/>
      <c r="AH107" s="1618"/>
      <c r="AI107" s="1618"/>
      <c r="AJ107" s="1618"/>
      <c r="AK107" s="1619"/>
      <c r="AL107" s="740"/>
      <c r="AM107" s="1642"/>
      <c r="AN107" s="1618"/>
      <c r="AO107" s="1618"/>
      <c r="AP107" s="1618"/>
      <c r="AQ107" s="1619"/>
      <c r="AR107" s="226"/>
      <c r="AS107" s="95">
        <v>104</v>
      </c>
      <c r="AT107" s="746">
        <v>40</v>
      </c>
      <c r="AU107" s="746">
        <f>164-AT107-AS107</f>
        <v>20</v>
      </c>
      <c r="AV107" s="7">
        <f>201-SUM(AS107:AU107)</f>
        <v>37</v>
      </c>
      <c r="AW107" s="1610">
        <f>SUM(AS107:AV107)</f>
        <v>201</v>
      </c>
      <c r="AX107" s="1698"/>
      <c r="AY107" s="2165">
        <v>30</v>
      </c>
      <c r="AZ107" s="7">
        <v>30</v>
      </c>
      <c r="BA107" s="7">
        <v>30</v>
      </c>
      <c r="BB107" s="7">
        <v>30</v>
      </c>
      <c r="BC107" s="1610">
        <f>SUM(AY107:BB107)</f>
        <v>120</v>
      </c>
      <c r="BD107" s="1698"/>
      <c r="BE107" s="2136">
        <v>21</v>
      </c>
      <c r="BF107" s="2138">
        <v>25</v>
      </c>
      <c r="BG107" s="2138">
        <v>20</v>
      </c>
      <c r="BH107" s="2138">
        <v>20</v>
      </c>
      <c r="BI107" s="1610">
        <f>SUM(BE107:BH107)</f>
        <v>86</v>
      </c>
      <c r="BJ107" s="1698"/>
      <c r="BK107" s="2136">
        <v>0</v>
      </c>
      <c r="BL107" s="2138">
        <v>0</v>
      </c>
      <c r="BM107" s="2138">
        <v>0</v>
      </c>
      <c r="BN107" s="2138">
        <v>0</v>
      </c>
      <c r="BO107" s="1610">
        <f>SUM(BK107:BN107)</f>
        <v>0</v>
      </c>
      <c r="BP107" s="1698"/>
      <c r="BQ107" s="2136">
        <v>0</v>
      </c>
      <c r="BR107" s="2138">
        <f>+BQ107</f>
        <v>0</v>
      </c>
      <c r="BS107" s="2138">
        <f>+BR107</f>
        <v>0</v>
      </c>
      <c r="BT107" s="2138">
        <f>+BS107</f>
        <v>0</v>
      </c>
      <c r="BU107" s="1610">
        <f>SUM(BQ107:BT107)</f>
        <v>0</v>
      </c>
      <c r="BV107" s="1698"/>
      <c r="BW107" s="2136">
        <f>+BT107</f>
        <v>0</v>
      </c>
      <c r="BX107" s="2138">
        <f>+BW107</f>
        <v>0</v>
      </c>
      <c r="BY107" s="2138">
        <f>+BX107</f>
        <v>0</v>
      </c>
      <c r="BZ107" s="2138">
        <f>+BY107</f>
        <v>0</v>
      </c>
      <c r="CA107" s="1610">
        <f>SUM(BW107:BZ107)</f>
        <v>0</v>
      </c>
      <c r="CB107" s="1698"/>
      <c r="CC107" s="2136">
        <f>+BZ107</f>
        <v>0</v>
      </c>
      <c r="CD107" s="2138">
        <f>+CC107</f>
        <v>0</v>
      </c>
      <c r="CE107" s="2138">
        <f>+CD107</f>
        <v>0</v>
      </c>
      <c r="CF107" s="2138">
        <f>+CE107</f>
        <v>0</v>
      </c>
      <c r="CG107" s="1610">
        <f>SUM(CC107:CF107)</f>
        <v>0</v>
      </c>
      <c r="CH107" s="1698"/>
      <c r="CI107" s="2136">
        <f>+CF107</f>
        <v>0</v>
      </c>
      <c r="CJ107" s="2138">
        <f>+CI107</f>
        <v>0</v>
      </c>
      <c r="CK107" s="2138">
        <f>+CJ107</f>
        <v>0</v>
      </c>
      <c r="CL107" s="2138">
        <f>+CK107</f>
        <v>0</v>
      </c>
      <c r="CM107" s="1610">
        <f>SUM(CI107:CL107)</f>
        <v>0</v>
      </c>
      <c r="CN107" s="1698"/>
      <c r="CO107" s="2136">
        <f>+CL107</f>
        <v>0</v>
      </c>
      <c r="CP107" s="2138">
        <f>+CO107</f>
        <v>0</v>
      </c>
      <c r="CQ107" s="2138">
        <f>+CP107</f>
        <v>0</v>
      </c>
      <c r="CR107" s="2138">
        <f>+CQ107</f>
        <v>0</v>
      </c>
      <c r="CS107" s="1610">
        <f>SUM(CO107:CR107)</f>
        <v>0</v>
      </c>
      <c r="CT107" s="60"/>
      <c r="CU107" s="60"/>
      <c r="CV107" s="60"/>
      <c r="CW107" s="60"/>
      <c r="CX107" s="60"/>
      <c r="CY107" s="60"/>
      <c r="CZ107" s="60"/>
      <c r="DA107" s="60"/>
      <c r="DB107" s="60"/>
      <c r="DC107" s="60"/>
      <c r="DD107" s="60"/>
      <c r="DE107" s="60"/>
      <c r="DF107" s="60"/>
      <c r="DG107" s="60"/>
      <c r="DH107" s="60"/>
      <c r="DI107" s="68"/>
      <c r="DJ107" s="68"/>
      <c r="DK107" s="68"/>
      <c r="DL107" s="68"/>
      <c r="DM107" s="68"/>
      <c r="DN107" s="68"/>
      <c r="DO107" s="68"/>
      <c r="DP107" s="68"/>
      <c r="DQ107" s="68"/>
      <c r="DR107" s="68"/>
      <c r="DS107" s="68"/>
      <c r="DT107" s="68"/>
    </row>
    <row r="108" spans="1:126" ht="12.75" hidden="1" customHeight="1" outlineLevel="1">
      <c r="A108" s="1664" t="s">
        <v>507</v>
      </c>
      <c r="B108" s="60"/>
      <c r="C108" s="752"/>
      <c r="D108" s="60"/>
      <c r="E108" s="60"/>
      <c r="F108" s="60"/>
      <c r="G108" s="736"/>
      <c r="H108" s="60"/>
      <c r="I108" s="753"/>
      <c r="J108" s="226"/>
      <c r="K108" s="226"/>
      <c r="L108" s="226"/>
      <c r="M108" s="736"/>
      <c r="N108" s="60"/>
      <c r="O108" s="753"/>
      <c r="P108" s="226"/>
      <c r="Q108" s="226"/>
      <c r="R108" s="226"/>
      <c r="S108" s="736"/>
      <c r="T108" s="60"/>
      <c r="U108" s="758"/>
      <c r="V108" s="223"/>
      <c r="W108" s="223"/>
      <c r="X108" s="223"/>
      <c r="Y108" s="224"/>
      <c r="Z108" s="60"/>
      <c r="AA108" s="758"/>
      <c r="AB108" s="223"/>
      <c r="AC108" s="223"/>
      <c r="AD108" s="223"/>
      <c r="AE108" s="224"/>
      <c r="AF108" s="740"/>
      <c r="AG108" s="1617"/>
      <c r="AH108" s="1618"/>
      <c r="AI108" s="1618"/>
      <c r="AJ108" s="1618"/>
      <c r="AK108" s="1619"/>
      <c r="AL108" s="740"/>
      <c r="AM108" s="1642"/>
      <c r="AN108" s="1618"/>
      <c r="AO108" s="1618"/>
      <c r="AP108" s="1618"/>
      <c r="AQ108" s="1619"/>
      <c r="AR108" s="226"/>
      <c r="AS108" s="89">
        <f>+AS107-AS109</f>
        <v>92</v>
      </c>
      <c r="AT108" s="9">
        <f>+AS108-AT109+AT107</f>
        <v>98</v>
      </c>
      <c r="AU108" s="9">
        <f>+AT108-AU109+AU107</f>
        <v>73</v>
      </c>
      <c r="AV108" s="9">
        <f>+AU108-AV109+AV107</f>
        <v>67</v>
      </c>
      <c r="AW108" s="1610">
        <f>+AV108</f>
        <v>67</v>
      </c>
      <c r="AX108" s="1698"/>
      <c r="AY108" s="89">
        <f>+AV108-AY109+AY107</f>
        <v>50.1</v>
      </c>
      <c r="AZ108" s="9">
        <f>+AY108-AZ109+AZ107</f>
        <v>46.031999999999996</v>
      </c>
      <c r="BA108" s="9">
        <f>+AZ108-BA109+BA107</f>
        <v>38.031999999999996</v>
      </c>
      <c r="BB108" s="9">
        <f>+BA108-BB109+BB107</f>
        <v>41.409599999999998</v>
      </c>
      <c r="BC108" s="1610">
        <f>+BB108</f>
        <v>41.409599999999998</v>
      </c>
      <c r="BD108" s="1698"/>
      <c r="BE108" s="1432">
        <f>+BB108-BE109+BE107</f>
        <v>52.057199999999995</v>
      </c>
      <c r="BF108" s="1611">
        <f>+BE108-BF109+BF107</f>
        <v>55.713747999999995</v>
      </c>
      <c r="BG108" s="1611">
        <f>+BF108-BG109+BG107</f>
        <v>60.113898559999996</v>
      </c>
      <c r="BH108" s="1611">
        <f>+BG108-BH109+BH107</f>
        <v>56.068339135999992</v>
      </c>
      <c r="BI108" s="1610">
        <f>+BH108</f>
        <v>56.068339135999992</v>
      </c>
      <c r="BJ108" s="1611"/>
      <c r="BK108" s="1432">
        <f>+BH108-BK109+BK107</f>
        <v>50.461505222399992</v>
      </c>
      <c r="BL108" s="1611">
        <f>+BK108-BL109+BL107</f>
        <v>45.415354700159995</v>
      </c>
      <c r="BM108" s="1611">
        <f>+BL108-BM109+BM107</f>
        <v>45.415354700159995</v>
      </c>
      <c r="BN108" s="1611">
        <f>+BM108-BN109+BN107</f>
        <v>45.415354700159995</v>
      </c>
      <c r="BO108" s="1610">
        <f>+BN108</f>
        <v>45.415354700159995</v>
      </c>
      <c r="BP108" s="1611"/>
      <c r="BQ108" s="1432">
        <f>+BN108-BQ109+BQ107</f>
        <v>45.415354700159995</v>
      </c>
      <c r="BR108" s="1611">
        <f>+BQ108-BR109+BR107</f>
        <v>45.415354700159995</v>
      </c>
      <c r="BS108" s="1611">
        <f>+BR108-BS109+BS107</f>
        <v>45.415354700159995</v>
      </c>
      <c r="BT108" s="1611">
        <f>+BS108-BT109+BT107</f>
        <v>45.415354700159995</v>
      </c>
      <c r="BU108" s="1610">
        <f>+BT108</f>
        <v>45.415354700159995</v>
      </c>
      <c r="BV108" s="1611"/>
      <c r="BW108" s="1432">
        <f>+BT108-BW109+BW107</f>
        <v>45.415354700159995</v>
      </c>
      <c r="BX108" s="1611">
        <f>+BW108-BX109+BX107</f>
        <v>45.415354700159995</v>
      </c>
      <c r="BY108" s="1611">
        <f>+BX108-BY109+BY107</f>
        <v>45.415354700159995</v>
      </c>
      <c r="BZ108" s="1611">
        <f>+BY108-BZ109+BZ107</f>
        <v>45.415354700159995</v>
      </c>
      <c r="CA108" s="1610">
        <f>+BZ108</f>
        <v>45.415354700159995</v>
      </c>
      <c r="CB108" s="1611"/>
      <c r="CC108" s="1432">
        <f>+BZ108-CC109+CC107</f>
        <v>45.415354700159995</v>
      </c>
      <c r="CD108" s="1611">
        <f>+CC108-CD109+CD107</f>
        <v>45.415354700159995</v>
      </c>
      <c r="CE108" s="1611">
        <f>+CD108-CE109+CE107</f>
        <v>45.415354700159995</v>
      </c>
      <c r="CF108" s="1611">
        <f>+CE108-CF109+CF107</f>
        <v>45.415354700159995</v>
      </c>
      <c r="CG108" s="1610">
        <f>+CF108</f>
        <v>45.415354700159995</v>
      </c>
      <c r="CH108" s="1611"/>
      <c r="CI108" s="1432">
        <f>+CF108-CI109+CI107</f>
        <v>45.415354700159995</v>
      </c>
      <c r="CJ108" s="1611">
        <f>+CI108-CJ109+CJ107</f>
        <v>45.415354700159995</v>
      </c>
      <c r="CK108" s="1611">
        <f>+CJ108-CK109+CK107</f>
        <v>45.415354700159995</v>
      </c>
      <c r="CL108" s="1611">
        <f>+CK108-CL109+CL107</f>
        <v>45.415354700159995</v>
      </c>
      <c r="CM108" s="1610">
        <f>+CL108</f>
        <v>45.415354700159995</v>
      </c>
      <c r="CN108" s="1611"/>
      <c r="CO108" s="1432">
        <f>+CL108-CO109+CO107</f>
        <v>45.415354700159995</v>
      </c>
      <c r="CP108" s="1611">
        <f>+CO108-CP109+CP107</f>
        <v>45.415354700159995</v>
      </c>
      <c r="CQ108" s="1611">
        <f>+CP108-CQ109+CQ107</f>
        <v>45.415354700159995</v>
      </c>
      <c r="CR108" s="1611">
        <f>+CQ108-CR109+CR107</f>
        <v>45.415354700159995</v>
      </c>
      <c r="CS108" s="1610">
        <f>+CR108</f>
        <v>45.415354700159995</v>
      </c>
      <c r="CT108" s="60"/>
      <c r="CU108" s="60"/>
      <c r="CV108" s="60"/>
      <c r="CW108" s="60"/>
      <c r="CX108" s="60"/>
      <c r="CY108" s="60"/>
      <c r="CZ108" s="60"/>
      <c r="DA108" s="60"/>
      <c r="DB108" s="60"/>
      <c r="DC108" s="60"/>
      <c r="DD108" s="60"/>
      <c r="DE108" s="60"/>
      <c r="DF108" s="60"/>
      <c r="DG108" s="60"/>
      <c r="DH108" s="60"/>
      <c r="DI108" s="68"/>
      <c r="DJ108" s="68"/>
      <c r="DK108" s="68"/>
      <c r="DL108" s="68"/>
      <c r="DM108" s="68"/>
      <c r="DN108" s="68"/>
      <c r="DO108" s="68"/>
      <c r="DP108" s="68"/>
      <c r="DQ108" s="68"/>
      <c r="DR108" s="68"/>
      <c r="DS108" s="68"/>
      <c r="DT108" s="68"/>
    </row>
    <row r="109" spans="1:126" ht="12.75" hidden="1" customHeight="1" outlineLevel="1">
      <c r="A109" s="759" t="s">
        <v>218</v>
      </c>
      <c r="B109" s="60"/>
      <c r="C109" s="752"/>
      <c r="D109" s="60"/>
      <c r="E109" s="60"/>
      <c r="F109" s="60"/>
      <c r="G109" s="736"/>
      <c r="H109" s="60"/>
      <c r="I109" s="753"/>
      <c r="J109" s="226"/>
      <c r="K109" s="226"/>
      <c r="L109" s="226"/>
      <c r="M109" s="736"/>
      <c r="N109" s="60"/>
      <c r="O109" s="753"/>
      <c r="P109" s="226"/>
      <c r="Q109" s="226"/>
      <c r="R109" s="226"/>
      <c r="S109" s="736"/>
      <c r="T109" s="60"/>
      <c r="U109" s="758"/>
      <c r="V109" s="223"/>
      <c r="W109" s="223"/>
      <c r="X109" s="223"/>
      <c r="Y109" s="224"/>
      <c r="Z109" s="60"/>
      <c r="AA109" s="758"/>
      <c r="AB109" s="223"/>
      <c r="AC109" s="223"/>
      <c r="AD109" s="223"/>
      <c r="AE109" s="224"/>
      <c r="AF109" s="740"/>
      <c r="AG109" s="1617"/>
      <c r="AH109" s="1618"/>
      <c r="AI109" s="1618"/>
      <c r="AJ109" s="1618"/>
      <c r="AK109" s="1619"/>
      <c r="AL109" s="740"/>
      <c r="AM109" s="1617"/>
      <c r="AN109" s="1618"/>
      <c r="AO109" s="1618"/>
      <c r="AP109" s="1618"/>
      <c r="AQ109" s="1619"/>
      <c r="AR109" s="226"/>
      <c r="AS109" s="95">
        <v>12</v>
      </c>
      <c r="AT109" s="746">
        <v>34</v>
      </c>
      <c r="AU109" s="746">
        <v>45</v>
      </c>
      <c r="AV109" s="1609">
        <f>134-AU109-AT109-AS109</f>
        <v>43</v>
      </c>
      <c r="AW109" s="1610">
        <f>SUM(AS109:AV109)</f>
        <v>134</v>
      </c>
      <c r="AX109" s="1750"/>
      <c r="AY109" s="1769">
        <f>+AV108*AY110</f>
        <v>46.9</v>
      </c>
      <c r="AZ109" s="1750">
        <f>+AY108*AZ110</f>
        <v>34.068000000000005</v>
      </c>
      <c r="BA109" s="2014">
        <v>38</v>
      </c>
      <c r="BB109" s="1750">
        <f>+BA108*BB110</f>
        <v>26.622399999999995</v>
      </c>
      <c r="BC109" s="1751">
        <f>SUM(AY109:BB109)</f>
        <v>145.59039999999999</v>
      </c>
      <c r="BD109" s="1750"/>
      <c r="BE109" s="1769">
        <f>+BB108*BE110</f>
        <v>10.352399999999999</v>
      </c>
      <c r="BF109" s="1750">
        <f>+BE108*BF110</f>
        <v>21.343451999999996</v>
      </c>
      <c r="BG109" s="1750">
        <f>+BF108*BG110</f>
        <v>15.59984944</v>
      </c>
      <c r="BH109" s="1750">
        <f>+BG108*BH110</f>
        <v>24.045559424</v>
      </c>
      <c r="BI109" s="1751">
        <f>SUM(BE109:BH109)</f>
        <v>71.341260863999992</v>
      </c>
      <c r="BJ109" s="1750"/>
      <c r="BK109" s="1769">
        <f>+BH108*BK110</f>
        <v>5.6068339135999992</v>
      </c>
      <c r="BL109" s="1750">
        <f>+BK108*BL110</f>
        <v>5.0461505222399996</v>
      </c>
      <c r="BM109" s="1750">
        <f t="shared" ref="BM109:BN109" si="367">+BL108*BM110</f>
        <v>0</v>
      </c>
      <c r="BN109" s="1750">
        <f t="shared" si="367"/>
        <v>0</v>
      </c>
      <c r="BO109" s="1751">
        <f>SUM(BK109:BN109)</f>
        <v>10.652984435839999</v>
      </c>
      <c r="BP109" s="1750"/>
      <c r="BQ109" s="1769">
        <f>+BN108*BQ110</f>
        <v>0</v>
      </c>
      <c r="BR109" s="1750">
        <f>+BQ108*BR110</f>
        <v>0</v>
      </c>
      <c r="BS109" s="1750">
        <f t="shared" ref="BS109" si="368">+BR108*BS110</f>
        <v>0</v>
      </c>
      <c r="BT109" s="1750">
        <f t="shared" ref="BT109" si="369">+BS108*BT110</f>
        <v>0</v>
      </c>
      <c r="BU109" s="1751">
        <f>SUM(BQ109:BT109)</f>
        <v>0</v>
      </c>
      <c r="BV109" s="1750"/>
      <c r="BW109" s="1769">
        <f>+BT108*BW110</f>
        <v>0</v>
      </c>
      <c r="BX109" s="1750">
        <f>+BW108*BX110</f>
        <v>0</v>
      </c>
      <c r="BY109" s="1750">
        <f t="shared" ref="BY109" si="370">+BX108*BY110</f>
        <v>0</v>
      </c>
      <c r="BZ109" s="1750">
        <f t="shared" ref="BZ109" si="371">+BY108*BZ110</f>
        <v>0</v>
      </c>
      <c r="CA109" s="1751">
        <f>SUM(BW109:BZ109)</f>
        <v>0</v>
      </c>
      <c r="CB109" s="1750"/>
      <c r="CC109" s="1769">
        <f>+BZ108*CC110</f>
        <v>0</v>
      </c>
      <c r="CD109" s="1750">
        <f>+CC108*CD110</f>
        <v>0</v>
      </c>
      <c r="CE109" s="1750">
        <f t="shared" ref="CE109" si="372">+CD108*CE110</f>
        <v>0</v>
      </c>
      <c r="CF109" s="1750">
        <f t="shared" ref="CF109" si="373">+CE108*CF110</f>
        <v>0</v>
      </c>
      <c r="CG109" s="1751">
        <f>SUM(CC109:CF109)</f>
        <v>0</v>
      </c>
      <c r="CH109" s="1750"/>
      <c r="CI109" s="1769">
        <f>+CF108*CI110</f>
        <v>0</v>
      </c>
      <c r="CJ109" s="1750">
        <f>+CI108*CJ110</f>
        <v>0</v>
      </c>
      <c r="CK109" s="1750">
        <f t="shared" ref="CK109" si="374">+CJ108*CK110</f>
        <v>0</v>
      </c>
      <c r="CL109" s="1750">
        <f t="shared" ref="CL109" si="375">+CK108*CL110</f>
        <v>0</v>
      </c>
      <c r="CM109" s="1751">
        <f>SUM(CI109:CL109)</f>
        <v>0</v>
      </c>
      <c r="CN109" s="1750"/>
      <c r="CO109" s="1769">
        <f>+CL108*CO110</f>
        <v>0</v>
      </c>
      <c r="CP109" s="1750">
        <f>+CO108*CP110</f>
        <v>0</v>
      </c>
      <c r="CQ109" s="1750">
        <f t="shared" ref="CQ109" si="376">+CP108*CQ110</f>
        <v>0</v>
      </c>
      <c r="CR109" s="1750">
        <f t="shared" ref="CR109" si="377">+CQ108*CR110</f>
        <v>0</v>
      </c>
      <c r="CS109" s="1751">
        <f>SUM(CO109:CR109)</f>
        <v>0</v>
      </c>
      <c r="CT109" s="60"/>
      <c r="CU109" s="4"/>
      <c r="CV109" s="60"/>
      <c r="CW109" s="60"/>
      <c r="CX109" s="60"/>
      <c r="CY109" s="60"/>
      <c r="CZ109" s="60"/>
      <c r="DA109" s="60"/>
      <c r="DB109" s="60"/>
      <c r="DC109" s="60"/>
      <c r="DD109" s="60"/>
      <c r="DE109" s="60"/>
      <c r="DF109" s="60"/>
      <c r="DG109" s="60"/>
      <c r="DH109" s="60"/>
      <c r="DI109" s="68"/>
      <c r="DJ109" s="68"/>
      <c r="DK109" s="68"/>
      <c r="DL109" s="68"/>
      <c r="DM109" s="68"/>
      <c r="DN109" s="68"/>
      <c r="DO109" s="68"/>
      <c r="DP109" s="68"/>
      <c r="DQ109" s="68"/>
      <c r="DR109" s="68"/>
      <c r="DS109" s="68"/>
      <c r="DT109" s="68"/>
    </row>
    <row r="110" spans="1:126" ht="12.75" hidden="1" customHeight="1" outlineLevel="1">
      <c r="A110" s="1664" t="s">
        <v>508</v>
      </c>
      <c r="B110" s="60"/>
      <c r="C110" s="752"/>
      <c r="D110" s="60"/>
      <c r="E110" s="60"/>
      <c r="F110" s="60"/>
      <c r="G110" s="736"/>
      <c r="H110" s="60"/>
      <c r="I110" s="753"/>
      <c r="J110" s="226"/>
      <c r="K110" s="226"/>
      <c r="L110" s="226"/>
      <c r="M110" s="736"/>
      <c r="N110" s="60"/>
      <c r="O110" s="753"/>
      <c r="P110" s="226"/>
      <c r="Q110" s="226"/>
      <c r="R110" s="226"/>
      <c r="S110" s="736"/>
      <c r="T110" s="60"/>
      <c r="U110" s="758"/>
      <c r="V110" s="223"/>
      <c r="W110" s="223"/>
      <c r="X110" s="223"/>
      <c r="Y110" s="224"/>
      <c r="Z110" s="60"/>
      <c r="AA110" s="758"/>
      <c r="AB110" s="223"/>
      <c r="AC110" s="223"/>
      <c r="AD110" s="223"/>
      <c r="AE110" s="224"/>
      <c r="AF110" s="740"/>
      <c r="AG110" s="1617"/>
      <c r="AH110" s="1618"/>
      <c r="AI110" s="1618"/>
      <c r="AJ110" s="1618"/>
      <c r="AK110" s="1619"/>
      <c r="AL110" s="740"/>
      <c r="AM110" s="1617"/>
      <c r="AN110" s="1618"/>
      <c r="AO110" s="1618"/>
      <c r="AP110" s="1618"/>
      <c r="AQ110" s="1619"/>
      <c r="AR110" s="226"/>
      <c r="AS110" s="95"/>
      <c r="AT110" s="1703">
        <f>+AT109/AS108</f>
        <v>0.36956521739130432</v>
      </c>
      <c r="AU110" s="1703">
        <f>+AU109/AT108</f>
        <v>0.45918367346938777</v>
      </c>
      <c r="AV110" s="1703">
        <f>+AV109/AU108</f>
        <v>0.58904109589041098</v>
      </c>
      <c r="AW110" s="1610"/>
      <c r="AX110" s="1698"/>
      <c r="AY110" s="2787">
        <v>0.7</v>
      </c>
      <c r="AZ110" s="2788">
        <v>0.68</v>
      </c>
      <c r="BA110" s="1703">
        <f>+BA109/AZ108</f>
        <v>0.82551268682655554</v>
      </c>
      <c r="BB110" s="2788">
        <v>0.7</v>
      </c>
      <c r="BC110" s="2789"/>
      <c r="BD110" s="1698"/>
      <c r="BE110" s="2790">
        <v>0.25</v>
      </c>
      <c r="BF110" s="2791">
        <v>0.41</v>
      </c>
      <c r="BG110" s="2791">
        <v>0.28000000000000003</v>
      </c>
      <c r="BH110" s="2791">
        <v>0.4</v>
      </c>
      <c r="BI110" s="2792">
        <f>+AVERAGE(BE110:BH110)</f>
        <v>0.33499999999999996</v>
      </c>
      <c r="BJ110" s="1698"/>
      <c r="BK110" s="2790">
        <v>0.1</v>
      </c>
      <c r="BL110" s="2791">
        <v>0.1</v>
      </c>
      <c r="BM110" s="2791">
        <v>0</v>
      </c>
      <c r="BN110" s="2791">
        <f>+BM110</f>
        <v>0</v>
      </c>
      <c r="BO110" s="2792">
        <f t="shared" ref="BO110" si="378">+AVERAGE(BK110:BN110)</f>
        <v>0.05</v>
      </c>
      <c r="BP110" s="1698"/>
      <c r="BQ110" s="2790">
        <v>0</v>
      </c>
      <c r="BR110" s="2791">
        <f>+BQ110</f>
        <v>0</v>
      </c>
      <c r="BS110" s="2791">
        <f>+BR110</f>
        <v>0</v>
      </c>
      <c r="BT110" s="2791">
        <f>+BS110</f>
        <v>0</v>
      </c>
      <c r="BU110" s="2792">
        <f t="shared" ref="BU110" si="379">+AVERAGE(BQ110:BT110)</f>
        <v>0</v>
      </c>
      <c r="BV110" s="1698"/>
      <c r="BW110" s="2790">
        <f t="shared" ref="BW110" si="380">+BT110</f>
        <v>0</v>
      </c>
      <c r="BX110" s="2791">
        <f t="shared" ref="BX110:BZ110" si="381">+BW110</f>
        <v>0</v>
      </c>
      <c r="BY110" s="2791">
        <f t="shared" si="381"/>
        <v>0</v>
      </c>
      <c r="BZ110" s="2791">
        <f t="shared" si="381"/>
        <v>0</v>
      </c>
      <c r="CA110" s="2792">
        <f t="shared" ref="CA110" si="382">+AVERAGE(BW110:BZ110)</f>
        <v>0</v>
      </c>
      <c r="CB110" s="1698"/>
      <c r="CC110" s="2790">
        <f t="shared" ref="CC110" si="383">+BZ110</f>
        <v>0</v>
      </c>
      <c r="CD110" s="2791">
        <f t="shared" ref="CD110:CF110" si="384">+CC110</f>
        <v>0</v>
      </c>
      <c r="CE110" s="2791">
        <f t="shared" si="384"/>
        <v>0</v>
      </c>
      <c r="CF110" s="2791">
        <f t="shared" si="384"/>
        <v>0</v>
      </c>
      <c r="CG110" s="2792">
        <f t="shared" ref="CG110" si="385">+AVERAGE(CC110:CF110)</f>
        <v>0</v>
      </c>
      <c r="CH110" s="1698"/>
      <c r="CI110" s="2790">
        <f t="shared" ref="CI110" si="386">+CF110</f>
        <v>0</v>
      </c>
      <c r="CJ110" s="2791">
        <f t="shared" ref="CJ110" si="387">+CI110</f>
        <v>0</v>
      </c>
      <c r="CK110" s="2791">
        <f t="shared" ref="CK110" si="388">+CJ110</f>
        <v>0</v>
      </c>
      <c r="CL110" s="2791">
        <f t="shared" ref="CL110" si="389">+CK110</f>
        <v>0</v>
      </c>
      <c r="CM110" s="2792">
        <f t="shared" ref="CM110" si="390">+AVERAGE(CI110:CL110)</f>
        <v>0</v>
      </c>
      <c r="CN110" s="1698"/>
      <c r="CO110" s="2790">
        <f t="shared" ref="CO110" si="391">+CL110</f>
        <v>0</v>
      </c>
      <c r="CP110" s="2791">
        <f t="shared" ref="CP110" si="392">+CO110</f>
        <v>0</v>
      </c>
      <c r="CQ110" s="2791">
        <f t="shared" ref="CQ110" si="393">+CP110</f>
        <v>0</v>
      </c>
      <c r="CR110" s="2791">
        <f t="shared" ref="CR110" si="394">+CQ110</f>
        <v>0</v>
      </c>
      <c r="CS110" s="2792">
        <f t="shared" ref="CS110" si="395">+AVERAGE(CO110:CR110)</f>
        <v>0</v>
      </c>
      <c r="CT110" s="60"/>
      <c r="CU110" s="4"/>
      <c r="CV110" s="60"/>
      <c r="CW110" s="60"/>
      <c r="CX110" s="60"/>
      <c r="CY110" s="60"/>
      <c r="CZ110" s="60"/>
      <c r="DA110" s="60"/>
      <c r="DB110" s="60"/>
      <c r="DC110" s="60"/>
      <c r="DD110" s="60"/>
      <c r="DE110" s="60"/>
      <c r="DF110" s="60"/>
      <c r="DG110" s="60"/>
      <c r="DH110" s="60"/>
      <c r="DI110" s="68"/>
      <c r="DJ110" s="68"/>
      <c r="DK110" s="68"/>
      <c r="DL110" s="68"/>
      <c r="DM110" s="68"/>
      <c r="DN110" s="68"/>
      <c r="DO110" s="68"/>
      <c r="DP110" s="68"/>
      <c r="DQ110" s="68"/>
      <c r="DR110" s="68"/>
      <c r="DS110" s="68"/>
      <c r="DT110" s="68"/>
    </row>
    <row r="111" spans="1:126" ht="12.75" hidden="1" customHeight="1" outlineLevel="1">
      <c r="A111" s="2793" t="s">
        <v>830</v>
      </c>
      <c r="B111" s="800"/>
      <c r="C111" s="2794"/>
      <c r="D111" s="800"/>
      <c r="E111" s="800"/>
      <c r="F111" s="800"/>
      <c r="G111" s="802"/>
      <c r="H111" s="800"/>
      <c r="I111" s="2795"/>
      <c r="J111" s="804"/>
      <c r="K111" s="804"/>
      <c r="L111" s="804"/>
      <c r="M111" s="802"/>
      <c r="N111" s="800"/>
      <c r="O111" s="2795"/>
      <c r="P111" s="804"/>
      <c r="Q111" s="804"/>
      <c r="R111" s="804"/>
      <c r="S111" s="802"/>
      <c r="T111" s="800"/>
      <c r="U111" s="2796"/>
      <c r="V111" s="806"/>
      <c r="W111" s="806"/>
      <c r="X111" s="806"/>
      <c r="Y111" s="807"/>
      <c r="Z111" s="800"/>
      <c r="AA111" s="2796"/>
      <c r="AB111" s="806"/>
      <c r="AC111" s="806"/>
      <c r="AD111" s="806"/>
      <c r="AE111" s="807"/>
      <c r="AF111" s="1031"/>
      <c r="AG111" s="2797"/>
      <c r="AH111" s="1621"/>
      <c r="AI111" s="1621"/>
      <c r="AJ111" s="1621"/>
      <c r="AK111" s="1622"/>
      <c r="AL111" s="1031"/>
      <c r="AM111" s="2797"/>
      <c r="AN111" s="1621"/>
      <c r="AO111" s="1621"/>
      <c r="AP111" s="1621"/>
      <c r="AQ111" s="1622"/>
      <c r="AR111" s="804"/>
      <c r="AS111" s="2801">
        <f>+AS107/AS172</f>
        <v>6.3740173082771898E-2</v>
      </c>
      <c r="AT111" s="2802">
        <f t="shared" ref="AT111:AV111" si="396">+AT107/AT172</f>
        <v>2.3113049749536218E-2</v>
      </c>
      <c r="AU111" s="2802">
        <f t="shared" si="396"/>
        <v>1.0865879911602391E-2</v>
      </c>
      <c r="AV111" s="2802">
        <f t="shared" si="396"/>
        <v>1.8958569304146151E-2</v>
      </c>
      <c r="AW111" s="1691"/>
      <c r="AX111" s="1700"/>
      <c r="AY111" s="2799">
        <f>+AY107/AY172</f>
        <v>1.4573548388746298E-2</v>
      </c>
      <c r="AZ111" s="2754">
        <f t="shared" ref="AZ111:BB111" si="397">+AZ107/AZ172</f>
        <v>1.3853024561752796E-2</v>
      </c>
      <c r="BA111" s="2754">
        <f t="shared" si="397"/>
        <v>1.3245664342170978E-2</v>
      </c>
      <c r="BB111" s="2754">
        <f t="shared" si="397"/>
        <v>1.2757301698219516E-2</v>
      </c>
      <c r="BC111" s="2186"/>
      <c r="BD111" s="1700"/>
      <c r="BE111" s="2799">
        <f>+BE107/BE172</f>
        <v>9.046932694025565E-3</v>
      </c>
      <c r="BF111" s="2754">
        <f t="shared" ref="BF111:BH111" si="398">+BF107/BF172</f>
        <v>1.0655413493222993E-2</v>
      </c>
      <c r="BG111" s="2754">
        <f t="shared" si="398"/>
        <v>8.580443963399945E-3</v>
      </c>
      <c r="BH111" s="2754">
        <f t="shared" si="398"/>
        <v>8.753052746402425E-3</v>
      </c>
      <c r="BI111" s="2186"/>
      <c r="BJ111" s="1700"/>
      <c r="BK111" s="2798"/>
      <c r="BL111" s="2185"/>
      <c r="BM111" s="2185"/>
      <c r="BN111" s="2185"/>
      <c r="BO111" s="2186"/>
      <c r="BP111" s="1700"/>
      <c r="BQ111" s="2798"/>
      <c r="BR111" s="2185"/>
      <c r="BS111" s="2185"/>
      <c r="BT111" s="2185"/>
      <c r="BU111" s="2186"/>
      <c r="BV111" s="1700"/>
      <c r="BW111" s="2798"/>
      <c r="BX111" s="2185"/>
      <c r="BY111" s="2185"/>
      <c r="BZ111" s="2185"/>
      <c r="CA111" s="2186"/>
      <c r="CB111" s="1700"/>
      <c r="CC111" s="2798"/>
      <c r="CD111" s="2185"/>
      <c r="CE111" s="2185"/>
      <c r="CF111" s="2185"/>
      <c r="CG111" s="2186"/>
      <c r="CH111" s="1700"/>
      <c r="CI111" s="2798"/>
      <c r="CJ111" s="2185"/>
      <c r="CK111" s="2185"/>
      <c r="CL111" s="2185"/>
      <c r="CM111" s="2186"/>
      <c r="CN111" s="1700"/>
      <c r="CO111" s="2798"/>
      <c r="CP111" s="2185"/>
      <c r="CQ111" s="2185"/>
      <c r="CR111" s="2185"/>
      <c r="CS111" s="2186"/>
      <c r="CT111" s="60"/>
      <c r="CU111" s="4"/>
      <c r="CV111" s="60"/>
      <c r="CW111" s="60"/>
      <c r="CX111" s="60"/>
      <c r="CY111" s="60"/>
      <c r="CZ111" s="60"/>
      <c r="DA111" s="60"/>
      <c r="DB111" s="60"/>
      <c r="DC111" s="60"/>
      <c r="DD111" s="60"/>
      <c r="DE111" s="60"/>
      <c r="DF111" s="60"/>
      <c r="DG111" s="60"/>
      <c r="DH111" s="60"/>
      <c r="DI111" s="68"/>
      <c r="DJ111" s="68"/>
      <c r="DK111" s="68"/>
      <c r="DL111" s="68"/>
      <c r="DM111" s="68"/>
      <c r="DN111" s="68"/>
      <c r="DO111" s="68"/>
      <c r="DP111" s="68"/>
      <c r="DQ111" s="68"/>
      <c r="DR111" s="68"/>
      <c r="DS111" s="68"/>
      <c r="DT111" s="68"/>
    </row>
    <row r="112" spans="1:126" collapsed="1">
      <c r="A112" s="1814" t="s">
        <v>752</v>
      </c>
      <c r="B112" s="205"/>
      <c r="C112" s="750"/>
      <c r="D112" s="205"/>
      <c r="E112" s="205"/>
      <c r="F112" s="205"/>
      <c r="G112" s="191"/>
      <c r="H112" s="205"/>
      <c r="I112" s="750"/>
      <c r="J112" s="205"/>
      <c r="K112" s="205"/>
      <c r="L112" s="205"/>
      <c r="M112" s="191"/>
      <c r="N112" s="205"/>
      <c r="O112" s="750"/>
      <c r="P112" s="205"/>
      <c r="Q112" s="205"/>
      <c r="R112" s="205"/>
      <c r="S112" s="191"/>
      <c r="T112" s="205"/>
      <c r="U112" s="89"/>
      <c r="V112" s="205"/>
      <c r="W112" s="205"/>
      <c r="X112" s="789"/>
      <c r="Y112" s="191"/>
      <c r="Z112" s="205"/>
      <c r="AA112" s="89"/>
      <c r="AB112" s="205"/>
      <c r="AC112" s="205"/>
      <c r="AD112" s="789"/>
      <c r="AE112" s="191"/>
      <c r="AF112" s="205"/>
      <c r="AG112" s="1617"/>
      <c r="AH112" s="1618"/>
      <c r="AI112" s="1618"/>
      <c r="AJ112" s="1618"/>
      <c r="AK112" s="1619"/>
      <c r="AL112" s="740"/>
      <c r="AM112" s="1617"/>
      <c r="AN112" s="1618"/>
      <c r="AO112" s="1618"/>
      <c r="AP112" s="1618"/>
      <c r="AQ112" s="1619"/>
      <c r="AR112" s="226"/>
      <c r="AS112" s="1617"/>
      <c r="AT112" s="1618"/>
      <c r="AU112" s="1618"/>
      <c r="AV112" s="1618"/>
      <c r="AW112" s="1619"/>
      <c r="AX112" s="740"/>
      <c r="AY112" s="1617"/>
      <c r="AZ112" s="1618"/>
      <c r="BA112" s="1618"/>
      <c r="BB112" s="1618"/>
      <c r="BC112" s="1619"/>
      <c r="BD112" s="226"/>
      <c r="BE112" s="1617"/>
      <c r="BF112" s="1618"/>
      <c r="BG112" s="1618"/>
      <c r="BH112" s="1618"/>
      <c r="BI112" s="1619"/>
      <c r="BJ112" s="9"/>
      <c r="BK112" s="315">
        <f>BK126+BK115</f>
        <v>22.359500000000001</v>
      </c>
      <c r="BL112" s="197">
        <f>BL126+BL115</f>
        <v>76.879249999999999</v>
      </c>
      <c r="BM112" s="197">
        <f>BM126+BM115</f>
        <v>79.942599999999999</v>
      </c>
      <c r="BN112" s="316">
        <f>BN126+BN115</f>
        <v>80.080500000000001</v>
      </c>
      <c r="BO112" s="314">
        <f>BO126+BO115</f>
        <v>259.26184999999998</v>
      </c>
      <c r="BP112" s="197"/>
      <c r="BQ112" s="315">
        <f>BQ126+BQ115</f>
        <v>62.793750000000003</v>
      </c>
      <c r="BR112" s="197">
        <f>BR126+BR115</f>
        <v>70.525999999999996</v>
      </c>
      <c r="BS112" s="197">
        <f>BS126+BS115</f>
        <v>74.022750000000002</v>
      </c>
      <c r="BT112" s="316">
        <f>BT126+BT115</f>
        <v>74.022750000000002</v>
      </c>
      <c r="BU112" s="314">
        <f>BU126+BU115</f>
        <v>281.36525</v>
      </c>
      <c r="BV112" s="197"/>
      <c r="BW112" s="315">
        <f>BW126+BW115</f>
        <v>57.868749999999999</v>
      </c>
      <c r="BX112" s="197">
        <f>BX126+BX115</f>
        <v>57.868749999999999</v>
      </c>
      <c r="BY112" s="197">
        <f>BY126+BY115</f>
        <v>57.868749999999999</v>
      </c>
      <c r="BZ112" s="316">
        <f>BZ126+BZ115</f>
        <v>57.868749999999999</v>
      </c>
      <c r="CA112" s="314">
        <f>CA126+CA115</f>
        <v>231.47499999999999</v>
      </c>
      <c r="CB112" s="197"/>
      <c r="CC112" s="315">
        <f>CC126+CC115</f>
        <v>51.712499999999999</v>
      </c>
      <c r="CD112" s="197">
        <f>CD126+CD115</f>
        <v>51.712499999999999</v>
      </c>
      <c r="CE112" s="197">
        <f>CE126+CE115</f>
        <v>51.712499999999999</v>
      </c>
      <c r="CF112" s="316">
        <f>CF126+CF115</f>
        <v>51.712499999999999</v>
      </c>
      <c r="CG112" s="314">
        <f>CG126+CG115</f>
        <v>206.85</v>
      </c>
      <c r="CH112" s="197"/>
      <c r="CI112" s="315">
        <f>CI126+CI115</f>
        <v>51.712499999999999</v>
      </c>
      <c r="CJ112" s="197">
        <f>CJ126+CJ115</f>
        <v>51.712499999999999</v>
      </c>
      <c r="CK112" s="197">
        <f>CK126+CK115</f>
        <v>51.712499999999999</v>
      </c>
      <c r="CL112" s="316">
        <f>CL126+CL115</f>
        <v>51.712499999999999</v>
      </c>
      <c r="CM112" s="314">
        <f>CM126+CM115</f>
        <v>206.85</v>
      </c>
      <c r="CN112" s="197"/>
      <c r="CO112" s="315">
        <f>CO126+CO115</f>
        <v>51.712499999999999</v>
      </c>
      <c r="CP112" s="197">
        <f>CP126+CP115</f>
        <v>51.712499999999999</v>
      </c>
      <c r="CQ112" s="197">
        <f>CQ126+CQ115</f>
        <v>51.712499999999999</v>
      </c>
      <c r="CR112" s="316">
        <f>CR126+CR115</f>
        <v>51.712499999999999</v>
      </c>
      <c r="CS112" s="314">
        <f>CS126+CS115</f>
        <v>206.85</v>
      </c>
      <c r="CT112" s="205"/>
      <c r="CU112" s="952"/>
      <c r="CV112" s="205"/>
      <c r="CW112" s="205"/>
      <c r="CX112" s="2209"/>
      <c r="CY112" s="2210"/>
      <c r="CZ112" s="2210"/>
      <c r="DA112" s="2210"/>
      <c r="DB112" s="2210"/>
      <c r="DC112" s="2210"/>
      <c r="DD112" s="2210"/>
      <c r="DE112" s="2210"/>
      <c r="DF112" s="2210"/>
      <c r="DG112" s="2210"/>
      <c r="DH112" s="2210"/>
      <c r="DI112" s="2210"/>
      <c r="DJ112" s="2210"/>
      <c r="DK112" s="2210"/>
      <c r="DL112" s="2210"/>
      <c r="DM112" s="2210"/>
      <c r="DN112" s="2210"/>
      <c r="DO112" s="2210"/>
      <c r="DP112" s="2210"/>
      <c r="DQ112" s="2208"/>
      <c r="DR112" s="2210"/>
      <c r="DS112" s="2210"/>
      <c r="DT112" s="2210"/>
      <c r="DU112" s="2210"/>
      <c r="DV112" s="2210"/>
    </row>
    <row r="113" spans="1:137">
      <c r="A113" s="1839" t="s">
        <v>753</v>
      </c>
      <c r="B113" s="740"/>
      <c r="C113" s="760"/>
      <c r="D113" s="740"/>
      <c r="E113" s="740"/>
      <c r="F113" s="740"/>
      <c r="G113" s="739"/>
      <c r="H113" s="740"/>
      <c r="I113" s="760"/>
      <c r="J113" s="740"/>
      <c r="K113" s="740"/>
      <c r="L113" s="740"/>
      <c r="M113" s="739"/>
      <c r="N113" s="740"/>
      <c r="O113" s="760"/>
      <c r="P113" s="740"/>
      <c r="Q113" s="740"/>
      <c r="R113" s="740"/>
      <c r="S113" s="739"/>
      <c r="T113" s="740"/>
      <c r="U113" s="1432"/>
      <c r="V113" s="740"/>
      <c r="W113" s="740"/>
      <c r="X113" s="740"/>
      <c r="Y113" s="739"/>
      <c r="Z113" s="740"/>
      <c r="AA113" s="1432"/>
      <c r="AB113" s="740"/>
      <c r="AC113" s="740"/>
      <c r="AD113" s="740"/>
      <c r="AE113" s="739"/>
      <c r="AF113" s="740"/>
      <c r="AG113" s="1617"/>
      <c r="AH113" s="1618"/>
      <c r="AI113" s="1618"/>
      <c r="AJ113" s="1618"/>
      <c r="AK113" s="1619"/>
      <c r="AL113" s="740"/>
      <c r="AM113" s="1617"/>
      <c r="AN113" s="1618"/>
      <c r="AO113" s="1618"/>
      <c r="AP113" s="1618"/>
      <c r="AQ113" s="1619"/>
      <c r="AR113" s="226"/>
      <c r="AS113" s="1617"/>
      <c r="AT113" s="1618"/>
      <c r="AU113" s="1618"/>
      <c r="AV113" s="1618"/>
      <c r="AW113" s="1619"/>
      <c r="AX113" s="740"/>
      <c r="AY113" s="1617"/>
      <c r="AZ113" s="1618"/>
      <c r="BA113" s="1618"/>
      <c r="BB113" s="1618"/>
      <c r="BC113" s="1619"/>
      <c r="BD113" s="226"/>
      <c r="BE113" s="1617"/>
      <c r="BF113" s="1618"/>
      <c r="BG113" s="1618"/>
      <c r="BH113" s="1618"/>
      <c r="BI113" s="1619"/>
      <c r="BJ113" s="1611"/>
      <c r="BK113" s="2409">
        <f>+BK120+BK131</f>
        <v>25</v>
      </c>
      <c r="BL113" s="1608">
        <f>+BL120+BL131</f>
        <v>83</v>
      </c>
      <c r="BM113" s="1608">
        <f>+BM120+BM131</f>
        <v>89</v>
      </c>
      <c r="BN113" s="1608">
        <f>+BN120+BN131</f>
        <v>89</v>
      </c>
      <c r="BO113" s="2410">
        <f>+BO120+BO131</f>
        <v>286</v>
      </c>
      <c r="BP113" s="1608"/>
      <c r="BQ113" s="2409">
        <f>+BQ120+BQ131</f>
        <v>77</v>
      </c>
      <c r="BR113" s="1608">
        <f>+BR120+BR131</f>
        <v>80</v>
      </c>
      <c r="BS113" s="1608">
        <f>+BS120+BS131</f>
        <v>84</v>
      </c>
      <c r="BT113" s="1608">
        <f>+BT120+BT131</f>
        <v>84</v>
      </c>
      <c r="BU113" s="2410">
        <f>+BU120+BU131</f>
        <v>325</v>
      </c>
      <c r="BV113" s="1608"/>
      <c r="BW113" s="2409">
        <f>+BW120+BW131</f>
        <v>67</v>
      </c>
      <c r="BX113" s="1608">
        <f>+BX120+BX131</f>
        <v>67</v>
      </c>
      <c r="BY113" s="1608">
        <f>+BY120+BY131</f>
        <v>67</v>
      </c>
      <c r="BZ113" s="1608">
        <f>+BZ120+BZ131</f>
        <v>67</v>
      </c>
      <c r="CA113" s="2410">
        <f>+CA120+CA131</f>
        <v>268</v>
      </c>
      <c r="CB113" s="1608"/>
      <c r="CC113" s="2409">
        <f>+CC120+CC131</f>
        <v>60</v>
      </c>
      <c r="CD113" s="1608">
        <f>+CD120+CD131</f>
        <v>60</v>
      </c>
      <c r="CE113" s="1608">
        <f>+CE120+CE131</f>
        <v>60</v>
      </c>
      <c r="CF113" s="1608">
        <f>+CF120+CF131</f>
        <v>60</v>
      </c>
      <c r="CG113" s="2410">
        <f>+CG120+CG131</f>
        <v>240</v>
      </c>
      <c r="CH113" s="1608"/>
      <c r="CI113" s="2409">
        <f>+CI120+CI131</f>
        <v>60</v>
      </c>
      <c r="CJ113" s="1608">
        <f>+CJ120+CJ131</f>
        <v>60</v>
      </c>
      <c r="CK113" s="1608">
        <f>+CK120+CK131</f>
        <v>60</v>
      </c>
      <c r="CL113" s="1608">
        <f>+CL120+CL131</f>
        <v>60</v>
      </c>
      <c r="CM113" s="2410">
        <f>+CM120+CM131</f>
        <v>240</v>
      </c>
      <c r="CN113" s="1608"/>
      <c r="CO113" s="2409">
        <f>+CO120+CO131</f>
        <v>60</v>
      </c>
      <c r="CP113" s="1608">
        <f>+CP120+CP131</f>
        <v>60</v>
      </c>
      <c r="CQ113" s="1608">
        <f>+CQ120+CQ131</f>
        <v>60</v>
      </c>
      <c r="CR113" s="1608">
        <f>+CR120+CR131</f>
        <v>60</v>
      </c>
      <c r="CS113" s="2410">
        <f>+CS120+CS131</f>
        <v>240</v>
      </c>
      <c r="CT113" s="2454"/>
      <c r="CU113" s="1840"/>
      <c r="CV113" s="740"/>
      <c r="CW113" s="740"/>
      <c r="CX113" s="740"/>
      <c r="CY113" s="740"/>
      <c r="CZ113" s="740"/>
      <c r="DA113" s="740"/>
      <c r="DB113" s="740"/>
      <c r="DC113" s="740"/>
      <c r="DD113" s="740"/>
      <c r="DE113" s="740"/>
      <c r="DF113" s="740"/>
      <c r="DG113" s="740"/>
      <c r="DH113" s="740"/>
      <c r="DI113" s="740"/>
      <c r="DJ113" s="740"/>
      <c r="DK113" s="740"/>
      <c r="DL113" s="740"/>
      <c r="DM113" s="740"/>
      <c r="DN113" s="740"/>
      <c r="DO113" s="740"/>
      <c r="DP113" s="740"/>
      <c r="DQ113" s="740"/>
      <c r="DR113" s="740"/>
      <c r="DS113" s="740"/>
      <c r="DT113" s="740"/>
    </row>
    <row r="114" spans="1:137">
      <c r="A114" s="2403" t="s">
        <v>756</v>
      </c>
      <c r="B114" s="1008"/>
      <c r="C114" s="193"/>
      <c r="D114" s="1008"/>
      <c r="E114" s="1008"/>
      <c r="F114" s="1008"/>
      <c r="G114" s="1009"/>
      <c r="H114" s="1008"/>
      <c r="I114" s="193"/>
      <c r="J114" s="1008"/>
      <c r="K114" s="1008"/>
      <c r="L114" s="1008"/>
      <c r="M114" s="1009"/>
      <c r="N114" s="1008"/>
      <c r="O114" s="193"/>
      <c r="P114" s="1008"/>
      <c r="Q114" s="1008"/>
      <c r="R114" s="1008"/>
      <c r="S114" s="1009"/>
      <c r="T114" s="1008"/>
      <c r="U114" s="2404"/>
      <c r="V114" s="2405"/>
      <c r="W114" s="2405"/>
      <c r="X114" s="2405"/>
      <c r="Y114" s="1009"/>
      <c r="Z114" s="1008"/>
      <c r="AA114" s="2404"/>
      <c r="AB114" s="2405"/>
      <c r="AC114" s="2405"/>
      <c r="AD114" s="2405"/>
      <c r="AE114" s="2406"/>
      <c r="AF114" s="1008"/>
      <c r="AG114" s="1620"/>
      <c r="AH114" s="1621"/>
      <c r="AI114" s="1621"/>
      <c r="AJ114" s="1621"/>
      <c r="AK114" s="1622"/>
      <c r="AL114" s="1031"/>
      <c r="AM114" s="1620"/>
      <c r="AN114" s="1621"/>
      <c r="AO114" s="1621"/>
      <c r="AP114" s="1621"/>
      <c r="AQ114" s="1622"/>
      <c r="AR114" s="804"/>
      <c r="AS114" s="1620"/>
      <c r="AT114" s="1621"/>
      <c r="AU114" s="1621"/>
      <c r="AV114" s="1621"/>
      <c r="AW114" s="1622"/>
      <c r="AX114" s="1031"/>
      <c r="AY114" s="1620"/>
      <c r="AZ114" s="1621"/>
      <c r="BA114" s="1621"/>
      <c r="BB114" s="1621"/>
      <c r="BC114" s="1622"/>
      <c r="BD114" s="804"/>
      <c r="BE114" s="1620"/>
      <c r="BF114" s="1621"/>
      <c r="BG114" s="1621"/>
      <c r="BH114" s="1621"/>
      <c r="BI114" s="1622"/>
      <c r="BJ114" s="1384"/>
      <c r="BK114" s="2413">
        <f>BK113/(BI152+BI154+BI156+BI158)</f>
        <v>1.3356842940898542E-2</v>
      </c>
      <c r="BL114" s="2414">
        <f>BL113/(BK152+BK154+BK156+BK158)</f>
        <v>4.482368085596402E-2</v>
      </c>
      <c r="BM114" s="2414">
        <f>BM113/(BL152+BL154+BL156+BL158)</f>
        <v>4.8855470563848855E-2</v>
      </c>
      <c r="BN114" s="2414">
        <f>BN113/(BM152+BM154+BM156+BM158)</f>
        <v>4.9480186169633102E-2</v>
      </c>
      <c r="BO114" s="2415">
        <f>AVERAGE(BK114:BN114)</f>
        <v>3.9129045132586131E-2</v>
      </c>
      <c r="BP114" s="1384"/>
      <c r="BQ114" s="2413">
        <f>BQ113/(BO152+BO154+BO156+BO158)</f>
        <v>4.3290048633429667E-2</v>
      </c>
      <c r="BR114" s="2414">
        <f>BR113/(BQ152+BQ154+BQ156+BQ158)</f>
        <v>4.5462300381426818E-2</v>
      </c>
      <c r="BS114" s="2414">
        <f>BS113/(BR152+BR154+BR156+BR158)</f>
        <v>4.9420492351716978E-2</v>
      </c>
      <c r="BT114" s="2414">
        <f>BT113/(BS152+BS154+BS156+BS158)</f>
        <v>5.3107423442925281E-2</v>
      </c>
      <c r="BU114" s="2415">
        <f t="shared" ref="BU114" si="399">AVERAGE(BQ114:BT114)</f>
        <v>4.7820066202374681E-2</v>
      </c>
      <c r="BV114" s="1384"/>
      <c r="BW114" s="2413">
        <f>BW113/(BU152+BU154+BU156+BU158)</f>
        <v>4.5774414189875663E-2</v>
      </c>
      <c r="BX114" s="2414">
        <f>BX113/(BW152+BW154+BW156+BW158)</f>
        <v>4.9493987490839275E-2</v>
      </c>
      <c r="BY114" s="2414">
        <f>BY113/(BX152+BX154+BX156+BX158)</f>
        <v>5.3871521932485227E-2</v>
      </c>
      <c r="BZ114" s="2414">
        <f>BZ113/(BY152+BY154+BY156+BY158)</f>
        <v>5.9098538392006211E-2</v>
      </c>
      <c r="CA114" s="2415">
        <f t="shared" ref="CA114" si="400">AVERAGE(BW114:BZ114)</f>
        <v>5.2059615501301594E-2</v>
      </c>
      <c r="CB114" s="1384"/>
      <c r="CC114" s="2413">
        <f>CC113/(CA152+CA154+CA156+CA158)</f>
        <v>5.861093373836513E-2</v>
      </c>
      <c r="CD114" s="2414">
        <f>CD113/(CC152+CC154+CC156+CC158)</f>
        <v>6.4956170034701582E-2</v>
      </c>
      <c r="CE114" s="2414">
        <f>CE113/(CD152+CD154+CD156+CD158)</f>
        <v>7.284207356124206E-2</v>
      </c>
      <c r="CF114" s="2414">
        <f>CF113/(CE152+CE154+CE156+CE158)</f>
        <v>8.2907307174527808E-2</v>
      </c>
      <c r="CG114" s="2415">
        <f t="shared" ref="CG114" si="401">AVERAGE(CC114:CF114)</f>
        <v>6.982912112720914E-2</v>
      </c>
      <c r="CH114" s="1384"/>
      <c r="CI114" s="2413">
        <f>CI113/(CG152+CG154+CG156+CG158)</f>
        <v>9.6200130063540237E-2</v>
      </c>
      <c r="CJ114" s="2414">
        <f>CJ113/(CI152+CI154+CI156+CI158)</f>
        <v>0.11456945799808149</v>
      </c>
      <c r="CK114" s="2414">
        <f>CK113/(CJ152+CJ154+CJ156+CJ158)</f>
        <v>0.16055669052726865</v>
      </c>
      <c r="CL114" s="2414">
        <f>CL113/(CK152+CK154+CK156+CK158)</f>
        <v>0.2332417729795625</v>
      </c>
      <c r="CM114" s="2415">
        <f t="shared" ref="CM114" si="402">AVERAGE(CI114:CL114)</f>
        <v>0.15114201289211321</v>
      </c>
      <c r="CN114" s="1384"/>
      <c r="CO114" s="2413">
        <f>CO113/(CM152+CM154+CM156+CM158)</f>
        <v>0.28951408920315097</v>
      </c>
      <c r="CP114" s="2414">
        <f>CP113/(CO152+CO154+CO156+CO158)</f>
        <v>0.28951408920315097</v>
      </c>
      <c r="CQ114" s="2414">
        <f>CQ113/(CP152+CP154+CP156+CP158)</f>
        <v>0.38157307315137368</v>
      </c>
      <c r="CR114" s="2414">
        <f>CR113/(CQ152+CQ154+CQ156+CQ158)</f>
        <v>0.55947290192999466</v>
      </c>
      <c r="CS114" s="2415">
        <f t="shared" ref="CS114" si="403">AVERAGE(CO114:CR114)</f>
        <v>0.38001853837191757</v>
      </c>
      <c r="CT114" s="205"/>
      <c r="CU114" s="952"/>
      <c r="CV114" s="205"/>
      <c r="CW114" s="205"/>
      <c r="CX114" s="205"/>
      <c r="CY114" s="205"/>
      <c r="CZ114" s="205"/>
      <c r="DA114" s="205"/>
      <c r="DB114" s="205"/>
      <c r="DC114" s="205"/>
      <c r="DD114" s="205"/>
      <c r="DE114" s="205"/>
      <c r="DF114" s="205"/>
      <c r="DG114" s="205"/>
      <c r="DH114" s="205"/>
      <c r="DI114" s="205"/>
      <c r="DJ114" s="205"/>
      <c r="DK114" s="205"/>
      <c r="DL114" s="205"/>
      <c r="DM114" s="205"/>
      <c r="DN114" s="205"/>
      <c r="DO114" s="205"/>
      <c r="DP114" s="205"/>
      <c r="DQ114" s="205"/>
      <c r="DR114" s="205"/>
      <c r="DS114" s="205"/>
      <c r="DT114" s="205"/>
    </row>
    <row r="115" spans="1:137" ht="12.75" hidden="1" customHeight="1" outlineLevel="1">
      <c r="A115" s="1747" t="s">
        <v>749</v>
      </c>
      <c r="B115" s="60"/>
      <c r="C115" s="752"/>
      <c r="D115" s="60"/>
      <c r="E115" s="60"/>
      <c r="F115" s="60"/>
      <c r="G115" s="736"/>
      <c r="H115" s="60"/>
      <c r="I115" s="753"/>
      <c r="J115" s="226"/>
      <c r="K115" s="226"/>
      <c r="L115" s="226"/>
      <c r="M115" s="736"/>
      <c r="N115" s="60"/>
      <c r="O115" s="753"/>
      <c r="P115" s="226"/>
      <c r="Q115" s="226"/>
      <c r="R115" s="226"/>
      <c r="S115" s="736"/>
      <c r="T115" s="60"/>
      <c r="U115" s="758"/>
      <c r="V115" s="223"/>
      <c r="W115" s="223"/>
      <c r="X115" s="223"/>
      <c r="Y115" s="224"/>
      <c r="Z115" s="60"/>
      <c r="AA115" s="758"/>
      <c r="AB115" s="223"/>
      <c r="AC115" s="223"/>
      <c r="AD115" s="223"/>
      <c r="AE115" s="224"/>
      <c r="AF115" s="740"/>
      <c r="AG115" s="1617"/>
      <c r="AH115" s="1618"/>
      <c r="AI115" s="1618"/>
      <c r="AJ115" s="1618"/>
      <c r="AK115" s="1619"/>
      <c r="AL115" s="740"/>
      <c r="AM115" s="1617"/>
      <c r="AN115" s="1618"/>
      <c r="AO115" s="1618"/>
      <c r="AP115" s="1618"/>
      <c r="AQ115" s="1619"/>
      <c r="AR115" s="226"/>
      <c r="AS115" s="1617"/>
      <c r="AT115" s="1618"/>
      <c r="AU115" s="1618"/>
      <c r="AV115" s="1618"/>
      <c r="AW115" s="1619"/>
      <c r="AX115" s="740"/>
      <c r="AY115" s="1617"/>
      <c r="AZ115" s="1618"/>
      <c r="BA115" s="1618"/>
      <c r="BB115" s="1618"/>
      <c r="BC115" s="1619"/>
      <c r="BD115" s="740"/>
      <c r="BE115" s="1617"/>
      <c r="BF115" s="1618"/>
      <c r="BG115" s="1618"/>
      <c r="BH115" s="1618"/>
      <c r="BI115" s="1619"/>
      <c r="BJ115" s="1698"/>
      <c r="BK115" s="3038">
        <f>((BK124*BK116)+(BK122*BK117))/1000</f>
        <v>0</v>
      </c>
      <c r="BL115" s="3039">
        <f>((BL124*BL116)+(BL122*BL117))/1000</f>
        <v>0</v>
      </c>
      <c r="BM115" s="3039">
        <f>((BM124*BM116)+(BM122*BM117))/1000</f>
        <v>0</v>
      </c>
      <c r="BN115" s="3039">
        <f>((BN124*BN116)+(BN122*BN117))/1000</f>
        <v>0</v>
      </c>
      <c r="BO115" s="3040">
        <f>SUM(BK115:BN115)</f>
        <v>0</v>
      </c>
      <c r="BP115" s="3041"/>
      <c r="BQ115" s="3038">
        <f>((BQ124*BQ116)+(BQ122*BQ117))/1000</f>
        <v>0</v>
      </c>
      <c r="BR115" s="3039">
        <f>((BR124*BR116)+(BR122*BR117))/1000</f>
        <v>0</v>
      </c>
      <c r="BS115" s="3039">
        <f>((BS124*BS116)+(BS122*BS117))/1000</f>
        <v>0</v>
      </c>
      <c r="BT115" s="3039">
        <f>((BT124*BT116)+(BT122*BT117))/1000</f>
        <v>0</v>
      </c>
      <c r="BU115" s="3040">
        <f>SUM(BQ115:BT115)</f>
        <v>0</v>
      </c>
      <c r="BV115" s="3041"/>
      <c r="BW115" s="3038">
        <f>((BW124*BW116)+(BW122*BW117))/1000</f>
        <v>0</v>
      </c>
      <c r="BX115" s="3039">
        <f>((BX124*BX116)+(BX122*BX117))/1000</f>
        <v>0</v>
      </c>
      <c r="BY115" s="3039">
        <f>((BY124*BY116)+(BY122*BY117))/1000</f>
        <v>0</v>
      </c>
      <c r="BZ115" s="3039">
        <f>((BZ124*BZ116)+(BZ122*BZ117))/1000</f>
        <v>0</v>
      </c>
      <c r="CA115" s="3040">
        <f>SUM(BW115:BZ115)</f>
        <v>0</v>
      </c>
      <c r="CB115" s="3041"/>
      <c r="CC115" s="3038">
        <f>((CC124*CC116)+(CC122*CC117))/1000</f>
        <v>0</v>
      </c>
      <c r="CD115" s="3039">
        <f>((CD124*CD116)+(CD122*CD117))/1000</f>
        <v>0</v>
      </c>
      <c r="CE115" s="3039">
        <f>((CE124*CE116)+(CE122*CE117))/1000</f>
        <v>0</v>
      </c>
      <c r="CF115" s="3039">
        <f>((CF124*CF116)+(CF122*CF117))/1000</f>
        <v>0</v>
      </c>
      <c r="CG115" s="3040">
        <f>SUM(CC115:CF115)</f>
        <v>0</v>
      </c>
      <c r="CH115" s="3041"/>
      <c r="CI115" s="3038">
        <f>((CI124*CI116)+(CI122*CI117))/1000</f>
        <v>0</v>
      </c>
      <c r="CJ115" s="3039">
        <f>((CJ124*CJ116)+(CJ122*CJ117))/1000</f>
        <v>0</v>
      </c>
      <c r="CK115" s="3039">
        <f>((CK124*CK116)+(CK122*CK117))/1000</f>
        <v>0</v>
      </c>
      <c r="CL115" s="3039">
        <f>((CL124*CL116)+(CL122*CL117))/1000</f>
        <v>0</v>
      </c>
      <c r="CM115" s="3040">
        <f>SUM(CI115:CL115)</f>
        <v>0</v>
      </c>
      <c r="CN115" s="3041"/>
      <c r="CO115" s="3038">
        <f>((CO124*CO116)+(CO122*CO117))/1000</f>
        <v>0</v>
      </c>
      <c r="CP115" s="3039">
        <f>((CP124*CP116)+(CP122*CP117))/1000</f>
        <v>0</v>
      </c>
      <c r="CQ115" s="3039">
        <f>((CQ124*CQ116)+(CQ122*CQ117))/1000</f>
        <v>0</v>
      </c>
      <c r="CR115" s="3039">
        <f>((CR124*CR116)+(CR122*CR117))/1000</f>
        <v>0</v>
      </c>
      <c r="CS115" s="3040">
        <f>SUM(CO115:CR115)</f>
        <v>0</v>
      </c>
      <c r="CT115" s="60"/>
      <c r="CU115" s="4"/>
      <c r="CV115" s="60"/>
      <c r="CW115" s="60"/>
      <c r="CX115" s="60"/>
      <c r="CY115" s="60"/>
      <c r="CZ115" s="60"/>
      <c r="DA115" s="60"/>
      <c r="DB115" s="60"/>
      <c r="DC115" s="60"/>
      <c r="DD115" s="60"/>
      <c r="DE115" s="60"/>
      <c r="DF115" s="60"/>
      <c r="DG115" s="60"/>
      <c r="DH115" s="60"/>
      <c r="DI115" s="68"/>
      <c r="DJ115" s="68"/>
      <c r="DK115" s="68"/>
      <c r="DL115" s="68"/>
      <c r="DM115" s="68"/>
      <c r="DN115" s="68"/>
      <c r="DO115" s="68"/>
      <c r="DP115" s="68"/>
      <c r="DQ115" s="68"/>
      <c r="DR115" s="68"/>
      <c r="DS115" s="68"/>
      <c r="DT115" s="68"/>
    </row>
    <row r="116" spans="1:137" ht="12.75" hidden="1" customHeight="1" outlineLevel="1">
      <c r="A116" s="735" t="s">
        <v>363</v>
      </c>
      <c r="B116" s="60"/>
      <c r="C116" s="752"/>
      <c r="D116" s="60"/>
      <c r="E116" s="60"/>
      <c r="F116" s="60"/>
      <c r="G116" s="736"/>
      <c r="H116" s="60"/>
      <c r="I116" s="753"/>
      <c r="J116" s="226"/>
      <c r="K116" s="226"/>
      <c r="L116" s="226"/>
      <c r="M116" s="736"/>
      <c r="N116" s="60"/>
      <c r="O116" s="753"/>
      <c r="P116" s="226"/>
      <c r="Q116" s="226"/>
      <c r="R116" s="226"/>
      <c r="S116" s="736"/>
      <c r="T116" s="60"/>
      <c r="U116" s="758"/>
      <c r="V116" s="223"/>
      <c r="W116" s="223"/>
      <c r="X116" s="223"/>
      <c r="Y116" s="224"/>
      <c r="Z116" s="60"/>
      <c r="AA116" s="758"/>
      <c r="AB116" s="223"/>
      <c r="AC116" s="223"/>
      <c r="AD116" s="223"/>
      <c r="AE116" s="224"/>
      <c r="AF116" s="740"/>
      <c r="AG116" s="1617"/>
      <c r="AH116" s="1618"/>
      <c r="AI116" s="1618"/>
      <c r="AJ116" s="1618"/>
      <c r="AK116" s="1619"/>
      <c r="AL116" s="740"/>
      <c r="AM116" s="1617"/>
      <c r="AN116" s="1618"/>
      <c r="AO116" s="1618"/>
      <c r="AP116" s="1618"/>
      <c r="AQ116" s="1619"/>
      <c r="AR116" s="226"/>
      <c r="AS116" s="1617"/>
      <c r="AT116" s="1618"/>
      <c r="AU116" s="1618"/>
      <c r="AV116" s="1618"/>
      <c r="AW116" s="1619"/>
      <c r="AX116" s="740"/>
      <c r="AY116" s="1642"/>
      <c r="AZ116" s="1618"/>
      <c r="BA116" s="1618"/>
      <c r="BB116" s="1618"/>
      <c r="BC116" s="1619"/>
      <c r="BD116" s="740"/>
      <c r="BE116" s="1642"/>
      <c r="BF116" s="1618"/>
      <c r="BG116" s="1618"/>
      <c r="BH116" s="1618"/>
      <c r="BI116" s="1619"/>
      <c r="BJ116" s="1698"/>
      <c r="BK116" s="3042">
        <v>850</v>
      </c>
      <c r="BL116" s="3043">
        <f>+BK116</f>
        <v>850</v>
      </c>
      <c r="BM116" s="3043">
        <f>+BL116</f>
        <v>850</v>
      </c>
      <c r="BN116" s="3043">
        <f>BM116</f>
        <v>850</v>
      </c>
      <c r="BO116" s="3044">
        <f>+BN116</f>
        <v>850</v>
      </c>
      <c r="BP116" s="3045"/>
      <c r="BQ116" s="3042">
        <f>+BN116</f>
        <v>850</v>
      </c>
      <c r="BR116" s="3043">
        <f t="shared" ref="BR116:BT117" si="404">BQ116</f>
        <v>850</v>
      </c>
      <c r="BS116" s="3043">
        <f t="shared" si="404"/>
        <v>850</v>
      </c>
      <c r="BT116" s="3043">
        <f t="shared" si="404"/>
        <v>850</v>
      </c>
      <c r="BU116" s="3044">
        <f>+AVERAGE(BQ116:BT116)</f>
        <v>850</v>
      </c>
      <c r="BV116" s="3045"/>
      <c r="BW116" s="3042">
        <f>+BT116</f>
        <v>850</v>
      </c>
      <c r="BX116" s="3043">
        <f t="shared" ref="BX116:BX117" si="405">BW116</f>
        <v>850</v>
      </c>
      <c r="BY116" s="3043">
        <f t="shared" ref="BY116:BY117" si="406">BX116</f>
        <v>850</v>
      </c>
      <c r="BZ116" s="3043">
        <f t="shared" ref="BZ116:BZ117" si="407">BY116</f>
        <v>850</v>
      </c>
      <c r="CA116" s="3044">
        <f>+AVERAGE(BW116:BZ116)</f>
        <v>850</v>
      </c>
      <c r="CB116" s="3045"/>
      <c r="CC116" s="3042">
        <f>+BZ116</f>
        <v>850</v>
      </c>
      <c r="CD116" s="3043">
        <f t="shared" ref="CD116:CD117" si="408">CC116</f>
        <v>850</v>
      </c>
      <c r="CE116" s="3043">
        <f t="shared" ref="CE116:CE117" si="409">CD116</f>
        <v>850</v>
      </c>
      <c r="CF116" s="3043">
        <f t="shared" ref="CF116:CF117" si="410">CE116</f>
        <v>850</v>
      </c>
      <c r="CG116" s="3044">
        <f>+AVERAGE(CC116:CF116)</f>
        <v>850</v>
      </c>
      <c r="CH116" s="3045"/>
      <c r="CI116" s="3042">
        <f>+CF116</f>
        <v>850</v>
      </c>
      <c r="CJ116" s="3043">
        <f t="shared" ref="CJ116:CJ117" si="411">CI116</f>
        <v>850</v>
      </c>
      <c r="CK116" s="3043">
        <f t="shared" ref="CK116:CK117" si="412">CJ116</f>
        <v>850</v>
      </c>
      <c r="CL116" s="3043">
        <f t="shared" ref="CL116:CL117" si="413">CK116</f>
        <v>850</v>
      </c>
      <c r="CM116" s="3044">
        <f>+AVERAGE(CI116:CL116)</f>
        <v>850</v>
      </c>
      <c r="CN116" s="3045"/>
      <c r="CO116" s="3042">
        <f>+CL116</f>
        <v>850</v>
      </c>
      <c r="CP116" s="3043">
        <f t="shared" ref="CP116:CP117" si="414">CO116</f>
        <v>850</v>
      </c>
      <c r="CQ116" s="3043">
        <f t="shared" ref="CQ116:CQ117" si="415">CP116</f>
        <v>850</v>
      </c>
      <c r="CR116" s="3043">
        <f t="shared" ref="CR116:CR117" si="416">CQ116</f>
        <v>850</v>
      </c>
      <c r="CS116" s="3044">
        <f>+AVERAGE(CO116:CR116)</f>
        <v>850</v>
      </c>
      <c r="ED116" s="2821"/>
      <c r="EE116" s="2821"/>
      <c r="EF116" s="2821"/>
      <c r="EG116" s="2821"/>
    </row>
    <row r="117" spans="1:137" ht="12.75" hidden="1" customHeight="1" outlineLevel="1">
      <c r="A117" s="735" t="s">
        <v>364</v>
      </c>
      <c r="B117" s="60"/>
      <c r="C117" s="752"/>
      <c r="D117" s="60"/>
      <c r="E117" s="60"/>
      <c r="F117" s="60"/>
      <c r="G117" s="736"/>
      <c r="H117" s="60"/>
      <c r="I117" s="753"/>
      <c r="J117" s="226"/>
      <c r="K117" s="226"/>
      <c r="L117" s="226"/>
      <c r="M117" s="736"/>
      <c r="N117" s="60"/>
      <c r="O117" s="753"/>
      <c r="P117" s="226"/>
      <c r="Q117" s="226"/>
      <c r="R117" s="226"/>
      <c r="S117" s="736"/>
      <c r="T117" s="60"/>
      <c r="U117" s="758"/>
      <c r="V117" s="223"/>
      <c r="W117" s="223"/>
      <c r="X117" s="223"/>
      <c r="Y117" s="224"/>
      <c r="Z117" s="60"/>
      <c r="AA117" s="758"/>
      <c r="AB117" s="223"/>
      <c r="AC117" s="223"/>
      <c r="AD117" s="223"/>
      <c r="AE117" s="224"/>
      <c r="AF117" s="740"/>
      <c r="AG117" s="1617"/>
      <c r="AH117" s="1618"/>
      <c r="AI117" s="1618"/>
      <c r="AJ117" s="1618"/>
      <c r="AK117" s="1619"/>
      <c r="AL117" s="740"/>
      <c r="AM117" s="1617"/>
      <c r="AN117" s="1618"/>
      <c r="AO117" s="1618"/>
      <c r="AP117" s="1618"/>
      <c r="AQ117" s="1619"/>
      <c r="AR117" s="226"/>
      <c r="AS117" s="1617"/>
      <c r="AT117" s="1618"/>
      <c r="AU117" s="1618"/>
      <c r="AV117" s="1807"/>
      <c r="AW117" s="1619"/>
      <c r="AX117" s="740"/>
      <c r="AY117" s="1642"/>
      <c r="AZ117" s="1813"/>
      <c r="BA117" s="1807"/>
      <c r="BB117" s="1618"/>
      <c r="BC117" s="1619"/>
      <c r="BD117" s="740"/>
      <c r="BE117" s="1642"/>
      <c r="BF117" s="1618"/>
      <c r="BG117" s="1618"/>
      <c r="BH117" s="1618"/>
      <c r="BI117" s="1619"/>
      <c r="BJ117" s="1698"/>
      <c r="BK117" s="3042">
        <f>+BK116</f>
        <v>850</v>
      </c>
      <c r="BL117" s="3043">
        <f>+BK117</f>
        <v>850</v>
      </c>
      <c r="BM117" s="3043">
        <f>+BM116</f>
        <v>850</v>
      </c>
      <c r="BN117" s="3043">
        <f>BM117</f>
        <v>850</v>
      </c>
      <c r="BO117" s="3044">
        <f>+AVERAGE(BK117:BN117)</f>
        <v>850</v>
      </c>
      <c r="BP117" s="3045"/>
      <c r="BQ117" s="3042">
        <f>+BN117</f>
        <v>850</v>
      </c>
      <c r="BR117" s="3043">
        <f t="shared" si="404"/>
        <v>850</v>
      </c>
      <c r="BS117" s="3043">
        <f t="shared" si="404"/>
        <v>850</v>
      </c>
      <c r="BT117" s="3043">
        <f t="shared" si="404"/>
        <v>850</v>
      </c>
      <c r="BU117" s="3044">
        <f>+AVERAGE(BQ117:BT117)</f>
        <v>850</v>
      </c>
      <c r="BV117" s="3045"/>
      <c r="BW117" s="3042">
        <f>+BT117</f>
        <v>850</v>
      </c>
      <c r="BX117" s="3043">
        <f t="shared" si="405"/>
        <v>850</v>
      </c>
      <c r="BY117" s="3043">
        <f t="shared" si="406"/>
        <v>850</v>
      </c>
      <c r="BZ117" s="3043">
        <f t="shared" si="407"/>
        <v>850</v>
      </c>
      <c r="CA117" s="3044">
        <f>+AVERAGE(BW117:BZ117)</f>
        <v>850</v>
      </c>
      <c r="CB117" s="3045"/>
      <c r="CC117" s="3042">
        <f>+BZ117</f>
        <v>850</v>
      </c>
      <c r="CD117" s="3043">
        <f t="shared" si="408"/>
        <v>850</v>
      </c>
      <c r="CE117" s="3043">
        <f t="shared" si="409"/>
        <v>850</v>
      </c>
      <c r="CF117" s="3043">
        <f t="shared" si="410"/>
        <v>850</v>
      </c>
      <c r="CG117" s="3044">
        <f>+AVERAGE(CC117:CF117)</f>
        <v>850</v>
      </c>
      <c r="CH117" s="3045"/>
      <c r="CI117" s="3042">
        <f>+CF117</f>
        <v>850</v>
      </c>
      <c r="CJ117" s="3043">
        <f t="shared" si="411"/>
        <v>850</v>
      </c>
      <c r="CK117" s="3043">
        <f t="shared" si="412"/>
        <v>850</v>
      </c>
      <c r="CL117" s="3043">
        <f t="shared" si="413"/>
        <v>850</v>
      </c>
      <c r="CM117" s="3044">
        <f>+AVERAGE(CI117:CL117)</f>
        <v>850</v>
      </c>
      <c r="CN117" s="3045"/>
      <c r="CO117" s="3042">
        <f>+CL117</f>
        <v>850</v>
      </c>
      <c r="CP117" s="3043">
        <f t="shared" si="414"/>
        <v>850</v>
      </c>
      <c r="CQ117" s="3043">
        <f t="shared" si="415"/>
        <v>850</v>
      </c>
      <c r="CR117" s="3043">
        <f t="shared" si="416"/>
        <v>850</v>
      </c>
      <c r="CS117" s="3044">
        <f>+AVERAGE(CO117:CR117)</f>
        <v>850</v>
      </c>
      <c r="ED117" s="2821"/>
      <c r="EE117" s="2821"/>
      <c r="EF117" s="2821"/>
      <c r="EG117" s="2821"/>
    </row>
    <row r="118" spans="1:137" ht="12.75" hidden="1" customHeight="1" outlineLevel="1">
      <c r="A118" s="1664" t="s">
        <v>506</v>
      </c>
      <c r="B118" s="60"/>
      <c r="C118" s="752"/>
      <c r="D118" s="60"/>
      <c r="E118" s="60"/>
      <c r="F118" s="60"/>
      <c r="G118" s="736"/>
      <c r="H118" s="60"/>
      <c r="I118" s="753"/>
      <c r="J118" s="226"/>
      <c r="K118" s="226"/>
      <c r="L118" s="226"/>
      <c r="M118" s="736"/>
      <c r="N118" s="60"/>
      <c r="O118" s="753"/>
      <c r="P118" s="226"/>
      <c r="Q118" s="226"/>
      <c r="R118" s="226"/>
      <c r="S118" s="736"/>
      <c r="T118" s="60"/>
      <c r="U118" s="758"/>
      <c r="V118" s="223"/>
      <c r="W118" s="223"/>
      <c r="X118" s="223"/>
      <c r="Y118" s="224"/>
      <c r="Z118" s="60"/>
      <c r="AA118" s="758"/>
      <c r="AB118" s="223"/>
      <c r="AC118" s="223"/>
      <c r="AD118" s="223"/>
      <c r="AE118" s="224"/>
      <c r="AF118" s="740"/>
      <c r="AG118" s="1617"/>
      <c r="AH118" s="1618"/>
      <c r="AI118" s="1618"/>
      <c r="AJ118" s="1618"/>
      <c r="AK118" s="1619"/>
      <c r="AL118" s="740"/>
      <c r="AM118" s="1617"/>
      <c r="AN118" s="1618"/>
      <c r="AO118" s="1618"/>
      <c r="AP118" s="1618"/>
      <c r="AQ118" s="1619"/>
      <c r="AR118" s="226"/>
      <c r="AS118" s="1617"/>
      <c r="AT118" s="1618"/>
      <c r="AU118" s="1618"/>
      <c r="AV118" s="1807"/>
      <c r="AW118" s="1619"/>
      <c r="AX118" s="740"/>
      <c r="AY118" s="1642"/>
      <c r="AZ118" s="1813"/>
      <c r="BA118" s="1807"/>
      <c r="BB118" s="1618"/>
      <c r="BC118" s="1619"/>
      <c r="BD118" s="740"/>
      <c r="BE118" s="1642"/>
      <c r="BF118" s="1618"/>
      <c r="BG118" s="1618"/>
      <c r="BH118" s="1618"/>
      <c r="BI118" s="1619"/>
      <c r="BJ118" s="1698"/>
      <c r="BK118" s="3046">
        <v>0</v>
      </c>
      <c r="BL118" s="3047">
        <v>0</v>
      </c>
      <c r="BM118" s="3047">
        <v>0</v>
      </c>
      <c r="BN118" s="3047">
        <v>0</v>
      </c>
      <c r="BO118" s="3048">
        <f>SUM(BK118:BN118)</f>
        <v>0</v>
      </c>
      <c r="BP118" s="3045"/>
      <c r="BQ118" s="3046">
        <v>0</v>
      </c>
      <c r="BR118" s="3047">
        <f>+BQ118</f>
        <v>0</v>
      </c>
      <c r="BS118" s="3047">
        <f>+BR118</f>
        <v>0</v>
      </c>
      <c r="BT118" s="3047">
        <f>+BS118</f>
        <v>0</v>
      </c>
      <c r="BU118" s="3048">
        <f>SUM(BQ118:BT118)</f>
        <v>0</v>
      </c>
      <c r="BV118" s="3045"/>
      <c r="BW118" s="3046">
        <v>0</v>
      </c>
      <c r="BX118" s="3047">
        <f t="shared" ref="BX118:BZ118" si="417">+BW118</f>
        <v>0</v>
      </c>
      <c r="BY118" s="3047">
        <f t="shared" si="417"/>
        <v>0</v>
      </c>
      <c r="BZ118" s="3047">
        <f t="shared" si="417"/>
        <v>0</v>
      </c>
      <c r="CA118" s="3048">
        <f t="shared" ref="CA118" si="418">SUM(BW118:BZ118)</f>
        <v>0</v>
      </c>
      <c r="CB118" s="3045"/>
      <c r="CC118" s="3046">
        <v>0</v>
      </c>
      <c r="CD118" s="3047">
        <f t="shared" ref="CD118:CF118" si="419">+CC118</f>
        <v>0</v>
      </c>
      <c r="CE118" s="3047">
        <f t="shared" si="419"/>
        <v>0</v>
      </c>
      <c r="CF118" s="3047">
        <f t="shared" si="419"/>
        <v>0</v>
      </c>
      <c r="CG118" s="3048">
        <f t="shared" ref="CG118" si="420">SUM(CC118:CF118)</f>
        <v>0</v>
      </c>
      <c r="CH118" s="3045"/>
      <c r="CI118" s="3046">
        <v>0</v>
      </c>
      <c r="CJ118" s="3047">
        <f t="shared" ref="CJ118" si="421">+CI118</f>
        <v>0</v>
      </c>
      <c r="CK118" s="3047">
        <f t="shared" ref="CK118" si="422">+CJ118</f>
        <v>0</v>
      </c>
      <c r="CL118" s="3047">
        <f t="shared" ref="CL118" si="423">+CK118</f>
        <v>0</v>
      </c>
      <c r="CM118" s="3048">
        <f t="shared" ref="CM118" si="424">SUM(CI118:CL118)</f>
        <v>0</v>
      </c>
      <c r="CN118" s="3045"/>
      <c r="CO118" s="3046">
        <v>0</v>
      </c>
      <c r="CP118" s="3047">
        <f t="shared" ref="CP118" si="425">+CO118</f>
        <v>0</v>
      </c>
      <c r="CQ118" s="3047">
        <f t="shared" ref="CQ118" si="426">+CP118</f>
        <v>0</v>
      </c>
      <c r="CR118" s="3047">
        <f t="shared" ref="CR118" si="427">+CQ118</f>
        <v>0</v>
      </c>
      <c r="CS118" s="3048">
        <f t="shared" ref="CS118" si="428">SUM(CO118:CR118)</f>
        <v>0</v>
      </c>
      <c r="ED118" s="2821"/>
      <c r="EE118" s="2821"/>
      <c r="EF118" s="2821"/>
      <c r="EG118" s="2821"/>
    </row>
    <row r="119" spans="1:137" ht="12.75" hidden="1" customHeight="1" outlineLevel="1">
      <c r="A119" s="1664" t="s">
        <v>507</v>
      </c>
      <c r="B119" s="60"/>
      <c r="C119" s="752"/>
      <c r="D119" s="60"/>
      <c r="E119" s="60"/>
      <c r="F119" s="60"/>
      <c r="G119" s="736"/>
      <c r="H119" s="60"/>
      <c r="I119" s="753"/>
      <c r="J119" s="226"/>
      <c r="K119" s="226"/>
      <c r="L119" s="226"/>
      <c r="M119" s="736"/>
      <c r="N119" s="60"/>
      <c r="O119" s="753"/>
      <c r="P119" s="226"/>
      <c r="Q119" s="226"/>
      <c r="R119" s="226"/>
      <c r="S119" s="736"/>
      <c r="T119" s="60"/>
      <c r="U119" s="758"/>
      <c r="V119" s="223"/>
      <c r="W119" s="223"/>
      <c r="X119" s="223"/>
      <c r="Y119" s="224"/>
      <c r="Z119" s="60"/>
      <c r="AA119" s="758"/>
      <c r="AB119" s="223"/>
      <c r="AC119" s="223"/>
      <c r="AD119" s="223"/>
      <c r="AE119" s="224"/>
      <c r="AF119" s="740"/>
      <c r="AG119" s="1617"/>
      <c r="AH119" s="1618"/>
      <c r="AI119" s="1618"/>
      <c r="AJ119" s="1618"/>
      <c r="AK119" s="1619"/>
      <c r="AL119" s="740"/>
      <c r="AM119" s="1617"/>
      <c r="AN119" s="1618"/>
      <c r="AO119" s="1618"/>
      <c r="AP119" s="1618"/>
      <c r="AQ119" s="1619"/>
      <c r="AR119" s="226"/>
      <c r="AS119" s="1617"/>
      <c r="AT119" s="1618"/>
      <c r="AU119" s="1618"/>
      <c r="AV119" s="1807"/>
      <c r="AW119" s="1619"/>
      <c r="AX119" s="740"/>
      <c r="AY119" s="1642"/>
      <c r="AZ119" s="1813"/>
      <c r="BA119" s="1807"/>
      <c r="BB119" s="1618"/>
      <c r="BC119" s="1619"/>
      <c r="BD119" s="740"/>
      <c r="BE119" s="1642"/>
      <c r="BF119" s="1618"/>
      <c r="BG119" s="1618"/>
      <c r="BH119" s="1618"/>
      <c r="BI119" s="1619"/>
      <c r="BJ119" s="1698"/>
      <c r="BK119" s="3049">
        <f>+BH119-BK120+BK118</f>
        <v>0</v>
      </c>
      <c r="BL119" s="3050">
        <f>+BK119-BL120+BL118</f>
        <v>0</v>
      </c>
      <c r="BM119" s="3050">
        <f>+BL119-BM120+BM118</f>
        <v>0</v>
      </c>
      <c r="BN119" s="3050">
        <f>+BM119-BN120+BN118</f>
        <v>0</v>
      </c>
      <c r="BO119" s="3048">
        <f>+BN119</f>
        <v>0</v>
      </c>
      <c r="BP119" s="3045"/>
      <c r="BQ119" s="3049">
        <f>+BN119-BQ120+BQ118</f>
        <v>0</v>
      </c>
      <c r="BR119" s="3050">
        <f>+BQ119-BR120+BR118</f>
        <v>0</v>
      </c>
      <c r="BS119" s="3050">
        <f>+BR119-BS120+BS118</f>
        <v>0</v>
      </c>
      <c r="BT119" s="3050">
        <f>+BS119-BT120+BT118</f>
        <v>0</v>
      </c>
      <c r="BU119" s="3048">
        <f>+BT119</f>
        <v>0</v>
      </c>
      <c r="BV119" s="3045"/>
      <c r="BW119" s="3049">
        <f>+BT119-BW120+BW118</f>
        <v>0</v>
      </c>
      <c r="BX119" s="3050">
        <f>+BW119-BX120+BX118</f>
        <v>0</v>
      </c>
      <c r="BY119" s="3050">
        <f>+BX119-BY120+BY118</f>
        <v>0</v>
      </c>
      <c r="BZ119" s="3050">
        <f>+BY119-BZ120+BZ118</f>
        <v>0</v>
      </c>
      <c r="CA119" s="3048">
        <f>+BZ119</f>
        <v>0</v>
      </c>
      <c r="CB119" s="3045"/>
      <c r="CC119" s="3049">
        <f>+BZ119-CC120+CC118</f>
        <v>0</v>
      </c>
      <c r="CD119" s="3050">
        <f>+CC119-CD120+CD118</f>
        <v>0</v>
      </c>
      <c r="CE119" s="3050">
        <f>+CD119-CE120+CE118</f>
        <v>0</v>
      </c>
      <c r="CF119" s="3050">
        <f>+CE119-CF120+CF118</f>
        <v>0</v>
      </c>
      <c r="CG119" s="3048">
        <f>+CF119</f>
        <v>0</v>
      </c>
      <c r="CH119" s="3045"/>
      <c r="CI119" s="3049">
        <f>+CF119-CI120+CI118</f>
        <v>0</v>
      </c>
      <c r="CJ119" s="3050">
        <f>+CI119-CJ120+CJ118</f>
        <v>0</v>
      </c>
      <c r="CK119" s="3050">
        <f>+CJ119-CK120+CK118</f>
        <v>0</v>
      </c>
      <c r="CL119" s="3050">
        <f>+CK119-CL120+CL118</f>
        <v>0</v>
      </c>
      <c r="CM119" s="3048">
        <f>+CL119</f>
        <v>0</v>
      </c>
      <c r="CN119" s="3045"/>
      <c r="CO119" s="3049">
        <f>+CL119-CO120+CO118</f>
        <v>0</v>
      </c>
      <c r="CP119" s="3050">
        <f>+CO119-CP120+CP118</f>
        <v>0</v>
      </c>
      <c r="CQ119" s="3050">
        <f>+CP119-CQ120+CQ118</f>
        <v>0</v>
      </c>
      <c r="CR119" s="3050">
        <f>+CQ119-CR120+CR118</f>
        <v>0</v>
      </c>
      <c r="CS119" s="3048">
        <f>+CR119</f>
        <v>0</v>
      </c>
      <c r="ED119" s="2821"/>
      <c r="EE119" s="2821"/>
      <c r="EF119" s="2821"/>
      <c r="EG119" s="2821"/>
    </row>
    <row r="120" spans="1:137" ht="12.75" hidden="1" customHeight="1" outlineLevel="1">
      <c r="A120" s="2510" t="s">
        <v>218</v>
      </c>
      <c r="B120" s="60"/>
      <c r="C120" s="752"/>
      <c r="D120" s="60"/>
      <c r="E120" s="60"/>
      <c r="F120" s="60"/>
      <c r="G120" s="736"/>
      <c r="H120" s="60"/>
      <c r="I120" s="753"/>
      <c r="J120" s="226"/>
      <c r="K120" s="226"/>
      <c r="L120" s="226"/>
      <c r="M120" s="736"/>
      <c r="N120" s="60"/>
      <c r="O120" s="753"/>
      <c r="P120" s="226"/>
      <c r="Q120" s="226"/>
      <c r="R120" s="226"/>
      <c r="S120" s="736"/>
      <c r="T120" s="60"/>
      <c r="U120" s="758"/>
      <c r="V120" s="223"/>
      <c r="W120" s="223"/>
      <c r="X120" s="223"/>
      <c r="Y120" s="224"/>
      <c r="Z120" s="60"/>
      <c r="AA120" s="758"/>
      <c r="AB120" s="223"/>
      <c r="AC120" s="223"/>
      <c r="AD120" s="223"/>
      <c r="AE120" s="224"/>
      <c r="AF120" s="740"/>
      <c r="AG120" s="1617"/>
      <c r="AH120" s="1618"/>
      <c r="AI120" s="1618"/>
      <c r="AJ120" s="1618"/>
      <c r="AK120" s="1619"/>
      <c r="AL120" s="740"/>
      <c r="AM120" s="1617"/>
      <c r="AN120" s="1618"/>
      <c r="AO120" s="1618"/>
      <c r="AP120" s="1618"/>
      <c r="AQ120" s="1619"/>
      <c r="AR120" s="226"/>
      <c r="AS120" s="1617"/>
      <c r="AT120" s="1618"/>
      <c r="AU120" s="1618"/>
      <c r="AV120" s="1808"/>
      <c r="AW120" s="1809"/>
      <c r="AX120" s="1810"/>
      <c r="AY120" s="1811"/>
      <c r="AZ120" s="1808"/>
      <c r="BA120" s="1808"/>
      <c r="BB120" s="1618"/>
      <c r="BC120" s="1619"/>
      <c r="BD120" s="740"/>
      <c r="BE120" s="1642"/>
      <c r="BF120" s="1618"/>
      <c r="BG120" s="1618"/>
      <c r="BH120" s="1618"/>
      <c r="BI120" s="1619"/>
      <c r="BJ120" s="1698"/>
      <c r="BK120" s="3051">
        <f>BK124+BK122</f>
        <v>0</v>
      </c>
      <c r="BL120" s="3052">
        <f>BL124+BL122</f>
        <v>0</v>
      </c>
      <c r="BM120" s="3052">
        <f>BM124+BM122</f>
        <v>0</v>
      </c>
      <c r="BN120" s="3052">
        <f>BN124+BN122</f>
        <v>0</v>
      </c>
      <c r="BO120" s="3053">
        <f>SUM(BK120:BN120)</f>
        <v>0</v>
      </c>
      <c r="BP120" s="3045"/>
      <c r="BQ120" s="3051">
        <f>BQ124+BQ122</f>
        <v>0</v>
      </c>
      <c r="BR120" s="3052">
        <f>BR124+BR122</f>
        <v>0</v>
      </c>
      <c r="BS120" s="3052">
        <f>BS124+BS122</f>
        <v>0</v>
      </c>
      <c r="BT120" s="3052">
        <f>BT124+BT122</f>
        <v>0</v>
      </c>
      <c r="BU120" s="3053">
        <f>SUM(BQ120:BT120)</f>
        <v>0</v>
      </c>
      <c r="BV120" s="3045"/>
      <c r="BW120" s="3051">
        <f>BW124+BW122</f>
        <v>0</v>
      </c>
      <c r="BX120" s="3052">
        <f>BX124+BX122</f>
        <v>0</v>
      </c>
      <c r="BY120" s="3052">
        <f>BY124+BY122</f>
        <v>0</v>
      </c>
      <c r="BZ120" s="3052">
        <f>BZ124+BZ122</f>
        <v>0</v>
      </c>
      <c r="CA120" s="3053">
        <f>SUM(BW120:BZ120)</f>
        <v>0</v>
      </c>
      <c r="CB120" s="3045"/>
      <c r="CC120" s="3051">
        <f>CC124+CC122</f>
        <v>0</v>
      </c>
      <c r="CD120" s="3052">
        <f>CD124+CD122</f>
        <v>0</v>
      </c>
      <c r="CE120" s="3052">
        <f>CE124+CE122</f>
        <v>0</v>
      </c>
      <c r="CF120" s="3052">
        <f>CF124+CF122</f>
        <v>0</v>
      </c>
      <c r="CG120" s="3053">
        <f>SUM(CC120:CF120)</f>
        <v>0</v>
      </c>
      <c r="CH120" s="3045"/>
      <c r="CI120" s="3051">
        <f>CI124+CI122</f>
        <v>0</v>
      </c>
      <c r="CJ120" s="3052">
        <f>CJ124+CJ122</f>
        <v>0</v>
      </c>
      <c r="CK120" s="3052">
        <f>CK124+CK122</f>
        <v>0</v>
      </c>
      <c r="CL120" s="3052">
        <f>CL124+CL122</f>
        <v>0</v>
      </c>
      <c r="CM120" s="3053">
        <f>SUM(CI120:CL120)</f>
        <v>0</v>
      </c>
      <c r="CN120" s="3045"/>
      <c r="CO120" s="3051">
        <f>CO124+CO122</f>
        <v>0</v>
      </c>
      <c r="CP120" s="3052">
        <f>CP124+CP122</f>
        <v>0</v>
      </c>
      <c r="CQ120" s="3052">
        <f>CQ124+CQ122</f>
        <v>0</v>
      </c>
      <c r="CR120" s="3052">
        <f>CR124+CR122</f>
        <v>0</v>
      </c>
      <c r="CS120" s="3053">
        <f>SUM(CO120:CR120)</f>
        <v>0</v>
      </c>
      <c r="ED120" s="2821"/>
      <c r="EE120" s="2821"/>
      <c r="EF120" s="2821"/>
      <c r="EG120" s="2821"/>
    </row>
    <row r="121" spans="1:137" ht="12.75" hidden="1" customHeight="1" outlineLevel="1">
      <c r="A121" s="759" t="s">
        <v>15</v>
      </c>
      <c r="B121" s="60"/>
      <c r="C121" s="752"/>
      <c r="D121" s="60"/>
      <c r="E121" s="60"/>
      <c r="F121" s="60"/>
      <c r="G121" s="736"/>
      <c r="H121" s="60"/>
      <c r="I121" s="753"/>
      <c r="J121" s="226"/>
      <c r="K121" s="226"/>
      <c r="L121" s="226"/>
      <c r="M121" s="736"/>
      <c r="N121" s="60"/>
      <c r="O121" s="753"/>
      <c r="P121" s="226"/>
      <c r="Q121" s="226"/>
      <c r="R121" s="226"/>
      <c r="S121" s="736"/>
      <c r="T121" s="60"/>
      <c r="U121" s="758"/>
      <c r="V121" s="223"/>
      <c r="W121" s="223"/>
      <c r="X121" s="223"/>
      <c r="Y121" s="224"/>
      <c r="Z121" s="60"/>
      <c r="AA121" s="758"/>
      <c r="AB121" s="223"/>
      <c r="AC121" s="223"/>
      <c r="AD121" s="223"/>
      <c r="AE121" s="224"/>
      <c r="AF121" s="740"/>
      <c r="AG121" s="1617"/>
      <c r="AH121" s="1618"/>
      <c r="AI121" s="1618"/>
      <c r="AJ121" s="1618"/>
      <c r="AK121" s="1619"/>
      <c r="AL121" s="740"/>
      <c r="AM121" s="1617"/>
      <c r="AN121" s="1618"/>
      <c r="AO121" s="1618"/>
      <c r="AP121" s="1618"/>
      <c r="AQ121" s="1619"/>
      <c r="AR121" s="226"/>
      <c r="AS121" s="1617"/>
      <c r="AT121" s="1618"/>
      <c r="AU121" s="1618"/>
      <c r="AV121" s="1618"/>
      <c r="AW121" s="1619"/>
      <c r="AX121" s="740"/>
      <c r="AY121" s="1617"/>
      <c r="AZ121" s="1618"/>
      <c r="BA121" s="1618"/>
      <c r="BB121" s="1618"/>
      <c r="BC121" s="1619"/>
      <c r="BD121" s="740"/>
      <c r="BE121" s="1617"/>
      <c r="BF121" s="1618"/>
      <c r="BG121" s="1618"/>
      <c r="BH121" s="1618"/>
      <c r="BI121" s="1619"/>
      <c r="BJ121" s="1698"/>
      <c r="BK121" s="3049">
        <f>BI121+BK120</f>
        <v>0</v>
      </c>
      <c r="BL121" s="3050">
        <f>BK121+BL120</f>
        <v>0</v>
      </c>
      <c r="BM121" s="3050">
        <f>BL121+BM120</f>
        <v>0</v>
      </c>
      <c r="BN121" s="3050">
        <f>BM121+BN120</f>
        <v>0</v>
      </c>
      <c r="BO121" s="3048">
        <f>BN121</f>
        <v>0</v>
      </c>
      <c r="BP121" s="3045"/>
      <c r="BQ121" s="3049">
        <f>BO121+BQ120</f>
        <v>0</v>
      </c>
      <c r="BR121" s="3050">
        <f>BQ121+BR120</f>
        <v>0</v>
      </c>
      <c r="BS121" s="3050">
        <f>BR121+BS120</f>
        <v>0</v>
      </c>
      <c r="BT121" s="3050">
        <f>BS121+BT120</f>
        <v>0</v>
      </c>
      <c r="BU121" s="3048">
        <f>BT121</f>
        <v>0</v>
      </c>
      <c r="BV121" s="3045"/>
      <c r="BW121" s="3049">
        <f>BU121+BW120</f>
        <v>0</v>
      </c>
      <c r="BX121" s="3050">
        <f>BW121+BX120</f>
        <v>0</v>
      </c>
      <c r="BY121" s="3050">
        <f>BX121+BY120</f>
        <v>0</v>
      </c>
      <c r="BZ121" s="3050">
        <f>BY121+BZ120</f>
        <v>0</v>
      </c>
      <c r="CA121" s="3048">
        <f>BZ121</f>
        <v>0</v>
      </c>
      <c r="CB121" s="3045"/>
      <c r="CC121" s="3049">
        <f>CA121+CC120</f>
        <v>0</v>
      </c>
      <c r="CD121" s="3050">
        <f>CC121+CD120</f>
        <v>0</v>
      </c>
      <c r="CE121" s="3050">
        <f>CD121+CE120</f>
        <v>0</v>
      </c>
      <c r="CF121" s="3050">
        <f>CE121+CF120</f>
        <v>0</v>
      </c>
      <c r="CG121" s="3048">
        <f>CF121</f>
        <v>0</v>
      </c>
      <c r="CH121" s="3045"/>
      <c r="CI121" s="3049">
        <f>CG121+CI120</f>
        <v>0</v>
      </c>
      <c r="CJ121" s="3050">
        <f>CI121+CJ120</f>
        <v>0</v>
      </c>
      <c r="CK121" s="3050">
        <f>CJ121+CK120</f>
        <v>0</v>
      </c>
      <c r="CL121" s="3050">
        <f>CK121+CL120</f>
        <v>0</v>
      </c>
      <c r="CM121" s="3048">
        <f>CL121</f>
        <v>0</v>
      </c>
      <c r="CN121" s="3045"/>
      <c r="CO121" s="3049">
        <f>CM121+CO120</f>
        <v>0</v>
      </c>
      <c r="CP121" s="3050">
        <f>CO121+CP120</f>
        <v>0</v>
      </c>
      <c r="CQ121" s="3050">
        <f>CP121+CQ120</f>
        <v>0</v>
      </c>
      <c r="CR121" s="3050">
        <f>CQ121+CR120</f>
        <v>0</v>
      </c>
      <c r="CS121" s="3048">
        <f>CR121</f>
        <v>0</v>
      </c>
      <c r="CT121" s="60"/>
      <c r="CU121" s="4"/>
      <c r="CV121" s="60"/>
      <c r="CW121" s="60"/>
      <c r="CX121" s="60"/>
      <c r="CY121" s="60"/>
      <c r="CZ121" s="60"/>
      <c r="DA121" s="60"/>
      <c r="DB121" s="60"/>
      <c r="DC121" s="60"/>
      <c r="DD121" s="60"/>
      <c r="DE121" s="60"/>
      <c r="DF121" s="60"/>
      <c r="DG121" s="60"/>
      <c r="DH121" s="60"/>
      <c r="DI121" s="68"/>
      <c r="DJ121" s="68"/>
      <c r="DK121" s="68"/>
      <c r="DL121" s="68"/>
      <c r="DM121" s="68"/>
      <c r="DN121" s="68"/>
      <c r="DO121" s="68"/>
      <c r="DP121" s="68"/>
      <c r="DQ121" s="68"/>
      <c r="DR121" s="68"/>
      <c r="DS121" s="68"/>
      <c r="DT121" s="68"/>
    </row>
    <row r="122" spans="1:137" ht="12.75" hidden="1" customHeight="1" outlineLevel="1">
      <c r="A122" s="1765" t="s">
        <v>751</v>
      </c>
      <c r="B122" s="60"/>
      <c r="C122" s="752"/>
      <c r="D122" s="60"/>
      <c r="E122" s="60"/>
      <c r="F122" s="60"/>
      <c r="G122" s="736"/>
      <c r="H122" s="60"/>
      <c r="I122" s="753"/>
      <c r="J122" s="226"/>
      <c r="K122" s="226"/>
      <c r="L122" s="226"/>
      <c r="M122" s="736"/>
      <c r="N122" s="60"/>
      <c r="O122" s="753"/>
      <c r="P122" s="226"/>
      <c r="Q122" s="226"/>
      <c r="R122" s="226"/>
      <c r="S122" s="736"/>
      <c r="T122" s="60"/>
      <c r="U122" s="758"/>
      <c r="V122" s="223"/>
      <c r="W122" s="223"/>
      <c r="X122" s="223"/>
      <c r="Y122" s="224"/>
      <c r="Z122" s="60"/>
      <c r="AA122" s="758"/>
      <c r="AB122" s="223"/>
      <c r="AC122" s="223"/>
      <c r="AD122" s="223"/>
      <c r="AE122" s="224"/>
      <c r="AF122" s="740"/>
      <c r="AG122" s="1617"/>
      <c r="AH122" s="1618"/>
      <c r="AI122" s="1618"/>
      <c r="AJ122" s="1618"/>
      <c r="AK122" s="1619"/>
      <c r="AL122" s="740"/>
      <c r="AM122" s="1617"/>
      <c r="AN122" s="1618"/>
      <c r="AO122" s="1618"/>
      <c r="AP122" s="1618"/>
      <c r="AQ122" s="1619"/>
      <c r="AR122" s="226"/>
      <c r="AS122" s="1617"/>
      <c r="AT122" s="1618"/>
      <c r="AU122" s="1618"/>
      <c r="AV122" s="1618"/>
      <c r="AW122" s="1619"/>
      <c r="AX122" s="740"/>
      <c r="AY122" s="1617"/>
      <c r="AZ122" s="1618"/>
      <c r="BA122" s="1618"/>
      <c r="BB122" s="1618"/>
      <c r="BC122" s="1619"/>
      <c r="BD122" s="740"/>
      <c r="BE122" s="1617"/>
      <c r="BF122" s="1618"/>
      <c r="BG122" s="1618"/>
      <c r="BH122" s="1618"/>
      <c r="BI122" s="1619"/>
      <c r="BJ122" s="1698"/>
      <c r="BK122" s="3049">
        <f>+BK124*1.5</f>
        <v>0</v>
      </c>
      <c r="BL122" s="3050">
        <f>+BL124*1.5</f>
        <v>0</v>
      </c>
      <c r="BM122" s="3050">
        <v>0</v>
      </c>
      <c r="BN122" s="3050">
        <f>+BN124</f>
        <v>0</v>
      </c>
      <c r="BO122" s="3048">
        <f>SUM(BK122:BN122)</f>
        <v>0</v>
      </c>
      <c r="BP122" s="3045"/>
      <c r="BQ122" s="3049">
        <v>0</v>
      </c>
      <c r="BR122" s="3050">
        <v>0</v>
      </c>
      <c r="BS122" s="3050">
        <v>0</v>
      </c>
      <c r="BT122" s="3050">
        <v>0</v>
      </c>
      <c r="BU122" s="3048">
        <f>SUM(BQ122:BT122)</f>
        <v>0</v>
      </c>
      <c r="BV122" s="3045"/>
      <c r="BW122" s="3049">
        <v>0</v>
      </c>
      <c r="BX122" s="3050">
        <v>0</v>
      </c>
      <c r="BY122" s="3050">
        <v>0</v>
      </c>
      <c r="BZ122" s="3050">
        <v>0</v>
      </c>
      <c r="CA122" s="3048">
        <f t="shared" ref="CA122" si="429">SUM(BW122:BZ122)</f>
        <v>0</v>
      </c>
      <c r="CB122" s="3045"/>
      <c r="CC122" s="3049">
        <v>0</v>
      </c>
      <c r="CD122" s="3050">
        <v>0</v>
      </c>
      <c r="CE122" s="3050">
        <v>0</v>
      </c>
      <c r="CF122" s="3050">
        <v>0</v>
      </c>
      <c r="CG122" s="3048">
        <f t="shared" ref="CG122" si="430">SUM(CC122:CF122)</f>
        <v>0</v>
      </c>
      <c r="CH122" s="3045"/>
      <c r="CI122" s="3049">
        <v>0</v>
      </c>
      <c r="CJ122" s="3050">
        <v>0</v>
      </c>
      <c r="CK122" s="3050">
        <v>0</v>
      </c>
      <c r="CL122" s="3050">
        <v>0</v>
      </c>
      <c r="CM122" s="3048">
        <f t="shared" ref="CM122" si="431">SUM(CI122:CL122)</f>
        <v>0</v>
      </c>
      <c r="CN122" s="3045"/>
      <c r="CO122" s="3049">
        <v>0</v>
      </c>
      <c r="CP122" s="3050">
        <v>0</v>
      </c>
      <c r="CQ122" s="3050">
        <v>0</v>
      </c>
      <c r="CR122" s="3050">
        <v>0</v>
      </c>
      <c r="CS122" s="3048">
        <f t="shared" ref="CS122" si="432">SUM(CO122:CR122)</f>
        <v>0</v>
      </c>
      <c r="CT122" s="60"/>
      <c r="CU122" s="4"/>
      <c r="CV122" s="60"/>
      <c r="CW122" s="60"/>
      <c r="CX122" s="60"/>
      <c r="CY122" s="60"/>
      <c r="CZ122" s="60"/>
      <c r="DA122" s="60"/>
      <c r="DB122" s="60"/>
      <c r="DC122" s="60"/>
      <c r="DD122" s="60"/>
      <c r="DE122" s="60"/>
      <c r="DF122" s="60"/>
      <c r="DG122" s="60"/>
      <c r="DH122" s="60"/>
      <c r="DI122" s="68"/>
      <c r="DJ122" s="68"/>
      <c r="DK122" s="68"/>
      <c r="DL122" s="68"/>
      <c r="DM122" s="68"/>
      <c r="DN122" s="68"/>
      <c r="DO122" s="68"/>
      <c r="DP122" s="68"/>
      <c r="DQ122" s="68"/>
      <c r="DR122" s="68"/>
      <c r="DS122" s="68"/>
      <c r="DT122" s="68"/>
    </row>
    <row r="123" spans="1:137" ht="12.75" hidden="1" customHeight="1" outlineLevel="1">
      <c r="A123" s="731" t="s">
        <v>532</v>
      </c>
      <c r="B123" s="60"/>
      <c r="C123" s="752"/>
      <c r="D123" s="60"/>
      <c r="E123" s="60"/>
      <c r="F123" s="60"/>
      <c r="G123" s="736"/>
      <c r="H123" s="60"/>
      <c r="I123" s="753"/>
      <c r="J123" s="226"/>
      <c r="K123" s="226"/>
      <c r="L123" s="226"/>
      <c r="M123" s="736"/>
      <c r="N123" s="60"/>
      <c r="O123" s="753"/>
      <c r="P123" s="226"/>
      <c r="Q123" s="226"/>
      <c r="R123" s="226"/>
      <c r="S123" s="736"/>
      <c r="T123" s="60"/>
      <c r="U123" s="758"/>
      <c r="V123" s="223"/>
      <c r="W123" s="223"/>
      <c r="X123" s="223"/>
      <c r="Y123" s="224"/>
      <c r="Z123" s="60"/>
      <c r="AA123" s="758"/>
      <c r="AB123" s="223"/>
      <c r="AC123" s="223"/>
      <c r="AD123" s="223"/>
      <c r="AE123" s="224"/>
      <c r="AF123" s="740"/>
      <c r="AG123" s="1617"/>
      <c r="AH123" s="1618"/>
      <c r="AI123" s="1618"/>
      <c r="AJ123" s="1618"/>
      <c r="AK123" s="1619"/>
      <c r="AL123" s="740"/>
      <c r="AM123" s="1617"/>
      <c r="AN123" s="1618"/>
      <c r="AO123" s="1618"/>
      <c r="AP123" s="1618"/>
      <c r="AQ123" s="1619"/>
      <c r="AR123" s="226"/>
      <c r="AS123" s="1617"/>
      <c r="AT123" s="1618"/>
      <c r="AU123" s="1618"/>
      <c r="AV123" s="1618"/>
      <c r="AW123" s="1619"/>
      <c r="AX123" s="740"/>
      <c r="AY123" s="1617"/>
      <c r="AZ123" s="1618"/>
      <c r="BA123" s="1618"/>
      <c r="BB123" s="1618"/>
      <c r="BC123" s="1619"/>
      <c r="BD123" s="740"/>
      <c r="BE123" s="1617"/>
      <c r="BF123" s="1618"/>
      <c r="BG123" s="1618"/>
      <c r="BH123" s="1618"/>
      <c r="BI123" s="1619"/>
      <c r="BJ123" s="1698"/>
      <c r="BK123" s="3054">
        <f>+BK122/(BI152+BI154)</f>
        <v>0</v>
      </c>
      <c r="BL123" s="3055">
        <f>+BL122/(BK152+BK154)</f>
        <v>0</v>
      </c>
      <c r="BM123" s="3055">
        <f>+BM122/(BL152+BL154)</f>
        <v>0</v>
      </c>
      <c r="BN123" s="3055">
        <f>+BN122/(BM152+BM154)</f>
        <v>0</v>
      </c>
      <c r="BO123" s="3056">
        <f>+BN123</f>
        <v>0</v>
      </c>
      <c r="BP123" s="3045"/>
      <c r="BQ123" s="3057">
        <f>+BQ122/(BO152+BO154)</f>
        <v>0</v>
      </c>
      <c r="BR123" s="3058">
        <f>+BR122/(BQ152+BQ154)</f>
        <v>0</v>
      </c>
      <c r="BS123" s="3058">
        <f>+BS122/(BR152+BR154)</f>
        <v>0</v>
      </c>
      <c r="BT123" s="3058">
        <f>+BT122/(BS152+BS154)</f>
        <v>0</v>
      </c>
      <c r="BU123" s="3056">
        <f>+BT123</f>
        <v>0</v>
      </c>
      <c r="BV123" s="3045"/>
      <c r="BW123" s="3057">
        <f>+BW122/(BU152+BU154)</f>
        <v>0</v>
      </c>
      <c r="BX123" s="3058">
        <f>+BX122/(BW152+BW154)</f>
        <v>0</v>
      </c>
      <c r="BY123" s="3058">
        <f>+BY122/(BX152+BX154)</f>
        <v>0</v>
      </c>
      <c r="BZ123" s="3058">
        <f>+BZ122/(BY152+BY154)</f>
        <v>0</v>
      </c>
      <c r="CA123" s="3056">
        <f>+BZ123</f>
        <v>0</v>
      </c>
      <c r="CB123" s="3045"/>
      <c r="CC123" s="3057">
        <f>+CC122/(CA152+CA154)</f>
        <v>0</v>
      </c>
      <c r="CD123" s="3058">
        <f>+CD122/(CC152+CC154)</f>
        <v>0</v>
      </c>
      <c r="CE123" s="3058">
        <f>+CE122/(CD152+CD154)</f>
        <v>0</v>
      </c>
      <c r="CF123" s="3059">
        <f>IF(ISERROR(CF122/(CE152+CE154)),"nm",CF122/(CE152+CE154))</f>
        <v>0</v>
      </c>
      <c r="CG123" s="3056">
        <f>+CF123</f>
        <v>0</v>
      </c>
      <c r="CH123" s="3045"/>
      <c r="CI123" s="3057">
        <f>+CI122/(CG152+CG154)</f>
        <v>0</v>
      </c>
      <c r="CJ123" s="3058">
        <f>+CJ122/(CI152+CI154)</f>
        <v>0</v>
      </c>
      <c r="CK123" s="3058">
        <f>+CK122/(CJ152+CJ154)</f>
        <v>0</v>
      </c>
      <c r="CL123" s="3059" t="str">
        <f>IF(ISERROR(CL122/(CK152+CK154)),"nm",CL122/(CK152+CK154))</f>
        <v>nm</v>
      </c>
      <c r="CM123" s="3056" t="str">
        <f>+CL123</f>
        <v>nm</v>
      </c>
      <c r="CN123" s="3045"/>
      <c r="CO123" s="3057" t="e">
        <f>+CO122/(CM152+CM154)</f>
        <v>#DIV/0!</v>
      </c>
      <c r="CP123" s="3058" t="e">
        <f>+CP122/(CO152+CO154)</f>
        <v>#DIV/0!</v>
      </c>
      <c r="CQ123" s="3058" t="e">
        <f>+CQ122/(CP152+CP154)</f>
        <v>#DIV/0!</v>
      </c>
      <c r="CR123" s="3059" t="str">
        <f>IF(ISERROR(CR122/(CQ152+CQ154)),"nm",CR122/(CQ152+CQ154))</f>
        <v>nm</v>
      </c>
      <c r="CS123" s="3056" t="str">
        <f>+CR123</f>
        <v>nm</v>
      </c>
      <c r="CT123" s="60"/>
      <c r="CU123" s="4"/>
      <c r="CV123" s="60"/>
      <c r="CW123" s="60"/>
      <c r="CX123" s="60"/>
      <c r="CY123" s="60"/>
      <c r="CZ123" s="60"/>
      <c r="DA123" s="60"/>
      <c r="DB123" s="60"/>
      <c r="DC123" s="60"/>
      <c r="DD123" s="60"/>
      <c r="DE123" s="60"/>
      <c r="DF123" s="60"/>
      <c r="DG123" s="60"/>
      <c r="DH123" s="60"/>
      <c r="DI123" s="68"/>
      <c r="DJ123" s="68"/>
      <c r="DK123" s="68"/>
      <c r="DL123" s="68"/>
      <c r="DM123" s="68"/>
      <c r="DN123" s="68"/>
      <c r="DO123" s="68"/>
      <c r="DP123" s="68"/>
      <c r="DQ123" s="68"/>
      <c r="DR123" s="68"/>
      <c r="DS123" s="68"/>
      <c r="DT123" s="68"/>
    </row>
    <row r="124" spans="1:137" ht="12.75" hidden="1" customHeight="1" outlineLevel="1">
      <c r="A124" s="2440" t="s">
        <v>226</v>
      </c>
      <c r="B124" s="60"/>
      <c r="C124" s="752"/>
      <c r="D124" s="60"/>
      <c r="E124" s="60"/>
      <c r="F124" s="60"/>
      <c r="G124" s="736"/>
      <c r="H124" s="60"/>
      <c r="I124" s="753"/>
      <c r="J124" s="226"/>
      <c r="K124" s="226"/>
      <c r="L124" s="226"/>
      <c r="M124" s="736"/>
      <c r="N124" s="60"/>
      <c r="O124" s="753"/>
      <c r="P124" s="226"/>
      <c r="Q124" s="226"/>
      <c r="R124" s="226"/>
      <c r="S124" s="736"/>
      <c r="T124" s="60"/>
      <c r="U124" s="758"/>
      <c r="V124" s="223"/>
      <c r="W124" s="223"/>
      <c r="X124" s="223"/>
      <c r="Y124" s="224"/>
      <c r="Z124" s="60"/>
      <c r="AA124" s="758"/>
      <c r="AB124" s="223"/>
      <c r="AC124" s="223"/>
      <c r="AD124" s="223"/>
      <c r="AE124" s="224"/>
      <c r="AF124" s="740"/>
      <c r="AG124" s="1617"/>
      <c r="AH124" s="1618"/>
      <c r="AI124" s="1618"/>
      <c r="AJ124" s="1618"/>
      <c r="AK124" s="1619"/>
      <c r="AL124" s="740"/>
      <c r="AM124" s="1617"/>
      <c r="AN124" s="1618"/>
      <c r="AO124" s="1618"/>
      <c r="AP124" s="1618"/>
      <c r="AQ124" s="1619"/>
      <c r="AR124" s="226"/>
      <c r="AS124" s="1617"/>
      <c r="AT124" s="1618"/>
      <c r="AU124" s="1618"/>
      <c r="AV124" s="1618"/>
      <c r="AW124" s="1619"/>
      <c r="AX124" s="740"/>
      <c r="AY124" s="1617"/>
      <c r="AZ124" s="1618"/>
      <c r="BA124" s="1618"/>
      <c r="BB124" s="1618"/>
      <c r="BC124" s="1619"/>
      <c r="BD124" s="740"/>
      <c r="BE124" s="1617"/>
      <c r="BF124" s="1618"/>
      <c r="BG124" s="1618"/>
      <c r="BH124" s="1618"/>
      <c r="BI124" s="1619"/>
      <c r="BJ124" s="1698"/>
      <c r="BK124" s="3060">
        <v>0</v>
      </c>
      <c r="BL124" s="3061">
        <v>0</v>
      </c>
      <c r="BM124" s="3061">
        <v>0</v>
      </c>
      <c r="BN124" s="3062">
        <v>0</v>
      </c>
      <c r="BO124" s="3063">
        <f>SUM(BK124:BN124)</f>
        <v>0</v>
      </c>
      <c r="BP124" s="3045"/>
      <c r="BQ124" s="3060">
        <f>ROUND(10%*BQ122,0)</f>
        <v>0</v>
      </c>
      <c r="BR124" s="3061">
        <f t="shared" ref="BR124:BT124" si="433">ROUND(10%*BR122,0)</f>
        <v>0</v>
      </c>
      <c r="BS124" s="3061">
        <f t="shared" si="433"/>
        <v>0</v>
      </c>
      <c r="BT124" s="3062">
        <f t="shared" si="433"/>
        <v>0</v>
      </c>
      <c r="BU124" s="3063">
        <f>SUM(BQ124:BT124)</f>
        <v>0</v>
      </c>
      <c r="BV124" s="3045"/>
      <c r="BW124" s="3060">
        <f>ROUND(10%*BW122,0)</f>
        <v>0</v>
      </c>
      <c r="BX124" s="3061">
        <f t="shared" ref="BX124:BZ124" si="434">ROUND(10%*BX122,0)</f>
        <v>0</v>
      </c>
      <c r="BY124" s="3061">
        <f t="shared" si="434"/>
        <v>0</v>
      </c>
      <c r="BZ124" s="3062">
        <f t="shared" si="434"/>
        <v>0</v>
      </c>
      <c r="CA124" s="3063">
        <f>SUM(BW124:BZ124)</f>
        <v>0</v>
      </c>
      <c r="CB124" s="3045"/>
      <c r="CC124" s="3060">
        <f>ROUND(10%*CC122,0)</f>
        <v>0</v>
      </c>
      <c r="CD124" s="3061">
        <f t="shared" ref="CD124:CF124" si="435">ROUND(10%*CD122,0)</f>
        <v>0</v>
      </c>
      <c r="CE124" s="3061">
        <f t="shared" si="435"/>
        <v>0</v>
      </c>
      <c r="CF124" s="3062">
        <f t="shared" si="435"/>
        <v>0</v>
      </c>
      <c r="CG124" s="3063">
        <f>SUM(CC124:CF124)</f>
        <v>0</v>
      </c>
      <c r="CH124" s="3045"/>
      <c r="CI124" s="3060">
        <f>ROUND(10%*CI122,0)</f>
        <v>0</v>
      </c>
      <c r="CJ124" s="3061">
        <f t="shared" ref="CJ124:CL124" si="436">ROUND(10%*CJ122,0)</f>
        <v>0</v>
      </c>
      <c r="CK124" s="3061">
        <f t="shared" si="436"/>
        <v>0</v>
      </c>
      <c r="CL124" s="3062">
        <f t="shared" si="436"/>
        <v>0</v>
      </c>
      <c r="CM124" s="3063">
        <f>SUM(CI124:CL124)</f>
        <v>0</v>
      </c>
      <c r="CN124" s="3045"/>
      <c r="CO124" s="3060">
        <f>ROUND(10%*CO122,0)</f>
        <v>0</v>
      </c>
      <c r="CP124" s="3061">
        <f t="shared" ref="CP124:CR124" si="437">ROUND(10%*CP122,0)</f>
        <v>0</v>
      </c>
      <c r="CQ124" s="3061">
        <f t="shared" si="437"/>
        <v>0</v>
      </c>
      <c r="CR124" s="3062">
        <f t="shared" si="437"/>
        <v>0</v>
      </c>
      <c r="CS124" s="3063">
        <f>SUM(CO124:CR124)</f>
        <v>0</v>
      </c>
      <c r="CT124" s="60"/>
      <c r="CU124" s="4"/>
      <c r="CV124" s="60"/>
      <c r="CW124" s="60"/>
      <c r="CX124" s="60"/>
      <c r="CY124" s="60"/>
      <c r="CZ124" s="60"/>
      <c r="DA124" s="60"/>
      <c r="DB124" s="60"/>
      <c r="DC124" s="60"/>
      <c r="DD124" s="60"/>
      <c r="DE124" s="60"/>
      <c r="DF124" s="60"/>
      <c r="DG124" s="60"/>
      <c r="DH124" s="60"/>
      <c r="DI124" s="68"/>
      <c r="DJ124" s="68"/>
      <c r="DK124" s="68"/>
      <c r="DL124" s="68"/>
      <c r="DM124" s="68"/>
      <c r="DN124" s="68"/>
      <c r="DO124" s="68"/>
      <c r="DP124" s="68"/>
      <c r="DQ124" s="68"/>
      <c r="DR124" s="68"/>
      <c r="DS124" s="68"/>
      <c r="DT124" s="68"/>
    </row>
    <row r="125" spans="1:137" ht="12.75" hidden="1" customHeight="1" outlineLevel="1">
      <c r="A125" s="2441" t="s">
        <v>787</v>
      </c>
      <c r="B125" s="800"/>
      <c r="C125" s="801"/>
      <c r="D125" s="800"/>
      <c r="E125" s="800"/>
      <c r="F125" s="800"/>
      <c r="G125" s="802"/>
      <c r="H125" s="800"/>
      <c r="I125" s="803"/>
      <c r="J125" s="804"/>
      <c r="K125" s="804"/>
      <c r="L125" s="804"/>
      <c r="M125" s="802"/>
      <c r="N125" s="800"/>
      <c r="O125" s="803"/>
      <c r="P125" s="804"/>
      <c r="Q125" s="804"/>
      <c r="R125" s="804"/>
      <c r="S125" s="802"/>
      <c r="T125" s="800"/>
      <c r="U125" s="805"/>
      <c r="V125" s="806"/>
      <c r="W125" s="806"/>
      <c r="X125" s="806"/>
      <c r="Y125" s="807"/>
      <c r="Z125" s="800"/>
      <c r="AA125" s="805"/>
      <c r="AB125" s="806"/>
      <c r="AC125" s="806"/>
      <c r="AD125" s="806"/>
      <c r="AE125" s="807"/>
      <c r="AF125" s="1031"/>
      <c r="AG125" s="1620"/>
      <c r="AH125" s="1621"/>
      <c r="AI125" s="1621"/>
      <c r="AJ125" s="1621"/>
      <c r="AK125" s="1622"/>
      <c r="AL125" s="1031"/>
      <c r="AM125" s="1620"/>
      <c r="AN125" s="1621"/>
      <c r="AO125" s="1621"/>
      <c r="AP125" s="1621"/>
      <c r="AQ125" s="1622"/>
      <c r="AR125" s="804"/>
      <c r="AS125" s="1620"/>
      <c r="AT125" s="1621"/>
      <c r="AU125" s="1621"/>
      <c r="AV125" s="1621"/>
      <c r="AW125" s="1622"/>
      <c r="AX125" s="1031"/>
      <c r="AY125" s="1620"/>
      <c r="AZ125" s="1621"/>
      <c r="BA125" s="1621"/>
      <c r="BB125" s="1621"/>
      <c r="BC125" s="1622"/>
      <c r="BD125" s="1031"/>
      <c r="BE125" s="1620"/>
      <c r="BF125" s="1621"/>
      <c r="BG125" s="1621"/>
      <c r="BH125" s="1621"/>
      <c r="BI125" s="1622"/>
      <c r="BJ125" s="1700"/>
      <c r="BK125" s="3064"/>
      <c r="BL125" s="3065"/>
      <c r="BM125" s="3065"/>
      <c r="BN125" s="3066"/>
      <c r="BO125" s="3067"/>
      <c r="BP125" s="3068"/>
      <c r="BQ125" s="3064"/>
      <c r="BR125" s="3065"/>
      <c r="BS125" s="3065"/>
      <c r="BT125" s="3066"/>
      <c r="BU125" s="3067"/>
      <c r="BV125" s="3068"/>
      <c r="BW125" s="3064"/>
      <c r="BX125" s="3065"/>
      <c r="BY125" s="3065"/>
      <c r="BZ125" s="3066"/>
      <c r="CA125" s="3067"/>
      <c r="CB125" s="3068"/>
      <c r="CC125" s="3064"/>
      <c r="CD125" s="3065"/>
      <c r="CE125" s="3065"/>
      <c r="CF125" s="3066"/>
      <c r="CG125" s="3067"/>
      <c r="CH125" s="3068"/>
      <c r="CI125" s="3064"/>
      <c r="CJ125" s="3065"/>
      <c r="CK125" s="3065"/>
      <c r="CL125" s="3066"/>
      <c r="CM125" s="3067"/>
      <c r="CN125" s="3068"/>
      <c r="CO125" s="3064"/>
      <c r="CP125" s="3065"/>
      <c r="CQ125" s="3065"/>
      <c r="CR125" s="3066"/>
      <c r="CS125" s="3067"/>
      <c r="CT125" s="60"/>
      <c r="CU125" s="4"/>
      <c r="CV125" s="60"/>
      <c r="CW125" s="60"/>
      <c r="CX125" s="60"/>
      <c r="CY125" s="60"/>
      <c r="CZ125" s="60"/>
      <c r="DA125" s="60"/>
      <c r="DB125" s="60"/>
      <c r="DC125" s="60"/>
      <c r="DD125" s="60"/>
      <c r="DE125" s="60"/>
      <c r="DF125" s="60"/>
      <c r="DG125" s="60"/>
      <c r="DH125" s="60"/>
      <c r="DI125" s="68"/>
      <c r="DJ125" s="68"/>
      <c r="DK125" s="68"/>
      <c r="DL125" s="68"/>
      <c r="DM125" s="68"/>
      <c r="DN125" s="68"/>
      <c r="DO125" s="68"/>
      <c r="DP125" s="68"/>
      <c r="DQ125" s="68"/>
      <c r="DR125" s="68"/>
      <c r="DS125" s="68"/>
      <c r="DT125" s="68"/>
    </row>
    <row r="126" spans="1:137" ht="12.75" hidden="1" customHeight="1" outlineLevel="1">
      <c r="A126" s="1747" t="s">
        <v>750</v>
      </c>
      <c r="B126" s="60"/>
      <c r="C126" s="752"/>
      <c r="D126" s="60"/>
      <c r="E126" s="60"/>
      <c r="F126" s="60"/>
      <c r="G126" s="736"/>
      <c r="H126" s="60"/>
      <c r="I126" s="753"/>
      <c r="J126" s="226"/>
      <c r="K126" s="226"/>
      <c r="L126" s="226"/>
      <c r="M126" s="736"/>
      <c r="N126" s="60"/>
      <c r="O126" s="753"/>
      <c r="P126" s="226"/>
      <c r="Q126" s="226"/>
      <c r="R126" s="226"/>
      <c r="S126" s="736"/>
      <c r="T126" s="60"/>
      <c r="U126" s="758"/>
      <c r="V126" s="223"/>
      <c r="W126" s="223"/>
      <c r="X126" s="223"/>
      <c r="Y126" s="224"/>
      <c r="Z126" s="60"/>
      <c r="AA126" s="758"/>
      <c r="AB126" s="223"/>
      <c r="AC126" s="223"/>
      <c r="AD126" s="223"/>
      <c r="AE126" s="224"/>
      <c r="AF126" s="740"/>
      <c r="AG126" s="1617"/>
      <c r="AH126" s="1618"/>
      <c r="AI126" s="1618"/>
      <c r="AJ126" s="1618"/>
      <c r="AK126" s="1619"/>
      <c r="AL126" s="740"/>
      <c r="AM126" s="1617"/>
      <c r="AN126" s="1618"/>
      <c r="AO126" s="1618"/>
      <c r="AP126" s="1618"/>
      <c r="AQ126" s="1619"/>
      <c r="AR126" s="226"/>
      <c r="AS126" s="1617"/>
      <c r="AT126" s="1618"/>
      <c r="AU126" s="1618"/>
      <c r="AV126" s="1618"/>
      <c r="AW126" s="1619"/>
      <c r="AX126" s="740"/>
      <c r="AY126" s="1617"/>
      <c r="AZ126" s="1618"/>
      <c r="BA126" s="1618"/>
      <c r="BB126" s="1618"/>
      <c r="BC126" s="1619"/>
      <c r="BD126" s="740"/>
      <c r="BE126" s="1617"/>
      <c r="BF126" s="1618"/>
      <c r="BG126" s="1618"/>
      <c r="BH126" s="1618"/>
      <c r="BI126" s="1619"/>
      <c r="BJ126" s="1698"/>
      <c r="BK126" s="315">
        <f>(((BK135+BK136)*BK127)+(BK133*BK128))/1000</f>
        <v>22.359500000000001</v>
      </c>
      <c r="BL126" s="197">
        <f>(((BL135+BL136)*BL127)+(BL133*BL128))/1000</f>
        <v>76.879249999999999</v>
      </c>
      <c r="BM126" s="197">
        <f>(((BM135+BM136)*BM127)+(BM133*BM128))/1000</f>
        <v>79.942599999999999</v>
      </c>
      <c r="BN126" s="197">
        <f>(((BN135+BN136)*BN127)+(BN133*BN128))/1000</f>
        <v>80.080500000000001</v>
      </c>
      <c r="BO126" s="2411">
        <f>SUM(BK126:BN126)</f>
        <v>259.26184999999998</v>
      </c>
      <c r="BP126" s="2412"/>
      <c r="BQ126" s="315">
        <f>(((BQ135+BQ136)*BQ127)+(BQ133*BQ128))/1000</f>
        <v>62.793750000000003</v>
      </c>
      <c r="BR126" s="197">
        <f>(((BR135+BR136)*BR127)+(BR133*BR128))/1000</f>
        <v>70.525999999999996</v>
      </c>
      <c r="BS126" s="197">
        <f>(((BS135+BS136)*BS127)+(BS133*BS128))/1000</f>
        <v>74.022750000000002</v>
      </c>
      <c r="BT126" s="197">
        <f>(((BT135+BT136)*BT127)+(BT133*BT128))/1000</f>
        <v>74.022750000000002</v>
      </c>
      <c r="BU126" s="2411">
        <f>SUM(BQ126:BT126)</f>
        <v>281.36525</v>
      </c>
      <c r="BV126" s="1698"/>
      <c r="BW126" s="315">
        <f>(((BW135+BW136)*BW127)+(BW133*BW128))/1000</f>
        <v>57.868749999999999</v>
      </c>
      <c r="BX126" s="197">
        <f>(((BX135+BX136)*BX127)+(BX133*BX128))/1000</f>
        <v>57.868749999999999</v>
      </c>
      <c r="BY126" s="197">
        <f>(((BY135+BY136)*BY127)+(BY133*BY128))/1000</f>
        <v>57.868749999999999</v>
      </c>
      <c r="BZ126" s="197">
        <f>(((BZ135+BZ136)*BZ127)+(BZ133*BZ128))/1000</f>
        <v>57.868749999999999</v>
      </c>
      <c r="CA126" s="2411">
        <f>SUM(BW126:BZ126)</f>
        <v>231.47499999999999</v>
      </c>
      <c r="CB126" s="1698"/>
      <c r="CC126" s="315">
        <f>(((CC135+CC136)*CC127)+(CC133*CC128))/1000</f>
        <v>51.712499999999999</v>
      </c>
      <c r="CD126" s="197">
        <f>(((CD135+CD136)*CD127)+(CD133*CD128))/1000</f>
        <v>51.712499999999999</v>
      </c>
      <c r="CE126" s="197">
        <f>(((CE135+CE136)*CE127)+(CE133*CE128))/1000</f>
        <v>51.712499999999999</v>
      </c>
      <c r="CF126" s="197">
        <f>(((CF135+CF136)*CF127)+(CF133*CF128))/1000</f>
        <v>51.712499999999999</v>
      </c>
      <c r="CG126" s="2411">
        <f>SUM(CC126:CF126)</f>
        <v>206.85</v>
      </c>
      <c r="CH126" s="1698"/>
      <c r="CI126" s="315">
        <f>(((CI135+CI136)*CI127)+(CI133*CI128))/1000</f>
        <v>51.712499999999999</v>
      </c>
      <c r="CJ126" s="197">
        <f>(((CJ135+CJ136)*CJ127)+(CJ133*CJ128))/1000</f>
        <v>51.712499999999999</v>
      </c>
      <c r="CK126" s="197">
        <f>(((CK135+CK136)*CK127)+(CK133*CK128))/1000</f>
        <v>51.712499999999999</v>
      </c>
      <c r="CL126" s="197">
        <f>(((CL135+CL136)*CL127)+(CL133*CL128))/1000</f>
        <v>51.712499999999999</v>
      </c>
      <c r="CM126" s="2411">
        <f>SUM(CI126:CL126)</f>
        <v>206.85</v>
      </c>
      <c r="CN126" s="1698"/>
      <c r="CO126" s="315">
        <f>(((CO135+CO136)*CO127)+(CO133*CO128))/1000</f>
        <v>51.712499999999999</v>
      </c>
      <c r="CP126" s="197">
        <f>(((CP135+CP136)*CP127)+(CP133*CP128))/1000</f>
        <v>51.712499999999999</v>
      </c>
      <c r="CQ126" s="197">
        <f>(((CQ135+CQ136)*CQ127)+(CQ133*CQ128))/1000</f>
        <v>51.712499999999999</v>
      </c>
      <c r="CR126" s="197">
        <f>(((CR135+CR136)*CR127)+(CR133*CR128))/1000</f>
        <v>51.712499999999999</v>
      </c>
      <c r="CS126" s="2411">
        <f>SUM(CO126:CR126)</f>
        <v>206.85</v>
      </c>
      <c r="CT126" s="60"/>
      <c r="CU126" s="4"/>
      <c r="CV126" s="60"/>
      <c r="CW126" s="60"/>
      <c r="CX126" s="60"/>
      <c r="CY126" s="60"/>
      <c r="CZ126" s="60"/>
      <c r="DA126" s="60"/>
      <c r="DB126" s="60"/>
      <c r="DC126" s="60"/>
      <c r="DD126" s="60"/>
      <c r="DE126" s="60"/>
      <c r="DF126" s="60"/>
      <c r="DG126" s="60"/>
      <c r="DH126" s="60"/>
      <c r="DI126" s="68"/>
      <c r="DJ126" s="68"/>
      <c r="DK126" s="68"/>
      <c r="DL126" s="68"/>
      <c r="DM126" s="68"/>
      <c r="DN126" s="68"/>
      <c r="DO126" s="68"/>
      <c r="DP126" s="68"/>
      <c r="DQ126" s="68"/>
      <c r="DR126" s="68"/>
      <c r="DS126" s="68"/>
      <c r="DT126" s="68"/>
    </row>
    <row r="127" spans="1:137" ht="12.75" hidden="1" customHeight="1" outlineLevel="1">
      <c r="A127" s="735" t="s">
        <v>363</v>
      </c>
      <c r="B127" s="60"/>
      <c r="C127" s="752"/>
      <c r="D127" s="60"/>
      <c r="E127" s="60"/>
      <c r="F127" s="60"/>
      <c r="G127" s="736"/>
      <c r="H127" s="60"/>
      <c r="I127" s="753"/>
      <c r="J127" s="226"/>
      <c r="K127" s="226"/>
      <c r="L127" s="226"/>
      <c r="M127" s="736"/>
      <c r="N127" s="60"/>
      <c r="O127" s="753"/>
      <c r="P127" s="226"/>
      <c r="Q127" s="226"/>
      <c r="R127" s="226"/>
      <c r="S127" s="736"/>
      <c r="T127" s="60"/>
      <c r="U127" s="758"/>
      <c r="V127" s="223"/>
      <c r="W127" s="223"/>
      <c r="X127" s="223"/>
      <c r="Y127" s="224"/>
      <c r="Z127" s="60"/>
      <c r="AA127" s="758"/>
      <c r="AB127" s="223"/>
      <c r="AC127" s="223"/>
      <c r="AD127" s="223"/>
      <c r="AE127" s="224"/>
      <c r="AF127" s="740"/>
      <c r="AG127" s="1617"/>
      <c r="AH127" s="1618"/>
      <c r="AI127" s="1618"/>
      <c r="AJ127" s="1618"/>
      <c r="AK127" s="1619"/>
      <c r="AL127" s="740"/>
      <c r="AM127" s="1617"/>
      <c r="AN127" s="1618"/>
      <c r="AO127" s="1618"/>
      <c r="AP127" s="1618"/>
      <c r="AQ127" s="1619"/>
      <c r="AR127" s="226"/>
      <c r="AS127" s="1617"/>
      <c r="AT127" s="1618"/>
      <c r="AU127" s="1618"/>
      <c r="AV127" s="1618"/>
      <c r="AW127" s="1619"/>
      <c r="AX127" s="740"/>
      <c r="AY127" s="1642"/>
      <c r="AZ127" s="1618"/>
      <c r="BA127" s="1618"/>
      <c r="BB127" s="1618"/>
      <c r="BC127" s="1619"/>
      <c r="BD127" s="740"/>
      <c r="BE127" s="1642"/>
      <c r="BF127" s="1618"/>
      <c r="BG127" s="1618"/>
      <c r="BH127" s="1618"/>
      <c r="BI127" s="1619"/>
      <c r="BJ127" s="1698"/>
      <c r="BK127" s="1668">
        <v>985</v>
      </c>
      <c r="BL127" s="1538">
        <f>+BK127</f>
        <v>985</v>
      </c>
      <c r="BM127" s="1538">
        <f>+BL127</f>
        <v>985</v>
      </c>
      <c r="BN127" s="1538">
        <f>+BM127</f>
        <v>985</v>
      </c>
      <c r="BO127" s="1606">
        <f>+SUMPRODUCT(BK127:BN127,BK135:BN135)/BO135</f>
        <v>985</v>
      </c>
      <c r="BP127" s="1698"/>
      <c r="BQ127" s="3037">
        <f>+BN127</f>
        <v>985</v>
      </c>
      <c r="BR127" s="2483">
        <f t="shared" ref="BR127:BT128" si="438">BQ127</f>
        <v>985</v>
      </c>
      <c r="BS127" s="2483">
        <f t="shared" si="438"/>
        <v>985</v>
      </c>
      <c r="BT127" s="2483">
        <f t="shared" si="438"/>
        <v>985</v>
      </c>
      <c r="BU127" s="1606">
        <f>+AVERAGE(BQ127:BT127)</f>
        <v>985</v>
      </c>
      <c r="BV127" s="1698"/>
      <c r="BW127" s="2148">
        <f>+BT127</f>
        <v>985</v>
      </c>
      <c r="BX127" s="2149">
        <f t="shared" ref="BX127:BX128" si="439">BW127</f>
        <v>985</v>
      </c>
      <c r="BY127" s="2149">
        <f t="shared" ref="BY127:BY128" si="440">BX127</f>
        <v>985</v>
      </c>
      <c r="BZ127" s="2149">
        <f t="shared" ref="BZ127:BZ128" si="441">BY127</f>
        <v>985</v>
      </c>
      <c r="CA127" s="1606">
        <f>+AVERAGE(BW127:BZ127)</f>
        <v>985</v>
      </c>
      <c r="CB127" s="1698"/>
      <c r="CC127" s="2148">
        <f>+BZ127</f>
        <v>985</v>
      </c>
      <c r="CD127" s="2149">
        <f t="shared" ref="CD127:CD128" si="442">CC127</f>
        <v>985</v>
      </c>
      <c r="CE127" s="2149">
        <f t="shared" ref="CE127:CE128" si="443">CD127</f>
        <v>985</v>
      </c>
      <c r="CF127" s="2149">
        <f t="shared" ref="CF127:CF128" si="444">CE127</f>
        <v>985</v>
      </c>
      <c r="CG127" s="1606">
        <f>+AVERAGE(CC127:CF127)</f>
        <v>985</v>
      </c>
      <c r="CH127" s="1698"/>
      <c r="CI127" s="2148">
        <f>+CF127</f>
        <v>985</v>
      </c>
      <c r="CJ127" s="2149">
        <f t="shared" ref="CJ127:CJ128" si="445">CI127</f>
        <v>985</v>
      </c>
      <c r="CK127" s="2149">
        <f t="shared" ref="CK127:CK128" si="446">CJ127</f>
        <v>985</v>
      </c>
      <c r="CL127" s="2149">
        <f t="shared" ref="CL127:CL128" si="447">CK127</f>
        <v>985</v>
      </c>
      <c r="CM127" s="1606">
        <f>+AVERAGE(CI127:CL127)</f>
        <v>985</v>
      </c>
      <c r="CN127" s="1698"/>
      <c r="CO127" s="2148">
        <f>+CL127</f>
        <v>985</v>
      </c>
      <c r="CP127" s="2149">
        <f t="shared" ref="CP127:CP128" si="448">CO127</f>
        <v>985</v>
      </c>
      <c r="CQ127" s="2149">
        <f t="shared" ref="CQ127:CQ128" si="449">CP127</f>
        <v>985</v>
      </c>
      <c r="CR127" s="2149">
        <f t="shared" ref="CR127:CR128" si="450">CQ127</f>
        <v>985</v>
      </c>
      <c r="CS127" s="1606">
        <f>+AVERAGE(CO127:CR127)</f>
        <v>985</v>
      </c>
      <c r="CT127" s="60"/>
      <c r="CU127" s="4"/>
      <c r="CV127" s="60"/>
      <c r="CW127" s="60"/>
      <c r="CX127" s="60"/>
      <c r="CY127" s="60"/>
      <c r="CZ127" s="60"/>
      <c r="DA127" s="60"/>
      <c r="DB127" s="60"/>
      <c r="DC127" s="60"/>
      <c r="DD127" s="60"/>
      <c r="DE127" s="60"/>
      <c r="DF127" s="60"/>
      <c r="DG127" s="60"/>
      <c r="DH127" s="60"/>
      <c r="DI127" s="68"/>
      <c r="DJ127" s="68"/>
      <c r="DK127" s="68"/>
      <c r="DL127" s="68"/>
      <c r="DM127" s="68"/>
      <c r="DN127" s="68"/>
      <c r="DO127" s="68"/>
      <c r="DP127" s="68"/>
      <c r="DQ127" s="68"/>
      <c r="DR127" s="68"/>
      <c r="DS127" s="68"/>
      <c r="DT127" s="68"/>
    </row>
    <row r="128" spans="1:137" ht="12.75" hidden="1" customHeight="1" outlineLevel="1">
      <c r="A128" s="735" t="s">
        <v>364</v>
      </c>
      <c r="B128" s="60"/>
      <c r="C128" s="752"/>
      <c r="D128" s="60"/>
      <c r="E128" s="60"/>
      <c r="F128" s="60"/>
      <c r="G128" s="736"/>
      <c r="H128" s="60"/>
      <c r="I128" s="753"/>
      <c r="J128" s="226"/>
      <c r="K128" s="226"/>
      <c r="L128" s="226"/>
      <c r="M128" s="736"/>
      <c r="N128" s="60"/>
      <c r="O128" s="753"/>
      <c r="P128" s="226"/>
      <c r="Q128" s="226"/>
      <c r="R128" s="226"/>
      <c r="S128" s="736"/>
      <c r="T128" s="60"/>
      <c r="U128" s="758"/>
      <c r="V128" s="223"/>
      <c r="W128" s="223"/>
      <c r="X128" s="223"/>
      <c r="Y128" s="224"/>
      <c r="Z128" s="60"/>
      <c r="AA128" s="758"/>
      <c r="AB128" s="223"/>
      <c r="AC128" s="223"/>
      <c r="AD128" s="223"/>
      <c r="AE128" s="224"/>
      <c r="AF128" s="740"/>
      <c r="AG128" s="1617"/>
      <c r="AH128" s="1618"/>
      <c r="AI128" s="1618"/>
      <c r="AJ128" s="1618"/>
      <c r="AK128" s="1619"/>
      <c r="AL128" s="740"/>
      <c r="AM128" s="1617"/>
      <c r="AN128" s="1618"/>
      <c r="AO128" s="1618"/>
      <c r="AP128" s="1618"/>
      <c r="AQ128" s="1619"/>
      <c r="AR128" s="226"/>
      <c r="AS128" s="1617"/>
      <c r="AT128" s="1618"/>
      <c r="AU128" s="1618"/>
      <c r="AV128" s="1807"/>
      <c r="AW128" s="1619"/>
      <c r="AX128" s="740"/>
      <c r="AY128" s="1642"/>
      <c r="AZ128" s="1813"/>
      <c r="BA128" s="1807"/>
      <c r="BB128" s="1618"/>
      <c r="BC128" s="1619"/>
      <c r="BD128" s="740"/>
      <c r="BE128" s="1642"/>
      <c r="BF128" s="1618"/>
      <c r="BG128" s="1618"/>
      <c r="BH128" s="1618"/>
      <c r="BI128" s="1619"/>
      <c r="BJ128" s="1698"/>
      <c r="BK128" s="1435">
        <f>+BK127*90%</f>
        <v>886.5</v>
      </c>
      <c r="BL128" s="1401">
        <f>+BL127*91%</f>
        <v>896.35</v>
      </c>
      <c r="BM128" s="1401">
        <f>+BM127*86%</f>
        <v>847.1</v>
      </c>
      <c r="BN128" s="1401">
        <f>BM128</f>
        <v>847.1</v>
      </c>
      <c r="BO128" s="1606">
        <f>+AVERAGE(BK128:BN128)</f>
        <v>869.26249999999993</v>
      </c>
      <c r="BP128" s="1698"/>
      <c r="BQ128" s="1435">
        <f>+BQ127*75%</f>
        <v>738.75</v>
      </c>
      <c r="BR128" s="2483">
        <f>+BR127*85%</f>
        <v>837.25</v>
      </c>
      <c r="BS128" s="2483">
        <f t="shared" si="438"/>
        <v>837.25</v>
      </c>
      <c r="BT128" s="2483">
        <f t="shared" si="438"/>
        <v>837.25</v>
      </c>
      <c r="BU128" s="1606">
        <f>+AVERAGE(BQ128:BT128)</f>
        <v>812.625</v>
      </c>
      <c r="BV128" s="1698"/>
      <c r="BW128" s="2148">
        <f>+BT128</f>
        <v>837.25</v>
      </c>
      <c r="BX128" s="2149">
        <f t="shared" si="439"/>
        <v>837.25</v>
      </c>
      <c r="BY128" s="2149">
        <f t="shared" si="440"/>
        <v>837.25</v>
      </c>
      <c r="BZ128" s="2149">
        <f t="shared" si="441"/>
        <v>837.25</v>
      </c>
      <c r="CA128" s="1606">
        <f>+AVERAGE(BW128:BZ128)</f>
        <v>837.25</v>
      </c>
      <c r="CB128" s="1698"/>
      <c r="CC128" s="2148">
        <f>+BZ128</f>
        <v>837.25</v>
      </c>
      <c r="CD128" s="2149">
        <f t="shared" si="442"/>
        <v>837.25</v>
      </c>
      <c r="CE128" s="2149">
        <f t="shared" si="443"/>
        <v>837.25</v>
      </c>
      <c r="CF128" s="2149">
        <f t="shared" si="444"/>
        <v>837.25</v>
      </c>
      <c r="CG128" s="1606">
        <f>+AVERAGE(CC128:CF128)</f>
        <v>837.25</v>
      </c>
      <c r="CH128" s="1698"/>
      <c r="CI128" s="2148">
        <f>+CF128</f>
        <v>837.25</v>
      </c>
      <c r="CJ128" s="2149">
        <f t="shared" si="445"/>
        <v>837.25</v>
      </c>
      <c r="CK128" s="2149">
        <f t="shared" si="446"/>
        <v>837.25</v>
      </c>
      <c r="CL128" s="2149">
        <f t="shared" si="447"/>
        <v>837.25</v>
      </c>
      <c r="CM128" s="1606">
        <f>+AVERAGE(CI128:CL128)</f>
        <v>837.25</v>
      </c>
      <c r="CN128" s="1698"/>
      <c r="CO128" s="2148">
        <f>+CL128</f>
        <v>837.25</v>
      </c>
      <c r="CP128" s="2149">
        <f t="shared" si="448"/>
        <v>837.25</v>
      </c>
      <c r="CQ128" s="2149">
        <f t="shared" si="449"/>
        <v>837.25</v>
      </c>
      <c r="CR128" s="2149">
        <f t="shared" si="450"/>
        <v>837.25</v>
      </c>
      <c r="CS128" s="1606">
        <f>+AVERAGE(CO128:CR128)</f>
        <v>837.25</v>
      </c>
      <c r="CT128" s="60"/>
      <c r="CU128" s="4"/>
      <c r="CV128" s="60"/>
      <c r="CW128" s="60"/>
      <c r="CX128" s="60"/>
      <c r="CY128" s="60"/>
      <c r="CZ128" s="60"/>
      <c r="DA128" s="60"/>
      <c r="DB128" s="60"/>
      <c r="DC128" s="60"/>
      <c r="DD128" s="60"/>
      <c r="DE128" s="60"/>
      <c r="DF128" s="60"/>
      <c r="DG128" s="60"/>
      <c r="DH128" s="60"/>
      <c r="DI128" s="68"/>
      <c r="DJ128" s="68"/>
      <c r="DK128" s="68"/>
      <c r="DL128" s="68"/>
      <c r="DM128" s="68"/>
      <c r="DN128" s="68"/>
      <c r="DO128" s="68"/>
      <c r="DP128" s="68"/>
      <c r="DQ128" s="68"/>
      <c r="DR128" s="68"/>
      <c r="DS128" s="68"/>
      <c r="DT128" s="68"/>
    </row>
    <row r="129" spans="1:16384" ht="12.75" hidden="1" customHeight="1" outlineLevel="1">
      <c r="A129" s="1664" t="s">
        <v>506</v>
      </c>
      <c r="B129" s="60"/>
      <c r="C129" s="752"/>
      <c r="D129" s="60"/>
      <c r="E129" s="60"/>
      <c r="F129" s="60"/>
      <c r="G129" s="736"/>
      <c r="H129" s="60"/>
      <c r="I129" s="753"/>
      <c r="J129" s="226"/>
      <c r="K129" s="226"/>
      <c r="L129" s="226"/>
      <c r="M129" s="736"/>
      <c r="N129" s="60"/>
      <c r="O129" s="753"/>
      <c r="P129" s="226"/>
      <c r="Q129" s="226"/>
      <c r="R129" s="226"/>
      <c r="S129" s="736"/>
      <c r="T129" s="60"/>
      <c r="U129" s="758"/>
      <c r="V129" s="223"/>
      <c r="W129" s="223"/>
      <c r="X129" s="223"/>
      <c r="Y129" s="224"/>
      <c r="Z129" s="60"/>
      <c r="AA129" s="758"/>
      <c r="AB129" s="223"/>
      <c r="AC129" s="223"/>
      <c r="AD129" s="223"/>
      <c r="AE129" s="224"/>
      <c r="AF129" s="740"/>
      <c r="AG129" s="1617"/>
      <c r="AH129" s="1618"/>
      <c r="AI129" s="1618"/>
      <c r="AJ129" s="1618"/>
      <c r="AK129" s="1619"/>
      <c r="AL129" s="740"/>
      <c r="AM129" s="1617"/>
      <c r="AN129" s="1618"/>
      <c r="AO129" s="1618"/>
      <c r="AP129" s="1618"/>
      <c r="AQ129" s="1619"/>
      <c r="AR129" s="226"/>
      <c r="AS129" s="1617"/>
      <c r="AT129" s="1618"/>
      <c r="AU129" s="1618"/>
      <c r="AV129" s="1807"/>
      <c r="AW129" s="1619"/>
      <c r="AX129" s="740"/>
      <c r="AY129" s="1642"/>
      <c r="AZ129" s="1813"/>
      <c r="BA129" s="1807"/>
      <c r="BB129" s="1618"/>
      <c r="BC129" s="1619"/>
      <c r="BD129" s="740"/>
      <c r="BE129" s="1642"/>
      <c r="BF129" s="1618"/>
      <c r="BG129" s="1618"/>
      <c r="BH129" s="1618"/>
      <c r="BI129" s="1619"/>
      <c r="BJ129" s="1698"/>
      <c r="BK129" s="2150">
        <v>136</v>
      </c>
      <c r="BL129" s="2151">
        <v>100</v>
      </c>
      <c r="BM129" s="2151">
        <v>70</v>
      </c>
      <c r="BN129" s="2151">
        <v>70</v>
      </c>
      <c r="BO129" s="1610">
        <f>SUM(BK129:BN129)</f>
        <v>376</v>
      </c>
      <c r="BP129" s="1611"/>
      <c r="BQ129" s="2150">
        <v>70</v>
      </c>
      <c r="BR129" s="2151">
        <f>+BQ129</f>
        <v>70</v>
      </c>
      <c r="BS129" s="2151">
        <v>65</v>
      </c>
      <c r="BT129" s="2151">
        <v>60</v>
      </c>
      <c r="BU129" s="1610">
        <f>SUM(BQ129:BT129)</f>
        <v>265</v>
      </c>
      <c r="BV129" s="1611"/>
      <c r="BW129" s="2150">
        <v>65</v>
      </c>
      <c r="BX129" s="2151">
        <f>+BW129</f>
        <v>65</v>
      </c>
      <c r="BY129" s="2151">
        <f>+BX129</f>
        <v>65</v>
      </c>
      <c r="BZ129" s="2151">
        <f>+BY129</f>
        <v>65</v>
      </c>
      <c r="CA129" s="1610">
        <f>SUM(BW129:BZ129)</f>
        <v>260</v>
      </c>
      <c r="CB129" s="1611"/>
      <c r="CC129" s="2150">
        <v>60</v>
      </c>
      <c r="CD129" s="2151">
        <f t="shared" ref="CD129:CF129" si="451">+CC129</f>
        <v>60</v>
      </c>
      <c r="CE129" s="2151">
        <f t="shared" si="451"/>
        <v>60</v>
      </c>
      <c r="CF129" s="2151">
        <f t="shared" si="451"/>
        <v>60</v>
      </c>
      <c r="CG129" s="1610">
        <f t="shared" ref="CG129" si="452">SUM(CC129:CF129)</f>
        <v>240</v>
      </c>
      <c r="CH129" s="1611"/>
      <c r="CI129" s="2150">
        <v>60</v>
      </c>
      <c r="CJ129" s="2151">
        <f t="shared" ref="CJ129:CL129" si="453">+CI129</f>
        <v>60</v>
      </c>
      <c r="CK129" s="2151">
        <f t="shared" si="453"/>
        <v>60</v>
      </c>
      <c r="CL129" s="2151">
        <f t="shared" si="453"/>
        <v>60</v>
      </c>
      <c r="CM129" s="1610">
        <f t="shared" ref="CM129" si="454">SUM(CI129:CL129)</f>
        <v>240</v>
      </c>
      <c r="CN129" s="1611"/>
      <c r="CO129" s="2150">
        <v>60</v>
      </c>
      <c r="CP129" s="2151">
        <f t="shared" ref="CP129:CR129" si="455">+CO129</f>
        <v>60</v>
      </c>
      <c r="CQ129" s="2151">
        <f t="shared" si="455"/>
        <v>60</v>
      </c>
      <c r="CR129" s="2151">
        <f t="shared" si="455"/>
        <v>60</v>
      </c>
      <c r="CS129" s="1610">
        <f t="shared" ref="CS129" si="456">SUM(CO129:CR129)</f>
        <v>240</v>
      </c>
      <c r="CT129" s="60"/>
      <c r="CU129" s="4"/>
      <c r="CV129" s="60"/>
      <c r="CW129" s="60"/>
      <c r="CX129" s="60"/>
      <c r="CY129" s="60"/>
      <c r="CZ129" s="60"/>
      <c r="DA129" s="60"/>
      <c r="DB129" s="60"/>
      <c r="DC129" s="60"/>
      <c r="DD129" s="60"/>
      <c r="DE129" s="60"/>
      <c r="DF129" s="60"/>
      <c r="DG129" s="60"/>
      <c r="DH129" s="60"/>
      <c r="DI129" s="68"/>
      <c r="DJ129" s="68"/>
      <c r="DK129" s="68"/>
      <c r="DL129" s="68"/>
      <c r="DM129" s="68"/>
      <c r="DN129" s="68"/>
      <c r="DO129" s="68"/>
      <c r="DP129" s="68"/>
      <c r="DQ129" s="68"/>
      <c r="DR129" s="68"/>
      <c r="DS129" s="68"/>
      <c r="DT129" s="68"/>
    </row>
    <row r="130" spans="1:16384" ht="12.75" hidden="1" customHeight="1" outlineLevel="1">
      <c r="A130" s="1664" t="s">
        <v>507</v>
      </c>
      <c r="B130" s="60"/>
      <c r="C130" s="752"/>
      <c r="D130" s="60"/>
      <c r="E130" s="60"/>
      <c r="F130" s="60"/>
      <c r="G130" s="736"/>
      <c r="H130" s="60"/>
      <c r="I130" s="753"/>
      <c r="J130" s="226"/>
      <c r="K130" s="226"/>
      <c r="L130" s="226"/>
      <c r="M130" s="736"/>
      <c r="N130" s="60"/>
      <c r="O130" s="753"/>
      <c r="P130" s="226"/>
      <c r="Q130" s="226"/>
      <c r="R130" s="226"/>
      <c r="S130" s="736"/>
      <c r="T130" s="60"/>
      <c r="U130" s="758"/>
      <c r="V130" s="223"/>
      <c r="W130" s="223"/>
      <c r="X130" s="223"/>
      <c r="Y130" s="224"/>
      <c r="Z130" s="60"/>
      <c r="AA130" s="758"/>
      <c r="AB130" s="223"/>
      <c r="AC130" s="223"/>
      <c r="AD130" s="223"/>
      <c r="AE130" s="224"/>
      <c r="AF130" s="740"/>
      <c r="AG130" s="1617"/>
      <c r="AH130" s="1618"/>
      <c r="AI130" s="1618"/>
      <c r="AJ130" s="1618"/>
      <c r="AK130" s="1619"/>
      <c r="AL130" s="740"/>
      <c r="AM130" s="1617"/>
      <c r="AN130" s="1618"/>
      <c r="AO130" s="1618"/>
      <c r="AP130" s="1618"/>
      <c r="AQ130" s="1619"/>
      <c r="AR130" s="226"/>
      <c r="AS130" s="1617"/>
      <c r="AT130" s="1618"/>
      <c r="AU130" s="1618"/>
      <c r="AV130" s="1807"/>
      <c r="AW130" s="1619"/>
      <c r="AX130" s="740"/>
      <c r="AY130" s="1642"/>
      <c r="AZ130" s="1813"/>
      <c r="BA130" s="1807"/>
      <c r="BB130" s="1618"/>
      <c r="BC130" s="1619"/>
      <c r="BD130" s="740"/>
      <c r="BE130" s="1642"/>
      <c r="BF130" s="1618"/>
      <c r="BG130" s="1618"/>
      <c r="BH130" s="1618"/>
      <c r="BI130" s="1619"/>
      <c r="BJ130" s="1698"/>
      <c r="BK130" s="1432">
        <f>+BH130-BK131+BK129</f>
        <v>111</v>
      </c>
      <c r="BL130" s="1611">
        <f>+BK130-BL131+BL129</f>
        <v>128</v>
      </c>
      <c r="BM130" s="1611">
        <f>+BL130-BM131+BM129</f>
        <v>109</v>
      </c>
      <c r="BN130" s="1611">
        <f>+BM130-BN131+BN129</f>
        <v>90</v>
      </c>
      <c r="BO130" s="1610">
        <f>+BN130</f>
        <v>90</v>
      </c>
      <c r="BP130" s="1698"/>
      <c r="BQ130" s="1432">
        <f>+BN130-BQ131+BQ129</f>
        <v>83</v>
      </c>
      <c r="BR130" s="1611">
        <f>+BQ130-BR131+BR129</f>
        <v>73</v>
      </c>
      <c r="BS130" s="1611">
        <f>+BR130-BS131+BS129</f>
        <v>54</v>
      </c>
      <c r="BT130" s="1611">
        <f>+BS130-BT131+BT129</f>
        <v>30</v>
      </c>
      <c r="BU130" s="1610">
        <f>+BT130</f>
        <v>30</v>
      </c>
      <c r="BV130" s="1698"/>
      <c r="BW130" s="1432">
        <f>+BT130-BW131+BW129</f>
        <v>28</v>
      </c>
      <c r="BX130" s="1611">
        <f>+BW130-BX131+BX129</f>
        <v>26</v>
      </c>
      <c r="BY130" s="1611">
        <f>+BX130-BY131+BY129</f>
        <v>24</v>
      </c>
      <c r="BZ130" s="1611">
        <f>+BY130-BZ131+BZ129</f>
        <v>22</v>
      </c>
      <c r="CA130" s="1610">
        <f>+BZ130</f>
        <v>22</v>
      </c>
      <c r="CB130" s="1698"/>
      <c r="CC130" s="1432">
        <f>+BZ130-CC131+CC129</f>
        <v>22</v>
      </c>
      <c r="CD130" s="1611">
        <f>+CC130-CD131+CD129</f>
        <v>22</v>
      </c>
      <c r="CE130" s="1611">
        <f>+CD130-CE131+CE129</f>
        <v>22</v>
      </c>
      <c r="CF130" s="1611">
        <f>+CE130-CF131+CF129</f>
        <v>22</v>
      </c>
      <c r="CG130" s="1610">
        <f>+CF130</f>
        <v>22</v>
      </c>
      <c r="CH130" s="1698"/>
      <c r="CI130" s="1432">
        <f>+CF130-CI131+CI129</f>
        <v>22</v>
      </c>
      <c r="CJ130" s="1611">
        <f>+CI130-CJ131+CJ129</f>
        <v>22</v>
      </c>
      <c r="CK130" s="1611">
        <f>+CJ130-CK131+CK129</f>
        <v>22</v>
      </c>
      <c r="CL130" s="1611">
        <f>+CK130-CL131+CL129</f>
        <v>22</v>
      </c>
      <c r="CM130" s="1610">
        <f>+CL130</f>
        <v>22</v>
      </c>
      <c r="CN130" s="1698"/>
      <c r="CO130" s="1432">
        <f>+CL130-CO131+CO129</f>
        <v>22</v>
      </c>
      <c r="CP130" s="1611">
        <f>+CO130-CP131+CP129</f>
        <v>22</v>
      </c>
      <c r="CQ130" s="1611">
        <f>+CP130-CQ131+CQ129</f>
        <v>22</v>
      </c>
      <c r="CR130" s="1611">
        <f>+CQ130-CR131+CR129</f>
        <v>22</v>
      </c>
      <c r="CS130" s="1610">
        <f>+CR130</f>
        <v>22</v>
      </c>
      <c r="CT130" s="60"/>
      <c r="CU130" s="4"/>
      <c r="CV130" s="60"/>
      <c r="CW130" s="60"/>
      <c r="CX130" s="60"/>
      <c r="CY130" s="60"/>
      <c r="CZ130" s="60"/>
      <c r="DA130" s="60"/>
      <c r="DB130" s="60"/>
      <c r="DC130" s="60"/>
      <c r="DD130" s="60"/>
      <c r="DE130" s="60"/>
      <c r="DF130" s="60"/>
      <c r="DG130" s="60"/>
      <c r="DH130" s="60"/>
      <c r="DI130" s="68"/>
      <c r="DJ130" s="68"/>
      <c r="DK130" s="68"/>
      <c r="DL130" s="68"/>
      <c r="DM130" s="68"/>
      <c r="DN130" s="68"/>
      <c r="DO130" s="68"/>
      <c r="DP130" s="68"/>
      <c r="DQ130" s="68"/>
      <c r="DR130" s="68"/>
      <c r="DS130" s="68"/>
      <c r="DT130" s="68"/>
    </row>
    <row r="131" spans="1:16384" ht="12.75" hidden="1" customHeight="1" outlineLevel="1">
      <c r="A131" s="2510" t="s">
        <v>218</v>
      </c>
      <c r="B131" s="60"/>
      <c r="C131" s="752"/>
      <c r="D131" s="60"/>
      <c r="E131" s="60"/>
      <c r="F131" s="60"/>
      <c r="G131" s="736"/>
      <c r="H131" s="60"/>
      <c r="I131" s="753"/>
      <c r="J131" s="226"/>
      <c r="K131" s="226"/>
      <c r="L131" s="226"/>
      <c r="M131" s="736"/>
      <c r="N131" s="60"/>
      <c r="O131" s="753"/>
      <c r="P131" s="226"/>
      <c r="Q131" s="226"/>
      <c r="R131" s="226"/>
      <c r="S131" s="736"/>
      <c r="T131" s="60"/>
      <c r="U131" s="758"/>
      <c r="V131" s="223"/>
      <c r="W131" s="223"/>
      <c r="X131" s="223"/>
      <c r="Y131" s="224"/>
      <c r="Z131" s="60"/>
      <c r="AA131" s="758"/>
      <c r="AB131" s="223"/>
      <c r="AC131" s="223"/>
      <c r="AD131" s="223"/>
      <c r="AE131" s="224"/>
      <c r="AF131" s="740"/>
      <c r="AG131" s="1617"/>
      <c r="AH131" s="1618"/>
      <c r="AI131" s="1618"/>
      <c r="AJ131" s="1618"/>
      <c r="AK131" s="1619"/>
      <c r="AL131" s="740"/>
      <c r="AM131" s="1617"/>
      <c r="AN131" s="1618"/>
      <c r="AO131" s="1618"/>
      <c r="AP131" s="1618"/>
      <c r="AQ131" s="1619"/>
      <c r="AR131" s="226"/>
      <c r="AS131" s="1617"/>
      <c r="AT131" s="1618"/>
      <c r="AU131" s="1618"/>
      <c r="AV131" s="1808"/>
      <c r="AW131" s="1809"/>
      <c r="AX131" s="1810"/>
      <c r="AY131" s="1811"/>
      <c r="AZ131" s="1808"/>
      <c r="BA131" s="1808"/>
      <c r="BB131" s="1618"/>
      <c r="BC131" s="1619"/>
      <c r="BD131" s="740"/>
      <c r="BE131" s="1642"/>
      <c r="BF131" s="1618"/>
      <c r="BG131" s="1618"/>
      <c r="BH131" s="1618"/>
      <c r="BI131" s="1619"/>
      <c r="BJ131" s="1698"/>
      <c r="BK131" s="2409">
        <f>BK135+BK133+BK136</f>
        <v>25</v>
      </c>
      <c r="BL131" s="1608">
        <f>BL135+BL133+BL136</f>
        <v>83</v>
      </c>
      <c r="BM131" s="1608">
        <f>BM135+BM133+BM136</f>
        <v>89</v>
      </c>
      <c r="BN131" s="1608">
        <f>BN135+BN133+BN136</f>
        <v>89</v>
      </c>
      <c r="BO131" s="2410">
        <f>SUM(BK131:BN131)</f>
        <v>286</v>
      </c>
      <c r="BP131" s="1698"/>
      <c r="BQ131" s="2409">
        <f>BQ135+BQ133+BQ136</f>
        <v>77</v>
      </c>
      <c r="BR131" s="1608">
        <f>BR135+BR133+BR136</f>
        <v>80</v>
      </c>
      <c r="BS131" s="1608">
        <f>BS135+BS133+BS136</f>
        <v>84</v>
      </c>
      <c r="BT131" s="1608">
        <f>BT135+BT133+BT136</f>
        <v>84</v>
      </c>
      <c r="BU131" s="2410">
        <f>SUM(BQ131:BT131)</f>
        <v>325</v>
      </c>
      <c r="BV131" s="1698"/>
      <c r="BW131" s="2409">
        <f>BW135+BW133+BW136</f>
        <v>67</v>
      </c>
      <c r="BX131" s="1608">
        <f>BX135+BX133+BX136</f>
        <v>67</v>
      </c>
      <c r="BY131" s="1608">
        <f>BY135+BY133+BY136</f>
        <v>67</v>
      </c>
      <c r="BZ131" s="1608">
        <f>BZ135+BZ133+BZ136</f>
        <v>67</v>
      </c>
      <c r="CA131" s="2410">
        <f>SUM(BW131:BZ131)</f>
        <v>268</v>
      </c>
      <c r="CB131" s="1698"/>
      <c r="CC131" s="2409">
        <f>CC135+CC133+CC136</f>
        <v>60</v>
      </c>
      <c r="CD131" s="1608">
        <f>CD135+CD133+CD136</f>
        <v>60</v>
      </c>
      <c r="CE131" s="1608">
        <f>CE135+CE133+CE136</f>
        <v>60</v>
      </c>
      <c r="CF131" s="1608">
        <f>CF135+CF133+CF136</f>
        <v>60</v>
      </c>
      <c r="CG131" s="2410">
        <f>SUM(CC131:CF131)</f>
        <v>240</v>
      </c>
      <c r="CH131" s="1698"/>
      <c r="CI131" s="2409">
        <f>CI135+CI133+CI136</f>
        <v>60</v>
      </c>
      <c r="CJ131" s="1608">
        <f>CJ135+CJ133+CJ136</f>
        <v>60</v>
      </c>
      <c r="CK131" s="1608">
        <f>CK135+CK133+CK136</f>
        <v>60</v>
      </c>
      <c r="CL131" s="1608">
        <f>CL135+CL133+CL136</f>
        <v>60</v>
      </c>
      <c r="CM131" s="2410">
        <f>SUM(CI131:CL131)</f>
        <v>240</v>
      </c>
      <c r="CN131" s="1698"/>
      <c r="CO131" s="2409">
        <f>CO135+CO133+CO136</f>
        <v>60</v>
      </c>
      <c r="CP131" s="1608">
        <f>CP135+CP133+CP136</f>
        <v>60</v>
      </c>
      <c r="CQ131" s="1608">
        <f>CQ135+CQ133+CQ136</f>
        <v>60</v>
      </c>
      <c r="CR131" s="1608">
        <f>CR135+CR133+CR136</f>
        <v>60</v>
      </c>
      <c r="CS131" s="2410">
        <f>SUM(CO131:CR131)</f>
        <v>240</v>
      </c>
      <c r="CT131" s="60"/>
      <c r="CU131" s="4"/>
      <c r="CV131" s="60"/>
      <c r="CW131" s="60"/>
      <c r="CX131" s="60"/>
      <c r="CY131" s="60"/>
      <c r="CZ131" s="60"/>
      <c r="DA131" s="60"/>
      <c r="DB131" s="60"/>
      <c r="DC131" s="60"/>
      <c r="DD131" s="60"/>
      <c r="DE131" s="60"/>
      <c r="DF131" s="60"/>
      <c r="DG131" s="60"/>
      <c r="DH131" s="60"/>
      <c r="DI131" s="68"/>
      <c r="DJ131" s="68"/>
      <c r="DK131" s="68"/>
      <c r="DL131" s="68"/>
      <c r="DM131" s="68"/>
      <c r="DN131" s="68"/>
      <c r="DO131" s="68"/>
      <c r="DP131" s="68"/>
      <c r="DQ131" s="68"/>
      <c r="DR131" s="68"/>
      <c r="DS131" s="68"/>
      <c r="DT131" s="68"/>
    </row>
    <row r="132" spans="1:16384" ht="12.75" hidden="1" customHeight="1" outlineLevel="1">
      <c r="A132" s="759" t="s">
        <v>15</v>
      </c>
      <c r="B132" s="60"/>
      <c r="C132" s="752"/>
      <c r="D132" s="60"/>
      <c r="E132" s="60"/>
      <c r="F132" s="60"/>
      <c r="G132" s="736"/>
      <c r="H132" s="60"/>
      <c r="I132" s="753"/>
      <c r="J132" s="226"/>
      <c r="K132" s="226"/>
      <c r="L132" s="226"/>
      <c r="M132" s="736"/>
      <c r="N132" s="60"/>
      <c r="O132" s="753"/>
      <c r="P132" s="226"/>
      <c r="Q132" s="226"/>
      <c r="R132" s="226"/>
      <c r="S132" s="736"/>
      <c r="T132" s="60"/>
      <c r="U132" s="758"/>
      <c r="V132" s="223"/>
      <c r="W132" s="223"/>
      <c r="X132" s="223"/>
      <c r="Y132" s="224"/>
      <c r="Z132" s="60"/>
      <c r="AA132" s="758"/>
      <c r="AB132" s="223"/>
      <c r="AC132" s="223"/>
      <c r="AD132" s="223"/>
      <c r="AE132" s="224"/>
      <c r="AF132" s="740"/>
      <c r="AG132" s="1617"/>
      <c r="AH132" s="1618"/>
      <c r="AI132" s="1618"/>
      <c r="AJ132" s="1618"/>
      <c r="AK132" s="1619"/>
      <c r="AL132" s="740"/>
      <c r="AM132" s="1617"/>
      <c r="AN132" s="1618"/>
      <c r="AO132" s="1618"/>
      <c r="AP132" s="1618"/>
      <c r="AQ132" s="1619"/>
      <c r="AR132" s="226"/>
      <c r="AS132" s="1617"/>
      <c r="AT132" s="1618"/>
      <c r="AU132" s="1618"/>
      <c r="AV132" s="1618"/>
      <c r="AW132" s="1619"/>
      <c r="AX132" s="740"/>
      <c r="AY132" s="1617"/>
      <c r="AZ132" s="1618"/>
      <c r="BA132" s="1618"/>
      <c r="BB132" s="1618"/>
      <c r="BC132" s="1619"/>
      <c r="BD132" s="740"/>
      <c r="BE132" s="1617"/>
      <c r="BF132" s="1618"/>
      <c r="BG132" s="1618"/>
      <c r="BH132" s="1618"/>
      <c r="BI132" s="1619"/>
      <c r="BJ132" s="1698"/>
      <c r="BK132" s="1432">
        <f>BI132+BK131</f>
        <v>25</v>
      </c>
      <c r="BL132" s="1611">
        <f>BK132+BL131</f>
        <v>108</v>
      </c>
      <c r="BM132" s="1611">
        <f>BL132+BM131</f>
        <v>197</v>
      </c>
      <c r="BN132" s="1611">
        <f>BM132+BN131</f>
        <v>286</v>
      </c>
      <c r="BO132" s="1610">
        <f>BN132</f>
        <v>286</v>
      </c>
      <c r="BP132" s="1698"/>
      <c r="BQ132" s="1432">
        <f>BO132+BQ131</f>
        <v>363</v>
      </c>
      <c r="BR132" s="1611">
        <f>BQ132+BR131</f>
        <v>443</v>
      </c>
      <c r="BS132" s="1611">
        <f>BR132+BS131</f>
        <v>527</v>
      </c>
      <c r="BT132" s="1611">
        <f>BS132+BT131</f>
        <v>611</v>
      </c>
      <c r="BU132" s="1610">
        <f>BT132</f>
        <v>611</v>
      </c>
      <c r="BV132" s="1698"/>
      <c r="BW132" s="1432">
        <f>BU132+BW131</f>
        <v>678</v>
      </c>
      <c r="BX132" s="1611">
        <f>BW132+BX131</f>
        <v>745</v>
      </c>
      <c r="BY132" s="1611">
        <f>BX132+BY131</f>
        <v>812</v>
      </c>
      <c r="BZ132" s="1611">
        <f>BY132+BZ131</f>
        <v>879</v>
      </c>
      <c r="CA132" s="1610">
        <f>BZ132</f>
        <v>879</v>
      </c>
      <c r="CB132" s="1698"/>
      <c r="CC132" s="1432">
        <f>CA132+CC131</f>
        <v>939</v>
      </c>
      <c r="CD132" s="1611">
        <f>CC132+CD131</f>
        <v>999</v>
      </c>
      <c r="CE132" s="1611">
        <f>CD132+CE131</f>
        <v>1059</v>
      </c>
      <c r="CF132" s="1611">
        <f>CE132+CF131</f>
        <v>1119</v>
      </c>
      <c r="CG132" s="1610">
        <f>CF132</f>
        <v>1119</v>
      </c>
      <c r="CH132" s="1698"/>
      <c r="CI132" s="1432">
        <f>CG132+CI131</f>
        <v>1179</v>
      </c>
      <c r="CJ132" s="1611">
        <f>CI132+CJ131</f>
        <v>1239</v>
      </c>
      <c r="CK132" s="1611">
        <f>CJ132+CK131</f>
        <v>1299</v>
      </c>
      <c r="CL132" s="1611">
        <f>CK132+CL131</f>
        <v>1359</v>
      </c>
      <c r="CM132" s="1610">
        <f>CL132</f>
        <v>1359</v>
      </c>
      <c r="CN132" s="1698"/>
      <c r="CO132" s="1432">
        <f>CM132+CO131</f>
        <v>1419</v>
      </c>
      <c r="CP132" s="1611">
        <f>CO132+CP131</f>
        <v>1479</v>
      </c>
      <c r="CQ132" s="1611">
        <f>CP132+CQ131</f>
        <v>1539</v>
      </c>
      <c r="CR132" s="1611">
        <f>CQ132+CR131</f>
        <v>1599</v>
      </c>
      <c r="CS132" s="1610">
        <f>CR132</f>
        <v>1599</v>
      </c>
      <c r="CT132" s="60"/>
      <c r="CU132" s="4"/>
      <c r="CV132" s="60"/>
      <c r="CW132" s="60"/>
      <c r="CX132" s="60"/>
      <c r="CY132" s="60"/>
      <c r="CZ132" s="60"/>
      <c r="DA132" s="60"/>
      <c r="DB132" s="60"/>
      <c r="DC132" s="60"/>
      <c r="DD132" s="60"/>
      <c r="DE132" s="60"/>
      <c r="DF132" s="60"/>
      <c r="DG132" s="60"/>
      <c r="DH132" s="60"/>
      <c r="DI132" s="68"/>
      <c r="DJ132" s="68"/>
      <c r="DK132" s="68"/>
      <c r="DL132" s="68"/>
      <c r="DM132" s="68"/>
      <c r="DN132" s="68"/>
      <c r="DO132" s="68"/>
      <c r="DP132" s="68"/>
      <c r="DQ132" s="68"/>
      <c r="DR132" s="68"/>
      <c r="DS132" s="68"/>
      <c r="DT132" s="68"/>
    </row>
    <row r="133" spans="1:16384" ht="12.75" hidden="1" customHeight="1" outlineLevel="1">
      <c r="A133" s="1765" t="s">
        <v>829</v>
      </c>
      <c r="B133" s="60"/>
      <c r="C133" s="752"/>
      <c r="D133" s="60"/>
      <c r="E133" s="60"/>
      <c r="F133" s="60"/>
      <c r="G133" s="736"/>
      <c r="H133" s="60"/>
      <c r="I133" s="753"/>
      <c r="J133" s="226"/>
      <c r="K133" s="226"/>
      <c r="L133" s="226"/>
      <c r="M133" s="736"/>
      <c r="N133" s="60"/>
      <c r="O133" s="753"/>
      <c r="P133" s="226"/>
      <c r="Q133" s="226"/>
      <c r="R133" s="226"/>
      <c r="S133" s="736"/>
      <c r="T133" s="60"/>
      <c r="U133" s="758"/>
      <c r="V133" s="223"/>
      <c r="W133" s="223"/>
      <c r="X133" s="223"/>
      <c r="Y133" s="224"/>
      <c r="Z133" s="60"/>
      <c r="AA133" s="758"/>
      <c r="AB133" s="223"/>
      <c r="AC133" s="223"/>
      <c r="AD133" s="223"/>
      <c r="AE133" s="224"/>
      <c r="AF133" s="740"/>
      <c r="AG133" s="1617"/>
      <c r="AH133" s="1618"/>
      <c r="AI133" s="1618"/>
      <c r="AJ133" s="1618"/>
      <c r="AK133" s="1619"/>
      <c r="AL133" s="740"/>
      <c r="AM133" s="1617"/>
      <c r="AN133" s="1618"/>
      <c r="AO133" s="1618"/>
      <c r="AP133" s="1618"/>
      <c r="AQ133" s="1619"/>
      <c r="AR133" s="226"/>
      <c r="AS133" s="1617"/>
      <c r="AT133" s="1618"/>
      <c r="AU133" s="1618"/>
      <c r="AV133" s="1618"/>
      <c r="AW133" s="1619"/>
      <c r="AX133" s="740"/>
      <c r="AY133" s="1617"/>
      <c r="AZ133" s="1618"/>
      <c r="BA133" s="1618"/>
      <c r="BB133" s="1618"/>
      <c r="BC133" s="1619"/>
      <c r="BD133" s="740"/>
      <c r="BE133" s="1617"/>
      <c r="BF133" s="1618"/>
      <c r="BG133" s="1618"/>
      <c r="BH133" s="1618"/>
      <c r="BI133" s="1619"/>
      <c r="BJ133" s="1698"/>
      <c r="BK133" s="2419">
        <v>23</v>
      </c>
      <c r="BL133" s="2744">
        <v>55</v>
      </c>
      <c r="BM133" s="2744">
        <v>56</v>
      </c>
      <c r="BN133" s="2744">
        <v>55</v>
      </c>
      <c r="BO133" s="1610">
        <f>SUM(BK133:BN133)</f>
        <v>189</v>
      </c>
      <c r="BP133" s="1698"/>
      <c r="BQ133" s="3032">
        <v>53</v>
      </c>
      <c r="BR133" s="2418">
        <v>56</v>
      </c>
      <c r="BS133" s="2418">
        <v>59</v>
      </c>
      <c r="BT133" s="2418">
        <v>59</v>
      </c>
      <c r="BU133" s="1610">
        <f>SUM(BQ133:BT133)</f>
        <v>227</v>
      </c>
      <c r="BV133" s="1698"/>
      <c r="BW133" s="2417">
        <v>55</v>
      </c>
      <c r="BX133" s="2418">
        <f>+BW133</f>
        <v>55</v>
      </c>
      <c r="BY133" s="2418">
        <f>+BX133</f>
        <v>55</v>
      </c>
      <c r="BZ133" s="2418">
        <f>+BY133</f>
        <v>55</v>
      </c>
      <c r="CA133" s="1610">
        <f>SUM(BW133:BZ133)</f>
        <v>220</v>
      </c>
      <c r="CB133" s="1698"/>
      <c r="CC133" s="2417">
        <v>50</v>
      </c>
      <c r="CD133" s="2418">
        <f t="shared" ref="CD133:CF133" si="457">+CC133</f>
        <v>50</v>
      </c>
      <c r="CE133" s="2418">
        <f t="shared" si="457"/>
        <v>50</v>
      </c>
      <c r="CF133" s="2418">
        <f t="shared" si="457"/>
        <v>50</v>
      </c>
      <c r="CG133" s="1610">
        <f t="shared" ref="CG133" si="458">SUM(CC133:CF133)</f>
        <v>200</v>
      </c>
      <c r="CH133" s="1698"/>
      <c r="CI133" s="2417">
        <v>50</v>
      </c>
      <c r="CJ133" s="2418">
        <f t="shared" ref="CJ133:CL133" si="459">+CI133</f>
        <v>50</v>
      </c>
      <c r="CK133" s="2418">
        <f t="shared" si="459"/>
        <v>50</v>
      </c>
      <c r="CL133" s="2418">
        <f t="shared" si="459"/>
        <v>50</v>
      </c>
      <c r="CM133" s="1610">
        <f t="shared" ref="CM133" si="460">SUM(CI133:CL133)</f>
        <v>200</v>
      </c>
      <c r="CN133" s="1698"/>
      <c r="CO133" s="2417">
        <v>50</v>
      </c>
      <c r="CP133" s="2418">
        <f t="shared" ref="CP133:CR133" si="461">+CO133</f>
        <v>50</v>
      </c>
      <c r="CQ133" s="2418">
        <f t="shared" si="461"/>
        <v>50</v>
      </c>
      <c r="CR133" s="2418">
        <f t="shared" si="461"/>
        <v>50</v>
      </c>
      <c r="CS133" s="1610">
        <f t="shared" ref="CS133" si="462">SUM(CO133:CR133)</f>
        <v>200</v>
      </c>
      <c r="CT133" s="60"/>
      <c r="CU133" s="4"/>
      <c r="CV133" s="60"/>
      <c r="CW133" s="60"/>
      <c r="CX133" s="60"/>
      <c r="CY133" s="60"/>
      <c r="CZ133" s="60"/>
      <c r="DA133" s="60"/>
      <c r="DB133" s="60"/>
      <c r="DC133" s="60"/>
      <c r="DD133" s="60"/>
      <c r="DE133" s="60"/>
      <c r="DF133" s="60"/>
      <c r="DG133" s="60"/>
      <c r="DH133" s="60"/>
      <c r="DI133" s="68"/>
      <c r="DJ133" s="68"/>
      <c r="DK133" s="68"/>
      <c r="DL133" s="68"/>
      <c r="DM133" s="68"/>
      <c r="DN133" s="68"/>
      <c r="DO133" s="68"/>
      <c r="DP133" s="68"/>
      <c r="DQ133" s="68"/>
      <c r="DR133" s="68"/>
      <c r="DS133" s="68"/>
      <c r="DT133" s="68"/>
    </row>
    <row r="134" spans="1:16384" ht="12.75" hidden="1" customHeight="1" outlineLevel="1">
      <c r="A134" s="731" t="s">
        <v>532</v>
      </c>
      <c r="B134" s="60"/>
      <c r="C134" s="752"/>
      <c r="D134" s="60"/>
      <c r="E134" s="60"/>
      <c r="F134" s="60"/>
      <c r="G134" s="736"/>
      <c r="H134" s="60"/>
      <c r="I134" s="753"/>
      <c r="J134" s="226"/>
      <c r="K134" s="226"/>
      <c r="L134" s="226"/>
      <c r="M134" s="736"/>
      <c r="N134" s="60"/>
      <c r="O134" s="753"/>
      <c r="P134" s="226"/>
      <c r="Q134" s="226"/>
      <c r="R134" s="226"/>
      <c r="S134" s="736"/>
      <c r="T134" s="60"/>
      <c r="U134" s="758"/>
      <c r="V134" s="223"/>
      <c r="W134" s="223"/>
      <c r="X134" s="223"/>
      <c r="Y134" s="224"/>
      <c r="Z134" s="60"/>
      <c r="AA134" s="758"/>
      <c r="AB134" s="223"/>
      <c r="AC134" s="223"/>
      <c r="AD134" s="223"/>
      <c r="AE134" s="224"/>
      <c r="AF134" s="740"/>
      <c r="AG134" s="1617"/>
      <c r="AH134" s="1618"/>
      <c r="AI134" s="1618"/>
      <c r="AJ134" s="1618"/>
      <c r="AK134" s="1619"/>
      <c r="AL134" s="740"/>
      <c r="AM134" s="1617"/>
      <c r="AN134" s="1618"/>
      <c r="AO134" s="1618"/>
      <c r="AP134" s="1618"/>
      <c r="AQ134" s="1619"/>
      <c r="AR134" s="226"/>
      <c r="AS134" s="1617"/>
      <c r="AT134" s="1618"/>
      <c r="AU134" s="1618"/>
      <c r="AV134" s="1618"/>
      <c r="AW134" s="1619"/>
      <c r="AX134" s="740"/>
      <c r="AY134" s="1617"/>
      <c r="AZ134" s="1618"/>
      <c r="BA134" s="1618"/>
      <c r="BB134" s="1618"/>
      <c r="BC134" s="1619"/>
      <c r="BD134" s="740"/>
      <c r="BE134" s="1617"/>
      <c r="BF134" s="1618"/>
      <c r="BG134" s="1618"/>
      <c r="BH134" s="1618"/>
      <c r="BI134" s="1619"/>
      <c r="BJ134" s="1698"/>
      <c r="BK134" s="1988">
        <f>+BK133/(BI152+BI154)</f>
        <v>1.562147747556066E-2</v>
      </c>
      <c r="BL134" s="196">
        <f>+BL133/(BK152+BK154)</f>
        <v>3.8054464142136805E-2</v>
      </c>
      <c r="BM134" s="196">
        <f>+BM133/(BL152+BL154)</f>
        <v>3.9567668817931986E-2</v>
      </c>
      <c r="BN134" s="196">
        <f>+BN133/(BM152+BM154)</f>
        <v>3.9503067930301852E-2</v>
      </c>
      <c r="BO134" s="1996">
        <f>+BN134</f>
        <v>3.9503067930301852E-2</v>
      </c>
      <c r="BP134" s="1698"/>
      <c r="BQ134" s="1988">
        <f>+BQ133/(BO152+BO154)</f>
        <v>3.8621379266924792E-2</v>
      </c>
      <c r="BR134" s="196">
        <f>+BR133/(BQ152+BQ154)</f>
        <v>4.1380423596084258E-2</v>
      </c>
      <c r="BS134" s="196">
        <f>+BS133/(BR152+BR154)</f>
        <v>4.5619840941456775E-2</v>
      </c>
      <c r="BT134" s="196">
        <f>+BT133/(BS152+BS154)</f>
        <v>5.0200080298377449E-2</v>
      </c>
      <c r="BU134" s="1996">
        <f>+BT134</f>
        <v>5.0200080298377449E-2</v>
      </c>
      <c r="BV134" s="1698"/>
      <c r="BW134" s="1988">
        <f>+BW133/(BU152+BU154)</f>
        <v>5.2019445729285629E-2</v>
      </c>
      <c r="BX134" s="196">
        <f>+BX133/(BW152+BW154)</f>
        <v>5.8059937237644382E-2</v>
      </c>
      <c r="BY134" s="196">
        <f>+BY133/(BX152+BX154)</f>
        <v>6.5687569570791485E-2</v>
      </c>
      <c r="BZ134" s="196">
        <f>+BZ133/(BY152+BY154)</f>
        <v>7.5622483917713174E-2</v>
      </c>
      <c r="CA134" s="1996">
        <f>+BZ134</f>
        <v>7.5622483917713174E-2</v>
      </c>
      <c r="CB134" s="1698"/>
      <c r="CC134" s="1988">
        <f>+CC133/(CA152+CA154)</f>
        <v>8.0998297561947583E-2</v>
      </c>
      <c r="CD134" s="196">
        <f>+CD133/(CC152+CC154)</f>
        <v>9.6656286944231243E-2</v>
      </c>
      <c r="CE134" s="196">
        <f>+CE133/(CD152+CD154)</f>
        <v>0.11981875980160245</v>
      </c>
      <c r="CF134" s="1794">
        <f>IF(ISERROR(CF133/(CE152+CE154)),"nm",CF133/(CE152+CE154))</f>
        <v>0.15758110492126734</v>
      </c>
      <c r="CG134" s="1996">
        <f>+CF134</f>
        <v>0.15758110492126734</v>
      </c>
      <c r="CH134" s="1698"/>
      <c r="CI134" s="1988">
        <f>+CI133/(CG152+CG154)</f>
        <v>0.23009989691870622</v>
      </c>
      <c r="CJ134" s="196">
        <f>+CJ133/(CI152+CI154)</f>
        <v>0.4262686347500213</v>
      </c>
      <c r="CK134" s="196">
        <f>+CK133/(CJ152+CJ154)</f>
        <v>2.8906872489394497</v>
      </c>
      <c r="CL134" s="1794" t="str">
        <f>IF(ISERROR(CL133/(CK152+CK154)),"nm",CL133/(CK152+CK154))</f>
        <v>nm</v>
      </c>
      <c r="CM134" s="1996" t="str">
        <f>+CL134</f>
        <v>nm</v>
      </c>
      <c r="CN134" s="1698"/>
      <c r="CO134" s="1988" t="e">
        <f>+CO133/(CM152+CM154)</f>
        <v>#DIV/0!</v>
      </c>
      <c r="CP134" s="196" t="e">
        <f>+CP133/(CO152+CO154)</f>
        <v>#DIV/0!</v>
      </c>
      <c r="CQ134" s="196" t="e">
        <f>+CQ133/(CP152+CP154)</f>
        <v>#DIV/0!</v>
      </c>
      <c r="CR134" s="1794" t="str">
        <f>IF(ISERROR(CR133/(CQ152+CQ154)),"nm",CR133/(CQ152+CQ154))</f>
        <v>nm</v>
      </c>
      <c r="CS134" s="1996" t="str">
        <f>+CR134</f>
        <v>nm</v>
      </c>
      <c r="CT134" s="60"/>
      <c r="CU134" s="4"/>
      <c r="CV134" s="60"/>
      <c r="CW134" s="60"/>
      <c r="CX134" s="60"/>
      <c r="CY134" s="60"/>
      <c r="CZ134" s="60"/>
      <c r="DA134" s="60"/>
      <c r="DB134" s="60"/>
      <c r="DC134" s="60"/>
      <c r="DD134" s="60"/>
      <c r="DE134" s="60"/>
      <c r="DF134" s="60"/>
      <c r="DG134" s="60"/>
      <c r="DH134" s="60"/>
      <c r="DI134" s="68"/>
      <c r="DJ134" s="68"/>
      <c r="DK134" s="68"/>
      <c r="DL134" s="68"/>
      <c r="DM134" s="68"/>
      <c r="DN134" s="68"/>
      <c r="DO134" s="68"/>
      <c r="DP134" s="68"/>
      <c r="DQ134" s="68"/>
      <c r="DR134" s="68"/>
      <c r="DS134" s="68"/>
      <c r="DT134" s="68"/>
    </row>
    <row r="135" spans="1:16384" ht="12.75" hidden="1" customHeight="1" outlineLevel="1">
      <c r="A135" s="2440" t="s">
        <v>226</v>
      </c>
      <c r="B135" s="60"/>
      <c r="C135" s="752"/>
      <c r="D135" s="60"/>
      <c r="E135" s="60"/>
      <c r="F135" s="60"/>
      <c r="G135" s="736"/>
      <c r="H135" s="60"/>
      <c r="I135" s="753"/>
      <c r="J135" s="226"/>
      <c r="K135" s="226"/>
      <c r="L135" s="226"/>
      <c r="M135" s="736"/>
      <c r="N135" s="60"/>
      <c r="O135" s="753"/>
      <c r="P135" s="226"/>
      <c r="Q135" s="226"/>
      <c r="R135" s="226"/>
      <c r="S135" s="736"/>
      <c r="T135" s="60"/>
      <c r="U135" s="758"/>
      <c r="V135" s="223"/>
      <c r="W135" s="223"/>
      <c r="X135" s="223"/>
      <c r="Y135" s="224"/>
      <c r="Z135" s="60"/>
      <c r="AA135" s="758"/>
      <c r="AB135" s="223"/>
      <c r="AC135" s="223"/>
      <c r="AD135" s="223"/>
      <c r="AE135" s="224"/>
      <c r="AF135" s="740"/>
      <c r="AG135" s="1617"/>
      <c r="AH135" s="1618"/>
      <c r="AI135" s="1618"/>
      <c r="AJ135" s="1618"/>
      <c r="AK135" s="1619"/>
      <c r="AL135" s="740"/>
      <c r="AM135" s="1617"/>
      <c r="AN135" s="1618"/>
      <c r="AO135" s="1618"/>
      <c r="AP135" s="1618"/>
      <c r="AQ135" s="1619"/>
      <c r="AR135" s="226"/>
      <c r="AS135" s="1617"/>
      <c r="AT135" s="1618"/>
      <c r="AU135" s="1618"/>
      <c r="AV135" s="1618"/>
      <c r="AW135" s="1619"/>
      <c r="AX135" s="740"/>
      <c r="AY135" s="1617"/>
      <c r="AZ135" s="1618"/>
      <c r="BA135" s="1618"/>
      <c r="BB135" s="1618"/>
      <c r="BC135" s="1619"/>
      <c r="BD135" s="740"/>
      <c r="BE135" s="1617"/>
      <c r="BF135" s="1618"/>
      <c r="BG135" s="1618"/>
      <c r="BH135" s="1618"/>
      <c r="BI135" s="1619"/>
      <c r="BJ135" s="1698"/>
      <c r="BK135" s="2485">
        <v>2</v>
      </c>
      <c r="BL135" s="2745">
        <f>ROUND(33%*BL133,0)</f>
        <v>18</v>
      </c>
      <c r="BM135" s="2745">
        <f>ROUND(33%*BM133,0)</f>
        <v>18</v>
      </c>
      <c r="BN135" s="2987">
        <f>ROUND(25%*BN133,0)</f>
        <v>14</v>
      </c>
      <c r="BO135" s="1751">
        <f>SUM(BK135:BN135)</f>
        <v>52</v>
      </c>
      <c r="BP135" s="1698"/>
      <c r="BQ135" s="3069">
        <v>14</v>
      </c>
      <c r="BR135" s="2513">
        <f t="shared" ref="BR135:BT135" si="463">ROUND(25%*BR133,0)</f>
        <v>14</v>
      </c>
      <c r="BS135" s="2513">
        <f t="shared" si="463"/>
        <v>15</v>
      </c>
      <c r="BT135" s="2513">
        <f t="shared" si="463"/>
        <v>15</v>
      </c>
      <c r="BU135" s="1751">
        <f>SUM(BQ135:BT135)</f>
        <v>58</v>
      </c>
      <c r="BV135" s="1698"/>
      <c r="BW135" s="2484">
        <f>ROUND(10%*BW133,0)</f>
        <v>6</v>
      </c>
      <c r="BX135" s="2513">
        <f t="shared" ref="BX135:BZ135" si="464">ROUND(10%*BX133,0)</f>
        <v>6</v>
      </c>
      <c r="BY135" s="2513">
        <f t="shared" si="464"/>
        <v>6</v>
      </c>
      <c r="BZ135" s="2514">
        <f t="shared" si="464"/>
        <v>6</v>
      </c>
      <c r="CA135" s="1751">
        <f>SUM(BW135:BZ135)</f>
        <v>24</v>
      </c>
      <c r="CB135" s="1698"/>
      <c r="CC135" s="2484">
        <f>ROUND(10%*CC133,0)</f>
        <v>5</v>
      </c>
      <c r="CD135" s="2513">
        <f t="shared" ref="CD135:CF135" si="465">ROUND(10%*CD133,0)</f>
        <v>5</v>
      </c>
      <c r="CE135" s="2513">
        <f t="shared" si="465"/>
        <v>5</v>
      </c>
      <c r="CF135" s="2514">
        <f t="shared" si="465"/>
        <v>5</v>
      </c>
      <c r="CG135" s="1751">
        <f>SUM(CC135:CF135)</f>
        <v>20</v>
      </c>
      <c r="CH135" s="1698"/>
      <c r="CI135" s="2484">
        <f>ROUND(10%*CI133,0)</f>
        <v>5</v>
      </c>
      <c r="CJ135" s="2513">
        <f t="shared" ref="CJ135:CL135" si="466">ROUND(10%*CJ133,0)</f>
        <v>5</v>
      </c>
      <c r="CK135" s="2513">
        <f t="shared" si="466"/>
        <v>5</v>
      </c>
      <c r="CL135" s="2514">
        <f t="shared" si="466"/>
        <v>5</v>
      </c>
      <c r="CM135" s="1751">
        <f>SUM(CI135:CL135)</f>
        <v>20</v>
      </c>
      <c r="CN135" s="1698"/>
      <c r="CO135" s="2484">
        <f>ROUND(10%*CO133,0)</f>
        <v>5</v>
      </c>
      <c r="CP135" s="2513">
        <f t="shared" ref="CP135:CR135" si="467">ROUND(10%*CP133,0)</f>
        <v>5</v>
      </c>
      <c r="CQ135" s="2513">
        <f t="shared" si="467"/>
        <v>5</v>
      </c>
      <c r="CR135" s="2514">
        <f t="shared" si="467"/>
        <v>5</v>
      </c>
      <c r="CS135" s="1751">
        <f>SUM(CO135:CR135)</f>
        <v>20</v>
      </c>
      <c r="CT135" s="60"/>
      <c r="CU135" s="4"/>
      <c r="CV135" s="60"/>
      <c r="CW135" s="60"/>
      <c r="CX135" s="60"/>
      <c r="CY135" s="60"/>
      <c r="CZ135" s="60"/>
      <c r="DA135" s="60"/>
      <c r="DB135" s="60"/>
      <c r="DC135" s="60"/>
      <c r="DD135" s="60"/>
      <c r="DE135" s="60"/>
      <c r="DF135" s="60"/>
      <c r="DG135" s="60"/>
      <c r="DH135" s="60"/>
      <c r="DI135" s="68"/>
      <c r="DJ135" s="68"/>
      <c r="DK135" s="68"/>
      <c r="DL135" s="68"/>
      <c r="DM135" s="68"/>
      <c r="DN135" s="68"/>
      <c r="DO135" s="68"/>
      <c r="DP135" s="68"/>
      <c r="DQ135" s="68"/>
      <c r="DR135" s="68"/>
      <c r="DS135" s="68"/>
      <c r="DT135" s="68"/>
    </row>
    <row r="136" spans="1:16384" s="2211" customFormat="1" ht="12.75" hidden="1" customHeight="1" outlineLevel="1">
      <c r="A136" s="2507" t="s">
        <v>770</v>
      </c>
      <c r="B136" s="60"/>
      <c r="C136" s="752"/>
      <c r="D136" s="60"/>
      <c r="E136" s="60"/>
      <c r="F136" s="60"/>
      <c r="G136" s="736"/>
      <c r="H136" s="60"/>
      <c r="I136" s="753"/>
      <c r="J136" s="226"/>
      <c r="K136" s="226"/>
      <c r="L136" s="226"/>
      <c r="M136" s="736"/>
      <c r="N136" s="60"/>
      <c r="O136" s="753"/>
      <c r="P136" s="226"/>
      <c r="Q136" s="226"/>
      <c r="R136" s="226"/>
      <c r="S136" s="736"/>
      <c r="T136" s="60"/>
      <c r="U136" s="758"/>
      <c r="V136" s="223"/>
      <c r="W136" s="223"/>
      <c r="X136" s="223"/>
      <c r="Y136" s="224"/>
      <c r="Z136" s="60"/>
      <c r="AA136" s="758"/>
      <c r="AB136" s="223"/>
      <c r="AC136" s="223"/>
      <c r="AD136" s="223"/>
      <c r="AE136" s="224"/>
      <c r="AF136" s="740"/>
      <c r="AG136" s="1617"/>
      <c r="AH136" s="1618"/>
      <c r="AI136" s="1618"/>
      <c r="AJ136" s="1618"/>
      <c r="AK136" s="1619"/>
      <c r="AL136" s="740"/>
      <c r="AM136" s="1617"/>
      <c r="AN136" s="1618"/>
      <c r="AO136" s="1618"/>
      <c r="AP136" s="1618"/>
      <c r="AQ136" s="1619"/>
      <c r="AR136" s="226"/>
      <c r="AS136" s="1617"/>
      <c r="AT136" s="1618"/>
      <c r="AU136" s="1618"/>
      <c r="AV136" s="1618"/>
      <c r="AW136" s="1619"/>
      <c r="AX136" s="740"/>
      <c r="AY136" s="1617"/>
      <c r="AZ136" s="1618"/>
      <c r="BA136" s="1618"/>
      <c r="BB136" s="1618"/>
      <c r="BC136" s="1619"/>
      <c r="BD136" s="740"/>
      <c r="BE136" s="1617"/>
      <c r="BF136" s="1618"/>
      <c r="BG136" s="1618"/>
      <c r="BH136" s="1618"/>
      <c r="BI136" s="1619"/>
      <c r="BJ136" s="1698"/>
      <c r="BK136" s="2336">
        <v>0</v>
      </c>
      <c r="BL136" s="2337">
        <v>10</v>
      </c>
      <c r="BM136" s="2337">
        <v>15</v>
      </c>
      <c r="BN136" s="2337">
        <v>20</v>
      </c>
      <c r="BO136" s="1751">
        <v>45</v>
      </c>
      <c r="BP136" s="1698">
        <v>0</v>
      </c>
      <c r="BQ136" s="2336">
        <v>10</v>
      </c>
      <c r="BR136" s="2337">
        <v>10</v>
      </c>
      <c r="BS136" s="2337">
        <v>10</v>
      </c>
      <c r="BT136" s="2337">
        <v>10</v>
      </c>
      <c r="BU136" s="1751">
        <v>40</v>
      </c>
      <c r="BV136" s="1698">
        <v>0</v>
      </c>
      <c r="BW136" s="2336">
        <v>6</v>
      </c>
      <c r="BX136" s="2337">
        <v>6</v>
      </c>
      <c r="BY136" s="2337">
        <v>6</v>
      </c>
      <c r="BZ136" s="2337">
        <v>6</v>
      </c>
      <c r="CA136" s="1751">
        <v>24</v>
      </c>
      <c r="CB136" s="1698">
        <v>0</v>
      </c>
      <c r="CC136" s="2336">
        <v>5</v>
      </c>
      <c r="CD136" s="2337">
        <v>5</v>
      </c>
      <c r="CE136" s="2337">
        <v>5</v>
      </c>
      <c r="CF136" s="2337">
        <v>5</v>
      </c>
      <c r="CG136" s="1751">
        <v>20</v>
      </c>
      <c r="CH136" s="1698">
        <v>0</v>
      </c>
      <c r="CI136" s="2336">
        <v>5</v>
      </c>
      <c r="CJ136" s="2337">
        <v>5</v>
      </c>
      <c r="CK136" s="2337">
        <v>5</v>
      </c>
      <c r="CL136" s="2337">
        <v>5</v>
      </c>
      <c r="CM136" s="1751">
        <v>20</v>
      </c>
      <c r="CN136" s="1698">
        <v>0</v>
      </c>
      <c r="CO136" s="2336">
        <v>5</v>
      </c>
      <c r="CP136" s="2337">
        <v>5</v>
      </c>
      <c r="CQ136" s="2337">
        <v>5</v>
      </c>
      <c r="CR136" s="2337">
        <v>5</v>
      </c>
      <c r="CS136" s="1751">
        <v>20</v>
      </c>
      <c r="CT136" s="60">
        <f>+CG136+CA136+BU136+BO136</f>
        <v>129</v>
      </c>
      <c r="CU136" s="4"/>
      <c r="CV136" s="60"/>
      <c r="CW136" s="60"/>
      <c r="CX136" s="60"/>
      <c r="CY136" s="60"/>
      <c r="CZ136" s="60"/>
      <c r="DA136" s="60"/>
      <c r="DB136" s="60"/>
      <c r="DC136" s="60"/>
      <c r="DD136" s="60"/>
      <c r="DE136" s="60"/>
      <c r="DF136" s="60"/>
      <c r="DG136" s="60"/>
      <c r="DH136" s="60"/>
      <c r="DI136" s="68"/>
      <c r="DJ136" s="68"/>
      <c r="DK136" s="68"/>
      <c r="DL136" s="68"/>
      <c r="DM136" s="68"/>
      <c r="DN136" s="68"/>
      <c r="DO136" s="68"/>
      <c r="DP136" s="68"/>
      <c r="DQ136" s="68"/>
      <c r="DR136" s="68"/>
      <c r="DS136" s="68"/>
      <c r="DT136" s="6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  <c r="GQ136" s="8"/>
      <c r="GR136" s="8"/>
      <c r="GS136" s="8"/>
      <c r="GT136" s="8"/>
      <c r="GU136" s="8"/>
      <c r="GV136" s="8"/>
      <c r="GW136" s="8"/>
      <c r="GX136" s="8"/>
      <c r="GY136" s="8"/>
      <c r="GZ136" s="8"/>
      <c r="HA136" s="8"/>
      <c r="HB136" s="8"/>
      <c r="HC136" s="8"/>
      <c r="HD136" s="8"/>
      <c r="HE136" s="8"/>
      <c r="HF136" s="8"/>
      <c r="HG136" s="8"/>
      <c r="HH136" s="8"/>
      <c r="HI136" s="8"/>
      <c r="HJ136" s="8"/>
      <c r="HK136" s="8"/>
      <c r="HL136" s="8"/>
      <c r="HM136" s="8"/>
      <c r="HN136" s="8"/>
      <c r="HO136" s="8"/>
      <c r="HP136" s="8"/>
      <c r="HQ136" s="8"/>
      <c r="HR136" s="8"/>
      <c r="HS136" s="8"/>
      <c r="HT136" s="8"/>
      <c r="HU136" s="8"/>
      <c r="HV136" s="8"/>
      <c r="HW136" s="8"/>
      <c r="HX136" s="8"/>
      <c r="HY136" s="8"/>
      <c r="HZ136" s="8"/>
      <c r="IA136" s="8"/>
      <c r="IB136" s="8"/>
      <c r="IC136" s="8"/>
      <c r="ID136" s="8"/>
      <c r="IE136" s="8"/>
      <c r="IF136" s="8"/>
      <c r="IG136" s="8"/>
      <c r="IH136" s="8"/>
      <c r="II136" s="8"/>
      <c r="IJ136" s="8"/>
      <c r="IK136" s="8"/>
      <c r="IL136" s="8"/>
      <c r="IM136" s="8"/>
      <c r="IN136" s="8"/>
      <c r="IO136" s="8"/>
      <c r="IP136" s="8"/>
      <c r="IQ136" s="8"/>
      <c r="IR136" s="8"/>
      <c r="IS136" s="8"/>
      <c r="IT136" s="8"/>
      <c r="IU136" s="8"/>
      <c r="IV136" s="8"/>
      <c r="IW136" s="8"/>
      <c r="IX136" s="8"/>
      <c r="IY136" s="8"/>
      <c r="IZ136" s="8"/>
      <c r="JA136" s="8"/>
      <c r="JB136" s="8"/>
      <c r="JC136" s="8"/>
      <c r="JD136" s="8"/>
      <c r="JE136" s="8"/>
      <c r="JF136" s="8"/>
      <c r="JG136" s="8"/>
      <c r="JH136" s="8"/>
      <c r="JI136" s="8"/>
      <c r="JJ136" s="8"/>
      <c r="JK136" s="8"/>
      <c r="JL136" s="8"/>
      <c r="JM136" s="8"/>
      <c r="JN136" s="8"/>
      <c r="JO136" s="8"/>
      <c r="JP136" s="8"/>
      <c r="JQ136" s="8"/>
      <c r="JR136" s="8"/>
      <c r="JS136" s="8"/>
      <c r="JT136" s="8"/>
      <c r="JU136" s="8"/>
      <c r="JV136" s="8"/>
      <c r="JW136" s="8"/>
      <c r="JX136" s="8"/>
      <c r="JY136" s="8"/>
      <c r="JZ136" s="8"/>
      <c r="KA136" s="8"/>
      <c r="KB136" s="8"/>
      <c r="KC136" s="8"/>
      <c r="KD136" s="8"/>
      <c r="KE136" s="8"/>
      <c r="KF136" s="8"/>
      <c r="KG136" s="8"/>
      <c r="KH136" s="8"/>
      <c r="KI136" s="8"/>
      <c r="KJ136" s="8"/>
      <c r="KK136" s="8"/>
      <c r="KL136" s="8"/>
      <c r="KM136" s="8"/>
      <c r="KN136" s="8"/>
      <c r="KO136" s="8"/>
      <c r="KP136" s="8"/>
      <c r="KQ136" s="8"/>
      <c r="KR136" s="8"/>
      <c r="KS136" s="8"/>
      <c r="KT136" s="8"/>
      <c r="KU136" s="8"/>
      <c r="KV136" s="8"/>
      <c r="KW136" s="8"/>
      <c r="KX136" s="8"/>
      <c r="KY136" s="8"/>
      <c r="KZ136" s="8"/>
      <c r="LA136" s="8"/>
      <c r="LB136" s="8"/>
      <c r="LC136" s="8"/>
      <c r="LD136" s="8"/>
      <c r="LE136" s="8"/>
      <c r="LF136" s="8"/>
      <c r="LG136" s="8"/>
      <c r="LH136" s="8"/>
      <c r="LI136" s="8"/>
      <c r="LJ136" s="8"/>
      <c r="LK136" s="8"/>
      <c r="LL136" s="8"/>
      <c r="LM136" s="8"/>
      <c r="LN136" s="8"/>
      <c r="LO136" s="8"/>
      <c r="LP136" s="8"/>
      <c r="LQ136" s="8"/>
      <c r="LR136" s="8"/>
      <c r="LS136" s="8"/>
      <c r="LT136" s="8"/>
      <c r="LU136" s="8"/>
      <c r="LV136" s="8"/>
      <c r="LW136" s="8"/>
      <c r="LX136" s="8"/>
      <c r="LY136" s="8"/>
      <c r="LZ136" s="8"/>
      <c r="MA136" s="8"/>
      <c r="MB136" s="8"/>
      <c r="MC136" s="8"/>
      <c r="MD136" s="8"/>
      <c r="ME136" s="8"/>
      <c r="MF136" s="8"/>
      <c r="MG136" s="8"/>
      <c r="MH136" s="8"/>
      <c r="MI136" s="8"/>
      <c r="MJ136" s="8"/>
      <c r="MK136" s="8"/>
      <c r="ML136" s="8"/>
      <c r="MM136" s="8"/>
      <c r="MN136" s="8"/>
      <c r="MO136" s="8"/>
      <c r="MP136" s="8"/>
      <c r="MQ136" s="8"/>
      <c r="MR136" s="8"/>
      <c r="MS136" s="8"/>
      <c r="MT136" s="8"/>
      <c r="MU136" s="8"/>
      <c r="MV136" s="8"/>
      <c r="MW136" s="8"/>
      <c r="MX136" s="8"/>
      <c r="MY136" s="8"/>
      <c r="MZ136" s="8"/>
      <c r="NA136" s="8"/>
      <c r="NB136" s="8"/>
      <c r="NC136" s="8"/>
      <c r="ND136" s="8"/>
      <c r="NE136" s="8"/>
      <c r="NF136" s="8"/>
      <c r="NG136" s="8"/>
      <c r="NH136" s="8"/>
      <c r="NI136" s="8"/>
      <c r="NJ136" s="8"/>
      <c r="NK136" s="8"/>
      <c r="NL136" s="8"/>
      <c r="NM136" s="8"/>
      <c r="NN136" s="8"/>
      <c r="NO136" s="8"/>
      <c r="NP136" s="8"/>
      <c r="NQ136" s="8"/>
      <c r="NR136" s="8"/>
      <c r="NS136" s="8"/>
      <c r="NT136" s="8"/>
      <c r="NU136" s="8"/>
      <c r="NV136" s="8"/>
      <c r="NW136" s="8"/>
      <c r="NX136" s="8"/>
      <c r="NY136" s="8"/>
      <c r="NZ136" s="8"/>
      <c r="OA136" s="8"/>
      <c r="OB136" s="8"/>
      <c r="OC136" s="8"/>
      <c r="OD136" s="8"/>
      <c r="OE136" s="8"/>
      <c r="OF136" s="8"/>
      <c r="OG136" s="8"/>
      <c r="OH136" s="8"/>
      <c r="OI136" s="8"/>
      <c r="OJ136" s="8"/>
      <c r="OK136" s="8"/>
      <c r="OL136" s="8"/>
      <c r="OM136" s="8"/>
      <c r="ON136" s="8"/>
      <c r="OO136" s="8"/>
      <c r="OP136" s="8"/>
      <c r="OQ136" s="8"/>
      <c r="OR136" s="8"/>
      <c r="OS136" s="8"/>
      <c r="OT136" s="8"/>
      <c r="OU136" s="8"/>
      <c r="OV136" s="8"/>
      <c r="OW136" s="8"/>
      <c r="OX136" s="8"/>
      <c r="OY136" s="8"/>
      <c r="OZ136" s="8"/>
      <c r="PA136" s="8"/>
      <c r="PB136" s="8"/>
      <c r="PC136" s="8"/>
      <c r="PD136" s="8"/>
      <c r="PE136" s="8"/>
      <c r="PF136" s="8"/>
      <c r="PG136" s="8"/>
      <c r="PH136" s="8"/>
      <c r="PI136" s="8"/>
      <c r="PJ136" s="8"/>
      <c r="PK136" s="8"/>
      <c r="PL136" s="8"/>
      <c r="PM136" s="8"/>
      <c r="PN136" s="8"/>
      <c r="PO136" s="8"/>
      <c r="PP136" s="8"/>
      <c r="PQ136" s="8"/>
      <c r="PR136" s="8"/>
      <c r="PS136" s="8"/>
      <c r="PT136" s="8"/>
      <c r="PU136" s="8"/>
      <c r="PV136" s="8"/>
      <c r="PW136" s="8"/>
      <c r="PX136" s="8"/>
      <c r="PY136" s="8"/>
      <c r="PZ136" s="8"/>
      <c r="QA136" s="8"/>
      <c r="QB136" s="8"/>
      <c r="QC136" s="8"/>
      <c r="QD136" s="8"/>
      <c r="QE136" s="8"/>
      <c r="QF136" s="8"/>
      <c r="QG136" s="8"/>
      <c r="QH136" s="8"/>
      <c r="QI136" s="8"/>
      <c r="QJ136" s="8"/>
      <c r="QK136" s="8"/>
      <c r="QL136" s="8"/>
      <c r="QM136" s="8"/>
      <c r="QN136" s="8"/>
      <c r="QO136" s="8"/>
      <c r="QP136" s="8"/>
      <c r="QQ136" s="8"/>
      <c r="QR136" s="8"/>
      <c r="QS136" s="8"/>
      <c r="QT136" s="8"/>
      <c r="QU136" s="8"/>
      <c r="QV136" s="8"/>
      <c r="QW136" s="8"/>
      <c r="QX136" s="8"/>
      <c r="QY136" s="8"/>
      <c r="QZ136" s="8"/>
      <c r="RA136" s="8"/>
      <c r="RB136" s="8"/>
      <c r="RC136" s="8"/>
      <c r="RD136" s="8"/>
      <c r="RE136" s="8"/>
      <c r="RF136" s="8"/>
      <c r="RG136" s="8"/>
      <c r="RH136" s="8"/>
      <c r="RI136" s="8"/>
      <c r="RJ136" s="8"/>
      <c r="RK136" s="8"/>
      <c r="RL136" s="8"/>
      <c r="RM136" s="8"/>
      <c r="RN136" s="8"/>
      <c r="RO136" s="8"/>
      <c r="RP136" s="8"/>
      <c r="RQ136" s="8"/>
      <c r="RR136" s="8"/>
      <c r="RS136" s="8"/>
      <c r="RT136" s="8"/>
      <c r="RU136" s="8"/>
      <c r="RV136" s="8"/>
      <c r="RW136" s="8"/>
      <c r="RX136" s="8"/>
      <c r="RY136" s="8"/>
      <c r="RZ136" s="8"/>
      <c r="SA136" s="8"/>
      <c r="SB136" s="8"/>
      <c r="SC136" s="8"/>
      <c r="SD136" s="8"/>
      <c r="SE136" s="8"/>
      <c r="SF136" s="8"/>
      <c r="SG136" s="8"/>
      <c r="SH136" s="8"/>
      <c r="SI136" s="8"/>
      <c r="SJ136" s="8"/>
      <c r="SK136" s="8"/>
      <c r="SL136" s="8"/>
      <c r="SM136" s="8"/>
      <c r="SN136" s="8"/>
      <c r="SO136" s="8"/>
      <c r="SP136" s="8"/>
      <c r="SQ136" s="8"/>
      <c r="SR136" s="8"/>
      <c r="SS136" s="8"/>
      <c r="ST136" s="8"/>
      <c r="SU136" s="8"/>
      <c r="SV136" s="8"/>
      <c r="SW136" s="8"/>
      <c r="SX136" s="8"/>
      <c r="SY136" s="8"/>
      <c r="SZ136" s="8"/>
      <c r="TA136" s="8"/>
      <c r="TB136" s="8"/>
      <c r="TC136" s="8"/>
      <c r="TD136" s="8"/>
      <c r="TE136" s="8"/>
      <c r="TF136" s="8"/>
      <c r="TG136" s="8"/>
      <c r="TH136" s="8"/>
      <c r="TI136" s="8"/>
      <c r="TJ136" s="8"/>
      <c r="TK136" s="8"/>
      <c r="TL136" s="8"/>
      <c r="TM136" s="8"/>
      <c r="TN136" s="8"/>
      <c r="TO136" s="8"/>
      <c r="TP136" s="8"/>
      <c r="TQ136" s="8"/>
      <c r="TR136" s="8"/>
      <c r="TS136" s="8"/>
      <c r="TT136" s="8"/>
      <c r="TU136" s="8"/>
      <c r="TV136" s="8"/>
      <c r="TW136" s="8"/>
      <c r="TX136" s="8"/>
      <c r="TY136" s="8"/>
      <c r="TZ136" s="8"/>
      <c r="UA136" s="8"/>
      <c r="UB136" s="8"/>
      <c r="UC136" s="8"/>
      <c r="UD136" s="8"/>
      <c r="UE136" s="8"/>
      <c r="UF136" s="8"/>
      <c r="UG136" s="8"/>
      <c r="UH136" s="8"/>
      <c r="UI136" s="8"/>
      <c r="UJ136" s="8"/>
      <c r="UK136" s="8"/>
      <c r="UL136" s="8"/>
      <c r="UM136" s="8"/>
      <c r="UN136" s="8"/>
      <c r="UO136" s="8"/>
      <c r="UP136" s="8"/>
      <c r="UQ136" s="8"/>
      <c r="UR136" s="8"/>
      <c r="US136" s="8"/>
      <c r="UT136" s="8"/>
      <c r="UU136" s="8"/>
      <c r="UV136" s="8"/>
      <c r="UW136" s="8"/>
      <c r="UX136" s="8"/>
      <c r="UY136" s="8"/>
      <c r="UZ136" s="8"/>
      <c r="VA136" s="8"/>
      <c r="VB136" s="8"/>
      <c r="VC136" s="8"/>
      <c r="VD136" s="8"/>
      <c r="VE136" s="8"/>
      <c r="VF136" s="8"/>
      <c r="VG136" s="8"/>
      <c r="VH136" s="8"/>
      <c r="VI136" s="8"/>
      <c r="VJ136" s="8"/>
      <c r="VK136" s="8"/>
      <c r="VL136" s="8"/>
      <c r="VM136" s="8"/>
      <c r="VN136" s="8"/>
      <c r="VO136" s="8"/>
      <c r="VP136" s="8"/>
      <c r="VQ136" s="8"/>
      <c r="VR136" s="8"/>
      <c r="VS136" s="8"/>
      <c r="VT136" s="8"/>
      <c r="VU136" s="8"/>
      <c r="VV136" s="8"/>
      <c r="VW136" s="8"/>
      <c r="VX136" s="8"/>
      <c r="VY136" s="8"/>
      <c r="VZ136" s="8"/>
      <c r="WA136" s="8"/>
      <c r="WB136" s="8"/>
      <c r="WC136" s="8"/>
      <c r="WD136" s="8"/>
      <c r="WE136" s="8"/>
      <c r="WF136" s="8"/>
      <c r="WG136" s="8"/>
      <c r="WH136" s="8"/>
      <c r="WI136" s="8"/>
      <c r="WJ136" s="8"/>
      <c r="WK136" s="8"/>
      <c r="WL136" s="8"/>
      <c r="WM136" s="8"/>
      <c r="WN136" s="8"/>
      <c r="WO136" s="8"/>
      <c r="WP136" s="8"/>
      <c r="WQ136" s="8"/>
      <c r="WR136" s="8"/>
      <c r="WS136" s="8"/>
      <c r="WT136" s="8"/>
      <c r="WU136" s="8"/>
      <c r="WV136" s="8"/>
      <c r="WW136" s="8"/>
      <c r="WX136" s="8"/>
      <c r="WY136" s="8"/>
      <c r="WZ136" s="8"/>
      <c r="XA136" s="8"/>
      <c r="XB136" s="8"/>
      <c r="XC136" s="8"/>
      <c r="XD136" s="8"/>
      <c r="XE136" s="8"/>
      <c r="XF136" s="8"/>
      <c r="XG136" s="8"/>
      <c r="XH136" s="8"/>
      <c r="XI136" s="8"/>
      <c r="XJ136" s="8"/>
      <c r="XK136" s="8"/>
      <c r="XL136" s="8"/>
      <c r="XM136" s="8"/>
      <c r="XN136" s="8"/>
      <c r="XO136" s="8"/>
      <c r="XP136" s="8"/>
      <c r="XQ136" s="8"/>
      <c r="XR136" s="8"/>
      <c r="XS136" s="8"/>
      <c r="XT136" s="8"/>
      <c r="XU136" s="8"/>
      <c r="XV136" s="8"/>
      <c r="XW136" s="8"/>
      <c r="XX136" s="8"/>
      <c r="XY136" s="8"/>
      <c r="XZ136" s="8"/>
      <c r="YA136" s="8"/>
      <c r="YB136" s="8"/>
      <c r="YC136" s="8"/>
      <c r="YD136" s="8"/>
      <c r="YE136" s="8"/>
      <c r="YF136" s="8"/>
      <c r="YG136" s="8"/>
      <c r="YH136" s="8"/>
      <c r="YI136" s="8"/>
      <c r="YJ136" s="8"/>
      <c r="YK136" s="8"/>
      <c r="YL136" s="8"/>
      <c r="YM136" s="8"/>
      <c r="YN136" s="8"/>
      <c r="YO136" s="8"/>
      <c r="YP136" s="8"/>
      <c r="YQ136" s="8"/>
      <c r="YR136" s="8"/>
      <c r="YS136" s="8"/>
      <c r="YT136" s="8"/>
      <c r="YU136" s="8"/>
      <c r="YV136" s="8"/>
      <c r="YW136" s="8"/>
      <c r="YX136" s="8"/>
      <c r="YY136" s="8"/>
      <c r="YZ136" s="8"/>
      <c r="ZA136" s="8"/>
      <c r="ZB136" s="8"/>
      <c r="ZC136" s="8"/>
      <c r="ZD136" s="8"/>
      <c r="ZE136" s="8"/>
      <c r="ZF136" s="8"/>
      <c r="ZG136" s="8"/>
      <c r="ZH136" s="8"/>
      <c r="ZI136" s="8"/>
      <c r="ZJ136" s="8"/>
      <c r="ZK136" s="8"/>
      <c r="ZL136" s="8"/>
      <c r="ZM136" s="8"/>
      <c r="ZN136" s="8"/>
      <c r="ZO136" s="8"/>
      <c r="ZP136" s="8"/>
      <c r="ZQ136" s="8"/>
      <c r="ZR136" s="8"/>
      <c r="ZS136" s="8"/>
      <c r="ZT136" s="8"/>
      <c r="ZU136" s="8"/>
      <c r="ZV136" s="8"/>
      <c r="ZW136" s="8"/>
      <c r="ZX136" s="8"/>
      <c r="ZY136" s="8"/>
      <c r="ZZ136" s="8"/>
      <c r="AAA136" s="8"/>
      <c r="AAB136" s="8"/>
      <c r="AAC136" s="8"/>
      <c r="AAD136" s="8"/>
      <c r="AAE136" s="8"/>
      <c r="AAF136" s="8"/>
      <c r="AAG136" s="8"/>
      <c r="AAH136" s="8"/>
      <c r="AAI136" s="8"/>
      <c r="AAJ136" s="8"/>
      <c r="AAK136" s="8"/>
      <c r="AAL136" s="8"/>
      <c r="AAM136" s="8"/>
      <c r="AAN136" s="8"/>
      <c r="AAO136" s="8"/>
      <c r="AAP136" s="8"/>
      <c r="AAQ136" s="8"/>
      <c r="AAR136" s="8"/>
      <c r="AAS136" s="8"/>
      <c r="AAT136" s="8"/>
      <c r="AAU136" s="8"/>
      <c r="AAV136" s="8"/>
      <c r="AAW136" s="8"/>
      <c r="AAX136" s="8"/>
      <c r="AAY136" s="8"/>
      <c r="AAZ136" s="8"/>
      <c r="ABA136" s="8"/>
      <c r="ABB136" s="8"/>
      <c r="ABC136" s="8"/>
      <c r="ABD136" s="8"/>
      <c r="ABE136" s="8"/>
      <c r="ABF136" s="8"/>
      <c r="ABG136" s="8"/>
      <c r="ABH136" s="8"/>
      <c r="ABI136" s="8"/>
      <c r="ABJ136" s="8"/>
      <c r="ABK136" s="8"/>
      <c r="ABL136" s="8"/>
      <c r="ABM136" s="8"/>
      <c r="ABN136" s="8"/>
      <c r="ABO136" s="8"/>
      <c r="ABP136" s="8"/>
      <c r="ABQ136" s="8"/>
      <c r="ABR136" s="8"/>
      <c r="ABS136" s="8"/>
      <c r="ABT136" s="8"/>
      <c r="ABU136" s="8"/>
      <c r="ABV136" s="8"/>
      <c r="ABW136" s="8"/>
      <c r="ABX136" s="8"/>
      <c r="ABY136" s="8"/>
      <c r="ABZ136" s="8"/>
      <c r="ACA136" s="8"/>
      <c r="ACB136" s="8"/>
      <c r="ACC136" s="8"/>
      <c r="ACD136" s="8"/>
      <c r="ACE136" s="8"/>
      <c r="ACF136" s="8"/>
      <c r="ACG136" s="8"/>
      <c r="ACH136" s="8"/>
      <c r="ACI136" s="8"/>
      <c r="ACJ136" s="8"/>
      <c r="ACK136" s="8"/>
      <c r="ACL136" s="8"/>
      <c r="ACM136" s="8"/>
      <c r="ACN136" s="8"/>
      <c r="ACO136" s="8"/>
      <c r="ACP136" s="8"/>
      <c r="ACQ136" s="8"/>
      <c r="ACR136" s="8"/>
      <c r="ACS136" s="8"/>
      <c r="ACT136" s="8"/>
      <c r="ACU136" s="8"/>
      <c r="ACV136" s="8"/>
      <c r="ACW136" s="8"/>
      <c r="ACX136" s="8"/>
      <c r="ACY136" s="8"/>
      <c r="ACZ136" s="8"/>
      <c r="ADA136" s="8"/>
      <c r="ADB136" s="8"/>
      <c r="ADC136" s="8"/>
      <c r="ADD136" s="8"/>
      <c r="ADE136" s="8"/>
      <c r="ADF136" s="8"/>
      <c r="ADG136" s="8"/>
      <c r="ADH136" s="8"/>
      <c r="ADI136" s="8"/>
      <c r="ADJ136" s="8"/>
      <c r="ADK136" s="8"/>
      <c r="ADL136" s="8"/>
      <c r="ADM136" s="8"/>
      <c r="ADN136" s="8"/>
      <c r="ADO136" s="8"/>
      <c r="ADP136" s="8"/>
      <c r="ADQ136" s="8"/>
      <c r="ADR136" s="8"/>
      <c r="ADS136" s="8"/>
      <c r="ADT136" s="8"/>
      <c r="ADU136" s="8"/>
      <c r="ADV136" s="8"/>
      <c r="ADW136" s="8"/>
      <c r="ADX136" s="8"/>
      <c r="ADY136" s="8"/>
      <c r="ADZ136" s="8"/>
      <c r="AEA136" s="8"/>
      <c r="AEB136" s="8"/>
      <c r="AEC136" s="8"/>
      <c r="AED136" s="8"/>
      <c r="AEE136" s="8"/>
      <c r="AEF136" s="8"/>
      <c r="AEG136" s="8"/>
      <c r="AEH136" s="8"/>
      <c r="AEI136" s="8"/>
      <c r="AEJ136" s="8"/>
      <c r="AEK136" s="8"/>
      <c r="AEL136" s="8"/>
      <c r="AEM136" s="8"/>
      <c r="AEN136" s="8"/>
      <c r="AEO136" s="8"/>
      <c r="AEP136" s="8"/>
      <c r="AEQ136" s="8"/>
      <c r="AER136" s="8"/>
      <c r="AES136" s="8"/>
      <c r="AET136" s="8"/>
      <c r="AEU136" s="8"/>
      <c r="AEV136" s="8"/>
      <c r="AEW136" s="8"/>
      <c r="AEX136" s="8"/>
      <c r="AEY136" s="8"/>
      <c r="AEZ136" s="8"/>
      <c r="AFA136" s="8"/>
      <c r="AFB136" s="8"/>
      <c r="AFC136" s="8"/>
      <c r="AFD136" s="8"/>
      <c r="AFE136" s="8"/>
      <c r="AFF136" s="8"/>
      <c r="AFG136" s="8"/>
      <c r="AFH136" s="8"/>
      <c r="AFI136" s="8"/>
      <c r="AFJ136" s="8"/>
      <c r="AFK136" s="8"/>
      <c r="AFL136" s="8"/>
      <c r="AFM136" s="8"/>
      <c r="AFN136" s="8"/>
      <c r="AFO136" s="8"/>
      <c r="AFP136" s="8"/>
      <c r="AFQ136" s="8"/>
      <c r="AFR136" s="8"/>
      <c r="AFS136" s="8"/>
      <c r="AFT136" s="8"/>
      <c r="AFU136" s="8"/>
      <c r="AFV136" s="8"/>
      <c r="AFW136" s="8"/>
      <c r="AFX136" s="8"/>
      <c r="AFY136" s="8"/>
      <c r="AFZ136" s="8"/>
      <c r="AGA136" s="8"/>
      <c r="AGB136" s="8"/>
      <c r="AGC136" s="8"/>
      <c r="AGD136" s="8"/>
      <c r="AGE136" s="8"/>
      <c r="AGF136" s="8"/>
      <c r="AGG136" s="8"/>
      <c r="AGH136" s="8"/>
      <c r="AGI136" s="8"/>
      <c r="AGJ136" s="8"/>
      <c r="AGK136" s="8"/>
      <c r="AGL136" s="8"/>
      <c r="AGM136" s="8"/>
      <c r="AGN136" s="8"/>
      <c r="AGO136" s="8"/>
      <c r="AGP136" s="8"/>
      <c r="AGQ136" s="8"/>
      <c r="AGR136" s="8"/>
      <c r="AGS136" s="8"/>
      <c r="AGT136" s="8"/>
      <c r="AGU136" s="8"/>
      <c r="AGV136" s="8"/>
      <c r="AGW136" s="8"/>
      <c r="AGX136" s="8"/>
      <c r="AGY136" s="8"/>
      <c r="AGZ136" s="8"/>
      <c r="AHA136" s="8"/>
      <c r="AHB136" s="8"/>
      <c r="AHC136" s="8"/>
      <c r="AHD136" s="8"/>
      <c r="AHE136" s="8"/>
      <c r="AHF136" s="8"/>
      <c r="AHG136" s="8"/>
      <c r="AHH136" s="8"/>
      <c r="AHI136" s="8"/>
      <c r="AHJ136" s="8"/>
      <c r="AHK136" s="8"/>
      <c r="AHL136" s="8"/>
      <c r="AHM136" s="8"/>
      <c r="AHN136" s="8"/>
      <c r="AHO136" s="8"/>
      <c r="AHP136" s="8"/>
      <c r="AHQ136" s="8"/>
      <c r="AHR136" s="8"/>
      <c r="AHS136" s="8"/>
      <c r="AHT136" s="8"/>
      <c r="AHU136" s="8"/>
      <c r="AHV136" s="8"/>
      <c r="AHW136" s="8"/>
      <c r="AHX136" s="8"/>
      <c r="AHY136" s="8"/>
      <c r="AHZ136" s="8"/>
      <c r="AIA136" s="8"/>
      <c r="AIB136" s="8"/>
      <c r="AIC136" s="8"/>
      <c r="AID136" s="8"/>
      <c r="AIE136" s="8"/>
      <c r="AIF136" s="8"/>
      <c r="AIG136" s="8"/>
      <c r="AIH136" s="8"/>
      <c r="AII136" s="8"/>
      <c r="AIJ136" s="8"/>
      <c r="AIK136" s="8"/>
      <c r="AIL136" s="8"/>
      <c r="AIM136" s="8"/>
      <c r="AIN136" s="8"/>
      <c r="AIO136" s="8"/>
      <c r="AIP136" s="8"/>
      <c r="AIQ136" s="8"/>
      <c r="AIR136" s="8"/>
      <c r="AIS136" s="8"/>
      <c r="AIT136" s="8"/>
      <c r="AIU136" s="8"/>
      <c r="AIV136" s="8"/>
      <c r="AIW136" s="8"/>
      <c r="AIX136" s="8"/>
      <c r="AIY136" s="8"/>
      <c r="AIZ136" s="8"/>
      <c r="AJA136" s="8"/>
      <c r="AJB136" s="8"/>
      <c r="AJC136" s="8"/>
      <c r="AJD136" s="8"/>
      <c r="AJE136" s="8"/>
      <c r="AJF136" s="8"/>
      <c r="AJG136" s="8"/>
      <c r="AJH136" s="8"/>
      <c r="AJI136" s="8"/>
      <c r="AJJ136" s="8"/>
      <c r="AJK136" s="8"/>
      <c r="AJL136" s="8"/>
      <c r="AJM136" s="8"/>
      <c r="AJN136" s="8"/>
      <c r="AJO136" s="8"/>
      <c r="AJP136" s="8"/>
      <c r="AJQ136" s="8"/>
      <c r="AJR136" s="8"/>
      <c r="AJS136" s="8"/>
      <c r="AJT136" s="8"/>
      <c r="AJU136" s="8"/>
      <c r="AJV136" s="8"/>
      <c r="AJW136" s="8"/>
      <c r="AJX136" s="8"/>
      <c r="AJY136" s="8"/>
      <c r="AJZ136" s="8"/>
      <c r="AKA136" s="8"/>
      <c r="AKB136" s="8"/>
      <c r="AKC136" s="8"/>
      <c r="AKD136" s="8"/>
      <c r="AKE136" s="8"/>
      <c r="AKF136" s="8"/>
      <c r="AKG136" s="8"/>
      <c r="AKH136" s="8"/>
      <c r="AKI136" s="8"/>
      <c r="AKJ136" s="8"/>
      <c r="AKK136" s="8"/>
      <c r="AKL136" s="8"/>
      <c r="AKM136" s="8"/>
      <c r="AKN136" s="8"/>
      <c r="AKO136" s="8"/>
      <c r="AKP136" s="8"/>
      <c r="AKQ136" s="8"/>
      <c r="AKR136" s="8"/>
      <c r="AKS136" s="8"/>
      <c r="AKT136" s="8"/>
      <c r="AKU136" s="8"/>
      <c r="AKV136" s="8"/>
      <c r="AKW136" s="8"/>
      <c r="AKX136" s="8"/>
      <c r="AKY136" s="8"/>
      <c r="AKZ136" s="8"/>
      <c r="ALA136" s="8"/>
      <c r="ALB136" s="8"/>
      <c r="ALC136" s="8"/>
      <c r="ALD136" s="8"/>
      <c r="ALE136" s="8"/>
      <c r="ALF136" s="8"/>
      <c r="ALG136" s="8"/>
      <c r="ALH136" s="8"/>
      <c r="ALI136" s="8"/>
      <c r="ALJ136" s="8"/>
      <c r="ALK136" s="8"/>
      <c r="ALL136" s="8"/>
      <c r="ALM136" s="8"/>
      <c r="ALN136" s="8"/>
      <c r="ALO136" s="8"/>
      <c r="ALP136" s="8"/>
      <c r="ALQ136" s="8"/>
      <c r="ALR136" s="8"/>
      <c r="ALS136" s="8"/>
      <c r="ALT136" s="8"/>
      <c r="ALU136" s="8"/>
      <c r="ALV136" s="8"/>
      <c r="ALW136" s="8"/>
      <c r="ALX136" s="8"/>
      <c r="ALY136" s="8"/>
      <c r="ALZ136" s="8"/>
      <c r="AMA136" s="8"/>
      <c r="AMB136" s="8"/>
      <c r="AMC136" s="8"/>
      <c r="AMD136" s="8"/>
      <c r="AME136" s="8"/>
      <c r="AMF136" s="8"/>
      <c r="AMG136" s="8"/>
      <c r="AMH136" s="8"/>
      <c r="AMI136" s="8"/>
      <c r="AMJ136" s="8"/>
      <c r="AMK136" s="8"/>
      <c r="AML136" s="8"/>
      <c r="AMM136" s="8"/>
      <c r="AMN136" s="8"/>
      <c r="AMO136" s="8"/>
      <c r="AMP136" s="8"/>
      <c r="AMQ136" s="8"/>
      <c r="AMR136" s="8"/>
      <c r="AMS136" s="8"/>
      <c r="AMT136" s="8"/>
      <c r="AMU136" s="8"/>
      <c r="AMV136" s="8"/>
      <c r="AMW136" s="8"/>
      <c r="AMX136" s="8"/>
      <c r="AMY136" s="8"/>
      <c r="AMZ136" s="8"/>
      <c r="ANA136" s="8"/>
      <c r="ANB136" s="8"/>
      <c r="ANC136" s="8"/>
      <c r="AND136" s="8"/>
      <c r="ANE136" s="8"/>
      <c r="ANF136" s="8"/>
      <c r="ANG136" s="8"/>
      <c r="ANH136" s="8"/>
      <c r="ANI136" s="8"/>
      <c r="ANJ136" s="8"/>
      <c r="ANK136" s="8"/>
      <c r="ANL136" s="8"/>
      <c r="ANM136" s="8"/>
      <c r="ANN136" s="8"/>
      <c r="ANO136" s="8"/>
      <c r="ANP136" s="8"/>
      <c r="ANQ136" s="8"/>
      <c r="ANR136" s="8"/>
      <c r="ANS136" s="8"/>
      <c r="ANT136" s="8"/>
      <c r="ANU136" s="8"/>
      <c r="ANV136" s="8"/>
      <c r="ANW136" s="8"/>
      <c r="ANX136" s="8"/>
      <c r="ANY136" s="8"/>
      <c r="ANZ136" s="8"/>
      <c r="AOA136" s="8"/>
      <c r="AOB136" s="8"/>
      <c r="AOC136" s="8"/>
      <c r="AOD136" s="8"/>
      <c r="AOE136" s="8"/>
      <c r="AOF136" s="8"/>
      <c r="AOG136" s="8"/>
      <c r="AOH136" s="8"/>
      <c r="AOI136" s="8"/>
      <c r="AOJ136" s="8"/>
      <c r="AOK136" s="8"/>
      <c r="AOL136" s="8"/>
      <c r="AOM136" s="8"/>
      <c r="AON136" s="8"/>
      <c r="AOO136" s="8"/>
      <c r="AOP136" s="8"/>
      <c r="AOQ136" s="8"/>
      <c r="AOR136" s="8"/>
      <c r="AOS136" s="8"/>
      <c r="AOT136" s="8"/>
      <c r="AOU136" s="8"/>
      <c r="AOV136" s="8"/>
      <c r="AOW136" s="8"/>
      <c r="AOX136" s="8"/>
      <c r="AOY136" s="8"/>
      <c r="AOZ136" s="8"/>
      <c r="APA136" s="8"/>
      <c r="APB136" s="8"/>
      <c r="APC136" s="8"/>
      <c r="APD136" s="8"/>
      <c r="APE136" s="8"/>
      <c r="APF136" s="8"/>
      <c r="APG136" s="8"/>
      <c r="APH136" s="8"/>
      <c r="API136" s="8"/>
      <c r="APJ136" s="8"/>
      <c r="APK136" s="8"/>
      <c r="APL136" s="8"/>
      <c r="APM136" s="8"/>
      <c r="APN136" s="8"/>
      <c r="APO136" s="8"/>
      <c r="APP136" s="8"/>
      <c r="APQ136" s="8"/>
      <c r="APR136" s="8"/>
      <c r="APS136" s="8"/>
      <c r="APT136" s="8"/>
      <c r="APU136" s="8"/>
      <c r="APV136" s="8"/>
      <c r="APW136" s="8"/>
      <c r="APX136" s="8"/>
      <c r="APY136" s="8"/>
      <c r="APZ136" s="8"/>
      <c r="AQA136" s="8"/>
      <c r="AQB136" s="8"/>
      <c r="AQC136" s="8"/>
      <c r="AQD136" s="8"/>
      <c r="AQE136" s="8"/>
      <c r="AQF136" s="8"/>
      <c r="AQG136" s="8"/>
      <c r="AQH136" s="8"/>
      <c r="AQI136" s="8"/>
      <c r="AQJ136" s="8"/>
      <c r="AQK136" s="8"/>
      <c r="AQL136" s="8"/>
      <c r="AQM136" s="8"/>
      <c r="AQN136" s="8"/>
      <c r="AQO136" s="8"/>
      <c r="AQP136" s="8"/>
      <c r="AQQ136" s="8"/>
      <c r="AQR136" s="8"/>
      <c r="AQS136" s="8"/>
      <c r="AQT136" s="8"/>
      <c r="AQU136" s="8"/>
      <c r="AQV136" s="8"/>
      <c r="AQW136" s="8"/>
      <c r="AQX136" s="8"/>
      <c r="AQY136" s="8"/>
      <c r="AQZ136" s="8"/>
      <c r="ARA136" s="8"/>
      <c r="ARB136" s="8"/>
      <c r="ARC136" s="8"/>
      <c r="ARD136" s="8"/>
      <c r="ARE136" s="8"/>
      <c r="ARF136" s="8"/>
      <c r="ARG136" s="8"/>
      <c r="ARH136" s="8"/>
      <c r="ARI136" s="8"/>
      <c r="ARJ136" s="8"/>
      <c r="ARK136" s="8"/>
      <c r="ARL136" s="8"/>
      <c r="ARM136" s="8"/>
      <c r="ARN136" s="8"/>
      <c r="ARO136" s="8"/>
      <c r="ARP136" s="8"/>
      <c r="ARQ136" s="8"/>
      <c r="ARR136" s="8"/>
      <c r="ARS136" s="8"/>
      <c r="ART136" s="8"/>
      <c r="ARU136" s="8"/>
      <c r="ARV136" s="8"/>
      <c r="ARW136" s="8"/>
      <c r="ARX136" s="8"/>
      <c r="ARY136" s="8"/>
      <c r="ARZ136" s="8"/>
      <c r="ASA136" s="8"/>
      <c r="ASB136" s="8"/>
      <c r="ASC136" s="8"/>
      <c r="ASD136" s="8"/>
      <c r="ASE136" s="8"/>
      <c r="ASF136" s="8"/>
      <c r="ASG136" s="8"/>
      <c r="ASH136" s="8"/>
      <c r="ASI136" s="8"/>
      <c r="ASJ136" s="8"/>
      <c r="ASK136" s="8"/>
      <c r="ASL136" s="8"/>
      <c r="ASM136" s="8"/>
      <c r="ASN136" s="8"/>
      <c r="ASO136" s="8"/>
      <c r="ASP136" s="8"/>
      <c r="ASQ136" s="8"/>
      <c r="ASR136" s="8"/>
      <c r="ASS136" s="8"/>
      <c r="AST136" s="8"/>
      <c r="ASU136" s="8"/>
      <c r="ASV136" s="8"/>
      <c r="ASW136" s="8"/>
      <c r="ASX136" s="8"/>
      <c r="ASY136" s="8"/>
      <c r="ASZ136" s="8"/>
      <c r="ATA136" s="8"/>
      <c r="ATB136" s="8"/>
      <c r="ATC136" s="8"/>
      <c r="ATD136" s="8"/>
      <c r="ATE136" s="8"/>
      <c r="ATF136" s="8"/>
      <c r="ATG136" s="8"/>
      <c r="ATH136" s="8"/>
      <c r="ATI136" s="8"/>
      <c r="ATJ136" s="8"/>
      <c r="ATK136" s="8"/>
      <c r="ATL136" s="8"/>
      <c r="ATM136" s="8"/>
      <c r="ATN136" s="8"/>
      <c r="ATO136" s="8"/>
      <c r="ATP136" s="8"/>
      <c r="ATQ136" s="8"/>
      <c r="ATR136" s="8"/>
      <c r="ATS136" s="8"/>
      <c r="ATT136" s="8"/>
      <c r="ATU136" s="8"/>
      <c r="ATV136" s="8"/>
      <c r="ATW136" s="8"/>
      <c r="ATX136" s="8"/>
      <c r="ATY136" s="8"/>
      <c r="ATZ136" s="8"/>
      <c r="AUA136" s="8"/>
      <c r="AUB136" s="8"/>
      <c r="AUC136" s="8"/>
      <c r="AUD136" s="8"/>
      <c r="AUE136" s="8"/>
      <c r="AUF136" s="8"/>
      <c r="AUG136" s="8"/>
      <c r="AUH136" s="8"/>
      <c r="AUI136" s="8"/>
      <c r="AUJ136" s="8"/>
      <c r="AUK136" s="8"/>
      <c r="AUL136" s="8"/>
      <c r="AUM136" s="8"/>
      <c r="AUN136" s="8"/>
      <c r="AUO136" s="8"/>
      <c r="AUP136" s="8"/>
      <c r="AUQ136" s="8"/>
      <c r="AUR136" s="8"/>
      <c r="AUS136" s="8"/>
      <c r="AUT136" s="8"/>
      <c r="AUU136" s="8"/>
      <c r="AUV136" s="8"/>
      <c r="AUW136" s="8"/>
      <c r="AUX136" s="8"/>
      <c r="AUY136" s="8"/>
      <c r="AUZ136" s="8"/>
      <c r="AVA136" s="8"/>
      <c r="AVB136" s="8"/>
      <c r="AVC136" s="8"/>
      <c r="AVD136" s="8"/>
      <c r="AVE136" s="8"/>
      <c r="AVF136" s="8"/>
      <c r="AVG136" s="8"/>
      <c r="AVH136" s="8"/>
      <c r="AVI136" s="8"/>
      <c r="AVJ136" s="8"/>
      <c r="AVK136" s="8"/>
      <c r="AVL136" s="8"/>
      <c r="AVM136" s="8"/>
      <c r="AVN136" s="8"/>
      <c r="AVO136" s="8"/>
      <c r="AVP136" s="8"/>
      <c r="AVQ136" s="8"/>
      <c r="AVR136" s="8"/>
      <c r="AVS136" s="8"/>
      <c r="AVT136" s="8"/>
      <c r="AVU136" s="8"/>
      <c r="AVV136" s="8"/>
      <c r="AVW136" s="8"/>
      <c r="AVX136" s="8"/>
      <c r="AVY136" s="8"/>
      <c r="AVZ136" s="8"/>
      <c r="AWA136" s="8"/>
      <c r="AWB136" s="8"/>
      <c r="AWC136" s="8"/>
      <c r="AWD136" s="8"/>
      <c r="AWE136" s="8"/>
      <c r="AWF136" s="8"/>
      <c r="AWG136" s="8"/>
      <c r="AWH136" s="8"/>
      <c r="AWI136" s="8"/>
      <c r="AWJ136" s="8"/>
      <c r="AWK136" s="8"/>
      <c r="AWL136" s="8"/>
      <c r="AWM136" s="8"/>
      <c r="AWN136" s="8"/>
      <c r="AWO136" s="8"/>
      <c r="AWP136" s="8"/>
      <c r="AWQ136" s="8"/>
      <c r="AWR136" s="8"/>
      <c r="AWS136" s="8"/>
      <c r="AWT136" s="8"/>
      <c r="AWU136" s="8"/>
      <c r="AWV136" s="8"/>
      <c r="AWW136" s="8"/>
      <c r="AWX136" s="8"/>
      <c r="AWY136" s="8"/>
      <c r="AWZ136" s="8"/>
      <c r="AXA136" s="8"/>
      <c r="AXB136" s="8"/>
      <c r="AXC136" s="8"/>
      <c r="AXD136" s="8"/>
      <c r="AXE136" s="8"/>
      <c r="AXF136" s="8"/>
      <c r="AXG136" s="8"/>
      <c r="AXH136" s="8"/>
      <c r="AXI136" s="8"/>
      <c r="AXJ136" s="8"/>
      <c r="AXK136" s="8"/>
      <c r="AXL136" s="8"/>
      <c r="AXM136" s="8"/>
      <c r="AXN136" s="8"/>
      <c r="AXO136" s="8"/>
      <c r="AXP136" s="8"/>
      <c r="AXQ136" s="8"/>
      <c r="AXR136" s="8"/>
      <c r="AXS136" s="8"/>
      <c r="AXT136" s="8"/>
      <c r="AXU136" s="8"/>
      <c r="AXV136" s="8"/>
      <c r="AXW136" s="8"/>
      <c r="AXX136" s="8"/>
      <c r="AXY136" s="8"/>
      <c r="AXZ136" s="8"/>
      <c r="AYA136" s="8"/>
      <c r="AYB136" s="8"/>
      <c r="AYC136" s="8"/>
      <c r="AYD136" s="8"/>
      <c r="AYE136" s="8"/>
      <c r="AYF136" s="8"/>
      <c r="AYG136" s="8"/>
      <c r="AYH136" s="8"/>
      <c r="AYI136" s="8"/>
      <c r="AYJ136" s="8"/>
      <c r="AYK136" s="8"/>
      <c r="AYL136" s="8"/>
      <c r="AYM136" s="8"/>
      <c r="AYN136" s="8"/>
      <c r="AYO136" s="8"/>
      <c r="AYP136" s="8"/>
      <c r="AYQ136" s="8"/>
      <c r="AYR136" s="8"/>
      <c r="AYS136" s="8"/>
      <c r="AYT136" s="8"/>
      <c r="AYU136" s="8"/>
      <c r="AYV136" s="8"/>
      <c r="AYW136" s="8"/>
      <c r="AYX136" s="8"/>
      <c r="AYY136" s="8"/>
      <c r="AYZ136" s="8"/>
      <c r="AZA136" s="8"/>
      <c r="AZB136" s="8"/>
      <c r="AZC136" s="8"/>
      <c r="AZD136" s="8"/>
      <c r="AZE136" s="8"/>
      <c r="AZF136" s="8"/>
      <c r="AZG136" s="8"/>
      <c r="AZH136" s="8"/>
      <c r="AZI136" s="8"/>
      <c r="AZJ136" s="8"/>
      <c r="AZK136" s="8"/>
      <c r="AZL136" s="8"/>
      <c r="AZM136" s="8"/>
      <c r="AZN136" s="8"/>
      <c r="AZO136" s="8"/>
      <c r="AZP136" s="8"/>
      <c r="AZQ136" s="8"/>
      <c r="AZR136" s="8"/>
      <c r="AZS136" s="8"/>
      <c r="AZT136" s="8"/>
      <c r="AZU136" s="8"/>
      <c r="AZV136" s="8"/>
      <c r="AZW136" s="8"/>
      <c r="AZX136" s="8"/>
      <c r="AZY136" s="8"/>
      <c r="AZZ136" s="8"/>
      <c r="BAA136" s="8"/>
      <c r="BAB136" s="8"/>
      <c r="BAC136" s="8"/>
      <c r="BAD136" s="8"/>
      <c r="BAE136" s="8"/>
      <c r="BAF136" s="8"/>
      <c r="BAG136" s="8"/>
      <c r="BAH136" s="8"/>
      <c r="BAI136" s="8"/>
      <c r="BAJ136" s="8"/>
      <c r="BAK136" s="8"/>
      <c r="BAL136" s="8"/>
      <c r="BAM136" s="8"/>
      <c r="BAN136" s="8"/>
      <c r="BAO136" s="8"/>
      <c r="BAP136" s="8"/>
      <c r="BAQ136" s="8"/>
      <c r="BAR136" s="8"/>
      <c r="BAS136" s="8"/>
      <c r="BAT136" s="8"/>
      <c r="BAU136" s="8"/>
      <c r="BAV136" s="8"/>
      <c r="BAW136" s="8"/>
      <c r="BAX136" s="8"/>
      <c r="BAY136" s="8"/>
      <c r="BAZ136" s="8"/>
      <c r="BBA136" s="8"/>
      <c r="BBB136" s="8"/>
      <c r="BBC136" s="8"/>
      <c r="BBD136" s="8"/>
      <c r="BBE136" s="8"/>
      <c r="BBF136" s="8"/>
      <c r="BBG136" s="8"/>
      <c r="BBH136" s="8"/>
      <c r="BBI136" s="8"/>
      <c r="BBJ136" s="8"/>
      <c r="BBK136" s="8"/>
      <c r="BBL136" s="8"/>
      <c r="BBM136" s="8"/>
      <c r="BBN136" s="8"/>
      <c r="BBO136" s="8"/>
      <c r="BBP136" s="8"/>
      <c r="BBQ136" s="8"/>
      <c r="BBR136" s="8"/>
      <c r="BBS136" s="8"/>
      <c r="BBT136" s="8"/>
      <c r="BBU136" s="8"/>
      <c r="BBV136" s="8"/>
      <c r="BBW136" s="8"/>
      <c r="BBX136" s="8"/>
      <c r="BBY136" s="8"/>
      <c r="BBZ136" s="8"/>
      <c r="BCA136" s="8"/>
      <c r="BCB136" s="8"/>
      <c r="BCC136" s="8"/>
      <c r="BCD136" s="8"/>
      <c r="BCE136" s="8"/>
      <c r="BCF136" s="8"/>
      <c r="BCG136" s="8"/>
      <c r="BCH136" s="8"/>
      <c r="BCI136" s="8"/>
      <c r="BCJ136" s="8"/>
      <c r="BCK136" s="8"/>
      <c r="BCL136" s="8"/>
      <c r="BCM136" s="8"/>
      <c r="BCN136" s="8"/>
      <c r="BCO136" s="8"/>
      <c r="BCP136" s="8"/>
      <c r="BCQ136" s="8"/>
      <c r="BCR136" s="8"/>
      <c r="BCS136" s="8"/>
      <c r="BCT136" s="8"/>
      <c r="BCU136" s="8"/>
      <c r="BCV136" s="8"/>
      <c r="BCW136" s="8"/>
      <c r="BCX136" s="8"/>
      <c r="BCY136" s="8"/>
      <c r="BCZ136" s="8"/>
      <c r="BDA136" s="8"/>
      <c r="BDB136" s="8"/>
      <c r="BDC136" s="8"/>
      <c r="BDD136" s="8"/>
      <c r="BDE136" s="8"/>
      <c r="BDF136" s="8"/>
      <c r="BDG136" s="8"/>
      <c r="BDH136" s="8"/>
      <c r="BDI136" s="8"/>
      <c r="BDJ136" s="8"/>
      <c r="BDK136" s="8"/>
      <c r="BDL136" s="8"/>
      <c r="BDM136" s="8"/>
      <c r="BDN136" s="8"/>
      <c r="BDO136" s="8"/>
      <c r="BDP136" s="8"/>
      <c r="BDQ136" s="8"/>
      <c r="BDR136" s="8"/>
      <c r="BDS136" s="8"/>
      <c r="BDT136" s="8"/>
      <c r="BDU136" s="8"/>
      <c r="BDV136" s="8"/>
      <c r="BDW136" s="8"/>
      <c r="BDX136" s="8"/>
      <c r="BDY136" s="8"/>
      <c r="BDZ136" s="8"/>
      <c r="BEA136" s="8"/>
      <c r="BEB136" s="8"/>
      <c r="BEC136" s="8"/>
      <c r="BED136" s="8"/>
      <c r="BEE136" s="8"/>
      <c r="BEF136" s="8"/>
      <c r="BEG136" s="8"/>
      <c r="BEH136" s="8"/>
      <c r="BEI136" s="8"/>
      <c r="BEJ136" s="8"/>
      <c r="BEK136" s="8"/>
      <c r="BEL136" s="8"/>
      <c r="BEM136" s="8"/>
      <c r="BEN136" s="8"/>
      <c r="BEO136" s="8"/>
      <c r="BEP136" s="8"/>
      <c r="BEQ136" s="8"/>
      <c r="BER136" s="8"/>
      <c r="BES136" s="8"/>
      <c r="BET136" s="8"/>
      <c r="BEU136" s="8"/>
      <c r="BEV136" s="8"/>
      <c r="BEW136" s="8"/>
      <c r="BEX136" s="8"/>
      <c r="BEY136" s="8"/>
      <c r="BEZ136" s="8"/>
      <c r="BFA136" s="8"/>
      <c r="BFB136" s="8"/>
      <c r="BFC136" s="8"/>
      <c r="BFD136" s="8"/>
      <c r="BFE136" s="8"/>
      <c r="BFF136" s="8"/>
      <c r="BFG136" s="8"/>
      <c r="BFH136" s="8"/>
      <c r="BFI136" s="8"/>
      <c r="BFJ136" s="8"/>
      <c r="BFK136" s="8"/>
      <c r="BFL136" s="8"/>
      <c r="BFM136" s="8"/>
      <c r="BFN136" s="8"/>
      <c r="BFO136" s="8"/>
      <c r="BFP136" s="8"/>
      <c r="BFQ136" s="8"/>
      <c r="BFR136" s="8"/>
      <c r="BFS136" s="8"/>
      <c r="BFT136" s="8"/>
      <c r="BFU136" s="8"/>
      <c r="BFV136" s="8"/>
      <c r="BFW136" s="8"/>
      <c r="BFX136" s="8"/>
      <c r="BFY136" s="8"/>
      <c r="BFZ136" s="8"/>
      <c r="BGA136" s="8"/>
      <c r="BGB136" s="8"/>
      <c r="BGC136" s="8"/>
      <c r="BGD136" s="8"/>
      <c r="BGE136" s="8"/>
      <c r="BGF136" s="8"/>
      <c r="BGG136" s="8"/>
      <c r="BGH136" s="8"/>
      <c r="BGI136" s="8"/>
      <c r="BGJ136" s="8"/>
      <c r="BGK136" s="8"/>
      <c r="BGL136" s="8"/>
      <c r="BGM136" s="8"/>
      <c r="BGN136" s="8"/>
      <c r="BGO136" s="8"/>
      <c r="BGP136" s="8"/>
      <c r="BGQ136" s="8"/>
      <c r="BGR136" s="8"/>
      <c r="BGS136" s="8"/>
      <c r="BGT136" s="8"/>
      <c r="BGU136" s="8"/>
      <c r="BGV136" s="8"/>
      <c r="BGW136" s="8"/>
      <c r="BGX136" s="8"/>
      <c r="BGY136" s="8"/>
      <c r="BGZ136" s="8"/>
      <c r="BHA136" s="8"/>
      <c r="BHB136" s="8"/>
      <c r="BHC136" s="8"/>
      <c r="BHD136" s="8"/>
      <c r="BHE136" s="8"/>
      <c r="BHF136" s="8"/>
      <c r="BHG136" s="8"/>
      <c r="BHH136" s="8"/>
      <c r="BHI136" s="8"/>
      <c r="BHJ136" s="8"/>
      <c r="BHK136" s="8"/>
      <c r="BHL136" s="8"/>
      <c r="BHM136" s="8"/>
      <c r="BHN136" s="8"/>
      <c r="BHO136" s="8"/>
      <c r="BHP136" s="8"/>
      <c r="BHQ136" s="8"/>
      <c r="BHR136" s="8"/>
      <c r="BHS136" s="8"/>
      <c r="BHT136" s="8"/>
      <c r="BHU136" s="8"/>
      <c r="BHV136" s="8"/>
      <c r="BHW136" s="8"/>
      <c r="BHX136" s="8"/>
      <c r="BHY136" s="8"/>
      <c r="BHZ136" s="8"/>
      <c r="BIA136" s="8"/>
      <c r="BIB136" s="8"/>
      <c r="BIC136" s="8"/>
      <c r="BID136" s="8"/>
      <c r="BIE136" s="8"/>
      <c r="BIF136" s="8"/>
      <c r="BIG136" s="8"/>
      <c r="BIH136" s="8"/>
      <c r="BII136" s="8"/>
      <c r="BIJ136" s="8"/>
      <c r="BIK136" s="8"/>
      <c r="BIL136" s="8"/>
      <c r="BIM136" s="8"/>
      <c r="BIN136" s="8"/>
      <c r="BIO136" s="8"/>
      <c r="BIP136" s="8"/>
      <c r="BIQ136" s="8"/>
      <c r="BIR136" s="8"/>
      <c r="BIS136" s="8"/>
      <c r="BIT136" s="8"/>
      <c r="BIU136" s="8"/>
      <c r="BIV136" s="8"/>
      <c r="BIW136" s="8"/>
      <c r="BIX136" s="8"/>
      <c r="BIY136" s="8"/>
      <c r="BIZ136" s="8"/>
      <c r="BJA136" s="8"/>
      <c r="BJB136" s="8"/>
      <c r="BJC136" s="8"/>
      <c r="BJD136" s="8"/>
      <c r="BJE136" s="8"/>
      <c r="BJF136" s="8"/>
      <c r="BJG136" s="8"/>
      <c r="BJH136" s="8"/>
      <c r="BJI136" s="8"/>
      <c r="BJJ136" s="8"/>
      <c r="BJK136" s="8"/>
      <c r="BJL136" s="8"/>
      <c r="BJM136" s="8"/>
      <c r="BJN136" s="8"/>
      <c r="BJO136" s="8"/>
      <c r="BJP136" s="8"/>
      <c r="BJQ136" s="8"/>
      <c r="BJR136" s="8"/>
      <c r="BJS136" s="8"/>
      <c r="BJT136" s="8"/>
      <c r="BJU136" s="8"/>
      <c r="BJV136" s="8"/>
      <c r="BJW136" s="8"/>
      <c r="BJX136" s="8"/>
      <c r="BJY136" s="8"/>
      <c r="BJZ136" s="8"/>
      <c r="BKA136" s="8"/>
      <c r="BKB136" s="8"/>
      <c r="BKC136" s="8"/>
      <c r="BKD136" s="8"/>
      <c r="BKE136" s="8"/>
      <c r="BKF136" s="8"/>
      <c r="BKG136" s="8"/>
      <c r="BKH136" s="8"/>
      <c r="BKI136" s="8"/>
      <c r="BKJ136" s="8"/>
      <c r="BKK136" s="8"/>
      <c r="BKL136" s="8"/>
      <c r="BKM136" s="8"/>
      <c r="BKN136" s="8"/>
      <c r="BKO136" s="8"/>
      <c r="BKP136" s="8"/>
      <c r="BKQ136" s="8"/>
      <c r="BKR136" s="8"/>
      <c r="BKS136" s="8"/>
      <c r="BKT136" s="8"/>
      <c r="BKU136" s="8"/>
      <c r="BKV136" s="8"/>
      <c r="BKW136" s="8"/>
      <c r="BKX136" s="8"/>
      <c r="BKY136" s="8"/>
      <c r="BKZ136" s="8"/>
      <c r="BLA136" s="8"/>
      <c r="BLB136" s="8"/>
      <c r="BLC136" s="8"/>
      <c r="BLD136" s="8"/>
      <c r="BLE136" s="8"/>
      <c r="BLF136" s="8"/>
      <c r="BLG136" s="8"/>
      <c r="BLH136" s="8"/>
      <c r="BLI136" s="8"/>
      <c r="BLJ136" s="8"/>
      <c r="BLK136" s="8"/>
      <c r="BLL136" s="8"/>
      <c r="BLM136" s="8"/>
      <c r="BLN136" s="8"/>
      <c r="BLO136" s="8"/>
      <c r="BLP136" s="8"/>
      <c r="BLQ136" s="8"/>
      <c r="BLR136" s="8"/>
      <c r="BLS136" s="8"/>
      <c r="BLT136" s="8"/>
      <c r="BLU136" s="8"/>
      <c r="BLV136" s="8"/>
      <c r="BLW136" s="8"/>
      <c r="BLX136" s="8"/>
      <c r="BLY136" s="8"/>
      <c r="BLZ136" s="8"/>
      <c r="BMA136" s="8"/>
      <c r="BMB136" s="8"/>
      <c r="BMC136" s="8"/>
      <c r="BMD136" s="8"/>
      <c r="BME136" s="8"/>
      <c r="BMF136" s="8"/>
      <c r="BMG136" s="8"/>
      <c r="BMH136" s="8"/>
      <c r="BMI136" s="8"/>
      <c r="BMJ136" s="8"/>
      <c r="BMK136" s="8"/>
      <c r="BML136" s="8"/>
      <c r="BMM136" s="8"/>
      <c r="BMN136" s="8"/>
      <c r="BMO136" s="8"/>
      <c r="BMP136" s="8"/>
      <c r="BMQ136" s="8"/>
      <c r="BMR136" s="8"/>
      <c r="BMS136" s="8"/>
      <c r="BMT136" s="8"/>
      <c r="BMU136" s="8"/>
      <c r="BMV136" s="8"/>
      <c r="BMW136" s="8"/>
      <c r="BMX136" s="8"/>
      <c r="BMY136" s="8"/>
      <c r="BMZ136" s="8"/>
      <c r="BNA136" s="8"/>
      <c r="BNB136" s="8"/>
      <c r="BNC136" s="8"/>
      <c r="BND136" s="8"/>
      <c r="BNE136" s="8"/>
      <c r="BNF136" s="8"/>
      <c r="BNG136" s="8"/>
      <c r="BNH136" s="8"/>
      <c r="BNI136" s="8"/>
      <c r="BNJ136" s="8"/>
      <c r="BNK136" s="8"/>
      <c r="BNL136" s="8"/>
      <c r="BNM136" s="8"/>
      <c r="BNN136" s="8"/>
      <c r="BNO136" s="8"/>
      <c r="BNP136" s="8"/>
      <c r="BNQ136" s="8"/>
      <c r="BNR136" s="8"/>
      <c r="BNS136" s="8"/>
      <c r="BNT136" s="8"/>
      <c r="BNU136" s="8"/>
      <c r="BNV136" s="8"/>
      <c r="BNW136" s="8"/>
      <c r="BNX136" s="8"/>
      <c r="BNY136" s="8"/>
      <c r="BNZ136" s="8"/>
      <c r="BOA136" s="8"/>
      <c r="BOB136" s="8"/>
      <c r="BOC136" s="8"/>
      <c r="BOD136" s="8"/>
      <c r="BOE136" s="8"/>
      <c r="BOF136" s="8"/>
      <c r="BOG136" s="8"/>
      <c r="BOH136" s="8"/>
      <c r="BOI136" s="8"/>
      <c r="BOJ136" s="8"/>
      <c r="BOK136" s="8"/>
      <c r="BOL136" s="8"/>
      <c r="BOM136" s="8"/>
      <c r="BON136" s="8"/>
      <c r="BOO136" s="8"/>
      <c r="BOP136" s="8"/>
      <c r="BOQ136" s="8"/>
      <c r="BOR136" s="8"/>
      <c r="BOS136" s="8"/>
      <c r="BOT136" s="8"/>
      <c r="BOU136" s="8"/>
      <c r="BOV136" s="8"/>
      <c r="BOW136" s="8"/>
      <c r="BOX136" s="8"/>
      <c r="BOY136" s="8"/>
      <c r="BOZ136" s="8"/>
      <c r="BPA136" s="8"/>
      <c r="BPB136" s="8"/>
      <c r="BPC136" s="8"/>
      <c r="BPD136" s="8"/>
      <c r="BPE136" s="8"/>
      <c r="BPF136" s="8"/>
      <c r="BPG136" s="8"/>
      <c r="BPH136" s="8"/>
      <c r="BPI136" s="8"/>
      <c r="BPJ136" s="8"/>
      <c r="BPK136" s="8"/>
      <c r="BPL136" s="8"/>
      <c r="BPM136" s="8"/>
      <c r="BPN136" s="8"/>
      <c r="BPO136" s="8"/>
      <c r="BPP136" s="8"/>
      <c r="BPQ136" s="8"/>
      <c r="BPR136" s="8"/>
      <c r="BPS136" s="8"/>
      <c r="BPT136" s="8"/>
      <c r="BPU136" s="8"/>
      <c r="BPV136" s="8"/>
      <c r="BPW136" s="8"/>
      <c r="BPX136" s="8"/>
      <c r="BPY136" s="8"/>
      <c r="BPZ136" s="8"/>
      <c r="BQA136" s="8"/>
      <c r="BQB136" s="8"/>
      <c r="BQC136" s="8"/>
      <c r="BQD136" s="8"/>
      <c r="BQE136" s="8"/>
      <c r="BQF136" s="8"/>
      <c r="BQG136" s="8"/>
      <c r="BQH136" s="8"/>
      <c r="BQI136" s="8"/>
      <c r="BQJ136" s="8"/>
      <c r="BQK136" s="8"/>
      <c r="BQL136" s="8"/>
      <c r="BQM136" s="8"/>
      <c r="BQN136" s="8"/>
      <c r="BQO136" s="8"/>
      <c r="BQP136" s="8"/>
      <c r="BQQ136" s="8"/>
      <c r="BQR136" s="8"/>
      <c r="BQS136" s="8"/>
      <c r="BQT136" s="8"/>
      <c r="BQU136" s="8"/>
      <c r="BQV136" s="8"/>
      <c r="BQW136" s="8"/>
      <c r="BQX136" s="8"/>
      <c r="BQY136" s="8"/>
      <c r="BQZ136" s="8"/>
      <c r="BRA136" s="8"/>
      <c r="BRB136" s="8"/>
      <c r="BRC136" s="8"/>
      <c r="BRD136" s="8"/>
      <c r="BRE136" s="8"/>
      <c r="BRF136" s="8"/>
      <c r="BRG136" s="8"/>
      <c r="BRH136" s="8"/>
      <c r="BRI136" s="8"/>
      <c r="BRJ136" s="8"/>
      <c r="BRK136" s="8"/>
      <c r="BRL136" s="8"/>
      <c r="BRM136" s="8"/>
      <c r="BRN136" s="8"/>
      <c r="BRO136" s="8"/>
      <c r="BRP136" s="8"/>
      <c r="BRQ136" s="8"/>
      <c r="BRR136" s="8"/>
      <c r="BRS136" s="8"/>
      <c r="BRT136" s="8"/>
      <c r="BRU136" s="8"/>
      <c r="BRV136" s="8"/>
      <c r="BRW136" s="8"/>
      <c r="BRX136" s="8"/>
      <c r="BRY136" s="8"/>
      <c r="BRZ136" s="8"/>
      <c r="BSA136" s="8"/>
      <c r="BSB136" s="8"/>
      <c r="BSC136" s="8"/>
      <c r="BSD136" s="8"/>
      <c r="BSE136" s="8"/>
      <c r="BSF136" s="8"/>
      <c r="BSG136" s="8"/>
      <c r="BSH136" s="8"/>
      <c r="BSI136" s="8"/>
      <c r="BSJ136" s="8"/>
      <c r="BSK136" s="8"/>
      <c r="BSL136" s="8"/>
      <c r="BSM136" s="8"/>
      <c r="BSN136" s="8"/>
      <c r="BSO136" s="8"/>
      <c r="BSP136" s="8"/>
      <c r="BSQ136" s="8"/>
      <c r="BSR136" s="8"/>
      <c r="BSS136" s="8"/>
      <c r="BST136" s="8"/>
      <c r="BSU136" s="8"/>
      <c r="BSV136" s="8"/>
      <c r="BSW136" s="8"/>
      <c r="BSX136" s="8"/>
      <c r="BSY136" s="8"/>
      <c r="BSZ136" s="8"/>
      <c r="BTA136" s="8"/>
      <c r="BTB136" s="8"/>
      <c r="BTC136" s="8"/>
      <c r="BTD136" s="8"/>
      <c r="BTE136" s="8"/>
      <c r="BTF136" s="8"/>
      <c r="BTG136" s="8"/>
      <c r="BTH136" s="8"/>
      <c r="BTI136" s="8"/>
      <c r="BTJ136" s="8"/>
      <c r="BTK136" s="8"/>
      <c r="BTL136" s="8"/>
      <c r="BTM136" s="8"/>
      <c r="BTN136" s="8"/>
      <c r="BTO136" s="8"/>
      <c r="BTP136" s="8"/>
      <c r="BTQ136" s="8"/>
      <c r="BTR136" s="8"/>
      <c r="BTS136" s="8"/>
      <c r="BTT136" s="8"/>
      <c r="BTU136" s="8"/>
      <c r="BTV136" s="8"/>
      <c r="BTW136" s="8"/>
      <c r="BTX136" s="8"/>
      <c r="BTY136" s="8"/>
      <c r="BTZ136" s="8"/>
      <c r="BUA136" s="8"/>
      <c r="BUB136" s="8"/>
      <c r="BUC136" s="8"/>
      <c r="BUD136" s="8"/>
      <c r="BUE136" s="8"/>
      <c r="BUF136" s="8"/>
      <c r="BUG136" s="8"/>
      <c r="BUH136" s="8"/>
      <c r="BUI136" s="8"/>
      <c r="BUJ136" s="8"/>
      <c r="BUK136" s="8"/>
      <c r="BUL136" s="8"/>
      <c r="BUM136" s="8"/>
      <c r="BUN136" s="8"/>
      <c r="BUO136" s="8"/>
      <c r="BUP136" s="8"/>
      <c r="BUQ136" s="8"/>
      <c r="BUR136" s="8"/>
      <c r="BUS136" s="8"/>
      <c r="BUT136" s="8"/>
      <c r="BUU136" s="8"/>
      <c r="BUV136" s="8"/>
      <c r="BUW136" s="8"/>
      <c r="BUX136" s="8"/>
      <c r="BUY136" s="8"/>
      <c r="BUZ136" s="8"/>
      <c r="BVA136" s="8"/>
      <c r="BVB136" s="8"/>
      <c r="BVC136" s="8"/>
      <c r="BVD136" s="8"/>
      <c r="BVE136" s="8"/>
      <c r="BVF136" s="8"/>
      <c r="BVG136" s="8"/>
      <c r="BVH136" s="8"/>
      <c r="BVI136" s="8"/>
      <c r="BVJ136" s="8"/>
      <c r="BVK136" s="8"/>
      <c r="BVL136" s="8"/>
      <c r="BVM136" s="8"/>
      <c r="BVN136" s="8"/>
      <c r="BVO136" s="8"/>
      <c r="BVP136" s="8"/>
      <c r="BVQ136" s="8"/>
      <c r="BVR136" s="8"/>
      <c r="BVS136" s="8"/>
      <c r="BVT136" s="8"/>
      <c r="BVU136" s="8"/>
      <c r="BVV136" s="8"/>
      <c r="BVW136" s="8"/>
      <c r="BVX136" s="8"/>
      <c r="BVY136" s="8"/>
      <c r="BVZ136" s="8"/>
      <c r="BWA136" s="8"/>
      <c r="BWB136" s="8"/>
      <c r="BWC136" s="8"/>
      <c r="BWD136" s="8"/>
      <c r="BWE136" s="8"/>
      <c r="BWF136" s="8"/>
      <c r="BWG136" s="8"/>
      <c r="BWH136" s="8"/>
      <c r="BWI136" s="8"/>
      <c r="BWJ136" s="8"/>
      <c r="BWK136" s="8"/>
      <c r="BWL136" s="8"/>
      <c r="BWM136" s="8"/>
      <c r="BWN136" s="8"/>
      <c r="BWO136" s="8"/>
      <c r="BWP136" s="8"/>
      <c r="BWQ136" s="8"/>
      <c r="BWR136" s="8"/>
      <c r="BWS136" s="8"/>
      <c r="BWT136" s="8"/>
      <c r="BWU136" s="8"/>
      <c r="BWV136" s="8"/>
      <c r="BWW136" s="8"/>
      <c r="BWX136" s="8"/>
      <c r="BWY136" s="8"/>
      <c r="BWZ136" s="8"/>
      <c r="BXA136" s="8"/>
      <c r="BXB136" s="8"/>
      <c r="BXC136" s="8"/>
      <c r="BXD136" s="8"/>
      <c r="BXE136" s="8"/>
      <c r="BXF136" s="8"/>
      <c r="BXG136" s="8"/>
      <c r="BXH136" s="8"/>
      <c r="BXI136" s="8"/>
      <c r="BXJ136" s="8"/>
      <c r="BXK136" s="8"/>
      <c r="BXL136" s="8"/>
      <c r="BXM136" s="8"/>
      <c r="BXN136" s="8"/>
      <c r="BXO136" s="8"/>
      <c r="BXP136" s="8"/>
      <c r="BXQ136" s="8"/>
      <c r="BXR136" s="8"/>
      <c r="BXS136" s="8"/>
      <c r="BXT136" s="8"/>
      <c r="BXU136" s="8"/>
      <c r="BXV136" s="8"/>
      <c r="BXW136" s="8"/>
      <c r="BXX136" s="8"/>
      <c r="BXY136" s="8"/>
      <c r="BXZ136" s="8"/>
      <c r="BYA136" s="8"/>
      <c r="BYB136" s="8"/>
      <c r="BYC136" s="8"/>
      <c r="BYD136" s="8"/>
      <c r="BYE136" s="8"/>
      <c r="BYF136" s="8"/>
      <c r="BYG136" s="8"/>
      <c r="BYH136" s="8"/>
      <c r="BYI136" s="8"/>
      <c r="BYJ136" s="8"/>
      <c r="BYK136" s="8"/>
      <c r="BYL136" s="8"/>
      <c r="BYM136" s="8"/>
      <c r="BYN136" s="8"/>
      <c r="BYO136" s="8"/>
      <c r="BYP136" s="8"/>
      <c r="BYQ136" s="8"/>
      <c r="BYR136" s="8"/>
      <c r="BYS136" s="8"/>
      <c r="BYT136" s="8"/>
      <c r="BYU136" s="8"/>
      <c r="BYV136" s="8"/>
      <c r="BYW136" s="8"/>
      <c r="BYX136" s="8"/>
      <c r="BYY136" s="8"/>
      <c r="BYZ136" s="8"/>
      <c r="BZA136" s="8"/>
      <c r="BZB136" s="8"/>
      <c r="BZC136" s="8"/>
      <c r="BZD136" s="8"/>
      <c r="BZE136" s="8"/>
      <c r="BZF136" s="8"/>
      <c r="BZG136" s="8"/>
      <c r="BZH136" s="8"/>
      <c r="BZI136" s="8"/>
      <c r="BZJ136" s="8"/>
      <c r="BZK136" s="8"/>
      <c r="BZL136" s="8"/>
      <c r="BZM136" s="8"/>
      <c r="BZN136" s="8"/>
      <c r="BZO136" s="8"/>
      <c r="BZP136" s="8"/>
      <c r="BZQ136" s="8"/>
      <c r="BZR136" s="8"/>
      <c r="BZS136" s="8"/>
      <c r="BZT136" s="8"/>
      <c r="BZU136" s="8"/>
      <c r="BZV136" s="8"/>
      <c r="BZW136" s="8"/>
      <c r="BZX136" s="8"/>
      <c r="BZY136" s="8"/>
      <c r="BZZ136" s="8"/>
      <c r="CAA136" s="8"/>
      <c r="CAB136" s="8"/>
      <c r="CAC136" s="8"/>
      <c r="CAD136" s="8"/>
      <c r="CAE136" s="8"/>
      <c r="CAF136" s="8"/>
      <c r="CAG136" s="8"/>
      <c r="CAH136" s="8"/>
      <c r="CAI136" s="8"/>
      <c r="CAJ136" s="8"/>
      <c r="CAK136" s="8"/>
      <c r="CAL136" s="8"/>
      <c r="CAM136" s="8"/>
      <c r="CAN136" s="8"/>
      <c r="CAO136" s="8"/>
      <c r="CAP136" s="8"/>
      <c r="CAQ136" s="8"/>
      <c r="CAR136" s="8"/>
      <c r="CAS136" s="8"/>
      <c r="CAT136" s="8"/>
      <c r="CAU136" s="8"/>
      <c r="CAV136" s="8"/>
      <c r="CAW136" s="8"/>
      <c r="CAX136" s="8"/>
      <c r="CAY136" s="8"/>
      <c r="CAZ136" s="8"/>
      <c r="CBA136" s="8"/>
      <c r="CBB136" s="8"/>
      <c r="CBC136" s="8"/>
      <c r="CBD136" s="8"/>
      <c r="CBE136" s="8"/>
      <c r="CBF136" s="8"/>
      <c r="CBG136" s="8"/>
      <c r="CBH136" s="8"/>
      <c r="CBI136" s="8"/>
      <c r="CBJ136" s="8"/>
      <c r="CBK136" s="8"/>
      <c r="CBL136" s="8"/>
      <c r="CBM136" s="8"/>
      <c r="CBN136" s="8"/>
      <c r="CBO136" s="8"/>
      <c r="CBP136" s="8"/>
      <c r="CBQ136" s="8"/>
      <c r="CBR136" s="8"/>
      <c r="CBS136" s="8"/>
      <c r="CBT136" s="8"/>
      <c r="CBU136" s="8"/>
      <c r="CBV136" s="8"/>
      <c r="CBW136" s="8"/>
      <c r="CBX136" s="8"/>
      <c r="CBY136" s="8"/>
      <c r="CBZ136" s="8"/>
      <c r="CCA136" s="8"/>
      <c r="CCB136" s="8"/>
      <c r="CCC136" s="8"/>
      <c r="CCD136" s="8"/>
      <c r="CCE136" s="8"/>
      <c r="CCF136" s="8"/>
      <c r="CCG136" s="8"/>
      <c r="CCH136" s="8"/>
      <c r="CCI136" s="8"/>
      <c r="CCJ136" s="8"/>
      <c r="CCK136" s="8"/>
      <c r="CCL136" s="8"/>
      <c r="CCM136" s="8"/>
      <c r="CCN136" s="8"/>
      <c r="CCO136" s="8"/>
      <c r="CCP136" s="8"/>
      <c r="CCQ136" s="8"/>
      <c r="CCR136" s="8"/>
      <c r="CCS136" s="8"/>
      <c r="CCT136" s="8"/>
      <c r="CCU136" s="8"/>
      <c r="CCV136" s="8"/>
      <c r="CCW136" s="8"/>
      <c r="CCX136" s="8"/>
      <c r="CCY136" s="8"/>
      <c r="CCZ136" s="8"/>
      <c r="CDA136" s="8"/>
      <c r="CDB136" s="8"/>
      <c r="CDC136" s="8"/>
      <c r="CDD136" s="8"/>
      <c r="CDE136" s="8"/>
      <c r="CDF136" s="8"/>
      <c r="CDG136" s="8"/>
      <c r="CDH136" s="8"/>
      <c r="CDI136" s="8"/>
      <c r="CDJ136" s="8"/>
      <c r="CDK136" s="8"/>
      <c r="CDL136" s="8"/>
      <c r="CDM136" s="8"/>
      <c r="CDN136" s="8"/>
      <c r="CDO136" s="8"/>
      <c r="CDP136" s="8"/>
      <c r="CDQ136" s="8"/>
      <c r="CDR136" s="8"/>
      <c r="CDS136" s="8"/>
      <c r="CDT136" s="8"/>
      <c r="CDU136" s="8"/>
      <c r="CDV136" s="8"/>
      <c r="CDW136" s="8"/>
      <c r="CDX136" s="8"/>
      <c r="CDY136" s="8"/>
      <c r="CDZ136" s="8"/>
      <c r="CEA136" s="8"/>
      <c r="CEB136" s="8"/>
      <c r="CEC136" s="8"/>
      <c r="CED136" s="8"/>
      <c r="CEE136" s="8"/>
      <c r="CEF136" s="8"/>
      <c r="CEG136" s="8"/>
      <c r="CEH136" s="8"/>
      <c r="CEI136" s="8"/>
      <c r="CEJ136" s="8"/>
      <c r="CEK136" s="8"/>
      <c r="CEL136" s="8"/>
      <c r="CEM136" s="8"/>
      <c r="CEN136" s="8"/>
      <c r="CEO136" s="8"/>
      <c r="CEP136" s="8"/>
      <c r="CEQ136" s="8"/>
      <c r="CER136" s="8"/>
      <c r="CES136" s="8"/>
      <c r="CET136" s="8"/>
      <c r="CEU136" s="8"/>
      <c r="CEV136" s="8"/>
      <c r="CEW136" s="8"/>
      <c r="CEX136" s="8"/>
      <c r="CEY136" s="8"/>
      <c r="CEZ136" s="8"/>
      <c r="CFA136" s="8"/>
      <c r="CFB136" s="8"/>
      <c r="CFC136" s="8"/>
      <c r="CFD136" s="8"/>
      <c r="CFE136" s="8"/>
      <c r="CFF136" s="8"/>
      <c r="CFG136" s="8"/>
      <c r="CFH136" s="8"/>
      <c r="CFI136" s="8"/>
      <c r="CFJ136" s="8"/>
      <c r="CFK136" s="8"/>
      <c r="CFL136" s="8"/>
      <c r="CFM136" s="8"/>
      <c r="CFN136" s="8"/>
      <c r="CFO136" s="8"/>
      <c r="CFP136" s="8"/>
      <c r="CFQ136" s="8"/>
      <c r="CFR136" s="8"/>
      <c r="CFS136" s="8"/>
      <c r="CFT136" s="8"/>
      <c r="CFU136" s="8"/>
      <c r="CFV136" s="8"/>
      <c r="CFW136" s="8"/>
      <c r="CFX136" s="8"/>
      <c r="CFY136" s="8"/>
      <c r="CFZ136" s="8"/>
      <c r="CGA136" s="8"/>
      <c r="CGB136" s="8"/>
      <c r="CGC136" s="8"/>
      <c r="CGD136" s="8"/>
      <c r="CGE136" s="8"/>
      <c r="CGF136" s="8"/>
      <c r="CGG136" s="8"/>
      <c r="CGH136" s="8"/>
      <c r="CGI136" s="8"/>
      <c r="CGJ136" s="8"/>
      <c r="CGK136" s="8"/>
      <c r="CGL136" s="8"/>
      <c r="CGM136" s="8"/>
      <c r="CGN136" s="8"/>
      <c r="CGO136" s="8"/>
      <c r="CGP136" s="8"/>
      <c r="CGQ136" s="8"/>
      <c r="CGR136" s="8"/>
      <c r="CGS136" s="8"/>
      <c r="CGT136" s="8"/>
      <c r="CGU136" s="8"/>
      <c r="CGV136" s="8"/>
      <c r="CGW136" s="8"/>
      <c r="CGX136" s="8"/>
      <c r="CGY136" s="8"/>
      <c r="CGZ136" s="8"/>
      <c r="CHA136" s="8"/>
      <c r="CHB136" s="8"/>
      <c r="CHC136" s="8"/>
      <c r="CHD136" s="8"/>
      <c r="CHE136" s="8"/>
      <c r="CHF136" s="8"/>
      <c r="CHG136" s="8"/>
      <c r="CHH136" s="8"/>
      <c r="CHI136" s="8"/>
      <c r="CHJ136" s="8"/>
      <c r="CHK136" s="8"/>
      <c r="CHL136" s="8"/>
      <c r="CHM136" s="8"/>
      <c r="CHN136" s="8"/>
      <c r="CHO136" s="8"/>
      <c r="CHP136" s="8"/>
      <c r="CHQ136" s="8"/>
      <c r="CHR136" s="8"/>
      <c r="CHS136" s="8"/>
      <c r="CHT136" s="8"/>
      <c r="CHU136" s="8"/>
      <c r="CHV136" s="8"/>
      <c r="CHW136" s="8"/>
      <c r="CHX136" s="8"/>
      <c r="CHY136" s="8"/>
      <c r="CHZ136" s="8"/>
      <c r="CIA136" s="8"/>
      <c r="CIB136" s="8"/>
      <c r="CIC136" s="8"/>
      <c r="CID136" s="8"/>
      <c r="CIE136" s="8"/>
      <c r="CIF136" s="8"/>
      <c r="CIG136" s="8"/>
      <c r="CIH136" s="8"/>
      <c r="CII136" s="8"/>
      <c r="CIJ136" s="8"/>
      <c r="CIK136" s="8"/>
      <c r="CIL136" s="8"/>
      <c r="CIM136" s="8"/>
      <c r="CIN136" s="8"/>
      <c r="CIO136" s="8"/>
      <c r="CIP136" s="8"/>
      <c r="CIQ136" s="8"/>
      <c r="CIR136" s="8"/>
      <c r="CIS136" s="8"/>
      <c r="CIT136" s="8"/>
      <c r="CIU136" s="8"/>
      <c r="CIV136" s="8"/>
      <c r="CIW136" s="8"/>
      <c r="CIX136" s="8"/>
      <c r="CIY136" s="8"/>
      <c r="CIZ136" s="8"/>
      <c r="CJA136" s="8"/>
      <c r="CJB136" s="8"/>
      <c r="CJC136" s="8"/>
      <c r="CJD136" s="8"/>
      <c r="CJE136" s="8"/>
      <c r="CJF136" s="8"/>
      <c r="CJG136" s="8"/>
      <c r="CJH136" s="8"/>
      <c r="CJI136" s="8"/>
      <c r="CJJ136" s="8"/>
      <c r="CJK136" s="8"/>
      <c r="CJL136" s="8"/>
      <c r="CJM136" s="8"/>
      <c r="CJN136" s="8"/>
      <c r="CJO136" s="8"/>
      <c r="CJP136" s="8"/>
      <c r="CJQ136" s="8"/>
      <c r="CJR136" s="8"/>
      <c r="CJS136" s="8"/>
      <c r="CJT136" s="8"/>
      <c r="CJU136" s="8"/>
      <c r="CJV136" s="8"/>
      <c r="CJW136" s="8"/>
      <c r="CJX136" s="8"/>
      <c r="CJY136" s="8"/>
      <c r="CJZ136" s="8"/>
      <c r="CKA136" s="8"/>
      <c r="CKB136" s="8"/>
      <c r="CKC136" s="8"/>
      <c r="CKD136" s="8"/>
      <c r="CKE136" s="8"/>
      <c r="CKF136" s="8"/>
      <c r="CKG136" s="8"/>
      <c r="CKH136" s="8"/>
      <c r="CKI136" s="8"/>
      <c r="CKJ136" s="8"/>
      <c r="CKK136" s="8"/>
      <c r="CKL136" s="8"/>
      <c r="CKM136" s="8"/>
      <c r="CKN136" s="8"/>
      <c r="CKO136" s="8"/>
      <c r="CKP136" s="8"/>
      <c r="CKQ136" s="8"/>
      <c r="CKR136" s="8"/>
      <c r="CKS136" s="8"/>
      <c r="CKT136" s="8"/>
      <c r="CKU136" s="8"/>
      <c r="CKV136" s="8"/>
      <c r="CKW136" s="8"/>
      <c r="CKX136" s="8"/>
      <c r="CKY136" s="8"/>
      <c r="CKZ136" s="8"/>
      <c r="CLA136" s="8"/>
      <c r="CLB136" s="8"/>
      <c r="CLC136" s="8"/>
      <c r="CLD136" s="8"/>
      <c r="CLE136" s="8"/>
      <c r="CLF136" s="8"/>
      <c r="CLG136" s="8"/>
      <c r="CLH136" s="8"/>
      <c r="CLI136" s="8"/>
      <c r="CLJ136" s="8"/>
      <c r="CLK136" s="8"/>
      <c r="CLL136" s="8"/>
      <c r="CLM136" s="8"/>
      <c r="CLN136" s="8"/>
      <c r="CLO136" s="8"/>
      <c r="CLP136" s="8"/>
      <c r="CLQ136" s="8"/>
      <c r="CLR136" s="8"/>
      <c r="CLS136" s="8"/>
      <c r="CLT136" s="8"/>
      <c r="CLU136" s="8"/>
      <c r="CLV136" s="8"/>
      <c r="CLW136" s="8"/>
      <c r="CLX136" s="8"/>
      <c r="CLY136" s="8"/>
      <c r="CLZ136" s="8"/>
      <c r="CMA136" s="8"/>
      <c r="CMB136" s="8"/>
      <c r="CMC136" s="8"/>
      <c r="CMD136" s="8"/>
      <c r="CME136" s="8"/>
      <c r="CMF136" s="8"/>
      <c r="CMG136" s="8"/>
      <c r="CMH136" s="8"/>
      <c r="CMI136" s="8"/>
      <c r="CMJ136" s="8"/>
      <c r="CMK136" s="8"/>
      <c r="CML136" s="8"/>
      <c r="CMM136" s="8"/>
      <c r="CMN136" s="8"/>
      <c r="CMO136" s="8"/>
      <c r="CMP136" s="8"/>
      <c r="CMQ136" s="8"/>
      <c r="CMR136" s="8"/>
      <c r="CMS136" s="8"/>
      <c r="CMT136" s="8"/>
      <c r="CMU136" s="8"/>
      <c r="CMV136" s="8"/>
      <c r="CMW136" s="8"/>
      <c r="CMX136" s="8"/>
      <c r="CMY136" s="8"/>
      <c r="CMZ136" s="8"/>
      <c r="CNA136" s="8"/>
      <c r="CNB136" s="8"/>
      <c r="CNC136" s="8"/>
      <c r="CND136" s="8"/>
      <c r="CNE136" s="8"/>
      <c r="CNF136" s="8"/>
      <c r="CNG136" s="8"/>
      <c r="CNH136" s="8"/>
      <c r="CNI136" s="8"/>
      <c r="CNJ136" s="8"/>
      <c r="CNK136" s="8"/>
      <c r="CNL136" s="8"/>
      <c r="CNM136" s="8"/>
      <c r="CNN136" s="8"/>
      <c r="CNO136" s="8"/>
      <c r="CNP136" s="8"/>
      <c r="CNQ136" s="8"/>
      <c r="CNR136" s="8"/>
      <c r="CNS136" s="8"/>
      <c r="CNT136" s="8"/>
      <c r="CNU136" s="8"/>
      <c r="CNV136" s="8"/>
      <c r="CNW136" s="8"/>
      <c r="CNX136" s="8"/>
      <c r="CNY136" s="8"/>
      <c r="CNZ136" s="8"/>
      <c r="COA136" s="8"/>
      <c r="COB136" s="8"/>
      <c r="COC136" s="8"/>
      <c r="COD136" s="8"/>
      <c r="COE136" s="8"/>
      <c r="COF136" s="8"/>
      <c r="COG136" s="8"/>
      <c r="COH136" s="8"/>
      <c r="COI136" s="8"/>
      <c r="COJ136" s="8"/>
      <c r="COK136" s="8"/>
      <c r="COL136" s="8"/>
      <c r="COM136" s="8"/>
      <c r="CON136" s="8"/>
      <c r="COO136" s="8"/>
      <c r="COP136" s="8"/>
      <c r="COQ136" s="8"/>
      <c r="COR136" s="8"/>
      <c r="COS136" s="8"/>
      <c r="COT136" s="8"/>
      <c r="COU136" s="8"/>
      <c r="COV136" s="8"/>
      <c r="COW136" s="8"/>
      <c r="COX136" s="8"/>
      <c r="COY136" s="8"/>
      <c r="COZ136" s="8"/>
      <c r="CPA136" s="8"/>
      <c r="CPB136" s="8"/>
      <c r="CPC136" s="8"/>
      <c r="CPD136" s="8"/>
      <c r="CPE136" s="8"/>
      <c r="CPF136" s="8"/>
      <c r="CPG136" s="8"/>
      <c r="CPH136" s="8"/>
      <c r="CPI136" s="8"/>
      <c r="CPJ136" s="8"/>
      <c r="CPK136" s="8"/>
      <c r="CPL136" s="8"/>
      <c r="CPM136" s="8"/>
      <c r="CPN136" s="8"/>
      <c r="CPO136" s="8"/>
      <c r="CPP136" s="8"/>
      <c r="CPQ136" s="8"/>
      <c r="CPR136" s="8"/>
      <c r="CPS136" s="8"/>
      <c r="CPT136" s="8"/>
      <c r="CPU136" s="8"/>
      <c r="CPV136" s="8"/>
      <c r="CPW136" s="8"/>
      <c r="CPX136" s="8"/>
      <c r="CPY136" s="8"/>
      <c r="CPZ136" s="8"/>
      <c r="CQA136" s="8"/>
      <c r="CQB136" s="8"/>
      <c r="CQC136" s="8"/>
      <c r="CQD136" s="8"/>
      <c r="CQE136" s="8"/>
      <c r="CQF136" s="8"/>
      <c r="CQG136" s="8"/>
      <c r="CQH136" s="8"/>
      <c r="CQI136" s="8"/>
      <c r="CQJ136" s="8"/>
      <c r="CQK136" s="8"/>
      <c r="CQL136" s="8"/>
      <c r="CQM136" s="8"/>
      <c r="CQN136" s="8"/>
      <c r="CQO136" s="8"/>
      <c r="CQP136" s="8"/>
      <c r="CQQ136" s="8"/>
      <c r="CQR136" s="8"/>
      <c r="CQS136" s="8"/>
      <c r="CQT136" s="8"/>
      <c r="CQU136" s="8"/>
      <c r="CQV136" s="8"/>
      <c r="CQW136" s="8"/>
      <c r="CQX136" s="8"/>
      <c r="CQY136" s="8"/>
      <c r="CQZ136" s="8"/>
      <c r="CRA136" s="8"/>
      <c r="CRB136" s="8"/>
      <c r="CRC136" s="8"/>
      <c r="CRD136" s="8"/>
      <c r="CRE136" s="8"/>
      <c r="CRF136" s="8"/>
      <c r="CRG136" s="8"/>
      <c r="CRH136" s="8"/>
      <c r="CRI136" s="8"/>
      <c r="CRJ136" s="8"/>
      <c r="CRK136" s="8"/>
      <c r="CRL136" s="8"/>
      <c r="CRM136" s="8"/>
      <c r="CRN136" s="8"/>
      <c r="CRO136" s="8"/>
      <c r="CRP136" s="8"/>
      <c r="CRQ136" s="8"/>
      <c r="CRR136" s="8"/>
      <c r="CRS136" s="8"/>
      <c r="CRT136" s="8"/>
      <c r="CRU136" s="8"/>
      <c r="CRV136" s="8"/>
      <c r="CRW136" s="8"/>
      <c r="CRX136" s="8"/>
      <c r="CRY136" s="8"/>
      <c r="CRZ136" s="8"/>
      <c r="CSA136" s="8"/>
      <c r="CSB136" s="8"/>
      <c r="CSC136" s="8"/>
      <c r="CSD136" s="8"/>
      <c r="CSE136" s="8"/>
      <c r="CSF136" s="8"/>
      <c r="CSG136" s="8"/>
      <c r="CSH136" s="8"/>
      <c r="CSI136" s="8"/>
      <c r="CSJ136" s="8"/>
      <c r="CSK136" s="8"/>
      <c r="CSL136" s="8"/>
      <c r="CSM136" s="8"/>
      <c r="CSN136" s="8"/>
      <c r="CSO136" s="8"/>
      <c r="CSP136" s="8"/>
      <c r="CSQ136" s="8"/>
      <c r="CSR136" s="8"/>
      <c r="CSS136" s="8"/>
      <c r="CST136" s="8"/>
      <c r="CSU136" s="8"/>
      <c r="CSV136" s="8"/>
      <c r="CSW136" s="8"/>
      <c r="CSX136" s="8"/>
      <c r="CSY136" s="8"/>
      <c r="CSZ136" s="8"/>
      <c r="CTA136" s="8"/>
      <c r="CTB136" s="8"/>
      <c r="CTC136" s="8"/>
      <c r="CTD136" s="8"/>
      <c r="CTE136" s="8"/>
      <c r="CTF136" s="8"/>
      <c r="CTG136" s="8"/>
      <c r="CTH136" s="8"/>
      <c r="CTI136" s="8"/>
      <c r="CTJ136" s="8"/>
      <c r="CTK136" s="8"/>
      <c r="CTL136" s="8"/>
      <c r="CTM136" s="8"/>
      <c r="CTN136" s="8"/>
      <c r="CTO136" s="8"/>
      <c r="CTP136" s="8"/>
      <c r="CTQ136" s="8"/>
      <c r="CTR136" s="8"/>
      <c r="CTS136" s="8"/>
      <c r="CTT136" s="8"/>
      <c r="CTU136" s="8"/>
      <c r="CTV136" s="8"/>
      <c r="CTW136" s="8"/>
      <c r="CTX136" s="8"/>
      <c r="CTY136" s="8"/>
      <c r="CTZ136" s="8"/>
      <c r="CUA136" s="8"/>
      <c r="CUB136" s="8"/>
      <c r="CUC136" s="8"/>
      <c r="CUD136" s="8"/>
      <c r="CUE136" s="8"/>
      <c r="CUF136" s="8"/>
      <c r="CUG136" s="8"/>
      <c r="CUH136" s="8"/>
      <c r="CUI136" s="8"/>
      <c r="CUJ136" s="8"/>
      <c r="CUK136" s="8"/>
      <c r="CUL136" s="8"/>
      <c r="CUM136" s="8"/>
      <c r="CUN136" s="8"/>
      <c r="CUO136" s="8"/>
      <c r="CUP136" s="8"/>
      <c r="CUQ136" s="8"/>
      <c r="CUR136" s="8"/>
      <c r="CUS136" s="8"/>
      <c r="CUT136" s="8"/>
      <c r="CUU136" s="8"/>
      <c r="CUV136" s="8"/>
      <c r="CUW136" s="8"/>
      <c r="CUX136" s="8"/>
      <c r="CUY136" s="8"/>
      <c r="CUZ136" s="8"/>
      <c r="CVA136" s="8"/>
      <c r="CVB136" s="8"/>
      <c r="CVC136" s="8"/>
      <c r="CVD136" s="8"/>
      <c r="CVE136" s="8"/>
      <c r="CVF136" s="8"/>
      <c r="CVG136" s="8"/>
      <c r="CVH136" s="8"/>
      <c r="CVI136" s="8"/>
      <c r="CVJ136" s="8"/>
      <c r="CVK136" s="8"/>
      <c r="CVL136" s="8"/>
      <c r="CVM136" s="8"/>
      <c r="CVN136" s="8"/>
      <c r="CVO136" s="8"/>
      <c r="CVP136" s="8"/>
      <c r="CVQ136" s="8"/>
      <c r="CVR136" s="8"/>
      <c r="CVS136" s="8"/>
      <c r="CVT136" s="8"/>
      <c r="CVU136" s="8"/>
      <c r="CVV136" s="8"/>
      <c r="CVW136" s="8"/>
      <c r="CVX136" s="8"/>
      <c r="CVY136" s="8"/>
      <c r="CVZ136" s="8"/>
      <c r="CWA136" s="8"/>
      <c r="CWB136" s="8"/>
      <c r="CWC136" s="8"/>
      <c r="CWD136" s="8"/>
      <c r="CWE136" s="8"/>
      <c r="CWF136" s="8"/>
      <c r="CWG136" s="8"/>
      <c r="CWH136" s="8"/>
      <c r="CWI136" s="8"/>
      <c r="CWJ136" s="8"/>
      <c r="CWK136" s="8"/>
      <c r="CWL136" s="8"/>
      <c r="CWM136" s="8"/>
      <c r="CWN136" s="8"/>
      <c r="CWO136" s="8"/>
      <c r="CWP136" s="8"/>
      <c r="CWQ136" s="8"/>
      <c r="CWR136" s="8"/>
      <c r="CWS136" s="8"/>
      <c r="CWT136" s="8"/>
      <c r="CWU136" s="8"/>
      <c r="CWV136" s="8"/>
      <c r="CWW136" s="8"/>
      <c r="CWX136" s="8"/>
      <c r="CWY136" s="8"/>
      <c r="CWZ136" s="8"/>
      <c r="CXA136" s="8"/>
      <c r="CXB136" s="8"/>
      <c r="CXC136" s="8"/>
      <c r="CXD136" s="8"/>
      <c r="CXE136" s="8"/>
      <c r="CXF136" s="8"/>
      <c r="CXG136" s="8"/>
      <c r="CXH136" s="8"/>
      <c r="CXI136" s="8"/>
      <c r="CXJ136" s="8"/>
      <c r="CXK136" s="8"/>
      <c r="CXL136" s="8"/>
      <c r="CXM136" s="8"/>
      <c r="CXN136" s="8"/>
      <c r="CXO136" s="8"/>
      <c r="CXP136" s="8"/>
      <c r="CXQ136" s="8"/>
      <c r="CXR136" s="8"/>
      <c r="CXS136" s="8"/>
      <c r="CXT136" s="8"/>
      <c r="CXU136" s="8"/>
      <c r="CXV136" s="8"/>
      <c r="CXW136" s="8"/>
      <c r="CXX136" s="8"/>
      <c r="CXY136" s="8"/>
      <c r="CXZ136" s="8"/>
      <c r="CYA136" s="8"/>
      <c r="CYB136" s="8"/>
      <c r="CYC136" s="8"/>
      <c r="CYD136" s="8"/>
      <c r="CYE136" s="8"/>
      <c r="CYF136" s="8"/>
      <c r="CYG136" s="8"/>
      <c r="CYH136" s="8"/>
      <c r="CYI136" s="8"/>
      <c r="CYJ136" s="8"/>
      <c r="CYK136" s="8"/>
      <c r="CYL136" s="8"/>
      <c r="CYM136" s="8"/>
      <c r="CYN136" s="8"/>
      <c r="CYO136" s="8"/>
      <c r="CYP136" s="8"/>
      <c r="CYQ136" s="8"/>
      <c r="CYR136" s="8"/>
      <c r="CYS136" s="8"/>
      <c r="CYT136" s="8"/>
      <c r="CYU136" s="8"/>
      <c r="CYV136" s="8"/>
      <c r="CYW136" s="8"/>
      <c r="CYX136" s="8"/>
      <c r="CYY136" s="8"/>
      <c r="CYZ136" s="8"/>
      <c r="CZA136" s="8"/>
      <c r="CZB136" s="8"/>
      <c r="CZC136" s="8"/>
      <c r="CZD136" s="8"/>
      <c r="CZE136" s="8"/>
      <c r="CZF136" s="8"/>
      <c r="CZG136" s="8"/>
      <c r="CZH136" s="8"/>
      <c r="CZI136" s="8"/>
      <c r="CZJ136" s="8"/>
      <c r="CZK136" s="8"/>
      <c r="CZL136" s="8"/>
      <c r="CZM136" s="8"/>
      <c r="CZN136" s="8"/>
      <c r="CZO136" s="8"/>
      <c r="CZP136" s="8"/>
      <c r="CZQ136" s="8"/>
      <c r="CZR136" s="8"/>
      <c r="CZS136" s="8"/>
      <c r="CZT136" s="8"/>
      <c r="CZU136" s="8"/>
      <c r="CZV136" s="8"/>
      <c r="CZW136" s="8"/>
      <c r="CZX136" s="8"/>
      <c r="CZY136" s="8"/>
      <c r="CZZ136" s="8"/>
      <c r="DAA136" s="8"/>
      <c r="DAB136" s="8"/>
      <c r="DAC136" s="8"/>
      <c r="DAD136" s="8"/>
      <c r="DAE136" s="8"/>
      <c r="DAF136" s="8"/>
      <c r="DAG136" s="8"/>
      <c r="DAH136" s="8"/>
      <c r="DAI136" s="8"/>
      <c r="DAJ136" s="8"/>
      <c r="DAK136" s="8"/>
      <c r="DAL136" s="8"/>
      <c r="DAM136" s="8"/>
      <c r="DAN136" s="8"/>
      <c r="DAO136" s="8"/>
      <c r="DAP136" s="8"/>
      <c r="DAQ136" s="8"/>
      <c r="DAR136" s="8"/>
      <c r="DAS136" s="8"/>
      <c r="DAT136" s="8"/>
      <c r="DAU136" s="8"/>
      <c r="DAV136" s="8"/>
      <c r="DAW136" s="8"/>
      <c r="DAX136" s="8"/>
      <c r="DAY136" s="8"/>
      <c r="DAZ136" s="8"/>
      <c r="DBA136" s="8"/>
      <c r="DBB136" s="8"/>
      <c r="DBC136" s="8"/>
      <c r="DBD136" s="8"/>
      <c r="DBE136" s="8"/>
      <c r="DBF136" s="8"/>
      <c r="DBG136" s="8"/>
      <c r="DBH136" s="8"/>
      <c r="DBI136" s="8"/>
      <c r="DBJ136" s="8"/>
      <c r="DBK136" s="8"/>
      <c r="DBL136" s="8"/>
      <c r="DBM136" s="8"/>
      <c r="DBN136" s="8"/>
      <c r="DBO136" s="8"/>
      <c r="DBP136" s="8"/>
      <c r="DBQ136" s="8"/>
      <c r="DBR136" s="8"/>
      <c r="DBS136" s="8"/>
      <c r="DBT136" s="8"/>
      <c r="DBU136" s="8"/>
      <c r="DBV136" s="8"/>
      <c r="DBW136" s="8"/>
      <c r="DBX136" s="8"/>
      <c r="DBY136" s="8"/>
      <c r="DBZ136" s="8"/>
      <c r="DCA136" s="8"/>
      <c r="DCB136" s="8"/>
      <c r="DCC136" s="8"/>
      <c r="DCD136" s="8"/>
      <c r="DCE136" s="8"/>
      <c r="DCF136" s="8"/>
      <c r="DCG136" s="8"/>
      <c r="DCH136" s="8"/>
      <c r="DCI136" s="8"/>
      <c r="DCJ136" s="8"/>
      <c r="DCK136" s="8"/>
      <c r="DCL136" s="8"/>
      <c r="DCM136" s="8"/>
      <c r="DCN136" s="8"/>
      <c r="DCO136" s="8"/>
      <c r="DCP136" s="8"/>
      <c r="DCQ136" s="8"/>
      <c r="DCR136" s="8"/>
      <c r="DCS136" s="8"/>
      <c r="DCT136" s="8"/>
      <c r="DCU136" s="8"/>
      <c r="DCV136" s="8"/>
      <c r="DCW136" s="8"/>
      <c r="DCX136" s="8"/>
      <c r="DCY136" s="8"/>
      <c r="DCZ136" s="8"/>
      <c r="DDA136" s="8"/>
      <c r="DDB136" s="8"/>
      <c r="DDC136" s="8"/>
      <c r="DDD136" s="8"/>
      <c r="DDE136" s="8"/>
      <c r="DDF136" s="8"/>
      <c r="DDG136" s="8"/>
      <c r="DDH136" s="8"/>
      <c r="DDI136" s="8"/>
      <c r="DDJ136" s="8"/>
      <c r="DDK136" s="8"/>
      <c r="DDL136" s="8"/>
      <c r="DDM136" s="8"/>
      <c r="DDN136" s="8"/>
      <c r="DDO136" s="8"/>
      <c r="DDP136" s="8"/>
      <c r="DDQ136" s="8"/>
      <c r="DDR136" s="8"/>
      <c r="DDS136" s="8"/>
      <c r="DDT136" s="8"/>
      <c r="DDU136" s="8"/>
      <c r="DDV136" s="8"/>
      <c r="DDW136" s="8"/>
      <c r="DDX136" s="8"/>
      <c r="DDY136" s="8"/>
      <c r="DDZ136" s="8"/>
      <c r="DEA136" s="8"/>
      <c r="DEB136" s="8"/>
      <c r="DEC136" s="8"/>
      <c r="DED136" s="8"/>
      <c r="DEE136" s="8"/>
      <c r="DEF136" s="8"/>
      <c r="DEG136" s="8"/>
      <c r="DEH136" s="8"/>
      <c r="DEI136" s="8"/>
      <c r="DEJ136" s="8"/>
      <c r="DEK136" s="8"/>
      <c r="DEL136" s="8"/>
      <c r="DEM136" s="8"/>
      <c r="DEN136" s="8"/>
      <c r="DEO136" s="8"/>
      <c r="DEP136" s="8"/>
      <c r="DEQ136" s="8"/>
      <c r="DER136" s="8"/>
      <c r="DES136" s="8"/>
      <c r="DET136" s="8"/>
      <c r="DEU136" s="8"/>
      <c r="DEV136" s="8"/>
      <c r="DEW136" s="8"/>
      <c r="DEX136" s="8"/>
      <c r="DEY136" s="8"/>
      <c r="DEZ136" s="8"/>
      <c r="DFA136" s="8"/>
      <c r="DFB136" s="8"/>
      <c r="DFC136" s="8"/>
      <c r="DFD136" s="8"/>
      <c r="DFE136" s="8"/>
      <c r="DFF136" s="8"/>
      <c r="DFG136" s="8"/>
      <c r="DFH136" s="8"/>
      <c r="DFI136" s="8"/>
      <c r="DFJ136" s="8"/>
      <c r="DFK136" s="8"/>
      <c r="DFL136" s="8"/>
      <c r="DFM136" s="8"/>
      <c r="DFN136" s="8"/>
      <c r="DFO136" s="8"/>
      <c r="DFP136" s="8"/>
      <c r="DFQ136" s="8"/>
      <c r="DFR136" s="8"/>
      <c r="DFS136" s="8"/>
      <c r="DFT136" s="8"/>
      <c r="DFU136" s="8"/>
      <c r="DFV136" s="8"/>
      <c r="DFW136" s="8"/>
      <c r="DFX136" s="8"/>
      <c r="DFY136" s="8"/>
      <c r="DFZ136" s="8"/>
      <c r="DGA136" s="8"/>
      <c r="DGB136" s="8"/>
      <c r="DGC136" s="8"/>
      <c r="DGD136" s="8"/>
      <c r="DGE136" s="8"/>
      <c r="DGF136" s="8"/>
      <c r="DGG136" s="8"/>
      <c r="DGH136" s="8"/>
      <c r="DGI136" s="8"/>
      <c r="DGJ136" s="8"/>
      <c r="DGK136" s="8"/>
      <c r="DGL136" s="8"/>
      <c r="DGM136" s="8"/>
      <c r="DGN136" s="8"/>
      <c r="DGO136" s="8"/>
      <c r="DGP136" s="8"/>
      <c r="DGQ136" s="8"/>
      <c r="DGR136" s="8"/>
      <c r="DGS136" s="8"/>
      <c r="DGT136" s="8"/>
      <c r="DGU136" s="8"/>
      <c r="DGV136" s="8"/>
      <c r="DGW136" s="8"/>
      <c r="DGX136" s="8"/>
      <c r="DGY136" s="8"/>
      <c r="DGZ136" s="8"/>
      <c r="DHA136" s="8"/>
      <c r="DHB136" s="8"/>
      <c r="DHC136" s="8"/>
      <c r="DHD136" s="8"/>
      <c r="DHE136" s="8"/>
      <c r="DHF136" s="8"/>
      <c r="DHG136" s="8"/>
      <c r="DHH136" s="8"/>
      <c r="DHI136" s="8"/>
      <c r="DHJ136" s="8"/>
      <c r="DHK136" s="8"/>
      <c r="DHL136" s="8"/>
      <c r="DHM136" s="8"/>
      <c r="DHN136" s="8"/>
      <c r="DHO136" s="8"/>
      <c r="DHP136" s="8"/>
      <c r="DHQ136" s="8"/>
      <c r="DHR136" s="8"/>
      <c r="DHS136" s="8"/>
      <c r="DHT136" s="8"/>
      <c r="DHU136" s="8"/>
      <c r="DHV136" s="8"/>
      <c r="DHW136" s="8"/>
      <c r="DHX136" s="8"/>
      <c r="DHY136" s="8"/>
      <c r="DHZ136" s="8"/>
      <c r="DIA136" s="8"/>
      <c r="DIB136" s="8"/>
      <c r="DIC136" s="8"/>
      <c r="DID136" s="8"/>
      <c r="DIE136" s="8"/>
      <c r="DIF136" s="8"/>
      <c r="DIG136" s="8"/>
      <c r="DIH136" s="8"/>
      <c r="DII136" s="8"/>
      <c r="DIJ136" s="8"/>
      <c r="DIK136" s="8"/>
      <c r="DIL136" s="8"/>
      <c r="DIM136" s="8"/>
      <c r="DIN136" s="8"/>
      <c r="DIO136" s="8"/>
      <c r="DIP136" s="8"/>
      <c r="DIQ136" s="8"/>
      <c r="DIR136" s="8"/>
      <c r="DIS136" s="8"/>
      <c r="DIT136" s="8"/>
      <c r="DIU136" s="8"/>
      <c r="DIV136" s="8"/>
      <c r="DIW136" s="8"/>
      <c r="DIX136" s="8"/>
      <c r="DIY136" s="8"/>
      <c r="DIZ136" s="8"/>
      <c r="DJA136" s="8"/>
      <c r="DJB136" s="8"/>
      <c r="DJC136" s="8"/>
      <c r="DJD136" s="8"/>
      <c r="DJE136" s="8"/>
      <c r="DJF136" s="8"/>
      <c r="DJG136" s="8"/>
      <c r="DJH136" s="8"/>
      <c r="DJI136" s="8"/>
      <c r="DJJ136" s="8"/>
      <c r="DJK136" s="8"/>
      <c r="DJL136" s="8"/>
      <c r="DJM136" s="8"/>
      <c r="DJN136" s="8"/>
      <c r="DJO136" s="8"/>
      <c r="DJP136" s="8"/>
      <c r="DJQ136" s="8"/>
      <c r="DJR136" s="8"/>
      <c r="DJS136" s="8"/>
      <c r="DJT136" s="8"/>
      <c r="DJU136" s="8"/>
      <c r="DJV136" s="8"/>
      <c r="DJW136" s="8"/>
      <c r="DJX136" s="8"/>
      <c r="DJY136" s="8"/>
      <c r="DJZ136" s="8"/>
      <c r="DKA136" s="8"/>
      <c r="DKB136" s="8"/>
      <c r="DKC136" s="8"/>
      <c r="DKD136" s="8"/>
      <c r="DKE136" s="8"/>
      <c r="DKF136" s="8"/>
      <c r="DKG136" s="8"/>
      <c r="DKH136" s="8"/>
      <c r="DKI136" s="8"/>
      <c r="DKJ136" s="8"/>
      <c r="DKK136" s="8"/>
      <c r="DKL136" s="8"/>
      <c r="DKM136" s="8"/>
      <c r="DKN136" s="8"/>
      <c r="DKO136" s="8"/>
      <c r="DKP136" s="8"/>
      <c r="DKQ136" s="8"/>
      <c r="DKR136" s="8"/>
      <c r="DKS136" s="8"/>
      <c r="DKT136" s="8"/>
      <c r="DKU136" s="8"/>
      <c r="DKV136" s="8"/>
      <c r="DKW136" s="8"/>
      <c r="DKX136" s="8"/>
      <c r="DKY136" s="8"/>
      <c r="DKZ136" s="8"/>
      <c r="DLA136" s="8"/>
      <c r="DLB136" s="8"/>
      <c r="DLC136" s="8"/>
      <c r="DLD136" s="8"/>
      <c r="DLE136" s="8"/>
      <c r="DLF136" s="8"/>
      <c r="DLG136" s="8"/>
      <c r="DLH136" s="8"/>
      <c r="DLI136" s="8"/>
      <c r="DLJ136" s="8"/>
      <c r="DLK136" s="8"/>
      <c r="DLL136" s="8"/>
      <c r="DLM136" s="8"/>
      <c r="DLN136" s="8"/>
      <c r="DLO136" s="8"/>
      <c r="DLP136" s="8"/>
      <c r="DLQ136" s="8"/>
      <c r="DLR136" s="8"/>
      <c r="DLS136" s="8"/>
      <c r="DLT136" s="8"/>
      <c r="DLU136" s="8"/>
      <c r="DLV136" s="8"/>
      <c r="DLW136" s="8"/>
      <c r="DLX136" s="8"/>
      <c r="DLY136" s="8"/>
      <c r="DLZ136" s="8"/>
      <c r="DMA136" s="8"/>
      <c r="DMB136" s="8"/>
      <c r="DMC136" s="8"/>
      <c r="DMD136" s="8"/>
      <c r="DME136" s="8"/>
      <c r="DMF136" s="8"/>
      <c r="DMG136" s="8"/>
      <c r="DMH136" s="8"/>
      <c r="DMI136" s="8"/>
      <c r="DMJ136" s="8"/>
      <c r="DMK136" s="8"/>
      <c r="DML136" s="8"/>
      <c r="DMM136" s="8"/>
      <c r="DMN136" s="8"/>
      <c r="DMO136" s="8"/>
      <c r="DMP136" s="8"/>
      <c r="DMQ136" s="8"/>
      <c r="DMR136" s="8"/>
      <c r="DMS136" s="8"/>
      <c r="DMT136" s="8"/>
      <c r="DMU136" s="8"/>
      <c r="DMV136" s="8"/>
      <c r="DMW136" s="8"/>
      <c r="DMX136" s="8"/>
      <c r="DMY136" s="8"/>
      <c r="DMZ136" s="8"/>
      <c r="DNA136" s="8"/>
      <c r="DNB136" s="8"/>
      <c r="DNC136" s="8"/>
      <c r="DND136" s="8"/>
      <c r="DNE136" s="8"/>
      <c r="DNF136" s="8"/>
      <c r="DNG136" s="8"/>
      <c r="DNH136" s="8"/>
      <c r="DNI136" s="8"/>
      <c r="DNJ136" s="8"/>
      <c r="DNK136" s="8"/>
      <c r="DNL136" s="8"/>
      <c r="DNM136" s="8"/>
      <c r="DNN136" s="8"/>
      <c r="DNO136" s="8"/>
      <c r="DNP136" s="8"/>
      <c r="DNQ136" s="8"/>
      <c r="DNR136" s="8"/>
      <c r="DNS136" s="8"/>
      <c r="DNT136" s="8"/>
      <c r="DNU136" s="8"/>
      <c r="DNV136" s="8"/>
      <c r="DNW136" s="8"/>
      <c r="DNX136" s="8"/>
      <c r="DNY136" s="8"/>
      <c r="DNZ136" s="8"/>
      <c r="DOA136" s="8"/>
      <c r="DOB136" s="8"/>
      <c r="DOC136" s="8"/>
      <c r="DOD136" s="8"/>
      <c r="DOE136" s="8"/>
      <c r="DOF136" s="8"/>
      <c r="DOG136" s="8"/>
      <c r="DOH136" s="8"/>
      <c r="DOI136" s="8"/>
      <c r="DOJ136" s="8"/>
      <c r="DOK136" s="8"/>
      <c r="DOL136" s="8"/>
      <c r="DOM136" s="8"/>
      <c r="DON136" s="8"/>
      <c r="DOO136" s="8"/>
      <c r="DOP136" s="8"/>
      <c r="DOQ136" s="8"/>
      <c r="DOR136" s="8"/>
      <c r="DOS136" s="8"/>
      <c r="DOT136" s="8"/>
      <c r="DOU136" s="8"/>
      <c r="DOV136" s="8"/>
      <c r="DOW136" s="8"/>
      <c r="DOX136" s="8"/>
      <c r="DOY136" s="8"/>
      <c r="DOZ136" s="8"/>
      <c r="DPA136" s="8"/>
      <c r="DPB136" s="8"/>
      <c r="DPC136" s="8"/>
      <c r="DPD136" s="8"/>
      <c r="DPE136" s="8"/>
      <c r="DPF136" s="8"/>
      <c r="DPG136" s="8"/>
      <c r="DPH136" s="8"/>
      <c r="DPI136" s="8"/>
      <c r="DPJ136" s="8"/>
      <c r="DPK136" s="8"/>
      <c r="DPL136" s="8"/>
      <c r="DPM136" s="8"/>
      <c r="DPN136" s="8"/>
      <c r="DPO136" s="8"/>
      <c r="DPP136" s="8"/>
      <c r="DPQ136" s="8"/>
      <c r="DPR136" s="8"/>
      <c r="DPS136" s="8"/>
      <c r="DPT136" s="8"/>
      <c r="DPU136" s="8"/>
      <c r="DPV136" s="8"/>
      <c r="DPW136" s="8"/>
      <c r="DPX136" s="8"/>
      <c r="DPY136" s="8"/>
      <c r="DPZ136" s="8"/>
      <c r="DQA136" s="8"/>
      <c r="DQB136" s="8"/>
      <c r="DQC136" s="8"/>
      <c r="DQD136" s="8"/>
      <c r="DQE136" s="8"/>
      <c r="DQF136" s="8"/>
      <c r="DQG136" s="8"/>
      <c r="DQH136" s="8"/>
      <c r="DQI136" s="8"/>
      <c r="DQJ136" s="8"/>
      <c r="DQK136" s="8"/>
      <c r="DQL136" s="8"/>
      <c r="DQM136" s="8"/>
      <c r="DQN136" s="8"/>
      <c r="DQO136" s="8"/>
      <c r="DQP136" s="8"/>
      <c r="DQQ136" s="8"/>
      <c r="DQR136" s="8"/>
      <c r="DQS136" s="8"/>
      <c r="DQT136" s="8"/>
      <c r="DQU136" s="8"/>
      <c r="DQV136" s="8"/>
      <c r="DQW136" s="8"/>
      <c r="DQX136" s="8"/>
      <c r="DQY136" s="8"/>
      <c r="DQZ136" s="8"/>
      <c r="DRA136" s="8"/>
      <c r="DRB136" s="8"/>
      <c r="DRC136" s="8"/>
      <c r="DRD136" s="8"/>
      <c r="DRE136" s="8"/>
      <c r="DRF136" s="8"/>
      <c r="DRG136" s="8"/>
      <c r="DRH136" s="8"/>
      <c r="DRI136" s="8"/>
      <c r="DRJ136" s="8"/>
      <c r="DRK136" s="8"/>
      <c r="DRL136" s="8"/>
      <c r="DRM136" s="8"/>
      <c r="DRN136" s="8"/>
      <c r="DRO136" s="8"/>
      <c r="DRP136" s="8"/>
      <c r="DRQ136" s="8"/>
      <c r="DRR136" s="8"/>
      <c r="DRS136" s="8"/>
      <c r="DRT136" s="8"/>
      <c r="DRU136" s="8"/>
      <c r="DRV136" s="8"/>
      <c r="DRW136" s="8"/>
      <c r="DRX136" s="8"/>
      <c r="DRY136" s="8"/>
      <c r="DRZ136" s="8"/>
      <c r="DSA136" s="8"/>
      <c r="DSB136" s="8"/>
      <c r="DSC136" s="8"/>
      <c r="DSD136" s="8"/>
      <c r="DSE136" s="8"/>
      <c r="DSF136" s="8"/>
      <c r="DSG136" s="8"/>
      <c r="DSH136" s="8"/>
      <c r="DSI136" s="8"/>
      <c r="DSJ136" s="8"/>
      <c r="DSK136" s="8"/>
      <c r="DSL136" s="8"/>
      <c r="DSM136" s="8"/>
      <c r="DSN136" s="8"/>
      <c r="DSO136" s="8"/>
      <c r="DSP136" s="8"/>
      <c r="DSQ136" s="8"/>
      <c r="DSR136" s="8"/>
      <c r="DSS136" s="8"/>
      <c r="DST136" s="8"/>
      <c r="DSU136" s="8"/>
      <c r="DSV136" s="8"/>
      <c r="DSW136" s="8"/>
      <c r="DSX136" s="8"/>
      <c r="DSY136" s="8"/>
      <c r="DSZ136" s="8"/>
      <c r="DTA136" s="8"/>
      <c r="DTB136" s="8"/>
      <c r="DTC136" s="8"/>
      <c r="DTD136" s="8"/>
      <c r="DTE136" s="8"/>
      <c r="DTF136" s="8"/>
      <c r="DTG136" s="8"/>
      <c r="DTH136" s="8"/>
      <c r="DTI136" s="8"/>
      <c r="DTJ136" s="8"/>
      <c r="DTK136" s="8"/>
      <c r="DTL136" s="8"/>
      <c r="DTM136" s="8"/>
      <c r="DTN136" s="8"/>
      <c r="DTO136" s="8"/>
      <c r="DTP136" s="8"/>
      <c r="DTQ136" s="8"/>
      <c r="DTR136" s="8"/>
      <c r="DTS136" s="8"/>
      <c r="DTT136" s="8"/>
      <c r="DTU136" s="8"/>
      <c r="DTV136" s="8"/>
      <c r="DTW136" s="8"/>
      <c r="DTX136" s="8"/>
      <c r="DTY136" s="8"/>
      <c r="DTZ136" s="8"/>
      <c r="DUA136" s="8"/>
      <c r="DUB136" s="8"/>
      <c r="DUC136" s="8"/>
      <c r="DUD136" s="8"/>
      <c r="DUE136" s="8"/>
      <c r="DUF136" s="8"/>
      <c r="DUG136" s="8"/>
      <c r="DUH136" s="8"/>
      <c r="DUI136" s="8"/>
      <c r="DUJ136" s="8"/>
      <c r="DUK136" s="8"/>
      <c r="DUL136" s="8"/>
      <c r="DUM136" s="8"/>
      <c r="DUN136" s="8"/>
      <c r="DUO136" s="8"/>
      <c r="DUP136" s="8"/>
      <c r="DUQ136" s="8"/>
      <c r="DUR136" s="8"/>
      <c r="DUS136" s="8"/>
      <c r="DUT136" s="8"/>
      <c r="DUU136" s="8"/>
      <c r="DUV136" s="8"/>
      <c r="DUW136" s="8"/>
      <c r="DUX136" s="8"/>
      <c r="DUY136" s="8"/>
      <c r="DUZ136" s="8"/>
      <c r="DVA136" s="8"/>
      <c r="DVB136" s="8"/>
      <c r="DVC136" s="8"/>
      <c r="DVD136" s="8"/>
      <c r="DVE136" s="8"/>
      <c r="DVF136" s="8"/>
      <c r="DVG136" s="8"/>
      <c r="DVH136" s="8"/>
      <c r="DVI136" s="8"/>
      <c r="DVJ136" s="8"/>
      <c r="DVK136" s="8"/>
      <c r="DVL136" s="8"/>
      <c r="DVM136" s="8"/>
      <c r="DVN136" s="8"/>
      <c r="DVO136" s="8"/>
      <c r="DVP136" s="8"/>
      <c r="DVQ136" s="8"/>
      <c r="DVR136" s="8"/>
      <c r="DVS136" s="8"/>
      <c r="DVT136" s="8"/>
      <c r="DVU136" s="8"/>
      <c r="DVV136" s="8"/>
      <c r="DVW136" s="8"/>
      <c r="DVX136" s="8"/>
      <c r="DVY136" s="8"/>
      <c r="DVZ136" s="8"/>
      <c r="DWA136" s="8"/>
      <c r="DWB136" s="8"/>
      <c r="DWC136" s="8"/>
      <c r="DWD136" s="8"/>
      <c r="DWE136" s="8"/>
      <c r="DWF136" s="8"/>
      <c r="DWG136" s="8"/>
      <c r="DWH136" s="8"/>
      <c r="DWI136" s="8"/>
      <c r="DWJ136" s="8"/>
      <c r="DWK136" s="8"/>
      <c r="DWL136" s="8"/>
      <c r="DWM136" s="8"/>
      <c r="DWN136" s="8"/>
      <c r="DWO136" s="8"/>
      <c r="DWP136" s="8"/>
      <c r="DWQ136" s="8"/>
      <c r="DWR136" s="8"/>
      <c r="DWS136" s="8"/>
      <c r="DWT136" s="8"/>
      <c r="DWU136" s="8"/>
      <c r="DWV136" s="8"/>
      <c r="DWW136" s="8"/>
      <c r="DWX136" s="8"/>
      <c r="DWY136" s="8"/>
      <c r="DWZ136" s="8"/>
      <c r="DXA136" s="8"/>
      <c r="DXB136" s="8"/>
      <c r="DXC136" s="8"/>
      <c r="DXD136" s="8"/>
      <c r="DXE136" s="8"/>
      <c r="DXF136" s="8"/>
      <c r="DXG136" s="8"/>
      <c r="DXH136" s="8"/>
      <c r="DXI136" s="8"/>
      <c r="DXJ136" s="8"/>
      <c r="DXK136" s="8"/>
      <c r="DXL136" s="8"/>
      <c r="DXM136" s="8"/>
      <c r="DXN136" s="8"/>
      <c r="DXO136" s="8"/>
      <c r="DXP136" s="8"/>
      <c r="DXQ136" s="8"/>
      <c r="DXR136" s="8"/>
      <c r="DXS136" s="8"/>
      <c r="DXT136" s="8"/>
      <c r="DXU136" s="8"/>
      <c r="DXV136" s="8"/>
      <c r="DXW136" s="8"/>
      <c r="DXX136" s="8"/>
      <c r="DXY136" s="8"/>
      <c r="DXZ136" s="8"/>
      <c r="DYA136" s="8"/>
      <c r="DYB136" s="8"/>
      <c r="DYC136" s="8"/>
      <c r="DYD136" s="8"/>
      <c r="DYE136" s="8"/>
      <c r="DYF136" s="8"/>
      <c r="DYG136" s="8"/>
      <c r="DYH136" s="8"/>
      <c r="DYI136" s="8"/>
      <c r="DYJ136" s="8"/>
      <c r="DYK136" s="8"/>
      <c r="DYL136" s="8"/>
      <c r="DYM136" s="8"/>
      <c r="DYN136" s="8"/>
      <c r="DYO136" s="8"/>
      <c r="DYP136" s="8"/>
      <c r="DYQ136" s="8"/>
      <c r="DYR136" s="8"/>
      <c r="DYS136" s="8"/>
      <c r="DYT136" s="8"/>
      <c r="DYU136" s="8"/>
      <c r="DYV136" s="8"/>
      <c r="DYW136" s="8"/>
      <c r="DYX136" s="8"/>
      <c r="DYY136" s="8"/>
      <c r="DYZ136" s="8"/>
      <c r="DZA136" s="8"/>
      <c r="DZB136" s="8"/>
      <c r="DZC136" s="8"/>
      <c r="DZD136" s="8"/>
      <c r="DZE136" s="8"/>
      <c r="DZF136" s="8"/>
      <c r="DZG136" s="8"/>
      <c r="DZH136" s="8"/>
      <c r="DZI136" s="8"/>
      <c r="DZJ136" s="8"/>
      <c r="DZK136" s="8"/>
      <c r="DZL136" s="8"/>
      <c r="DZM136" s="8"/>
      <c r="DZN136" s="8"/>
      <c r="DZO136" s="8"/>
      <c r="DZP136" s="8"/>
      <c r="DZQ136" s="8"/>
      <c r="DZR136" s="8"/>
      <c r="DZS136" s="8"/>
      <c r="DZT136" s="8"/>
      <c r="DZU136" s="8"/>
      <c r="DZV136" s="8"/>
      <c r="DZW136" s="8"/>
      <c r="DZX136" s="8"/>
      <c r="DZY136" s="8"/>
      <c r="DZZ136" s="8"/>
      <c r="EAA136" s="8"/>
      <c r="EAB136" s="8"/>
      <c r="EAC136" s="8"/>
      <c r="EAD136" s="8"/>
      <c r="EAE136" s="8"/>
      <c r="EAF136" s="8"/>
      <c r="EAG136" s="8"/>
      <c r="EAH136" s="8"/>
      <c r="EAI136" s="8"/>
      <c r="EAJ136" s="8"/>
      <c r="EAK136" s="8"/>
      <c r="EAL136" s="8"/>
      <c r="EAM136" s="8"/>
      <c r="EAN136" s="8"/>
      <c r="EAO136" s="8"/>
      <c r="EAP136" s="8"/>
      <c r="EAQ136" s="8"/>
      <c r="EAR136" s="8"/>
      <c r="EAS136" s="8"/>
      <c r="EAT136" s="8"/>
      <c r="EAU136" s="8"/>
      <c r="EAV136" s="8"/>
      <c r="EAW136" s="8"/>
      <c r="EAX136" s="8"/>
      <c r="EAY136" s="8"/>
      <c r="EAZ136" s="8"/>
      <c r="EBA136" s="8"/>
      <c r="EBB136" s="8"/>
      <c r="EBC136" s="8"/>
      <c r="EBD136" s="8"/>
      <c r="EBE136" s="8"/>
      <c r="EBF136" s="8"/>
      <c r="EBG136" s="8"/>
      <c r="EBH136" s="8"/>
      <c r="EBI136" s="8"/>
      <c r="EBJ136" s="8"/>
      <c r="EBK136" s="8"/>
      <c r="EBL136" s="8"/>
      <c r="EBM136" s="8"/>
      <c r="EBN136" s="8"/>
      <c r="EBO136" s="8"/>
      <c r="EBP136" s="8"/>
      <c r="EBQ136" s="8"/>
      <c r="EBR136" s="8"/>
      <c r="EBS136" s="8"/>
      <c r="EBT136" s="8"/>
      <c r="EBU136" s="8"/>
      <c r="EBV136" s="8"/>
      <c r="EBW136" s="8"/>
      <c r="EBX136" s="8"/>
      <c r="EBY136" s="8"/>
      <c r="EBZ136" s="8"/>
      <c r="ECA136" s="8"/>
      <c r="ECB136" s="8"/>
      <c r="ECC136" s="8"/>
      <c r="ECD136" s="8"/>
      <c r="ECE136" s="8"/>
      <c r="ECF136" s="8"/>
      <c r="ECG136" s="8"/>
      <c r="ECH136" s="8"/>
      <c r="ECI136" s="8"/>
      <c r="ECJ136" s="8"/>
      <c r="ECK136" s="8"/>
      <c r="ECL136" s="8"/>
      <c r="ECM136" s="8"/>
      <c r="ECN136" s="8"/>
      <c r="ECO136" s="8"/>
      <c r="ECP136" s="8"/>
      <c r="ECQ136" s="8"/>
      <c r="ECR136" s="8"/>
      <c r="ECS136" s="8"/>
      <c r="ECT136" s="8"/>
      <c r="ECU136" s="8"/>
      <c r="ECV136" s="8"/>
      <c r="ECW136" s="8"/>
      <c r="ECX136" s="8"/>
      <c r="ECY136" s="8"/>
      <c r="ECZ136" s="8"/>
      <c r="EDA136" s="8"/>
      <c r="EDB136" s="8"/>
      <c r="EDC136" s="8"/>
      <c r="EDD136" s="8"/>
      <c r="EDE136" s="8"/>
      <c r="EDF136" s="8"/>
      <c r="EDG136" s="8"/>
      <c r="EDH136" s="8"/>
      <c r="EDI136" s="8"/>
      <c r="EDJ136" s="8"/>
      <c r="EDK136" s="8"/>
      <c r="EDL136" s="8"/>
      <c r="EDM136" s="8"/>
      <c r="EDN136" s="8"/>
      <c r="EDO136" s="8"/>
      <c r="EDP136" s="8"/>
      <c r="EDQ136" s="8"/>
      <c r="EDR136" s="8"/>
      <c r="EDS136" s="8"/>
      <c r="EDT136" s="8"/>
      <c r="EDU136" s="8"/>
      <c r="EDV136" s="8"/>
      <c r="EDW136" s="8"/>
      <c r="EDX136" s="8"/>
      <c r="EDY136" s="8"/>
      <c r="EDZ136" s="8"/>
      <c r="EEA136" s="8"/>
      <c r="EEB136" s="8"/>
      <c r="EEC136" s="8"/>
      <c r="EED136" s="8"/>
      <c r="EEE136" s="8"/>
      <c r="EEF136" s="8"/>
      <c r="EEG136" s="8"/>
      <c r="EEH136" s="8"/>
      <c r="EEI136" s="8"/>
      <c r="EEJ136" s="8"/>
      <c r="EEK136" s="8"/>
      <c r="EEL136" s="8"/>
      <c r="EEM136" s="8"/>
      <c r="EEN136" s="8"/>
      <c r="EEO136" s="8"/>
      <c r="EEP136" s="8"/>
      <c r="EEQ136" s="8"/>
      <c r="EER136" s="8"/>
      <c r="EES136" s="8"/>
      <c r="EET136" s="8"/>
      <c r="EEU136" s="8"/>
      <c r="EEV136" s="8"/>
      <c r="EEW136" s="8"/>
      <c r="EEX136" s="8"/>
      <c r="EEY136" s="8"/>
      <c r="EEZ136" s="8"/>
      <c r="EFA136" s="8"/>
      <c r="EFB136" s="8"/>
      <c r="EFC136" s="8"/>
      <c r="EFD136" s="8"/>
      <c r="EFE136" s="8"/>
      <c r="EFF136" s="8"/>
      <c r="EFG136" s="8"/>
      <c r="EFH136" s="8"/>
      <c r="EFI136" s="8"/>
      <c r="EFJ136" s="8"/>
      <c r="EFK136" s="8"/>
      <c r="EFL136" s="8"/>
      <c r="EFM136" s="8"/>
      <c r="EFN136" s="8"/>
      <c r="EFO136" s="8"/>
      <c r="EFP136" s="8"/>
      <c r="EFQ136" s="8"/>
      <c r="EFR136" s="8"/>
      <c r="EFS136" s="8"/>
      <c r="EFT136" s="8"/>
      <c r="EFU136" s="8"/>
      <c r="EFV136" s="8"/>
      <c r="EFW136" s="8"/>
      <c r="EFX136" s="8"/>
      <c r="EFY136" s="8"/>
      <c r="EFZ136" s="8"/>
      <c r="EGA136" s="8"/>
      <c r="EGB136" s="8"/>
      <c r="EGC136" s="8"/>
      <c r="EGD136" s="8"/>
      <c r="EGE136" s="8"/>
      <c r="EGF136" s="8"/>
      <c r="EGG136" s="8"/>
      <c r="EGH136" s="8"/>
      <c r="EGI136" s="8"/>
      <c r="EGJ136" s="8"/>
      <c r="EGK136" s="8"/>
      <c r="EGL136" s="8"/>
      <c r="EGM136" s="8"/>
      <c r="EGN136" s="8"/>
      <c r="EGO136" s="8"/>
      <c r="EGP136" s="8"/>
      <c r="EGQ136" s="8"/>
      <c r="EGR136" s="8"/>
      <c r="EGS136" s="8"/>
      <c r="EGT136" s="8"/>
      <c r="EGU136" s="8"/>
      <c r="EGV136" s="8"/>
      <c r="EGW136" s="8"/>
      <c r="EGX136" s="8"/>
      <c r="EGY136" s="8"/>
      <c r="EGZ136" s="8"/>
      <c r="EHA136" s="8"/>
      <c r="EHB136" s="8"/>
      <c r="EHC136" s="8"/>
      <c r="EHD136" s="8"/>
      <c r="EHE136" s="8"/>
      <c r="EHF136" s="8"/>
      <c r="EHG136" s="8"/>
      <c r="EHH136" s="8"/>
      <c r="EHI136" s="8"/>
      <c r="EHJ136" s="8"/>
      <c r="EHK136" s="8"/>
      <c r="EHL136" s="8"/>
      <c r="EHM136" s="8"/>
      <c r="EHN136" s="8"/>
      <c r="EHO136" s="8"/>
      <c r="EHP136" s="8"/>
      <c r="EHQ136" s="8"/>
      <c r="EHR136" s="8"/>
      <c r="EHS136" s="8"/>
      <c r="EHT136" s="8"/>
      <c r="EHU136" s="8"/>
      <c r="EHV136" s="8"/>
      <c r="EHW136" s="8"/>
      <c r="EHX136" s="8"/>
      <c r="EHY136" s="8"/>
      <c r="EHZ136" s="8"/>
      <c r="EIA136" s="8"/>
      <c r="EIB136" s="8"/>
      <c r="EIC136" s="8"/>
      <c r="EID136" s="8"/>
      <c r="EIE136" s="8"/>
      <c r="EIF136" s="8"/>
      <c r="EIG136" s="8"/>
      <c r="EIH136" s="8"/>
      <c r="EII136" s="8"/>
      <c r="EIJ136" s="8"/>
      <c r="EIK136" s="8"/>
      <c r="EIL136" s="8"/>
      <c r="EIM136" s="8"/>
      <c r="EIN136" s="8"/>
      <c r="EIO136" s="8"/>
      <c r="EIP136" s="8"/>
      <c r="EIQ136" s="8"/>
      <c r="EIR136" s="8"/>
      <c r="EIS136" s="8"/>
      <c r="EIT136" s="8"/>
      <c r="EIU136" s="8"/>
      <c r="EIV136" s="8"/>
      <c r="EIW136" s="8"/>
      <c r="EIX136" s="8"/>
      <c r="EIY136" s="8"/>
      <c r="EIZ136" s="8"/>
      <c r="EJA136" s="8"/>
      <c r="EJB136" s="8"/>
      <c r="EJC136" s="8"/>
      <c r="EJD136" s="8"/>
      <c r="EJE136" s="8"/>
      <c r="EJF136" s="8"/>
      <c r="EJG136" s="8"/>
      <c r="EJH136" s="8"/>
      <c r="EJI136" s="8"/>
      <c r="EJJ136" s="8"/>
      <c r="EJK136" s="8"/>
      <c r="EJL136" s="8"/>
      <c r="EJM136" s="8"/>
      <c r="EJN136" s="8"/>
      <c r="EJO136" s="8"/>
      <c r="EJP136" s="8"/>
      <c r="EJQ136" s="8"/>
      <c r="EJR136" s="8"/>
      <c r="EJS136" s="8"/>
      <c r="EJT136" s="8"/>
      <c r="EJU136" s="8"/>
      <c r="EJV136" s="8"/>
      <c r="EJW136" s="8"/>
      <c r="EJX136" s="8"/>
      <c r="EJY136" s="8"/>
      <c r="EJZ136" s="8"/>
      <c r="EKA136" s="8"/>
      <c r="EKB136" s="8"/>
      <c r="EKC136" s="8"/>
      <c r="EKD136" s="8"/>
      <c r="EKE136" s="8"/>
      <c r="EKF136" s="8"/>
      <c r="EKG136" s="8"/>
      <c r="EKH136" s="8"/>
      <c r="EKI136" s="8"/>
      <c r="EKJ136" s="8"/>
      <c r="EKK136" s="8"/>
      <c r="EKL136" s="8"/>
      <c r="EKM136" s="8"/>
      <c r="EKN136" s="8"/>
      <c r="EKO136" s="8"/>
      <c r="EKP136" s="8"/>
      <c r="EKQ136" s="8"/>
      <c r="EKR136" s="8"/>
      <c r="EKS136" s="8"/>
      <c r="EKT136" s="8"/>
      <c r="EKU136" s="8"/>
      <c r="EKV136" s="8"/>
      <c r="EKW136" s="8"/>
      <c r="EKX136" s="8"/>
      <c r="EKY136" s="8"/>
      <c r="EKZ136" s="8"/>
      <c r="ELA136" s="8"/>
      <c r="ELB136" s="8"/>
      <c r="ELC136" s="8"/>
      <c r="ELD136" s="8"/>
      <c r="ELE136" s="8"/>
      <c r="ELF136" s="8"/>
      <c r="ELG136" s="8"/>
      <c r="ELH136" s="8"/>
      <c r="ELI136" s="8"/>
      <c r="ELJ136" s="8"/>
      <c r="ELK136" s="8"/>
      <c r="ELL136" s="8"/>
      <c r="ELM136" s="8"/>
      <c r="ELN136" s="8"/>
      <c r="ELO136" s="8"/>
      <c r="ELP136" s="8"/>
      <c r="ELQ136" s="8"/>
      <c r="ELR136" s="8"/>
      <c r="ELS136" s="8"/>
      <c r="ELT136" s="8"/>
      <c r="ELU136" s="8"/>
      <c r="ELV136" s="8"/>
      <c r="ELW136" s="8"/>
      <c r="ELX136" s="8"/>
      <c r="ELY136" s="8"/>
      <c r="ELZ136" s="8"/>
      <c r="EMA136" s="8"/>
      <c r="EMB136" s="8"/>
      <c r="EMC136" s="8"/>
      <c r="EMD136" s="8"/>
      <c r="EME136" s="8"/>
      <c r="EMF136" s="8"/>
      <c r="EMG136" s="8"/>
      <c r="EMH136" s="8"/>
      <c r="EMI136" s="8"/>
      <c r="EMJ136" s="8"/>
      <c r="EMK136" s="8"/>
      <c r="EML136" s="8"/>
      <c r="EMM136" s="8"/>
      <c r="EMN136" s="8"/>
      <c r="EMO136" s="8"/>
      <c r="EMP136" s="8"/>
      <c r="EMQ136" s="8"/>
      <c r="EMR136" s="8"/>
      <c r="EMS136" s="8"/>
      <c r="EMT136" s="8"/>
      <c r="EMU136" s="8"/>
      <c r="EMV136" s="8"/>
      <c r="EMW136" s="8"/>
      <c r="EMX136" s="8"/>
      <c r="EMY136" s="8"/>
      <c r="EMZ136" s="8"/>
      <c r="ENA136" s="8"/>
      <c r="ENB136" s="8"/>
      <c r="ENC136" s="8"/>
      <c r="END136" s="8"/>
      <c r="ENE136" s="8"/>
      <c r="ENF136" s="8"/>
      <c r="ENG136" s="8"/>
      <c r="ENH136" s="8"/>
      <c r="ENI136" s="8"/>
      <c r="ENJ136" s="8"/>
      <c r="ENK136" s="8"/>
      <c r="ENL136" s="8"/>
      <c r="ENM136" s="8"/>
      <c r="ENN136" s="8"/>
      <c r="ENO136" s="8"/>
      <c r="ENP136" s="8"/>
      <c r="ENQ136" s="8"/>
      <c r="ENR136" s="8"/>
      <c r="ENS136" s="8"/>
      <c r="ENT136" s="8"/>
      <c r="ENU136" s="8"/>
      <c r="ENV136" s="8"/>
      <c r="ENW136" s="8"/>
      <c r="ENX136" s="8"/>
      <c r="ENY136" s="8"/>
      <c r="ENZ136" s="8"/>
      <c r="EOA136" s="8"/>
      <c r="EOB136" s="8"/>
      <c r="EOC136" s="8"/>
      <c r="EOD136" s="8"/>
      <c r="EOE136" s="8"/>
      <c r="EOF136" s="8"/>
      <c r="EOG136" s="8"/>
      <c r="EOH136" s="8"/>
      <c r="EOI136" s="8"/>
      <c r="EOJ136" s="8"/>
      <c r="EOK136" s="8"/>
      <c r="EOL136" s="8"/>
      <c r="EOM136" s="8"/>
      <c r="EON136" s="8"/>
      <c r="EOO136" s="8"/>
      <c r="EOP136" s="8"/>
      <c r="EOQ136" s="8"/>
      <c r="EOR136" s="8"/>
      <c r="EOS136" s="8"/>
      <c r="EOT136" s="8"/>
      <c r="EOU136" s="8"/>
      <c r="EOV136" s="8"/>
      <c r="EOW136" s="8"/>
      <c r="EOX136" s="8"/>
      <c r="EOY136" s="8"/>
      <c r="EOZ136" s="8"/>
      <c r="EPA136" s="8"/>
      <c r="EPB136" s="8"/>
      <c r="EPC136" s="8"/>
      <c r="EPD136" s="8"/>
      <c r="EPE136" s="8"/>
      <c r="EPF136" s="8"/>
      <c r="EPG136" s="8"/>
      <c r="EPH136" s="8"/>
      <c r="EPI136" s="8"/>
      <c r="EPJ136" s="8"/>
      <c r="EPK136" s="8"/>
      <c r="EPL136" s="8"/>
      <c r="EPM136" s="8"/>
      <c r="EPN136" s="8"/>
      <c r="EPO136" s="8"/>
      <c r="EPP136" s="8"/>
      <c r="EPQ136" s="8"/>
      <c r="EPR136" s="8"/>
      <c r="EPS136" s="8"/>
      <c r="EPT136" s="8"/>
      <c r="EPU136" s="8"/>
      <c r="EPV136" s="8"/>
      <c r="EPW136" s="8"/>
      <c r="EPX136" s="8"/>
      <c r="EPY136" s="8"/>
      <c r="EPZ136" s="8"/>
      <c r="EQA136" s="8"/>
      <c r="EQB136" s="8"/>
      <c r="EQC136" s="8"/>
      <c r="EQD136" s="8"/>
      <c r="EQE136" s="8"/>
      <c r="EQF136" s="8"/>
      <c r="EQG136" s="8"/>
      <c r="EQH136" s="8"/>
      <c r="EQI136" s="8"/>
      <c r="EQJ136" s="8"/>
      <c r="EQK136" s="8"/>
      <c r="EQL136" s="8"/>
      <c r="EQM136" s="8"/>
      <c r="EQN136" s="8"/>
      <c r="EQO136" s="8"/>
      <c r="EQP136" s="8"/>
      <c r="EQQ136" s="8"/>
      <c r="EQR136" s="8"/>
      <c r="EQS136" s="8"/>
      <c r="EQT136" s="8"/>
      <c r="EQU136" s="8"/>
      <c r="EQV136" s="8"/>
      <c r="EQW136" s="8"/>
      <c r="EQX136" s="8"/>
      <c r="EQY136" s="8"/>
      <c r="EQZ136" s="8"/>
      <c r="ERA136" s="8"/>
      <c r="ERB136" s="8"/>
      <c r="ERC136" s="8"/>
      <c r="ERD136" s="8"/>
      <c r="ERE136" s="8"/>
      <c r="ERF136" s="8"/>
      <c r="ERG136" s="8"/>
      <c r="ERH136" s="8"/>
      <c r="ERI136" s="8"/>
      <c r="ERJ136" s="8"/>
      <c r="ERK136" s="8"/>
      <c r="ERL136" s="8"/>
      <c r="ERM136" s="8"/>
      <c r="ERN136" s="8"/>
      <c r="ERO136" s="8"/>
      <c r="ERP136" s="8"/>
      <c r="ERQ136" s="8"/>
      <c r="ERR136" s="8"/>
      <c r="ERS136" s="8"/>
      <c r="ERT136" s="8"/>
      <c r="ERU136" s="8"/>
      <c r="ERV136" s="8"/>
      <c r="ERW136" s="8"/>
      <c r="ERX136" s="8"/>
      <c r="ERY136" s="8"/>
      <c r="ERZ136" s="8"/>
      <c r="ESA136" s="8"/>
      <c r="ESB136" s="8"/>
      <c r="ESC136" s="8"/>
      <c r="ESD136" s="8"/>
      <c r="ESE136" s="8"/>
      <c r="ESF136" s="8"/>
      <c r="ESG136" s="8"/>
      <c r="ESH136" s="8"/>
      <c r="ESI136" s="8"/>
      <c r="ESJ136" s="8"/>
      <c r="ESK136" s="8"/>
      <c r="ESL136" s="8"/>
      <c r="ESM136" s="8"/>
      <c r="ESN136" s="8"/>
      <c r="ESO136" s="8"/>
      <c r="ESP136" s="8"/>
      <c r="ESQ136" s="8"/>
      <c r="ESR136" s="8"/>
      <c r="ESS136" s="8"/>
      <c r="EST136" s="8"/>
      <c r="ESU136" s="8"/>
      <c r="ESV136" s="8"/>
      <c r="ESW136" s="8"/>
      <c r="ESX136" s="8"/>
      <c r="ESY136" s="8"/>
      <c r="ESZ136" s="8"/>
      <c r="ETA136" s="8"/>
      <c r="ETB136" s="8"/>
      <c r="ETC136" s="8"/>
      <c r="ETD136" s="8"/>
      <c r="ETE136" s="8"/>
      <c r="ETF136" s="8"/>
      <c r="ETG136" s="8"/>
      <c r="ETH136" s="8"/>
      <c r="ETI136" s="8"/>
      <c r="ETJ136" s="8"/>
      <c r="ETK136" s="8"/>
      <c r="ETL136" s="8"/>
      <c r="ETM136" s="8"/>
      <c r="ETN136" s="8"/>
      <c r="ETO136" s="8"/>
      <c r="ETP136" s="8"/>
      <c r="ETQ136" s="8"/>
      <c r="ETR136" s="8"/>
      <c r="ETS136" s="8"/>
      <c r="ETT136" s="8"/>
      <c r="ETU136" s="8"/>
      <c r="ETV136" s="8"/>
      <c r="ETW136" s="8"/>
      <c r="ETX136" s="8"/>
      <c r="ETY136" s="8"/>
      <c r="ETZ136" s="8"/>
      <c r="EUA136" s="8"/>
      <c r="EUB136" s="8"/>
      <c r="EUC136" s="8"/>
      <c r="EUD136" s="8"/>
      <c r="EUE136" s="8"/>
      <c r="EUF136" s="8"/>
      <c r="EUG136" s="8"/>
      <c r="EUH136" s="8"/>
      <c r="EUI136" s="8"/>
      <c r="EUJ136" s="8"/>
      <c r="EUK136" s="8"/>
      <c r="EUL136" s="8"/>
      <c r="EUM136" s="8"/>
      <c r="EUN136" s="8"/>
      <c r="EUO136" s="8"/>
      <c r="EUP136" s="8"/>
      <c r="EUQ136" s="8"/>
      <c r="EUR136" s="8"/>
      <c r="EUS136" s="8"/>
      <c r="EUT136" s="8"/>
      <c r="EUU136" s="8"/>
      <c r="EUV136" s="8"/>
      <c r="EUW136" s="8"/>
      <c r="EUX136" s="8"/>
      <c r="EUY136" s="8"/>
      <c r="EUZ136" s="8"/>
      <c r="EVA136" s="8"/>
      <c r="EVB136" s="8"/>
      <c r="EVC136" s="8"/>
      <c r="EVD136" s="8"/>
      <c r="EVE136" s="8"/>
      <c r="EVF136" s="8"/>
      <c r="EVG136" s="8"/>
      <c r="EVH136" s="8"/>
      <c r="EVI136" s="8"/>
      <c r="EVJ136" s="8"/>
      <c r="EVK136" s="8"/>
      <c r="EVL136" s="8"/>
      <c r="EVM136" s="8"/>
      <c r="EVN136" s="8"/>
      <c r="EVO136" s="8"/>
      <c r="EVP136" s="8"/>
      <c r="EVQ136" s="8"/>
      <c r="EVR136" s="8"/>
      <c r="EVS136" s="8"/>
      <c r="EVT136" s="8"/>
      <c r="EVU136" s="8"/>
      <c r="EVV136" s="8"/>
      <c r="EVW136" s="8"/>
      <c r="EVX136" s="8"/>
      <c r="EVY136" s="8"/>
      <c r="EVZ136" s="8"/>
      <c r="EWA136" s="8"/>
      <c r="EWB136" s="8"/>
      <c r="EWC136" s="8"/>
      <c r="EWD136" s="8"/>
      <c r="EWE136" s="8"/>
      <c r="EWF136" s="8"/>
      <c r="EWG136" s="8"/>
      <c r="EWH136" s="8"/>
      <c r="EWI136" s="8"/>
      <c r="EWJ136" s="8"/>
      <c r="EWK136" s="8"/>
      <c r="EWL136" s="8"/>
      <c r="EWM136" s="8"/>
      <c r="EWN136" s="8"/>
      <c r="EWO136" s="8"/>
      <c r="EWP136" s="8"/>
      <c r="EWQ136" s="8"/>
      <c r="EWR136" s="8"/>
      <c r="EWS136" s="8"/>
      <c r="EWT136" s="8"/>
      <c r="EWU136" s="8"/>
      <c r="EWV136" s="8"/>
      <c r="EWW136" s="8"/>
      <c r="EWX136" s="8"/>
      <c r="EWY136" s="8"/>
      <c r="EWZ136" s="8"/>
      <c r="EXA136" s="8"/>
      <c r="EXB136" s="8"/>
      <c r="EXC136" s="8"/>
      <c r="EXD136" s="8"/>
      <c r="EXE136" s="8"/>
      <c r="EXF136" s="8"/>
      <c r="EXG136" s="8"/>
      <c r="EXH136" s="8"/>
      <c r="EXI136" s="8"/>
      <c r="EXJ136" s="8"/>
      <c r="EXK136" s="8"/>
      <c r="EXL136" s="8"/>
      <c r="EXM136" s="8"/>
      <c r="EXN136" s="8"/>
      <c r="EXO136" s="8"/>
      <c r="EXP136" s="8"/>
      <c r="EXQ136" s="8"/>
      <c r="EXR136" s="8"/>
      <c r="EXS136" s="8"/>
      <c r="EXT136" s="8"/>
      <c r="EXU136" s="8"/>
      <c r="EXV136" s="8"/>
      <c r="EXW136" s="8"/>
      <c r="EXX136" s="8"/>
      <c r="EXY136" s="8"/>
      <c r="EXZ136" s="8"/>
      <c r="EYA136" s="8"/>
      <c r="EYB136" s="8"/>
      <c r="EYC136" s="8"/>
      <c r="EYD136" s="8"/>
      <c r="EYE136" s="8"/>
      <c r="EYF136" s="8"/>
      <c r="EYG136" s="8"/>
      <c r="EYH136" s="8"/>
      <c r="EYI136" s="8"/>
      <c r="EYJ136" s="8"/>
      <c r="EYK136" s="8"/>
      <c r="EYL136" s="8"/>
      <c r="EYM136" s="8"/>
      <c r="EYN136" s="8"/>
      <c r="EYO136" s="8"/>
      <c r="EYP136" s="8"/>
      <c r="EYQ136" s="8"/>
      <c r="EYR136" s="8"/>
      <c r="EYS136" s="8"/>
      <c r="EYT136" s="8"/>
      <c r="EYU136" s="8"/>
      <c r="EYV136" s="8"/>
      <c r="EYW136" s="8"/>
      <c r="EYX136" s="8"/>
      <c r="EYY136" s="8"/>
      <c r="EYZ136" s="8"/>
      <c r="EZA136" s="8"/>
      <c r="EZB136" s="8"/>
      <c r="EZC136" s="8"/>
      <c r="EZD136" s="8"/>
      <c r="EZE136" s="8"/>
      <c r="EZF136" s="8"/>
      <c r="EZG136" s="8"/>
      <c r="EZH136" s="8"/>
      <c r="EZI136" s="8"/>
      <c r="EZJ136" s="8"/>
      <c r="EZK136" s="8"/>
      <c r="EZL136" s="8"/>
      <c r="EZM136" s="8"/>
      <c r="EZN136" s="8"/>
      <c r="EZO136" s="8"/>
      <c r="EZP136" s="8"/>
      <c r="EZQ136" s="8"/>
      <c r="EZR136" s="8"/>
      <c r="EZS136" s="8"/>
      <c r="EZT136" s="8"/>
      <c r="EZU136" s="8"/>
      <c r="EZV136" s="8"/>
      <c r="EZW136" s="8"/>
      <c r="EZX136" s="8"/>
      <c r="EZY136" s="8"/>
      <c r="EZZ136" s="8"/>
      <c r="FAA136" s="8"/>
      <c r="FAB136" s="8"/>
      <c r="FAC136" s="8"/>
      <c r="FAD136" s="8"/>
      <c r="FAE136" s="8"/>
      <c r="FAF136" s="8"/>
      <c r="FAG136" s="8"/>
      <c r="FAH136" s="8"/>
      <c r="FAI136" s="8"/>
      <c r="FAJ136" s="8"/>
      <c r="FAK136" s="8"/>
      <c r="FAL136" s="8"/>
      <c r="FAM136" s="8"/>
      <c r="FAN136" s="8"/>
      <c r="FAO136" s="8"/>
      <c r="FAP136" s="8"/>
      <c r="FAQ136" s="8"/>
      <c r="FAR136" s="8"/>
      <c r="FAS136" s="8"/>
      <c r="FAT136" s="8"/>
      <c r="FAU136" s="8"/>
      <c r="FAV136" s="8"/>
      <c r="FAW136" s="8"/>
      <c r="FAX136" s="8"/>
      <c r="FAY136" s="8"/>
      <c r="FAZ136" s="8"/>
      <c r="FBA136" s="8"/>
      <c r="FBB136" s="8"/>
      <c r="FBC136" s="8"/>
      <c r="FBD136" s="8"/>
      <c r="FBE136" s="8"/>
      <c r="FBF136" s="8"/>
      <c r="FBG136" s="8"/>
      <c r="FBH136" s="8"/>
      <c r="FBI136" s="8"/>
      <c r="FBJ136" s="8"/>
      <c r="FBK136" s="8"/>
      <c r="FBL136" s="8"/>
      <c r="FBM136" s="8"/>
      <c r="FBN136" s="8"/>
      <c r="FBO136" s="8"/>
      <c r="FBP136" s="8"/>
      <c r="FBQ136" s="8"/>
      <c r="FBR136" s="8"/>
      <c r="FBS136" s="8"/>
      <c r="FBT136" s="8"/>
      <c r="FBU136" s="8"/>
      <c r="FBV136" s="8"/>
      <c r="FBW136" s="8"/>
      <c r="FBX136" s="8"/>
      <c r="FBY136" s="8"/>
      <c r="FBZ136" s="8"/>
      <c r="FCA136" s="8"/>
      <c r="FCB136" s="8"/>
      <c r="FCC136" s="8"/>
      <c r="FCD136" s="8"/>
      <c r="FCE136" s="8"/>
      <c r="FCF136" s="8"/>
      <c r="FCG136" s="8"/>
      <c r="FCH136" s="8"/>
      <c r="FCI136" s="8"/>
      <c r="FCJ136" s="8"/>
      <c r="FCK136" s="8"/>
      <c r="FCL136" s="8"/>
      <c r="FCM136" s="8"/>
      <c r="FCN136" s="8"/>
      <c r="FCO136" s="8"/>
      <c r="FCP136" s="8"/>
      <c r="FCQ136" s="8"/>
      <c r="FCR136" s="8"/>
      <c r="FCS136" s="8"/>
      <c r="FCT136" s="8"/>
      <c r="FCU136" s="8"/>
      <c r="FCV136" s="8"/>
      <c r="FCW136" s="8"/>
      <c r="FCX136" s="8"/>
      <c r="FCY136" s="8"/>
      <c r="FCZ136" s="8"/>
      <c r="FDA136" s="8"/>
      <c r="FDB136" s="8"/>
      <c r="FDC136" s="8"/>
      <c r="FDD136" s="8"/>
      <c r="FDE136" s="8"/>
      <c r="FDF136" s="8"/>
      <c r="FDG136" s="8"/>
      <c r="FDH136" s="8"/>
      <c r="FDI136" s="8"/>
      <c r="FDJ136" s="8"/>
      <c r="FDK136" s="8"/>
      <c r="FDL136" s="8"/>
      <c r="FDM136" s="8"/>
      <c r="FDN136" s="8"/>
      <c r="FDO136" s="8"/>
      <c r="FDP136" s="8"/>
      <c r="FDQ136" s="8"/>
      <c r="FDR136" s="8"/>
      <c r="FDS136" s="8"/>
      <c r="FDT136" s="8"/>
      <c r="FDU136" s="8"/>
      <c r="FDV136" s="8"/>
      <c r="FDW136" s="8"/>
      <c r="FDX136" s="8"/>
      <c r="FDY136" s="8"/>
      <c r="FDZ136" s="8"/>
      <c r="FEA136" s="8"/>
      <c r="FEB136" s="8"/>
      <c r="FEC136" s="8"/>
      <c r="FED136" s="8"/>
      <c r="FEE136" s="8"/>
      <c r="FEF136" s="8"/>
      <c r="FEG136" s="8"/>
      <c r="FEH136" s="8"/>
      <c r="FEI136" s="8"/>
      <c r="FEJ136" s="8"/>
      <c r="FEK136" s="8"/>
      <c r="FEL136" s="8"/>
      <c r="FEM136" s="8"/>
      <c r="FEN136" s="8"/>
      <c r="FEO136" s="8"/>
      <c r="FEP136" s="8"/>
      <c r="FEQ136" s="8"/>
      <c r="FER136" s="8"/>
      <c r="FES136" s="8"/>
      <c r="FET136" s="8"/>
      <c r="FEU136" s="8"/>
      <c r="FEV136" s="8"/>
      <c r="FEW136" s="8"/>
      <c r="FEX136" s="8"/>
      <c r="FEY136" s="8"/>
      <c r="FEZ136" s="8"/>
      <c r="FFA136" s="8"/>
      <c r="FFB136" s="8"/>
      <c r="FFC136" s="8"/>
      <c r="FFD136" s="8"/>
      <c r="FFE136" s="8"/>
      <c r="FFF136" s="8"/>
      <c r="FFG136" s="8"/>
      <c r="FFH136" s="8"/>
      <c r="FFI136" s="8"/>
      <c r="FFJ136" s="8"/>
      <c r="FFK136" s="8"/>
      <c r="FFL136" s="8"/>
      <c r="FFM136" s="8"/>
      <c r="FFN136" s="8"/>
      <c r="FFO136" s="8"/>
      <c r="FFP136" s="8"/>
      <c r="FFQ136" s="8"/>
      <c r="FFR136" s="8"/>
      <c r="FFS136" s="8"/>
      <c r="FFT136" s="8"/>
      <c r="FFU136" s="8"/>
      <c r="FFV136" s="8"/>
      <c r="FFW136" s="8"/>
      <c r="FFX136" s="8"/>
      <c r="FFY136" s="8"/>
      <c r="FFZ136" s="8"/>
      <c r="FGA136" s="8"/>
      <c r="FGB136" s="8"/>
      <c r="FGC136" s="8"/>
      <c r="FGD136" s="8"/>
      <c r="FGE136" s="8"/>
      <c r="FGF136" s="8"/>
      <c r="FGG136" s="8"/>
      <c r="FGH136" s="8"/>
      <c r="FGI136" s="8"/>
      <c r="FGJ136" s="8"/>
      <c r="FGK136" s="8"/>
      <c r="FGL136" s="8"/>
      <c r="FGM136" s="8"/>
      <c r="FGN136" s="8"/>
      <c r="FGO136" s="8"/>
      <c r="FGP136" s="8"/>
      <c r="FGQ136" s="8"/>
      <c r="FGR136" s="8"/>
      <c r="FGS136" s="8"/>
      <c r="FGT136" s="8"/>
      <c r="FGU136" s="8"/>
      <c r="FGV136" s="8"/>
      <c r="FGW136" s="8"/>
      <c r="FGX136" s="8"/>
      <c r="FGY136" s="8"/>
      <c r="FGZ136" s="8"/>
      <c r="FHA136" s="8"/>
      <c r="FHB136" s="8"/>
      <c r="FHC136" s="8"/>
      <c r="FHD136" s="8"/>
      <c r="FHE136" s="8"/>
      <c r="FHF136" s="8"/>
      <c r="FHG136" s="8"/>
      <c r="FHH136" s="8"/>
      <c r="FHI136" s="8"/>
      <c r="FHJ136" s="8"/>
      <c r="FHK136" s="8"/>
      <c r="FHL136" s="8"/>
      <c r="FHM136" s="8"/>
      <c r="FHN136" s="8"/>
      <c r="FHO136" s="8"/>
      <c r="FHP136" s="8"/>
      <c r="FHQ136" s="8"/>
      <c r="FHR136" s="8"/>
      <c r="FHS136" s="8"/>
      <c r="FHT136" s="8"/>
      <c r="FHU136" s="8"/>
      <c r="FHV136" s="8"/>
      <c r="FHW136" s="8"/>
      <c r="FHX136" s="8"/>
      <c r="FHY136" s="8"/>
      <c r="FHZ136" s="8"/>
      <c r="FIA136" s="8"/>
      <c r="FIB136" s="8"/>
      <c r="FIC136" s="8"/>
      <c r="FID136" s="8"/>
      <c r="FIE136" s="8"/>
      <c r="FIF136" s="8"/>
      <c r="FIG136" s="8"/>
      <c r="FIH136" s="8"/>
      <c r="FII136" s="8"/>
      <c r="FIJ136" s="8"/>
      <c r="FIK136" s="8"/>
      <c r="FIL136" s="8"/>
      <c r="FIM136" s="8"/>
      <c r="FIN136" s="8"/>
      <c r="FIO136" s="8"/>
      <c r="FIP136" s="8"/>
      <c r="FIQ136" s="8"/>
      <c r="FIR136" s="8"/>
      <c r="FIS136" s="8"/>
      <c r="FIT136" s="8"/>
      <c r="FIU136" s="8"/>
      <c r="FIV136" s="8"/>
      <c r="FIW136" s="8"/>
      <c r="FIX136" s="8"/>
      <c r="FIY136" s="8"/>
      <c r="FIZ136" s="8"/>
      <c r="FJA136" s="8"/>
      <c r="FJB136" s="8"/>
      <c r="FJC136" s="8"/>
      <c r="FJD136" s="8"/>
      <c r="FJE136" s="8"/>
      <c r="FJF136" s="8"/>
      <c r="FJG136" s="8"/>
      <c r="FJH136" s="8"/>
      <c r="FJI136" s="8"/>
      <c r="FJJ136" s="8"/>
      <c r="FJK136" s="8"/>
      <c r="FJL136" s="8"/>
      <c r="FJM136" s="8"/>
      <c r="FJN136" s="8"/>
      <c r="FJO136" s="8"/>
      <c r="FJP136" s="8"/>
      <c r="FJQ136" s="8"/>
      <c r="FJR136" s="8"/>
      <c r="FJS136" s="8"/>
      <c r="FJT136" s="8"/>
      <c r="FJU136" s="8"/>
      <c r="FJV136" s="8"/>
      <c r="FJW136" s="8"/>
      <c r="FJX136" s="8"/>
      <c r="FJY136" s="8"/>
      <c r="FJZ136" s="8"/>
      <c r="FKA136" s="8"/>
      <c r="FKB136" s="8"/>
      <c r="FKC136" s="8"/>
      <c r="FKD136" s="8"/>
      <c r="FKE136" s="8"/>
      <c r="FKF136" s="8"/>
      <c r="FKG136" s="8"/>
      <c r="FKH136" s="8"/>
      <c r="FKI136" s="8"/>
      <c r="FKJ136" s="8"/>
      <c r="FKK136" s="8"/>
      <c r="FKL136" s="8"/>
      <c r="FKM136" s="8"/>
      <c r="FKN136" s="8"/>
      <c r="FKO136" s="8"/>
      <c r="FKP136" s="8"/>
      <c r="FKQ136" s="8"/>
      <c r="FKR136" s="8"/>
      <c r="FKS136" s="8"/>
      <c r="FKT136" s="8"/>
      <c r="FKU136" s="8"/>
      <c r="FKV136" s="8"/>
      <c r="FKW136" s="8"/>
      <c r="FKX136" s="8"/>
      <c r="FKY136" s="8"/>
      <c r="FKZ136" s="8"/>
      <c r="FLA136" s="8"/>
      <c r="FLB136" s="8"/>
      <c r="FLC136" s="8"/>
      <c r="FLD136" s="8"/>
      <c r="FLE136" s="8"/>
      <c r="FLF136" s="8"/>
      <c r="FLG136" s="8"/>
      <c r="FLH136" s="8"/>
      <c r="FLI136" s="8"/>
      <c r="FLJ136" s="8"/>
      <c r="FLK136" s="8"/>
      <c r="FLL136" s="8"/>
      <c r="FLM136" s="8"/>
      <c r="FLN136" s="8"/>
      <c r="FLO136" s="8"/>
      <c r="FLP136" s="8"/>
      <c r="FLQ136" s="8"/>
      <c r="FLR136" s="8"/>
      <c r="FLS136" s="8"/>
      <c r="FLT136" s="8"/>
      <c r="FLU136" s="8"/>
      <c r="FLV136" s="8"/>
      <c r="FLW136" s="8"/>
      <c r="FLX136" s="8"/>
      <c r="FLY136" s="8"/>
      <c r="FLZ136" s="8"/>
      <c r="FMA136" s="8"/>
      <c r="FMB136" s="8"/>
      <c r="FMC136" s="8"/>
      <c r="FMD136" s="8"/>
      <c r="FME136" s="8"/>
      <c r="FMF136" s="8"/>
      <c r="FMG136" s="8"/>
      <c r="FMH136" s="8"/>
      <c r="FMI136" s="8"/>
      <c r="FMJ136" s="8"/>
      <c r="FMK136" s="8"/>
      <c r="FML136" s="8"/>
      <c r="FMM136" s="8"/>
      <c r="FMN136" s="8"/>
      <c r="FMO136" s="8"/>
      <c r="FMP136" s="8"/>
      <c r="FMQ136" s="8"/>
      <c r="FMR136" s="8"/>
      <c r="FMS136" s="8"/>
      <c r="FMT136" s="8"/>
      <c r="FMU136" s="8"/>
      <c r="FMV136" s="8"/>
      <c r="FMW136" s="8"/>
      <c r="FMX136" s="8"/>
      <c r="FMY136" s="8"/>
      <c r="FMZ136" s="8"/>
      <c r="FNA136" s="8"/>
      <c r="FNB136" s="8"/>
      <c r="FNC136" s="8"/>
      <c r="FND136" s="8"/>
      <c r="FNE136" s="8"/>
      <c r="FNF136" s="8"/>
      <c r="FNG136" s="8"/>
      <c r="FNH136" s="8"/>
      <c r="FNI136" s="8"/>
      <c r="FNJ136" s="8"/>
      <c r="FNK136" s="8"/>
      <c r="FNL136" s="8"/>
      <c r="FNM136" s="8"/>
      <c r="FNN136" s="8"/>
      <c r="FNO136" s="8"/>
      <c r="FNP136" s="8"/>
      <c r="FNQ136" s="8"/>
      <c r="FNR136" s="8"/>
      <c r="FNS136" s="8"/>
      <c r="FNT136" s="8"/>
      <c r="FNU136" s="8"/>
      <c r="FNV136" s="8"/>
      <c r="FNW136" s="8"/>
      <c r="FNX136" s="8"/>
      <c r="FNY136" s="8"/>
      <c r="FNZ136" s="8"/>
      <c r="FOA136" s="8"/>
      <c r="FOB136" s="8"/>
      <c r="FOC136" s="8"/>
      <c r="FOD136" s="8"/>
      <c r="FOE136" s="8"/>
      <c r="FOF136" s="8"/>
      <c r="FOG136" s="8"/>
      <c r="FOH136" s="8"/>
      <c r="FOI136" s="8"/>
      <c r="FOJ136" s="8"/>
      <c r="FOK136" s="8"/>
      <c r="FOL136" s="8"/>
      <c r="FOM136" s="8"/>
      <c r="FON136" s="8"/>
      <c r="FOO136" s="8"/>
      <c r="FOP136" s="8"/>
      <c r="FOQ136" s="8"/>
      <c r="FOR136" s="8"/>
      <c r="FOS136" s="8"/>
      <c r="FOT136" s="8"/>
      <c r="FOU136" s="8"/>
      <c r="FOV136" s="8"/>
      <c r="FOW136" s="8"/>
      <c r="FOX136" s="8"/>
      <c r="FOY136" s="8"/>
      <c r="FOZ136" s="8"/>
      <c r="FPA136" s="8"/>
      <c r="FPB136" s="8"/>
      <c r="FPC136" s="8"/>
      <c r="FPD136" s="8"/>
      <c r="FPE136" s="8"/>
      <c r="FPF136" s="8"/>
      <c r="FPG136" s="8"/>
      <c r="FPH136" s="8"/>
      <c r="FPI136" s="8"/>
      <c r="FPJ136" s="8"/>
      <c r="FPK136" s="8"/>
      <c r="FPL136" s="8"/>
      <c r="FPM136" s="8"/>
      <c r="FPN136" s="8"/>
      <c r="FPO136" s="8"/>
      <c r="FPP136" s="8"/>
      <c r="FPQ136" s="8"/>
      <c r="FPR136" s="8"/>
      <c r="FPS136" s="8"/>
      <c r="FPT136" s="8"/>
      <c r="FPU136" s="8"/>
      <c r="FPV136" s="8"/>
      <c r="FPW136" s="8"/>
      <c r="FPX136" s="8"/>
      <c r="FPY136" s="8"/>
      <c r="FPZ136" s="8"/>
      <c r="FQA136" s="8"/>
      <c r="FQB136" s="8"/>
      <c r="FQC136" s="8"/>
      <c r="FQD136" s="8"/>
      <c r="FQE136" s="8"/>
      <c r="FQF136" s="8"/>
      <c r="FQG136" s="8"/>
      <c r="FQH136" s="8"/>
      <c r="FQI136" s="8"/>
      <c r="FQJ136" s="8"/>
      <c r="FQK136" s="8"/>
      <c r="FQL136" s="8"/>
      <c r="FQM136" s="8"/>
      <c r="FQN136" s="8"/>
      <c r="FQO136" s="8"/>
      <c r="FQP136" s="8"/>
      <c r="FQQ136" s="8"/>
      <c r="FQR136" s="8"/>
      <c r="FQS136" s="8"/>
      <c r="FQT136" s="8"/>
      <c r="FQU136" s="8"/>
      <c r="FQV136" s="8"/>
      <c r="FQW136" s="8"/>
      <c r="FQX136" s="8"/>
      <c r="FQY136" s="8"/>
      <c r="FQZ136" s="8"/>
      <c r="FRA136" s="8"/>
      <c r="FRB136" s="8"/>
      <c r="FRC136" s="8"/>
      <c r="FRD136" s="8"/>
      <c r="FRE136" s="8"/>
      <c r="FRF136" s="8"/>
      <c r="FRG136" s="8"/>
      <c r="FRH136" s="8"/>
      <c r="FRI136" s="8"/>
      <c r="FRJ136" s="8"/>
      <c r="FRK136" s="8"/>
      <c r="FRL136" s="8"/>
      <c r="FRM136" s="8"/>
      <c r="FRN136" s="8"/>
      <c r="FRO136" s="8"/>
      <c r="FRP136" s="8"/>
      <c r="FRQ136" s="8"/>
      <c r="FRR136" s="8"/>
      <c r="FRS136" s="8"/>
      <c r="FRT136" s="8"/>
      <c r="FRU136" s="8"/>
      <c r="FRV136" s="8"/>
      <c r="FRW136" s="8"/>
      <c r="FRX136" s="8"/>
      <c r="FRY136" s="8"/>
      <c r="FRZ136" s="8"/>
      <c r="FSA136" s="8"/>
      <c r="FSB136" s="8"/>
      <c r="FSC136" s="8"/>
      <c r="FSD136" s="8"/>
      <c r="FSE136" s="8"/>
      <c r="FSF136" s="8"/>
      <c r="FSG136" s="8"/>
      <c r="FSH136" s="8"/>
      <c r="FSI136" s="8"/>
      <c r="FSJ136" s="8"/>
      <c r="FSK136" s="8"/>
      <c r="FSL136" s="8"/>
      <c r="FSM136" s="8"/>
      <c r="FSN136" s="8"/>
      <c r="FSO136" s="8"/>
      <c r="FSP136" s="8"/>
      <c r="FSQ136" s="8"/>
      <c r="FSR136" s="8"/>
      <c r="FSS136" s="8"/>
      <c r="FST136" s="8"/>
      <c r="FSU136" s="8"/>
      <c r="FSV136" s="8"/>
      <c r="FSW136" s="8"/>
      <c r="FSX136" s="8"/>
      <c r="FSY136" s="8"/>
      <c r="FSZ136" s="8"/>
      <c r="FTA136" s="8"/>
      <c r="FTB136" s="8"/>
      <c r="FTC136" s="8"/>
      <c r="FTD136" s="8"/>
      <c r="FTE136" s="8"/>
      <c r="FTF136" s="8"/>
      <c r="FTG136" s="8"/>
      <c r="FTH136" s="8"/>
      <c r="FTI136" s="8"/>
      <c r="FTJ136" s="8"/>
      <c r="FTK136" s="8"/>
      <c r="FTL136" s="8"/>
      <c r="FTM136" s="8"/>
      <c r="FTN136" s="8"/>
      <c r="FTO136" s="8"/>
      <c r="FTP136" s="8"/>
      <c r="FTQ136" s="8"/>
      <c r="FTR136" s="8"/>
      <c r="FTS136" s="8"/>
      <c r="FTT136" s="8"/>
      <c r="FTU136" s="8"/>
      <c r="FTV136" s="8"/>
      <c r="FTW136" s="8"/>
      <c r="FTX136" s="8"/>
      <c r="FTY136" s="8"/>
      <c r="FTZ136" s="8"/>
      <c r="FUA136" s="8"/>
      <c r="FUB136" s="8"/>
      <c r="FUC136" s="8"/>
      <c r="FUD136" s="8"/>
      <c r="FUE136" s="8"/>
      <c r="FUF136" s="8"/>
      <c r="FUG136" s="8"/>
      <c r="FUH136" s="8"/>
      <c r="FUI136" s="8"/>
      <c r="FUJ136" s="8"/>
      <c r="FUK136" s="8"/>
      <c r="FUL136" s="8"/>
      <c r="FUM136" s="8"/>
      <c r="FUN136" s="8"/>
      <c r="FUO136" s="8"/>
      <c r="FUP136" s="8"/>
      <c r="FUQ136" s="8"/>
      <c r="FUR136" s="8"/>
      <c r="FUS136" s="8"/>
      <c r="FUT136" s="8"/>
      <c r="FUU136" s="8"/>
      <c r="FUV136" s="8"/>
      <c r="FUW136" s="8"/>
      <c r="FUX136" s="8"/>
      <c r="FUY136" s="8"/>
      <c r="FUZ136" s="8"/>
      <c r="FVA136" s="8"/>
      <c r="FVB136" s="8"/>
      <c r="FVC136" s="8"/>
      <c r="FVD136" s="8"/>
      <c r="FVE136" s="8"/>
      <c r="FVF136" s="8"/>
      <c r="FVG136" s="8"/>
      <c r="FVH136" s="8"/>
      <c r="FVI136" s="8"/>
      <c r="FVJ136" s="8"/>
      <c r="FVK136" s="8"/>
      <c r="FVL136" s="8"/>
      <c r="FVM136" s="8"/>
      <c r="FVN136" s="8"/>
      <c r="FVO136" s="8"/>
      <c r="FVP136" s="8"/>
      <c r="FVQ136" s="8"/>
      <c r="FVR136" s="8"/>
      <c r="FVS136" s="8"/>
      <c r="FVT136" s="8"/>
      <c r="FVU136" s="8"/>
      <c r="FVV136" s="8"/>
      <c r="FVW136" s="8"/>
      <c r="FVX136" s="8"/>
      <c r="FVY136" s="8"/>
      <c r="FVZ136" s="8"/>
      <c r="FWA136" s="8"/>
      <c r="FWB136" s="8"/>
      <c r="FWC136" s="8"/>
      <c r="FWD136" s="8"/>
      <c r="FWE136" s="8"/>
      <c r="FWF136" s="8"/>
      <c r="FWG136" s="8"/>
      <c r="FWH136" s="8"/>
      <c r="FWI136" s="8"/>
      <c r="FWJ136" s="8"/>
      <c r="FWK136" s="8"/>
      <c r="FWL136" s="8"/>
      <c r="FWM136" s="8"/>
      <c r="FWN136" s="8"/>
      <c r="FWO136" s="8"/>
      <c r="FWP136" s="8"/>
      <c r="FWQ136" s="8"/>
      <c r="FWR136" s="8"/>
      <c r="FWS136" s="8"/>
      <c r="FWT136" s="8"/>
      <c r="FWU136" s="8"/>
      <c r="FWV136" s="8"/>
      <c r="FWW136" s="8"/>
      <c r="FWX136" s="8"/>
      <c r="FWY136" s="8"/>
      <c r="FWZ136" s="8"/>
      <c r="FXA136" s="8"/>
      <c r="FXB136" s="8"/>
      <c r="FXC136" s="8"/>
      <c r="FXD136" s="8"/>
      <c r="FXE136" s="8"/>
      <c r="FXF136" s="8"/>
      <c r="FXG136" s="8"/>
      <c r="FXH136" s="8"/>
      <c r="FXI136" s="8"/>
      <c r="FXJ136" s="8"/>
      <c r="FXK136" s="8"/>
      <c r="FXL136" s="8"/>
      <c r="FXM136" s="8"/>
      <c r="FXN136" s="8"/>
      <c r="FXO136" s="8"/>
      <c r="FXP136" s="8"/>
      <c r="FXQ136" s="8"/>
      <c r="FXR136" s="8"/>
      <c r="FXS136" s="8"/>
      <c r="FXT136" s="8"/>
      <c r="FXU136" s="8"/>
      <c r="FXV136" s="8"/>
      <c r="FXW136" s="8"/>
      <c r="FXX136" s="8"/>
      <c r="FXY136" s="8"/>
      <c r="FXZ136" s="8"/>
      <c r="FYA136" s="8"/>
      <c r="FYB136" s="8"/>
      <c r="FYC136" s="8"/>
      <c r="FYD136" s="8"/>
      <c r="FYE136" s="8"/>
      <c r="FYF136" s="8"/>
      <c r="FYG136" s="8"/>
      <c r="FYH136" s="8"/>
      <c r="FYI136" s="8"/>
      <c r="FYJ136" s="8"/>
      <c r="FYK136" s="8"/>
      <c r="FYL136" s="8"/>
      <c r="FYM136" s="8"/>
      <c r="FYN136" s="8"/>
      <c r="FYO136" s="8"/>
      <c r="FYP136" s="8"/>
      <c r="FYQ136" s="8"/>
      <c r="FYR136" s="8"/>
      <c r="FYS136" s="8"/>
      <c r="FYT136" s="8"/>
      <c r="FYU136" s="8"/>
      <c r="FYV136" s="8"/>
      <c r="FYW136" s="8"/>
      <c r="FYX136" s="8"/>
      <c r="FYY136" s="8"/>
      <c r="FYZ136" s="8"/>
      <c r="FZA136" s="8"/>
      <c r="FZB136" s="8"/>
      <c r="FZC136" s="8"/>
      <c r="FZD136" s="8"/>
      <c r="FZE136" s="8"/>
      <c r="FZF136" s="8"/>
      <c r="FZG136" s="8"/>
      <c r="FZH136" s="8"/>
      <c r="FZI136" s="8"/>
      <c r="FZJ136" s="8"/>
      <c r="FZK136" s="8"/>
      <c r="FZL136" s="8"/>
      <c r="FZM136" s="8"/>
      <c r="FZN136" s="8"/>
      <c r="FZO136" s="8"/>
      <c r="FZP136" s="8"/>
      <c r="FZQ136" s="8"/>
      <c r="FZR136" s="8"/>
      <c r="FZS136" s="8"/>
      <c r="FZT136" s="8"/>
      <c r="FZU136" s="8"/>
      <c r="FZV136" s="8"/>
      <c r="FZW136" s="8"/>
      <c r="FZX136" s="8"/>
      <c r="FZY136" s="8"/>
      <c r="FZZ136" s="8"/>
      <c r="GAA136" s="8"/>
      <c r="GAB136" s="8"/>
      <c r="GAC136" s="8"/>
      <c r="GAD136" s="8"/>
      <c r="GAE136" s="8"/>
      <c r="GAF136" s="8"/>
      <c r="GAG136" s="8"/>
      <c r="GAH136" s="8"/>
      <c r="GAI136" s="8"/>
      <c r="GAJ136" s="8"/>
      <c r="GAK136" s="8"/>
      <c r="GAL136" s="8"/>
      <c r="GAM136" s="8"/>
      <c r="GAN136" s="8"/>
      <c r="GAO136" s="8"/>
      <c r="GAP136" s="8"/>
      <c r="GAQ136" s="8"/>
      <c r="GAR136" s="8"/>
      <c r="GAS136" s="8"/>
      <c r="GAT136" s="8"/>
      <c r="GAU136" s="8"/>
      <c r="GAV136" s="8"/>
      <c r="GAW136" s="8"/>
      <c r="GAX136" s="8"/>
      <c r="GAY136" s="8"/>
      <c r="GAZ136" s="8"/>
      <c r="GBA136" s="8"/>
      <c r="GBB136" s="8"/>
      <c r="GBC136" s="8"/>
      <c r="GBD136" s="8"/>
      <c r="GBE136" s="8"/>
      <c r="GBF136" s="8"/>
      <c r="GBG136" s="8"/>
      <c r="GBH136" s="8"/>
      <c r="GBI136" s="8"/>
      <c r="GBJ136" s="8"/>
      <c r="GBK136" s="8"/>
      <c r="GBL136" s="8"/>
      <c r="GBM136" s="8"/>
      <c r="GBN136" s="8"/>
      <c r="GBO136" s="8"/>
      <c r="GBP136" s="8"/>
      <c r="GBQ136" s="8"/>
      <c r="GBR136" s="8"/>
      <c r="GBS136" s="8"/>
      <c r="GBT136" s="8"/>
      <c r="GBU136" s="8"/>
      <c r="GBV136" s="8"/>
      <c r="GBW136" s="8"/>
      <c r="GBX136" s="8"/>
      <c r="GBY136" s="8"/>
      <c r="GBZ136" s="8"/>
      <c r="GCA136" s="8"/>
      <c r="GCB136" s="8"/>
      <c r="GCC136" s="8"/>
      <c r="GCD136" s="8"/>
      <c r="GCE136" s="8"/>
      <c r="GCF136" s="8"/>
      <c r="GCG136" s="8"/>
      <c r="GCH136" s="8"/>
      <c r="GCI136" s="8"/>
      <c r="GCJ136" s="8"/>
      <c r="GCK136" s="8"/>
      <c r="GCL136" s="8"/>
      <c r="GCM136" s="8"/>
      <c r="GCN136" s="8"/>
      <c r="GCO136" s="8"/>
      <c r="GCP136" s="8"/>
      <c r="GCQ136" s="8"/>
      <c r="GCR136" s="8"/>
      <c r="GCS136" s="8"/>
      <c r="GCT136" s="8"/>
      <c r="GCU136" s="8"/>
      <c r="GCV136" s="8"/>
      <c r="GCW136" s="8"/>
      <c r="GCX136" s="8"/>
      <c r="GCY136" s="8"/>
      <c r="GCZ136" s="8"/>
      <c r="GDA136" s="8"/>
      <c r="GDB136" s="8"/>
      <c r="GDC136" s="8"/>
      <c r="GDD136" s="8"/>
      <c r="GDE136" s="8"/>
      <c r="GDF136" s="8"/>
      <c r="GDG136" s="8"/>
      <c r="GDH136" s="8"/>
      <c r="GDI136" s="8"/>
      <c r="GDJ136" s="8"/>
      <c r="GDK136" s="8"/>
      <c r="GDL136" s="8"/>
      <c r="GDM136" s="8"/>
      <c r="GDN136" s="8"/>
      <c r="GDO136" s="8"/>
      <c r="GDP136" s="8"/>
      <c r="GDQ136" s="8"/>
      <c r="GDR136" s="8"/>
      <c r="GDS136" s="8"/>
      <c r="GDT136" s="8"/>
      <c r="GDU136" s="8"/>
      <c r="GDV136" s="8"/>
      <c r="GDW136" s="8"/>
      <c r="GDX136" s="8"/>
      <c r="GDY136" s="8"/>
      <c r="GDZ136" s="8"/>
      <c r="GEA136" s="8"/>
      <c r="GEB136" s="8"/>
      <c r="GEC136" s="8"/>
      <c r="GED136" s="8"/>
      <c r="GEE136" s="8"/>
      <c r="GEF136" s="8"/>
      <c r="GEG136" s="8"/>
      <c r="GEH136" s="8"/>
      <c r="GEI136" s="8"/>
      <c r="GEJ136" s="8"/>
      <c r="GEK136" s="8"/>
      <c r="GEL136" s="8"/>
      <c r="GEM136" s="8"/>
      <c r="GEN136" s="8"/>
      <c r="GEO136" s="8"/>
      <c r="GEP136" s="8"/>
      <c r="GEQ136" s="8"/>
      <c r="GER136" s="8"/>
      <c r="GES136" s="8"/>
      <c r="GET136" s="8"/>
      <c r="GEU136" s="8"/>
      <c r="GEV136" s="8"/>
      <c r="GEW136" s="8"/>
      <c r="GEX136" s="8"/>
      <c r="GEY136" s="8"/>
      <c r="GEZ136" s="8"/>
      <c r="GFA136" s="8"/>
      <c r="GFB136" s="8"/>
      <c r="GFC136" s="8"/>
      <c r="GFD136" s="8"/>
      <c r="GFE136" s="8"/>
      <c r="GFF136" s="8"/>
      <c r="GFG136" s="8"/>
      <c r="GFH136" s="8"/>
      <c r="GFI136" s="8"/>
      <c r="GFJ136" s="8"/>
      <c r="GFK136" s="8"/>
      <c r="GFL136" s="8"/>
      <c r="GFM136" s="8"/>
      <c r="GFN136" s="8"/>
      <c r="GFO136" s="8"/>
      <c r="GFP136" s="8"/>
      <c r="GFQ136" s="8"/>
      <c r="GFR136" s="8"/>
      <c r="GFS136" s="8"/>
      <c r="GFT136" s="8"/>
      <c r="GFU136" s="8"/>
      <c r="GFV136" s="8"/>
      <c r="GFW136" s="8"/>
      <c r="GFX136" s="8"/>
      <c r="GFY136" s="8"/>
      <c r="GFZ136" s="8"/>
      <c r="GGA136" s="8"/>
      <c r="GGB136" s="8"/>
      <c r="GGC136" s="8"/>
      <c r="GGD136" s="8"/>
      <c r="GGE136" s="8"/>
      <c r="GGF136" s="8"/>
      <c r="GGG136" s="8"/>
      <c r="GGH136" s="8"/>
      <c r="GGI136" s="8"/>
      <c r="GGJ136" s="8"/>
      <c r="GGK136" s="8"/>
      <c r="GGL136" s="8"/>
      <c r="GGM136" s="8"/>
      <c r="GGN136" s="8"/>
      <c r="GGO136" s="8"/>
      <c r="GGP136" s="8"/>
      <c r="GGQ136" s="8"/>
      <c r="GGR136" s="8"/>
      <c r="GGS136" s="8"/>
      <c r="GGT136" s="8"/>
      <c r="GGU136" s="8"/>
      <c r="GGV136" s="8"/>
      <c r="GGW136" s="8"/>
      <c r="GGX136" s="8"/>
      <c r="GGY136" s="8"/>
      <c r="GGZ136" s="8"/>
      <c r="GHA136" s="8"/>
      <c r="GHB136" s="8"/>
      <c r="GHC136" s="8"/>
      <c r="GHD136" s="8"/>
      <c r="GHE136" s="8"/>
      <c r="GHF136" s="8"/>
      <c r="GHG136" s="8"/>
      <c r="GHH136" s="8"/>
      <c r="GHI136" s="8"/>
      <c r="GHJ136" s="8"/>
      <c r="GHK136" s="8"/>
      <c r="GHL136" s="8"/>
      <c r="GHM136" s="8"/>
      <c r="GHN136" s="8"/>
      <c r="GHO136" s="8"/>
      <c r="GHP136" s="8"/>
      <c r="GHQ136" s="8"/>
      <c r="GHR136" s="8"/>
      <c r="GHS136" s="8"/>
      <c r="GHT136" s="8"/>
      <c r="GHU136" s="8"/>
      <c r="GHV136" s="8"/>
      <c r="GHW136" s="8"/>
      <c r="GHX136" s="8"/>
      <c r="GHY136" s="8"/>
      <c r="GHZ136" s="8"/>
      <c r="GIA136" s="8"/>
      <c r="GIB136" s="8"/>
      <c r="GIC136" s="8"/>
      <c r="GID136" s="8"/>
      <c r="GIE136" s="8"/>
      <c r="GIF136" s="8"/>
      <c r="GIG136" s="8"/>
      <c r="GIH136" s="8"/>
      <c r="GII136" s="8"/>
      <c r="GIJ136" s="8"/>
      <c r="GIK136" s="8"/>
      <c r="GIL136" s="8"/>
      <c r="GIM136" s="8"/>
      <c r="GIN136" s="8"/>
      <c r="GIO136" s="8"/>
      <c r="GIP136" s="8"/>
      <c r="GIQ136" s="8"/>
      <c r="GIR136" s="8"/>
      <c r="GIS136" s="8"/>
      <c r="GIT136" s="8"/>
      <c r="GIU136" s="8"/>
      <c r="GIV136" s="8"/>
      <c r="GIW136" s="8"/>
      <c r="GIX136" s="8"/>
      <c r="GIY136" s="8"/>
      <c r="GIZ136" s="8"/>
      <c r="GJA136" s="8"/>
      <c r="GJB136" s="8"/>
      <c r="GJC136" s="8"/>
      <c r="GJD136" s="8"/>
      <c r="GJE136" s="8"/>
      <c r="GJF136" s="8"/>
      <c r="GJG136" s="8"/>
      <c r="GJH136" s="8"/>
      <c r="GJI136" s="8"/>
      <c r="GJJ136" s="8"/>
      <c r="GJK136" s="8"/>
      <c r="GJL136" s="8"/>
      <c r="GJM136" s="8"/>
      <c r="GJN136" s="8"/>
      <c r="GJO136" s="8"/>
      <c r="GJP136" s="8"/>
      <c r="GJQ136" s="8"/>
      <c r="GJR136" s="8"/>
      <c r="GJS136" s="8"/>
      <c r="GJT136" s="8"/>
      <c r="GJU136" s="8"/>
      <c r="GJV136" s="8"/>
      <c r="GJW136" s="8"/>
      <c r="GJX136" s="8"/>
      <c r="GJY136" s="8"/>
      <c r="GJZ136" s="8"/>
      <c r="GKA136" s="8"/>
      <c r="GKB136" s="8"/>
      <c r="GKC136" s="8"/>
      <c r="GKD136" s="8"/>
      <c r="GKE136" s="8"/>
      <c r="GKF136" s="8"/>
      <c r="GKG136" s="8"/>
      <c r="GKH136" s="8"/>
      <c r="GKI136" s="8"/>
      <c r="GKJ136" s="8"/>
      <c r="GKK136" s="8"/>
      <c r="GKL136" s="8"/>
      <c r="GKM136" s="8"/>
      <c r="GKN136" s="8"/>
      <c r="GKO136" s="8"/>
      <c r="GKP136" s="8"/>
      <c r="GKQ136" s="8"/>
      <c r="GKR136" s="8"/>
      <c r="GKS136" s="8"/>
      <c r="GKT136" s="8"/>
      <c r="GKU136" s="8"/>
      <c r="GKV136" s="8"/>
      <c r="GKW136" s="8"/>
      <c r="GKX136" s="8"/>
      <c r="GKY136" s="8"/>
      <c r="GKZ136" s="8"/>
      <c r="GLA136" s="8"/>
      <c r="GLB136" s="8"/>
      <c r="GLC136" s="8"/>
      <c r="GLD136" s="8"/>
      <c r="GLE136" s="8"/>
      <c r="GLF136" s="8"/>
      <c r="GLG136" s="8"/>
      <c r="GLH136" s="8"/>
      <c r="GLI136" s="8"/>
      <c r="GLJ136" s="8"/>
      <c r="GLK136" s="8"/>
      <c r="GLL136" s="8"/>
      <c r="GLM136" s="8"/>
      <c r="GLN136" s="8"/>
      <c r="GLO136" s="8"/>
      <c r="GLP136" s="8"/>
      <c r="GLQ136" s="8"/>
      <c r="GLR136" s="8"/>
      <c r="GLS136" s="8"/>
      <c r="GLT136" s="8"/>
      <c r="GLU136" s="8"/>
      <c r="GLV136" s="8"/>
      <c r="GLW136" s="8"/>
      <c r="GLX136" s="8"/>
      <c r="GLY136" s="8"/>
      <c r="GLZ136" s="8"/>
      <c r="GMA136" s="8"/>
      <c r="GMB136" s="8"/>
      <c r="GMC136" s="8"/>
      <c r="GMD136" s="8"/>
      <c r="GME136" s="8"/>
      <c r="GMF136" s="8"/>
      <c r="GMG136" s="8"/>
      <c r="GMH136" s="8"/>
      <c r="GMI136" s="8"/>
      <c r="GMJ136" s="8"/>
      <c r="GMK136" s="8"/>
      <c r="GML136" s="8"/>
      <c r="GMM136" s="8"/>
      <c r="GMN136" s="8"/>
      <c r="GMO136" s="8"/>
      <c r="GMP136" s="8"/>
      <c r="GMQ136" s="8"/>
      <c r="GMR136" s="8"/>
      <c r="GMS136" s="8"/>
      <c r="GMT136" s="8"/>
      <c r="GMU136" s="8"/>
      <c r="GMV136" s="8"/>
      <c r="GMW136" s="8"/>
      <c r="GMX136" s="8"/>
      <c r="GMY136" s="8"/>
      <c r="GMZ136" s="8"/>
      <c r="GNA136" s="8"/>
      <c r="GNB136" s="8"/>
      <c r="GNC136" s="8"/>
      <c r="GND136" s="8"/>
      <c r="GNE136" s="8"/>
      <c r="GNF136" s="8"/>
      <c r="GNG136" s="8"/>
      <c r="GNH136" s="8"/>
      <c r="GNI136" s="8"/>
      <c r="GNJ136" s="8"/>
      <c r="GNK136" s="8"/>
      <c r="GNL136" s="8"/>
      <c r="GNM136" s="8"/>
      <c r="GNN136" s="8"/>
      <c r="GNO136" s="8"/>
      <c r="GNP136" s="8"/>
      <c r="GNQ136" s="8"/>
      <c r="GNR136" s="8"/>
      <c r="GNS136" s="8"/>
      <c r="GNT136" s="8"/>
      <c r="GNU136" s="8"/>
      <c r="GNV136" s="8"/>
      <c r="GNW136" s="8"/>
      <c r="GNX136" s="8"/>
      <c r="GNY136" s="8"/>
      <c r="GNZ136" s="8"/>
      <c r="GOA136" s="8"/>
      <c r="GOB136" s="8"/>
      <c r="GOC136" s="8"/>
      <c r="GOD136" s="8"/>
      <c r="GOE136" s="8"/>
      <c r="GOF136" s="8"/>
      <c r="GOG136" s="8"/>
      <c r="GOH136" s="8"/>
      <c r="GOI136" s="8"/>
      <c r="GOJ136" s="8"/>
      <c r="GOK136" s="8"/>
      <c r="GOL136" s="8"/>
      <c r="GOM136" s="8"/>
      <c r="GON136" s="8"/>
      <c r="GOO136" s="8"/>
      <c r="GOP136" s="8"/>
      <c r="GOQ136" s="8"/>
      <c r="GOR136" s="8"/>
      <c r="GOS136" s="8"/>
      <c r="GOT136" s="8"/>
      <c r="GOU136" s="8"/>
      <c r="GOV136" s="8"/>
      <c r="GOW136" s="8"/>
      <c r="GOX136" s="8"/>
      <c r="GOY136" s="8"/>
      <c r="GOZ136" s="8"/>
      <c r="GPA136" s="8"/>
      <c r="GPB136" s="8"/>
      <c r="GPC136" s="8"/>
      <c r="GPD136" s="8"/>
      <c r="GPE136" s="8"/>
      <c r="GPF136" s="8"/>
      <c r="GPG136" s="8"/>
      <c r="GPH136" s="8"/>
      <c r="GPI136" s="8"/>
      <c r="GPJ136" s="8"/>
      <c r="GPK136" s="8"/>
      <c r="GPL136" s="8"/>
      <c r="GPM136" s="8"/>
      <c r="GPN136" s="8"/>
      <c r="GPO136" s="8"/>
      <c r="GPP136" s="8"/>
      <c r="GPQ136" s="8"/>
      <c r="GPR136" s="8"/>
      <c r="GPS136" s="8"/>
      <c r="GPT136" s="8"/>
      <c r="GPU136" s="8"/>
      <c r="GPV136" s="8"/>
      <c r="GPW136" s="8"/>
      <c r="GPX136" s="8"/>
      <c r="GPY136" s="8"/>
      <c r="GPZ136" s="8"/>
      <c r="GQA136" s="8"/>
      <c r="GQB136" s="8"/>
      <c r="GQC136" s="8"/>
      <c r="GQD136" s="8"/>
      <c r="GQE136" s="8"/>
      <c r="GQF136" s="8"/>
      <c r="GQG136" s="8"/>
      <c r="GQH136" s="8"/>
      <c r="GQI136" s="8"/>
      <c r="GQJ136" s="8"/>
      <c r="GQK136" s="8"/>
      <c r="GQL136" s="8"/>
      <c r="GQM136" s="8"/>
      <c r="GQN136" s="8"/>
      <c r="GQO136" s="8"/>
      <c r="GQP136" s="8"/>
      <c r="GQQ136" s="8"/>
      <c r="GQR136" s="8"/>
      <c r="GQS136" s="8"/>
      <c r="GQT136" s="8"/>
      <c r="GQU136" s="8"/>
      <c r="GQV136" s="8"/>
      <c r="GQW136" s="8"/>
      <c r="GQX136" s="8"/>
      <c r="GQY136" s="8"/>
      <c r="GQZ136" s="8"/>
      <c r="GRA136" s="8"/>
      <c r="GRB136" s="8"/>
      <c r="GRC136" s="8"/>
      <c r="GRD136" s="8"/>
      <c r="GRE136" s="8"/>
      <c r="GRF136" s="8"/>
      <c r="GRG136" s="8"/>
      <c r="GRH136" s="8"/>
      <c r="GRI136" s="8"/>
      <c r="GRJ136" s="8"/>
      <c r="GRK136" s="8"/>
      <c r="GRL136" s="8"/>
      <c r="GRM136" s="8"/>
      <c r="GRN136" s="8"/>
      <c r="GRO136" s="8"/>
      <c r="GRP136" s="8"/>
      <c r="GRQ136" s="8"/>
      <c r="GRR136" s="8"/>
      <c r="GRS136" s="8"/>
      <c r="GRT136" s="8"/>
      <c r="GRU136" s="8"/>
      <c r="GRV136" s="8"/>
      <c r="GRW136" s="8"/>
      <c r="GRX136" s="8"/>
      <c r="GRY136" s="8"/>
      <c r="GRZ136" s="8"/>
      <c r="GSA136" s="8"/>
      <c r="GSB136" s="8"/>
      <c r="GSC136" s="8"/>
      <c r="GSD136" s="8"/>
      <c r="GSE136" s="8"/>
      <c r="GSF136" s="8"/>
      <c r="GSG136" s="8"/>
      <c r="GSH136" s="8"/>
      <c r="GSI136" s="8"/>
      <c r="GSJ136" s="8"/>
      <c r="GSK136" s="8"/>
      <c r="GSL136" s="8"/>
      <c r="GSM136" s="8"/>
      <c r="GSN136" s="8"/>
      <c r="GSO136" s="8"/>
      <c r="GSP136" s="8"/>
      <c r="GSQ136" s="8"/>
      <c r="GSR136" s="8"/>
      <c r="GSS136" s="8"/>
      <c r="GST136" s="8"/>
      <c r="GSU136" s="8"/>
      <c r="GSV136" s="8"/>
      <c r="GSW136" s="8"/>
      <c r="GSX136" s="8"/>
      <c r="GSY136" s="8"/>
      <c r="GSZ136" s="8"/>
      <c r="GTA136" s="8"/>
      <c r="GTB136" s="8"/>
      <c r="GTC136" s="8"/>
      <c r="GTD136" s="8"/>
      <c r="GTE136" s="8"/>
      <c r="GTF136" s="8"/>
      <c r="GTG136" s="8"/>
      <c r="GTH136" s="8"/>
      <c r="GTI136" s="8"/>
      <c r="GTJ136" s="8"/>
      <c r="GTK136" s="8"/>
      <c r="GTL136" s="8"/>
      <c r="GTM136" s="8"/>
      <c r="GTN136" s="8"/>
      <c r="GTO136" s="8"/>
      <c r="GTP136" s="8"/>
      <c r="GTQ136" s="8"/>
      <c r="GTR136" s="8"/>
      <c r="GTS136" s="8"/>
      <c r="GTT136" s="8"/>
      <c r="GTU136" s="8"/>
      <c r="GTV136" s="8"/>
      <c r="GTW136" s="8"/>
      <c r="GTX136" s="8"/>
      <c r="GTY136" s="8"/>
      <c r="GTZ136" s="8"/>
      <c r="GUA136" s="8"/>
      <c r="GUB136" s="8"/>
      <c r="GUC136" s="8"/>
      <c r="GUD136" s="8"/>
      <c r="GUE136" s="8"/>
      <c r="GUF136" s="8"/>
      <c r="GUG136" s="8"/>
      <c r="GUH136" s="8"/>
      <c r="GUI136" s="8"/>
      <c r="GUJ136" s="8"/>
      <c r="GUK136" s="8"/>
      <c r="GUL136" s="8"/>
      <c r="GUM136" s="8"/>
      <c r="GUN136" s="8"/>
      <c r="GUO136" s="8"/>
      <c r="GUP136" s="8"/>
      <c r="GUQ136" s="8"/>
      <c r="GUR136" s="8"/>
      <c r="GUS136" s="8"/>
      <c r="GUT136" s="8"/>
      <c r="GUU136" s="8"/>
      <c r="GUV136" s="8"/>
      <c r="GUW136" s="8"/>
      <c r="GUX136" s="8"/>
      <c r="GUY136" s="8"/>
      <c r="GUZ136" s="8"/>
      <c r="GVA136" s="8"/>
      <c r="GVB136" s="8"/>
      <c r="GVC136" s="8"/>
      <c r="GVD136" s="8"/>
      <c r="GVE136" s="8"/>
      <c r="GVF136" s="8"/>
      <c r="GVG136" s="8"/>
      <c r="GVH136" s="8"/>
      <c r="GVI136" s="8"/>
      <c r="GVJ136" s="8"/>
      <c r="GVK136" s="8"/>
      <c r="GVL136" s="8"/>
      <c r="GVM136" s="8"/>
      <c r="GVN136" s="8"/>
      <c r="GVO136" s="8"/>
      <c r="GVP136" s="8"/>
      <c r="GVQ136" s="8"/>
      <c r="GVR136" s="8"/>
      <c r="GVS136" s="8"/>
      <c r="GVT136" s="8"/>
      <c r="GVU136" s="8"/>
      <c r="GVV136" s="8"/>
      <c r="GVW136" s="8"/>
      <c r="GVX136" s="8"/>
      <c r="GVY136" s="8"/>
      <c r="GVZ136" s="8"/>
      <c r="GWA136" s="8"/>
      <c r="GWB136" s="8"/>
      <c r="GWC136" s="8"/>
      <c r="GWD136" s="8"/>
      <c r="GWE136" s="8"/>
      <c r="GWF136" s="8"/>
      <c r="GWG136" s="8"/>
      <c r="GWH136" s="8"/>
      <c r="GWI136" s="8"/>
      <c r="GWJ136" s="8"/>
      <c r="GWK136" s="8"/>
      <c r="GWL136" s="8"/>
      <c r="GWM136" s="8"/>
      <c r="GWN136" s="8"/>
      <c r="GWO136" s="8"/>
      <c r="GWP136" s="8"/>
      <c r="GWQ136" s="8"/>
      <c r="GWR136" s="8"/>
      <c r="GWS136" s="8"/>
      <c r="GWT136" s="8"/>
      <c r="GWU136" s="8"/>
      <c r="GWV136" s="8"/>
      <c r="GWW136" s="8"/>
      <c r="GWX136" s="8"/>
      <c r="GWY136" s="8"/>
      <c r="GWZ136" s="8"/>
      <c r="GXA136" s="8"/>
      <c r="GXB136" s="8"/>
      <c r="GXC136" s="8"/>
      <c r="GXD136" s="8"/>
      <c r="GXE136" s="8"/>
      <c r="GXF136" s="8"/>
      <c r="GXG136" s="8"/>
      <c r="GXH136" s="8"/>
      <c r="GXI136" s="8"/>
      <c r="GXJ136" s="8"/>
      <c r="GXK136" s="8"/>
      <c r="GXL136" s="8"/>
      <c r="GXM136" s="8"/>
      <c r="GXN136" s="8"/>
      <c r="GXO136" s="8"/>
      <c r="GXP136" s="8"/>
      <c r="GXQ136" s="8"/>
      <c r="GXR136" s="8"/>
      <c r="GXS136" s="8"/>
      <c r="GXT136" s="8"/>
      <c r="GXU136" s="8"/>
      <c r="GXV136" s="8"/>
      <c r="GXW136" s="8"/>
      <c r="GXX136" s="8"/>
      <c r="GXY136" s="8"/>
      <c r="GXZ136" s="8"/>
      <c r="GYA136" s="8"/>
      <c r="GYB136" s="8"/>
      <c r="GYC136" s="8"/>
      <c r="GYD136" s="8"/>
      <c r="GYE136" s="8"/>
      <c r="GYF136" s="8"/>
      <c r="GYG136" s="8"/>
      <c r="GYH136" s="8"/>
      <c r="GYI136" s="8"/>
      <c r="GYJ136" s="8"/>
      <c r="GYK136" s="8"/>
      <c r="GYL136" s="8"/>
      <c r="GYM136" s="8"/>
      <c r="GYN136" s="8"/>
      <c r="GYO136" s="8"/>
      <c r="GYP136" s="8"/>
      <c r="GYQ136" s="8"/>
      <c r="GYR136" s="8"/>
      <c r="GYS136" s="8"/>
      <c r="GYT136" s="8"/>
      <c r="GYU136" s="8"/>
      <c r="GYV136" s="8"/>
      <c r="GYW136" s="8"/>
      <c r="GYX136" s="8"/>
      <c r="GYY136" s="8"/>
      <c r="GYZ136" s="8"/>
      <c r="GZA136" s="8"/>
      <c r="GZB136" s="8"/>
      <c r="GZC136" s="8"/>
      <c r="GZD136" s="8"/>
      <c r="GZE136" s="8"/>
      <c r="GZF136" s="8"/>
      <c r="GZG136" s="8"/>
      <c r="GZH136" s="8"/>
      <c r="GZI136" s="8"/>
      <c r="GZJ136" s="8"/>
      <c r="GZK136" s="8"/>
      <c r="GZL136" s="8"/>
      <c r="GZM136" s="8"/>
      <c r="GZN136" s="8"/>
      <c r="GZO136" s="8"/>
      <c r="GZP136" s="8"/>
      <c r="GZQ136" s="8"/>
      <c r="GZR136" s="8"/>
      <c r="GZS136" s="8"/>
      <c r="GZT136" s="8"/>
      <c r="GZU136" s="8"/>
      <c r="GZV136" s="8"/>
      <c r="GZW136" s="8"/>
      <c r="GZX136" s="8"/>
      <c r="GZY136" s="8"/>
      <c r="GZZ136" s="8"/>
      <c r="HAA136" s="8"/>
      <c r="HAB136" s="8"/>
      <c r="HAC136" s="8"/>
      <c r="HAD136" s="8"/>
      <c r="HAE136" s="8"/>
      <c r="HAF136" s="8"/>
      <c r="HAG136" s="8"/>
      <c r="HAH136" s="8"/>
      <c r="HAI136" s="8"/>
      <c r="HAJ136" s="8"/>
      <c r="HAK136" s="8"/>
      <c r="HAL136" s="8"/>
      <c r="HAM136" s="8"/>
      <c r="HAN136" s="8"/>
      <c r="HAO136" s="8"/>
      <c r="HAP136" s="8"/>
      <c r="HAQ136" s="8"/>
      <c r="HAR136" s="8"/>
      <c r="HAS136" s="8"/>
      <c r="HAT136" s="8"/>
      <c r="HAU136" s="8"/>
      <c r="HAV136" s="8"/>
      <c r="HAW136" s="8"/>
      <c r="HAX136" s="8"/>
      <c r="HAY136" s="8"/>
      <c r="HAZ136" s="8"/>
      <c r="HBA136" s="8"/>
      <c r="HBB136" s="8"/>
      <c r="HBC136" s="8"/>
      <c r="HBD136" s="8"/>
      <c r="HBE136" s="8"/>
      <c r="HBF136" s="8"/>
      <c r="HBG136" s="8"/>
      <c r="HBH136" s="8"/>
      <c r="HBI136" s="8"/>
      <c r="HBJ136" s="8"/>
      <c r="HBK136" s="8"/>
      <c r="HBL136" s="8"/>
      <c r="HBM136" s="8"/>
      <c r="HBN136" s="8"/>
      <c r="HBO136" s="8"/>
      <c r="HBP136" s="8"/>
      <c r="HBQ136" s="8"/>
      <c r="HBR136" s="8"/>
      <c r="HBS136" s="8"/>
      <c r="HBT136" s="8"/>
      <c r="HBU136" s="8"/>
      <c r="HBV136" s="8"/>
      <c r="HBW136" s="8"/>
      <c r="HBX136" s="8"/>
      <c r="HBY136" s="8"/>
      <c r="HBZ136" s="8"/>
      <c r="HCA136" s="8"/>
      <c r="HCB136" s="8"/>
      <c r="HCC136" s="8"/>
      <c r="HCD136" s="8"/>
      <c r="HCE136" s="8"/>
      <c r="HCF136" s="8"/>
      <c r="HCG136" s="8"/>
      <c r="HCH136" s="8"/>
      <c r="HCI136" s="8"/>
      <c r="HCJ136" s="8"/>
      <c r="HCK136" s="8"/>
      <c r="HCL136" s="8"/>
      <c r="HCM136" s="8"/>
      <c r="HCN136" s="8"/>
      <c r="HCO136" s="8"/>
      <c r="HCP136" s="8"/>
      <c r="HCQ136" s="8"/>
      <c r="HCR136" s="8"/>
      <c r="HCS136" s="8"/>
      <c r="HCT136" s="8"/>
      <c r="HCU136" s="8"/>
      <c r="HCV136" s="8"/>
      <c r="HCW136" s="8"/>
      <c r="HCX136" s="8"/>
      <c r="HCY136" s="8"/>
      <c r="HCZ136" s="8"/>
      <c r="HDA136" s="8"/>
      <c r="HDB136" s="8"/>
      <c r="HDC136" s="8"/>
      <c r="HDD136" s="8"/>
      <c r="HDE136" s="8"/>
      <c r="HDF136" s="8"/>
      <c r="HDG136" s="8"/>
      <c r="HDH136" s="8"/>
      <c r="HDI136" s="8"/>
      <c r="HDJ136" s="8"/>
      <c r="HDK136" s="8"/>
      <c r="HDL136" s="8"/>
      <c r="HDM136" s="8"/>
      <c r="HDN136" s="8"/>
      <c r="HDO136" s="8"/>
      <c r="HDP136" s="8"/>
      <c r="HDQ136" s="8"/>
      <c r="HDR136" s="8"/>
      <c r="HDS136" s="8"/>
      <c r="HDT136" s="8"/>
      <c r="HDU136" s="8"/>
      <c r="HDV136" s="8"/>
      <c r="HDW136" s="8"/>
      <c r="HDX136" s="8"/>
      <c r="HDY136" s="8"/>
      <c r="HDZ136" s="8"/>
      <c r="HEA136" s="8"/>
      <c r="HEB136" s="8"/>
      <c r="HEC136" s="8"/>
      <c r="HED136" s="8"/>
      <c r="HEE136" s="8"/>
      <c r="HEF136" s="8"/>
      <c r="HEG136" s="8"/>
      <c r="HEH136" s="8"/>
      <c r="HEI136" s="8"/>
      <c r="HEJ136" s="8"/>
      <c r="HEK136" s="8"/>
      <c r="HEL136" s="8"/>
      <c r="HEM136" s="8"/>
      <c r="HEN136" s="8"/>
      <c r="HEO136" s="8"/>
      <c r="HEP136" s="8"/>
      <c r="HEQ136" s="8"/>
      <c r="HER136" s="8"/>
      <c r="HES136" s="8"/>
      <c r="HET136" s="8"/>
      <c r="HEU136" s="8"/>
      <c r="HEV136" s="8"/>
      <c r="HEW136" s="8"/>
      <c r="HEX136" s="8"/>
      <c r="HEY136" s="8"/>
      <c r="HEZ136" s="8"/>
      <c r="HFA136" s="8"/>
      <c r="HFB136" s="8"/>
      <c r="HFC136" s="8"/>
      <c r="HFD136" s="8"/>
      <c r="HFE136" s="8"/>
      <c r="HFF136" s="8"/>
      <c r="HFG136" s="8"/>
      <c r="HFH136" s="8"/>
      <c r="HFI136" s="8"/>
      <c r="HFJ136" s="8"/>
      <c r="HFK136" s="8"/>
      <c r="HFL136" s="8"/>
      <c r="HFM136" s="8"/>
      <c r="HFN136" s="8"/>
      <c r="HFO136" s="8"/>
      <c r="HFP136" s="8"/>
      <c r="HFQ136" s="8"/>
      <c r="HFR136" s="8"/>
      <c r="HFS136" s="8"/>
      <c r="HFT136" s="8"/>
      <c r="HFU136" s="8"/>
      <c r="HFV136" s="8"/>
      <c r="HFW136" s="8"/>
      <c r="HFX136" s="8"/>
      <c r="HFY136" s="8"/>
      <c r="HFZ136" s="8"/>
      <c r="HGA136" s="8"/>
      <c r="HGB136" s="8"/>
      <c r="HGC136" s="8"/>
      <c r="HGD136" s="8"/>
      <c r="HGE136" s="8"/>
      <c r="HGF136" s="8"/>
      <c r="HGG136" s="8"/>
      <c r="HGH136" s="8"/>
      <c r="HGI136" s="8"/>
      <c r="HGJ136" s="8"/>
      <c r="HGK136" s="8"/>
      <c r="HGL136" s="8"/>
      <c r="HGM136" s="8"/>
      <c r="HGN136" s="8"/>
      <c r="HGO136" s="8"/>
      <c r="HGP136" s="8"/>
      <c r="HGQ136" s="8"/>
      <c r="HGR136" s="8"/>
      <c r="HGS136" s="8"/>
      <c r="HGT136" s="8"/>
      <c r="HGU136" s="8"/>
      <c r="HGV136" s="8"/>
      <c r="HGW136" s="8"/>
      <c r="HGX136" s="8"/>
      <c r="HGY136" s="8"/>
      <c r="HGZ136" s="8"/>
      <c r="HHA136" s="8"/>
      <c r="HHB136" s="8"/>
      <c r="HHC136" s="8"/>
      <c r="HHD136" s="8"/>
      <c r="HHE136" s="8"/>
      <c r="HHF136" s="8"/>
      <c r="HHG136" s="8"/>
      <c r="HHH136" s="8"/>
      <c r="HHI136" s="8"/>
      <c r="HHJ136" s="8"/>
      <c r="HHK136" s="8"/>
      <c r="HHL136" s="8"/>
      <c r="HHM136" s="8"/>
      <c r="HHN136" s="8"/>
      <c r="HHO136" s="8"/>
      <c r="HHP136" s="8"/>
      <c r="HHQ136" s="8"/>
      <c r="HHR136" s="8"/>
      <c r="HHS136" s="8"/>
      <c r="HHT136" s="8"/>
      <c r="HHU136" s="8"/>
      <c r="HHV136" s="8"/>
      <c r="HHW136" s="8"/>
      <c r="HHX136" s="8"/>
      <c r="HHY136" s="8"/>
      <c r="HHZ136" s="8"/>
      <c r="HIA136" s="8"/>
      <c r="HIB136" s="8"/>
      <c r="HIC136" s="8"/>
      <c r="HID136" s="8"/>
      <c r="HIE136" s="8"/>
      <c r="HIF136" s="8"/>
      <c r="HIG136" s="8"/>
      <c r="HIH136" s="8"/>
      <c r="HII136" s="8"/>
      <c r="HIJ136" s="8"/>
      <c r="HIK136" s="8"/>
      <c r="HIL136" s="8"/>
      <c r="HIM136" s="8"/>
      <c r="HIN136" s="8"/>
      <c r="HIO136" s="8"/>
      <c r="HIP136" s="8"/>
      <c r="HIQ136" s="8"/>
      <c r="HIR136" s="8"/>
      <c r="HIS136" s="8"/>
      <c r="HIT136" s="8"/>
      <c r="HIU136" s="8"/>
      <c r="HIV136" s="8"/>
      <c r="HIW136" s="8"/>
      <c r="HIX136" s="8"/>
      <c r="HIY136" s="8"/>
      <c r="HIZ136" s="8"/>
      <c r="HJA136" s="8"/>
      <c r="HJB136" s="8"/>
      <c r="HJC136" s="8"/>
      <c r="HJD136" s="8"/>
      <c r="HJE136" s="8"/>
      <c r="HJF136" s="8"/>
      <c r="HJG136" s="8"/>
      <c r="HJH136" s="8"/>
      <c r="HJI136" s="8"/>
      <c r="HJJ136" s="8"/>
      <c r="HJK136" s="8"/>
      <c r="HJL136" s="8"/>
      <c r="HJM136" s="8"/>
      <c r="HJN136" s="8"/>
      <c r="HJO136" s="8"/>
      <c r="HJP136" s="8"/>
      <c r="HJQ136" s="8"/>
      <c r="HJR136" s="8"/>
      <c r="HJS136" s="8"/>
      <c r="HJT136" s="8"/>
      <c r="HJU136" s="8"/>
      <c r="HJV136" s="8"/>
      <c r="HJW136" s="8"/>
      <c r="HJX136" s="8"/>
      <c r="HJY136" s="8"/>
      <c r="HJZ136" s="8"/>
      <c r="HKA136" s="8"/>
      <c r="HKB136" s="8"/>
      <c r="HKC136" s="8"/>
      <c r="HKD136" s="8"/>
      <c r="HKE136" s="8"/>
      <c r="HKF136" s="8"/>
      <c r="HKG136" s="8"/>
      <c r="HKH136" s="8"/>
      <c r="HKI136" s="8"/>
      <c r="HKJ136" s="8"/>
      <c r="HKK136" s="8"/>
      <c r="HKL136" s="8"/>
      <c r="HKM136" s="8"/>
      <c r="HKN136" s="8"/>
      <c r="HKO136" s="8"/>
      <c r="HKP136" s="8"/>
      <c r="HKQ136" s="8"/>
      <c r="HKR136" s="8"/>
      <c r="HKS136" s="8"/>
      <c r="HKT136" s="8"/>
      <c r="HKU136" s="8"/>
      <c r="HKV136" s="8"/>
      <c r="HKW136" s="8"/>
      <c r="HKX136" s="8"/>
      <c r="HKY136" s="8"/>
      <c r="HKZ136" s="8"/>
      <c r="HLA136" s="8"/>
      <c r="HLB136" s="8"/>
      <c r="HLC136" s="8"/>
      <c r="HLD136" s="8"/>
      <c r="HLE136" s="8"/>
      <c r="HLF136" s="8"/>
      <c r="HLG136" s="8"/>
      <c r="HLH136" s="8"/>
      <c r="HLI136" s="8"/>
      <c r="HLJ136" s="8"/>
      <c r="HLK136" s="8"/>
      <c r="HLL136" s="8"/>
      <c r="HLM136" s="8"/>
      <c r="HLN136" s="8"/>
      <c r="HLO136" s="8"/>
      <c r="HLP136" s="8"/>
      <c r="HLQ136" s="8"/>
      <c r="HLR136" s="8"/>
      <c r="HLS136" s="8"/>
      <c r="HLT136" s="8"/>
      <c r="HLU136" s="8"/>
      <c r="HLV136" s="8"/>
      <c r="HLW136" s="8"/>
      <c r="HLX136" s="8"/>
      <c r="HLY136" s="8"/>
      <c r="HLZ136" s="8"/>
      <c r="HMA136" s="8"/>
      <c r="HMB136" s="8"/>
      <c r="HMC136" s="8"/>
      <c r="HMD136" s="8"/>
      <c r="HME136" s="8"/>
      <c r="HMF136" s="8"/>
      <c r="HMG136" s="8"/>
      <c r="HMH136" s="8"/>
      <c r="HMI136" s="8"/>
      <c r="HMJ136" s="8"/>
      <c r="HMK136" s="8"/>
      <c r="HML136" s="8"/>
      <c r="HMM136" s="8"/>
      <c r="HMN136" s="8"/>
      <c r="HMO136" s="8"/>
      <c r="HMP136" s="8"/>
      <c r="HMQ136" s="8"/>
      <c r="HMR136" s="8"/>
      <c r="HMS136" s="8"/>
      <c r="HMT136" s="8"/>
      <c r="HMU136" s="8"/>
      <c r="HMV136" s="8"/>
      <c r="HMW136" s="8"/>
      <c r="HMX136" s="8"/>
      <c r="HMY136" s="8"/>
      <c r="HMZ136" s="8"/>
      <c r="HNA136" s="8"/>
      <c r="HNB136" s="8"/>
      <c r="HNC136" s="8"/>
      <c r="HND136" s="8"/>
      <c r="HNE136" s="8"/>
      <c r="HNF136" s="8"/>
      <c r="HNG136" s="8"/>
      <c r="HNH136" s="8"/>
      <c r="HNI136" s="8"/>
      <c r="HNJ136" s="8"/>
      <c r="HNK136" s="8"/>
      <c r="HNL136" s="8"/>
      <c r="HNM136" s="8"/>
      <c r="HNN136" s="8"/>
      <c r="HNO136" s="8"/>
      <c r="HNP136" s="8"/>
      <c r="HNQ136" s="8"/>
      <c r="HNR136" s="8"/>
      <c r="HNS136" s="8"/>
      <c r="HNT136" s="8"/>
      <c r="HNU136" s="8"/>
      <c r="HNV136" s="8"/>
      <c r="HNW136" s="8"/>
      <c r="HNX136" s="8"/>
      <c r="HNY136" s="8"/>
      <c r="HNZ136" s="8"/>
      <c r="HOA136" s="8"/>
      <c r="HOB136" s="8"/>
      <c r="HOC136" s="8"/>
      <c r="HOD136" s="8"/>
      <c r="HOE136" s="8"/>
      <c r="HOF136" s="8"/>
      <c r="HOG136" s="8"/>
      <c r="HOH136" s="8"/>
      <c r="HOI136" s="8"/>
      <c r="HOJ136" s="8"/>
      <c r="HOK136" s="8"/>
      <c r="HOL136" s="8"/>
      <c r="HOM136" s="8"/>
      <c r="HON136" s="8"/>
      <c r="HOO136" s="8"/>
      <c r="HOP136" s="8"/>
      <c r="HOQ136" s="8"/>
      <c r="HOR136" s="8"/>
      <c r="HOS136" s="8"/>
      <c r="HOT136" s="8"/>
      <c r="HOU136" s="8"/>
      <c r="HOV136" s="8"/>
      <c r="HOW136" s="8"/>
      <c r="HOX136" s="8"/>
      <c r="HOY136" s="8"/>
      <c r="HOZ136" s="8"/>
      <c r="HPA136" s="8"/>
      <c r="HPB136" s="8"/>
      <c r="HPC136" s="8"/>
      <c r="HPD136" s="8"/>
      <c r="HPE136" s="8"/>
      <c r="HPF136" s="8"/>
      <c r="HPG136" s="8"/>
      <c r="HPH136" s="8"/>
      <c r="HPI136" s="8"/>
      <c r="HPJ136" s="8"/>
      <c r="HPK136" s="8"/>
      <c r="HPL136" s="8"/>
      <c r="HPM136" s="8"/>
      <c r="HPN136" s="8"/>
      <c r="HPO136" s="8"/>
      <c r="HPP136" s="8"/>
      <c r="HPQ136" s="8"/>
      <c r="HPR136" s="8"/>
      <c r="HPS136" s="8"/>
      <c r="HPT136" s="8"/>
      <c r="HPU136" s="8"/>
      <c r="HPV136" s="8"/>
      <c r="HPW136" s="8"/>
      <c r="HPX136" s="8"/>
      <c r="HPY136" s="8"/>
      <c r="HPZ136" s="8"/>
      <c r="HQA136" s="8"/>
      <c r="HQB136" s="8"/>
      <c r="HQC136" s="8"/>
      <c r="HQD136" s="8"/>
      <c r="HQE136" s="8"/>
      <c r="HQF136" s="8"/>
      <c r="HQG136" s="8"/>
      <c r="HQH136" s="8"/>
      <c r="HQI136" s="8"/>
      <c r="HQJ136" s="8"/>
      <c r="HQK136" s="8"/>
      <c r="HQL136" s="8"/>
      <c r="HQM136" s="8"/>
      <c r="HQN136" s="8"/>
      <c r="HQO136" s="8"/>
      <c r="HQP136" s="8"/>
      <c r="HQQ136" s="8"/>
      <c r="HQR136" s="8"/>
      <c r="HQS136" s="8"/>
      <c r="HQT136" s="8"/>
      <c r="HQU136" s="8"/>
      <c r="HQV136" s="8"/>
      <c r="HQW136" s="8"/>
      <c r="HQX136" s="8"/>
      <c r="HQY136" s="8"/>
      <c r="HQZ136" s="8"/>
      <c r="HRA136" s="8"/>
      <c r="HRB136" s="8"/>
      <c r="HRC136" s="8"/>
      <c r="HRD136" s="8"/>
      <c r="HRE136" s="8"/>
      <c r="HRF136" s="8"/>
      <c r="HRG136" s="8"/>
      <c r="HRH136" s="8"/>
      <c r="HRI136" s="8"/>
      <c r="HRJ136" s="8"/>
      <c r="HRK136" s="8"/>
      <c r="HRL136" s="8"/>
      <c r="HRM136" s="8"/>
      <c r="HRN136" s="8"/>
      <c r="HRO136" s="8"/>
      <c r="HRP136" s="8"/>
      <c r="HRQ136" s="8"/>
      <c r="HRR136" s="8"/>
      <c r="HRS136" s="8"/>
      <c r="HRT136" s="8"/>
      <c r="HRU136" s="8"/>
      <c r="HRV136" s="8"/>
      <c r="HRW136" s="8"/>
      <c r="HRX136" s="8"/>
      <c r="HRY136" s="8"/>
      <c r="HRZ136" s="8"/>
      <c r="HSA136" s="8"/>
      <c r="HSB136" s="8"/>
      <c r="HSC136" s="8"/>
      <c r="HSD136" s="8"/>
      <c r="HSE136" s="8"/>
      <c r="HSF136" s="8"/>
      <c r="HSG136" s="8"/>
      <c r="HSH136" s="8"/>
      <c r="HSI136" s="8"/>
      <c r="HSJ136" s="8"/>
      <c r="HSK136" s="8"/>
      <c r="HSL136" s="8"/>
      <c r="HSM136" s="8"/>
      <c r="HSN136" s="8"/>
      <c r="HSO136" s="8"/>
      <c r="HSP136" s="8"/>
      <c r="HSQ136" s="8"/>
      <c r="HSR136" s="8"/>
      <c r="HSS136" s="8"/>
      <c r="HST136" s="8"/>
      <c r="HSU136" s="8"/>
      <c r="HSV136" s="8"/>
      <c r="HSW136" s="8"/>
      <c r="HSX136" s="8"/>
      <c r="HSY136" s="8"/>
      <c r="HSZ136" s="8"/>
      <c r="HTA136" s="8"/>
      <c r="HTB136" s="8"/>
      <c r="HTC136" s="8"/>
      <c r="HTD136" s="8"/>
      <c r="HTE136" s="8"/>
      <c r="HTF136" s="8"/>
      <c r="HTG136" s="8"/>
      <c r="HTH136" s="8"/>
      <c r="HTI136" s="8"/>
      <c r="HTJ136" s="8"/>
      <c r="HTK136" s="8"/>
      <c r="HTL136" s="8"/>
      <c r="HTM136" s="8"/>
      <c r="HTN136" s="8"/>
      <c r="HTO136" s="8"/>
      <c r="HTP136" s="8"/>
      <c r="HTQ136" s="8"/>
      <c r="HTR136" s="8"/>
      <c r="HTS136" s="8"/>
      <c r="HTT136" s="8"/>
      <c r="HTU136" s="8"/>
      <c r="HTV136" s="8"/>
      <c r="HTW136" s="8"/>
      <c r="HTX136" s="8"/>
      <c r="HTY136" s="8"/>
      <c r="HTZ136" s="8"/>
      <c r="HUA136" s="8"/>
      <c r="HUB136" s="8"/>
      <c r="HUC136" s="8"/>
      <c r="HUD136" s="8"/>
      <c r="HUE136" s="8"/>
      <c r="HUF136" s="8"/>
      <c r="HUG136" s="8"/>
      <c r="HUH136" s="8"/>
      <c r="HUI136" s="8"/>
      <c r="HUJ136" s="8"/>
      <c r="HUK136" s="8"/>
      <c r="HUL136" s="8"/>
      <c r="HUM136" s="8"/>
      <c r="HUN136" s="8"/>
      <c r="HUO136" s="8"/>
      <c r="HUP136" s="8"/>
      <c r="HUQ136" s="8"/>
      <c r="HUR136" s="8"/>
      <c r="HUS136" s="8"/>
      <c r="HUT136" s="8"/>
      <c r="HUU136" s="8"/>
      <c r="HUV136" s="8"/>
      <c r="HUW136" s="8"/>
      <c r="HUX136" s="8"/>
      <c r="HUY136" s="8"/>
      <c r="HUZ136" s="8"/>
      <c r="HVA136" s="8"/>
      <c r="HVB136" s="8"/>
      <c r="HVC136" s="8"/>
      <c r="HVD136" s="8"/>
      <c r="HVE136" s="8"/>
      <c r="HVF136" s="8"/>
      <c r="HVG136" s="8"/>
      <c r="HVH136" s="8"/>
      <c r="HVI136" s="8"/>
      <c r="HVJ136" s="8"/>
      <c r="HVK136" s="8"/>
      <c r="HVL136" s="8"/>
      <c r="HVM136" s="8"/>
      <c r="HVN136" s="8"/>
      <c r="HVO136" s="8"/>
      <c r="HVP136" s="8"/>
      <c r="HVQ136" s="8"/>
      <c r="HVR136" s="8"/>
      <c r="HVS136" s="8"/>
      <c r="HVT136" s="8"/>
      <c r="HVU136" s="8"/>
      <c r="HVV136" s="8"/>
      <c r="HVW136" s="8"/>
      <c r="HVX136" s="8"/>
      <c r="HVY136" s="8"/>
      <c r="HVZ136" s="8"/>
      <c r="HWA136" s="8"/>
      <c r="HWB136" s="8"/>
      <c r="HWC136" s="8"/>
      <c r="HWD136" s="8"/>
      <c r="HWE136" s="8"/>
      <c r="HWF136" s="8"/>
      <c r="HWG136" s="8"/>
      <c r="HWH136" s="8"/>
      <c r="HWI136" s="8"/>
      <c r="HWJ136" s="8"/>
      <c r="HWK136" s="8"/>
      <c r="HWL136" s="8"/>
      <c r="HWM136" s="8"/>
      <c r="HWN136" s="8"/>
      <c r="HWO136" s="8"/>
      <c r="HWP136" s="8"/>
      <c r="HWQ136" s="8"/>
      <c r="HWR136" s="8"/>
      <c r="HWS136" s="8"/>
      <c r="HWT136" s="8"/>
      <c r="HWU136" s="8"/>
      <c r="HWV136" s="8"/>
      <c r="HWW136" s="8"/>
      <c r="HWX136" s="8"/>
      <c r="HWY136" s="8"/>
      <c r="HWZ136" s="8"/>
      <c r="HXA136" s="8"/>
      <c r="HXB136" s="8"/>
      <c r="HXC136" s="8"/>
      <c r="HXD136" s="8"/>
      <c r="HXE136" s="8"/>
      <c r="HXF136" s="8"/>
      <c r="HXG136" s="8"/>
      <c r="HXH136" s="8"/>
      <c r="HXI136" s="8"/>
      <c r="HXJ136" s="8"/>
      <c r="HXK136" s="8"/>
      <c r="HXL136" s="8"/>
      <c r="HXM136" s="8"/>
      <c r="HXN136" s="8"/>
      <c r="HXO136" s="8"/>
      <c r="HXP136" s="8"/>
      <c r="HXQ136" s="8"/>
      <c r="HXR136" s="8"/>
      <c r="HXS136" s="8"/>
      <c r="HXT136" s="8"/>
      <c r="HXU136" s="8"/>
      <c r="HXV136" s="8"/>
      <c r="HXW136" s="8"/>
      <c r="HXX136" s="8"/>
      <c r="HXY136" s="8"/>
      <c r="HXZ136" s="8"/>
      <c r="HYA136" s="8"/>
      <c r="HYB136" s="8"/>
      <c r="HYC136" s="8"/>
      <c r="HYD136" s="8"/>
      <c r="HYE136" s="8"/>
      <c r="HYF136" s="8"/>
      <c r="HYG136" s="8"/>
      <c r="HYH136" s="8"/>
      <c r="HYI136" s="8"/>
      <c r="HYJ136" s="8"/>
      <c r="HYK136" s="8"/>
      <c r="HYL136" s="8"/>
      <c r="HYM136" s="8"/>
      <c r="HYN136" s="8"/>
      <c r="HYO136" s="8"/>
      <c r="HYP136" s="8"/>
      <c r="HYQ136" s="8"/>
      <c r="HYR136" s="8"/>
      <c r="HYS136" s="8"/>
      <c r="HYT136" s="8"/>
      <c r="HYU136" s="8"/>
      <c r="HYV136" s="8"/>
      <c r="HYW136" s="8"/>
      <c r="HYX136" s="8"/>
      <c r="HYY136" s="8"/>
      <c r="HYZ136" s="8"/>
      <c r="HZA136" s="8"/>
      <c r="HZB136" s="8"/>
      <c r="HZC136" s="8"/>
      <c r="HZD136" s="8"/>
      <c r="HZE136" s="8"/>
      <c r="HZF136" s="8"/>
      <c r="HZG136" s="8"/>
      <c r="HZH136" s="8"/>
      <c r="HZI136" s="8"/>
      <c r="HZJ136" s="8"/>
      <c r="HZK136" s="8"/>
      <c r="HZL136" s="8"/>
      <c r="HZM136" s="8"/>
      <c r="HZN136" s="8"/>
      <c r="HZO136" s="8"/>
      <c r="HZP136" s="8"/>
      <c r="HZQ136" s="8"/>
      <c r="HZR136" s="8"/>
      <c r="HZS136" s="8"/>
      <c r="HZT136" s="8"/>
      <c r="HZU136" s="8"/>
      <c r="HZV136" s="8"/>
      <c r="HZW136" s="8"/>
      <c r="HZX136" s="8"/>
      <c r="HZY136" s="8"/>
      <c r="HZZ136" s="8"/>
      <c r="IAA136" s="8"/>
      <c r="IAB136" s="8"/>
      <c r="IAC136" s="8"/>
      <c r="IAD136" s="8"/>
      <c r="IAE136" s="8"/>
      <c r="IAF136" s="8"/>
      <c r="IAG136" s="8"/>
      <c r="IAH136" s="8"/>
      <c r="IAI136" s="8"/>
      <c r="IAJ136" s="8"/>
      <c r="IAK136" s="8"/>
      <c r="IAL136" s="8"/>
      <c r="IAM136" s="8"/>
      <c r="IAN136" s="8"/>
      <c r="IAO136" s="8"/>
      <c r="IAP136" s="8"/>
      <c r="IAQ136" s="8"/>
      <c r="IAR136" s="8"/>
      <c r="IAS136" s="8"/>
      <c r="IAT136" s="8"/>
      <c r="IAU136" s="8"/>
      <c r="IAV136" s="8"/>
      <c r="IAW136" s="8"/>
      <c r="IAX136" s="8"/>
      <c r="IAY136" s="8"/>
      <c r="IAZ136" s="8"/>
      <c r="IBA136" s="8"/>
      <c r="IBB136" s="8"/>
      <c r="IBC136" s="8"/>
      <c r="IBD136" s="8"/>
      <c r="IBE136" s="8"/>
      <c r="IBF136" s="8"/>
      <c r="IBG136" s="8"/>
      <c r="IBH136" s="8"/>
      <c r="IBI136" s="8"/>
      <c r="IBJ136" s="8"/>
      <c r="IBK136" s="8"/>
      <c r="IBL136" s="8"/>
      <c r="IBM136" s="8"/>
      <c r="IBN136" s="8"/>
      <c r="IBO136" s="8"/>
      <c r="IBP136" s="8"/>
      <c r="IBQ136" s="8"/>
      <c r="IBR136" s="8"/>
      <c r="IBS136" s="8"/>
      <c r="IBT136" s="8"/>
      <c r="IBU136" s="8"/>
      <c r="IBV136" s="8"/>
      <c r="IBW136" s="8"/>
      <c r="IBX136" s="8"/>
      <c r="IBY136" s="8"/>
      <c r="IBZ136" s="8"/>
      <c r="ICA136" s="8"/>
      <c r="ICB136" s="8"/>
      <c r="ICC136" s="8"/>
      <c r="ICD136" s="8"/>
      <c r="ICE136" s="8"/>
      <c r="ICF136" s="8"/>
      <c r="ICG136" s="8"/>
      <c r="ICH136" s="8"/>
      <c r="ICI136" s="8"/>
      <c r="ICJ136" s="8"/>
      <c r="ICK136" s="8"/>
      <c r="ICL136" s="8"/>
      <c r="ICM136" s="8"/>
      <c r="ICN136" s="8"/>
      <c r="ICO136" s="8"/>
      <c r="ICP136" s="8"/>
      <c r="ICQ136" s="8"/>
      <c r="ICR136" s="8"/>
      <c r="ICS136" s="8"/>
      <c r="ICT136" s="8"/>
      <c r="ICU136" s="8"/>
      <c r="ICV136" s="8"/>
      <c r="ICW136" s="8"/>
      <c r="ICX136" s="8"/>
      <c r="ICY136" s="8"/>
      <c r="ICZ136" s="8"/>
      <c r="IDA136" s="8"/>
      <c r="IDB136" s="8"/>
      <c r="IDC136" s="8"/>
      <c r="IDD136" s="8"/>
      <c r="IDE136" s="8"/>
      <c r="IDF136" s="8"/>
      <c r="IDG136" s="8"/>
      <c r="IDH136" s="8"/>
      <c r="IDI136" s="8"/>
      <c r="IDJ136" s="8"/>
      <c r="IDK136" s="8"/>
      <c r="IDL136" s="8"/>
      <c r="IDM136" s="8"/>
      <c r="IDN136" s="8"/>
      <c r="IDO136" s="8"/>
      <c r="IDP136" s="8"/>
      <c r="IDQ136" s="8"/>
      <c r="IDR136" s="8"/>
      <c r="IDS136" s="8"/>
      <c r="IDT136" s="8"/>
      <c r="IDU136" s="8"/>
      <c r="IDV136" s="8"/>
      <c r="IDW136" s="8"/>
      <c r="IDX136" s="8"/>
      <c r="IDY136" s="8"/>
      <c r="IDZ136" s="8"/>
      <c r="IEA136" s="8"/>
      <c r="IEB136" s="8"/>
      <c r="IEC136" s="8"/>
      <c r="IED136" s="8"/>
      <c r="IEE136" s="8"/>
      <c r="IEF136" s="8"/>
      <c r="IEG136" s="8"/>
      <c r="IEH136" s="8"/>
      <c r="IEI136" s="8"/>
      <c r="IEJ136" s="8"/>
      <c r="IEK136" s="8"/>
      <c r="IEL136" s="8"/>
      <c r="IEM136" s="8"/>
      <c r="IEN136" s="8"/>
      <c r="IEO136" s="8"/>
      <c r="IEP136" s="8"/>
      <c r="IEQ136" s="8"/>
      <c r="IER136" s="8"/>
      <c r="IES136" s="8"/>
      <c r="IET136" s="8"/>
      <c r="IEU136" s="8"/>
      <c r="IEV136" s="8"/>
      <c r="IEW136" s="8"/>
      <c r="IEX136" s="8"/>
      <c r="IEY136" s="8"/>
      <c r="IEZ136" s="8"/>
      <c r="IFA136" s="8"/>
      <c r="IFB136" s="8"/>
      <c r="IFC136" s="8"/>
      <c r="IFD136" s="8"/>
      <c r="IFE136" s="8"/>
      <c r="IFF136" s="8"/>
      <c r="IFG136" s="8"/>
      <c r="IFH136" s="8"/>
      <c r="IFI136" s="8"/>
      <c r="IFJ136" s="8"/>
      <c r="IFK136" s="8"/>
      <c r="IFL136" s="8"/>
      <c r="IFM136" s="8"/>
      <c r="IFN136" s="8"/>
      <c r="IFO136" s="8"/>
      <c r="IFP136" s="8"/>
      <c r="IFQ136" s="8"/>
      <c r="IFR136" s="8"/>
      <c r="IFS136" s="8"/>
      <c r="IFT136" s="8"/>
      <c r="IFU136" s="8"/>
      <c r="IFV136" s="8"/>
      <c r="IFW136" s="8"/>
      <c r="IFX136" s="8"/>
      <c r="IFY136" s="8"/>
      <c r="IFZ136" s="8"/>
      <c r="IGA136" s="8"/>
      <c r="IGB136" s="8"/>
      <c r="IGC136" s="8"/>
      <c r="IGD136" s="8"/>
      <c r="IGE136" s="8"/>
      <c r="IGF136" s="8"/>
      <c r="IGG136" s="8"/>
      <c r="IGH136" s="8"/>
      <c r="IGI136" s="8"/>
      <c r="IGJ136" s="8"/>
      <c r="IGK136" s="8"/>
      <c r="IGL136" s="8"/>
      <c r="IGM136" s="8"/>
      <c r="IGN136" s="8"/>
      <c r="IGO136" s="8"/>
      <c r="IGP136" s="8"/>
      <c r="IGQ136" s="8"/>
      <c r="IGR136" s="8"/>
      <c r="IGS136" s="8"/>
      <c r="IGT136" s="8"/>
      <c r="IGU136" s="8"/>
      <c r="IGV136" s="8"/>
      <c r="IGW136" s="8"/>
      <c r="IGX136" s="8"/>
      <c r="IGY136" s="8"/>
      <c r="IGZ136" s="8"/>
      <c r="IHA136" s="8"/>
      <c r="IHB136" s="8"/>
      <c r="IHC136" s="8"/>
      <c r="IHD136" s="8"/>
      <c r="IHE136" s="8"/>
      <c r="IHF136" s="8"/>
      <c r="IHG136" s="8"/>
      <c r="IHH136" s="8"/>
      <c r="IHI136" s="8"/>
      <c r="IHJ136" s="8"/>
      <c r="IHK136" s="8"/>
      <c r="IHL136" s="8"/>
      <c r="IHM136" s="8"/>
      <c r="IHN136" s="8"/>
      <c r="IHO136" s="8"/>
      <c r="IHP136" s="8"/>
      <c r="IHQ136" s="8"/>
      <c r="IHR136" s="8"/>
      <c r="IHS136" s="8"/>
      <c r="IHT136" s="8"/>
      <c r="IHU136" s="8"/>
      <c r="IHV136" s="8"/>
      <c r="IHW136" s="8"/>
      <c r="IHX136" s="8"/>
      <c r="IHY136" s="8"/>
      <c r="IHZ136" s="8"/>
      <c r="IIA136" s="8"/>
      <c r="IIB136" s="8"/>
      <c r="IIC136" s="8"/>
      <c r="IID136" s="8"/>
      <c r="IIE136" s="8"/>
      <c r="IIF136" s="8"/>
      <c r="IIG136" s="8"/>
      <c r="IIH136" s="8"/>
      <c r="III136" s="8"/>
      <c r="IIJ136" s="8"/>
      <c r="IIK136" s="8"/>
      <c r="IIL136" s="8"/>
      <c r="IIM136" s="8"/>
      <c r="IIN136" s="8"/>
      <c r="IIO136" s="8"/>
      <c r="IIP136" s="8"/>
      <c r="IIQ136" s="8"/>
      <c r="IIR136" s="8"/>
      <c r="IIS136" s="8"/>
      <c r="IIT136" s="8"/>
      <c r="IIU136" s="8"/>
      <c r="IIV136" s="8"/>
      <c r="IIW136" s="8"/>
      <c r="IIX136" s="8"/>
      <c r="IIY136" s="8"/>
      <c r="IIZ136" s="8"/>
      <c r="IJA136" s="8"/>
      <c r="IJB136" s="8"/>
      <c r="IJC136" s="8"/>
      <c r="IJD136" s="8"/>
      <c r="IJE136" s="8"/>
      <c r="IJF136" s="8"/>
      <c r="IJG136" s="8"/>
      <c r="IJH136" s="8"/>
      <c r="IJI136" s="8"/>
      <c r="IJJ136" s="8"/>
      <c r="IJK136" s="8"/>
      <c r="IJL136" s="8"/>
      <c r="IJM136" s="8"/>
      <c r="IJN136" s="8"/>
      <c r="IJO136" s="8"/>
      <c r="IJP136" s="8"/>
      <c r="IJQ136" s="8"/>
      <c r="IJR136" s="8"/>
      <c r="IJS136" s="8"/>
      <c r="IJT136" s="8"/>
      <c r="IJU136" s="8"/>
      <c r="IJV136" s="8"/>
      <c r="IJW136" s="8"/>
      <c r="IJX136" s="8"/>
      <c r="IJY136" s="8"/>
      <c r="IJZ136" s="8"/>
      <c r="IKA136" s="8"/>
      <c r="IKB136" s="8"/>
      <c r="IKC136" s="8"/>
      <c r="IKD136" s="8"/>
      <c r="IKE136" s="8"/>
      <c r="IKF136" s="8"/>
      <c r="IKG136" s="8"/>
      <c r="IKH136" s="8"/>
      <c r="IKI136" s="8"/>
      <c r="IKJ136" s="8"/>
      <c r="IKK136" s="8"/>
      <c r="IKL136" s="8"/>
      <c r="IKM136" s="8"/>
      <c r="IKN136" s="8"/>
      <c r="IKO136" s="8"/>
      <c r="IKP136" s="8"/>
      <c r="IKQ136" s="8"/>
      <c r="IKR136" s="8"/>
      <c r="IKS136" s="8"/>
      <c r="IKT136" s="8"/>
      <c r="IKU136" s="8"/>
      <c r="IKV136" s="8"/>
      <c r="IKW136" s="8"/>
      <c r="IKX136" s="8"/>
      <c r="IKY136" s="8"/>
      <c r="IKZ136" s="8"/>
      <c r="ILA136" s="8"/>
      <c r="ILB136" s="8"/>
      <c r="ILC136" s="8"/>
      <c r="ILD136" s="8"/>
      <c r="ILE136" s="8"/>
      <c r="ILF136" s="8"/>
      <c r="ILG136" s="8"/>
      <c r="ILH136" s="8"/>
      <c r="ILI136" s="8"/>
      <c r="ILJ136" s="8"/>
      <c r="ILK136" s="8"/>
      <c r="ILL136" s="8"/>
      <c r="ILM136" s="8"/>
      <c r="ILN136" s="8"/>
      <c r="ILO136" s="8"/>
      <c r="ILP136" s="8"/>
      <c r="ILQ136" s="8"/>
      <c r="ILR136" s="8"/>
      <c r="ILS136" s="8"/>
      <c r="ILT136" s="8"/>
      <c r="ILU136" s="8"/>
      <c r="ILV136" s="8"/>
      <c r="ILW136" s="8"/>
      <c r="ILX136" s="8"/>
      <c r="ILY136" s="8"/>
      <c r="ILZ136" s="8"/>
      <c r="IMA136" s="8"/>
      <c r="IMB136" s="8"/>
      <c r="IMC136" s="8"/>
      <c r="IMD136" s="8"/>
      <c r="IME136" s="8"/>
      <c r="IMF136" s="8"/>
      <c r="IMG136" s="8"/>
      <c r="IMH136" s="8"/>
      <c r="IMI136" s="8"/>
      <c r="IMJ136" s="8"/>
      <c r="IMK136" s="8"/>
      <c r="IML136" s="8"/>
      <c r="IMM136" s="8"/>
      <c r="IMN136" s="8"/>
      <c r="IMO136" s="8"/>
      <c r="IMP136" s="8"/>
      <c r="IMQ136" s="8"/>
      <c r="IMR136" s="8"/>
      <c r="IMS136" s="8"/>
      <c r="IMT136" s="8"/>
      <c r="IMU136" s="8"/>
      <c r="IMV136" s="8"/>
      <c r="IMW136" s="8"/>
      <c r="IMX136" s="8"/>
      <c r="IMY136" s="8"/>
      <c r="IMZ136" s="8"/>
      <c r="INA136" s="8"/>
      <c r="INB136" s="8"/>
      <c r="INC136" s="8"/>
      <c r="IND136" s="8"/>
      <c r="INE136" s="8"/>
      <c r="INF136" s="8"/>
      <c r="ING136" s="8"/>
      <c r="INH136" s="8"/>
      <c r="INI136" s="8"/>
      <c r="INJ136" s="8"/>
      <c r="INK136" s="8"/>
      <c r="INL136" s="8"/>
      <c r="INM136" s="8"/>
      <c r="INN136" s="8"/>
      <c r="INO136" s="8"/>
      <c r="INP136" s="8"/>
      <c r="INQ136" s="8"/>
      <c r="INR136" s="8"/>
      <c r="INS136" s="8"/>
      <c r="INT136" s="8"/>
      <c r="INU136" s="8"/>
      <c r="INV136" s="8"/>
      <c r="INW136" s="8"/>
      <c r="INX136" s="8"/>
      <c r="INY136" s="8"/>
      <c r="INZ136" s="8"/>
      <c r="IOA136" s="8"/>
      <c r="IOB136" s="8"/>
      <c r="IOC136" s="8"/>
      <c r="IOD136" s="8"/>
      <c r="IOE136" s="8"/>
      <c r="IOF136" s="8"/>
      <c r="IOG136" s="8"/>
      <c r="IOH136" s="8"/>
      <c r="IOI136" s="8"/>
      <c r="IOJ136" s="8"/>
      <c r="IOK136" s="8"/>
      <c r="IOL136" s="8"/>
      <c r="IOM136" s="8"/>
      <c r="ION136" s="8"/>
      <c r="IOO136" s="8"/>
      <c r="IOP136" s="8"/>
      <c r="IOQ136" s="8"/>
      <c r="IOR136" s="8"/>
      <c r="IOS136" s="8"/>
      <c r="IOT136" s="8"/>
      <c r="IOU136" s="8"/>
      <c r="IOV136" s="8"/>
      <c r="IOW136" s="8"/>
      <c r="IOX136" s="8"/>
      <c r="IOY136" s="8"/>
      <c r="IOZ136" s="8"/>
      <c r="IPA136" s="8"/>
      <c r="IPB136" s="8"/>
      <c r="IPC136" s="8"/>
      <c r="IPD136" s="8"/>
      <c r="IPE136" s="8"/>
      <c r="IPF136" s="8"/>
      <c r="IPG136" s="8"/>
      <c r="IPH136" s="8"/>
      <c r="IPI136" s="8"/>
      <c r="IPJ136" s="8"/>
      <c r="IPK136" s="8"/>
      <c r="IPL136" s="8"/>
      <c r="IPM136" s="8"/>
      <c r="IPN136" s="8"/>
      <c r="IPO136" s="8"/>
      <c r="IPP136" s="8"/>
      <c r="IPQ136" s="8"/>
      <c r="IPR136" s="8"/>
      <c r="IPS136" s="8"/>
      <c r="IPT136" s="8"/>
      <c r="IPU136" s="8"/>
      <c r="IPV136" s="8"/>
      <c r="IPW136" s="8"/>
      <c r="IPX136" s="8"/>
      <c r="IPY136" s="8"/>
      <c r="IPZ136" s="8"/>
      <c r="IQA136" s="8"/>
      <c r="IQB136" s="8"/>
      <c r="IQC136" s="8"/>
      <c r="IQD136" s="8"/>
      <c r="IQE136" s="8"/>
      <c r="IQF136" s="8"/>
      <c r="IQG136" s="8"/>
      <c r="IQH136" s="8"/>
      <c r="IQI136" s="8"/>
      <c r="IQJ136" s="8"/>
      <c r="IQK136" s="8"/>
      <c r="IQL136" s="8"/>
      <c r="IQM136" s="8"/>
      <c r="IQN136" s="8"/>
      <c r="IQO136" s="8"/>
      <c r="IQP136" s="8"/>
      <c r="IQQ136" s="8"/>
      <c r="IQR136" s="8"/>
      <c r="IQS136" s="8"/>
      <c r="IQT136" s="8"/>
      <c r="IQU136" s="8"/>
      <c r="IQV136" s="8"/>
      <c r="IQW136" s="8"/>
      <c r="IQX136" s="8"/>
      <c r="IQY136" s="8"/>
      <c r="IQZ136" s="8"/>
      <c r="IRA136" s="8"/>
      <c r="IRB136" s="8"/>
      <c r="IRC136" s="8"/>
      <c r="IRD136" s="8"/>
      <c r="IRE136" s="8"/>
      <c r="IRF136" s="8"/>
      <c r="IRG136" s="8"/>
      <c r="IRH136" s="8"/>
      <c r="IRI136" s="8"/>
      <c r="IRJ136" s="8"/>
      <c r="IRK136" s="8"/>
      <c r="IRL136" s="8"/>
      <c r="IRM136" s="8"/>
      <c r="IRN136" s="8"/>
      <c r="IRO136" s="8"/>
      <c r="IRP136" s="8"/>
      <c r="IRQ136" s="8"/>
      <c r="IRR136" s="8"/>
      <c r="IRS136" s="8"/>
      <c r="IRT136" s="8"/>
      <c r="IRU136" s="8"/>
      <c r="IRV136" s="8"/>
      <c r="IRW136" s="8"/>
      <c r="IRX136" s="8"/>
      <c r="IRY136" s="8"/>
      <c r="IRZ136" s="8"/>
      <c r="ISA136" s="8"/>
      <c r="ISB136" s="8"/>
      <c r="ISC136" s="8"/>
      <c r="ISD136" s="8"/>
      <c r="ISE136" s="8"/>
      <c r="ISF136" s="8"/>
      <c r="ISG136" s="8"/>
      <c r="ISH136" s="8"/>
      <c r="ISI136" s="8"/>
      <c r="ISJ136" s="8"/>
      <c r="ISK136" s="8"/>
      <c r="ISL136" s="8"/>
      <c r="ISM136" s="8"/>
      <c r="ISN136" s="8"/>
      <c r="ISO136" s="8"/>
      <c r="ISP136" s="8"/>
      <c r="ISQ136" s="8"/>
      <c r="ISR136" s="8"/>
      <c r="ISS136" s="8"/>
      <c r="IST136" s="8"/>
      <c r="ISU136" s="8"/>
      <c r="ISV136" s="8"/>
      <c r="ISW136" s="8"/>
      <c r="ISX136" s="8"/>
      <c r="ISY136" s="8"/>
      <c r="ISZ136" s="8"/>
      <c r="ITA136" s="8"/>
      <c r="ITB136" s="8"/>
      <c r="ITC136" s="8"/>
      <c r="ITD136" s="8"/>
      <c r="ITE136" s="8"/>
      <c r="ITF136" s="8"/>
      <c r="ITG136" s="8"/>
      <c r="ITH136" s="8"/>
      <c r="ITI136" s="8"/>
      <c r="ITJ136" s="8"/>
      <c r="ITK136" s="8"/>
      <c r="ITL136" s="8"/>
      <c r="ITM136" s="8"/>
      <c r="ITN136" s="8"/>
      <c r="ITO136" s="8"/>
      <c r="ITP136" s="8"/>
      <c r="ITQ136" s="8"/>
      <c r="ITR136" s="8"/>
      <c r="ITS136" s="8"/>
      <c r="ITT136" s="8"/>
      <c r="ITU136" s="8"/>
      <c r="ITV136" s="8"/>
      <c r="ITW136" s="8"/>
      <c r="ITX136" s="8"/>
      <c r="ITY136" s="8"/>
      <c r="ITZ136" s="8"/>
      <c r="IUA136" s="8"/>
      <c r="IUB136" s="8"/>
      <c r="IUC136" s="8"/>
      <c r="IUD136" s="8"/>
      <c r="IUE136" s="8"/>
      <c r="IUF136" s="8"/>
      <c r="IUG136" s="8"/>
      <c r="IUH136" s="8"/>
      <c r="IUI136" s="8"/>
      <c r="IUJ136" s="8"/>
      <c r="IUK136" s="8"/>
      <c r="IUL136" s="8"/>
      <c r="IUM136" s="8"/>
      <c r="IUN136" s="8"/>
      <c r="IUO136" s="8"/>
      <c r="IUP136" s="8"/>
      <c r="IUQ136" s="8"/>
      <c r="IUR136" s="8"/>
      <c r="IUS136" s="8"/>
      <c r="IUT136" s="8"/>
      <c r="IUU136" s="8"/>
      <c r="IUV136" s="8"/>
      <c r="IUW136" s="8"/>
      <c r="IUX136" s="8"/>
      <c r="IUY136" s="8"/>
      <c r="IUZ136" s="8"/>
      <c r="IVA136" s="8"/>
      <c r="IVB136" s="8"/>
      <c r="IVC136" s="8"/>
      <c r="IVD136" s="8"/>
      <c r="IVE136" s="8"/>
      <c r="IVF136" s="8"/>
      <c r="IVG136" s="8"/>
      <c r="IVH136" s="8"/>
      <c r="IVI136" s="8"/>
      <c r="IVJ136" s="8"/>
      <c r="IVK136" s="8"/>
      <c r="IVL136" s="8"/>
      <c r="IVM136" s="8"/>
      <c r="IVN136" s="8"/>
      <c r="IVO136" s="8"/>
      <c r="IVP136" s="8"/>
      <c r="IVQ136" s="8"/>
      <c r="IVR136" s="8"/>
      <c r="IVS136" s="8"/>
      <c r="IVT136" s="8"/>
      <c r="IVU136" s="8"/>
      <c r="IVV136" s="8"/>
      <c r="IVW136" s="8"/>
      <c r="IVX136" s="8"/>
      <c r="IVY136" s="8"/>
      <c r="IVZ136" s="8"/>
      <c r="IWA136" s="8"/>
      <c r="IWB136" s="8"/>
      <c r="IWC136" s="8"/>
      <c r="IWD136" s="8"/>
      <c r="IWE136" s="8"/>
      <c r="IWF136" s="8"/>
      <c r="IWG136" s="8"/>
      <c r="IWH136" s="8"/>
      <c r="IWI136" s="8"/>
      <c r="IWJ136" s="8"/>
      <c r="IWK136" s="8"/>
      <c r="IWL136" s="8"/>
      <c r="IWM136" s="8"/>
      <c r="IWN136" s="8"/>
      <c r="IWO136" s="8"/>
      <c r="IWP136" s="8"/>
      <c r="IWQ136" s="8"/>
      <c r="IWR136" s="8"/>
      <c r="IWS136" s="8"/>
      <c r="IWT136" s="8"/>
      <c r="IWU136" s="8"/>
      <c r="IWV136" s="8"/>
      <c r="IWW136" s="8"/>
      <c r="IWX136" s="8"/>
      <c r="IWY136" s="8"/>
      <c r="IWZ136" s="8"/>
      <c r="IXA136" s="8"/>
      <c r="IXB136" s="8"/>
      <c r="IXC136" s="8"/>
      <c r="IXD136" s="8"/>
      <c r="IXE136" s="8"/>
      <c r="IXF136" s="8"/>
      <c r="IXG136" s="8"/>
      <c r="IXH136" s="8"/>
      <c r="IXI136" s="8"/>
      <c r="IXJ136" s="8"/>
      <c r="IXK136" s="8"/>
      <c r="IXL136" s="8"/>
      <c r="IXM136" s="8"/>
      <c r="IXN136" s="8"/>
      <c r="IXO136" s="8"/>
      <c r="IXP136" s="8"/>
      <c r="IXQ136" s="8"/>
      <c r="IXR136" s="8"/>
      <c r="IXS136" s="8"/>
      <c r="IXT136" s="8"/>
      <c r="IXU136" s="8"/>
      <c r="IXV136" s="8"/>
      <c r="IXW136" s="8"/>
      <c r="IXX136" s="8"/>
      <c r="IXY136" s="8"/>
      <c r="IXZ136" s="8"/>
      <c r="IYA136" s="8"/>
      <c r="IYB136" s="8"/>
      <c r="IYC136" s="8"/>
      <c r="IYD136" s="8"/>
      <c r="IYE136" s="8"/>
      <c r="IYF136" s="8"/>
      <c r="IYG136" s="8"/>
      <c r="IYH136" s="8"/>
      <c r="IYI136" s="8"/>
      <c r="IYJ136" s="8"/>
      <c r="IYK136" s="8"/>
      <c r="IYL136" s="8"/>
      <c r="IYM136" s="8"/>
      <c r="IYN136" s="8"/>
      <c r="IYO136" s="8"/>
      <c r="IYP136" s="8"/>
      <c r="IYQ136" s="8"/>
      <c r="IYR136" s="8"/>
      <c r="IYS136" s="8"/>
      <c r="IYT136" s="8"/>
      <c r="IYU136" s="8"/>
      <c r="IYV136" s="8"/>
      <c r="IYW136" s="8"/>
      <c r="IYX136" s="8"/>
      <c r="IYY136" s="8"/>
      <c r="IYZ136" s="8"/>
      <c r="IZA136" s="8"/>
      <c r="IZB136" s="8"/>
      <c r="IZC136" s="8"/>
      <c r="IZD136" s="8"/>
      <c r="IZE136" s="8"/>
      <c r="IZF136" s="8"/>
      <c r="IZG136" s="8"/>
      <c r="IZH136" s="8"/>
      <c r="IZI136" s="8"/>
      <c r="IZJ136" s="8"/>
      <c r="IZK136" s="8"/>
      <c r="IZL136" s="8"/>
      <c r="IZM136" s="8"/>
      <c r="IZN136" s="8"/>
      <c r="IZO136" s="8"/>
      <c r="IZP136" s="8"/>
      <c r="IZQ136" s="8"/>
      <c r="IZR136" s="8"/>
      <c r="IZS136" s="8"/>
      <c r="IZT136" s="8"/>
      <c r="IZU136" s="8"/>
      <c r="IZV136" s="8"/>
      <c r="IZW136" s="8"/>
      <c r="IZX136" s="8"/>
      <c r="IZY136" s="8"/>
      <c r="IZZ136" s="8"/>
      <c r="JAA136" s="8"/>
      <c r="JAB136" s="8"/>
      <c r="JAC136" s="8"/>
      <c r="JAD136" s="8"/>
      <c r="JAE136" s="8"/>
      <c r="JAF136" s="8"/>
      <c r="JAG136" s="8"/>
      <c r="JAH136" s="8"/>
      <c r="JAI136" s="8"/>
      <c r="JAJ136" s="8"/>
      <c r="JAK136" s="8"/>
      <c r="JAL136" s="8"/>
      <c r="JAM136" s="8"/>
      <c r="JAN136" s="8"/>
      <c r="JAO136" s="8"/>
      <c r="JAP136" s="8"/>
      <c r="JAQ136" s="8"/>
      <c r="JAR136" s="8"/>
      <c r="JAS136" s="8"/>
      <c r="JAT136" s="8"/>
      <c r="JAU136" s="8"/>
      <c r="JAV136" s="8"/>
      <c r="JAW136" s="8"/>
      <c r="JAX136" s="8"/>
      <c r="JAY136" s="8"/>
      <c r="JAZ136" s="8"/>
      <c r="JBA136" s="8"/>
      <c r="JBB136" s="8"/>
      <c r="JBC136" s="8"/>
      <c r="JBD136" s="8"/>
      <c r="JBE136" s="8"/>
      <c r="JBF136" s="8"/>
      <c r="JBG136" s="8"/>
      <c r="JBH136" s="8"/>
      <c r="JBI136" s="8"/>
      <c r="JBJ136" s="8"/>
      <c r="JBK136" s="8"/>
      <c r="JBL136" s="8"/>
      <c r="JBM136" s="8"/>
      <c r="JBN136" s="8"/>
      <c r="JBO136" s="8"/>
      <c r="JBP136" s="8"/>
      <c r="JBQ136" s="8"/>
      <c r="JBR136" s="8"/>
      <c r="JBS136" s="8"/>
      <c r="JBT136" s="8"/>
      <c r="JBU136" s="8"/>
      <c r="JBV136" s="8"/>
      <c r="JBW136" s="8"/>
      <c r="JBX136" s="8"/>
      <c r="JBY136" s="8"/>
      <c r="JBZ136" s="8"/>
      <c r="JCA136" s="8"/>
      <c r="JCB136" s="8"/>
      <c r="JCC136" s="8"/>
      <c r="JCD136" s="8"/>
      <c r="JCE136" s="8"/>
      <c r="JCF136" s="8"/>
      <c r="JCG136" s="8"/>
      <c r="JCH136" s="8"/>
      <c r="JCI136" s="8"/>
      <c r="JCJ136" s="8"/>
      <c r="JCK136" s="8"/>
      <c r="JCL136" s="8"/>
      <c r="JCM136" s="8"/>
      <c r="JCN136" s="8"/>
      <c r="JCO136" s="8"/>
      <c r="JCP136" s="8"/>
      <c r="JCQ136" s="8"/>
      <c r="JCR136" s="8"/>
      <c r="JCS136" s="8"/>
      <c r="JCT136" s="8"/>
      <c r="JCU136" s="8"/>
      <c r="JCV136" s="8"/>
      <c r="JCW136" s="8"/>
      <c r="JCX136" s="8"/>
      <c r="JCY136" s="8"/>
      <c r="JCZ136" s="8"/>
      <c r="JDA136" s="8"/>
      <c r="JDB136" s="8"/>
      <c r="JDC136" s="8"/>
      <c r="JDD136" s="8"/>
      <c r="JDE136" s="8"/>
      <c r="JDF136" s="8"/>
      <c r="JDG136" s="8"/>
      <c r="JDH136" s="8"/>
      <c r="JDI136" s="8"/>
      <c r="JDJ136" s="8"/>
      <c r="JDK136" s="8"/>
      <c r="JDL136" s="8"/>
      <c r="JDM136" s="8"/>
      <c r="JDN136" s="8"/>
      <c r="JDO136" s="8"/>
      <c r="JDP136" s="8"/>
      <c r="JDQ136" s="8"/>
      <c r="JDR136" s="8"/>
      <c r="JDS136" s="8"/>
      <c r="JDT136" s="8"/>
      <c r="JDU136" s="8"/>
      <c r="JDV136" s="8"/>
      <c r="JDW136" s="8"/>
      <c r="JDX136" s="8"/>
      <c r="JDY136" s="8"/>
      <c r="JDZ136" s="8"/>
      <c r="JEA136" s="8"/>
      <c r="JEB136" s="8"/>
      <c r="JEC136" s="8"/>
      <c r="JED136" s="8"/>
      <c r="JEE136" s="8"/>
      <c r="JEF136" s="8"/>
      <c r="JEG136" s="8"/>
      <c r="JEH136" s="8"/>
      <c r="JEI136" s="8"/>
      <c r="JEJ136" s="8"/>
      <c r="JEK136" s="8"/>
      <c r="JEL136" s="8"/>
      <c r="JEM136" s="8"/>
      <c r="JEN136" s="8"/>
      <c r="JEO136" s="8"/>
      <c r="JEP136" s="8"/>
      <c r="JEQ136" s="8"/>
      <c r="JER136" s="8"/>
      <c r="JES136" s="8"/>
      <c r="JET136" s="8"/>
      <c r="JEU136" s="8"/>
      <c r="JEV136" s="8"/>
      <c r="JEW136" s="8"/>
      <c r="JEX136" s="8"/>
      <c r="JEY136" s="8"/>
      <c r="JEZ136" s="8"/>
      <c r="JFA136" s="8"/>
      <c r="JFB136" s="8"/>
      <c r="JFC136" s="8"/>
      <c r="JFD136" s="8"/>
      <c r="JFE136" s="8"/>
      <c r="JFF136" s="8"/>
      <c r="JFG136" s="8"/>
      <c r="JFH136" s="8"/>
      <c r="JFI136" s="8"/>
      <c r="JFJ136" s="8"/>
      <c r="JFK136" s="8"/>
      <c r="JFL136" s="8"/>
      <c r="JFM136" s="8"/>
      <c r="JFN136" s="8"/>
      <c r="JFO136" s="8"/>
      <c r="JFP136" s="8"/>
      <c r="JFQ136" s="8"/>
      <c r="JFR136" s="8"/>
      <c r="JFS136" s="8"/>
      <c r="JFT136" s="8"/>
      <c r="JFU136" s="8"/>
      <c r="JFV136" s="8"/>
      <c r="JFW136" s="8"/>
      <c r="JFX136" s="8"/>
      <c r="JFY136" s="8"/>
      <c r="JFZ136" s="8"/>
      <c r="JGA136" s="8"/>
      <c r="JGB136" s="8"/>
      <c r="JGC136" s="8"/>
      <c r="JGD136" s="8"/>
      <c r="JGE136" s="8"/>
      <c r="JGF136" s="8"/>
      <c r="JGG136" s="8"/>
      <c r="JGH136" s="8"/>
      <c r="JGI136" s="8"/>
      <c r="JGJ136" s="8"/>
      <c r="JGK136" s="8"/>
      <c r="JGL136" s="8"/>
      <c r="JGM136" s="8"/>
      <c r="JGN136" s="8"/>
      <c r="JGO136" s="8"/>
      <c r="JGP136" s="8"/>
      <c r="JGQ136" s="8"/>
      <c r="JGR136" s="8"/>
      <c r="JGS136" s="8"/>
      <c r="JGT136" s="8"/>
      <c r="JGU136" s="8"/>
      <c r="JGV136" s="8"/>
      <c r="JGW136" s="8"/>
      <c r="JGX136" s="8"/>
      <c r="JGY136" s="8"/>
      <c r="JGZ136" s="8"/>
      <c r="JHA136" s="8"/>
      <c r="JHB136" s="8"/>
      <c r="JHC136" s="8"/>
      <c r="JHD136" s="8"/>
      <c r="JHE136" s="8"/>
      <c r="JHF136" s="8"/>
      <c r="JHG136" s="8"/>
      <c r="JHH136" s="8"/>
      <c r="JHI136" s="8"/>
      <c r="JHJ136" s="8"/>
      <c r="JHK136" s="8"/>
      <c r="JHL136" s="8"/>
      <c r="JHM136" s="8"/>
      <c r="JHN136" s="8"/>
      <c r="JHO136" s="8"/>
      <c r="JHP136" s="8"/>
      <c r="JHQ136" s="8"/>
      <c r="JHR136" s="8"/>
      <c r="JHS136" s="8"/>
      <c r="JHT136" s="8"/>
      <c r="JHU136" s="8"/>
      <c r="JHV136" s="8"/>
      <c r="JHW136" s="8"/>
      <c r="JHX136" s="8"/>
      <c r="JHY136" s="8"/>
      <c r="JHZ136" s="8"/>
      <c r="JIA136" s="8"/>
      <c r="JIB136" s="8"/>
      <c r="JIC136" s="8"/>
      <c r="JID136" s="8"/>
      <c r="JIE136" s="8"/>
      <c r="JIF136" s="8"/>
      <c r="JIG136" s="8"/>
      <c r="JIH136" s="8"/>
      <c r="JII136" s="8"/>
      <c r="JIJ136" s="8"/>
      <c r="JIK136" s="8"/>
      <c r="JIL136" s="8"/>
      <c r="JIM136" s="8"/>
      <c r="JIN136" s="8"/>
      <c r="JIO136" s="8"/>
      <c r="JIP136" s="8"/>
      <c r="JIQ136" s="8"/>
      <c r="JIR136" s="8"/>
      <c r="JIS136" s="8"/>
      <c r="JIT136" s="8"/>
      <c r="JIU136" s="8"/>
      <c r="JIV136" s="8"/>
      <c r="JIW136" s="8"/>
      <c r="JIX136" s="8"/>
      <c r="JIY136" s="8"/>
      <c r="JIZ136" s="8"/>
      <c r="JJA136" s="8"/>
      <c r="JJB136" s="8"/>
      <c r="JJC136" s="8"/>
      <c r="JJD136" s="8"/>
      <c r="JJE136" s="8"/>
      <c r="JJF136" s="8"/>
      <c r="JJG136" s="8"/>
      <c r="JJH136" s="8"/>
      <c r="JJI136" s="8"/>
      <c r="JJJ136" s="8"/>
      <c r="JJK136" s="8"/>
      <c r="JJL136" s="8"/>
      <c r="JJM136" s="8"/>
      <c r="JJN136" s="8"/>
      <c r="JJO136" s="8"/>
      <c r="JJP136" s="8"/>
      <c r="JJQ136" s="8"/>
      <c r="JJR136" s="8"/>
      <c r="JJS136" s="8"/>
      <c r="JJT136" s="8"/>
      <c r="JJU136" s="8"/>
      <c r="JJV136" s="8"/>
      <c r="JJW136" s="8"/>
      <c r="JJX136" s="8"/>
      <c r="JJY136" s="8"/>
      <c r="JJZ136" s="8"/>
      <c r="JKA136" s="8"/>
      <c r="JKB136" s="8"/>
      <c r="JKC136" s="8"/>
      <c r="JKD136" s="8"/>
      <c r="JKE136" s="8"/>
      <c r="JKF136" s="8"/>
      <c r="JKG136" s="8"/>
      <c r="JKH136" s="8"/>
      <c r="JKI136" s="8"/>
      <c r="JKJ136" s="8"/>
      <c r="JKK136" s="8"/>
      <c r="JKL136" s="8"/>
      <c r="JKM136" s="8"/>
      <c r="JKN136" s="8"/>
      <c r="JKO136" s="8"/>
      <c r="JKP136" s="8"/>
      <c r="JKQ136" s="8"/>
      <c r="JKR136" s="8"/>
      <c r="JKS136" s="8"/>
      <c r="JKT136" s="8"/>
      <c r="JKU136" s="8"/>
      <c r="JKV136" s="8"/>
      <c r="JKW136" s="8"/>
      <c r="JKX136" s="8"/>
      <c r="JKY136" s="8"/>
      <c r="JKZ136" s="8"/>
      <c r="JLA136" s="8"/>
      <c r="JLB136" s="8"/>
      <c r="JLC136" s="8"/>
      <c r="JLD136" s="8"/>
      <c r="JLE136" s="8"/>
      <c r="JLF136" s="8"/>
      <c r="JLG136" s="8"/>
      <c r="JLH136" s="8"/>
      <c r="JLI136" s="8"/>
      <c r="JLJ136" s="8"/>
      <c r="JLK136" s="8"/>
      <c r="JLL136" s="8"/>
      <c r="JLM136" s="8"/>
      <c r="JLN136" s="8"/>
      <c r="JLO136" s="8"/>
      <c r="JLP136" s="8"/>
      <c r="JLQ136" s="8"/>
      <c r="JLR136" s="8"/>
      <c r="JLS136" s="8"/>
      <c r="JLT136" s="8"/>
      <c r="JLU136" s="8"/>
      <c r="JLV136" s="8"/>
      <c r="JLW136" s="8"/>
      <c r="JLX136" s="8"/>
      <c r="JLY136" s="8"/>
      <c r="JLZ136" s="8"/>
      <c r="JMA136" s="8"/>
      <c r="JMB136" s="8"/>
      <c r="JMC136" s="8"/>
      <c r="JMD136" s="8"/>
      <c r="JME136" s="8"/>
      <c r="JMF136" s="8"/>
      <c r="JMG136" s="8"/>
      <c r="JMH136" s="8"/>
      <c r="JMI136" s="8"/>
      <c r="JMJ136" s="8"/>
      <c r="JMK136" s="8"/>
      <c r="JML136" s="8"/>
      <c r="JMM136" s="8"/>
      <c r="JMN136" s="8"/>
      <c r="JMO136" s="8"/>
      <c r="JMP136" s="8"/>
      <c r="JMQ136" s="8"/>
      <c r="JMR136" s="8"/>
      <c r="JMS136" s="8"/>
      <c r="JMT136" s="8"/>
      <c r="JMU136" s="8"/>
      <c r="JMV136" s="8"/>
      <c r="JMW136" s="8"/>
      <c r="JMX136" s="8"/>
      <c r="JMY136" s="8"/>
      <c r="JMZ136" s="8"/>
      <c r="JNA136" s="8"/>
      <c r="JNB136" s="8"/>
      <c r="JNC136" s="8"/>
      <c r="JND136" s="8"/>
      <c r="JNE136" s="8"/>
      <c r="JNF136" s="8"/>
      <c r="JNG136" s="8"/>
      <c r="JNH136" s="8"/>
      <c r="JNI136" s="8"/>
      <c r="JNJ136" s="8"/>
      <c r="JNK136" s="8"/>
      <c r="JNL136" s="8"/>
      <c r="JNM136" s="8"/>
      <c r="JNN136" s="8"/>
      <c r="JNO136" s="8"/>
      <c r="JNP136" s="8"/>
      <c r="JNQ136" s="8"/>
      <c r="JNR136" s="8"/>
      <c r="JNS136" s="8"/>
      <c r="JNT136" s="8"/>
      <c r="JNU136" s="8"/>
      <c r="JNV136" s="8"/>
      <c r="JNW136" s="8"/>
      <c r="JNX136" s="8"/>
      <c r="JNY136" s="8"/>
      <c r="JNZ136" s="8"/>
      <c r="JOA136" s="8"/>
      <c r="JOB136" s="8"/>
      <c r="JOC136" s="8"/>
      <c r="JOD136" s="8"/>
      <c r="JOE136" s="8"/>
      <c r="JOF136" s="8"/>
      <c r="JOG136" s="8"/>
      <c r="JOH136" s="8"/>
      <c r="JOI136" s="8"/>
      <c r="JOJ136" s="8"/>
      <c r="JOK136" s="8"/>
      <c r="JOL136" s="8"/>
      <c r="JOM136" s="8"/>
      <c r="JON136" s="8"/>
      <c r="JOO136" s="8"/>
      <c r="JOP136" s="8"/>
      <c r="JOQ136" s="8"/>
      <c r="JOR136" s="8"/>
      <c r="JOS136" s="8"/>
      <c r="JOT136" s="8"/>
      <c r="JOU136" s="8"/>
      <c r="JOV136" s="8"/>
      <c r="JOW136" s="8"/>
      <c r="JOX136" s="8"/>
      <c r="JOY136" s="8"/>
      <c r="JOZ136" s="8"/>
      <c r="JPA136" s="8"/>
      <c r="JPB136" s="8"/>
      <c r="JPC136" s="8"/>
      <c r="JPD136" s="8"/>
      <c r="JPE136" s="8"/>
      <c r="JPF136" s="8"/>
      <c r="JPG136" s="8"/>
      <c r="JPH136" s="8"/>
      <c r="JPI136" s="8"/>
      <c r="JPJ136" s="8"/>
      <c r="JPK136" s="8"/>
      <c r="JPL136" s="8"/>
      <c r="JPM136" s="8"/>
      <c r="JPN136" s="8"/>
      <c r="JPO136" s="8"/>
      <c r="JPP136" s="8"/>
      <c r="JPQ136" s="8"/>
      <c r="JPR136" s="8"/>
      <c r="JPS136" s="8"/>
      <c r="JPT136" s="8"/>
      <c r="JPU136" s="8"/>
      <c r="JPV136" s="8"/>
      <c r="JPW136" s="8"/>
      <c r="JPX136" s="8"/>
      <c r="JPY136" s="8"/>
      <c r="JPZ136" s="8"/>
      <c r="JQA136" s="8"/>
      <c r="JQB136" s="8"/>
      <c r="JQC136" s="8"/>
      <c r="JQD136" s="8"/>
      <c r="JQE136" s="8"/>
      <c r="JQF136" s="8"/>
      <c r="JQG136" s="8"/>
      <c r="JQH136" s="8"/>
      <c r="JQI136" s="8"/>
      <c r="JQJ136" s="8"/>
      <c r="JQK136" s="8"/>
      <c r="JQL136" s="8"/>
      <c r="JQM136" s="8"/>
      <c r="JQN136" s="8"/>
      <c r="JQO136" s="8"/>
      <c r="JQP136" s="8"/>
      <c r="JQQ136" s="8"/>
      <c r="JQR136" s="8"/>
      <c r="JQS136" s="8"/>
      <c r="JQT136" s="8"/>
      <c r="JQU136" s="8"/>
      <c r="JQV136" s="8"/>
      <c r="JQW136" s="8"/>
      <c r="JQX136" s="8"/>
      <c r="JQY136" s="8"/>
      <c r="JQZ136" s="8"/>
      <c r="JRA136" s="8"/>
      <c r="JRB136" s="8"/>
      <c r="JRC136" s="8"/>
      <c r="JRD136" s="8"/>
      <c r="JRE136" s="8"/>
      <c r="JRF136" s="8"/>
      <c r="JRG136" s="8"/>
      <c r="JRH136" s="8"/>
      <c r="JRI136" s="8"/>
      <c r="JRJ136" s="8"/>
      <c r="JRK136" s="8"/>
      <c r="JRL136" s="8"/>
      <c r="JRM136" s="8"/>
      <c r="JRN136" s="8"/>
      <c r="JRO136" s="8"/>
      <c r="JRP136" s="8"/>
      <c r="JRQ136" s="8"/>
      <c r="JRR136" s="8"/>
      <c r="JRS136" s="8"/>
      <c r="JRT136" s="8"/>
      <c r="JRU136" s="8"/>
      <c r="JRV136" s="8"/>
      <c r="JRW136" s="8"/>
      <c r="JRX136" s="8"/>
      <c r="JRY136" s="8"/>
      <c r="JRZ136" s="8"/>
      <c r="JSA136" s="8"/>
      <c r="JSB136" s="8"/>
      <c r="JSC136" s="8"/>
      <c r="JSD136" s="8"/>
      <c r="JSE136" s="8"/>
      <c r="JSF136" s="8"/>
      <c r="JSG136" s="8"/>
      <c r="JSH136" s="8"/>
      <c r="JSI136" s="8"/>
      <c r="JSJ136" s="8"/>
      <c r="JSK136" s="8"/>
      <c r="JSL136" s="8"/>
      <c r="JSM136" s="8"/>
      <c r="JSN136" s="8"/>
      <c r="JSO136" s="8"/>
      <c r="JSP136" s="8"/>
      <c r="JSQ136" s="8"/>
      <c r="JSR136" s="8"/>
      <c r="JSS136" s="8"/>
      <c r="JST136" s="8"/>
      <c r="JSU136" s="8"/>
      <c r="JSV136" s="8"/>
      <c r="JSW136" s="8"/>
      <c r="JSX136" s="8"/>
      <c r="JSY136" s="8"/>
      <c r="JSZ136" s="8"/>
      <c r="JTA136" s="8"/>
      <c r="JTB136" s="8"/>
      <c r="JTC136" s="8"/>
      <c r="JTD136" s="8"/>
      <c r="JTE136" s="8"/>
      <c r="JTF136" s="8"/>
      <c r="JTG136" s="8"/>
      <c r="JTH136" s="8"/>
      <c r="JTI136" s="8"/>
      <c r="JTJ136" s="8"/>
      <c r="JTK136" s="8"/>
      <c r="JTL136" s="8"/>
      <c r="JTM136" s="8"/>
      <c r="JTN136" s="8"/>
      <c r="JTO136" s="8"/>
      <c r="JTP136" s="8"/>
      <c r="JTQ136" s="8"/>
      <c r="JTR136" s="8"/>
      <c r="JTS136" s="8"/>
      <c r="JTT136" s="8"/>
      <c r="JTU136" s="8"/>
      <c r="JTV136" s="8"/>
      <c r="JTW136" s="8"/>
      <c r="JTX136" s="8"/>
      <c r="JTY136" s="8"/>
      <c r="JTZ136" s="8"/>
      <c r="JUA136" s="8"/>
      <c r="JUB136" s="8"/>
      <c r="JUC136" s="8"/>
      <c r="JUD136" s="8"/>
      <c r="JUE136" s="8"/>
      <c r="JUF136" s="8"/>
      <c r="JUG136" s="8"/>
      <c r="JUH136" s="8"/>
      <c r="JUI136" s="8"/>
      <c r="JUJ136" s="8"/>
      <c r="JUK136" s="8"/>
      <c r="JUL136" s="8"/>
      <c r="JUM136" s="8"/>
      <c r="JUN136" s="8"/>
      <c r="JUO136" s="8"/>
      <c r="JUP136" s="8"/>
      <c r="JUQ136" s="8"/>
      <c r="JUR136" s="8"/>
      <c r="JUS136" s="8"/>
      <c r="JUT136" s="8"/>
      <c r="JUU136" s="8"/>
      <c r="JUV136" s="8"/>
      <c r="JUW136" s="8"/>
      <c r="JUX136" s="8"/>
      <c r="JUY136" s="8"/>
      <c r="JUZ136" s="8"/>
      <c r="JVA136" s="8"/>
      <c r="JVB136" s="8"/>
      <c r="JVC136" s="8"/>
      <c r="JVD136" s="8"/>
      <c r="JVE136" s="8"/>
      <c r="JVF136" s="8"/>
      <c r="JVG136" s="8"/>
      <c r="JVH136" s="8"/>
      <c r="JVI136" s="8"/>
      <c r="JVJ136" s="8"/>
      <c r="JVK136" s="8"/>
      <c r="JVL136" s="8"/>
      <c r="JVM136" s="8"/>
      <c r="JVN136" s="8"/>
      <c r="JVO136" s="8"/>
      <c r="JVP136" s="8"/>
      <c r="JVQ136" s="8"/>
      <c r="JVR136" s="8"/>
      <c r="JVS136" s="8"/>
      <c r="JVT136" s="8"/>
      <c r="JVU136" s="8"/>
      <c r="JVV136" s="8"/>
      <c r="JVW136" s="8"/>
      <c r="JVX136" s="8"/>
      <c r="JVY136" s="8"/>
      <c r="JVZ136" s="8"/>
      <c r="JWA136" s="8"/>
      <c r="JWB136" s="8"/>
      <c r="JWC136" s="8"/>
      <c r="JWD136" s="8"/>
      <c r="JWE136" s="8"/>
      <c r="JWF136" s="8"/>
      <c r="JWG136" s="8"/>
      <c r="JWH136" s="8"/>
      <c r="JWI136" s="8"/>
      <c r="JWJ136" s="8"/>
      <c r="JWK136" s="8"/>
      <c r="JWL136" s="8"/>
      <c r="JWM136" s="8"/>
      <c r="JWN136" s="8"/>
      <c r="JWO136" s="8"/>
      <c r="JWP136" s="8"/>
      <c r="JWQ136" s="8"/>
      <c r="JWR136" s="8"/>
      <c r="JWS136" s="8"/>
      <c r="JWT136" s="8"/>
      <c r="JWU136" s="8"/>
      <c r="JWV136" s="8"/>
      <c r="JWW136" s="8"/>
      <c r="JWX136" s="8"/>
      <c r="JWY136" s="8"/>
      <c r="JWZ136" s="8"/>
      <c r="JXA136" s="8"/>
      <c r="JXB136" s="8"/>
      <c r="JXC136" s="8"/>
      <c r="JXD136" s="8"/>
      <c r="JXE136" s="8"/>
      <c r="JXF136" s="8"/>
      <c r="JXG136" s="8"/>
      <c r="JXH136" s="8"/>
      <c r="JXI136" s="8"/>
      <c r="JXJ136" s="8"/>
      <c r="JXK136" s="8"/>
      <c r="JXL136" s="8"/>
      <c r="JXM136" s="8"/>
      <c r="JXN136" s="8"/>
      <c r="JXO136" s="8"/>
      <c r="JXP136" s="8"/>
      <c r="JXQ136" s="8"/>
      <c r="JXR136" s="8"/>
      <c r="JXS136" s="8"/>
      <c r="JXT136" s="8"/>
      <c r="JXU136" s="8"/>
      <c r="JXV136" s="8"/>
      <c r="JXW136" s="8"/>
      <c r="JXX136" s="8"/>
      <c r="JXY136" s="8"/>
      <c r="JXZ136" s="8"/>
      <c r="JYA136" s="8"/>
      <c r="JYB136" s="8"/>
      <c r="JYC136" s="8"/>
      <c r="JYD136" s="8"/>
      <c r="JYE136" s="8"/>
      <c r="JYF136" s="8"/>
      <c r="JYG136" s="8"/>
      <c r="JYH136" s="8"/>
      <c r="JYI136" s="8"/>
      <c r="JYJ136" s="8"/>
      <c r="JYK136" s="8"/>
      <c r="JYL136" s="8"/>
      <c r="JYM136" s="8"/>
      <c r="JYN136" s="8"/>
      <c r="JYO136" s="8"/>
      <c r="JYP136" s="8"/>
      <c r="JYQ136" s="8"/>
      <c r="JYR136" s="8"/>
      <c r="JYS136" s="8"/>
      <c r="JYT136" s="8"/>
      <c r="JYU136" s="8"/>
      <c r="JYV136" s="8"/>
      <c r="JYW136" s="8"/>
      <c r="JYX136" s="8"/>
      <c r="JYY136" s="8"/>
      <c r="JYZ136" s="8"/>
      <c r="JZA136" s="8"/>
      <c r="JZB136" s="8"/>
      <c r="JZC136" s="8"/>
      <c r="JZD136" s="8"/>
      <c r="JZE136" s="8"/>
      <c r="JZF136" s="8"/>
      <c r="JZG136" s="8"/>
      <c r="JZH136" s="8"/>
      <c r="JZI136" s="8"/>
      <c r="JZJ136" s="8"/>
      <c r="JZK136" s="8"/>
      <c r="JZL136" s="8"/>
      <c r="JZM136" s="8"/>
      <c r="JZN136" s="8"/>
      <c r="JZO136" s="8"/>
      <c r="JZP136" s="8"/>
      <c r="JZQ136" s="8"/>
      <c r="JZR136" s="8"/>
      <c r="JZS136" s="8"/>
      <c r="JZT136" s="8"/>
      <c r="JZU136" s="8"/>
      <c r="JZV136" s="8"/>
      <c r="JZW136" s="8"/>
      <c r="JZX136" s="8"/>
      <c r="JZY136" s="8"/>
      <c r="JZZ136" s="8"/>
      <c r="KAA136" s="8"/>
      <c r="KAB136" s="8"/>
      <c r="KAC136" s="8"/>
      <c r="KAD136" s="8"/>
      <c r="KAE136" s="8"/>
      <c r="KAF136" s="8"/>
      <c r="KAG136" s="8"/>
      <c r="KAH136" s="8"/>
      <c r="KAI136" s="8"/>
      <c r="KAJ136" s="8"/>
      <c r="KAK136" s="8"/>
      <c r="KAL136" s="8"/>
      <c r="KAM136" s="8"/>
      <c r="KAN136" s="8"/>
      <c r="KAO136" s="8"/>
      <c r="KAP136" s="8"/>
      <c r="KAQ136" s="8"/>
      <c r="KAR136" s="8"/>
      <c r="KAS136" s="8"/>
      <c r="KAT136" s="8"/>
      <c r="KAU136" s="8"/>
      <c r="KAV136" s="8"/>
      <c r="KAW136" s="8"/>
      <c r="KAX136" s="8"/>
      <c r="KAY136" s="8"/>
      <c r="KAZ136" s="8"/>
      <c r="KBA136" s="8"/>
      <c r="KBB136" s="8"/>
      <c r="KBC136" s="8"/>
      <c r="KBD136" s="8"/>
      <c r="KBE136" s="8"/>
      <c r="KBF136" s="8"/>
      <c r="KBG136" s="8"/>
      <c r="KBH136" s="8"/>
      <c r="KBI136" s="8"/>
      <c r="KBJ136" s="8"/>
      <c r="KBK136" s="8"/>
      <c r="KBL136" s="8"/>
      <c r="KBM136" s="8"/>
      <c r="KBN136" s="8"/>
      <c r="KBO136" s="8"/>
      <c r="KBP136" s="8"/>
      <c r="KBQ136" s="8"/>
      <c r="KBR136" s="8"/>
      <c r="KBS136" s="8"/>
      <c r="KBT136" s="8"/>
      <c r="KBU136" s="8"/>
      <c r="KBV136" s="8"/>
      <c r="KBW136" s="8"/>
      <c r="KBX136" s="8"/>
      <c r="KBY136" s="8"/>
      <c r="KBZ136" s="8"/>
      <c r="KCA136" s="8"/>
      <c r="KCB136" s="8"/>
      <c r="KCC136" s="8"/>
      <c r="KCD136" s="8"/>
      <c r="KCE136" s="8"/>
      <c r="KCF136" s="8"/>
      <c r="KCG136" s="8"/>
      <c r="KCH136" s="8"/>
      <c r="KCI136" s="8"/>
      <c r="KCJ136" s="8"/>
      <c r="KCK136" s="8"/>
      <c r="KCL136" s="8"/>
      <c r="KCM136" s="8"/>
      <c r="KCN136" s="8"/>
      <c r="KCO136" s="8"/>
      <c r="KCP136" s="8"/>
      <c r="KCQ136" s="8"/>
      <c r="KCR136" s="8"/>
      <c r="KCS136" s="8"/>
      <c r="KCT136" s="8"/>
      <c r="KCU136" s="8"/>
      <c r="KCV136" s="8"/>
      <c r="KCW136" s="8"/>
      <c r="KCX136" s="8"/>
      <c r="KCY136" s="8"/>
      <c r="KCZ136" s="8"/>
      <c r="KDA136" s="8"/>
      <c r="KDB136" s="8"/>
      <c r="KDC136" s="8"/>
      <c r="KDD136" s="8"/>
      <c r="KDE136" s="8"/>
      <c r="KDF136" s="8"/>
      <c r="KDG136" s="8"/>
      <c r="KDH136" s="8"/>
      <c r="KDI136" s="8"/>
      <c r="KDJ136" s="8"/>
      <c r="KDK136" s="8"/>
      <c r="KDL136" s="8"/>
      <c r="KDM136" s="8"/>
      <c r="KDN136" s="8"/>
      <c r="KDO136" s="8"/>
      <c r="KDP136" s="8"/>
      <c r="KDQ136" s="8"/>
      <c r="KDR136" s="8"/>
      <c r="KDS136" s="8"/>
      <c r="KDT136" s="8"/>
      <c r="KDU136" s="8"/>
      <c r="KDV136" s="8"/>
      <c r="KDW136" s="8"/>
      <c r="KDX136" s="8"/>
      <c r="KDY136" s="8"/>
      <c r="KDZ136" s="8"/>
      <c r="KEA136" s="8"/>
      <c r="KEB136" s="8"/>
      <c r="KEC136" s="8"/>
      <c r="KED136" s="8"/>
      <c r="KEE136" s="8"/>
      <c r="KEF136" s="8"/>
      <c r="KEG136" s="8"/>
      <c r="KEH136" s="8"/>
      <c r="KEI136" s="8"/>
      <c r="KEJ136" s="8"/>
      <c r="KEK136" s="8"/>
      <c r="KEL136" s="8"/>
      <c r="KEM136" s="8"/>
      <c r="KEN136" s="8"/>
      <c r="KEO136" s="8"/>
      <c r="KEP136" s="8"/>
      <c r="KEQ136" s="8"/>
      <c r="KER136" s="8"/>
      <c r="KES136" s="8"/>
      <c r="KET136" s="8"/>
      <c r="KEU136" s="8"/>
      <c r="KEV136" s="8"/>
      <c r="KEW136" s="8"/>
      <c r="KEX136" s="8"/>
      <c r="KEY136" s="8"/>
      <c r="KEZ136" s="8"/>
      <c r="KFA136" s="8"/>
      <c r="KFB136" s="8"/>
      <c r="KFC136" s="8"/>
      <c r="KFD136" s="8"/>
      <c r="KFE136" s="8"/>
      <c r="KFF136" s="8"/>
      <c r="KFG136" s="8"/>
      <c r="KFH136" s="8"/>
      <c r="KFI136" s="8"/>
      <c r="KFJ136" s="8"/>
      <c r="KFK136" s="8"/>
      <c r="KFL136" s="8"/>
      <c r="KFM136" s="8"/>
      <c r="KFN136" s="8"/>
      <c r="KFO136" s="8"/>
      <c r="KFP136" s="8"/>
      <c r="KFQ136" s="8"/>
      <c r="KFR136" s="8"/>
      <c r="KFS136" s="8"/>
      <c r="KFT136" s="8"/>
      <c r="KFU136" s="8"/>
      <c r="KFV136" s="8"/>
      <c r="KFW136" s="8"/>
      <c r="KFX136" s="8"/>
      <c r="KFY136" s="8"/>
      <c r="KFZ136" s="8"/>
      <c r="KGA136" s="8"/>
      <c r="KGB136" s="8"/>
      <c r="KGC136" s="8"/>
      <c r="KGD136" s="8"/>
      <c r="KGE136" s="8"/>
      <c r="KGF136" s="8"/>
      <c r="KGG136" s="8"/>
      <c r="KGH136" s="8"/>
      <c r="KGI136" s="8"/>
      <c r="KGJ136" s="8"/>
      <c r="KGK136" s="8"/>
      <c r="KGL136" s="8"/>
      <c r="KGM136" s="8"/>
      <c r="KGN136" s="8"/>
      <c r="KGO136" s="8"/>
      <c r="KGP136" s="8"/>
      <c r="KGQ136" s="8"/>
      <c r="KGR136" s="8"/>
      <c r="KGS136" s="8"/>
      <c r="KGT136" s="8"/>
      <c r="KGU136" s="8"/>
      <c r="KGV136" s="8"/>
      <c r="KGW136" s="8"/>
      <c r="KGX136" s="8"/>
      <c r="KGY136" s="8"/>
      <c r="KGZ136" s="8"/>
      <c r="KHA136" s="8"/>
      <c r="KHB136" s="8"/>
      <c r="KHC136" s="8"/>
      <c r="KHD136" s="8"/>
      <c r="KHE136" s="8"/>
      <c r="KHF136" s="8"/>
      <c r="KHG136" s="8"/>
      <c r="KHH136" s="8"/>
      <c r="KHI136" s="8"/>
      <c r="KHJ136" s="8"/>
      <c r="KHK136" s="8"/>
      <c r="KHL136" s="8"/>
      <c r="KHM136" s="8"/>
      <c r="KHN136" s="8"/>
      <c r="KHO136" s="8"/>
      <c r="KHP136" s="8"/>
      <c r="KHQ136" s="8"/>
      <c r="KHR136" s="8"/>
      <c r="KHS136" s="8"/>
      <c r="KHT136" s="8"/>
      <c r="KHU136" s="8"/>
      <c r="KHV136" s="8"/>
      <c r="KHW136" s="8"/>
      <c r="KHX136" s="8"/>
      <c r="KHY136" s="8"/>
      <c r="KHZ136" s="8"/>
      <c r="KIA136" s="8"/>
      <c r="KIB136" s="8"/>
      <c r="KIC136" s="8"/>
      <c r="KID136" s="8"/>
      <c r="KIE136" s="8"/>
      <c r="KIF136" s="8"/>
      <c r="KIG136" s="8"/>
      <c r="KIH136" s="8"/>
      <c r="KII136" s="8"/>
      <c r="KIJ136" s="8"/>
      <c r="KIK136" s="8"/>
      <c r="KIL136" s="8"/>
      <c r="KIM136" s="8"/>
      <c r="KIN136" s="8"/>
      <c r="KIO136" s="8"/>
      <c r="KIP136" s="8"/>
      <c r="KIQ136" s="8"/>
      <c r="KIR136" s="8"/>
      <c r="KIS136" s="8"/>
      <c r="KIT136" s="8"/>
      <c r="KIU136" s="8"/>
      <c r="KIV136" s="8"/>
      <c r="KIW136" s="8"/>
      <c r="KIX136" s="8"/>
      <c r="KIY136" s="8"/>
      <c r="KIZ136" s="8"/>
      <c r="KJA136" s="8"/>
      <c r="KJB136" s="8"/>
      <c r="KJC136" s="8"/>
      <c r="KJD136" s="8"/>
      <c r="KJE136" s="8"/>
      <c r="KJF136" s="8"/>
      <c r="KJG136" s="8"/>
      <c r="KJH136" s="8"/>
      <c r="KJI136" s="8"/>
      <c r="KJJ136" s="8"/>
      <c r="KJK136" s="8"/>
      <c r="KJL136" s="8"/>
      <c r="KJM136" s="8"/>
      <c r="KJN136" s="8"/>
      <c r="KJO136" s="8"/>
      <c r="KJP136" s="8"/>
      <c r="KJQ136" s="8"/>
      <c r="KJR136" s="8"/>
      <c r="KJS136" s="8"/>
      <c r="KJT136" s="8"/>
      <c r="KJU136" s="8"/>
      <c r="KJV136" s="8"/>
      <c r="KJW136" s="8"/>
      <c r="KJX136" s="8"/>
      <c r="KJY136" s="8"/>
      <c r="KJZ136" s="8"/>
      <c r="KKA136" s="8"/>
      <c r="KKB136" s="8"/>
      <c r="KKC136" s="8"/>
      <c r="KKD136" s="8"/>
      <c r="KKE136" s="8"/>
      <c r="KKF136" s="8"/>
      <c r="KKG136" s="8"/>
      <c r="KKH136" s="8"/>
      <c r="KKI136" s="8"/>
      <c r="KKJ136" s="8"/>
      <c r="KKK136" s="8"/>
      <c r="KKL136" s="8"/>
      <c r="KKM136" s="8"/>
      <c r="KKN136" s="8"/>
      <c r="KKO136" s="8"/>
      <c r="KKP136" s="8"/>
      <c r="KKQ136" s="8"/>
      <c r="KKR136" s="8"/>
      <c r="KKS136" s="8"/>
      <c r="KKT136" s="8"/>
      <c r="KKU136" s="8"/>
      <c r="KKV136" s="8"/>
      <c r="KKW136" s="8"/>
      <c r="KKX136" s="8"/>
      <c r="KKY136" s="8"/>
      <c r="KKZ136" s="8"/>
      <c r="KLA136" s="8"/>
      <c r="KLB136" s="8"/>
      <c r="KLC136" s="8"/>
      <c r="KLD136" s="8"/>
      <c r="KLE136" s="8"/>
      <c r="KLF136" s="8"/>
      <c r="KLG136" s="8"/>
      <c r="KLH136" s="8"/>
      <c r="KLI136" s="8"/>
      <c r="KLJ136" s="8"/>
      <c r="KLK136" s="8"/>
      <c r="KLL136" s="8"/>
      <c r="KLM136" s="8"/>
      <c r="KLN136" s="8"/>
      <c r="KLO136" s="8"/>
      <c r="KLP136" s="8"/>
      <c r="KLQ136" s="8"/>
      <c r="KLR136" s="8"/>
      <c r="KLS136" s="8"/>
      <c r="KLT136" s="8"/>
      <c r="KLU136" s="8"/>
      <c r="KLV136" s="8"/>
      <c r="KLW136" s="8"/>
      <c r="KLX136" s="8"/>
      <c r="KLY136" s="8"/>
      <c r="KLZ136" s="8"/>
      <c r="KMA136" s="8"/>
      <c r="KMB136" s="8"/>
      <c r="KMC136" s="8"/>
      <c r="KMD136" s="8"/>
      <c r="KME136" s="8"/>
      <c r="KMF136" s="8"/>
      <c r="KMG136" s="8"/>
      <c r="KMH136" s="8"/>
      <c r="KMI136" s="8"/>
      <c r="KMJ136" s="8"/>
      <c r="KMK136" s="8"/>
      <c r="KML136" s="8"/>
      <c r="KMM136" s="8"/>
      <c r="KMN136" s="8"/>
      <c r="KMO136" s="8"/>
      <c r="KMP136" s="8"/>
      <c r="KMQ136" s="8"/>
      <c r="KMR136" s="8"/>
      <c r="KMS136" s="8"/>
      <c r="KMT136" s="8"/>
      <c r="KMU136" s="8"/>
      <c r="KMV136" s="8"/>
      <c r="KMW136" s="8"/>
      <c r="KMX136" s="8"/>
      <c r="KMY136" s="8"/>
      <c r="KMZ136" s="8"/>
      <c r="KNA136" s="8"/>
      <c r="KNB136" s="8"/>
      <c r="KNC136" s="8"/>
      <c r="KND136" s="8"/>
      <c r="KNE136" s="8"/>
      <c r="KNF136" s="8"/>
      <c r="KNG136" s="8"/>
      <c r="KNH136" s="8"/>
      <c r="KNI136" s="8"/>
      <c r="KNJ136" s="8"/>
      <c r="KNK136" s="8"/>
      <c r="KNL136" s="8"/>
      <c r="KNM136" s="8"/>
      <c r="KNN136" s="8"/>
      <c r="KNO136" s="8"/>
      <c r="KNP136" s="8"/>
      <c r="KNQ136" s="8"/>
      <c r="KNR136" s="8"/>
      <c r="KNS136" s="8"/>
      <c r="KNT136" s="8"/>
      <c r="KNU136" s="8"/>
      <c r="KNV136" s="8"/>
      <c r="KNW136" s="8"/>
      <c r="KNX136" s="8"/>
      <c r="KNY136" s="8"/>
      <c r="KNZ136" s="8"/>
      <c r="KOA136" s="8"/>
      <c r="KOB136" s="8"/>
      <c r="KOC136" s="8"/>
      <c r="KOD136" s="8"/>
      <c r="KOE136" s="8"/>
      <c r="KOF136" s="8"/>
      <c r="KOG136" s="8"/>
      <c r="KOH136" s="8"/>
      <c r="KOI136" s="8"/>
      <c r="KOJ136" s="8"/>
      <c r="KOK136" s="8"/>
      <c r="KOL136" s="8"/>
      <c r="KOM136" s="8"/>
      <c r="KON136" s="8"/>
      <c r="KOO136" s="8"/>
      <c r="KOP136" s="8"/>
      <c r="KOQ136" s="8"/>
      <c r="KOR136" s="8"/>
      <c r="KOS136" s="8"/>
      <c r="KOT136" s="8"/>
      <c r="KOU136" s="8"/>
      <c r="KOV136" s="8"/>
      <c r="KOW136" s="8"/>
      <c r="KOX136" s="8"/>
      <c r="KOY136" s="8"/>
      <c r="KOZ136" s="8"/>
      <c r="KPA136" s="8"/>
      <c r="KPB136" s="8"/>
      <c r="KPC136" s="8"/>
      <c r="KPD136" s="8"/>
      <c r="KPE136" s="8"/>
      <c r="KPF136" s="8"/>
      <c r="KPG136" s="8"/>
      <c r="KPH136" s="8"/>
      <c r="KPI136" s="8"/>
      <c r="KPJ136" s="8"/>
      <c r="KPK136" s="8"/>
      <c r="KPL136" s="8"/>
      <c r="KPM136" s="8"/>
      <c r="KPN136" s="8"/>
      <c r="KPO136" s="8"/>
      <c r="KPP136" s="8"/>
      <c r="KPQ136" s="8"/>
      <c r="KPR136" s="8"/>
      <c r="KPS136" s="8"/>
      <c r="KPT136" s="8"/>
      <c r="KPU136" s="8"/>
      <c r="KPV136" s="8"/>
      <c r="KPW136" s="8"/>
      <c r="KPX136" s="8"/>
      <c r="KPY136" s="8"/>
      <c r="KPZ136" s="8"/>
      <c r="KQA136" s="8"/>
      <c r="KQB136" s="8"/>
      <c r="KQC136" s="8"/>
      <c r="KQD136" s="8"/>
      <c r="KQE136" s="8"/>
      <c r="KQF136" s="8"/>
      <c r="KQG136" s="8"/>
      <c r="KQH136" s="8"/>
      <c r="KQI136" s="8"/>
      <c r="KQJ136" s="8"/>
      <c r="KQK136" s="8"/>
      <c r="KQL136" s="8"/>
      <c r="KQM136" s="8"/>
      <c r="KQN136" s="8"/>
      <c r="KQO136" s="8"/>
      <c r="KQP136" s="8"/>
      <c r="KQQ136" s="8"/>
      <c r="KQR136" s="8"/>
      <c r="KQS136" s="8"/>
      <c r="KQT136" s="8"/>
      <c r="KQU136" s="8"/>
      <c r="KQV136" s="8"/>
      <c r="KQW136" s="8"/>
      <c r="KQX136" s="8"/>
      <c r="KQY136" s="8"/>
      <c r="KQZ136" s="8"/>
      <c r="KRA136" s="8"/>
      <c r="KRB136" s="8"/>
      <c r="KRC136" s="8"/>
      <c r="KRD136" s="8"/>
      <c r="KRE136" s="8"/>
      <c r="KRF136" s="8"/>
      <c r="KRG136" s="8"/>
      <c r="KRH136" s="8"/>
      <c r="KRI136" s="8"/>
      <c r="KRJ136" s="8"/>
      <c r="KRK136" s="8"/>
      <c r="KRL136" s="8"/>
      <c r="KRM136" s="8"/>
      <c r="KRN136" s="8"/>
      <c r="KRO136" s="8"/>
      <c r="KRP136" s="8"/>
      <c r="KRQ136" s="8"/>
      <c r="KRR136" s="8"/>
      <c r="KRS136" s="8"/>
      <c r="KRT136" s="8"/>
      <c r="KRU136" s="8"/>
      <c r="KRV136" s="8"/>
      <c r="KRW136" s="8"/>
      <c r="KRX136" s="8"/>
      <c r="KRY136" s="8"/>
      <c r="KRZ136" s="8"/>
      <c r="KSA136" s="8"/>
      <c r="KSB136" s="8"/>
      <c r="KSC136" s="8"/>
      <c r="KSD136" s="8"/>
      <c r="KSE136" s="8"/>
      <c r="KSF136" s="8"/>
      <c r="KSG136" s="8"/>
      <c r="KSH136" s="8"/>
      <c r="KSI136" s="8"/>
      <c r="KSJ136" s="8"/>
      <c r="KSK136" s="8"/>
      <c r="KSL136" s="8"/>
      <c r="KSM136" s="8"/>
      <c r="KSN136" s="8"/>
      <c r="KSO136" s="8"/>
      <c r="KSP136" s="8"/>
      <c r="KSQ136" s="8"/>
      <c r="KSR136" s="8"/>
      <c r="KSS136" s="8"/>
      <c r="KST136" s="8"/>
      <c r="KSU136" s="8"/>
      <c r="KSV136" s="8"/>
      <c r="KSW136" s="8"/>
      <c r="KSX136" s="8"/>
      <c r="KSY136" s="8"/>
      <c r="KSZ136" s="8"/>
      <c r="KTA136" s="8"/>
      <c r="KTB136" s="8"/>
      <c r="KTC136" s="8"/>
      <c r="KTD136" s="8"/>
      <c r="KTE136" s="8"/>
      <c r="KTF136" s="8"/>
      <c r="KTG136" s="8"/>
      <c r="KTH136" s="8"/>
      <c r="KTI136" s="8"/>
      <c r="KTJ136" s="8"/>
      <c r="KTK136" s="8"/>
      <c r="KTL136" s="8"/>
      <c r="KTM136" s="8"/>
      <c r="KTN136" s="8"/>
      <c r="KTO136" s="8"/>
      <c r="KTP136" s="8"/>
      <c r="KTQ136" s="8"/>
      <c r="KTR136" s="8"/>
      <c r="KTS136" s="8"/>
      <c r="KTT136" s="8"/>
      <c r="KTU136" s="8"/>
      <c r="KTV136" s="8"/>
      <c r="KTW136" s="8"/>
      <c r="KTX136" s="8"/>
      <c r="KTY136" s="8"/>
      <c r="KTZ136" s="8"/>
      <c r="KUA136" s="8"/>
      <c r="KUB136" s="8"/>
      <c r="KUC136" s="8"/>
      <c r="KUD136" s="8"/>
      <c r="KUE136" s="8"/>
      <c r="KUF136" s="8"/>
      <c r="KUG136" s="8"/>
      <c r="KUH136" s="8"/>
      <c r="KUI136" s="8"/>
      <c r="KUJ136" s="8"/>
      <c r="KUK136" s="8"/>
      <c r="KUL136" s="8"/>
      <c r="KUM136" s="8"/>
      <c r="KUN136" s="8"/>
      <c r="KUO136" s="8"/>
      <c r="KUP136" s="8"/>
      <c r="KUQ136" s="8"/>
      <c r="KUR136" s="8"/>
      <c r="KUS136" s="8"/>
      <c r="KUT136" s="8"/>
      <c r="KUU136" s="8"/>
      <c r="KUV136" s="8"/>
      <c r="KUW136" s="8"/>
      <c r="KUX136" s="8"/>
      <c r="KUY136" s="8"/>
      <c r="KUZ136" s="8"/>
      <c r="KVA136" s="8"/>
      <c r="KVB136" s="8"/>
      <c r="KVC136" s="8"/>
      <c r="KVD136" s="8"/>
      <c r="KVE136" s="8"/>
      <c r="KVF136" s="8"/>
      <c r="KVG136" s="8"/>
      <c r="KVH136" s="8"/>
      <c r="KVI136" s="8"/>
      <c r="KVJ136" s="8"/>
      <c r="KVK136" s="8"/>
      <c r="KVL136" s="8"/>
      <c r="KVM136" s="8"/>
      <c r="KVN136" s="8"/>
      <c r="KVO136" s="8"/>
      <c r="KVP136" s="8"/>
      <c r="KVQ136" s="8"/>
      <c r="KVR136" s="8"/>
      <c r="KVS136" s="8"/>
      <c r="KVT136" s="8"/>
      <c r="KVU136" s="8"/>
      <c r="KVV136" s="8"/>
      <c r="KVW136" s="8"/>
      <c r="KVX136" s="8"/>
      <c r="KVY136" s="8"/>
      <c r="KVZ136" s="8"/>
      <c r="KWA136" s="8"/>
      <c r="KWB136" s="8"/>
      <c r="KWC136" s="8"/>
      <c r="KWD136" s="8"/>
      <c r="KWE136" s="8"/>
      <c r="KWF136" s="8"/>
      <c r="KWG136" s="8"/>
      <c r="KWH136" s="8"/>
      <c r="KWI136" s="8"/>
      <c r="KWJ136" s="8"/>
      <c r="KWK136" s="8"/>
      <c r="KWL136" s="8"/>
      <c r="KWM136" s="8"/>
      <c r="KWN136" s="8"/>
      <c r="KWO136" s="8"/>
      <c r="KWP136" s="8"/>
      <c r="KWQ136" s="8"/>
      <c r="KWR136" s="8"/>
      <c r="KWS136" s="8"/>
      <c r="KWT136" s="8"/>
      <c r="KWU136" s="8"/>
      <c r="KWV136" s="8"/>
      <c r="KWW136" s="8"/>
      <c r="KWX136" s="8"/>
      <c r="KWY136" s="8"/>
      <c r="KWZ136" s="8"/>
      <c r="KXA136" s="8"/>
      <c r="KXB136" s="8"/>
      <c r="KXC136" s="8"/>
      <c r="KXD136" s="8"/>
      <c r="KXE136" s="8"/>
      <c r="KXF136" s="8"/>
      <c r="KXG136" s="8"/>
      <c r="KXH136" s="8"/>
      <c r="KXI136" s="8"/>
      <c r="KXJ136" s="8"/>
      <c r="KXK136" s="8"/>
      <c r="KXL136" s="8"/>
      <c r="KXM136" s="8"/>
      <c r="KXN136" s="8"/>
      <c r="KXO136" s="8"/>
      <c r="KXP136" s="8"/>
      <c r="KXQ136" s="8"/>
      <c r="KXR136" s="8"/>
      <c r="KXS136" s="8"/>
      <c r="KXT136" s="8"/>
      <c r="KXU136" s="8"/>
      <c r="KXV136" s="8"/>
      <c r="KXW136" s="8"/>
      <c r="KXX136" s="8"/>
      <c r="KXY136" s="8"/>
      <c r="KXZ136" s="8"/>
      <c r="KYA136" s="8"/>
      <c r="KYB136" s="8"/>
      <c r="KYC136" s="8"/>
      <c r="KYD136" s="8"/>
      <c r="KYE136" s="8"/>
      <c r="KYF136" s="8"/>
      <c r="KYG136" s="8"/>
      <c r="KYH136" s="8"/>
      <c r="KYI136" s="8"/>
      <c r="KYJ136" s="8"/>
      <c r="KYK136" s="8"/>
      <c r="KYL136" s="8"/>
      <c r="KYM136" s="8"/>
      <c r="KYN136" s="8"/>
      <c r="KYO136" s="8"/>
      <c r="KYP136" s="8"/>
      <c r="KYQ136" s="8"/>
      <c r="KYR136" s="8"/>
      <c r="KYS136" s="8"/>
      <c r="KYT136" s="8"/>
      <c r="KYU136" s="8"/>
      <c r="KYV136" s="8"/>
      <c r="KYW136" s="8"/>
      <c r="KYX136" s="8"/>
      <c r="KYY136" s="8"/>
      <c r="KYZ136" s="8"/>
      <c r="KZA136" s="8"/>
      <c r="KZB136" s="8"/>
      <c r="KZC136" s="8"/>
      <c r="KZD136" s="8"/>
      <c r="KZE136" s="8"/>
      <c r="KZF136" s="8"/>
      <c r="KZG136" s="8"/>
      <c r="KZH136" s="8"/>
      <c r="KZI136" s="8"/>
      <c r="KZJ136" s="8"/>
      <c r="KZK136" s="8"/>
      <c r="KZL136" s="8"/>
      <c r="KZM136" s="8"/>
      <c r="KZN136" s="8"/>
      <c r="KZO136" s="8"/>
      <c r="KZP136" s="8"/>
      <c r="KZQ136" s="8"/>
      <c r="KZR136" s="8"/>
      <c r="KZS136" s="8"/>
      <c r="KZT136" s="8"/>
      <c r="KZU136" s="8"/>
      <c r="KZV136" s="8"/>
      <c r="KZW136" s="8"/>
      <c r="KZX136" s="8"/>
      <c r="KZY136" s="8"/>
      <c r="KZZ136" s="8"/>
      <c r="LAA136" s="8"/>
      <c r="LAB136" s="8"/>
      <c r="LAC136" s="8"/>
      <c r="LAD136" s="8"/>
      <c r="LAE136" s="8"/>
      <c r="LAF136" s="8"/>
      <c r="LAG136" s="8"/>
      <c r="LAH136" s="8"/>
      <c r="LAI136" s="8"/>
      <c r="LAJ136" s="8"/>
      <c r="LAK136" s="8"/>
      <c r="LAL136" s="8"/>
      <c r="LAM136" s="8"/>
      <c r="LAN136" s="8"/>
      <c r="LAO136" s="8"/>
      <c r="LAP136" s="8"/>
      <c r="LAQ136" s="8"/>
      <c r="LAR136" s="8"/>
      <c r="LAS136" s="8"/>
      <c r="LAT136" s="8"/>
      <c r="LAU136" s="8"/>
      <c r="LAV136" s="8"/>
      <c r="LAW136" s="8"/>
      <c r="LAX136" s="8"/>
      <c r="LAY136" s="8"/>
      <c r="LAZ136" s="8"/>
      <c r="LBA136" s="8"/>
      <c r="LBB136" s="8"/>
      <c r="LBC136" s="8"/>
      <c r="LBD136" s="8"/>
      <c r="LBE136" s="8"/>
      <c r="LBF136" s="8"/>
      <c r="LBG136" s="8"/>
      <c r="LBH136" s="8"/>
      <c r="LBI136" s="8"/>
      <c r="LBJ136" s="8"/>
      <c r="LBK136" s="8"/>
      <c r="LBL136" s="8"/>
      <c r="LBM136" s="8"/>
      <c r="LBN136" s="8"/>
      <c r="LBO136" s="8"/>
      <c r="LBP136" s="8"/>
      <c r="LBQ136" s="8"/>
      <c r="LBR136" s="8"/>
      <c r="LBS136" s="8"/>
      <c r="LBT136" s="8"/>
      <c r="LBU136" s="8"/>
      <c r="LBV136" s="8"/>
      <c r="LBW136" s="8"/>
      <c r="LBX136" s="8"/>
      <c r="LBY136" s="8"/>
      <c r="LBZ136" s="8"/>
      <c r="LCA136" s="8"/>
      <c r="LCB136" s="8"/>
      <c r="LCC136" s="8"/>
      <c r="LCD136" s="8"/>
      <c r="LCE136" s="8"/>
      <c r="LCF136" s="8"/>
      <c r="LCG136" s="8"/>
      <c r="LCH136" s="8"/>
      <c r="LCI136" s="8"/>
      <c r="LCJ136" s="8"/>
      <c r="LCK136" s="8"/>
      <c r="LCL136" s="8"/>
      <c r="LCM136" s="8"/>
      <c r="LCN136" s="8"/>
      <c r="LCO136" s="8"/>
      <c r="LCP136" s="8"/>
      <c r="LCQ136" s="8"/>
      <c r="LCR136" s="8"/>
      <c r="LCS136" s="8"/>
      <c r="LCT136" s="8"/>
      <c r="LCU136" s="8"/>
      <c r="LCV136" s="8"/>
      <c r="LCW136" s="8"/>
      <c r="LCX136" s="8"/>
      <c r="LCY136" s="8"/>
      <c r="LCZ136" s="8"/>
      <c r="LDA136" s="8"/>
      <c r="LDB136" s="8"/>
      <c r="LDC136" s="8"/>
      <c r="LDD136" s="8"/>
      <c r="LDE136" s="8"/>
      <c r="LDF136" s="8"/>
      <c r="LDG136" s="8"/>
      <c r="LDH136" s="8"/>
      <c r="LDI136" s="8"/>
      <c r="LDJ136" s="8"/>
      <c r="LDK136" s="8"/>
      <c r="LDL136" s="8"/>
      <c r="LDM136" s="8"/>
      <c r="LDN136" s="8"/>
      <c r="LDO136" s="8"/>
      <c r="LDP136" s="8"/>
      <c r="LDQ136" s="8"/>
      <c r="LDR136" s="8"/>
      <c r="LDS136" s="8"/>
      <c r="LDT136" s="8"/>
      <c r="LDU136" s="8"/>
      <c r="LDV136" s="8"/>
      <c r="LDW136" s="8"/>
      <c r="LDX136" s="8"/>
      <c r="LDY136" s="8"/>
      <c r="LDZ136" s="8"/>
      <c r="LEA136" s="8"/>
      <c r="LEB136" s="8"/>
      <c r="LEC136" s="8"/>
      <c r="LED136" s="8"/>
      <c r="LEE136" s="8"/>
      <c r="LEF136" s="8"/>
      <c r="LEG136" s="8"/>
      <c r="LEH136" s="8"/>
      <c r="LEI136" s="8"/>
      <c r="LEJ136" s="8"/>
      <c r="LEK136" s="8"/>
      <c r="LEL136" s="8"/>
      <c r="LEM136" s="8"/>
      <c r="LEN136" s="8"/>
      <c r="LEO136" s="8"/>
      <c r="LEP136" s="8"/>
      <c r="LEQ136" s="8"/>
      <c r="LER136" s="8"/>
      <c r="LES136" s="8"/>
      <c r="LET136" s="8"/>
      <c r="LEU136" s="8"/>
      <c r="LEV136" s="8"/>
      <c r="LEW136" s="8"/>
      <c r="LEX136" s="8"/>
      <c r="LEY136" s="8"/>
      <c r="LEZ136" s="8"/>
      <c r="LFA136" s="8"/>
      <c r="LFB136" s="8"/>
      <c r="LFC136" s="8"/>
      <c r="LFD136" s="8"/>
      <c r="LFE136" s="8"/>
      <c r="LFF136" s="8"/>
      <c r="LFG136" s="8"/>
      <c r="LFH136" s="8"/>
      <c r="LFI136" s="8"/>
      <c r="LFJ136" s="8"/>
      <c r="LFK136" s="8"/>
      <c r="LFL136" s="8"/>
      <c r="LFM136" s="8"/>
      <c r="LFN136" s="8"/>
      <c r="LFO136" s="8"/>
      <c r="LFP136" s="8"/>
      <c r="LFQ136" s="8"/>
      <c r="LFR136" s="8"/>
      <c r="LFS136" s="8"/>
      <c r="LFT136" s="8"/>
      <c r="LFU136" s="8"/>
      <c r="LFV136" s="8"/>
      <c r="LFW136" s="8"/>
      <c r="LFX136" s="8"/>
      <c r="LFY136" s="8"/>
      <c r="LFZ136" s="8"/>
      <c r="LGA136" s="8"/>
      <c r="LGB136" s="8"/>
      <c r="LGC136" s="8"/>
      <c r="LGD136" s="8"/>
      <c r="LGE136" s="8"/>
      <c r="LGF136" s="8"/>
      <c r="LGG136" s="8"/>
      <c r="LGH136" s="8"/>
      <c r="LGI136" s="8"/>
      <c r="LGJ136" s="8"/>
      <c r="LGK136" s="8"/>
      <c r="LGL136" s="8"/>
      <c r="LGM136" s="8"/>
      <c r="LGN136" s="8"/>
      <c r="LGO136" s="8"/>
      <c r="LGP136" s="8"/>
      <c r="LGQ136" s="8"/>
      <c r="LGR136" s="8"/>
      <c r="LGS136" s="8"/>
      <c r="LGT136" s="8"/>
      <c r="LGU136" s="8"/>
      <c r="LGV136" s="8"/>
      <c r="LGW136" s="8"/>
      <c r="LGX136" s="8"/>
      <c r="LGY136" s="8"/>
      <c r="LGZ136" s="8"/>
      <c r="LHA136" s="8"/>
      <c r="LHB136" s="8"/>
      <c r="LHC136" s="8"/>
      <c r="LHD136" s="8"/>
      <c r="LHE136" s="8"/>
      <c r="LHF136" s="8"/>
      <c r="LHG136" s="8"/>
      <c r="LHH136" s="8"/>
      <c r="LHI136" s="8"/>
      <c r="LHJ136" s="8"/>
      <c r="LHK136" s="8"/>
      <c r="LHL136" s="8"/>
      <c r="LHM136" s="8"/>
      <c r="LHN136" s="8"/>
      <c r="LHO136" s="8"/>
      <c r="LHP136" s="8"/>
      <c r="LHQ136" s="8"/>
      <c r="LHR136" s="8"/>
      <c r="LHS136" s="8"/>
      <c r="LHT136" s="8"/>
      <c r="LHU136" s="8"/>
      <c r="LHV136" s="8"/>
      <c r="LHW136" s="8"/>
      <c r="LHX136" s="8"/>
      <c r="LHY136" s="8"/>
      <c r="LHZ136" s="8"/>
      <c r="LIA136" s="8"/>
      <c r="LIB136" s="8"/>
      <c r="LIC136" s="8"/>
      <c r="LID136" s="8"/>
      <c r="LIE136" s="8"/>
      <c r="LIF136" s="8"/>
      <c r="LIG136" s="8"/>
      <c r="LIH136" s="8"/>
      <c r="LII136" s="8"/>
      <c r="LIJ136" s="8"/>
      <c r="LIK136" s="8"/>
      <c r="LIL136" s="8"/>
      <c r="LIM136" s="8"/>
      <c r="LIN136" s="8"/>
      <c r="LIO136" s="8"/>
      <c r="LIP136" s="8"/>
      <c r="LIQ136" s="8"/>
      <c r="LIR136" s="8"/>
      <c r="LIS136" s="8"/>
      <c r="LIT136" s="8"/>
      <c r="LIU136" s="8"/>
      <c r="LIV136" s="8"/>
      <c r="LIW136" s="8"/>
      <c r="LIX136" s="8"/>
      <c r="LIY136" s="8"/>
      <c r="LIZ136" s="8"/>
      <c r="LJA136" s="8"/>
      <c r="LJB136" s="8"/>
      <c r="LJC136" s="8"/>
      <c r="LJD136" s="8"/>
      <c r="LJE136" s="8"/>
      <c r="LJF136" s="8"/>
      <c r="LJG136" s="8"/>
      <c r="LJH136" s="8"/>
      <c r="LJI136" s="8"/>
      <c r="LJJ136" s="8"/>
      <c r="LJK136" s="8"/>
      <c r="LJL136" s="8"/>
      <c r="LJM136" s="8"/>
      <c r="LJN136" s="8"/>
      <c r="LJO136" s="8"/>
      <c r="LJP136" s="8"/>
      <c r="LJQ136" s="8"/>
      <c r="LJR136" s="8"/>
      <c r="LJS136" s="8"/>
      <c r="LJT136" s="8"/>
      <c r="LJU136" s="8"/>
      <c r="LJV136" s="8"/>
      <c r="LJW136" s="8"/>
      <c r="LJX136" s="8"/>
      <c r="LJY136" s="8"/>
      <c r="LJZ136" s="8"/>
      <c r="LKA136" s="8"/>
      <c r="LKB136" s="8"/>
      <c r="LKC136" s="8"/>
      <c r="LKD136" s="8"/>
      <c r="LKE136" s="8"/>
      <c r="LKF136" s="8"/>
      <c r="LKG136" s="8"/>
      <c r="LKH136" s="8"/>
      <c r="LKI136" s="8"/>
      <c r="LKJ136" s="8"/>
      <c r="LKK136" s="8"/>
      <c r="LKL136" s="8"/>
      <c r="LKM136" s="8"/>
      <c r="LKN136" s="8"/>
      <c r="LKO136" s="8"/>
      <c r="LKP136" s="8"/>
      <c r="LKQ136" s="8"/>
      <c r="LKR136" s="8"/>
      <c r="LKS136" s="8"/>
      <c r="LKT136" s="8"/>
      <c r="LKU136" s="8"/>
      <c r="LKV136" s="8"/>
      <c r="LKW136" s="8"/>
      <c r="LKX136" s="8"/>
      <c r="LKY136" s="8"/>
      <c r="LKZ136" s="8"/>
      <c r="LLA136" s="8"/>
      <c r="LLB136" s="8"/>
      <c r="LLC136" s="8"/>
      <c r="LLD136" s="8"/>
      <c r="LLE136" s="8"/>
      <c r="LLF136" s="8"/>
      <c r="LLG136" s="8"/>
      <c r="LLH136" s="8"/>
      <c r="LLI136" s="8"/>
      <c r="LLJ136" s="8"/>
      <c r="LLK136" s="8"/>
      <c r="LLL136" s="8"/>
      <c r="LLM136" s="8"/>
      <c r="LLN136" s="8"/>
      <c r="LLO136" s="8"/>
      <c r="LLP136" s="8"/>
      <c r="LLQ136" s="8"/>
      <c r="LLR136" s="8"/>
      <c r="LLS136" s="8"/>
      <c r="LLT136" s="8"/>
      <c r="LLU136" s="8"/>
      <c r="LLV136" s="8"/>
      <c r="LLW136" s="8"/>
      <c r="LLX136" s="8"/>
      <c r="LLY136" s="8"/>
      <c r="LLZ136" s="8"/>
      <c r="LMA136" s="8"/>
      <c r="LMB136" s="8"/>
      <c r="LMC136" s="8"/>
      <c r="LMD136" s="8"/>
      <c r="LME136" s="8"/>
      <c r="LMF136" s="8"/>
      <c r="LMG136" s="8"/>
      <c r="LMH136" s="8"/>
      <c r="LMI136" s="8"/>
      <c r="LMJ136" s="8"/>
      <c r="LMK136" s="8"/>
      <c r="LML136" s="8"/>
      <c r="LMM136" s="8"/>
      <c r="LMN136" s="8"/>
      <c r="LMO136" s="8"/>
      <c r="LMP136" s="8"/>
      <c r="LMQ136" s="8"/>
      <c r="LMR136" s="8"/>
      <c r="LMS136" s="8"/>
      <c r="LMT136" s="8"/>
      <c r="LMU136" s="8"/>
      <c r="LMV136" s="8"/>
      <c r="LMW136" s="8"/>
      <c r="LMX136" s="8"/>
      <c r="LMY136" s="8"/>
      <c r="LMZ136" s="8"/>
      <c r="LNA136" s="8"/>
      <c r="LNB136" s="8"/>
      <c r="LNC136" s="8"/>
      <c r="LND136" s="8"/>
      <c r="LNE136" s="8"/>
      <c r="LNF136" s="8"/>
      <c r="LNG136" s="8"/>
      <c r="LNH136" s="8"/>
      <c r="LNI136" s="8"/>
      <c r="LNJ136" s="8"/>
      <c r="LNK136" s="8"/>
      <c r="LNL136" s="8"/>
      <c r="LNM136" s="8"/>
      <c r="LNN136" s="8"/>
      <c r="LNO136" s="8"/>
      <c r="LNP136" s="8"/>
      <c r="LNQ136" s="8"/>
      <c r="LNR136" s="8"/>
      <c r="LNS136" s="8"/>
      <c r="LNT136" s="8"/>
      <c r="LNU136" s="8"/>
      <c r="LNV136" s="8"/>
      <c r="LNW136" s="8"/>
      <c r="LNX136" s="8"/>
      <c r="LNY136" s="8"/>
      <c r="LNZ136" s="8"/>
      <c r="LOA136" s="8"/>
      <c r="LOB136" s="8"/>
      <c r="LOC136" s="8"/>
      <c r="LOD136" s="8"/>
      <c r="LOE136" s="8"/>
      <c r="LOF136" s="8"/>
      <c r="LOG136" s="8"/>
      <c r="LOH136" s="8"/>
      <c r="LOI136" s="8"/>
      <c r="LOJ136" s="8"/>
      <c r="LOK136" s="8"/>
      <c r="LOL136" s="8"/>
      <c r="LOM136" s="8"/>
      <c r="LON136" s="8"/>
      <c r="LOO136" s="8"/>
      <c r="LOP136" s="8"/>
      <c r="LOQ136" s="8"/>
      <c r="LOR136" s="8"/>
      <c r="LOS136" s="8"/>
      <c r="LOT136" s="8"/>
      <c r="LOU136" s="8"/>
      <c r="LOV136" s="8"/>
      <c r="LOW136" s="8"/>
      <c r="LOX136" s="8"/>
      <c r="LOY136" s="8"/>
      <c r="LOZ136" s="8"/>
      <c r="LPA136" s="8"/>
      <c r="LPB136" s="8"/>
      <c r="LPC136" s="8"/>
      <c r="LPD136" s="8"/>
      <c r="LPE136" s="8"/>
      <c r="LPF136" s="8"/>
      <c r="LPG136" s="8"/>
      <c r="LPH136" s="8"/>
      <c r="LPI136" s="8"/>
      <c r="LPJ136" s="8"/>
      <c r="LPK136" s="8"/>
      <c r="LPL136" s="8"/>
      <c r="LPM136" s="8"/>
      <c r="LPN136" s="8"/>
      <c r="LPO136" s="8"/>
      <c r="LPP136" s="8"/>
      <c r="LPQ136" s="8"/>
      <c r="LPR136" s="8"/>
      <c r="LPS136" s="8"/>
      <c r="LPT136" s="8"/>
      <c r="LPU136" s="8"/>
      <c r="LPV136" s="8"/>
      <c r="LPW136" s="8"/>
      <c r="LPX136" s="8"/>
      <c r="LPY136" s="8"/>
      <c r="LPZ136" s="8"/>
      <c r="LQA136" s="8"/>
      <c r="LQB136" s="8"/>
      <c r="LQC136" s="8"/>
      <c r="LQD136" s="8"/>
      <c r="LQE136" s="8"/>
      <c r="LQF136" s="8"/>
      <c r="LQG136" s="8"/>
      <c r="LQH136" s="8"/>
      <c r="LQI136" s="8"/>
      <c r="LQJ136" s="8"/>
      <c r="LQK136" s="8"/>
      <c r="LQL136" s="8"/>
      <c r="LQM136" s="8"/>
      <c r="LQN136" s="8"/>
      <c r="LQO136" s="8"/>
      <c r="LQP136" s="8"/>
      <c r="LQQ136" s="8"/>
      <c r="LQR136" s="8"/>
      <c r="LQS136" s="8"/>
      <c r="LQT136" s="8"/>
      <c r="LQU136" s="8"/>
      <c r="LQV136" s="8"/>
      <c r="LQW136" s="8"/>
      <c r="LQX136" s="8"/>
      <c r="LQY136" s="8"/>
      <c r="LQZ136" s="8"/>
      <c r="LRA136" s="8"/>
      <c r="LRB136" s="8"/>
      <c r="LRC136" s="8"/>
      <c r="LRD136" s="8"/>
      <c r="LRE136" s="8"/>
      <c r="LRF136" s="8"/>
      <c r="LRG136" s="8"/>
      <c r="LRH136" s="8"/>
      <c r="LRI136" s="8"/>
      <c r="LRJ136" s="8"/>
      <c r="LRK136" s="8"/>
      <c r="LRL136" s="8"/>
      <c r="LRM136" s="8"/>
      <c r="LRN136" s="8"/>
      <c r="LRO136" s="8"/>
      <c r="LRP136" s="8"/>
      <c r="LRQ136" s="8"/>
      <c r="LRR136" s="8"/>
      <c r="LRS136" s="8"/>
      <c r="LRT136" s="8"/>
      <c r="LRU136" s="8"/>
      <c r="LRV136" s="8"/>
      <c r="LRW136" s="8"/>
      <c r="LRX136" s="8"/>
      <c r="LRY136" s="8"/>
      <c r="LRZ136" s="8"/>
      <c r="LSA136" s="8"/>
      <c r="LSB136" s="8"/>
      <c r="LSC136" s="8"/>
      <c r="LSD136" s="8"/>
      <c r="LSE136" s="8"/>
      <c r="LSF136" s="8"/>
      <c r="LSG136" s="8"/>
      <c r="LSH136" s="8"/>
      <c r="LSI136" s="8"/>
      <c r="LSJ136" s="8"/>
      <c r="LSK136" s="8"/>
      <c r="LSL136" s="8"/>
      <c r="LSM136" s="8"/>
      <c r="LSN136" s="8"/>
      <c r="LSO136" s="8"/>
      <c r="LSP136" s="8"/>
      <c r="LSQ136" s="8"/>
      <c r="LSR136" s="8"/>
      <c r="LSS136" s="8"/>
      <c r="LST136" s="8"/>
      <c r="LSU136" s="8"/>
      <c r="LSV136" s="8"/>
      <c r="LSW136" s="8"/>
      <c r="LSX136" s="8"/>
      <c r="LSY136" s="8"/>
      <c r="LSZ136" s="8"/>
      <c r="LTA136" s="8"/>
      <c r="LTB136" s="8"/>
      <c r="LTC136" s="8"/>
      <c r="LTD136" s="8"/>
      <c r="LTE136" s="8"/>
      <c r="LTF136" s="8"/>
      <c r="LTG136" s="8"/>
      <c r="LTH136" s="8"/>
      <c r="LTI136" s="8"/>
      <c r="LTJ136" s="8"/>
      <c r="LTK136" s="8"/>
      <c r="LTL136" s="8"/>
      <c r="LTM136" s="8"/>
      <c r="LTN136" s="8"/>
      <c r="LTO136" s="8"/>
      <c r="LTP136" s="8"/>
      <c r="LTQ136" s="8"/>
      <c r="LTR136" s="8"/>
      <c r="LTS136" s="8"/>
      <c r="LTT136" s="8"/>
      <c r="LTU136" s="8"/>
      <c r="LTV136" s="8"/>
      <c r="LTW136" s="8"/>
      <c r="LTX136" s="8"/>
      <c r="LTY136" s="8"/>
      <c r="LTZ136" s="8"/>
      <c r="LUA136" s="8"/>
      <c r="LUB136" s="8"/>
      <c r="LUC136" s="8"/>
      <c r="LUD136" s="8"/>
      <c r="LUE136" s="8"/>
      <c r="LUF136" s="8"/>
      <c r="LUG136" s="8"/>
      <c r="LUH136" s="8"/>
      <c r="LUI136" s="8"/>
      <c r="LUJ136" s="8"/>
      <c r="LUK136" s="8"/>
      <c r="LUL136" s="8"/>
      <c r="LUM136" s="8"/>
      <c r="LUN136" s="8"/>
      <c r="LUO136" s="8"/>
      <c r="LUP136" s="8"/>
      <c r="LUQ136" s="8"/>
      <c r="LUR136" s="8"/>
      <c r="LUS136" s="8"/>
      <c r="LUT136" s="8"/>
      <c r="LUU136" s="8"/>
      <c r="LUV136" s="8"/>
      <c r="LUW136" s="8"/>
      <c r="LUX136" s="8"/>
      <c r="LUY136" s="8"/>
      <c r="LUZ136" s="8"/>
      <c r="LVA136" s="8"/>
      <c r="LVB136" s="8"/>
      <c r="LVC136" s="8"/>
      <c r="LVD136" s="8"/>
      <c r="LVE136" s="8"/>
      <c r="LVF136" s="8"/>
      <c r="LVG136" s="8"/>
      <c r="LVH136" s="8"/>
      <c r="LVI136" s="8"/>
      <c r="LVJ136" s="8"/>
      <c r="LVK136" s="8"/>
      <c r="LVL136" s="8"/>
      <c r="LVM136" s="8"/>
      <c r="LVN136" s="8"/>
      <c r="LVO136" s="8"/>
      <c r="LVP136" s="8"/>
      <c r="LVQ136" s="8"/>
      <c r="LVR136" s="8"/>
      <c r="LVS136" s="8"/>
      <c r="LVT136" s="8"/>
      <c r="LVU136" s="8"/>
      <c r="LVV136" s="8"/>
      <c r="LVW136" s="8"/>
      <c r="LVX136" s="8"/>
      <c r="LVY136" s="8"/>
      <c r="LVZ136" s="8"/>
      <c r="LWA136" s="8"/>
      <c r="LWB136" s="8"/>
      <c r="LWC136" s="8"/>
      <c r="LWD136" s="8"/>
      <c r="LWE136" s="8"/>
      <c r="LWF136" s="8"/>
      <c r="LWG136" s="8"/>
      <c r="LWH136" s="8"/>
      <c r="LWI136" s="8"/>
      <c r="LWJ136" s="8"/>
      <c r="LWK136" s="8"/>
      <c r="LWL136" s="8"/>
      <c r="LWM136" s="8"/>
      <c r="LWN136" s="8"/>
      <c r="LWO136" s="8"/>
      <c r="LWP136" s="8"/>
      <c r="LWQ136" s="8"/>
      <c r="LWR136" s="8"/>
      <c r="LWS136" s="8"/>
      <c r="LWT136" s="8"/>
      <c r="LWU136" s="8"/>
      <c r="LWV136" s="8"/>
      <c r="LWW136" s="8"/>
      <c r="LWX136" s="8"/>
      <c r="LWY136" s="8"/>
      <c r="LWZ136" s="8"/>
      <c r="LXA136" s="8"/>
      <c r="LXB136" s="8"/>
      <c r="LXC136" s="8"/>
      <c r="LXD136" s="8"/>
      <c r="LXE136" s="8"/>
      <c r="LXF136" s="8"/>
      <c r="LXG136" s="8"/>
      <c r="LXH136" s="8"/>
      <c r="LXI136" s="8"/>
      <c r="LXJ136" s="8"/>
      <c r="LXK136" s="8"/>
      <c r="LXL136" s="8"/>
      <c r="LXM136" s="8"/>
      <c r="LXN136" s="8"/>
      <c r="LXO136" s="8"/>
      <c r="LXP136" s="8"/>
      <c r="LXQ136" s="8"/>
      <c r="LXR136" s="8"/>
      <c r="LXS136" s="8"/>
      <c r="LXT136" s="8"/>
      <c r="LXU136" s="8"/>
      <c r="LXV136" s="8"/>
      <c r="LXW136" s="8"/>
      <c r="LXX136" s="8"/>
      <c r="LXY136" s="8"/>
      <c r="LXZ136" s="8"/>
      <c r="LYA136" s="8"/>
      <c r="LYB136" s="8"/>
      <c r="LYC136" s="8"/>
      <c r="LYD136" s="8"/>
      <c r="LYE136" s="8"/>
      <c r="LYF136" s="8"/>
      <c r="LYG136" s="8"/>
      <c r="LYH136" s="8"/>
      <c r="LYI136" s="8"/>
      <c r="LYJ136" s="8"/>
      <c r="LYK136" s="8"/>
      <c r="LYL136" s="8"/>
      <c r="LYM136" s="8"/>
      <c r="LYN136" s="8"/>
      <c r="LYO136" s="8"/>
      <c r="LYP136" s="8"/>
      <c r="LYQ136" s="8"/>
      <c r="LYR136" s="8"/>
      <c r="LYS136" s="8"/>
      <c r="LYT136" s="8"/>
      <c r="LYU136" s="8"/>
      <c r="LYV136" s="8"/>
      <c r="LYW136" s="8"/>
      <c r="LYX136" s="8"/>
      <c r="LYY136" s="8"/>
      <c r="LYZ136" s="8"/>
      <c r="LZA136" s="8"/>
      <c r="LZB136" s="8"/>
      <c r="LZC136" s="8"/>
      <c r="LZD136" s="8"/>
      <c r="LZE136" s="8"/>
      <c r="LZF136" s="8"/>
      <c r="LZG136" s="8"/>
      <c r="LZH136" s="8"/>
      <c r="LZI136" s="8"/>
      <c r="LZJ136" s="8"/>
      <c r="LZK136" s="8"/>
      <c r="LZL136" s="8"/>
      <c r="LZM136" s="8"/>
      <c r="LZN136" s="8"/>
      <c r="LZO136" s="8"/>
      <c r="LZP136" s="8"/>
      <c r="LZQ136" s="8"/>
      <c r="LZR136" s="8"/>
      <c r="LZS136" s="8"/>
      <c r="LZT136" s="8"/>
      <c r="LZU136" s="8"/>
      <c r="LZV136" s="8"/>
      <c r="LZW136" s="8"/>
      <c r="LZX136" s="8"/>
      <c r="LZY136" s="8"/>
      <c r="LZZ136" s="8"/>
      <c r="MAA136" s="8"/>
      <c r="MAB136" s="8"/>
      <c r="MAC136" s="8"/>
      <c r="MAD136" s="8"/>
      <c r="MAE136" s="8"/>
      <c r="MAF136" s="8"/>
      <c r="MAG136" s="8"/>
      <c r="MAH136" s="8"/>
      <c r="MAI136" s="8"/>
      <c r="MAJ136" s="8"/>
      <c r="MAK136" s="8"/>
      <c r="MAL136" s="8"/>
      <c r="MAM136" s="8"/>
      <c r="MAN136" s="8"/>
      <c r="MAO136" s="8"/>
      <c r="MAP136" s="8"/>
      <c r="MAQ136" s="8"/>
      <c r="MAR136" s="8"/>
      <c r="MAS136" s="8"/>
      <c r="MAT136" s="8"/>
      <c r="MAU136" s="8"/>
      <c r="MAV136" s="8"/>
      <c r="MAW136" s="8"/>
      <c r="MAX136" s="8"/>
      <c r="MAY136" s="8"/>
      <c r="MAZ136" s="8"/>
      <c r="MBA136" s="8"/>
      <c r="MBB136" s="8"/>
      <c r="MBC136" s="8"/>
      <c r="MBD136" s="8"/>
      <c r="MBE136" s="8"/>
      <c r="MBF136" s="8"/>
      <c r="MBG136" s="8"/>
      <c r="MBH136" s="8"/>
      <c r="MBI136" s="8"/>
      <c r="MBJ136" s="8"/>
      <c r="MBK136" s="8"/>
      <c r="MBL136" s="8"/>
      <c r="MBM136" s="8"/>
      <c r="MBN136" s="8"/>
      <c r="MBO136" s="8"/>
      <c r="MBP136" s="8"/>
      <c r="MBQ136" s="8"/>
      <c r="MBR136" s="8"/>
      <c r="MBS136" s="8"/>
      <c r="MBT136" s="8"/>
      <c r="MBU136" s="8"/>
      <c r="MBV136" s="8"/>
      <c r="MBW136" s="8"/>
      <c r="MBX136" s="8"/>
      <c r="MBY136" s="8"/>
      <c r="MBZ136" s="8"/>
      <c r="MCA136" s="8"/>
      <c r="MCB136" s="8"/>
      <c r="MCC136" s="8"/>
      <c r="MCD136" s="8"/>
      <c r="MCE136" s="8"/>
      <c r="MCF136" s="8"/>
      <c r="MCG136" s="8"/>
      <c r="MCH136" s="8"/>
      <c r="MCI136" s="8"/>
      <c r="MCJ136" s="8"/>
      <c r="MCK136" s="8"/>
      <c r="MCL136" s="8"/>
      <c r="MCM136" s="8"/>
      <c r="MCN136" s="8"/>
      <c r="MCO136" s="8"/>
      <c r="MCP136" s="8"/>
      <c r="MCQ136" s="8"/>
      <c r="MCR136" s="8"/>
      <c r="MCS136" s="8"/>
      <c r="MCT136" s="8"/>
      <c r="MCU136" s="8"/>
      <c r="MCV136" s="8"/>
      <c r="MCW136" s="8"/>
      <c r="MCX136" s="8"/>
      <c r="MCY136" s="8"/>
      <c r="MCZ136" s="8"/>
      <c r="MDA136" s="8"/>
      <c r="MDB136" s="8"/>
      <c r="MDC136" s="8"/>
      <c r="MDD136" s="8"/>
      <c r="MDE136" s="8"/>
      <c r="MDF136" s="8"/>
      <c r="MDG136" s="8"/>
      <c r="MDH136" s="8"/>
      <c r="MDI136" s="8"/>
      <c r="MDJ136" s="8"/>
      <c r="MDK136" s="8"/>
      <c r="MDL136" s="8"/>
      <c r="MDM136" s="8"/>
      <c r="MDN136" s="8"/>
      <c r="MDO136" s="8"/>
      <c r="MDP136" s="8"/>
      <c r="MDQ136" s="8"/>
      <c r="MDR136" s="8"/>
      <c r="MDS136" s="8"/>
      <c r="MDT136" s="8"/>
      <c r="MDU136" s="8"/>
      <c r="MDV136" s="8"/>
      <c r="MDW136" s="8"/>
      <c r="MDX136" s="8"/>
      <c r="MDY136" s="8"/>
      <c r="MDZ136" s="8"/>
      <c r="MEA136" s="8"/>
      <c r="MEB136" s="8"/>
      <c r="MEC136" s="8"/>
      <c r="MED136" s="8"/>
      <c r="MEE136" s="8"/>
      <c r="MEF136" s="8"/>
      <c r="MEG136" s="8"/>
      <c r="MEH136" s="8"/>
      <c r="MEI136" s="8"/>
      <c r="MEJ136" s="8"/>
      <c r="MEK136" s="8"/>
      <c r="MEL136" s="8"/>
      <c r="MEM136" s="8"/>
      <c r="MEN136" s="8"/>
      <c r="MEO136" s="8"/>
      <c r="MEP136" s="8"/>
      <c r="MEQ136" s="8"/>
      <c r="MER136" s="8"/>
      <c r="MES136" s="8"/>
      <c r="MET136" s="8"/>
      <c r="MEU136" s="8"/>
      <c r="MEV136" s="8"/>
      <c r="MEW136" s="8"/>
      <c r="MEX136" s="8"/>
      <c r="MEY136" s="8"/>
      <c r="MEZ136" s="8"/>
      <c r="MFA136" s="8"/>
      <c r="MFB136" s="8"/>
      <c r="MFC136" s="8"/>
      <c r="MFD136" s="8"/>
      <c r="MFE136" s="8"/>
      <c r="MFF136" s="8"/>
      <c r="MFG136" s="8"/>
      <c r="MFH136" s="8"/>
      <c r="MFI136" s="8"/>
      <c r="MFJ136" s="8"/>
      <c r="MFK136" s="8"/>
      <c r="MFL136" s="8"/>
      <c r="MFM136" s="8"/>
      <c r="MFN136" s="8"/>
      <c r="MFO136" s="8"/>
      <c r="MFP136" s="8"/>
      <c r="MFQ136" s="8"/>
      <c r="MFR136" s="8"/>
      <c r="MFS136" s="8"/>
      <c r="MFT136" s="8"/>
      <c r="MFU136" s="8"/>
      <c r="MFV136" s="8"/>
      <c r="MFW136" s="8"/>
      <c r="MFX136" s="8"/>
      <c r="MFY136" s="8"/>
      <c r="MFZ136" s="8"/>
      <c r="MGA136" s="8"/>
      <c r="MGB136" s="8"/>
      <c r="MGC136" s="8"/>
      <c r="MGD136" s="8"/>
      <c r="MGE136" s="8"/>
      <c r="MGF136" s="8"/>
      <c r="MGG136" s="8"/>
      <c r="MGH136" s="8"/>
      <c r="MGI136" s="8"/>
      <c r="MGJ136" s="8"/>
      <c r="MGK136" s="8"/>
      <c r="MGL136" s="8"/>
      <c r="MGM136" s="8"/>
      <c r="MGN136" s="8"/>
      <c r="MGO136" s="8"/>
      <c r="MGP136" s="8"/>
      <c r="MGQ136" s="8"/>
      <c r="MGR136" s="8"/>
      <c r="MGS136" s="8"/>
      <c r="MGT136" s="8"/>
      <c r="MGU136" s="8"/>
      <c r="MGV136" s="8"/>
      <c r="MGW136" s="8"/>
      <c r="MGX136" s="8"/>
      <c r="MGY136" s="8"/>
      <c r="MGZ136" s="8"/>
      <c r="MHA136" s="8"/>
      <c r="MHB136" s="8"/>
      <c r="MHC136" s="8"/>
      <c r="MHD136" s="8"/>
      <c r="MHE136" s="8"/>
      <c r="MHF136" s="8"/>
      <c r="MHG136" s="8"/>
      <c r="MHH136" s="8"/>
      <c r="MHI136" s="8"/>
      <c r="MHJ136" s="8"/>
      <c r="MHK136" s="8"/>
      <c r="MHL136" s="8"/>
      <c r="MHM136" s="8"/>
      <c r="MHN136" s="8"/>
      <c r="MHO136" s="8"/>
      <c r="MHP136" s="8"/>
      <c r="MHQ136" s="8"/>
      <c r="MHR136" s="8"/>
      <c r="MHS136" s="8"/>
      <c r="MHT136" s="8"/>
      <c r="MHU136" s="8"/>
      <c r="MHV136" s="8"/>
      <c r="MHW136" s="8"/>
      <c r="MHX136" s="8"/>
      <c r="MHY136" s="8"/>
      <c r="MHZ136" s="8"/>
      <c r="MIA136" s="8"/>
      <c r="MIB136" s="8"/>
      <c r="MIC136" s="8"/>
      <c r="MID136" s="8"/>
      <c r="MIE136" s="8"/>
      <c r="MIF136" s="8"/>
      <c r="MIG136" s="8"/>
      <c r="MIH136" s="8"/>
      <c r="MII136" s="8"/>
      <c r="MIJ136" s="8"/>
      <c r="MIK136" s="8"/>
      <c r="MIL136" s="8"/>
      <c r="MIM136" s="8"/>
      <c r="MIN136" s="8"/>
      <c r="MIO136" s="8"/>
      <c r="MIP136" s="8"/>
      <c r="MIQ136" s="8"/>
      <c r="MIR136" s="8"/>
      <c r="MIS136" s="8"/>
      <c r="MIT136" s="8"/>
      <c r="MIU136" s="8"/>
      <c r="MIV136" s="8"/>
      <c r="MIW136" s="8"/>
      <c r="MIX136" s="8"/>
      <c r="MIY136" s="8"/>
      <c r="MIZ136" s="8"/>
      <c r="MJA136" s="8"/>
      <c r="MJB136" s="8"/>
      <c r="MJC136" s="8"/>
      <c r="MJD136" s="8"/>
      <c r="MJE136" s="8"/>
      <c r="MJF136" s="8"/>
      <c r="MJG136" s="8"/>
      <c r="MJH136" s="8"/>
      <c r="MJI136" s="8"/>
      <c r="MJJ136" s="8"/>
      <c r="MJK136" s="8"/>
      <c r="MJL136" s="8"/>
      <c r="MJM136" s="8"/>
      <c r="MJN136" s="8"/>
      <c r="MJO136" s="8"/>
      <c r="MJP136" s="8"/>
      <c r="MJQ136" s="8"/>
      <c r="MJR136" s="8"/>
      <c r="MJS136" s="8"/>
      <c r="MJT136" s="8"/>
      <c r="MJU136" s="8"/>
      <c r="MJV136" s="8"/>
      <c r="MJW136" s="8"/>
      <c r="MJX136" s="8"/>
      <c r="MJY136" s="8"/>
      <c r="MJZ136" s="8"/>
      <c r="MKA136" s="8"/>
      <c r="MKB136" s="8"/>
      <c r="MKC136" s="8"/>
      <c r="MKD136" s="8"/>
      <c r="MKE136" s="8"/>
      <c r="MKF136" s="8"/>
      <c r="MKG136" s="8"/>
      <c r="MKH136" s="8"/>
      <c r="MKI136" s="8"/>
      <c r="MKJ136" s="8"/>
      <c r="MKK136" s="8"/>
      <c r="MKL136" s="8"/>
      <c r="MKM136" s="8"/>
      <c r="MKN136" s="8"/>
      <c r="MKO136" s="8"/>
      <c r="MKP136" s="8"/>
      <c r="MKQ136" s="8"/>
      <c r="MKR136" s="8"/>
      <c r="MKS136" s="8"/>
      <c r="MKT136" s="8"/>
      <c r="MKU136" s="8"/>
      <c r="MKV136" s="8"/>
      <c r="MKW136" s="8"/>
      <c r="MKX136" s="8"/>
      <c r="MKY136" s="8"/>
      <c r="MKZ136" s="8"/>
      <c r="MLA136" s="8"/>
      <c r="MLB136" s="8"/>
      <c r="MLC136" s="8"/>
      <c r="MLD136" s="8"/>
      <c r="MLE136" s="8"/>
      <c r="MLF136" s="8"/>
      <c r="MLG136" s="8"/>
      <c r="MLH136" s="8"/>
      <c r="MLI136" s="8"/>
      <c r="MLJ136" s="8"/>
      <c r="MLK136" s="8"/>
      <c r="MLL136" s="8"/>
      <c r="MLM136" s="8"/>
      <c r="MLN136" s="8"/>
      <c r="MLO136" s="8"/>
      <c r="MLP136" s="8"/>
      <c r="MLQ136" s="8"/>
      <c r="MLR136" s="8"/>
      <c r="MLS136" s="8"/>
      <c r="MLT136" s="8"/>
      <c r="MLU136" s="8"/>
      <c r="MLV136" s="8"/>
      <c r="MLW136" s="8"/>
      <c r="MLX136" s="8"/>
      <c r="MLY136" s="8"/>
      <c r="MLZ136" s="8"/>
      <c r="MMA136" s="8"/>
      <c r="MMB136" s="8"/>
      <c r="MMC136" s="8"/>
      <c r="MMD136" s="8"/>
      <c r="MME136" s="8"/>
      <c r="MMF136" s="8"/>
      <c r="MMG136" s="8"/>
      <c r="MMH136" s="8"/>
      <c r="MMI136" s="8"/>
      <c r="MMJ136" s="8"/>
      <c r="MMK136" s="8"/>
      <c r="MML136" s="8"/>
      <c r="MMM136" s="8"/>
      <c r="MMN136" s="8"/>
      <c r="MMO136" s="8"/>
      <c r="MMP136" s="8"/>
      <c r="MMQ136" s="8"/>
      <c r="MMR136" s="8"/>
      <c r="MMS136" s="8"/>
      <c r="MMT136" s="8"/>
      <c r="MMU136" s="8"/>
      <c r="MMV136" s="8"/>
      <c r="MMW136" s="8"/>
      <c r="MMX136" s="8"/>
      <c r="MMY136" s="8"/>
      <c r="MMZ136" s="8"/>
      <c r="MNA136" s="8"/>
      <c r="MNB136" s="8"/>
      <c r="MNC136" s="8"/>
      <c r="MND136" s="8"/>
      <c r="MNE136" s="8"/>
      <c r="MNF136" s="8"/>
      <c r="MNG136" s="8"/>
      <c r="MNH136" s="8"/>
      <c r="MNI136" s="8"/>
      <c r="MNJ136" s="8"/>
      <c r="MNK136" s="8"/>
      <c r="MNL136" s="8"/>
      <c r="MNM136" s="8"/>
      <c r="MNN136" s="8"/>
      <c r="MNO136" s="8"/>
      <c r="MNP136" s="8"/>
      <c r="MNQ136" s="8"/>
      <c r="MNR136" s="8"/>
      <c r="MNS136" s="8"/>
      <c r="MNT136" s="8"/>
      <c r="MNU136" s="8"/>
      <c r="MNV136" s="8"/>
      <c r="MNW136" s="8"/>
      <c r="MNX136" s="8"/>
      <c r="MNY136" s="8"/>
      <c r="MNZ136" s="8"/>
      <c r="MOA136" s="8"/>
      <c r="MOB136" s="8"/>
      <c r="MOC136" s="8"/>
      <c r="MOD136" s="8"/>
      <c r="MOE136" s="8"/>
      <c r="MOF136" s="8"/>
      <c r="MOG136" s="8"/>
      <c r="MOH136" s="8"/>
      <c r="MOI136" s="8"/>
      <c r="MOJ136" s="8"/>
      <c r="MOK136" s="8"/>
      <c r="MOL136" s="8"/>
      <c r="MOM136" s="8"/>
      <c r="MON136" s="8"/>
      <c r="MOO136" s="8"/>
      <c r="MOP136" s="8"/>
      <c r="MOQ136" s="8"/>
      <c r="MOR136" s="8"/>
      <c r="MOS136" s="8"/>
      <c r="MOT136" s="8"/>
      <c r="MOU136" s="8"/>
      <c r="MOV136" s="8"/>
      <c r="MOW136" s="8"/>
      <c r="MOX136" s="8"/>
      <c r="MOY136" s="8"/>
      <c r="MOZ136" s="8"/>
      <c r="MPA136" s="8"/>
      <c r="MPB136" s="8"/>
      <c r="MPC136" s="8"/>
      <c r="MPD136" s="8"/>
      <c r="MPE136" s="8"/>
      <c r="MPF136" s="8"/>
      <c r="MPG136" s="8"/>
      <c r="MPH136" s="8"/>
      <c r="MPI136" s="8"/>
      <c r="MPJ136" s="8"/>
      <c r="MPK136" s="8"/>
      <c r="MPL136" s="8"/>
      <c r="MPM136" s="8"/>
      <c r="MPN136" s="8"/>
      <c r="MPO136" s="8"/>
      <c r="MPP136" s="8"/>
      <c r="MPQ136" s="8"/>
      <c r="MPR136" s="8"/>
      <c r="MPS136" s="8"/>
      <c r="MPT136" s="8"/>
      <c r="MPU136" s="8"/>
      <c r="MPV136" s="8"/>
      <c r="MPW136" s="8"/>
      <c r="MPX136" s="8"/>
      <c r="MPY136" s="8"/>
      <c r="MPZ136" s="8"/>
      <c r="MQA136" s="8"/>
      <c r="MQB136" s="8"/>
      <c r="MQC136" s="8"/>
      <c r="MQD136" s="8"/>
      <c r="MQE136" s="8"/>
      <c r="MQF136" s="8"/>
      <c r="MQG136" s="8"/>
      <c r="MQH136" s="8"/>
      <c r="MQI136" s="8"/>
      <c r="MQJ136" s="8"/>
      <c r="MQK136" s="8"/>
      <c r="MQL136" s="8"/>
      <c r="MQM136" s="8"/>
      <c r="MQN136" s="8"/>
      <c r="MQO136" s="8"/>
      <c r="MQP136" s="8"/>
      <c r="MQQ136" s="8"/>
      <c r="MQR136" s="8"/>
      <c r="MQS136" s="8"/>
      <c r="MQT136" s="8"/>
      <c r="MQU136" s="8"/>
      <c r="MQV136" s="8"/>
      <c r="MQW136" s="8"/>
      <c r="MQX136" s="8"/>
      <c r="MQY136" s="8"/>
      <c r="MQZ136" s="8"/>
      <c r="MRA136" s="8"/>
      <c r="MRB136" s="8"/>
      <c r="MRC136" s="8"/>
      <c r="MRD136" s="8"/>
      <c r="MRE136" s="8"/>
      <c r="MRF136" s="8"/>
      <c r="MRG136" s="8"/>
      <c r="MRH136" s="8"/>
      <c r="MRI136" s="8"/>
      <c r="MRJ136" s="8"/>
      <c r="MRK136" s="8"/>
      <c r="MRL136" s="8"/>
      <c r="MRM136" s="8"/>
      <c r="MRN136" s="8"/>
      <c r="MRO136" s="8"/>
      <c r="MRP136" s="8"/>
      <c r="MRQ136" s="8"/>
      <c r="MRR136" s="8"/>
      <c r="MRS136" s="8"/>
      <c r="MRT136" s="8"/>
      <c r="MRU136" s="8"/>
      <c r="MRV136" s="8"/>
      <c r="MRW136" s="8"/>
      <c r="MRX136" s="8"/>
      <c r="MRY136" s="8"/>
      <c r="MRZ136" s="8"/>
      <c r="MSA136" s="8"/>
      <c r="MSB136" s="8"/>
      <c r="MSC136" s="8"/>
      <c r="MSD136" s="8"/>
      <c r="MSE136" s="8"/>
      <c r="MSF136" s="8"/>
      <c r="MSG136" s="8"/>
      <c r="MSH136" s="8"/>
      <c r="MSI136" s="8"/>
      <c r="MSJ136" s="8"/>
      <c r="MSK136" s="8"/>
      <c r="MSL136" s="8"/>
      <c r="MSM136" s="8"/>
      <c r="MSN136" s="8"/>
      <c r="MSO136" s="8"/>
      <c r="MSP136" s="8"/>
      <c r="MSQ136" s="8"/>
      <c r="MSR136" s="8"/>
      <c r="MSS136" s="8"/>
      <c r="MST136" s="8"/>
      <c r="MSU136" s="8"/>
      <c r="MSV136" s="8"/>
      <c r="MSW136" s="8"/>
      <c r="MSX136" s="8"/>
      <c r="MSY136" s="8"/>
      <c r="MSZ136" s="8"/>
      <c r="MTA136" s="8"/>
      <c r="MTB136" s="8"/>
      <c r="MTC136" s="8"/>
      <c r="MTD136" s="8"/>
      <c r="MTE136" s="8"/>
      <c r="MTF136" s="8"/>
      <c r="MTG136" s="8"/>
      <c r="MTH136" s="8"/>
      <c r="MTI136" s="8"/>
      <c r="MTJ136" s="8"/>
      <c r="MTK136" s="8"/>
      <c r="MTL136" s="8"/>
      <c r="MTM136" s="8"/>
      <c r="MTN136" s="8"/>
      <c r="MTO136" s="8"/>
      <c r="MTP136" s="8"/>
      <c r="MTQ136" s="8"/>
      <c r="MTR136" s="8"/>
      <c r="MTS136" s="8"/>
      <c r="MTT136" s="8"/>
      <c r="MTU136" s="8"/>
      <c r="MTV136" s="8"/>
      <c r="MTW136" s="8"/>
      <c r="MTX136" s="8"/>
      <c r="MTY136" s="8"/>
      <c r="MTZ136" s="8"/>
      <c r="MUA136" s="8"/>
      <c r="MUB136" s="8"/>
      <c r="MUC136" s="8"/>
      <c r="MUD136" s="8"/>
      <c r="MUE136" s="8"/>
      <c r="MUF136" s="8"/>
      <c r="MUG136" s="8"/>
      <c r="MUH136" s="8"/>
      <c r="MUI136" s="8"/>
      <c r="MUJ136" s="8"/>
      <c r="MUK136" s="8"/>
      <c r="MUL136" s="8"/>
      <c r="MUM136" s="8"/>
      <c r="MUN136" s="8"/>
      <c r="MUO136" s="8"/>
      <c r="MUP136" s="8"/>
      <c r="MUQ136" s="8"/>
      <c r="MUR136" s="8"/>
      <c r="MUS136" s="8"/>
      <c r="MUT136" s="8"/>
      <c r="MUU136" s="8"/>
      <c r="MUV136" s="8"/>
      <c r="MUW136" s="8"/>
      <c r="MUX136" s="8"/>
      <c r="MUY136" s="8"/>
      <c r="MUZ136" s="8"/>
      <c r="MVA136" s="8"/>
      <c r="MVB136" s="8"/>
      <c r="MVC136" s="8"/>
      <c r="MVD136" s="8"/>
      <c r="MVE136" s="8"/>
      <c r="MVF136" s="8"/>
      <c r="MVG136" s="8"/>
      <c r="MVH136" s="8"/>
      <c r="MVI136" s="8"/>
      <c r="MVJ136" s="8"/>
      <c r="MVK136" s="8"/>
      <c r="MVL136" s="8"/>
      <c r="MVM136" s="8"/>
      <c r="MVN136" s="8"/>
      <c r="MVO136" s="8"/>
      <c r="MVP136" s="8"/>
      <c r="MVQ136" s="8"/>
      <c r="MVR136" s="8"/>
      <c r="MVS136" s="8"/>
      <c r="MVT136" s="8"/>
      <c r="MVU136" s="8"/>
      <c r="MVV136" s="8"/>
      <c r="MVW136" s="8"/>
      <c r="MVX136" s="8"/>
      <c r="MVY136" s="8"/>
      <c r="MVZ136" s="8"/>
      <c r="MWA136" s="8"/>
      <c r="MWB136" s="8"/>
      <c r="MWC136" s="8"/>
      <c r="MWD136" s="8"/>
      <c r="MWE136" s="8"/>
      <c r="MWF136" s="8"/>
      <c r="MWG136" s="8"/>
      <c r="MWH136" s="8"/>
      <c r="MWI136" s="8"/>
      <c r="MWJ136" s="8"/>
      <c r="MWK136" s="8"/>
      <c r="MWL136" s="8"/>
      <c r="MWM136" s="8"/>
      <c r="MWN136" s="8"/>
      <c r="MWO136" s="8"/>
      <c r="MWP136" s="8"/>
      <c r="MWQ136" s="8"/>
      <c r="MWR136" s="8"/>
      <c r="MWS136" s="8"/>
      <c r="MWT136" s="8"/>
      <c r="MWU136" s="8"/>
      <c r="MWV136" s="8"/>
      <c r="MWW136" s="8"/>
      <c r="MWX136" s="8"/>
      <c r="MWY136" s="8"/>
      <c r="MWZ136" s="8"/>
      <c r="MXA136" s="8"/>
      <c r="MXB136" s="8"/>
      <c r="MXC136" s="8"/>
      <c r="MXD136" s="8"/>
      <c r="MXE136" s="8"/>
      <c r="MXF136" s="8"/>
      <c r="MXG136" s="8"/>
      <c r="MXH136" s="8"/>
      <c r="MXI136" s="8"/>
      <c r="MXJ136" s="8"/>
      <c r="MXK136" s="8"/>
      <c r="MXL136" s="8"/>
      <c r="MXM136" s="8"/>
      <c r="MXN136" s="8"/>
      <c r="MXO136" s="8"/>
      <c r="MXP136" s="8"/>
      <c r="MXQ136" s="8"/>
      <c r="MXR136" s="8"/>
      <c r="MXS136" s="8"/>
      <c r="MXT136" s="8"/>
      <c r="MXU136" s="8"/>
      <c r="MXV136" s="8"/>
      <c r="MXW136" s="8"/>
      <c r="MXX136" s="8"/>
      <c r="MXY136" s="8"/>
      <c r="MXZ136" s="8"/>
      <c r="MYA136" s="8"/>
      <c r="MYB136" s="8"/>
      <c r="MYC136" s="8"/>
      <c r="MYD136" s="8"/>
      <c r="MYE136" s="8"/>
      <c r="MYF136" s="8"/>
      <c r="MYG136" s="8"/>
      <c r="MYH136" s="8"/>
      <c r="MYI136" s="8"/>
      <c r="MYJ136" s="8"/>
      <c r="MYK136" s="8"/>
      <c r="MYL136" s="8"/>
      <c r="MYM136" s="8"/>
      <c r="MYN136" s="8"/>
      <c r="MYO136" s="8"/>
      <c r="MYP136" s="8"/>
      <c r="MYQ136" s="8"/>
      <c r="MYR136" s="8"/>
      <c r="MYS136" s="8"/>
      <c r="MYT136" s="8"/>
      <c r="MYU136" s="8"/>
      <c r="MYV136" s="8"/>
      <c r="MYW136" s="8"/>
      <c r="MYX136" s="8"/>
      <c r="MYY136" s="8"/>
      <c r="MYZ136" s="8"/>
      <c r="MZA136" s="8"/>
      <c r="MZB136" s="8"/>
      <c r="MZC136" s="8"/>
      <c r="MZD136" s="8"/>
      <c r="MZE136" s="8"/>
      <c r="MZF136" s="8"/>
      <c r="MZG136" s="8"/>
      <c r="MZH136" s="8"/>
      <c r="MZI136" s="8"/>
      <c r="MZJ136" s="8"/>
      <c r="MZK136" s="8"/>
      <c r="MZL136" s="8"/>
      <c r="MZM136" s="8"/>
      <c r="MZN136" s="8"/>
      <c r="MZO136" s="8"/>
      <c r="MZP136" s="8"/>
      <c r="MZQ136" s="8"/>
      <c r="MZR136" s="8"/>
      <c r="MZS136" s="8"/>
      <c r="MZT136" s="8"/>
      <c r="MZU136" s="8"/>
      <c r="MZV136" s="8"/>
      <c r="MZW136" s="8"/>
      <c r="MZX136" s="8"/>
      <c r="MZY136" s="8"/>
      <c r="MZZ136" s="8"/>
      <c r="NAA136" s="8"/>
      <c r="NAB136" s="8"/>
      <c r="NAC136" s="8"/>
      <c r="NAD136" s="8"/>
      <c r="NAE136" s="8"/>
      <c r="NAF136" s="8"/>
      <c r="NAG136" s="8"/>
      <c r="NAH136" s="8"/>
      <c r="NAI136" s="8"/>
      <c r="NAJ136" s="8"/>
      <c r="NAK136" s="8"/>
      <c r="NAL136" s="8"/>
      <c r="NAM136" s="8"/>
      <c r="NAN136" s="8"/>
      <c r="NAO136" s="8"/>
      <c r="NAP136" s="8"/>
      <c r="NAQ136" s="8"/>
      <c r="NAR136" s="8"/>
      <c r="NAS136" s="8"/>
      <c r="NAT136" s="8"/>
      <c r="NAU136" s="8"/>
      <c r="NAV136" s="8"/>
      <c r="NAW136" s="8"/>
      <c r="NAX136" s="8"/>
      <c r="NAY136" s="8"/>
      <c r="NAZ136" s="8"/>
      <c r="NBA136" s="8"/>
      <c r="NBB136" s="8"/>
      <c r="NBC136" s="8"/>
      <c r="NBD136" s="8"/>
      <c r="NBE136" s="8"/>
      <c r="NBF136" s="8"/>
      <c r="NBG136" s="8"/>
      <c r="NBH136" s="8"/>
      <c r="NBI136" s="8"/>
      <c r="NBJ136" s="8"/>
      <c r="NBK136" s="8"/>
      <c r="NBL136" s="8"/>
      <c r="NBM136" s="8"/>
      <c r="NBN136" s="8"/>
      <c r="NBO136" s="8"/>
      <c r="NBP136" s="8"/>
      <c r="NBQ136" s="8"/>
      <c r="NBR136" s="8"/>
      <c r="NBS136" s="8"/>
      <c r="NBT136" s="8"/>
      <c r="NBU136" s="8"/>
      <c r="NBV136" s="8"/>
      <c r="NBW136" s="8"/>
      <c r="NBX136" s="8"/>
      <c r="NBY136" s="8"/>
      <c r="NBZ136" s="8"/>
      <c r="NCA136" s="8"/>
      <c r="NCB136" s="8"/>
      <c r="NCC136" s="8"/>
      <c r="NCD136" s="8"/>
      <c r="NCE136" s="8"/>
      <c r="NCF136" s="8"/>
      <c r="NCG136" s="8"/>
      <c r="NCH136" s="8"/>
      <c r="NCI136" s="8"/>
      <c r="NCJ136" s="8"/>
      <c r="NCK136" s="8"/>
      <c r="NCL136" s="8"/>
      <c r="NCM136" s="8"/>
      <c r="NCN136" s="8"/>
      <c r="NCO136" s="8"/>
      <c r="NCP136" s="8"/>
      <c r="NCQ136" s="8"/>
      <c r="NCR136" s="8"/>
      <c r="NCS136" s="8"/>
      <c r="NCT136" s="8"/>
      <c r="NCU136" s="8"/>
      <c r="NCV136" s="8"/>
      <c r="NCW136" s="8"/>
      <c r="NCX136" s="8"/>
      <c r="NCY136" s="8"/>
      <c r="NCZ136" s="8"/>
      <c r="NDA136" s="8"/>
      <c r="NDB136" s="8"/>
      <c r="NDC136" s="8"/>
      <c r="NDD136" s="8"/>
      <c r="NDE136" s="8"/>
      <c r="NDF136" s="8"/>
      <c r="NDG136" s="8"/>
      <c r="NDH136" s="8"/>
      <c r="NDI136" s="8"/>
      <c r="NDJ136" s="8"/>
      <c r="NDK136" s="8"/>
      <c r="NDL136" s="8"/>
      <c r="NDM136" s="8"/>
      <c r="NDN136" s="8"/>
      <c r="NDO136" s="8"/>
      <c r="NDP136" s="8"/>
      <c r="NDQ136" s="8"/>
      <c r="NDR136" s="8"/>
      <c r="NDS136" s="8"/>
      <c r="NDT136" s="8"/>
      <c r="NDU136" s="8"/>
      <c r="NDV136" s="8"/>
      <c r="NDW136" s="8"/>
      <c r="NDX136" s="8"/>
      <c r="NDY136" s="8"/>
      <c r="NDZ136" s="8"/>
      <c r="NEA136" s="8"/>
      <c r="NEB136" s="8"/>
      <c r="NEC136" s="8"/>
      <c r="NED136" s="8"/>
      <c r="NEE136" s="8"/>
      <c r="NEF136" s="8"/>
      <c r="NEG136" s="8"/>
      <c r="NEH136" s="8"/>
      <c r="NEI136" s="8"/>
      <c r="NEJ136" s="8"/>
      <c r="NEK136" s="8"/>
      <c r="NEL136" s="8"/>
      <c r="NEM136" s="8"/>
      <c r="NEN136" s="8"/>
      <c r="NEO136" s="8"/>
      <c r="NEP136" s="8"/>
      <c r="NEQ136" s="8"/>
      <c r="NER136" s="8"/>
      <c r="NES136" s="8"/>
      <c r="NET136" s="8"/>
      <c r="NEU136" s="8"/>
      <c r="NEV136" s="8"/>
      <c r="NEW136" s="8"/>
      <c r="NEX136" s="8"/>
      <c r="NEY136" s="8"/>
      <c r="NEZ136" s="8"/>
      <c r="NFA136" s="8"/>
      <c r="NFB136" s="8"/>
      <c r="NFC136" s="8"/>
      <c r="NFD136" s="8"/>
      <c r="NFE136" s="8"/>
      <c r="NFF136" s="8"/>
      <c r="NFG136" s="8"/>
      <c r="NFH136" s="8"/>
      <c r="NFI136" s="8"/>
      <c r="NFJ136" s="8"/>
      <c r="NFK136" s="8"/>
      <c r="NFL136" s="8"/>
      <c r="NFM136" s="8"/>
      <c r="NFN136" s="8"/>
      <c r="NFO136" s="8"/>
      <c r="NFP136" s="8"/>
      <c r="NFQ136" s="8"/>
      <c r="NFR136" s="8"/>
      <c r="NFS136" s="8"/>
      <c r="NFT136" s="8"/>
      <c r="NFU136" s="8"/>
      <c r="NFV136" s="8"/>
      <c r="NFW136" s="8"/>
      <c r="NFX136" s="8"/>
      <c r="NFY136" s="8"/>
      <c r="NFZ136" s="8"/>
      <c r="NGA136" s="8"/>
      <c r="NGB136" s="8"/>
      <c r="NGC136" s="8"/>
      <c r="NGD136" s="8"/>
      <c r="NGE136" s="8"/>
      <c r="NGF136" s="8"/>
      <c r="NGG136" s="8"/>
      <c r="NGH136" s="8"/>
      <c r="NGI136" s="8"/>
      <c r="NGJ136" s="8"/>
      <c r="NGK136" s="8"/>
      <c r="NGL136" s="8"/>
      <c r="NGM136" s="8"/>
      <c r="NGN136" s="8"/>
      <c r="NGO136" s="8"/>
      <c r="NGP136" s="8"/>
      <c r="NGQ136" s="8"/>
      <c r="NGR136" s="8"/>
      <c r="NGS136" s="8"/>
      <c r="NGT136" s="8"/>
      <c r="NGU136" s="8"/>
      <c r="NGV136" s="8"/>
      <c r="NGW136" s="8"/>
      <c r="NGX136" s="8"/>
      <c r="NGY136" s="8"/>
      <c r="NGZ136" s="8"/>
      <c r="NHA136" s="8"/>
      <c r="NHB136" s="8"/>
      <c r="NHC136" s="8"/>
      <c r="NHD136" s="8"/>
      <c r="NHE136" s="8"/>
      <c r="NHF136" s="8"/>
      <c r="NHG136" s="8"/>
      <c r="NHH136" s="8"/>
      <c r="NHI136" s="8"/>
      <c r="NHJ136" s="8"/>
      <c r="NHK136" s="8"/>
      <c r="NHL136" s="8"/>
      <c r="NHM136" s="8"/>
      <c r="NHN136" s="8"/>
      <c r="NHO136" s="8"/>
      <c r="NHP136" s="8"/>
      <c r="NHQ136" s="8"/>
      <c r="NHR136" s="8"/>
      <c r="NHS136" s="8"/>
      <c r="NHT136" s="8"/>
      <c r="NHU136" s="8"/>
      <c r="NHV136" s="8"/>
      <c r="NHW136" s="8"/>
      <c r="NHX136" s="8"/>
      <c r="NHY136" s="8"/>
      <c r="NHZ136" s="8"/>
      <c r="NIA136" s="8"/>
      <c r="NIB136" s="8"/>
      <c r="NIC136" s="8"/>
      <c r="NID136" s="8"/>
      <c r="NIE136" s="8"/>
      <c r="NIF136" s="8"/>
      <c r="NIG136" s="8"/>
      <c r="NIH136" s="8"/>
      <c r="NII136" s="8"/>
      <c r="NIJ136" s="8"/>
      <c r="NIK136" s="8"/>
      <c r="NIL136" s="8"/>
      <c r="NIM136" s="8"/>
      <c r="NIN136" s="8"/>
      <c r="NIO136" s="8"/>
      <c r="NIP136" s="8"/>
      <c r="NIQ136" s="8"/>
      <c r="NIR136" s="8"/>
      <c r="NIS136" s="8"/>
      <c r="NIT136" s="8"/>
      <c r="NIU136" s="8"/>
      <c r="NIV136" s="8"/>
      <c r="NIW136" s="8"/>
      <c r="NIX136" s="8"/>
      <c r="NIY136" s="8"/>
      <c r="NIZ136" s="8"/>
      <c r="NJA136" s="8"/>
      <c r="NJB136" s="8"/>
      <c r="NJC136" s="8"/>
      <c r="NJD136" s="8"/>
      <c r="NJE136" s="8"/>
      <c r="NJF136" s="8"/>
      <c r="NJG136" s="8"/>
      <c r="NJH136" s="8"/>
      <c r="NJI136" s="8"/>
      <c r="NJJ136" s="8"/>
      <c r="NJK136" s="8"/>
      <c r="NJL136" s="8"/>
      <c r="NJM136" s="8"/>
      <c r="NJN136" s="8"/>
      <c r="NJO136" s="8"/>
      <c r="NJP136" s="8"/>
      <c r="NJQ136" s="8"/>
      <c r="NJR136" s="8"/>
      <c r="NJS136" s="8"/>
      <c r="NJT136" s="8"/>
      <c r="NJU136" s="8"/>
      <c r="NJV136" s="8"/>
      <c r="NJW136" s="8"/>
      <c r="NJX136" s="8"/>
      <c r="NJY136" s="8"/>
      <c r="NJZ136" s="8"/>
      <c r="NKA136" s="8"/>
      <c r="NKB136" s="8"/>
      <c r="NKC136" s="8"/>
      <c r="NKD136" s="8"/>
      <c r="NKE136" s="8"/>
      <c r="NKF136" s="8"/>
      <c r="NKG136" s="8"/>
      <c r="NKH136" s="8"/>
      <c r="NKI136" s="8"/>
      <c r="NKJ136" s="8"/>
      <c r="NKK136" s="8"/>
      <c r="NKL136" s="8"/>
      <c r="NKM136" s="8"/>
      <c r="NKN136" s="8"/>
      <c r="NKO136" s="8"/>
      <c r="NKP136" s="8"/>
      <c r="NKQ136" s="8"/>
      <c r="NKR136" s="8"/>
      <c r="NKS136" s="8"/>
      <c r="NKT136" s="8"/>
      <c r="NKU136" s="8"/>
      <c r="NKV136" s="8"/>
      <c r="NKW136" s="8"/>
      <c r="NKX136" s="8"/>
      <c r="NKY136" s="8"/>
      <c r="NKZ136" s="8"/>
      <c r="NLA136" s="8"/>
      <c r="NLB136" s="8"/>
      <c r="NLC136" s="8"/>
      <c r="NLD136" s="8"/>
      <c r="NLE136" s="8"/>
      <c r="NLF136" s="8"/>
      <c r="NLG136" s="8"/>
      <c r="NLH136" s="8"/>
      <c r="NLI136" s="8"/>
      <c r="NLJ136" s="8"/>
      <c r="NLK136" s="8"/>
      <c r="NLL136" s="8"/>
      <c r="NLM136" s="8"/>
      <c r="NLN136" s="8"/>
      <c r="NLO136" s="8"/>
      <c r="NLP136" s="8"/>
      <c r="NLQ136" s="8"/>
      <c r="NLR136" s="8"/>
      <c r="NLS136" s="8"/>
      <c r="NLT136" s="8"/>
      <c r="NLU136" s="8"/>
      <c r="NLV136" s="8"/>
      <c r="NLW136" s="8"/>
      <c r="NLX136" s="8"/>
      <c r="NLY136" s="8"/>
      <c r="NLZ136" s="8"/>
      <c r="NMA136" s="8"/>
      <c r="NMB136" s="8"/>
      <c r="NMC136" s="8"/>
      <c r="NMD136" s="8"/>
      <c r="NME136" s="8"/>
      <c r="NMF136" s="8"/>
      <c r="NMG136" s="8"/>
      <c r="NMH136" s="8"/>
      <c r="NMI136" s="8"/>
      <c r="NMJ136" s="8"/>
      <c r="NMK136" s="8"/>
      <c r="NML136" s="8"/>
      <c r="NMM136" s="8"/>
      <c r="NMN136" s="8"/>
      <c r="NMO136" s="8"/>
      <c r="NMP136" s="8"/>
      <c r="NMQ136" s="8"/>
      <c r="NMR136" s="8"/>
      <c r="NMS136" s="8"/>
      <c r="NMT136" s="8"/>
      <c r="NMU136" s="8"/>
      <c r="NMV136" s="8"/>
      <c r="NMW136" s="8"/>
      <c r="NMX136" s="8"/>
      <c r="NMY136" s="8"/>
      <c r="NMZ136" s="8"/>
      <c r="NNA136" s="8"/>
      <c r="NNB136" s="8"/>
      <c r="NNC136" s="8"/>
      <c r="NND136" s="8"/>
      <c r="NNE136" s="8"/>
      <c r="NNF136" s="8"/>
      <c r="NNG136" s="8"/>
      <c r="NNH136" s="8"/>
      <c r="NNI136" s="8"/>
      <c r="NNJ136" s="8"/>
      <c r="NNK136" s="8"/>
      <c r="NNL136" s="8"/>
      <c r="NNM136" s="8"/>
      <c r="NNN136" s="8"/>
      <c r="NNO136" s="8"/>
      <c r="NNP136" s="8"/>
      <c r="NNQ136" s="8"/>
      <c r="NNR136" s="8"/>
      <c r="NNS136" s="8"/>
      <c r="NNT136" s="8"/>
      <c r="NNU136" s="8"/>
      <c r="NNV136" s="8"/>
      <c r="NNW136" s="8"/>
      <c r="NNX136" s="8"/>
      <c r="NNY136" s="8"/>
      <c r="NNZ136" s="8"/>
      <c r="NOA136" s="8"/>
      <c r="NOB136" s="8"/>
      <c r="NOC136" s="8"/>
      <c r="NOD136" s="8"/>
      <c r="NOE136" s="8"/>
      <c r="NOF136" s="8"/>
      <c r="NOG136" s="8"/>
      <c r="NOH136" s="8"/>
      <c r="NOI136" s="8"/>
      <c r="NOJ136" s="8"/>
      <c r="NOK136" s="8"/>
      <c r="NOL136" s="8"/>
      <c r="NOM136" s="8"/>
      <c r="NON136" s="8"/>
      <c r="NOO136" s="8"/>
      <c r="NOP136" s="8"/>
      <c r="NOQ136" s="8"/>
      <c r="NOR136" s="8"/>
      <c r="NOS136" s="8"/>
      <c r="NOT136" s="8"/>
      <c r="NOU136" s="8"/>
      <c r="NOV136" s="8"/>
      <c r="NOW136" s="8"/>
      <c r="NOX136" s="8"/>
      <c r="NOY136" s="8"/>
      <c r="NOZ136" s="8"/>
      <c r="NPA136" s="8"/>
      <c r="NPB136" s="8"/>
      <c r="NPC136" s="8"/>
      <c r="NPD136" s="8"/>
      <c r="NPE136" s="8"/>
      <c r="NPF136" s="8"/>
      <c r="NPG136" s="8"/>
      <c r="NPH136" s="8"/>
      <c r="NPI136" s="8"/>
      <c r="NPJ136" s="8"/>
      <c r="NPK136" s="8"/>
      <c r="NPL136" s="8"/>
      <c r="NPM136" s="8"/>
      <c r="NPN136" s="8"/>
      <c r="NPO136" s="8"/>
      <c r="NPP136" s="8"/>
      <c r="NPQ136" s="8"/>
      <c r="NPR136" s="8"/>
      <c r="NPS136" s="8"/>
      <c r="NPT136" s="8"/>
      <c r="NPU136" s="8"/>
      <c r="NPV136" s="8"/>
      <c r="NPW136" s="8"/>
      <c r="NPX136" s="8"/>
      <c r="NPY136" s="8"/>
      <c r="NPZ136" s="8"/>
      <c r="NQA136" s="8"/>
      <c r="NQB136" s="8"/>
      <c r="NQC136" s="8"/>
      <c r="NQD136" s="8"/>
      <c r="NQE136" s="8"/>
      <c r="NQF136" s="8"/>
      <c r="NQG136" s="8"/>
      <c r="NQH136" s="8"/>
      <c r="NQI136" s="8"/>
      <c r="NQJ136" s="8"/>
      <c r="NQK136" s="8"/>
      <c r="NQL136" s="8"/>
      <c r="NQM136" s="8"/>
      <c r="NQN136" s="8"/>
      <c r="NQO136" s="8"/>
      <c r="NQP136" s="8"/>
      <c r="NQQ136" s="8"/>
      <c r="NQR136" s="8"/>
      <c r="NQS136" s="8"/>
      <c r="NQT136" s="8"/>
      <c r="NQU136" s="8"/>
      <c r="NQV136" s="8"/>
      <c r="NQW136" s="8"/>
      <c r="NQX136" s="8"/>
      <c r="NQY136" s="8"/>
      <c r="NQZ136" s="8"/>
      <c r="NRA136" s="8"/>
      <c r="NRB136" s="8"/>
      <c r="NRC136" s="8"/>
      <c r="NRD136" s="8"/>
      <c r="NRE136" s="8"/>
      <c r="NRF136" s="8"/>
      <c r="NRG136" s="8"/>
      <c r="NRH136" s="8"/>
      <c r="NRI136" s="8"/>
      <c r="NRJ136" s="8"/>
      <c r="NRK136" s="8"/>
      <c r="NRL136" s="8"/>
      <c r="NRM136" s="8"/>
      <c r="NRN136" s="8"/>
      <c r="NRO136" s="8"/>
      <c r="NRP136" s="8"/>
      <c r="NRQ136" s="8"/>
      <c r="NRR136" s="8"/>
      <c r="NRS136" s="8"/>
      <c r="NRT136" s="8"/>
      <c r="NRU136" s="8"/>
      <c r="NRV136" s="8"/>
      <c r="NRW136" s="8"/>
      <c r="NRX136" s="8"/>
      <c r="NRY136" s="8"/>
      <c r="NRZ136" s="8"/>
      <c r="NSA136" s="8"/>
      <c r="NSB136" s="8"/>
      <c r="NSC136" s="8"/>
      <c r="NSD136" s="8"/>
      <c r="NSE136" s="8"/>
      <c r="NSF136" s="8"/>
      <c r="NSG136" s="8"/>
      <c r="NSH136" s="8"/>
      <c r="NSI136" s="8"/>
      <c r="NSJ136" s="8"/>
      <c r="NSK136" s="8"/>
      <c r="NSL136" s="8"/>
      <c r="NSM136" s="8"/>
      <c r="NSN136" s="8"/>
      <c r="NSO136" s="8"/>
      <c r="NSP136" s="8"/>
      <c r="NSQ136" s="8"/>
      <c r="NSR136" s="8"/>
      <c r="NSS136" s="8"/>
      <c r="NST136" s="8"/>
      <c r="NSU136" s="8"/>
      <c r="NSV136" s="8"/>
      <c r="NSW136" s="8"/>
      <c r="NSX136" s="8"/>
      <c r="NSY136" s="8"/>
      <c r="NSZ136" s="8"/>
      <c r="NTA136" s="8"/>
      <c r="NTB136" s="8"/>
      <c r="NTC136" s="8"/>
      <c r="NTD136" s="8"/>
      <c r="NTE136" s="8"/>
      <c r="NTF136" s="8"/>
      <c r="NTG136" s="8"/>
      <c r="NTH136" s="8"/>
      <c r="NTI136" s="8"/>
      <c r="NTJ136" s="8"/>
      <c r="NTK136" s="8"/>
      <c r="NTL136" s="8"/>
      <c r="NTM136" s="8"/>
      <c r="NTN136" s="8"/>
      <c r="NTO136" s="8"/>
      <c r="NTP136" s="8"/>
      <c r="NTQ136" s="8"/>
      <c r="NTR136" s="8"/>
      <c r="NTS136" s="8"/>
      <c r="NTT136" s="8"/>
      <c r="NTU136" s="8"/>
      <c r="NTV136" s="8"/>
      <c r="NTW136" s="8"/>
      <c r="NTX136" s="8"/>
      <c r="NTY136" s="8"/>
      <c r="NTZ136" s="8"/>
      <c r="NUA136" s="8"/>
      <c r="NUB136" s="8"/>
      <c r="NUC136" s="8"/>
      <c r="NUD136" s="8"/>
      <c r="NUE136" s="8"/>
      <c r="NUF136" s="8"/>
      <c r="NUG136" s="8"/>
      <c r="NUH136" s="8"/>
      <c r="NUI136" s="8"/>
      <c r="NUJ136" s="8"/>
      <c r="NUK136" s="8"/>
      <c r="NUL136" s="8"/>
      <c r="NUM136" s="8"/>
      <c r="NUN136" s="8"/>
      <c r="NUO136" s="8"/>
      <c r="NUP136" s="8"/>
      <c r="NUQ136" s="8"/>
      <c r="NUR136" s="8"/>
      <c r="NUS136" s="8"/>
      <c r="NUT136" s="8"/>
      <c r="NUU136" s="8"/>
      <c r="NUV136" s="8"/>
      <c r="NUW136" s="8"/>
      <c r="NUX136" s="8"/>
      <c r="NUY136" s="8"/>
      <c r="NUZ136" s="8"/>
      <c r="NVA136" s="8"/>
      <c r="NVB136" s="8"/>
      <c r="NVC136" s="8"/>
      <c r="NVD136" s="8"/>
      <c r="NVE136" s="8"/>
      <c r="NVF136" s="8"/>
      <c r="NVG136" s="8"/>
      <c r="NVH136" s="8"/>
      <c r="NVI136" s="8"/>
      <c r="NVJ136" s="8"/>
      <c r="NVK136" s="8"/>
      <c r="NVL136" s="8"/>
      <c r="NVM136" s="8"/>
      <c r="NVN136" s="8"/>
      <c r="NVO136" s="8"/>
      <c r="NVP136" s="8"/>
      <c r="NVQ136" s="8"/>
      <c r="NVR136" s="8"/>
      <c r="NVS136" s="8"/>
      <c r="NVT136" s="8"/>
      <c r="NVU136" s="8"/>
      <c r="NVV136" s="8"/>
      <c r="NVW136" s="8"/>
      <c r="NVX136" s="8"/>
      <c r="NVY136" s="8"/>
      <c r="NVZ136" s="8"/>
      <c r="NWA136" s="8"/>
      <c r="NWB136" s="8"/>
      <c r="NWC136" s="8"/>
      <c r="NWD136" s="8"/>
      <c r="NWE136" s="8"/>
      <c r="NWF136" s="8"/>
      <c r="NWG136" s="8"/>
      <c r="NWH136" s="8"/>
      <c r="NWI136" s="8"/>
      <c r="NWJ136" s="8"/>
      <c r="NWK136" s="8"/>
      <c r="NWL136" s="8"/>
      <c r="NWM136" s="8"/>
      <c r="NWN136" s="8"/>
      <c r="NWO136" s="8"/>
      <c r="NWP136" s="8"/>
      <c r="NWQ136" s="8"/>
      <c r="NWR136" s="8"/>
      <c r="NWS136" s="8"/>
      <c r="NWT136" s="8"/>
      <c r="NWU136" s="8"/>
      <c r="NWV136" s="8"/>
      <c r="NWW136" s="8"/>
      <c r="NWX136" s="8"/>
      <c r="NWY136" s="8"/>
      <c r="NWZ136" s="8"/>
      <c r="NXA136" s="8"/>
      <c r="NXB136" s="8"/>
      <c r="NXC136" s="8"/>
      <c r="NXD136" s="8"/>
      <c r="NXE136" s="8"/>
      <c r="NXF136" s="8"/>
      <c r="NXG136" s="8"/>
      <c r="NXH136" s="8"/>
      <c r="NXI136" s="8"/>
      <c r="NXJ136" s="8"/>
      <c r="NXK136" s="8"/>
      <c r="NXL136" s="8"/>
      <c r="NXM136" s="8"/>
      <c r="NXN136" s="8"/>
      <c r="NXO136" s="8"/>
      <c r="NXP136" s="8"/>
      <c r="NXQ136" s="8"/>
      <c r="NXR136" s="8"/>
      <c r="NXS136" s="8"/>
      <c r="NXT136" s="8"/>
      <c r="NXU136" s="8"/>
      <c r="NXV136" s="8"/>
      <c r="NXW136" s="8"/>
      <c r="NXX136" s="8"/>
      <c r="NXY136" s="8"/>
      <c r="NXZ136" s="8"/>
      <c r="NYA136" s="8"/>
      <c r="NYB136" s="8"/>
      <c r="NYC136" s="8"/>
      <c r="NYD136" s="8"/>
      <c r="NYE136" s="8"/>
      <c r="NYF136" s="8"/>
      <c r="NYG136" s="8"/>
      <c r="NYH136" s="8"/>
      <c r="NYI136" s="8"/>
      <c r="NYJ136" s="8"/>
      <c r="NYK136" s="8"/>
      <c r="NYL136" s="8"/>
      <c r="NYM136" s="8"/>
      <c r="NYN136" s="8"/>
      <c r="NYO136" s="8"/>
      <c r="NYP136" s="8"/>
      <c r="NYQ136" s="8"/>
      <c r="NYR136" s="8"/>
      <c r="NYS136" s="8"/>
      <c r="NYT136" s="8"/>
      <c r="NYU136" s="8"/>
      <c r="NYV136" s="8"/>
      <c r="NYW136" s="8"/>
      <c r="NYX136" s="8"/>
      <c r="NYY136" s="8"/>
      <c r="NYZ136" s="8"/>
      <c r="NZA136" s="8"/>
      <c r="NZB136" s="8"/>
      <c r="NZC136" s="8"/>
      <c r="NZD136" s="8"/>
      <c r="NZE136" s="8"/>
      <c r="NZF136" s="8"/>
      <c r="NZG136" s="8"/>
      <c r="NZH136" s="8"/>
      <c r="NZI136" s="8"/>
      <c r="NZJ136" s="8"/>
      <c r="NZK136" s="8"/>
      <c r="NZL136" s="8"/>
      <c r="NZM136" s="8"/>
      <c r="NZN136" s="8"/>
      <c r="NZO136" s="8"/>
      <c r="NZP136" s="8"/>
      <c r="NZQ136" s="8"/>
      <c r="NZR136" s="8"/>
      <c r="NZS136" s="8"/>
      <c r="NZT136" s="8"/>
      <c r="NZU136" s="8"/>
      <c r="NZV136" s="8"/>
      <c r="NZW136" s="8"/>
      <c r="NZX136" s="8"/>
      <c r="NZY136" s="8"/>
      <c r="NZZ136" s="8"/>
      <c r="OAA136" s="8"/>
      <c r="OAB136" s="8"/>
      <c r="OAC136" s="8"/>
      <c r="OAD136" s="8"/>
      <c r="OAE136" s="8"/>
      <c r="OAF136" s="8"/>
      <c r="OAG136" s="8"/>
      <c r="OAH136" s="8"/>
      <c r="OAI136" s="8"/>
      <c r="OAJ136" s="8"/>
      <c r="OAK136" s="8"/>
      <c r="OAL136" s="8"/>
      <c r="OAM136" s="8"/>
      <c r="OAN136" s="8"/>
      <c r="OAO136" s="8"/>
      <c r="OAP136" s="8"/>
      <c r="OAQ136" s="8"/>
      <c r="OAR136" s="8"/>
      <c r="OAS136" s="8"/>
      <c r="OAT136" s="8"/>
      <c r="OAU136" s="8"/>
      <c r="OAV136" s="8"/>
      <c r="OAW136" s="8"/>
      <c r="OAX136" s="8"/>
      <c r="OAY136" s="8"/>
      <c r="OAZ136" s="8"/>
      <c r="OBA136" s="8"/>
      <c r="OBB136" s="8"/>
      <c r="OBC136" s="8"/>
      <c r="OBD136" s="8"/>
      <c r="OBE136" s="8"/>
      <c r="OBF136" s="8"/>
      <c r="OBG136" s="8"/>
      <c r="OBH136" s="8"/>
      <c r="OBI136" s="8"/>
      <c r="OBJ136" s="8"/>
      <c r="OBK136" s="8"/>
      <c r="OBL136" s="8"/>
      <c r="OBM136" s="8"/>
      <c r="OBN136" s="8"/>
      <c r="OBO136" s="8"/>
      <c r="OBP136" s="8"/>
      <c r="OBQ136" s="8"/>
      <c r="OBR136" s="8"/>
      <c r="OBS136" s="8"/>
      <c r="OBT136" s="8"/>
      <c r="OBU136" s="8"/>
      <c r="OBV136" s="8"/>
      <c r="OBW136" s="8"/>
      <c r="OBX136" s="8"/>
      <c r="OBY136" s="8"/>
      <c r="OBZ136" s="8"/>
      <c r="OCA136" s="8"/>
      <c r="OCB136" s="8"/>
      <c r="OCC136" s="8"/>
      <c r="OCD136" s="8"/>
      <c r="OCE136" s="8"/>
      <c r="OCF136" s="8"/>
      <c r="OCG136" s="8"/>
      <c r="OCH136" s="8"/>
      <c r="OCI136" s="8"/>
      <c r="OCJ136" s="8"/>
      <c r="OCK136" s="8"/>
      <c r="OCL136" s="8"/>
      <c r="OCM136" s="8"/>
      <c r="OCN136" s="8"/>
      <c r="OCO136" s="8"/>
      <c r="OCP136" s="8"/>
      <c r="OCQ136" s="8"/>
      <c r="OCR136" s="8"/>
      <c r="OCS136" s="8"/>
      <c r="OCT136" s="8"/>
      <c r="OCU136" s="8"/>
      <c r="OCV136" s="8"/>
      <c r="OCW136" s="8"/>
      <c r="OCX136" s="8"/>
      <c r="OCY136" s="8"/>
      <c r="OCZ136" s="8"/>
      <c r="ODA136" s="8"/>
      <c r="ODB136" s="8"/>
      <c r="ODC136" s="8"/>
      <c r="ODD136" s="8"/>
      <c r="ODE136" s="8"/>
      <c r="ODF136" s="8"/>
      <c r="ODG136" s="8"/>
      <c r="ODH136" s="8"/>
      <c r="ODI136" s="8"/>
      <c r="ODJ136" s="8"/>
      <c r="ODK136" s="8"/>
      <c r="ODL136" s="8"/>
      <c r="ODM136" s="8"/>
      <c r="ODN136" s="8"/>
      <c r="ODO136" s="8"/>
      <c r="ODP136" s="8"/>
      <c r="ODQ136" s="8"/>
      <c r="ODR136" s="8"/>
      <c r="ODS136" s="8"/>
      <c r="ODT136" s="8"/>
      <c r="ODU136" s="8"/>
      <c r="ODV136" s="8"/>
      <c r="ODW136" s="8"/>
      <c r="ODX136" s="8"/>
      <c r="ODY136" s="8"/>
      <c r="ODZ136" s="8"/>
      <c r="OEA136" s="8"/>
      <c r="OEB136" s="8"/>
      <c r="OEC136" s="8"/>
      <c r="OED136" s="8"/>
      <c r="OEE136" s="8"/>
      <c r="OEF136" s="8"/>
      <c r="OEG136" s="8"/>
      <c r="OEH136" s="8"/>
      <c r="OEI136" s="8"/>
      <c r="OEJ136" s="8"/>
      <c r="OEK136" s="8"/>
      <c r="OEL136" s="8"/>
      <c r="OEM136" s="8"/>
      <c r="OEN136" s="8"/>
      <c r="OEO136" s="8"/>
      <c r="OEP136" s="8"/>
      <c r="OEQ136" s="8"/>
      <c r="OER136" s="8"/>
      <c r="OES136" s="8"/>
      <c r="OET136" s="8"/>
      <c r="OEU136" s="8"/>
      <c r="OEV136" s="8"/>
      <c r="OEW136" s="8"/>
      <c r="OEX136" s="8"/>
      <c r="OEY136" s="8"/>
      <c r="OEZ136" s="8"/>
      <c r="OFA136" s="8"/>
      <c r="OFB136" s="8"/>
      <c r="OFC136" s="8"/>
      <c r="OFD136" s="8"/>
      <c r="OFE136" s="8"/>
      <c r="OFF136" s="8"/>
      <c r="OFG136" s="8"/>
      <c r="OFH136" s="8"/>
      <c r="OFI136" s="8"/>
      <c r="OFJ136" s="8"/>
      <c r="OFK136" s="8"/>
      <c r="OFL136" s="8"/>
      <c r="OFM136" s="8"/>
      <c r="OFN136" s="8"/>
      <c r="OFO136" s="8"/>
      <c r="OFP136" s="8"/>
      <c r="OFQ136" s="8"/>
      <c r="OFR136" s="8"/>
      <c r="OFS136" s="8"/>
      <c r="OFT136" s="8"/>
      <c r="OFU136" s="8"/>
      <c r="OFV136" s="8"/>
      <c r="OFW136" s="8"/>
      <c r="OFX136" s="8"/>
      <c r="OFY136" s="8"/>
      <c r="OFZ136" s="8"/>
      <c r="OGA136" s="8"/>
      <c r="OGB136" s="8"/>
      <c r="OGC136" s="8"/>
      <c r="OGD136" s="8"/>
      <c r="OGE136" s="8"/>
      <c r="OGF136" s="8"/>
      <c r="OGG136" s="8"/>
      <c r="OGH136" s="8"/>
      <c r="OGI136" s="8"/>
      <c r="OGJ136" s="8"/>
      <c r="OGK136" s="8"/>
      <c r="OGL136" s="8"/>
      <c r="OGM136" s="8"/>
      <c r="OGN136" s="8"/>
      <c r="OGO136" s="8"/>
      <c r="OGP136" s="8"/>
      <c r="OGQ136" s="8"/>
      <c r="OGR136" s="8"/>
      <c r="OGS136" s="8"/>
      <c r="OGT136" s="8"/>
      <c r="OGU136" s="8"/>
      <c r="OGV136" s="8"/>
      <c r="OGW136" s="8"/>
      <c r="OGX136" s="8"/>
      <c r="OGY136" s="8"/>
      <c r="OGZ136" s="8"/>
      <c r="OHA136" s="8"/>
      <c r="OHB136" s="8"/>
      <c r="OHC136" s="8"/>
      <c r="OHD136" s="8"/>
      <c r="OHE136" s="8"/>
      <c r="OHF136" s="8"/>
      <c r="OHG136" s="8"/>
      <c r="OHH136" s="8"/>
      <c r="OHI136" s="8"/>
      <c r="OHJ136" s="8"/>
      <c r="OHK136" s="8"/>
      <c r="OHL136" s="8"/>
      <c r="OHM136" s="8"/>
      <c r="OHN136" s="8"/>
      <c r="OHO136" s="8"/>
      <c r="OHP136" s="8"/>
      <c r="OHQ136" s="8"/>
      <c r="OHR136" s="8"/>
      <c r="OHS136" s="8"/>
      <c r="OHT136" s="8"/>
      <c r="OHU136" s="8"/>
      <c r="OHV136" s="8"/>
      <c r="OHW136" s="8"/>
      <c r="OHX136" s="8"/>
      <c r="OHY136" s="8"/>
      <c r="OHZ136" s="8"/>
      <c r="OIA136" s="8"/>
      <c r="OIB136" s="8"/>
      <c r="OIC136" s="8"/>
      <c r="OID136" s="8"/>
      <c r="OIE136" s="8"/>
      <c r="OIF136" s="8"/>
      <c r="OIG136" s="8"/>
      <c r="OIH136" s="8"/>
      <c r="OII136" s="8"/>
      <c r="OIJ136" s="8"/>
      <c r="OIK136" s="8"/>
      <c r="OIL136" s="8"/>
      <c r="OIM136" s="8"/>
      <c r="OIN136" s="8"/>
      <c r="OIO136" s="8"/>
      <c r="OIP136" s="8"/>
      <c r="OIQ136" s="8"/>
      <c r="OIR136" s="8"/>
      <c r="OIS136" s="8"/>
      <c r="OIT136" s="8"/>
      <c r="OIU136" s="8"/>
      <c r="OIV136" s="8"/>
      <c r="OIW136" s="8"/>
      <c r="OIX136" s="8"/>
      <c r="OIY136" s="8"/>
      <c r="OIZ136" s="8"/>
      <c r="OJA136" s="8"/>
      <c r="OJB136" s="8"/>
      <c r="OJC136" s="8"/>
      <c r="OJD136" s="8"/>
      <c r="OJE136" s="8"/>
      <c r="OJF136" s="8"/>
      <c r="OJG136" s="8"/>
      <c r="OJH136" s="8"/>
      <c r="OJI136" s="8"/>
      <c r="OJJ136" s="8"/>
      <c r="OJK136" s="8"/>
      <c r="OJL136" s="8"/>
      <c r="OJM136" s="8"/>
      <c r="OJN136" s="8"/>
      <c r="OJO136" s="8"/>
      <c r="OJP136" s="8"/>
      <c r="OJQ136" s="8"/>
      <c r="OJR136" s="8"/>
      <c r="OJS136" s="8"/>
      <c r="OJT136" s="8"/>
      <c r="OJU136" s="8"/>
      <c r="OJV136" s="8"/>
      <c r="OJW136" s="8"/>
      <c r="OJX136" s="8"/>
      <c r="OJY136" s="8"/>
      <c r="OJZ136" s="8"/>
      <c r="OKA136" s="8"/>
      <c r="OKB136" s="8"/>
      <c r="OKC136" s="8"/>
      <c r="OKD136" s="8"/>
      <c r="OKE136" s="8"/>
      <c r="OKF136" s="8"/>
      <c r="OKG136" s="8"/>
      <c r="OKH136" s="8"/>
      <c r="OKI136" s="8"/>
      <c r="OKJ136" s="8"/>
      <c r="OKK136" s="8"/>
      <c r="OKL136" s="8"/>
      <c r="OKM136" s="8"/>
      <c r="OKN136" s="8"/>
      <c r="OKO136" s="8"/>
      <c r="OKP136" s="8"/>
      <c r="OKQ136" s="8"/>
      <c r="OKR136" s="8"/>
      <c r="OKS136" s="8"/>
      <c r="OKT136" s="8"/>
      <c r="OKU136" s="8"/>
      <c r="OKV136" s="8"/>
      <c r="OKW136" s="8"/>
      <c r="OKX136" s="8"/>
      <c r="OKY136" s="8"/>
      <c r="OKZ136" s="8"/>
      <c r="OLA136" s="8"/>
      <c r="OLB136" s="8"/>
      <c r="OLC136" s="8"/>
      <c r="OLD136" s="8"/>
      <c r="OLE136" s="8"/>
      <c r="OLF136" s="8"/>
      <c r="OLG136" s="8"/>
      <c r="OLH136" s="8"/>
      <c r="OLI136" s="8"/>
      <c r="OLJ136" s="8"/>
      <c r="OLK136" s="8"/>
      <c r="OLL136" s="8"/>
      <c r="OLM136" s="8"/>
      <c r="OLN136" s="8"/>
      <c r="OLO136" s="8"/>
      <c r="OLP136" s="8"/>
      <c r="OLQ136" s="8"/>
      <c r="OLR136" s="8"/>
      <c r="OLS136" s="8"/>
      <c r="OLT136" s="8"/>
      <c r="OLU136" s="8"/>
      <c r="OLV136" s="8"/>
      <c r="OLW136" s="8"/>
      <c r="OLX136" s="8"/>
      <c r="OLY136" s="8"/>
      <c r="OLZ136" s="8"/>
      <c r="OMA136" s="8"/>
      <c r="OMB136" s="8"/>
      <c r="OMC136" s="8"/>
      <c r="OMD136" s="8"/>
      <c r="OME136" s="8"/>
      <c r="OMF136" s="8"/>
      <c r="OMG136" s="8"/>
      <c r="OMH136" s="8"/>
      <c r="OMI136" s="8"/>
      <c r="OMJ136" s="8"/>
      <c r="OMK136" s="8"/>
      <c r="OML136" s="8"/>
      <c r="OMM136" s="8"/>
      <c r="OMN136" s="8"/>
      <c r="OMO136" s="8"/>
      <c r="OMP136" s="8"/>
      <c r="OMQ136" s="8"/>
      <c r="OMR136" s="8"/>
      <c r="OMS136" s="8"/>
      <c r="OMT136" s="8"/>
      <c r="OMU136" s="8"/>
      <c r="OMV136" s="8"/>
      <c r="OMW136" s="8"/>
      <c r="OMX136" s="8"/>
      <c r="OMY136" s="8"/>
      <c r="OMZ136" s="8"/>
      <c r="ONA136" s="8"/>
      <c r="ONB136" s="8"/>
      <c r="ONC136" s="8"/>
      <c r="OND136" s="8"/>
      <c r="ONE136" s="8"/>
      <c r="ONF136" s="8"/>
      <c r="ONG136" s="8"/>
      <c r="ONH136" s="8"/>
      <c r="ONI136" s="8"/>
      <c r="ONJ136" s="8"/>
      <c r="ONK136" s="8"/>
      <c r="ONL136" s="8"/>
      <c r="ONM136" s="8"/>
      <c r="ONN136" s="8"/>
      <c r="ONO136" s="8"/>
      <c r="ONP136" s="8"/>
      <c r="ONQ136" s="8"/>
      <c r="ONR136" s="8"/>
      <c r="ONS136" s="8"/>
      <c r="ONT136" s="8"/>
      <c r="ONU136" s="8"/>
      <c r="ONV136" s="8"/>
      <c r="ONW136" s="8"/>
      <c r="ONX136" s="8"/>
      <c r="ONY136" s="8"/>
      <c r="ONZ136" s="8"/>
      <c r="OOA136" s="8"/>
      <c r="OOB136" s="8"/>
      <c r="OOC136" s="8"/>
      <c r="OOD136" s="8"/>
      <c r="OOE136" s="8"/>
      <c r="OOF136" s="8"/>
      <c r="OOG136" s="8"/>
      <c r="OOH136" s="8"/>
      <c r="OOI136" s="8"/>
      <c r="OOJ136" s="8"/>
      <c r="OOK136" s="8"/>
      <c r="OOL136" s="8"/>
      <c r="OOM136" s="8"/>
      <c r="OON136" s="8"/>
      <c r="OOO136" s="8"/>
      <c r="OOP136" s="8"/>
      <c r="OOQ136" s="8"/>
      <c r="OOR136" s="8"/>
      <c r="OOS136" s="8"/>
      <c r="OOT136" s="8"/>
      <c r="OOU136" s="8"/>
      <c r="OOV136" s="8"/>
      <c r="OOW136" s="8"/>
      <c r="OOX136" s="8"/>
      <c r="OOY136" s="8"/>
      <c r="OOZ136" s="8"/>
      <c r="OPA136" s="8"/>
      <c r="OPB136" s="8"/>
      <c r="OPC136" s="8"/>
      <c r="OPD136" s="8"/>
      <c r="OPE136" s="8"/>
      <c r="OPF136" s="8"/>
      <c r="OPG136" s="8"/>
      <c r="OPH136" s="8"/>
      <c r="OPI136" s="8"/>
      <c r="OPJ136" s="8"/>
      <c r="OPK136" s="8"/>
      <c r="OPL136" s="8"/>
      <c r="OPM136" s="8"/>
      <c r="OPN136" s="8"/>
      <c r="OPO136" s="8"/>
      <c r="OPP136" s="8"/>
      <c r="OPQ136" s="8"/>
      <c r="OPR136" s="8"/>
      <c r="OPS136" s="8"/>
      <c r="OPT136" s="8"/>
      <c r="OPU136" s="8"/>
      <c r="OPV136" s="8"/>
      <c r="OPW136" s="8"/>
      <c r="OPX136" s="8"/>
      <c r="OPY136" s="8"/>
      <c r="OPZ136" s="8"/>
      <c r="OQA136" s="8"/>
      <c r="OQB136" s="8"/>
      <c r="OQC136" s="8"/>
      <c r="OQD136" s="8"/>
      <c r="OQE136" s="8"/>
      <c r="OQF136" s="8"/>
      <c r="OQG136" s="8"/>
      <c r="OQH136" s="8"/>
      <c r="OQI136" s="8"/>
      <c r="OQJ136" s="8"/>
      <c r="OQK136" s="8"/>
      <c r="OQL136" s="8"/>
      <c r="OQM136" s="8"/>
      <c r="OQN136" s="8"/>
      <c r="OQO136" s="8"/>
      <c r="OQP136" s="8"/>
      <c r="OQQ136" s="8"/>
      <c r="OQR136" s="8"/>
      <c r="OQS136" s="8"/>
      <c r="OQT136" s="8"/>
      <c r="OQU136" s="8"/>
      <c r="OQV136" s="8"/>
      <c r="OQW136" s="8"/>
      <c r="OQX136" s="8"/>
      <c r="OQY136" s="8"/>
      <c r="OQZ136" s="8"/>
      <c r="ORA136" s="8"/>
      <c r="ORB136" s="8"/>
      <c r="ORC136" s="8"/>
      <c r="ORD136" s="8"/>
      <c r="ORE136" s="8"/>
      <c r="ORF136" s="8"/>
      <c r="ORG136" s="8"/>
      <c r="ORH136" s="8"/>
      <c r="ORI136" s="8"/>
      <c r="ORJ136" s="8"/>
      <c r="ORK136" s="8"/>
      <c r="ORL136" s="8"/>
      <c r="ORM136" s="8"/>
      <c r="ORN136" s="8"/>
      <c r="ORO136" s="8"/>
      <c r="ORP136" s="8"/>
      <c r="ORQ136" s="8"/>
      <c r="ORR136" s="8"/>
      <c r="ORS136" s="8"/>
      <c r="ORT136" s="8"/>
      <c r="ORU136" s="8"/>
      <c r="ORV136" s="8"/>
      <c r="ORW136" s="8"/>
      <c r="ORX136" s="8"/>
      <c r="ORY136" s="8"/>
      <c r="ORZ136" s="8"/>
      <c r="OSA136" s="8"/>
      <c r="OSB136" s="8"/>
      <c r="OSC136" s="8"/>
      <c r="OSD136" s="8"/>
      <c r="OSE136" s="8"/>
      <c r="OSF136" s="8"/>
      <c r="OSG136" s="8"/>
      <c r="OSH136" s="8"/>
      <c r="OSI136" s="8"/>
      <c r="OSJ136" s="8"/>
      <c r="OSK136" s="8"/>
      <c r="OSL136" s="8"/>
      <c r="OSM136" s="8"/>
      <c r="OSN136" s="8"/>
      <c r="OSO136" s="8"/>
      <c r="OSP136" s="8"/>
      <c r="OSQ136" s="8"/>
      <c r="OSR136" s="8"/>
      <c r="OSS136" s="8"/>
      <c r="OST136" s="8"/>
      <c r="OSU136" s="8"/>
      <c r="OSV136" s="8"/>
      <c r="OSW136" s="8"/>
      <c r="OSX136" s="8"/>
      <c r="OSY136" s="8"/>
      <c r="OSZ136" s="8"/>
      <c r="OTA136" s="8"/>
      <c r="OTB136" s="8"/>
      <c r="OTC136" s="8"/>
      <c r="OTD136" s="8"/>
      <c r="OTE136" s="8"/>
      <c r="OTF136" s="8"/>
      <c r="OTG136" s="8"/>
      <c r="OTH136" s="8"/>
      <c r="OTI136" s="8"/>
      <c r="OTJ136" s="8"/>
      <c r="OTK136" s="8"/>
      <c r="OTL136" s="8"/>
      <c r="OTM136" s="8"/>
      <c r="OTN136" s="8"/>
      <c r="OTO136" s="8"/>
      <c r="OTP136" s="8"/>
      <c r="OTQ136" s="8"/>
      <c r="OTR136" s="8"/>
      <c r="OTS136" s="8"/>
      <c r="OTT136" s="8"/>
      <c r="OTU136" s="8"/>
      <c r="OTV136" s="8"/>
      <c r="OTW136" s="8"/>
      <c r="OTX136" s="8"/>
      <c r="OTY136" s="8"/>
      <c r="OTZ136" s="8"/>
      <c r="OUA136" s="8"/>
      <c r="OUB136" s="8"/>
      <c r="OUC136" s="8"/>
      <c r="OUD136" s="8"/>
      <c r="OUE136" s="8"/>
      <c r="OUF136" s="8"/>
      <c r="OUG136" s="8"/>
      <c r="OUH136" s="8"/>
      <c r="OUI136" s="8"/>
      <c r="OUJ136" s="8"/>
      <c r="OUK136" s="8"/>
      <c r="OUL136" s="8"/>
      <c r="OUM136" s="8"/>
      <c r="OUN136" s="8"/>
      <c r="OUO136" s="8"/>
      <c r="OUP136" s="8"/>
      <c r="OUQ136" s="8"/>
      <c r="OUR136" s="8"/>
      <c r="OUS136" s="8"/>
      <c r="OUT136" s="8"/>
      <c r="OUU136" s="8"/>
      <c r="OUV136" s="8"/>
      <c r="OUW136" s="8"/>
      <c r="OUX136" s="8"/>
      <c r="OUY136" s="8"/>
      <c r="OUZ136" s="8"/>
      <c r="OVA136" s="8"/>
      <c r="OVB136" s="8"/>
      <c r="OVC136" s="8"/>
      <c r="OVD136" s="8"/>
      <c r="OVE136" s="8"/>
      <c r="OVF136" s="8"/>
      <c r="OVG136" s="8"/>
      <c r="OVH136" s="8"/>
      <c r="OVI136" s="8"/>
      <c r="OVJ136" s="8"/>
      <c r="OVK136" s="8"/>
      <c r="OVL136" s="8"/>
      <c r="OVM136" s="8"/>
      <c r="OVN136" s="8"/>
      <c r="OVO136" s="8"/>
      <c r="OVP136" s="8"/>
      <c r="OVQ136" s="8"/>
      <c r="OVR136" s="8"/>
      <c r="OVS136" s="8"/>
      <c r="OVT136" s="8"/>
      <c r="OVU136" s="8"/>
      <c r="OVV136" s="8"/>
      <c r="OVW136" s="8"/>
      <c r="OVX136" s="8"/>
      <c r="OVY136" s="8"/>
      <c r="OVZ136" s="8"/>
      <c r="OWA136" s="8"/>
      <c r="OWB136" s="8"/>
      <c r="OWC136" s="8"/>
      <c r="OWD136" s="8"/>
      <c r="OWE136" s="8"/>
      <c r="OWF136" s="8"/>
      <c r="OWG136" s="8"/>
      <c r="OWH136" s="8"/>
      <c r="OWI136" s="8"/>
      <c r="OWJ136" s="8"/>
      <c r="OWK136" s="8"/>
      <c r="OWL136" s="8"/>
      <c r="OWM136" s="8"/>
      <c r="OWN136" s="8"/>
      <c r="OWO136" s="8"/>
      <c r="OWP136" s="8"/>
      <c r="OWQ136" s="8"/>
      <c r="OWR136" s="8"/>
      <c r="OWS136" s="8"/>
      <c r="OWT136" s="8"/>
      <c r="OWU136" s="8"/>
      <c r="OWV136" s="8"/>
      <c r="OWW136" s="8"/>
      <c r="OWX136" s="8"/>
      <c r="OWY136" s="8"/>
      <c r="OWZ136" s="8"/>
      <c r="OXA136" s="8"/>
      <c r="OXB136" s="8"/>
      <c r="OXC136" s="8"/>
      <c r="OXD136" s="8"/>
      <c r="OXE136" s="8"/>
      <c r="OXF136" s="8"/>
      <c r="OXG136" s="8"/>
      <c r="OXH136" s="8"/>
      <c r="OXI136" s="8"/>
      <c r="OXJ136" s="8"/>
      <c r="OXK136" s="8"/>
      <c r="OXL136" s="8"/>
      <c r="OXM136" s="8"/>
      <c r="OXN136" s="8"/>
      <c r="OXO136" s="8"/>
      <c r="OXP136" s="8"/>
      <c r="OXQ136" s="8"/>
      <c r="OXR136" s="8"/>
      <c r="OXS136" s="8"/>
      <c r="OXT136" s="8"/>
      <c r="OXU136" s="8"/>
      <c r="OXV136" s="8"/>
      <c r="OXW136" s="8"/>
      <c r="OXX136" s="8"/>
      <c r="OXY136" s="8"/>
      <c r="OXZ136" s="8"/>
      <c r="OYA136" s="8"/>
      <c r="OYB136" s="8"/>
      <c r="OYC136" s="8"/>
      <c r="OYD136" s="8"/>
      <c r="OYE136" s="8"/>
      <c r="OYF136" s="8"/>
      <c r="OYG136" s="8"/>
      <c r="OYH136" s="8"/>
      <c r="OYI136" s="8"/>
      <c r="OYJ136" s="8"/>
      <c r="OYK136" s="8"/>
      <c r="OYL136" s="8"/>
      <c r="OYM136" s="8"/>
      <c r="OYN136" s="8"/>
      <c r="OYO136" s="8"/>
      <c r="OYP136" s="8"/>
      <c r="OYQ136" s="8"/>
      <c r="OYR136" s="8"/>
      <c r="OYS136" s="8"/>
      <c r="OYT136" s="8"/>
      <c r="OYU136" s="8"/>
      <c r="OYV136" s="8"/>
      <c r="OYW136" s="8"/>
      <c r="OYX136" s="8"/>
      <c r="OYY136" s="8"/>
      <c r="OYZ136" s="8"/>
      <c r="OZA136" s="8"/>
      <c r="OZB136" s="8"/>
      <c r="OZC136" s="8"/>
      <c r="OZD136" s="8"/>
      <c r="OZE136" s="8"/>
      <c r="OZF136" s="8"/>
      <c r="OZG136" s="8"/>
      <c r="OZH136" s="8"/>
      <c r="OZI136" s="8"/>
      <c r="OZJ136" s="8"/>
      <c r="OZK136" s="8"/>
      <c r="OZL136" s="8"/>
      <c r="OZM136" s="8"/>
      <c r="OZN136" s="8"/>
      <c r="OZO136" s="8"/>
      <c r="OZP136" s="8"/>
      <c r="OZQ136" s="8"/>
      <c r="OZR136" s="8"/>
      <c r="OZS136" s="8"/>
      <c r="OZT136" s="8"/>
      <c r="OZU136" s="8"/>
      <c r="OZV136" s="8"/>
      <c r="OZW136" s="8"/>
      <c r="OZX136" s="8"/>
      <c r="OZY136" s="8"/>
      <c r="OZZ136" s="8"/>
      <c r="PAA136" s="8"/>
      <c r="PAB136" s="8"/>
      <c r="PAC136" s="8"/>
      <c r="PAD136" s="8"/>
      <c r="PAE136" s="8"/>
      <c r="PAF136" s="8"/>
      <c r="PAG136" s="8"/>
      <c r="PAH136" s="8"/>
      <c r="PAI136" s="8"/>
      <c r="PAJ136" s="8"/>
      <c r="PAK136" s="8"/>
      <c r="PAL136" s="8"/>
      <c r="PAM136" s="8"/>
      <c r="PAN136" s="8"/>
      <c r="PAO136" s="8"/>
      <c r="PAP136" s="8"/>
      <c r="PAQ136" s="8"/>
      <c r="PAR136" s="8"/>
      <c r="PAS136" s="8"/>
      <c r="PAT136" s="8"/>
      <c r="PAU136" s="8"/>
      <c r="PAV136" s="8"/>
      <c r="PAW136" s="8"/>
      <c r="PAX136" s="8"/>
      <c r="PAY136" s="8"/>
      <c r="PAZ136" s="8"/>
      <c r="PBA136" s="8"/>
      <c r="PBB136" s="8"/>
      <c r="PBC136" s="8"/>
      <c r="PBD136" s="8"/>
      <c r="PBE136" s="8"/>
      <c r="PBF136" s="8"/>
      <c r="PBG136" s="8"/>
      <c r="PBH136" s="8"/>
      <c r="PBI136" s="8"/>
      <c r="PBJ136" s="8"/>
      <c r="PBK136" s="8"/>
      <c r="PBL136" s="8"/>
      <c r="PBM136" s="8"/>
      <c r="PBN136" s="8"/>
      <c r="PBO136" s="8"/>
      <c r="PBP136" s="8"/>
      <c r="PBQ136" s="8"/>
      <c r="PBR136" s="8"/>
      <c r="PBS136" s="8"/>
      <c r="PBT136" s="8"/>
      <c r="PBU136" s="8"/>
      <c r="PBV136" s="8"/>
      <c r="PBW136" s="8"/>
      <c r="PBX136" s="8"/>
      <c r="PBY136" s="8"/>
      <c r="PBZ136" s="8"/>
      <c r="PCA136" s="8"/>
      <c r="PCB136" s="8"/>
      <c r="PCC136" s="8"/>
      <c r="PCD136" s="8"/>
      <c r="PCE136" s="8"/>
      <c r="PCF136" s="8"/>
      <c r="PCG136" s="8"/>
      <c r="PCH136" s="8"/>
      <c r="PCI136" s="8"/>
      <c r="PCJ136" s="8"/>
      <c r="PCK136" s="8"/>
      <c r="PCL136" s="8"/>
      <c r="PCM136" s="8"/>
      <c r="PCN136" s="8"/>
      <c r="PCO136" s="8"/>
      <c r="PCP136" s="8"/>
      <c r="PCQ136" s="8"/>
      <c r="PCR136" s="8"/>
      <c r="PCS136" s="8"/>
      <c r="PCT136" s="8"/>
      <c r="PCU136" s="8"/>
      <c r="PCV136" s="8"/>
      <c r="PCW136" s="8"/>
      <c r="PCX136" s="8"/>
      <c r="PCY136" s="8"/>
      <c r="PCZ136" s="8"/>
      <c r="PDA136" s="8"/>
      <c r="PDB136" s="8"/>
      <c r="PDC136" s="8"/>
      <c r="PDD136" s="8"/>
      <c r="PDE136" s="8"/>
      <c r="PDF136" s="8"/>
      <c r="PDG136" s="8"/>
      <c r="PDH136" s="8"/>
      <c r="PDI136" s="8"/>
      <c r="PDJ136" s="8"/>
      <c r="PDK136" s="8"/>
      <c r="PDL136" s="8"/>
      <c r="PDM136" s="8"/>
      <c r="PDN136" s="8"/>
      <c r="PDO136" s="8"/>
      <c r="PDP136" s="8"/>
      <c r="PDQ136" s="8"/>
      <c r="PDR136" s="8"/>
      <c r="PDS136" s="8"/>
      <c r="PDT136" s="8"/>
      <c r="PDU136" s="8"/>
      <c r="PDV136" s="8"/>
      <c r="PDW136" s="8"/>
      <c r="PDX136" s="8"/>
      <c r="PDY136" s="8"/>
      <c r="PDZ136" s="8"/>
      <c r="PEA136" s="8"/>
      <c r="PEB136" s="8"/>
      <c r="PEC136" s="8"/>
      <c r="PED136" s="8"/>
      <c r="PEE136" s="8"/>
      <c r="PEF136" s="8"/>
      <c r="PEG136" s="8"/>
      <c r="PEH136" s="8"/>
      <c r="PEI136" s="8"/>
      <c r="PEJ136" s="8"/>
      <c r="PEK136" s="8"/>
      <c r="PEL136" s="8"/>
      <c r="PEM136" s="8"/>
      <c r="PEN136" s="8"/>
      <c r="PEO136" s="8"/>
      <c r="PEP136" s="8"/>
      <c r="PEQ136" s="8"/>
      <c r="PER136" s="8"/>
      <c r="PES136" s="8"/>
      <c r="PET136" s="8"/>
      <c r="PEU136" s="8"/>
      <c r="PEV136" s="8"/>
      <c r="PEW136" s="8"/>
      <c r="PEX136" s="8"/>
      <c r="PEY136" s="8"/>
      <c r="PEZ136" s="8"/>
      <c r="PFA136" s="8"/>
      <c r="PFB136" s="8"/>
      <c r="PFC136" s="8"/>
      <c r="PFD136" s="8"/>
      <c r="PFE136" s="8"/>
      <c r="PFF136" s="8"/>
      <c r="PFG136" s="8"/>
      <c r="PFH136" s="8"/>
      <c r="PFI136" s="8"/>
      <c r="PFJ136" s="8"/>
      <c r="PFK136" s="8"/>
      <c r="PFL136" s="8"/>
      <c r="PFM136" s="8"/>
      <c r="PFN136" s="8"/>
      <c r="PFO136" s="8"/>
      <c r="PFP136" s="8"/>
      <c r="PFQ136" s="8"/>
      <c r="PFR136" s="8"/>
      <c r="PFS136" s="8"/>
      <c r="PFT136" s="8"/>
      <c r="PFU136" s="8"/>
      <c r="PFV136" s="8"/>
      <c r="PFW136" s="8"/>
      <c r="PFX136" s="8"/>
      <c r="PFY136" s="8"/>
      <c r="PFZ136" s="8"/>
      <c r="PGA136" s="8"/>
      <c r="PGB136" s="8"/>
      <c r="PGC136" s="8"/>
      <c r="PGD136" s="8"/>
      <c r="PGE136" s="8"/>
      <c r="PGF136" s="8"/>
      <c r="PGG136" s="8"/>
      <c r="PGH136" s="8"/>
      <c r="PGI136" s="8"/>
      <c r="PGJ136" s="8"/>
      <c r="PGK136" s="8"/>
      <c r="PGL136" s="8"/>
      <c r="PGM136" s="8"/>
      <c r="PGN136" s="8"/>
      <c r="PGO136" s="8"/>
      <c r="PGP136" s="8"/>
      <c r="PGQ136" s="8"/>
      <c r="PGR136" s="8"/>
      <c r="PGS136" s="8"/>
      <c r="PGT136" s="8"/>
      <c r="PGU136" s="8"/>
      <c r="PGV136" s="8"/>
      <c r="PGW136" s="8"/>
      <c r="PGX136" s="8"/>
      <c r="PGY136" s="8"/>
      <c r="PGZ136" s="8"/>
      <c r="PHA136" s="8"/>
      <c r="PHB136" s="8"/>
      <c r="PHC136" s="8"/>
      <c r="PHD136" s="8"/>
      <c r="PHE136" s="8"/>
      <c r="PHF136" s="8"/>
      <c r="PHG136" s="8"/>
      <c r="PHH136" s="8"/>
      <c r="PHI136" s="8"/>
      <c r="PHJ136" s="8"/>
      <c r="PHK136" s="8"/>
      <c r="PHL136" s="8"/>
      <c r="PHM136" s="8"/>
      <c r="PHN136" s="8"/>
      <c r="PHO136" s="8"/>
      <c r="PHP136" s="8"/>
      <c r="PHQ136" s="8"/>
      <c r="PHR136" s="8"/>
      <c r="PHS136" s="8"/>
      <c r="PHT136" s="8"/>
      <c r="PHU136" s="8"/>
      <c r="PHV136" s="8"/>
      <c r="PHW136" s="8"/>
      <c r="PHX136" s="8"/>
      <c r="PHY136" s="8"/>
      <c r="PHZ136" s="8"/>
      <c r="PIA136" s="8"/>
      <c r="PIB136" s="8"/>
      <c r="PIC136" s="8"/>
      <c r="PID136" s="8"/>
      <c r="PIE136" s="8"/>
      <c r="PIF136" s="8"/>
      <c r="PIG136" s="8"/>
      <c r="PIH136" s="8"/>
      <c r="PII136" s="8"/>
      <c r="PIJ136" s="8"/>
      <c r="PIK136" s="8"/>
      <c r="PIL136" s="8"/>
      <c r="PIM136" s="8"/>
      <c r="PIN136" s="8"/>
      <c r="PIO136" s="8"/>
      <c r="PIP136" s="8"/>
      <c r="PIQ136" s="8"/>
      <c r="PIR136" s="8"/>
      <c r="PIS136" s="8"/>
      <c r="PIT136" s="8"/>
      <c r="PIU136" s="8"/>
      <c r="PIV136" s="8"/>
      <c r="PIW136" s="8"/>
      <c r="PIX136" s="8"/>
      <c r="PIY136" s="8"/>
      <c r="PIZ136" s="8"/>
      <c r="PJA136" s="8"/>
      <c r="PJB136" s="8"/>
      <c r="PJC136" s="8"/>
      <c r="PJD136" s="8"/>
      <c r="PJE136" s="8"/>
      <c r="PJF136" s="8"/>
      <c r="PJG136" s="8"/>
      <c r="PJH136" s="8"/>
      <c r="PJI136" s="8"/>
      <c r="PJJ136" s="8"/>
      <c r="PJK136" s="8"/>
      <c r="PJL136" s="8"/>
      <c r="PJM136" s="8"/>
      <c r="PJN136" s="8"/>
      <c r="PJO136" s="8"/>
      <c r="PJP136" s="8"/>
      <c r="PJQ136" s="8"/>
      <c r="PJR136" s="8"/>
      <c r="PJS136" s="8"/>
      <c r="PJT136" s="8"/>
      <c r="PJU136" s="8"/>
      <c r="PJV136" s="8"/>
      <c r="PJW136" s="8"/>
      <c r="PJX136" s="8"/>
      <c r="PJY136" s="8"/>
      <c r="PJZ136" s="8"/>
      <c r="PKA136" s="8"/>
      <c r="PKB136" s="8"/>
      <c r="PKC136" s="8"/>
      <c r="PKD136" s="8"/>
      <c r="PKE136" s="8"/>
      <c r="PKF136" s="8"/>
      <c r="PKG136" s="8"/>
      <c r="PKH136" s="8"/>
      <c r="PKI136" s="8"/>
      <c r="PKJ136" s="8"/>
      <c r="PKK136" s="8"/>
      <c r="PKL136" s="8"/>
      <c r="PKM136" s="8"/>
      <c r="PKN136" s="8"/>
      <c r="PKO136" s="8"/>
      <c r="PKP136" s="8"/>
      <c r="PKQ136" s="8"/>
      <c r="PKR136" s="8"/>
      <c r="PKS136" s="8"/>
      <c r="PKT136" s="8"/>
      <c r="PKU136" s="8"/>
      <c r="PKV136" s="8"/>
      <c r="PKW136" s="8"/>
      <c r="PKX136" s="8"/>
      <c r="PKY136" s="8"/>
      <c r="PKZ136" s="8"/>
      <c r="PLA136" s="8"/>
      <c r="PLB136" s="8"/>
      <c r="PLC136" s="8"/>
      <c r="PLD136" s="8"/>
      <c r="PLE136" s="8"/>
      <c r="PLF136" s="8"/>
      <c r="PLG136" s="8"/>
      <c r="PLH136" s="8"/>
      <c r="PLI136" s="8"/>
      <c r="PLJ136" s="8"/>
      <c r="PLK136" s="8"/>
      <c r="PLL136" s="8"/>
      <c r="PLM136" s="8"/>
      <c r="PLN136" s="8"/>
      <c r="PLO136" s="8"/>
      <c r="PLP136" s="8"/>
      <c r="PLQ136" s="8"/>
      <c r="PLR136" s="8"/>
      <c r="PLS136" s="8"/>
      <c r="PLT136" s="8"/>
      <c r="PLU136" s="8"/>
      <c r="PLV136" s="8"/>
      <c r="PLW136" s="8"/>
      <c r="PLX136" s="8"/>
      <c r="PLY136" s="8"/>
      <c r="PLZ136" s="8"/>
      <c r="PMA136" s="8"/>
      <c r="PMB136" s="8"/>
      <c r="PMC136" s="8"/>
      <c r="PMD136" s="8"/>
      <c r="PME136" s="8"/>
      <c r="PMF136" s="8"/>
      <c r="PMG136" s="8"/>
      <c r="PMH136" s="8"/>
      <c r="PMI136" s="8"/>
      <c r="PMJ136" s="8"/>
      <c r="PMK136" s="8"/>
      <c r="PML136" s="8"/>
      <c r="PMM136" s="8"/>
      <c r="PMN136" s="8"/>
      <c r="PMO136" s="8"/>
      <c r="PMP136" s="8"/>
      <c r="PMQ136" s="8"/>
      <c r="PMR136" s="8"/>
      <c r="PMS136" s="8"/>
      <c r="PMT136" s="8"/>
      <c r="PMU136" s="8"/>
      <c r="PMV136" s="8"/>
      <c r="PMW136" s="8"/>
      <c r="PMX136" s="8"/>
      <c r="PMY136" s="8"/>
      <c r="PMZ136" s="8"/>
      <c r="PNA136" s="8"/>
      <c r="PNB136" s="8"/>
      <c r="PNC136" s="8"/>
      <c r="PND136" s="8"/>
      <c r="PNE136" s="8"/>
      <c r="PNF136" s="8"/>
      <c r="PNG136" s="8"/>
      <c r="PNH136" s="8"/>
      <c r="PNI136" s="8"/>
      <c r="PNJ136" s="8"/>
      <c r="PNK136" s="8"/>
      <c r="PNL136" s="8"/>
      <c r="PNM136" s="8"/>
      <c r="PNN136" s="8"/>
      <c r="PNO136" s="8"/>
      <c r="PNP136" s="8"/>
      <c r="PNQ136" s="8"/>
      <c r="PNR136" s="8"/>
      <c r="PNS136" s="8"/>
      <c r="PNT136" s="8"/>
      <c r="PNU136" s="8"/>
      <c r="PNV136" s="8"/>
      <c r="PNW136" s="8"/>
      <c r="PNX136" s="8"/>
      <c r="PNY136" s="8"/>
      <c r="PNZ136" s="8"/>
      <c r="POA136" s="8"/>
      <c r="POB136" s="8"/>
      <c r="POC136" s="8"/>
      <c r="POD136" s="8"/>
      <c r="POE136" s="8"/>
      <c r="POF136" s="8"/>
      <c r="POG136" s="8"/>
      <c r="POH136" s="8"/>
      <c r="POI136" s="8"/>
      <c r="POJ136" s="8"/>
      <c r="POK136" s="8"/>
      <c r="POL136" s="8"/>
      <c r="POM136" s="8"/>
      <c r="PON136" s="8"/>
      <c r="POO136" s="8"/>
      <c r="POP136" s="8"/>
      <c r="POQ136" s="8"/>
      <c r="POR136" s="8"/>
      <c r="POS136" s="8"/>
      <c r="POT136" s="8"/>
      <c r="POU136" s="8"/>
      <c r="POV136" s="8"/>
      <c r="POW136" s="8"/>
      <c r="POX136" s="8"/>
      <c r="POY136" s="8"/>
      <c r="POZ136" s="8"/>
      <c r="PPA136" s="8"/>
      <c r="PPB136" s="8"/>
      <c r="PPC136" s="8"/>
      <c r="PPD136" s="8"/>
      <c r="PPE136" s="8"/>
      <c r="PPF136" s="8"/>
      <c r="PPG136" s="8"/>
      <c r="PPH136" s="8"/>
      <c r="PPI136" s="8"/>
      <c r="PPJ136" s="8"/>
      <c r="PPK136" s="8"/>
      <c r="PPL136" s="8"/>
      <c r="PPM136" s="8"/>
      <c r="PPN136" s="8"/>
      <c r="PPO136" s="8"/>
      <c r="PPP136" s="8"/>
      <c r="PPQ136" s="8"/>
      <c r="PPR136" s="8"/>
      <c r="PPS136" s="8"/>
      <c r="PPT136" s="8"/>
      <c r="PPU136" s="8"/>
      <c r="PPV136" s="8"/>
      <c r="PPW136" s="8"/>
      <c r="PPX136" s="8"/>
      <c r="PPY136" s="8"/>
      <c r="PPZ136" s="8"/>
      <c r="PQA136" s="8"/>
      <c r="PQB136" s="8"/>
      <c r="PQC136" s="8"/>
      <c r="PQD136" s="8"/>
      <c r="PQE136" s="8"/>
      <c r="PQF136" s="8"/>
      <c r="PQG136" s="8"/>
      <c r="PQH136" s="8"/>
      <c r="PQI136" s="8"/>
      <c r="PQJ136" s="8"/>
      <c r="PQK136" s="8"/>
      <c r="PQL136" s="8"/>
      <c r="PQM136" s="8"/>
      <c r="PQN136" s="8"/>
      <c r="PQO136" s="8"/>
      <c r="PQP136" s="8"/>
      <c r="PQQ136" s="8"/>
      <c r="PQR136" s="8"/>
      <c r="PQS136" s="8"/>
      <c r="PQT136" s="8"/>
      <c r="PQU136" s="8"/>
      <c r="PQV136" s="8"/>
      <c r="PQW136" s="8"/>
      <c r="PQX136" s="8"/>
      <c r="PQY136" s="8"/>
      <c r="PQZ136" s="8"/>
      <c r="PRA136" s="8"/>
      <c r="PRB136" s="8"/>
      <c r="PRC136" s="8"/>
      <c r="PRD136" s="8"/>
      <c r="PRE136" s="8"/>
      <c r="PRF136" s="8"/>
      <c r="PRG136" s="8"/>
      <c r="PRH136" s="8"/>
      <c r="PRI136" s="8"/>
      <c r="PRJ136" s="8"/>
      <c r="PRK136" s="8"/>
      <c r="PRL136" s="8"/>
      <c r="PRM136" s="8"/>
      <c r="PRN136" s="8"/>
      <c r="PRO136" s="8"/>
      <c r="PRP136" s="8"/>
      <c r="PRQ136" s="8"/>
      <c r="PRR136" s="8"/>
      <c r="PRS136" s="8"/>
      <c r="PRT136" s="8"/>
      <c r="PRU136" s="8"/>
      <c r="PRV136" s="8"/>
      <c r="PRW136" s="8"/>
      <c r="PRX136" s="8"/>
      <c r="PRY136" s="8"/>
      <c r="PRZ136" s="8"/>
      <c r="PSA136" s="8"/>
      <c r="PSB136" s="8"/>
      <c r="PSC136" s="8"/>
      <c r="PSD136" s="8"/>
      <c r="PSE136" s="8"/>
      <c r="PSF136" s="8"/>
      <c r="PSG136" s="8"/>
      <c r="PSH136" s="8"/>
      <c r="PSI136" s="8"/>
      <c r="PSJ136" s="8"/>
      <c r="PSK136" s="8"/>
      <c r="PSL136" s="8"/>
      <c r="PSM136" s="8"/>
      <c r="PSN136" s="8"/>
      <c r="PSO136" s="8"/>
      <c r="PSP136" s="8"/>
      <c r="PSQ136" s="8"/>
      <c r="PSR136" s="8"/>
      <c r="PSS136" s="8"/>
      <c r="PST136" s="8"/>
      <c r="PSU136" s="8"/>
      <c r="PSV136" s="8"/>
      <c r="PSW136" s="8"/>
      <c r="PSX136" s="8"/>
      <c r="PSY136" s="8"/>
      <c r="PSZ136" s="8"/>
      <c r="PTA136" s="8"/>
      <c r="PTB136" s="8"/>
      <c r="PTC136" s="8"/>
      <c r="PTD136" s="8"/>
      <c r="PTE136" s="8"/>
      <c r="PTF136" s="8"/>
      <c r="PTG136" s="8"/>
      <c r="PTH136" s="8"/>
      <c r="PTI136" s="8"/>
      <c r="PTJ136" s="8"/>
      <c r="PTK136" s="8"/>
      <c r="PTL136" s="8"/>
      <c r="PTM136" s="8"/>
      <c r="PTN136" s="8"/>
      <c r="PTO136" s="8"/>
      <c r="PTP136" s="8"/>
      <c r="PTQ136" s="8"/>
      <c r="PTR136" s="8"/>
      <c r="PTS136" s="8"/>
      <c r="PTT136" s="8"/>
      <c r="PTU136" s="8"/>
      <c r="PTV136" s="8"/>
      <c r="PTW136" s="8"/>
      <c r="PTX136" s="8"/>
      <c r="PTY136" s="8"/>
      <c r="PTZ136" s="8"/>
      <c r="PUA136" s="8"/>
      <c r="PUB136" s="8"/>
      <c r="PUC136" s="8"/>
      <c r="PUD136" s="8"/>
      <c r="PUE136" s="8"/>
      <c r="PUF136" s="8"/>
      <c r="PUG136" s="8"/>
      <c r="PUH136" s="8"/>
      <c r="PUI136" s="8"/>
      <c r="PUJ136" s="8"/>
      <c r="PUK136" s="8"/>
      <c r="PUL136" s="8"/>
      <c r="PUM136" s="8"/>
      <c r="PUN136" s="8"/>
      <c r="PUO136" s="8"/>
      <c r="PUP136" s="8"/>
      <c r="PUQ136" s="8"/>
      <c r="PUR136" s="8"/>
      <c r="PUS136" s="8"/>
      <c r="PUT136" s="8"/>
      <c r="PUU136" s="8"/>
      <c r="PUV136" s="8"/>
      <c r="PUW136" s="8"/>
      <c r="PUX136" s="8"/>
      <c r="PUY136" s="8"/>
      <c r="PUZ136" s="8"/>
      <c r="PVA136" s="8"/>
      <c r="PVB136" s="8"/>
      <c r="PVC136" s="8"/>
      <c r="PVD136" s="8"/>
      <c r="PVE136" s="8"/>
      <c r="PVF136" s="8"/>
      <c r="PVG136" s="8"/>
      <c r="PVH136" s="8"/>
      <c r="PVI136" s="8"/>
      <c r="PVJ136" s="8"/>
      <c r="PVK136" s="8"/>
      <c r="PVL136" s="8"/>
      <c r="PVM136" s="8"/>
      <c r="PVN136" s="8"/>
      <c r="PVO136" s="8"/>
      <c r="PVP136" s="8"/>
      <c r="PVQ136" s="8"/>
      <c r="PVR136" s="8"/>
      <c r="PVS136" s="8"/>
      <c r="PVT136" s="8"/>
      <c r="PVU136" s="8"/>
      <c r="PVV136" s="8"/>
      <c r="PVW136" s="8"/>
      <c r="PVX136" s="8"/>
      <c r="PVY136" s="8"/>
      <c r="PVZ136" s="8"/>
      <c r="PWA136" s="8"/>
      <c r="PWB136" s="8"/>
      <c r="PWC136" s="8"/>
      <c r="PWD136" s="8"/>
      <c r="PWE136" s="8"/>
      <c r="PWF136" s="8"/>
      <c r="PWG136" s="8"/>
      <c r="PWH136" s="8"/>
      <c r="PWI136" s="8"/>
      <c r="PWJ136" s="8"/>
      <c r="PWK136" s="8"/>
      <c r="PWL136" s="8"/>
      <c r="PWM136" s="8"/>
      <c r="PWN136" s="8"/>
      <c r="PWO136" s="8"/>
      <c r="PWP136" s="8"/>
      <c r="PWQ136" s="8"/>
      <c r="PWR136" s="8"/>
      <c r="PWS136" s="8"/>
      <c r="PWT136" s="8"/>
      <c r="PWU136" s="8"/>
      <c r="PWV136" s="8"/>
      <c r="PWW136" s="8"/>
      <c r="PWX136" s="8"/>
      <c r="PWY136" s="8"/>
      <c r="PWZ136" s="8"/>
      <c r="PXA136" s="8"/>
      <c r="PXB136" s="8"/>
      <c r="PXC136" s="8"/>
      <c r="PXD136" s="8"/>
      <c r="PXE136" s="8"/>
      <c r="PXF136" s="8"/>
      <c r="PXG136" s="8"/>
      <c r="PXH136" s="8"/>
      <c r="PXI136" s="8"/>
      <c r="PXJ136" s="8"/>
      <c r="PXK136" s="8"/>
      <c r="PXL136" s="8"/>
      <c r="PXM136" s="8"/>
      <c r="PXN136" s="8"/>
      <c r="PXO136" s="8"/>
      <c r="PXP136" s="8"/>
      <c r="PXQ136" s="8"/>
      <c r="PXR136" s="8"/>
      <c r="PXS136" s="8"/>
      <c r="PXT136" s="8"/>
      <c r="PXU136" s="8"/>
      <c r="PXV136" s="8"/>
      <c r="PXW136" s="8"/>
      <c r="PXX136" s="8"/>
      <c r="PXY136" s="8"/>
      <c r="PXZ136" s="8"/>
      <c r="PYA136" s="8"/>
      <c r="PYB136" s="8"/>
      <c r="PYC136" s="8"/>
      <c r="PYD136" s="8"/>
      <c r="PYE136" s="8"/>
      <c r="PYF136" s="8"/>
      <c r="PYG136" s="8"/>
      <c r="PYH136" s="8"/>
      <c r="PYI136" s="8"/>
      <c r="PYJ136" s="8"/>
      <c r="PYK136" s="8"/>
      <c r="PYL136" s="8"/>
      <c r="PYM136" s="8"/>
      <c r="PYN136" s="8"/>
      <c r="PYO136" s="8"/>
      <c r="PYP136" s="8"/>
      <c r="PYQ136" s="8"/>
      <c r="PYR136" s="8"/>
      <c r="PYS136" s="8"/>
      <c r="PYT136" s="8"/>
      <c r="PYU136" s="8"/>
      <c r="PYV136" s="8"/>
      <c r="PYW136" s="8"/>
      <c r="PYX136" s="8"/>
      <c r="PYY136" s="8"/>
      <c r="PYZ136" s="8"/>
      <c r="PZA136" s="8"/>
      <c r="PZB136" s="8"/>
      <c r="PZC136" s="8"/>
      <c r="PZD136" s="8"/>
      <c r="PZE136" s="8"/>
      <c r="PZF136" s="8"/>
      <c r="PZG136" s="8"/>
      <c r="PZH136" s="8"/>
      <c r="PZI136" s="8"/>
      <c r="PZJ136" s="8"/>
      <c r="PZK136" s="8"/>
      <c r="PZL136" s="8"/>
      <c r="PZM136" s="8"/>
      <c r="PZN136" s="8"/>
      <c r="PZO136" s="8"/>
      <c r="PZP136" s="8"/>
      <c r="PZQ136" s="8"/>
      <c r="PZR136" s="8"/>
      <c r="PZS136" s="8"/>
      <c r="PZT136" s="8"/>
      <c r="PZU136" s="8"/>
      <c r="PZV136" s="8"/>
      <c r="PZW136" s="8"/>
      <c r="PZX136" s="8"/>
      <c r="PZY136" s="8"/>
      <c r="PZZ136" s="8"/>
      <c r="QAA136" s="8"/>
      <c r="QAB136" s="8"/>
      <c r="QAC136" s="8"/>
      <c r="QAD136" s="8"/>
      <c r="QAE136" s="8"/>
      <c r="QAF136" s="8"/>
      <c r="QAG136" s="8"/>
      <c r="QAH136" s="8"/>
      <c r="QAI136" s="8"/>
      <c r="QAJ136" s="8"/>
      <c r="QAK136" s="8"/>
      <c r="QAL136" s="8"/>
      <c r="QAM136" s="8"/>
      <c r="QAN136" s="8"/>
      <c r="QAO136" s="8"/>
      <c r="QAP136" s="8"/>
      <c r="QAQ136" s="8"/>
      <c r="QAR136" s="8"/>
      <c r="QAS136" s="8"/>
      <c r="QAT136" s="8"/>
      <c r="QAU136" s="8"/>
      <c r="QAV136" s="8"/>
      <c r="QAW136" s="8"/>
      <c r="QAX136" s="8"/>
      <c r="QAY136" s="8"/>
      <c r="QAZ136" s="8"/>
      <c r="QBA136" s="8"/>
      <c r="QBB136" s="8"/>
      <c r="QBC136" s="8"/>
      <c r="QBD136" s="8"/>
      <c r="QBE136" s="8"/>
      <c r="QBF136" s="8"/>
      <c r="QBG136" s="8"/>
      <c r="QBH136" s="8"/>
      <c r="QBI136" s="8"/>
      <c r="QBJ136" s="8"/>
      <c r="QBK136" s="8"/>
      <c r="QBL136" s="8"/>
      <c r="QBM136" s="8"/>
      <c r="QBN136" s="8"/>
      <c r="QBO136" s="8"/>
      <c r="QBP136" s="8"/>
      <c r="QBQ136" s="8"/>
      <c r="QBR136" s="8"/>
      <c r="QBS136" s="8"/>
      <c r="QBT136" s="8"/>
      <c r="QBU136" s="8"/>
      <c r="QBV136" s="8"/>
      <c r="QBW136" s="8"/>
      <c r="QBX136" s="8"/>
      <c r="QBY136" s="8"/>
      <c r="QBZ136" s="8"/>
      <c r="QCA136" s="8"/>
      <c r="QCB136" s="8"/>
      <c r="QCC136" s="8"/>
      <c r="QCD136" s="8"/>
      <c r="QCE136" s="8"/>
      <c r="QCF136" s="8"/>
      <c r="QCG136" s="8"/>
      <c r="QCH136" s="8"/>
      <c r="QCI136" s="8"/>
      <c r="QCJ136" s="8"/>
      <c r="QCK136" s="8"/>
      <c r="QCL136" s="8"/>
      <c r="QCM136" s="8"/>
      <c r="QCN136" s="8"/>
      <c r="QCO136" s="8"/>
      <c r="QCP136" s="8"/>
      <c r="QCQ136" s="8"/>
      <c r="QCR136" s="8"/>
      <c r="QCS136" s="8"/>
      <c r="QCT136" s="8"/>
      <c r="QCU136" s="8"/>
      <c r="QCV136" s="8"/>
      <c r="QCW136" s="8"/>
      <c r="QCX136" s="8"/>
      <c r="QCY136" s="8"/>
      <c r="QCZ136" s="8"/>
      <c r="QDA136" s="8"/>
      <c r="QDB136" s="8"/>
      <c r="QDC136" s="8"/>
      <c r="QDD136" s="8"/>
      <c r="QDE136" s="8"/>
      <c r="QDF136" s="8"/>
      <c r="QDG136" s="8"/>
      <c r="QDH136" s="8"/>
      <c r="QDI136" s="8"/>
      <c r="QDJ136" s="8"/>
      <c r="QDK136" s="8"/>
      <c r="QDL136" s="8"/>
      <c r="QDM136" s="8"/>
      <c r="QDN136" s="8"/>
      <c r="QDO136" s="8"/>
      <c r="QDP136" s="8"/>
      <c r="QDQ136" s="8"/>
      <c r="QDR136" s="8"/>
      <c r="QDS136" s="8"/>
      <c r="QDT136" s="8"/>
      <c r="QDU136" s="8"/>
      <c r="QDV136" s="8"/>
      <c r="QDW136" s="8"/>
      <c r="QDX136" s="8"/>
      <c r="QDY136" s="8"/>
      <c r="QDZ136" s="8"/>
      <c r="QEA136" s="8"/>
      <c r="QEB136" s="8"/>
      <c r="QEC136" s="8"/>
      <c r="QED136" s="8"/>
      <c r="QEE136" s="8"/>
      <c r="QEF136" s="8"/>
      <c r="QEG136" s="8"/>
      <c r="QEH136" s="8"/>
      <c r="QEI136" s="8"/>
      <c r="QEJ136" s="8"/>
      <c r="QEK136" s="8"/>
      <c r="QEL136" s="8"/>
      <c r="QEM136" s="8"/>
      <c r="QEN136" s="8"/>
      <c r="QEO136" s="8"/>
      <c r="QEP136" s="8"/>
      <c r="QEQ136" s="8"/>
      <c r="QER136" s="8"/>
      <c r="QES136" s="8"/>
      <c r="QET136" s="8"/>
      <c r="QEU136" s="8"/>
      <c r="QEV136" s="8"/>
      <c r="QEW136" s="8"/>
      <c r="QEX136" s="8"/>
      <c r="QEY136" s="8"/>
      <c r="QEZ136" s="8"/>
      <c r="QFA136" s="8"/>
      <c r="QFB136" s="8"/>
      <c r="QFC136" s="8"/>
      <c r="QFD136" s="8"/>
      <c r="QFE136" s="8"/>
      <c r="QFF136" s="8"/>
      <c r="QFG136" s="8"/>
      <c r="QFH136" s="8"/>
      <c r="QFI136" s="8"/>
      <c r="QFJ136" s="8"/>
      <c r="QFK136" s="8"/>
      <c r="QFL136" s="8"/>
      <c r="QFM136" s="8"/>
      <c r="QFN136" s="8"/>
      <c r="QFO136" s="8"/>
      <c r="QFP136" s="8"/>
      <c r="QFQ136" s="8"/>
      <c r="QFR136" s="8"/>
      <c r="QFS136" s="8"/>
      <c r="QFT136" s="8"/>
      <c r="QFU136" s="8"/>
      <c r="QFV136" s="8"/>
      <c r="QFW136" s="8"/>
      <c r="QFX136" s="8"/>
      <c r="QFY136" s="8"/>
      <c r="QFZ136" s="8"/>
      <c r="QGA136" s="8"/>
      <c r="QGB136" s="8"/>
      <c r="QGC136" s="8"/>
      <c r="QGD136" s="8"/>
      <c r="QGE136" s="8"/>
      <c r="QGF136" s="8"/>
      <c r="QGG136" s="8"/>
      <c r="QGH136" s="8"/>
      <c r="QGI136" s="8"/>
      <c r="QGJ136" s="8"/>
      <c r="QGK136" s="8"/>
      <c r="QGL136" s="8"/>
      <c r="QGM136" s="8"/>
      <c r="QGN136" s="8"/>
      <c r="QGO136" s="8"/>
      <c r="QGP136" s="8"/>
      <c r="QGQ136" s="8"/>
      <c r="QGR136" s="8"/>
      <c r="QGS136" s="8"/>
      <c r="QGT136" s="8"/>
      <c r="QGU136" s="8"/>
      <c r="QGV136" s="8"/>
      <c r="QGW136" s="8"/>
      <c r="QGX136" s="8"/>
      <c r="QGY136" s="8"/>
      <c r="QGZ136" s="8"/>
      <c r="QHA136" s="8"/>
      <c r="QHB136" s="8"/>
      <c r="QHC136" s="8"/>
      <c r="QHD136" s="8"/>
      <c r="QHE136" s="8"/>
      <c r="QHF136" s="8"/>
      <c r="QHG136" s="8"/>
      <c r="QHH136" s="8"/>
      <c r="QHI136" s="8"/>
      <c r="QHJ136" s="8"/>
      <c r="QHK136" s="8"/>
      <c r="QHL136" s="8"/>
      <c r="QHM136" s="8"/>
      <c r="QHN136" s="8"/>
      <c r="QHO136" s="8"/>
      <c r="QHP136" s="8"/>
      <c r="QHQ136" s="8"/>
      <c r="QHR136" s="8"/>
      <c r="QHS136" s="8"/>
      <c r="QHT136" s="8"/>
      <c r="QHU136" s="8"/>
      <c r="QHV136" s="8"/>
      <c r="QHW136" s="8"/>
      <c r="QHX136" s="8"/>
      <c r="QHY136" s="8"/>
      <c r="QHZ136" s="8"/>
      <c r="QIA136" s="8"/>
      <c r="QIB136" s="8"/>
      <c r="QIC136" s="8"/>
      <c r="QID136" s="8"/>
      <c r="QIE136" s="8"/>
      <c r="QIF136" s="8"/>
      <c r="QIG136" s="8"/>
      <c r="QIH136" s="8"/>
      <c r="QII136" s="8"/>
      <c r="QIJ136" s="8"/>
      <c r="QIK136" s="8"/>
      <c r="QIL136" s="8"/>
      <c r="QIM136" s="8"/>
      <c r="QIN136" s="8"/>
      <c r="QIO136" s="8"/>
      <c r="QIP136" s="8"/>
      <c r="QIQ136" s="8"/>
      <c r="QIR136" s="8"/>
      <c r="QIS136" s="8"/>
      <c r="QIT136" s="8"/>
      <c r="QIU136" s="8"/>
      <c r="QIV136" s="8"/>
      <c r="QIW136" s="8"/>
      <c r="QIX136" s="8"/>
      <c r="QIY136" s="8"/>
      <c r="QIZ136" s="8"/>
      <c r="QJA136" s="8"/>
      <c r="QJB136" s="8"/>
      <c r="QJC136" s="8"/>
      <c r="QJD136" s="8"/>
      <c r="QJE136" s="8"/>
      <c r="QJF136" s="8"/>
      <c r="QJG136" s="8"/>
      <c r="QJH136" s="8"/>
      <c r="QJI136" s="8"/>
      <c r="QJJ136" s="8"/>
      <c r="QJK136" s="8"/>
      <c r="QJL136" s="8"/>
      <c r="QJM136" s="8"/>
      <c r="QJN136" s="8"/>
      <c r="QJO136" s="8"/>
      <c r="QJP136" s="8"/>
      <c r="QJQ136" s="8"/>
      <c r="QJR136" s="8"/>
      <c r="QJS136" s="8"/>
      <c r="QJT136" s="8"/>
      <c r="QJU136" s="8"/>
      <c r="QJV136" s="8"/>
      <c r="QJW136" s="8"/>
      <c r="QJX136" s="8"/>
      <c r="QJY136" s="8"/>
      <c r="QJZ136" s="8"/>
      <c r="QKA136" s="8"/>
      <c r="QKB136" s="8"/>
      <c r="QKC136" s="8"/>
      <c r="QKD136" s="8"/>
      <c r="QKE136" s="8"/>
      <c r="QKF136" s="8"/>
      <c r="QKG136" s="8"/>
      <c r="QKH136" s="8"/>
      <c r="QKI136" s="8"/>
      <c r="QKJ136" s="8"/>
      <c r="QKK136" s="8"/>
      <c r="QKL136" s="8"/>
      <c r="QKM136" s="8"/>
      <c r="QKN136" s="8"/>
      <c r="QKO136" s="8"/>
      <c r="QKP136" s="8"/>
      <c r="QKQ136" s="8"/>
      <c r="QKR136" s="8"/>
      <c r="QKS136" s="8"/>
      <c r="QKT136" s="8"/>
      <c r="QKU136" s="8"/>
      <c r="QKV136" s="8"/>
      <c r="QKW136" s="8"/>
      <c r="QKX136" s="8"/>
      <c r="QKY136" s="8"/>
      <c r="QKZ136" s="8"/>
      <c r="QLA136" s="8"/>
      <c r="QLB136" s="8"/>
      <c r="QLC136" s="8"/>
      <c r="QLD136" s="8"/>
      <c r="QLE136" s="8"/>
      <c r="QLF136" s="8"/>
      <c r="QLG136" s="8"/>
      <c r="QLH136" s="8"/>
      <c r="QLI136" s="8"/>
      <c r="QLJ136" s="8"/>
      <c r="QLK136" s="8"/>
      <c r="QLL136" s="8"/>
      <c r="QLM136" s="8"/>
      <c r="QLN136" s="8"/>
      <c r="QLO136" s="8"/>
      <c r="QLP136" s="8"/>
      <c r="QLQ136" s="8"/>
      <c r="QLR136" s="8"/>
      <c r="QLS136" s="8"/>
      <c r="QLT136" s="8"/>
      <c r="QLU136" s="8"/>
      <c r="QLV136" s="8"/>
      <c r="QLW136" s="8"/>
      <c r="QLX136" s="8"/>
      <c r="QLY136" s="8"/>
      <c r="QLZ136" s="8"/>
      <c r="QMA136" s="8"/>
      <c r="QMB136" s="8"/>
      <c r="QMC136" s="8"/>
      <c r="QMD136" s="8"/>
      <c r="QME136" s="8"/>
      <c r="QMF136" s="8"/>
      <c r="QMG136" s="8"/>
      <c r="QMH136" s="8"/>
      <c r="QMI136" s="8"/>
      <c r="QMJ136" s="8"/>
      <c r="QMK136" s="8"/>
      <c r="QML136" s="8"/>
      <c r="QMM136" s="8"/>
      <c r="QMN136" s="8"/>
      <c r="QMO136" s="8"/>
      <c r="QMP136" s="8"/>
      <c r="QMQ136" s="8"/>
      <c r="QMR136" s="8"/>
      <c r="QMS136" s="8"/>
      <c r="QMT136" s="8"/>
      <c r="QMU136" s="8"/>
      <c r="QMV136" s="8"/>
      <c r="QMW136" s="8"/>
      <c r="QMX136" s="8"/>
      <c r="QMY136" s="8"/>
      <c r="QMZ136" s="8"/>
      <c r="QNA136" s="8"/>
      <c r="QNB136" s="8"/>
      <c r="QNC136" s="8"/>
      <c r="QND136" s="8"/>
      <c r="QNE136" s="8"/>
      <c r="QNF136" s="8"/>
      <c r="QNG136" s="8"/>
      <c r="QNH136" s="8"/>
      <c r="QNI136" s="8"/>
      <c r="QNJ136" s="8"/>
      <c r="QNK136" s="8"/>
      <c r="QNL136" s="8"/>
      <c r="QNM136" s="8"/>
      <c r="QNN136" s="8"/>
      <c r="QNO136" s="8"/>
      <c r="QNP136" s="8"/>
      <c r="QNQ136" s="8"/>
      <c r="QNR136" s="8"/>
      <c r="QNS136" s="8"/>
      <c r="QNT136" s="8"/>
      <c r="QNU136" s="8"/>
      <c r="QNV136" s="8"/>
      <c r="QNW136" s="8"/>
      <c r="QNX136" s="8"/>
      <c r="QNY136" s="8"/>
      <c r="QNZ136" s="8"/>
      <c r="QOA136" s="8"/>
      <c r="QOB136" s="8"/>
      <c r="QOC136" s="8"/>
      <c r="QOD136" s="8"/>
      <c r="QOE136" s="8"/>
      <c r="QOF136" s="8"/>
      <c r="QOG136" s="8"/>
      <c r="QOH136" s="8"/>
      <c r="QOI136" s="8"/>
      <c r="QOJ136" s="8"/>
      <c r="QOK136" s="8"/>
      <c r="QOL136" s="8"/>
      <c r="QOM136" s="8"/>
      <c r="QON136" s="8"/>
      <c r="QOO136" s="8"/>
      <c r="QOP136" s="8"/>
      <c r="QOQ136" s="8"/>
      <c r="QOR136" s="8"/>
      <c r="QOS136" s="8"/>
      <c r="QOT136" s="8"/>
      <c r="QOU136" s="8"/>
      <c r="QOV136" s="8"/>
      <c r="QOW136" s="8"/>
      <c r="QOX136" s="8"/>
      <c r="QOY136" s="8"/>
      <c r="QOZ136" s="8"/>
      <c r="QPA136" s="8"/>
      <c r="QPB136" s="8"/>
      <c r="QPC136" s="8"/>
      <c r="QPD136" s="8"/>
      <c r="QPE136" s="8"/>
      <c r="QPF136" s="8"/>
      <c r="QPG136" s="8"/>
      <c r="QPH136" s="8"/>
      <c r="QPI136" s="8"/>
      <c r="QPJ136" s="8"/>
      <c r="QPK136" s="8"/>
      <c r="QPL136" s="8"/>
      <c r="QPM136" s="8"/>
      <c r="QPN136" s="8"/>
      <c r="QPO136" s="8"/>
      <c r="QPP136" s="8"/>
      <c r="QPQ136" s="8"/>
      <c r="QPR136" s="8"/>
      <c r="QPS136" s="8"/>
      <c r="QPT136" s="8"/>
      <c r="QPU136" s="8"/>
      <c r="QPV136" s="8"/>
      <c r="QPW136" s="8"/>
      <c r="QPX136" s="8"/>
      <c r="QPY136" s="8"/>
      <c r="QPZ136" s="8"/>
      <c r="QQA136" s="8"/>
      <c r="QQB136" s="8"/>
      <c r="QQC136" s="8"/>
      <c r="QQD136" s="8"/>
      <c r="QQE136" s="8"/>
      <c r="QQF136" s="8"/>
      <c r="QQG136" s="8"/>
      <c r="QQH136" s="8"/>
      <c r="QQI136" s="8"/>
      <c r="QQJ136" s="8"/>
      <c r="QQK136" s="8"/>
      <c r="QQL136" s="8"/>
      <c r="QQM136" s="8"/>
      <c r="QQN136" s="8"/>
      <c r="QQO136" s="8"/>
      <c r="QQP136" s="8"/>
      <c r="QQQ136" s="8"/>
      <c r="QQR136" s="8"/>
      <c r="QQS136" s="8"/>
      <c r="QQT136" s="8"/>
      <c r="QQU136" s="8"/>
      <c r="QQV136" s="8"/>
      <c r="QQW136" s="8"/>
      <c r="QQX136" s="8"/>
      <c r="QQY136" s="8"/>
      <c r="QQZ136" s="8"/>
      <c r="QRA136" s="8"/>
      <c r="QRB136" s="8"/>
      <c r="QRC136" s="8"/>
      <c r="QRD136" s="8"/>
      <c r="QRE136" s="8"/>
      <c r="QRF136" s="8"/>
      <c r="QRG136" s="8"/>
      <c r="QRH136" s="8"/>
      <c r="QRI136" s="8"/>
      <c r="QRJ136" s="8"/>
      <c r="QRK136" s="8"/>
      <c r="QRL136" s="8"/>
      <c r="QRM136" s="8"/>
      <c r="QRN136" s="8"/>
      <c r="QRO136" s="8"/>
      <c r="QRP136" s="8"/>
      <c r="QRQ136" s="8"/>
      <c r="QRR136" s="8"/>
      <c r="QRS136" s="8"/>
      <c r="QRT136" s="8"/>
      <c r="QRU136" s="8"/>
      <c r="QRV136" s="8"/>
      <c r="QRW136" s="8"/>
      <c r="QRX136" s="8"/>
      <c r="QRY136" s="8"/>
      <c r="QRZ136" s="8"/>
      <c r="QSA136" s="8"/>
      <c r="QSB136" s="8"/>
      <c r="QSC136" s="8"/>
      <c r="QSD136" s="8"/>
      <c r="QSE136" s="8"/>
      <c r="QSF136" s="8"/>
      <c r="QSG136" s="8"/>
      <c r="QSH136" s="8"/>
      <c r="QSI136" s="8"/>
      <c r="QSJ136" s="8"/>
      <c r="QSK136" s="8"/>
      <c r="QSL136" s="8"/>
      <c r="QSM136" s="8"/>
      <c r="QSN136" s="8"/>
      <c r="QSO136" s="8"/>
      <c r="QSP136" s="8"/>
      <c r="QSQ136" s="8"/>
      <c r="QSR136" s="8"/>
      <c r="QSS136" s="8"/>
      <c r="QST136" s="8"/>
      <c r="QSU136" s="8"/>
      <c r="QSV136" s="8"/>
      <c r="QSW136" s="8"/>
      <c r="QSX136" s="8"/>
      <c r="QSY136" s="8"/>
      <c r="QSZ136" s="8"/>
      <c r="QTA136" s="8"/>
      <c r="QTB136" s="8"/>
      <c r="QTC136" s="8"/>
      <c r="QTD136" s="8"/>
      <c r="QTE136" s="8"/>
      <c r="QTF136" s="8"/>
      <c r="QTG136" s="8"/>
      <c r="QTH136" s="8"/>
      <c r="QTI136" s="8"/>
      <c r="QTJ136" s="8"/>
      <c r="QTK136" s="8"/>
      <c r="QTL136" s="8"/>
      <c r="QTM136" s="8"/>
      <c r="QTN136" s="8"/>
      <c r="QTO136" s="8"/>
      <c r="QTP136" s="8"/>
      <c r="QTQ136" s="8"/>
      <c r="QTR136" s="8"/>
      <c r="QTS136" s="8"/>
      <c r="QTT136" s="8"/>
      <c r="QTU136" s="8"/>
      <c r="QTV136" s="8"/>
      <c r="QTW136" s="8"/>
      <c r="QTX136" s="8"/>
      <c r="QTY136" s="8"/>
      <c r="QTZ136" s="8"/>
      <c r="QUA136" s="8"/>
      <c r="QUB136" s="8"/>
      <c r="QUC136" s="8"/>
      <c r="QUD136" s="8"/>
      <c r="QUE136" s="8"/>
      <c r="QUF136" s="8"/>
      <c r="QUG136" s="8"/>
      <c r="QUH136" s="8"/>
      <c r="QUI136" s="8"/>
      <c r="QUJ136" s="8"/>
      <c r="QUK136" s="8"/>
      <c r="QUL136" s="8"/>
      <c r="QUM136" s="8"/>
      <c r="QUN136" s="8"/>
      <c r="QUO136" s="8"/>
      <c r="QUP136" s="8"/>
      <c r="QUQ136" s="8"/>
      <c r="QUR136" s="8"/>
      <c r="QUS136" s="8"/>
      <c r="QUT136" s="8"/>
      <c r="QUU136" s="8"/>
      <c r="QUV136" s="8"/>
      <c r="QUW136" s="8"/>
      <c r="QUX136" s="8"/>
      <c r="QUY136" s="8"/>
      <c r="QUZ136" s="8"/>
      <c r="QVA136" s="8"/>
      <c r="QVB136" s="8"/>
      <c r="QVC136" s="8"/>
      <c r="QVD136" s="8"/>
      <c r="QVE136" s="8"/>
      <c r="QVF136" s="8"/>
      <c r="QVG136" s="8"/>
      <c r="QVH136" s="8"/>
      <c r="QVI136" s="8"/>
      <c r="QVJ136" s="8"/>
      <c r="QVK136" s="8"/>
      <c r="QVL136" s="8"/>
      <c r="QVM136" s="8"/>
      <c r="QVN136" s="8"/>
      <c r="QVO136" s="8"/>
      <c r="QVP136" s="8"/>
      <c r="QVQ136" s="8"/>
      <c r="QVR136" s="8"/>
      <c r="QVS136" s="8"/>
      <c r="QVT136" s="8"/>
      <c r="QVU136" s="8"/>
      <c r="QVV136" s="8"/>
      <c r="QVW136" s="8"/>
      <c r="QVX136" s="8"/>
      <c r="QVY136" s="8"/>
      <c r="QVZ136" s="8"/>
      <c r="QWA136" s="8"/>
      <c r="QWB136" s="8"/>
      <c r="QWC136" s="8"/>
      <c r="QWD136" s="8"/>
      <c r="QWE136" s="8"/>
      <c r="QWF136" s="8"/>
      <c r="QWG136" s="8"/>
      <c r="QWH136" s="8"/>
      <c r="QWI136" s="8"/>
      <c r="QWJ136" s="8"/>
      <c r="QWK136" s="8"/>
      <c r="QWL136" s="8"/>
      <c r="QWM136" s="8"/>
      <c r="QWN136" s="8"/>
      <c r="QWO136" s="8"/>
      <c r="QWP136" s="8"/>
      <c r="QWQ136" s="8"/>
      <c r="QWR136" s="8"/>
      <c r="QWS136" s="8"/>
      <c r="QWT136" s="8"/>
      <c r="QWU136" s="8"/>
      <c r="QWV136" s="8"/>
      <c r="QWW136" s="8"/>
      <c r="QWX136" s="8"/>
      <c r="QWY136" s="8"/>
      <c r="QWZ136" s="8"/>
      <c r="QXA136" s="8"/>
      <c r="QXB136" s="8"/>
      <c r="QXC136" s="8"/>
      <c r="QXD136" s="8"/>
      <c r="QXE136" s="8"/>
      <c r="QXF136" s="8"/>
      <c r="QXG136" s="8"/>
      <c r="QXH136" s="8"/>
      <c r="QXI136" s="8"/>
      <c r="QXJ136" s="8"/>
      <c r="QXK136" s="8"/>
      <c r="QXL136" s="8"/>
      <c r="QXM136" s="8"/>
      <c r="QXN136" s="8"/>
      <c r="QXO136" s="8"/>
      <c r="QXP136" s="8"/>
      <c r="QXQ136" s="8"/>
      <c r="QXR136" s="8"/>
      <c r="QXS136" s="8"/>
      <c r="QXT136" s="8"/>
      <c r="QXU136" s="8"/>
      <c r="QXV136" s="8"/>
      <c r="QXW136" s="8"/>
      <c r="QXX136" s="8"/>
      <c r="QXY136" s="8"/>
      <c r="QXZ136" s="8"/>
      <c r="QYA136" s="8"/>
      <c r="QYB136" s="8"/>
      <c r="QYC136" s="8"/>
      <c r="QYD136" s="8"/>
      <c r="QYE136" s="8"/>
      <c r="QYF136" s="8"/>
      <c r="QYG136" s="8"/>
      <c r="QYH136" s="8"/>
      <c r="QYI136" s="8"/>
      <c r="QYJ136" s="8"/>
      <c r="QYK136" s="8"/>
      <c r="QYL136" s="8"/>
      <c r="QYM136" s="8"/>
      <c r="QYN136" s="8"/>
      <c r="QYO136" s="8"/>
      <c r="QYP136" s="8"/>
      <c r="QYQ136" s="8"/>
      <c r="QYR136" s="8"/>
      <c r="QYS136" s="8"/>
      <c r="QYT136" s="8"/>
      <c r="QYU136" s="8"/>
      <c r="QYV136" s="8"/>
      <c r="QYW136" s="8"/>
      <c r="QYX136" s="8"/>
      <c r="QYY136" s="8"/>
      <c r="QYZ136" s="8"/>
      <c r="QZA136" s="8"/>
      <c r="QZB136" s="8"/>
      <c r="QZC136" s="8"/>
      <c r="QZD136" s="8"/>
      <c r="QZE136" s="8"/>
      <c r="QZF136" s="8"/>
      <c r="QZG136" s="8"/>
      <c r="QZH136" s="8"/>
      <c r="QZI136" s="8"/>
      <c r="QZJ136" s="8"/>
      <c r="QZK136" s="8"/>
      <c r="QZL136" s="8"/>
      <c r="QZM136" s="8"/>
      <c r="QZN136" s="8"/>
      <c r="QZO136" s="8"/>
      <c r="QZP136" s="8"/>
      <c r="QZQ136" s="8"/>
      <c r="QZR136" s="8"/>
      <c r="QZS136" s="8"/>
      <c r="QZT136" s="8"/>
      <c r="QZU136" s="8"/>
      <c r="QZV136" s="8"/>
      <c r="QZW136" s="8"/>
      <c r="QZX136" s="8"/>
      <c r="QZY136" s="8"/>
      <c r="QZZ136" s="8"/>
      <c r="RAA136" s="8"/>
      <c r="RAB136" s="8"/>
      <c r="RAC136" s="8"/>
      <c r="RAD136" s="8"/>
      <c r="RAE136" s="8"/>
      <c r="RAF136" s="8"/>
      <c r="RAG136" s="8"/>
      <c r="RAH136" s="8"/>
      <c r="RAI136" s="8"/>
      <c r="RAJ136" s="8"/>
      <c r="RAK136" s="8"/>
      <c r="RAL136" s="8"/>
      <c r="RAM136" s="8"/>
      <c r="RAN136" s="8"/>
      <c r="RAO136" s="8"/>
      <c r="RAP136" s="8"/>
      <c r="RAQ136" s="8"/>
      <c r="RAR136" s="8"/>
      <c r="RAS136" s="8"/>
      <c r="RAT136" s="8"/>
      <c r="RAU136" s="8"/>
      <c r="RAV136" s="8"/>
      <c r="RAW136" s="8"/>
      <c r="RAX136" s="8"/>
      <c r="RAY136" s="8"/>
      <c r="RAZ136" s="8"/>
      <c r="RBA136" s="8"/>
      <c r="RBB136" s="8"/>
      <c r="RBC136" s="8"/>
      <c r="RBD136" s="8"/>
      <c r="RBE136" s="8"/>
      <c r="RBF136" s="8"/>
      <c r="RBG136" s="8"/>
      <c r="RBH136" s="8"/>
      <c r="RBI136" s="8"/>
      <c r="RBJ136" s="8"/>
      <c r="RBK136" s="8"/>
      <c r="RBL136" s="8"/>
      <c r="RBM136" s="8"/>
      <c r="RBN136" s="8"/>
      <c r="RBO136" s="8"/>
      <c r="RBP136" s="8"/>
      <c r="RBQ136" s="8"/>
      <c r="RBR136" s="8"/>
      <c r="RBS136" s="8"/>
      <c r="RBT136" s="8"/>
      <c r="RBU136" s="8"/>
      <c r="RBV136" s="8"/>
      <c r="RBW136" s="8"/>
      <c r="RBX136" s="8"/>
      <c r="RBY136" s="8"/>
      <c r="RBZ136" s="8"/>
      <c r="RCA136" s="8"/>
      <c r="RCB136" s="8"/>
      <c r="RCC136" s="8"/>
      <c r="RCD136" s="8"/>
      <c r="RCE136" s="8"/>
      <c r="RCF136" s="8"/>
      <c r="RCG136" s="8"/>
      <c r="RCH136" s="8"/>
      <c r="RCI136" s="8"/>
      <c r="RCJ136" s="8"/>
      <c r="RCK136" s="8"/>
      <c r="RCL136" s="8"/>
      <c r="RCM136" s="8"/>
      <c r="RCN136" s="8"/>
      <c r="RCO136" s="8"/>
      <c r="RCP136" s="8"/>
      <c r="RCQ136" s="8"/>
      <c r="RCR136" s="8"/>
      <c r="RCS136" s="8"/>
      <c r="RCT136" s="8"/>
      <c r="RCU136" s="8"/>
      <c r="RCV136" s="8"/>
      <c r="RCW136" s="8"/>
      <c r="RCX136" s="8"/>
      <c r="RCY136" s="8"/>
      <c r="RCZ136" s="8"/>
      <c r="RDA136" s="8"/>
      <c r="RDB136" s="8"/>
      <c r="RDC136" s="8"/>
      <c r="RDD136" s="8"/>
      <c r="RDE136" s="8"/>
      <c r="RDF136" s="8"/>
      <c r="RDG136" s="8"/>
      <c r="RDH136" s="8"/>
      <c r="RDI136" s="8"/>
      <c r="RDJ136" s="8"/>
      <c r="RDK136" s="8"/>
      <c r="RDL136" s="8"/>
      <c r="RDM136" s="8"/>
      <c r="RDN136" s="8"/>
      <c r="RDO136" s="8"/>
      <c r="RDP136" s="8"/>
      <c r="RDQ136" s="8"/>
      <c r="RDR136" s="8"/>
      <c r="RDS136" s="8"/>
      <c r="RDT136" s="8"/>
      <c r="RDU136" s="8"/>
      <c r="RDV136" s="8"/>
      <c r="RDW136" s="8"/>
      <c r="RDX136" s="8"/>
      <c r="RDY136" s="8"/>
      <c r="RDZ136" s="8"/>
      <c r="REA136" s="8"/>
      <c r="REB136" s="8"/>
      <c r="REC136" s="8"/>
      <c r="RED136" s="8"/>
      <c r="REE136" s="8"/>
      <c r="REF136" s="8"/>
      <c r="REG136" s="8"/>
      <c r="REH136" s="8"/>
      <c r="REI136" s="8"/>
      <c r="REJ136" s="8"/>
      <c r="REK136" s="8"/>
      <c r="REL136" s="8"/>
      <c r="REM136" s="8"/>
      <c r="REN136" s="8"/>
      <c r="REO136" s="8"/>
      <c r="REP136" s="8"/>
      <c r="REQ136" s="8"/>
      <c r="RER136" s="8"/>
      <c r="RES136" s="8"/>
      <c r="RET136" s="8"/>
      <c r="REU136" s="8"/>
      <c r="REV136" s="8"/>
      <c r="REW136" s="8"/>
      <c r="REX136" s="8"/>
      <c r="REY136" s="8"/>
      <c r="REZ136" s="8"/>
      <c r="RFA136" s="8"/>
      <c r="RFB136" s="8"/>
      <c r="RFC136" s="8"/>
      <c r="RFD136" s="8"/>
      <c r="RFE136" s="8"/>
      <c r="RFF136" s="8"/>
      <c r="RFG136" s="8"/>
      <c r="RFH136" s="8"/>
      <c r="RFI136" s="8"/>
      <c r="RFJ136" s="8"/>
      <c r="RFK136" s="8"/>
      <c r="RFL136" s="8"/>
      <c r="RFM136" s="8"/>
      <c r="RFN136" s="8"/>
      <c r="RFO136" s="8"/>
      <c r="RFP136" s="8"/>
      <c r="RFQ136" s="8"/>
      <c r="RFR136" s="8"/>
      <c r="RFS136" s="8"/>
      <c r="RFT136" s="8"/>
      <c r="RFU136" s="8"/>
      <c r="RFV136" s="8"/>
      <c r="RFW136" s="8"/>
      <c r="RFX136" s="8"/>
      <c r="RFY136" s="8"/>
      <c r="RFZ136" s="8"/>
      <c r="RGA136" s="8"/>
      <c r="RGB136" s="8"/>
      <c r="RGC136" s="8"/>
      <c r="RGD136" s="8"/>
      <c r="RGE136" s="8"/>
      <c r="RGF136" s="8"/>
      <c r="RGG136" s="8"/>
      <c r="RGH136" s="8"/>
      <c r="RGI136" s="8"/>
      <c r="RGJ136" s="8"/>
      <c r="RGK136" s="8"/>
      <c r="RGL136" s="8"/>
      <c r="RGM136" s="8"/>
      <c r="RGN136" s="8"/>
      <c r="RGO136" s="8"/>
      <c r="RGP136" s="8"/>
      <c r="RGQ136" s="8"/>
      <c r="RGR136" s="8"/>
      <c r="RGS136" s="8"/>
      <c r="RGT136" s="8"/>
      <c r="RGU136" s="8"/>
      <c r="RGV136" s="8"/>
      <c r="RGW136" s="8"/>
      <c r="RGX136" s="8"/>
      <c r="RGY136" s="8"/>
      <c r="RGZ136" s="8"/>
      <c r="RHA136" s="8"/>
      <c r="RHB136" s="8"/>
      <c r="RHC136" s="8"/>
      <c r="RHD136" s="8"/>
      <c r="RHE136" s="8"/>
      <c r="RHF136" s="8"/>
      <c r="RHG136" s="8"/>
      <c r="RHH136" s="8"/>
      <c r="RHI136" s="8"/>
      <c r="RHJ136" s="8"/>
      <c r="RHK136" s="8"/>
      <c r="RHL136" s="8"/>
      <c r="RHM136" s="8"/>
      <c r="RHN136" s="8"/>
      <c r="RHO136" s="8"/>
      <c r="RHP136" s="8"/>
      <c r="RHQ136" s="8"/>
      <c r="RHR136" s="8"/>
      <c r="RHS136" s="8"/>
      <c r="RHT136" s="8"/>
      <c r="RHU136" s="8"/>
      <c r="RHV136" s="8"/>
      <c r="RHW136" s="8"/>
      <c r="RHX136" s="8"/>
      <c r="RHY136" s="8"/>
      <c r="RHZ136" s="8"/>
      <c r="RIA136" s="8"/>
      <c r="RIB136" s="8"/>
      <c r="RIC136" s="8"/>
      <c r="RID136" s="8"/>
      <c r="RIE136" s="8"/>
      <c r="RIF136" s="8"/>
      <c r="RIG136" s="8"/>
      <c r="RIH136" s="8"/>
      <c r="RII136" s="8"/>
      <c r="RIJ136" s="8"/>
      <c r="RIK136" s="8"/>
      <c r="RIL136" s="8"/>
      <c r="RIM136" s="8"/>
      <c r="RIN136" s="8"/>
      <c r="RIO136" s="8"/>
      <c r="RIP136" s="8"/>
      <c r="RIQ136" s="8"/>
      <c r="RIR136" s="8"/>
      <c r="RIS136" s="8"/>
      <c r="RIT136" s="8"/>
      <c r="RIU136" s="8"/>
      <c r="RIV136" s="8"/>
      <c r="RIW136" s="8"/>
      <c r="RIX136" s="8"/>
      <c r="RIY136" s="8"/>
      <c r="RIZ136" s="8"/>
      <c r="RJA136" s="8"/>
      <c r="RJB136" s="8"/>
      <c r="RJC136" s="8"/>
      <c r="RJD136" s="8"/>
      <c r="RJE136" s="8"/>
      <c r="RJF136" s="8"/>
      <c r="RJG136" s="8"/>
      <c r="RJH136" s="8"/>
      <c r="RJI136" s="8"/>
      <c r="RJJ136" s="8"/>
      <c r="RJK136" s="8"/>
      <c r="RJL136" s="8"/>
      <c r="RJM136" s="8"/>
      <c r="RJN136" s="8"/>
      <c r="RJO136" s="8"/>
      <c r="RJP136" s="8"/>
      <c r="RJQ136" s="8"/>
      <c r="RJR136" s="8"/>
      <c r="RJS136" s="8"/>
      <c r="RJT136" s="8"/>
      <c r="RJU136" s="8"/>
      <c r="RJV136" s="8"/>
      <c r="RJW136" s="8"/>
      <c r="RJX136" s="8"/>
      <c r="RJY136" s="8"/>
      <c r="RJZ136" s="8"/>
      <c r="RKA136" s="8"/>
      <c r="RKB136" s="8"/>
      <c r="RKC136" s="8"/>
      <c r="RKD136" s="8"/>
      <c r="RKE136" s="8"/>
      <c r="RKF136" s="8"/>
      <c r="RKG136" s="8"/>
      <c r="RKH136" s="8"/>
      <c r="RKI136" s="8"/>
      <c r="RKJ136" s="8"/>
      <c r="RKK136" s="8"/>
      <c r="RKL136" s="8"/>
      <c r="RKM136" s="8"/>
      <c r="RKN136" s="8"/>
      <c r="RKO136" s="8"/>
      <c r="RKP136" s="8"/>
      <c r="RKQ136" s="8"/>
      <c r="RKR136" s="8"/>
      <c r="RKS136" s="8"/>
      <c r="RKT136" s="8"/>
      <c r="RKU136" s="8"/>
      <c r="RKV136" s="8"/>
      <c r="RKW136" s="8"/>
      <c r="RKX136" s="8"/>
      <c r="RKY136" s="8"/>
      <c r="RKZ136" s="8"/>
      <c r="RLA136" s="8"/>
      <c r="RLB136" s="8"/>
      <c r="RLC136" s="8"/>
      <c r="RLD136" s="8"/>
      <c r="RLE136" s="8"/>
      <c r="RLF136" s="8"/>
      <c r="RLG136" s="8"/>
      <c r="RLH136" s="8"/>
      <c r="RLI136" s="8"/>
      <c r="RLJ136" s="8"/>
      <c r="RLK136" s="8"/>
      <c r="RLL136" s="8"/>
      <c r="RLM136" s="8"/>
      <c r="RLN136" s="8"/>
      <c r="RLO136" s="8"/>
      <c r="RLP136" s="8"/>
      <c r="RLQ136" s="8"/>
      <c r="RLR136" s="8"/>
      <c r="RLS136" s="8"/>
      <c r="RLT136" s="8"/>
      <c r="RLU136" s="8"/>
      <c r="RLV136" s="8"/>
      <c r="RLW136" s="8"/>
      <c r="RLX136" s="8"/>
      <c r="RLY136" s="8"/>
      <c r="RLZ136" s="8"/>
      <c r="RMA136" s="8"/>
      <c r="RMB136" s="8"/>
      <c r="RMC136" s="8"/>
      <c r="RMD136" s="8"/>
      <c r="RME136" s="8"/>
      <c r="RMF136" s="8"/>
      <c r="RMG136" s="8"/>
      <c r="RMH136" s="8"/>
      <c r="RMI136" s="8"/>
      <c r="RMJ136" s="8"/>
      <c r="RMK136" s="8"/>
      <c r="RML136" s="8"/>
      <c r="RMM136" s="8"/>
      <c r="RMN136" s="8"/>
      <c r="RMO136" s="8"/>
      <c r="RMP136" s="8"/>
      <c r="RMQ136" s="8"/>
      <c r="RMR136" s="8"/>
      <c r="RMS136" s="8"/>
      <c r="RMT136" s="8"/>
      <c r="RMU136" s="8"/>
      <c r="RMV136" s="8"/>
      <c r="RMW136" s="8"/>
      <c r="RMX136" s="8"/>
      <c r="RMY136" s="8"/>
      <c r="RMZ136" s="8"/>
      <c r="RNA136" s="8"/>
      <c r="RNB136" s="8"/>
      <c r="RNC136" s="8"/>
      <c r="RND136" s="8"/>
      <c r="RNE136" s="8"/>
      <c r="RNF136" s="8"/>
      <c r="RNG136" s="8"/>
      <c r="RNH136" s="8"/>
      <c r="RNI136" s="8"/>
      <c r="RNJ136" s="8"/>
      <c r="RNK136" s="8"/>
      <c r="RNL136" s="8"/>
      <c r="RNM136" s="8"/>
      <c r="RNN136" s="8"/>
      <c r="RNO136" s="8"/>
      <c r="RNP136" s="8"/>
      <c r="RNQ136" s="8"/>
      <c r="RNR136" s="8"/>
      <c r="RNS136" s="8"/>
      <c r="RNT136" s="8"/>
      <c r="RNU136" s="8"/>
      <c r="RNV136" s="8"/>
      <c r="RNW136" s="8"/>
      <c r="RNX136" s="8"/>
      <c r="RNY136" s="8"/>
      <c r="RNZ136" s="8"/>
      <c r="ROA136" s="8"/>
      <c r="ROB136" s="8"/>
      <c r="ROC136" s="8"/>
      <c r="ROD136" s="8"/>
      <c r="ROE136" s="8"/>
      <c r="ROF136" s="8"/>
      <c r="ROG136" s="8"/>
      <c r="ROH136" s="8"/>
      <c r="ROI136" s="8"/>
      <c r="ROJ136" s="8"/>
      <c r="ROK136" s="8"/>
      <c r="ROL136" s="8"/>
      <c r="ROM136" s="8"/>
      <c r="RON136" s="8"/>
      <c r="ROO136" s="8"/>
      <c r="ROP136" s="8"/>
      <c r="ROQ136" s="8"/>
      <c r="ROR136" s="8"/>
      <c r="ROS136" s="8"/>
      <c r="ROT136" s="8"/>
      <c r="ROU136" s="8"/>
      <c r="ROV136" s="8"/>
      <c r="ROW136" s="8"/>
      <c r="ROX136" s="8"/>
      <c r="ROY136" s="8"/>
      <c r="ROZ136" s="8"/>
      <c r="RPA136" s="8"/>
      <c r="RPB136" s="8"/>
      <c r="RPC136" s="8"/>
      <c r="RPD136" s="8"/>
      <c r="RPE136" s="8"/>
      <c r="RPF136" s="8"/>
      <c r="RPG136" s="8"/>
      <c r="RPH136" s="8"/>
      <c r="RPI136" s="8"/>
      <c r="RPJ136" s="8"/>
      <c r="RPK136" s="8"/>
      <c r="RPL136" s="8"/>
      <c r="RPM136" s="8"/>
      <c r="RPN136" s="8"/>
      <c r="RPO136" s="8"/>
      <c r="RPP136" s="8"/>
      <c r="RPQ136" s="8"/>
      <c r="RPR136" s="8"/>
      <c r="RPS136" s="8"/>
      <c r="RPT136" s="8"/>
      <c r="RPU136" s="8"/>
      <c r="RPV136" s="8"/>
      <c r="RPW136" s="8"/>
      <c r="RPX136" s="8"/>
      <c r="RPY136" s="8"/>
      <c r="RPZ136" s="8"/>
      <c r="RQA136" s="8"/>
      <c r="RQB136" s="8"/>
      <c r="RQC136" s="8"/>
      <c r="RQD136" s="8"/>
      <c r="RQE136" s="8"/>
      <c r="RQF136" s="8"/>
      <c r="RQG136" s="8"/>
      <c r="RQH136" s="8"/>
      <c r="RQI136" s="8"/>
      <c r="RQJ136" s="8"/>
      <c r="RQK136" s="8"/>
      <c r="RQL136" s="8"/>
      <c r="RQM136" s="8"/>
      <c r="RQN136" s="8"/>
      <c r="RQO136" s="8"/>
      <c r="RQP136" s="8"/>
      <c r="RQQ136" s="8"/>
      <c r="RQR136" s="8"/>
      <c r="RQS136" s="8"/>
      <c r="RQT136" s="8"/>
      <c r="RQU136" s="8"/>
      <c r="RQV136" s="8"/>
      <c r="RQW136" s="8"/>
      <c r="RQX136" s="8"/>
      <c r="RQY136" s="8"/>
      <c r="RQZ136" s="8"/>
      <c r="RRA136" s="8"/>
      <c r="RRB136" s="8"/>
      <c r="RRC136" s="8"/>
      <c r="RRD136" s="8"/>
      <c r="RRE136" s="8"/>
      <c r="RRF136" s="8"/>
      <c r="RRG136" s="8"/>
      <c r="RRH136" s="8"/>
      <c r="RRI136" s="8"/>
      <c r="RRJ136" s="8"/>
      <c r="RRK136" s="8"/>
      <c r="RRL136" s="8"/>
      <c r="RRM136" s="8"/>
      <c r="RRN136" s="8"/>
      <c r="RRO136" s="8"/>
      <c r="RRP136" s="8"/>
      <c r="RRQ136" s="8"/>
      <c r="RRR136" s="8"/>
      <c r="RRS136" s="8"/>
      <c r="RRT136" s="8"/>
      <c r="RRU136" s="8"/>
      <c r="RRV136" s="8"/>
      <c r="RRW136" s="8"/>
      <c r="RRX136" s="8"/>
      <c r="RRY136" s="8"/>
      <c r="RRZ136" s="8"/>
      <c r="RSA136" s="8"/>
      <c r="RSB136" s="8"/>
      <c r="RSC136" s="8"/>
      <c r="RSD136" s="8"/>
      <c r="RSE136" s="8"/>
      <c r="RSF136" s="8"/>
      <c r="RSG136" s="8"/>
      <c r="RSH136" s="8"/>
      <c r="RSI136" s="8"/>
      <c r="RSJ136" s="8"/>
      <c r="RSK136" s="8"/>
      <c r="RSL136" s="8"/>
      <c r="RSM136" s="8"/>
      <c r="RSN136" s="8"/>
      <c r="RSO136" s="8"/>
      <c r="RSP136" s="8"/>
      <c r="RSQ136" s="8"/>
      <c r="RSR136" s="8"/>
      <c r="RSS136" s="8"/>
      <c r="RST136" s="8"/>
      <c r="RSU136" s="8"/>
      <c r="RSV136" s="8"/>
      <c r="RSW136" s="8"/>
      <c r="RSX136" s="8"/>
      <c r="RSY136" s="8"/>
      <c r="RSZ136" s="8"/>
      <c r="RTA136" s="8"/>
      <c r="RTB136" s="8"/>
      <c r="RTC136" s="8"/>
      <c r="RTD136" s="8"/>
      <c r="RTE136" s="8"/>
      <c r="RTF136" s="8"/>
      <c r="RTG136" s="8"/>
      <c r="RTH136" s="8"/>
      <c r="RTI136" s="8"/>
      <c r="RTJ136" s="8"/>
      <c r="RTK136" s="8"/>
      <c r="RTL136" s="8"/>
      <c r="RTM136" s="8"/>
      <c r="RTN136" s="8"/>
      <c r="RTO136" s="8"/>
      <c r="RTP136" s="8"/>
      <c r="RTQ136" s="8"/>
      <c r="RTR136" s="8"/>
      <c r="RTS136" s="8"/>
      <c r="RTT136" s="8"/>
      <c r="RTU136" s="8"/>
      <c r="RTV136" s="8"/>
      <c r="RTW136" s="8"/>
      <c r="RTX136" s="8"/>
      <c r="RTY136" s="8"/>
      <c r="RTZ136" s="8"/>
      <c r="RUA136" s="8"/>
      <c r="RUB136" s="8"/>
      <c r="RUC136" s="8"/>
      <c r="RUD136" s="8"/>
      <c r="RUE136" s="8"/>
      <c r="RUF136" s="8"/>
      <c r="RUG136" s="8"/>
      <c r="RUH136" s="8"/>
      <c r="RUI136" s="8"/>
      <c r="RUJ136" s="8"/>
      <c r="RUK136" s="8"/>
      <c r="RUL136" s="8"/>
      <c r="RUM136" s="8"/>
      <c r="RUN136" s="8"/>
      <c r="RUO136" s="8"/>
      <c r="RUP136" s="8"/>
      <c r="RUQ136" s="8"/>
      <c r="RUR136" s="8"/>
      <c r="RUS136" s="8"/>
      <c r="RUT136" s="8"/>
      <c r="RUU136" s="8"/>
      <c r="RUV136" s="8"/>
      <c r="RUW136" s="8"/>
      <c r="RUX136" s="8"/>
      <c r="RUY136" s="8"/>
      <c r="RUZ136" s="8"/>
      <c r="RVA136" s="8"/>
      <c r="RVB136" s="8"/>
      <c r="RVC136" s="8"/>
      <c r="RVD136" s="8"/>
      <c r="RVE136" s="8"/>
      <c r="RVF136" s="8"/>
      <c r="RVG136" s="8"/>
      <c r="RVH136" s="8"/>
      <c r="RVI136" s="8"/>
      <c r="RVJ136" s="8"/>
      <c r="RVK136" s="8"/>
      <c r="RVL136" s="8"/>
      <c r="RVM136" s="8"/>
      <c r="RVN136" s="8"/>
      <c r="RVO136" s="8"/>
      <c r="RVP136" s="8"/>
      <c r="RVQ136" s="8"/>
      <c r="RVR136" s="8"/>
      <c r="RVS136" s="8"/>
      <c r="RVT136" s="8"/>
      <c r="RVU136" s="8"/>
      <c r="RVV136" s="8"/>
      <c r="RVW136" s="8"/>
      <c r="RVX136" s="8"/>
      <c r="RVY136" s="8"/>
      <c r="RVZ136" s="8"/>
      <c r="RWA136" s="8"/>
      <c r="RWB136" s="8"/>
      <c r="RWC136" s="8"/>
      <c r="RWD136" s="8"/>
      <c r="RWE136" s="8"/>
      <c r="RWF136" s="8"/>
      <c r="RWG136" s="8"/>
      <c r="RWH136" s="8"/>
      <c r="RWI136" s="8"/>
      <c r="RWJ136" s="8"/>
      <c r="RWK136" s="8"/>
      <c r="RWL136" s="8"/>
      <c r="RWM136" s="8"/>
      <c r="RWN136" s="8"/>
      <c r="RWO136" s="8"/>
      <c r="RWP136" s="8"/>
      <c r="RWQ136" s="8"/>
      <c r="RWR136" s="8"/>
      <c r="RWS136" s="8"/>
      <c r="RWT136" s="8"/>
      <c r="RWU136" s="8"/>
      <c r="RWV136" s="8"/>
      <c r="RWW136" s="8"/>
      <c r="RWX136" s="8"/>
      <c r="RWY136" s="8"/>
      <c r="RWZ136" s="8"/>
      <c r="RXA136" s="8"/>
      <c r="RXB136" s="8"/>
      <c r="RXC136" s="8"/>
      <c r="RXD136" s="8"/>
      <c r="RXE136" s="8"/>
      <c r="RXF136" s="8"/>
      <c r="RXG136" s="8"/>
      <c r="RXH136" s="8"/>
      <c r="RXI136" s="8"/>
      <c r="RXJ136" s="8"/>
      <c r="RXK136" s="8"/>
      <c r="RXL136" s="8"/>
      <c r="RXM136" s="8"/>
      <c r="RXN136" s="8"/>
      <c r="RXO136" s="8"/>
      <c r="RXP136" s="8"/>
      <c r="RXQ136" s="8"/>
      <c r="RXR136" s="8"/>
      <c r="RXS136" s="8"/>
      <c r="RXT136" s="8"/>
      <c r="RXU136" s="8"/>
      <c r="RXV136" s="8"/>
      <c r="RXW136" s="8"/>
      <c r="RXX136" s="8"/>
      <c r="RXY136" s="8"/>
      <c r="RXZ136" s="8"/>
      <c r="RYA136" s="8"/>
      <c r="RYB136" s="8"/>
      <c r="RYC136" s="8"/>
      <c r="RYD136" s="8"/>
      <c r="RYE136" s="8"/>
      <c r="RYF136" s="8"/>
      <c r="RYG136" s="8"/>
      <c r="RYH136" s="8"/>
      <c r="RYI136" s="8"/>
      <c r="RYJ136" s="8"/>
      <c r="RYK136" s="8"/>
      <c r="RYL136" s="8"/>
      <c r="RYM136" s="8"/>
      <c r="RYN136" s="8"/>
      <c r="RYO136" s="8"/>
      <c r="RYP136" s="8"/>
      <c r="RYQ136" s="8"/>
      <c r="RYR136" s="8"/>
      <c r="RYS136" s="8"/>
      <c r="RYT136" s="8"/>
      <c r="RYU136" s="8"/>
      <c r="RYV136" s="8"/>
      <c r="RYW136" s="8"/>
      <c r="RYX136" s="8"/>
      <c r="RYY136" s="8"/>
      <c r="RYZ136" s="8"/>
      <c r="RZA136" s="8"/>
      <c r="RZB136" s="8"/>
      <c r="RZC136" s="8"/>
      <c r="RZD136" s="8"/>
      <c r="RZE136" s="8"/>
      <c r="RZF136" s="8"/>
      <c r="RZG136" s="8"/>
      <c r="RZH136" s="8"/>
      <c r="RZI136" s="8"/>
      <c r="RZJ136" s="8"/>
      <c r="RZK136" s="8"/>
      <c r="RZL136" s="8"/>
      <c r="RZM136" s="8"/>
      <c r="RZN136" s="8"/>
      <c r="RZO136" s="8"/>
      <c r="RZP136" s="8"/>
      <c r="RZQ136" s="8"/>
      <c r="RZR136" s="8"/>
      <c r="RZS136" s="8"/>
      <c r="RZT136" s="8"/>
      <c r="RZU136" s="8"/>
      <c r="RZV136" s="8"/>
      <c r="RZW136" s="8"/>
      <c r="RZX136" s="8"/>
      <c r="RZY136" s="8"/>
      <c r="RZZ136" s="8"/>
      <c r="SAA136" s="8"/>
      <c r="SAB136" s="8"/>
      <c r="SAC136" s="8"/>
      <c r="SAD136" s="8"/>
      <c r="SAE136" s="8"/>
      <c r="SAF136" s="8"/>
      <c r="SAG136" s="8"/>
      <c r="SAH136" s="8"/>
      <c r="SAI136" s="8"/>
      <c r="SAJ136" s="8"/>
      <c r="SAK136" s="8"/>
      <c r="SAL136" s="8"/>
      <c r="SAM136" s="8"/>
      <c r="SAN136" s="8"/>
      <c r="SAO136" s="8"/>
      <c r="SAP136" s="8"/>
      <c r="SAQ136" s="8"/>
      <c r="SAR136" s="8"/>
      <c r="SAS136" s="8"/>
      <c r="SAT136" s="8"/>
      <c r="SAU136" s="8"/>
      <c r="SAV136" s="8"/>
      <c r="SAW136" s="8"/>
      <c r="SAX136" s="8"/>
      <c r="SAY136" s="8"/>
      <c r="SAZ136" s="8"/>
      <c r="SBA136" s="8"/>
      <c r="SBB136" s="8"/>
      <c r="SBC136" s="8"/>
      <c r="SBD136" s="8"/>
      <c r="SBE136" s="8"/>
      <c r="SBF136" s="8"/>
      <c r="SBG136" s="8"/>
      <c r="SBH136" s="8"/>
      <c r="SBI136" s="8"/>
      <c r="SBJ136" s="8"/>
      <c r="SBK136" s="8"/>
      <c r="SBL136" s="8"/>
      <c r="SBM136" s="8"/>
      <c r="SBN136" s="8"/>
      <c r="SBO136" s="8"/>
      <c r="SBP136" s="8"/>
      <c r="SBQ136" s="8"/>
      <c r="SBR136" s="8"/>
      <c r="SBS136" s="8"/>
      <c r="SBT136" s="8"/>
      <c r="SBU136" s="8"/>
      <c r="SBV136" s="8"/>
      <c r="SBW136" s="8"/>
      <c r="SBX136" s="8"/>
      <c r="SBY136" s="8"/>
      <c r="SBZ136" s="8"/>
      <c r="SCA136" s="8"/>
      <c r="SCB136" s="8"/>
      <c r="SCC136" s="8"/>
      <c r="SCD136" s="8"/>
      <c r="SCE136" s="8"/>
      <c r="SCF136" s="8"/>
      <c r="SCG136" s="8"/>
      <c r="SCH136" s="8"/>
      <c r="SCI136" s="8"/>
      <c r="SCJ136" s="8"/>
      <c r="SCK136" s="8"/>
      <c r="SCL136" s="8"/>
      <c r="SCM136" s="8"/>
      <c r="SCN136" s="8"/>
      <c r="SCO136" s="8"/>
      <c r="SCP136" s="8"/>
      <c r="SCQ136" s="8"/>
      <c r="SCR136" s="8"/>
      <c r="SCS136" s="8"/>
      <c r="SCT136" s="8"/>
      <c r="SCU136" s="8"/>
      <c r="SCV136" s="8"/>
      <c r="SCW136" s="8"/>
      <c r="SCX136" s="8"/>
      <c r="SCY136" s="8"/>
      <c r="SCZ136" s="8"/>
      <c r="SDA136" s="8"/>
      <c r="SDB136" s="8"/>
      <c r="SDC136" s="8"/>
      <c r="SDD136" s="8"/>
      <c r="SDE136" s="8"/>
      <c r="SDF136" s="8"/>
      <c r="SDG136" s="8"/>
      <c r="SDH136" s="8"/>
      <c r="SDI136" s="8"/>
      <c r="SDJ136" s="8"/>
      <c r="SDK136" s="8"/>
      <c r="SDL136" s="8"/>
      <c r="SDM136" s="8"/>
      <c r="SDN136" s="8"/>
      <c r="SDO136" s="8"/>
      <c r="SDP136" s="8"/>
      <c r="SDQ136" s="8"/>
      <c r="SDR136" s="8"/>
      <c r="SDS136" s="8"/>
      <c r="SDT136" s="8"/>
      <c r="SDU136" s="8"/>
      <c r="SDV136" s="8"/>
      <c r="SDW136" s="8"/>
      <c r="SDX136" s="8"/>
      <c r="SDY136" s="8"/>
      <c r="SDZ136" s="8"/>
      <c r="SEA136" s="8"/>
      <c r="SEB136" s="8"/>
      <c r="SEC136" s="8"/>
      <c r="SED136" s="8"/>
      <c r="SEE136" s="8"/>
      <c r="SEF136" s="8"/>
      <c r="SEG136" s="8"/>
      <c r="SEH136" s="8"/>
      <c r="SEI136" s="8"/>
      <c r="SEJ136" s="8"/>
      <c r="SEK136" s="8"/>
      <c r="SEL136" s="8"/>
      <c r="SEM136" s="8"/>
      <c r="SEN136" s="8"/>
      <c r="SEO136" s="8"/>
      <c r="SEP136" s="8"/>
      <c r="SEQ136" s="8"/>
      <c r="SER136" s="8"/>
      <c r="SES136" s="8"/>
      <c r="SET136" s="8"/>
      <c r="SEU136" s="8"/>
      <c r="SEV136" s="8"/>
      <c r="SEW136" s="8"/>
      <c r="SEX136" s="8"/>
      <c r="SEY136" s="8"/>
      <c r="SEZ136" s="8"/>
      <c r="SFA136" s="8"/>
      <c r="SFB136" s="8"/>
      <c r="SFC136" s="8"/>
      <c r="SFD136" s="8"/>
      <c r="SFE136" s="8"/>
      <c r="SFF136" s="8"/>
      <c r="SFG136" s="8"/>
      <c r="SFH136" s="8"/>
      <c r="SFI136" s="8"/>
      <c r="SFJ136" s="8"/>
      <c r="SFK136" s="8"/>
      <c r="SFL136" s="8"/>
      <c r="SFM136" s="8"/>
      <c r="SFN136" s="8"/>
      <c r="SFO136" s="8"/>
      <c r="SFP136" s="8"/>
      <c r="SFQ136" s="8"/>
      <c r="SFR136" s="8"/>
      <c r="SFS136" s="8"/>
      <c r="SFT136" s="8"/>
      <c r="SFU136" s="8"/>
      <c r="SFV136" s="8"/>
      <c r="SFW136" s="8"/>
      <c r="SFX136" s="8"/>
      <c r="SFY136" s="8"/>
      <c r="SFZ136" s="8"/>
      <c r="SGA136" s="8"/>
      <c r="SGB136" s="8"/>
      <c r="SGC136" s="8"/>
      <c r="SGD136" s="8"/>
      <c r="SGE136" s="8"/>
      <c r="SGF136" s="8"/>
      <c r="SGG136" s="8"/>
      <c r="SGH136" s="8"/>
      <c r="SGI136" s="8"/>
      <c r="SGJ136" s="8"/>
      <c r="SGK136" s="8"/>
      <c r="SGL136" s="8"/>
      <c r="SGM136" s="8"/>
      <c r="SGN136" s="8"/>
      <c r="SGO136" s="8"/>
      <c r="SGP136" s="8"/>
      <c r="SGQ136" s="8"/>
      <c r="SGR136" s="8"/>
      <c r="SGS136" s="8"/>
      <c r="SGT136" s="8"/>
      <c r="SGU136" s="8"/>
      <c r="SGV136" s="8"/>
      <c r="SGW136" s="8"/>
      <c r="SGX136" s="8"/>
      <c r="SGY136" s="8"/>
      <c r="SGZ136" s="8"/>
      <c r="SHA136" s="8"/>
      <c r="SHB136" s="8"/>
      <c r="SHC136" s="8"/>
      <c r="SHD136" s="8"/>
      <c r="SHE136" s="8"/>
      <c r="SHF136" s="8"/>
      <c r="SHG136" s="8"/>
      <c r="SHH136" s="8"/>
      <c r="SHI136" s="8"/>
      <c r="SHJ136" s="8"/>
      <c r="SHK136" s="8"/>
      <c r="SHL136" s="8"/>
      <c r="SHM136" s="8"/>
      <c r="SHN136" s="8"/>
      <c r="SHO136" s="8"/>
      <c r="SHP136" s="8"/>
      <c r="SHQ136" s="8"/>
      <c r="SHR136" s="8"/>
      <c r="SHS136" s="8"/>
      <c r="SHT136" s="8"/>
      <c r="SHU136" s="8"/>
      <c r="SHV136" s="8"/>
      <c r="SHW136" s="8"/>
      <c r="SHX136" s="8"/>
      <c r="SHY136" s="8"/>
      <c r="SHZ136" s="8"/>
      <c r="SIA136" s="8"/>
      <c r="SIB136" s="8"/>
      <c r="SIC136" s="8"/>
      <c r="SID136" s="8"/>
      <c r="SIE136" s="8"/>
      <c r="SIF136" s="8"/>
      <c r="SIG136" s="8"/>
      <c r="SIH136" s="8"/>
      <c r="SII136" s="8"/>
      <c r="SIJ136" s="8"/>
      <c r="SIK136" s="8"/>
      <c r="SIL136" s="8"/>
      <c r="SIM136" s="8"/>
      <c r="SIN136" s="8"/>
      <c r="SIO136" s="8"/>
      <c r="SIP136" s="8"/>
      <c r="SIQ136" s="8"/>
      <c r="SIR136" s="8"/>
      <c r="SIS136" s="8"/>
      <c r="SIT136" s="8"/>
      <c r="SIU136" s="8"/>
      <c r="SIV136" s="8"/>
      <c r="SIW136" s="8"/>
      <c r="SIX136" s="8"/>
      <c r="SIY136" s="8"/>
      <c r="SIZ136" s="8"/>
      <c r="SJA136" s="8"/>
      <c r="SJB136" s="8"/>
      <c r="SJC136" s="8"/>
      <c r="SJD136" s="8"/>
      <c r="SJE136" s="8"/>
      <c r="SJF136" s="8"/>
      <c r="SJG136" s="8"/>
      <c r="SJH136" s="8"/>
      <c r="SJI136" s="8"/>
      <c r="SJJ136" s="8"/>
      <c r="SJK136" s="8"/>
      <c r="SJL136" s="8"/>
      <c r="SJM136" s="8"/>
      <c r="SJN136" s="8"/>
      <c r="SJO136" s="8"/>
      <c r="SJP136" s="8"/>
      <c r="SJQ136" s="8"/>
      <c r="SJR136" s="8"/>
      <c r="SJS136" s="8"/>
      <c r="SJT136" s="8"/>
      <c r="SJU136" s="8"/>
      <c r="SJV136" s="8"/>
      <c r="SJW136" s="8"/>
      <c r="SJX136" s="8"/>
      <c r="SJY136" s="8"/>
      <c r="SJZ136" s="8"/>
      <c r="SKA136" s="8"/>
      <c r="SKB136" s="8"/>
      <c r="SKC136" s="8"/>
      <c r="SKD136" s="8"/>
      <c r="SKE136" s="8"/>
      <c r="SKF136" s="8"/>
      <c r="SKG136" s="8"/>
      <c r="SKH136" s="8"/>
      <c r="SKI136" s="8"/>
      <c r="SKJ136" s="8"/>
      <c r="SKK136" s="8"/>
      <c r="SKL136" s="8"/>
      <c r="SKM136" s="8"/>
      <c r="SKN136" s="8"/>
      <c r="SKO136" s="8"/>
      <c r="SKP136" s="8"/>
      <c r="SKQ136" s="8"/>
      <c r="SKR136" s="8"/>
      <c r="SKS136" s="8"/>
      <c r="SKT136" s="8"/>
      <c r="SKU136" s="8"/>
      <c r="SKV136" s="8"/>
      <c r="SKW136" s="8"/>
      <c r="SKX136" s="8"/>
      <c r="SKY136" s="8"/>
      <c r="SKZ136" s="8"/>
      <c r="SLA136" s="8"/>
      <c r="SLB136" s="8"/>
      <c r="SLC136" s="8"/>
      <c r="SLD136" s="8"/>
      <c r="SLE136" s="8"/>
      <c r="SLF136" s="8"/>
      <c r="SLG136" s="8"/>
      <c r="SLH136" s="8"/>
      <c r="SLI136" s="8"/>
      <c r="SLJ136" s="8"/>
      <c r="SLK136" s="8"/>
      <c r="SLL136" s="8"/>
      <c r="SLM136" s="8"/>
      <c r="SLN136" s="8"/>
      <c r="SLO136" s="8"/>
      <c r="SLP136" s="8"/>
      <c r="SLQ136" s="8"/>
      <c r="SLR136" s="8"/>
      <c r="SLS136" s="8"/>
      <c r="SLT136" s="8"/>
      <c r="SLU136" s="8"/>
      <c r="SLV136" s="8"/>
      <c r="SLW136" s="8"/>
      <c r="SLX136" s="8"/>
      <c r="SLY136" s="8"/>
      <c r="SLZ136" s="8"/>
      <c r="SMA136" s="8"/>
      <c r="SMB136" s="8"/>
      <c r="SMC136" s="8"/>
      <c r="SMD136" s="8"/>
      <c r="SME136" s="8"/>
      <c r="SMF136" s="8"/>
      <c r="SMG136" s="8"/>
      <c r="SMH136" s="8"/>
      <c r="SMI136" s="8"/>
      <c r="SMJ136" s="8"/>
      <c r="SMK136" s="8"/>
      <c r="SML136" s="8"/>
      <c r="SMM136" s="8"/>
      <c r="SMN136" s="8"/>
      <c r="SMO136" s="8"/>
      <c r="SMP136" s="8"/>
      <c r="SMQ136" s="8"/>
      <c r="SMR136" s="8"/>
      <c r="SMS136" s="8"/>
      <c r="SMT136" s="8"/>
      <c r="SMU136" s="8"/>
      <c r="SMV136" s="8"/>
      <c r="SMW136" s="8"/>
      <c r="SMX136" s="8"/>
      <c r="SMY136" s="8"/>
      <c r="SMZ136" s="8"/>
      <c r="SNA136" s="8"/>
      <c r="SNB136" s="8"/>
      <c r="SNC136" s="8"/>
      <c r="SND136" s="8"/>
      <c r="SNE136" s="8"/>
      <c r="SNF136" s="8"/>
      <c r="SNG136" s="8"/>
      <c r="SNH136" s="8"/>
      <c r="SNI136" s="8"/>
      <c r="SNJ136" s="8"/>
      <c r="SNK136" s="8"/>
      <c r="SNL136" s="8"/>
      <c r="SNM136" s="8"/>
      <c r="SNN136" s="8"/>
      <c r="SNO136" s="8"/>
      <c r="SNP136" s="8"/>
      <c r="SNQ136" s="8"/>
      <c r="SNR136" s="8"/>
      <c r="SNS136" s="8"/>
      <c r="SNT136" s="8"/>
      <c r="SNU136" s="8"/>
      <c r="SNV136" s="8"/>
      <c r="SNW136" s="8"/>
      <c r="SNX136" s="8"/>
      <c r="SNY136" s="8"/>
      <c r="SNZ136" s="8"/>
      <c r="SOA136" s="8"/>
      <c r="SOB136" s="8"/>
      <c r="SOC136" s="8"/>
      <c r="SOD136" s="8"/>
      <c r="SOE136" s="8"/>
      <c r="SOF136" s="8"/>
      <c r="SOG136" s="8"/>
      <c r="SOH136" s="8"/>
      <c r="SOI136" s="8"/>
      <c r="SOJ136" s="8"/>
      <c r="SOK136" s="8"/>
      <c r="SOL136" s="8"/>
      <c r="SOM136" s="8"/>
      <c r="SON136" s="8"/>
      <c r="SOO136" s="8"/>
      <c r="SOP136" s="8"/>
      <c r="SOQ136" s="8"/>
      <c r="SOR136" s="8"/>
      <c r="SOS136" s="8"/>
      <c r="SOT136" s="8"/>
      <c r="SOU136" s="8"/>
      <c r="SOV136" s="8"/>
      <c r="SOW136" s="8"/>
      <c r="SOX136" s="8"/>
      <c r="SOY136" s="8"/>
      <c r="SOZ136" s="8"/>
      <c r="SPA136" s="8"/>
      <c r="SPB136" s="8"/>
      <c r="SPC136" s="8"/>
      <c r="SPD136" s="8"/>
      <c r="SPE136" s="8"/>
      <c r="SPF136" s="8"/>
      <c r="SPG136" s="8"/>
      <c r="SPH136" s="8"/>
      <c r="SPI136" s="8"/>
      <c r="SPJ136" s="8"/>
      <c r="SPK136" s="8"/>
      <c r="SPL136" s="8"/>
      <c r="SPM136" s="8"/>
      <c r="SPN136" s="8"/>
      <c r="SPO136" s="8"/>
      <c r="SPP136" s="8"/>
      <c r="SPQ136" s="8"/>
      <c r="SPR136" s="8"/>
      <c r="SPS136" s="8"/>
      <c r="SPT136" s="8"/>
      <c r="SPU136" s="8"/>
      <c r="SPV136" s="8"/>
      <c r="SPW136" s="8"/>
      <c r="SPX136" s="8"/>
      <c r="SPY136" s="8"/>
      <c r="SPZ136" s="8"/>
      <c r="SQA136" s="8"/>
      <c r="SQB136" s="8"/>
      <c r="SQC136" s="8"/>
      <c r="SQD136" s="8"/>
      <c r="SQE136" s="8"/>
      <c r="SQF136" s="8"/>
      <c r="SQG136" s="8"/>
      <c r="SQH136" s="8"/>
      <c r="SQI136" s="8"/>
      <c r="SQJ136" s="8"/>
      <c r="SQK136" s="8"/>
      <c r="SQL136" s="8"/>
      <c r="SQM136" s="8"/>
      <c r="SQN136" s="8"/>
      <c r="SQO136" s="8"/>
      <c r="SQP136" s="8"/>
      <c r="SQQ136" s="8"/>
      <c r="SQR136" s="8"/>
      <c r="SQS136" s="8"/>
      <c r="SQT136" s="8"/>
      <c r="SQU136" s="8"/>
      <c r="SQV136" s="8"/>
      <c r="SQW136" s="8"/>
      <c r="SQX136" s="8"/>
      <c r="SQY136" s="8"/>
      <c r="SQZ136" s="8"/>
      <c r="SRA136" s="8"/>
      <c r="SRB136" s="8"/>
      <c r="SRC136" s="8"/>
      <c r="SRD136" s="8"/>
      <c r="SRE136" s="8"/>
      <c r="SRF136" s="8"/>
      <c r="SRG136" s="8"/>
      <c r="SRH136" s="8"/>
      <c r="SRI136" s="8"/>
      <c r="SRJ136" s="8"/>
      <c r="SRK136" s="8"/>
      <c r="SRL136" s="8"/>
      <c r="SRM136" s="8"/>
      <c r="SRN136" s="8"/>
      <c r="SRO136" s="8"/>
      <c r="SRP136" s="8"/>
      <c r="SRQ136" s="8"/>
      <c r="SRR136" s="8"/>
      <c r="SRS136" s="8"/>
      <c r="SRT136" s="8"/>
      <c r="SRU136" s="8"/>
      <c r="SRV136" s="8"/>
      <c r="SRW136" s="8"/>
      <c r="SRX136" s="8"/>
      <c r="SRY136" s="8"/>
      <c r="SRZ136" s="8"/>
      <c r="SSA136" s="8"/>
      <c r="SSB136" s="8"/>
      <c r="SSC136" s="8"/>
      <c r="SSD136" s="8"/>
      <c r="SSE136" s="8"/>
      <c r="SSF136" s="8"/>
      <c r="SSG136" s="8"/>
      <c r="SSH136" s="8"/>
      <c r="SSI136" s="8"/>
      <c r="SSJ136" s="8"/>
      <c r="SSK136" s="8"/>
      <c r="SSL136" s="8"/>
      <c r="SSM136" s="8"/>
      <c r="SSN136" s="8"/>
      <c r="SSO136" s="8"/>
      <c r="SSP136" s="8"/>
      <c r="SSQ136" s="8"/>
      <c r="SSR136" s="8"/>
      <c r="SSS136" s="8"/>
      <c r="SST136" s="8"/>
      <c r="SSU136" s="8"/>
      <c r="SSV136" s="8"/>
      <c r="SSW136" s="8"/>
      <c r="SSX136" s="8"/>
      <c r="SSY136" s="8"/>
      <c r="SSZ136" s="8"/>
      <c r="STA136" s="8"/>
      <c r="STB136" s="8"/>
      <c r="STC136" s="8"/>
      <c r="STD136" s="8"/>
      <c r="STE136" s="8"/>
      <c r="STF136" s="8"/>
      <c r="STG136" s="8"/>
      <c r="STH136" s="8"/>
      <c r="STI136" s="8"/>
      <c r="STJ136" s="8"/>
      <c r="STK136" s="8"/>
      <c r="STL136" s="8"/>
      <c r="STM136" s="8"/>
      <c r="STN136" s="8"/>
      <c r="STO136" s="8"/>
      <c r="STP136" s="8"/>
      <c r="STQ136" s="8"/>
      <c r="STR136" s="8"/>
      <c r="STS136" s="8"/>
      <c r="STT136" s="8"/>
      <c r="STU136" s="8"/>
      <c r="STV136" s="8"/>
      <c r="STW136" s="8"/>
      <c r="STX136" s="8"/>
      <c r="STY136" s="8"/>
      <c r="STZ136" s="8"/>
      <c r="SUA136" s="8"/>
      <c r="SUB136" s="8"/>
      <c r="SUC136" s="8"/>
      <c r="SUD136" s="8"/>
      <c r="SUE136" s="8"/>
      <c r="SUF136" s="8"/>
      <c r="SUG136" s="8"/>
      <c r="SUH136" s="8"/>
      <c r="SUI136" s="8"/>
      <c r="SUJ136" s="8"/>
      <c r="SUK136" s="8"/>
      <c r="SUL136" s="8"/>
      <c r="SUM136" s="8"/>
      <c r="SUN136" s="8"/>
      <c r="SUO136" s="8"/>
      <c r="SUP136" s="8"/>
      <c r="SUQ136" s="8"/>
      <c r="SUR136" s="8"/>
      <c r="SUS136" s="8"/>
      <c r="SUT136" s="8"/>
      <c r="SUU136" s="8"/>
      <c r="SUV136" s="8"/>
      <c r="SUW136" s="8"/>
      <c r="SUX136" s="8"/>
      <c r="SUY136" s="8"/>
      <c r="SUZ136" s="8"/>
      <c r="SVA136" s="8"/>
      <c r="SVB136" s="8"/>
      <c r="SVC136" s="8"/>
      <c r="SVD136" s="8"/>
      <c r="SVE136" s="8"/>
      <c r="SVF136" s="8"/>
      <c r="SVG136" s="8"/>
      <c r="SVH136" s="8"/>
      <c r="SVI136" s="8"/>
      <c r="SVJ136" s="8"/>
      <c r="SVK136" s="8"/>
      <c r="SVL136" s="8"/>
      <c r="SVM136" s="8"/>
      <c r="SVN136" s="8"/>
      <c r="SVO136" s="8"/>
      <c r="SVP136" s="8"/>
      <c r="SVQ136" s="8"/>
      <c r="SVR136" s="8"/>
      <c r="SVS136" s="8"/>
      <c r="SVT136" s="8"/>
      <c r="SVU136" s="8"/>
      <c r="SVV136" s="8"/>
      <c r="SVW136" s="8"/>
      <c r="SVX136" s="8"/>
      <c r="SVY136" s="8"/>
      <c r="SVZ136" s="8"/>
      <c r="SWA136" s="8"/>
      <c r="SWB136" s="8"/>
      <c r="SWC136" s="8"/>
      <c r="SWD136" s="8"/>
      <c r="SWE136" s="8"/>
      <c r="SWF136" s="8"/>
      <c r="SWG136" s="8"/>
      <c r="SWH136" s="8"/>
      <c r="SWI136" s="8"/>
      <c r="SWJ136" s="8"/>
      <c r="SWK136" s="8"/>
      <c r="SWL136" s="8"/>
      <c r="SWM136" s="8"/>
      <c r="SWN136" s="8"/>
      <c r="SWO136" s="8"/>
      <c r="SWP136" s="8"/>
      <c r="SWQ136" s="8"/>
      <c r="SWR136" s="8"/>
      <c r="SWS136" s="8"/>
      <c r="SWT136" s="8"/>
      <c r="SWU136" s="8"/>
      <c r="SWV136" s="8"/>
      <c r="SWW136" s="8"/>
      <c r="SWX136" s="8"/>
      <c r="SWY136" s="8"/>
      <c r="SWZ136" s="8"/>
      <c r="SXA136" s="8"/>
      <c r="SXB136" s="8"/>
      <c r="SXC136" s="8"/>
      <c r="SXD136" s="8"/>
      <c r="SXE136" s="8"/>
      <c r="SXF136" s="8"/>
      <c r="SXG136" s="8"/>
      <c r="SXH136" s="8"/>
      <c r="SXI136" s="8"/>
      <c r="SXJ136" s="8"/>
      <c r="SXK136" s="8"/>
      <c r="SXL136" s="8"/>
      <c r="SXM136" s="8"/>
      <c r="SXN136" s="8"/>
      <c r="SXO136" s="8"/>
      <c r="SXP136" s="8"/>
      <c r="SXQ136" s="8"/>
      <c r="SXR136" s="8"/>
      <c r="SXS136" s="8"/>
      <c r="SXT136" s="8"/>
      <c r="SXU136" s="8"/>
      <c r="SXV136" s="8"/>
      <c r="SXW136" s="8"/>
      <c r="SXX136" s="8"/>
      <c r="SXY136" s="8"/>
      <c r="SXZ136" s="8"/>
      <c r="SYA136" s="8"/>
      <c r="SYB136" s="8"/>
      <c r="SYC136" s="8"/>
      <c r="SYD136" s="8"/>
      <c r="SYE136" s="8"/>
      <c r="SYF136" s="8"/>
      <c r="SYG136" s="8"/>
      <c r="SYH136" s="8"/>
      <c r="SYI136" s="8"/>
      <c r="SYJ136" s="8"/>
      <c r="SYK136" s="8"/>
      <c r="SYL136" s="8"/>
      <c r="SYM136" s="8"/>
      <c r="SYN136" s="8"/>
      <c r="SYO136" s="8"/>
      <c r="SYP136" s="8"/>
      <c r="SYQ136" s="8"/>
      <c r="SYR136" s="8"/>
      <c r="SYS136" s="8"/>
      <c r="SYT136" s="8"/>
      <c r="SYU136" s="8"/>
      <c r="SYV136" s="8"/>
      <c r="SYW136" s="8"/>
      <c r="SYX136" s="8"/>
      <c r="SYY136" s="8"/>
      <c r="SYZ136" s="8"/>
      <c r="SZA136" s="8"/>
      <c r="SZB136" s="8"/>
      <c r="SZC136" s="8"/>
      <c r="SZD136" s="8"/>
      <c r="SZE136" s="8"/>
      <c r="SZF136" s="8"/>
      <c r="SZG136" s="8"/>
      <c r="SZH136" s="8"/>
      <c r="SZI136" s="8"/>
      <c r="SZJ136" s="8"/>
      <c r="SZK136" s="8"/>
      <c r="SZL136" s="8"/>
      <c r="SZM136" s="8"/>
      <c r="SZN136" s="8"/>
      <c r="SZO136" s="8"/>
      <c r="SZP136" s="8"/>
      <c r="SZQ136" s="8"/>
      <c r="SZR136" s="8"/>
      <c r="SZS136" s="8"/>
      <c r="SZT136" s="8"/>
      <c r="SZU136" s="8"/>
      <c r="SZV136" s="8"/>
      <c r="SZW136" s="8"/>
      <c r="SZX136" s="8"/>
      <c r="SZY136" s="8"/>
      <c r="SZZ136" s="8"/>
      <c r="TAA136" s="8"/>
      <c r="TAB136" s="8"/>
      <c r="TAC136" s="8"/>
      <c r="TAD136" s="8"/>
      <c r="TAE136" s="8"/>
      <c r="TAF136" s="8"/>
      <c r="TAG136" s="8"/>
      <c r="TAH136" s="8"/>
      <c r="TAI136" s="8"/>
      <c r="TAJ136" s="8"/>
      <c r="TAK136" s="8"/>
      <c r="TAL136" s="8"/>
      <c r="TAM136" s="8"/>
      <c r="TAN136" s="8"/>
      <c r="TAO136" s="8"/>
      <c r="TAP136" s="8"/>
      <c r="TAQ136" s="8"/>
      <c r="TAR136" s="8"/>
      <c r="TAS136" s="8"/>
      <c r="TAT136" s="8"/>
      <c r="TAU136" s="8"/>
      <c r="TAV136" s="8"/>
      <c r="TAW136" s="8"/>
      <c r="TAX136" s="8"/>
      <c r="TAY136" s="8"/>
      <c r="TAZ136" s="8"/>
      <c r="TBA136" s="8"/>
      <c r="TBB136" s="8"/>
      <c r="TBC136" s="8"/>
      <c r="TBD136" s="8"/>
      <c r="TBE136" s="8"/>
      <c r="TBF136" s="8"/>
      <c r="TBG136" s="8"/>
      <c r="TBH136" s="8"/>
      <c r="TBI136" s="8"/>
      <c r="TBJ136" s="8"/>
      <c r="TBK136" s="8"/>
      <c r="TBL136" s="8"/>
      <c r="TBM136" s="8"/>
      <c r="TBN136" s="8"/>
      <c r="TBO136" s="8"/>
      <c r="TBP136" s="8"/>
      <c r="TBQ136" s="8"/>
      <c r="TBR136" s="8"/>
      <c r="TBS136" s="8"/>
      <c r="TBT136" s="8"/>
      <c r="TBU136" s="8"/>
      <c r="TBV136" s="8"/>
      <c r="TBW136" s="8"/>
      <c r="TBX136" s="8"/>
      <c r="TBY136" s="8"/>
      <c r="TBZ136" s="8"/>
      <c r="TCA136" s="8"/>
      <c r="TCB136" s="8"/>
      <c r="TCC136" s="8"/>
      <c r="TCD136" s="8"/>
      <c r="TCE136" s="8"/>
      <c r="TCF136" s="8"/>
      <c r="TCG136" s="8"/>
      <c r="TCH136" s="8"/>
      <c r="TCI136" s="8"/>
      <c r="TCJ136" s="8"/>
      <c r="TCK136" s="8"/>
      <c r="TCL136" s="8"/>
      <c r="TCM136" s="8"/>
      <c r="TCN136" s="8"/>
      <c r="TCO136" s="8"/>
      <c r="TCP136" s="8"/>
      <c r="TCQ136" s="8"/>
      <c r="TCR136" s="8"/>
      <c r="TCS136" s="8"/>
      <c r="TCT136" s="8"/>
      <c r="TCU136" s="8"/>
      <c r="TCV136" s="8"/>
      <c r="TCW136" s="8"/>
      <c r="TCX136" s="8"/>
      <c r="TCY136" s="8"/>
      <c r="TCZ136" s="8"/>
      <c r="TDA136" s="8"/>
      <c r="TDB136" s="8"/>
      <c r="TDC136" s="8"/>
      <c r="TDD136" s="8"/>
      <c r="TDE136" s="8"/>
      <c r="TDF136" s="8"/>
      <c r="TDG136" s="8"/>
      <c r="TDH136" s="8"/>
      <c r="TDI136" s="8"/>
      <c r="TDJ136" s="8"/>
      <c r="TDK136" s="8"/>
      <c r="TDL136" s="8"/>
      <c r="TDM136" s="8"/>
      <c r="TDN136" s="8"/>
      <c r="TDO136" s="8"/>
      <c r="TDP136" s="8"/>
      <c r="TDQ136" s="8"/>
      <c r="TDR136" s="8"/>
      <c r="TDS136" s="8"/>
      <c r="TDT136" s="8"/>
      <c r="TDU136" s="8"/>
      <c r="TDV136" s="8"/>
      <c r="TDW136" s="8"/>
      <c r="TDX136" s="8"/>
      <c r="TDY136" s="8"/>
      <c r="TDZ136" s="8"/>
      <c r="TEA136" s="8"/>
      <c r="TEB136" s="8"/>
      <c r="TEC136" s="8"/>
      <c r="TED136" s="8"/>
      <c r="TEE136" s="8"/>
      <c r="TEF136" s="8"/>
      <c r="TEG136" s="8"/>
      <c r="TEH136" s="8"/>
      <c r="TEI136" s="8"/>
      <c r="TEJ136" s="8"/>
      <c r="TEK136" s="8"/>
      <c r="TEL136" s="8"/>
      <c r="TEM136" s="8"/>
      <c r="TEN136" s="8"/>
      <c r="TEO136" s="8"/>
      <c r="TEP136" s="8"/>
      <c r="TEQ136" s="8"/>
      <c r="TER136" s="8"/>
      <c r="TES136" s="8"/>
      <c r="TET136" s="8"/>
      <c r="TEU136" s="8"/>
      <c r="TEV136" s="8"/>
      <c r="TEW136" s="8"/>
      <c r="TEX136" s="8"/>
      <c r="TEY136" s="8"/>
      <c r="TEZ136" s="8"/>
      <c r="TFA136" s="8"/>
      <c r="TFB136" s="8"/>
      <c r="TFC136" s="8"/>
      <c r="TFD136" s="8"/>
      <c r="TFE136" s="8"/>
      <c r="TFF136" s="8"/>
      <c r="TFG136" s="8"/>
      <c r="TFH136" s="8"/>
      <c r="TFI136" s="8"/>
      <c r="TFJ136" s="8"/>
      <c r="TFK136" s="8"/>
      <c r="TFL136" s="8"/>
      <c r="TFM136" s="8"/>
      <c r="TFN136" s="8"/>
      <c r="TFO136" s="8"/>
      <c r="TFP136" s="8"/>
      <c r="TFQ136" s="8"/>
      <c r="TFR136" s="8"/>
      <c r="TFS136" s="8"/>
      <c r="TFT136" s="8"/>
      <c r="TFU136" s="8"/>
      <c r="TFV136" s="8"/>
      <c r="TFW136" s="8"/>
      <c r="TFX136" s="8"/>
      <c r="TFY136" s="8"/>
      <c r="TFZ136" s="8"/>
      <c r="TGA136" s="8"/>
      <c r="TGB136" s="8"/>
      <c r="TGC136" s="8"/>
      <c r="TGD136" s="8"/>
      <c r="TGE136" s="8"/>
      <c r="TGF136" s="8"/>
      <c r="TGG136" s="8"/>
      <c r="TGH136" s="8"/>
      <c r="TGI136" s="8"/>
      <c r="TGJ136" s="8"/>
      <c r="TGK136" s="8"/>
      <c r="TGL136" s="8"/>
      <c r="TGM136" s="8"/>
      <c r="TGN136" s="8"/>
      <c r="TGO136" s="8"/>
      <c r="TGP136" s="8"/>
      <c r="TGQ136" s="8"/>
      <c r="TGR136" s="8"/>
      <c r="TGS136" s="8"/>
      <c r="TGT136" s="8"/>
      <c r="TGU136" s="8"/>
      <c r="TGV136" s="8"/>
      <c r="TGW136" s="8"/>
      <c r="TGX136" s="8"/>
      <c r="TGY136" s="8"/>
      <c r="TGZ136" s="8"/>
      <c r="THA136" s="8"/>
      <c r="THB136" s="8"/>
      <c r="THC136" s="8"/>
      <c r="THD136" s="8"/>
      <c r="THE136" s="8"/>
      <c r="THF136" s="8"/>
      <c r="THG136" s="8"/>
      <c r="THH136" s="8"/>
      <c r="THI136" s="8"/>
      <c r="THJ136" s="8"/>
      <c r="THK136" s="8"/>
      <c r="THL136" s="8"/>
      <c r="THM136" s="8"/>
      <c r="THN136" s="8"/>
      <c r="THO136" s="8"/>
      <c r="THP136" s="8"/>
      <c r="THQ136" s="8"/>
      <c r="THR136" s="8"/>
      <c r="THS136" s="8"/>
      <c r="THT136" s="8"/>
      <c r="THU136" s="8"/>
      <c r="THV136" s="8"/>
      <c r="THW136" s="8"/>
      <c r="THX136" s="8"/>
      <c r="THY136" s="8"/>
      <c r="THZ136" s="8"/>
      <c r="TIA136" s="8"/>
      <c r="TIB136" s="8"/>
      <c r="TIC136" s="8"/>
      <c r="TID136" s="8"/>
      <c r="TIE136" s="8"/>
      <c r="TIF136" s="8"/>
      <c r="TIG136" s="8"/>
      <c r="TIH136" s="8"/>
      <c r="TII136" s="8"/>
      <c r="TIJ136" s="8"/>
      <c r="TIK136" s="8"/>
      <c r="TIL136" s="8"/>
      <c r="TIM136" s="8"/>
      <c r="TIN136" s="8"/>
      <c r="TIO136" s="8"/>
      <c r="TIP136" s="8"/>
      <c r="TIQ136" s="8"/>
      <c r="TIR136" s="8"/>
      <c r="TIS136" s="8"/>
      <c r="TIT136" s="8"/>
      <c r="TIU136" s="8"/>
      <c r="TIV136" s="8"/>
      <c r="TIW136" s="8"/>
      <c r="TIX136" s="8"/>
      <c r="TIY136" s="8"/>
      <c r="TIZ136" s="8"/>
      <c r="TJA136" s="8"/>
      <c r="TJB136" s="8"/>
      <c r="TJC136" s="8"/>
      <c r="TJD136" s="8"/>
      <c r="TJE136" s="8"/>
      <c r="TJF136" s="8"/>
      <c r="TJG136" s="8"/>
      <c r="TJH136" s="8"/>
      <c r="TJI136" s="8"/>
      <c r="TJJ136" s="8"/>
      <c r="TJK136" s="8"/>
      <c r="TJL136" s="8"/>
      <c r="TJM136" s="8"/>
      <c r="TJN136" s="8"/>
      <c r="TJO136" s="8"/>
      <c r="TJP136" s="8"/>
      <c r="TJQ136" s="8"/>
      <c r="TJR136" s="8"/>
      <c r="TJS136" s="8"/>
      <c r="TJT136" s="8"/>
      <c r="TJU136" s="8"/>
      <c r="TJV136" s="8"/>
      <c r="TJW136" s="8"/>
      <c r="TJX136" s="8"/>
      <c r="TJY136" s="8"/>
      <c r="TJZ136" s="8"/>
      <c r="TKA136" s="8"/>
      <c r="TKB136" s="8"/>
      <c r="TKC136" s="8"/>
      <c r="TKD136" s="8"/>
      <c r="TKE136" s="8"/>
      <c r="TKF136" s="8"/>
      <c r="TKG136" s="8"/>
      <c r="TKH136" s="8"/>
      <c r="TKI136" s="8"/>
      <c r="TKJ136" s="8"/>
      <c r="TKK136" s="8"/>
      <c r="TKL136" s="8"/>
      <c r="TKM136" s="8"/>
      <c r="TKN136" s="8"/>
      <c r="TKO136" s="8"/>
      <c r="TKP136" s="8"/>
      <c r="TKQ136" s="8"/>
      <c r="TKR136" s="8"/>
      <c r="TKS136" s="8"/>
      <c r="TKT136" s="8"/>
      <c r="TKU136" s="8"/>
      <c r="TKV136" s="8"/>
      <c r="TKW136" s="8"/>
      <c r="TKX136" s="8"/>
      <c r="TKY136" s="8"/>
      <c r="TKZ136" s="8"/>
      <c r="TLA136" s="8"/>
      <c r="TLB136" s="8"/>
      <c r="TLC136" s="8"/>
      <c r="TLD136" s="8"/>
      <c r="TLE136" s="8"/>
      <c r="TLF136" s="8"/>
      <c r="TLG136" s="8"/>
      <c r="TLH136" s="8"/>
      <c r="TLI136" s="8"/>
      <c r="TLJ136" s="8"/>
      <c r="TLK136" s="8"/>
      <c r="TLL136" s="8"/>
      <c r="TLM136" s="8"/>
      <c r="TLN136" s="8"/>
      <c r="TLO136" s="8"/>
      <c r="TLP136" s="8"/>
      <c r="TLQ136" s="8"/>
      <c r="TLR136" s="8"/>
      <c r="TLS136" s="8"/>
      <c r="TLT136" s="8"/>
      <c r="TLU136" s="8"/>
      <c r="TLV136" s="8"/>
      <c r="TLW136" s="8"/>
      <c r="TLX136" s="8"/>
      <c r="TLY136" s="8"/>
      <c r="TLZ136" s="8"/>
      <c r="TMA136" s="8"/>
      <c r="TMB136" s="8"/>
      <c r="TMC136" s="8"/>
      <c r="TMD136" s="8"/>
      <c r="TME136" s="8"/>
      <c r="TMF136" s="8"/>
      <c r="TMG136" s="8"/>
      <c r="TMH136" s="8"/>
      <c r="TMI136" s="8"/>
      <c r="TMJ136" s="8"/>
      <c r="TMK136" s="8"/>
      <c r="TML136" s="8"/>
      <c r="TMM136" s="8"/>
      <c r="TMN136" s="8"/>
      <c r="TMO136" s="8"/>
      <c r="TMP136" s="8"/>
      <c r="TMQ136" s="8"/>
      <c r="TMR136" s="8"/>
      <c r="TMS136" s="8"/>
      <c r="TMT136" s="8"/>
      <c r="TMU136" s="8"/>
      <c r="TMV136" s="8"/>
      <c r="TMW136" s="8"/>
      <c r="TMX136" s="8"/>
      <c r="TMY136" s="8"/>
      <c r="TMZ136" s="8"/>
      <c r="TNA136" s="8"/>
      <c r="TNB136" s="8"/>
      <c r="TNC136" s="8"/>
      <c r="TND136" s="8"/>
      <c r="TNE136" s="8"/>
      <c r="TNF136" s="8"/>
      <c r="TNG136" s="8"/>
      <c r="TNH136" s="8"/>
      <c r="TNI136" s="8"/>
      <c r="TNJ136" s="8"/>
      <c r="TNK136" s="8"/>
      <c r="TNL136" s="8"/>
      <c r="TNM136" s="8"/>
      <c r="TNN136" s="8"/>
      <c r="TNO136" s="8"/>
      <c r="TNP136" s="8"/>
      <c r="TNQ136" s="8"/>
      <c r="TNR136" s="8"/>
      <c r="TNS136" s="8"/>
      <c r="TNT136" s="8"/>
      <c r="TNU136" s="8"/>
      <c r="TNV136" s="8"/>
      <c r="TNW136" s="8"/>
      <c r="TNX136" s="8"/>
      <c r="TNY136" s="8"/>
      <c r="TNZ136" s="8"/>
      <c r="TOA136" s="8"/>
      <c r="TOB136" s="8"/>
      <c r="TOC136" s="8"/>
      <c r="TOD136" s="8"/>
      <c r="TOE136" s="8"/>
      <c r="TOF136" s="8"/>
      <c r="TOG136" s="8"/>
      <c r="TOH136" s="8"/>
      <c r="TOI136" s="8"/>
      <c r="TOJ136" s="8"/>
      <c r="TOK136" s="8"/>
      <c r="TOL136" s="8"/>
      <c r="TOM136" s="8"/>
      <c r="TON136" s="8"/>
      <c r="TOO136" s="8"/>
      <c r="TOP136" s="8"/>
      <c r="TOQ136" s="8"/>
      <c r="TOR136" s="8"/>
      <c r="TOS136" s="8"/>
      <c r="TOT136" s="8"/>
      <c r="TOU136" s="8"/>
      <c r="TOV136" s="8"/>
      <c r="TOW136" s="8"/>
      <c r="TOX136" s="8"/>
      <c r="TOY136" s="8"/>
      <c r="TOZ136" s="8"/>
      <c r="TPA136" s="8"/>
      <c r="TPB136" s="8"/>
      <c r="TPC136" s="8"/>
      <c r="TPD136" s="8"/>
      <c r="TPE136" s="8"/>
      <c r="TPF136" s="8"/>
      <c r="TPG136" s="8"/>
      <c r="TPH136" s="8"/>
      <c r="TPI136" s="8"/>
      <c r="TPJ136" s="8"/>
      <c r="TPK136" s="8"/>
      <c r="TPL136" s="8"/>
      <c r="TPM136" s="8"/>
      <c r="TPN136" s="8"/>
      <c r="TPO136" s="8"/>
      <c r="TPP136" s="8"/>
      <c r="TPQ136" s="8"/>
      <c r="TPR136" s="8"/>
      <c r="TPS136" s="8"/>
      <c r="TPT136" s="8"/>
      <c r="TPU136" s="8"/>
      <c r="TPV136" s="8"/>
      <c r="TPW136" s="8"/>
      <c r="TPX136" s="8"/>
      <c r="TPY136" s="8"/>
      <c r="TPZ136" s="8"/>
      <c r="TQA136" s="8"/>
      <c r="TQB136" s="8"/>
      <c r="TQC136" s="8"/>
      <c r="TQD136" s="8"/>
      <c r="TQE136" s="8"/>
      <c r="TQF136" s="8"/>
      <c r="TQG136" s="8"/>
      <c r="TQH136" s="8"/>
      <c r="TQI136" s="8"/>
      <c r="TQJ136" s="8"/>
      <c r="TQK136" s="8"/>
      <c r="TQL136" s="8"/>
      <c r="TQM136" s="8"/>
      <c r="TQN136" s="8"/>
      <c r="TQO136" s="8"/>
      <c r="TQP136" s="8"/>
      <c r="TQQ136" s="8"/>
      <c r="TQR136" s="8"/>
      <c r="TQS136" s="8"/>
      <c r="TQT136" s="8"/>
      <c r="TQU136" s="8"/>
      <c r="TQV136" s="8"/>
      <c r="TQW136" s="8"/>
      <c r="TQX136" s="8"/>
      <c r="TQY136" s="8"/>
      <c r="TQZ136" s="8"/>
      <c r="TRA136" s="8"/>
      <c r="TRB136" s="8"/>
      <c r="TRC136" s="8"/>
      <c r="TRD136" s="8"/>
      <c r="TRE136" s="8"/>
      <c r="TRF136" s="8"/>
      <c r="TRG136" s="8"/>
      <c r="TRH136" s="8"/>
      <c r="TRI136" s="8"/>
      <c r="TRJ136" s="8"/>
      <c r="TRK136" s="8"/>
      <c r="TRL136" s="8"/>
      <c r="TRM136" s="8"/>
      <c r="TRN136" s="8"/>
      <c r="TRO136" s="8"/>
      <c r="TRP136" s="8"/>
      <c r="TRQ136" s="8"/>
      <c r="TRR136" s="8"/>
      <c r="TRS136" s="8"/>
      <c r="TRT136" s="8"/>
      <c r="TRU136" s="8"/>
      <c r="TRV136" s="8"/>
      <c r="TRW136" s="8"/>
      <c r="TRX136" s="8"/>
      <c r="TRY136" s="8"/>
      <c r="TRZ136" s="8"/>
      <c r="TSA136" s="8"/>
      <c r="TSB136" s="8"/>
      <c r="TSC136" s="8"/>
      <c r="TSD136" s="8"/>
      <c r="TSE136" s="8"/>
      <c r="TSF136" s="8"/>
      <c r="TSG136" s="8"/>
      <c r="TSH136" s="8"/>
      <c r="TSI136" s="8"/>
      <c r="TSJ136" s="8"/>
      <c r="TSK136" s="8"/>
      <c r="TSL136" s="8"/>
      <c r="TSM136" s="8"/>
      <c r="TSN136" s="8"/>
      <c r="TSO136" s="8"/>
      <c r="TSP136" s="8"/>
      <c r="TSQ136" s="8"/>
      <c r="TSR136" s="8"/>
      <c r="TSS136" s="8"/>
      <c r="TST136" s="8"/>
      <c r="TSU136" s="8"/>
      <c r="TSV136" s="8"/>
      <c r="TSW136" s="8"/>
      <c r="TSX136" s="8"/>
      <c r="TSY136" s="8"/>
      <c r="TSZ136" s="8"/>
      <c r="TTA136" s="8"/>
      <c r="TTB136" s="8"/>
      <c r="TTC136" s="8"/>
      <c r="TTD136" s="8"/>
      <c r="TTE136" s="8"/>
      <c r="TTF136" s="8"/>
      <c r="TTG136" s="8"/>
      <c r="TTH136" s="8"/>
      <c r="TTI136" s="8"/>
      <c r="TTJ136" s="8"/>
      <c r="TTK136" s="8"/>
      <c r="TTL136" s="8"/>
      <c r="TTM136" s="8"/>
      <c r="TTN136" s="8"/>
      <c r="TTO136" s="8"/>
      <c r="TTP136" s="8"/>
      <c r="TTQ136" s="8"/>
      <c r="TTR136" s="8"/>
      <c r="TTS136" s="8"/>
      <c r="TTT136" s="8"/>
      <c r="TTU136" s="8"/>
      <c r="TTV136" s="8"/>
      <c r="TTW136" s="8"/>
      <c r="TTX136" s="8"/>
      <c r="TTY136" s="8"/>
      <c r="TTZ136" s="8"/>
      <c r="TUA136" s="8"/>
      <c r="TUB136" s="8"/>
      <c r="TUC136" s="8"/>
      <c r="TUD136" s="8"/>
      <c r="TUE136" s="8"/>
      <c r="TUF136" s="8"/>
      <c r="TUG136" s="8"/>
      <c r="TUH136" s="8"/>
      <c r="TUI136" s="8"/>
      <c r="TUJ136" s="8"/>
      <c r="TUK136" s="8"/>
      <c r="TUL136" s="8"/>
      <c r="TUM136" s="8"/>
      <c r="TUN136" s="8"/>
      <c r="TUO136" s="8"/>
      <c r="TUP136" s="8"/>
      <c r="TUQ136" s="8"/>
      <c r="TUR136" s="8"/>
      <c r="TUS136" s="8"/>
      <c r="TUT136" s="8"/>
      <c r="TUU136" s="8"/>
      <c r="TUV136" s="8"/>
      <c r="TUW136" s="8"/>
      <c r="TUX136" s="8"/>
      <c r="TUY136" s="8"/>
      <c r="TUZ136" s="8"/>
      <c r="TVA136" s="8"/>
      <c r="TVB136" s="8"/>
      <c r="TVC136" s="8"/>
      <c r="TVD136" s="8"/>
      <c r="TVE136" s="8"/>
      <c r="TVF136" s="8"/>
      <c r="TVG136" s="8"/>
      <c r="TVH136" s="8"/>
      <c r="TVI136" s="8"/>
      <c r="TVJ136" s="8"/>
      <c r="TVK136" s="8"/>
      <c r="TVL136" s="8"/>
      <c r="TVM136" s="8"/>
      <c r="TVN136" s="8"/>
      <c r="TVO136" s="8"/>
      <c r="TVP136" s="8"/>
      <c r="TVQ136" s="8"/>
      <c r="TVR136" s="8"/>
      <c r="TVS136" s="8"/>
      <c r="TVT136" s="8"/>
      <c r="TVU136" s="8"/>
      <c r="TVV136" s="8"/>
      <c r="TVW136" s="8"/>
      <c r="TVX136" s="8"/>
      <c r="TVY136" s="8"/>
      <c r="TVZ136" s="8"/>
      <c r="TWA136" s="8"/>
      <c r="TWB136" s="8"/>
      <c r="TWC136" s="8"/>
      <c r="TWD136" s="8"/>
      <c r="TWE136" s="8"/>
      <c r="TWF136" s="8"/>
      <c r="TWG136" s="8"/>
      <c r="TWH136" s="8"/>
      <c r="TWI136" s="8"/>
      <c r="TWJ136" s="8"/>
      <c r="TWK136" s="8"/>
      <c r="TWL136" s="8"/>
      <c r="TWM136" s="8"/>
      <c r="TWN136" s="8"/>
      <c r="TWO136" s="8"/>
      <c r="TWP136" s="8"/>
      <c r="TWQ136" s="8"/>
      <c r="TWR136" s="8"/>
      <c r="TWS136" s="8"/>
      <c r="TWT136" s="8"/>
      <c r="TWU136" s="8"/>
      <c r="TWV136" s="8"/>
      <c r="TWW136" s="8"/>
      <c r="TWX136" s="8"/>
      <c r="TWY136" s="8"/>
      <c r="TWZ136" s="8"/>
      <c r="TXA136" s="8"/>
      <c r="TXB136" s="8"/>
      <c r="TXC136" s="8"/>
      <c r="TXD136" s="8"/>
      <c r="TXE136" s="8"/>
      <c r="TXF136" s="8"/>
      <c r="TXG136" s="8"/>
      <c r="TXH136" s="8"/>
      <c r="TXI136" s="8"/>
      <c r="TXJ136" s="8"/>
      <c r="TXK136" s="8"/>
      <c r="TXL136" s="8"/>
      <c r="TXM136" s="8"/>
      <c r="TXN136" s="8"/>
      <c r="TXO136" s="8"/>
      <c r="TXP136" s="8"/>
      <c r="TXQ136" s="8"/>
      <c r="TXR136" s="8"/>
      <c r="TXS136" s="8"/>
      <c r="TXT136" s="8"/>
      <c r="TXU136" s="8"/>
      <c r="TXV136" s="8"/>
      <c r="TXW136" s="8"/>
      <c r="TXX136" s="8"/>
      <c r="TXY136" s="8"/>
      <c r="TXZ136" s="8"/>
      <c r="TYA136" s="8"/>
      <c r="TYB136" s="8"/>
      <c r="TYC136" s="8"/>
      <c r="TYD136" s="8"/>
      <c r="TYE136" s="8"/>
      <c r="TYF136" s="8"/>
      <c r="TYG136" s="8"/>
      <c r="TYH136" s="8"/>
      <c r="TYI136" s="8"/>
      <c r="TYJ136" s="8"/>
      <c r="TYK136" s="8"/>
      <c r="TYL136" s="8"/>
      <c r="TYM136" s="8"/>
      <c r="TYN136" s="8"/>
      <c r="TYO136" s="8"/>
      <c r="TYP136" s="8"/>
      <c r="TYQ136" s="8"/>
      <c r="TYR136" s="8"/>
      <c r="TYS136" s="8"/>
      <c r="TYT136" s="8"/>
      <c r="TYU136" s="8"/>
      <c r="TYV136" s="8"/>
      <c r="TYW136" s="8"/>
      <c r="TYX136" s="8"/>
      <c r="TYY136" s="8"/>
      <c r="TYZ136" s="8"/>
      <c r="TZA136" s="8"/>
      <c r="TZB136" s="8"/>
      <c r="TZC136" s="8"/>
      <c r="TZD136" s="8"/>
      <c r="TZE136" s="8"/>
      <c r="TZF136" s="8"/>
      <c r="TZG136" s="8"/>
      <c r="TZH136" s="8"/>
      <c r="TZI136" s="8"/>
      <c r="TZJ136" s="8"/>
      <c r="TZK136" s="8"/>
      <c r="TZL136" s="8"/>
      <c r="TZM136" s="8"/>
      <c r="TZN136" s="8"/>
      <c r="TZO136" s="8"/>
      <c r="TZP136" s="8"/>
      <c r="TZQ136" s="8"/>
      <c r="TZR136" s="8"/>
      <c r="TZS136" s="8"/>
      <c r="TZT136" s="8"/>
      <c r="TZU136" s="8"/>
      <c r="TZV136" s="8"/>
      <c r="TZW136" s="8"/>
      <c r="TZX136" s="8"/>
      <c r="TZY136" s="8"/>
      <c r="TZZ136" s="8"/>
      <c r="UAA136" s="8"/>
      <c r="UAB136" s="8"/>
      <c r="UAC136" s="8"/>
      <c r="UAD136" s="8"/>
      <c r="UAE136" s="8"/>
      <c r="UAF136" s="8"/>
      <c r="UAG136" s="8"/>
      <c r="UAH136" s="8"/>
      <c r="UAI136" s="8"/>
      <c r="UAJ136" s="8"/>
      <c r="UAK136" s="8"/>
      <c r="UAL136" s="8"/>
      <c r="UAM136" s="8"/>
      <c r="UAN136" s="8"/>
      <c r="UAO136" s="8"/>
      <c r="UAP136" s="8"/>
      <c r="UAQ136" s="8"/>
      <c r="UAR136" s="8"/>
      <c r="UAS136" s="8"/>
      <c r="UAT136" s="8"/>
      <c r="UAU136" s="8"/>
      <c r="UAV136" s="8"/>
      <c r="UAW136" s="8"/>
      <c r="UAX136" s="8"/>
      <c r="UAY136" s="8"/>
      <c r="UAZ136" s="8"/>
      <c r="UBA136" s="8"/>
      <c r="UBB136" s="8"/>
      <c r="UBC136" s="8"/>
      <c r="UBD136" s="8"/>
      <c r="UBE136" s="8"/>
      <c r="UBF136" s="8"/>
      <c r="UBG136" s="8"/>
      <c r="UBH136" s="8"/>
      <c r="UBI136" s="8"/>
      <c r="UBJ136" s="8"/>
      <c r="UBK136" s="8"/>
      <c r="UBL136" s="8"/>
      <c r="UBM136" s="8"/>
      <c r="UBN136" s="8"/>
      <c r="UBO136" s="8"/>
      <c r="UBP136" s="8"/>
      <c r="UBQ136" s="8"/>
      <c r="UBR136" s="8"/>
      <c r="UBS136" s="8"/>
      <c r="UBT136" s="8"/>
      <c r="UBU136" s="8"/>
      <c r="UBV136" s="8"/>
      <c r="UBW136" s="8"/>
      <c r="UBX136" s="8"/>
      <c r="UBY136" s="8"/>
      <c r="UBZ136" s="8"/>
      <c r="UCA136" s="8"/>
      <c r="UCB136" s="8"/>
      <c r="UCC136" s="8"/>
      <c r="UCD136" s="8"/>
      <c r="UCE136" s="8"/>
      <c r="UCF136" s="8"/>
      <c r="UCG136" s="8"/>
      <c r="UCH136" s="8"/>
      <c r="UCI136" s="8"/>
      <c r="UCJ136" s="8"/>
      <c r="UCK136" s="8"/>
      <c r="UCL136" s="8"/>
      <c r="UCM136" s="8"/>
      <c r="UCN136" s="8"/>
      <c r="UCO136" s="8"/>
      <c r="UCP136" s="8"/>
      <c r="UCQ136" s="8"/>
      <c r="UCR136" s="8"/>
      <c r="UCS136" s="8"/>
      <c r="UCT136" s="8"/>
      <c r="UCU136" s="8"/>
      <c r="UCV136" s="8"/>
      <c r="UCW136" s="8"/>
      <c r="UCX136" s="8"/>
      <c r="UCY136" s="8"/>
      <c r="UCZ136" s="8"/>
      <c r="UDA136" s="8"/>
      <c r="UDB136" s="8"/>
      <c r="UDC136" s="8"/>
      <c r="UDD136" s="8"/>
      <c r="UDE136" s="8"/>
      <c r="UDF136" s="8"/>
      <c r="UDG136" s="8"/>
      <c r="UDH136" s="8"/>
      <c r="UDI136" s="8"/>
      <c r="UDJ136" s="8"/>
      <c r="UDK136" s="8"/>
      <c r="UDL136" s="8"/>
      <c r="UDM136" s="8"/>
      <c r="UDN136" s="8"/>
      <c r="UDO136" s="8"/>
      <c r="UDP136" s="8"/>
      <c r="UDQ136" s="8"/>
      <c r="UDR136" s="8"/>
      <c r="UDS136" s="8"/>
      <c r="UDT136" s="8"/>
      <c r="UDU136" s="8"/>
      <c r="UDV136" s="8"/>
      <c r="UDW136" s="8"/>
      <c r="UDX136" s="8"/>
      <c r="UDY136" s="8"/>
      <c r="UDZ136" s="8"/>
      <c r="UEA136" s="8"/>
      <c r="UEB136" s="8"/>
      <c r="UEC136" s="8"/>
      <c r="UED136" s="8"/>
      <c r="UEE136" s="8"/>
      <c r="UEF136" s="8"/>
      <c r="UEG136" s="8"/>
      <c r="UEH136" s="8"/>
      <c r="UEI136" s="8"/>
      <c r="UEJ136" s="8"/>
      <c r="UEK136" s="8"/>
      <c r="UEL136" s="8"/>
      <c r="UEM136" s="8"/>
      <c r="UEN136" s="8"/>
      <c r="UEO136" s="8"/>
      <c r="UEP136" s="8"/>
      <c r="UEQ136" s="8"/>
      <c r="UER136" s="8"/>
      <c r="UES136" s="8"/>
      <c r="UET136" s="8"/>
      <c r="UEU136" s="8"/>
      <c r="UEV136" s="8"/>
      <c r="UEW136" s="8"/>
      <c r="UEX136" s="8"/>
      <c r="UEY136" s="8"/>
      <c r="UEZ136" s="8"/>
      <c r="UFA136" s="8"/>
      <c r="UFB136" s="8"/>
      <c r="UFC136" s="8"/>
      <c r="UFD136" s="8"/>
      <c r="UFE136" s="8"/>
      <c r="UFF136" s="8"/>
      <c r="UFG136" s="8"/>
      <c r="UFH136" s="8"/>
      <c r="UFI136" s="8"/>
      <c r="UFJ136" s="8"/>
      <c r="UFK136" s="8"/>
      <c r="UFL136" s="8"/>
      <c r="UFM136" s="8"/>
      <c r="UFN136" s="8"/>
      <c r="UFO136" s="8"/>
      <c r="UFP136" s="8"/>
      <c r="UFQ136" s="8"/>
      <c r="UFR136" s="8"/>
      <c r="UFS136" s="8"/>
      <c r="UFT136" s="8"/>
      <c r="UFU136" s="8"/>
      <c r="UFV136" s="8"/>
      <c r="UFW136" s="8"/>
      <c r="UFX136" s="8"/>
      <c r="UFY136" s="8"/>
      <c r="UFZ136" s="8"/>
      <c r="UGA136" s="8"/>
      <c r="UGB136" s="8"/>
      <c r="UGC136" s="8"/>
      <c r="UGD136" s="8"/>
      <c r="UGE136" s="8"/>
      <c r="UGF136" s="8"/>
      <c r="UGG136" s="8"/>
      <c r="UGH136" s="8"/>
      <c r="UGI136" s="8"/>
      <c r="UGJ136" s="8"/>
      <c r="UGK136" s="8"/>
      <c r="UGL136" s="8"/>
      <c r="UGM136" s="8"/>
      <c r="UGN136" s="8"/>
      <c r="UGO136" s="8"/>
      <c r="UGP136" s="8"/>
      <c r="UGQ136" s="8"/>
      <c r="UGR136" s="8"/>
      <c r="UGS136" s="8"/>
      <c r="UGT136" s="8"/>
      <c r="UGU136" s="8"/>
      <c r="UGV136" s="8"/>
      <c r="UGW136" s="8"/>
      <c r="UGX136" s="8"/>
      <c r="UGY136" s="8"/>
      <c r="UGZ136" s="8"/>
      <c r="UHA136" s="8"/>
      <c r="UHB136" s="8"/>
      <c r="UHC136" s="8"/>
      <c r="UHD136" s="8"/>
      <c r="UHE136" s="8"/>
      <c r="UHF136" s="8"/>
      <c r="UHG136" s="8"/>
      <c r="UHH136" s="8"/>
      <c r="UHI136" s="8"/>
      <c r="UHJ136" s="8"/>
      <c r="UHK136" s="8"/>
      <c r="UHL136" s="8"/>
      <c r="UHM136" s="8"/>
      <c r="UHN136" s="8"/>
      <c r="UHO136" s="8"/>
      <c r="UHP136" s="8"/>
      <c r="UHQ136" s="8"/>
      <c r="UHR136" s="8"/>
      <c r="UHS136" s="8"/>
      <c r="UHT136" s="8"/>
      <c r="UHU136" s="8"/>
      <c r="UHV136" s="8"/>
      <c r="UHW136" s="8"/>
      <c r="UHX136" s="8"/>
      <c r="UHY136" s="8"/>
      <c r="UHZ136" s="8"/>
      <c r="UIA136" s="8"/>
      <c r="UIB136" s="8"/>
      <c r="UIC136" s="8"/>
      <c r="UID136" s="8"/>
      <c r="UIE136" s="8"/>
      <c r="UIF136" s="8"/>
      <c r="UIG136" s="8"/>
      <c r="UIH136" s="8"/>
      <c r="UII136" s="8"/>
      <c r="UIJ136" s="8"/>
      <c r="UIK136" s="8"/>
      <c r="UIL136" s="8"/>
      <c r="UIM136" s="8"/>
      <c r="UIN136" s="8"/>
      <c r="UIO136" s="8"/>
      <c r="UIP136" s="8"/>
      <c r="UIQ136" s="8"/>
      <c r="UIR136" s="8"/>
      <c r="UIS136" s="8"/>
      <c r="UIT136" s="8"/>
      <c r="UIU136" s="8"/>
      <c r="UIV136" s="8"/>
      <c r="UIW136" s="8"/>
      <c r="UIX136" s="8"/>
      <c r="UIY136" s="8"/>
      <c r="UIZ136" s="8"/>
      <c r="UJA136" s="8"/>
      <c r="UJB136" s="8"/>
      <c r="UJC136" s="8"/>
      <c r="UJD136" s="8"/>
      <c r="UJE136" s="8"/>
      <c r="UJF136" s="8"/>
      <c r="UJG136" s="8"/>
      <c r="UJH136" s="8"/>
      <c r="UJI136" s="8"/>
      <c r="UJJ136" s="8"/>
      <c r="UJK136" s="8"/>
      <c r="UJL136" s="8"/>
      <c r="UJM136" s="8"/>
      <c r="UJN136" s="8"/>
      <c r="UJO136" s="8"/>
      <c r="UJP136" s="8"/>
      <c r="UJQ136" s="8"/>
      <c r="UJR136" s="8"/>
      <c r="UJS136" s="8"/>
      <c r="UJT136" s="8"/>
      <c r="UJU136" s="8"/>
      <c r="UJV136" s="8"/>
      <c r="UJW136" s="8"/>
      <c r="UJX136" s="8"/>
      <c r="UJY136" s="8"/>
      <c r="UJZ136" s="8"/>
      <c r="UKA136" s="8"/>
      <c r="UKB136" s="8"/>
      <c r="UKC136" s="8"/>
      <c r="UKD136" s="8"/>
      <c r="UKE136" s="8"/>
      <c r="UKF136" s="8"/>
      <c r="UKG136" s="8"/>
      <c r="UKH136" s="8"/>
      <c r="UKI136" s="8"/>
      <c r="UKJ136" s="8"/>
      <c r="UKK136" s="8"/>
      <c r="UKL136" s="8"/>
      <c r="UKM136" s="8"/>
      <c r="UKN136" s="8"/>
      <c r="UKO136" s="8"/>
      <c r="UKP136" s="8"/>
      <c r="UKQ136" s="8"/>
      <c r="UKR136" s="8"/>
      <c r="UKS136" s="8"/>
      <c r="UKT136" s="8"/>
      <c r="UKU136" s="8"/>
      <c r="UKV136" s="8"/>
      <c r="UKW136" s="8"/>
      <c r="UKX136" s="8"/>
      <c r="UKY136" s="8"/>
      <c r="UKZ136" s="8"/>
      <c r="ULA136" s="8"/>
      <c r="ULB136" s="8"/>
      <c r="ULC136" s="8"/>
      <c r="ULD136" s="8"/>
      <c r="ULE136" s="8"/>
      <c r="ULF136" s="8"/>
      <c r="ULG136" s="8"/>
      <c r="ULH136" s="8"/>
      <c r="ULI136" s="8"/>
      <c r="ULJ136" s="8"/>
      <c r="ULK136" s="8"/>
      <c r="ULL136" s="8"/>
      <c r="ULM136" s="8"/>
      <c r="ULN136" s="8"/>
      <c r="ULO136" s="8"/>
      <c r="ULP136" s="8"/>
      <c r="ULQ136" s="8"/>
      <c r="ULR136" s="8"/>
      <c r="ULS136" s="8"/>
      <c r="ULT136" s="8"/>
      <c r="ULU136" s="8"/>
      <c r="ULV136" s="8"/>
      <c r="ULW136" s="8"/>
      <c r="ULX136" s="8"/>
      <c r="ULY136" s="8"/>
      <c r="ULZ136" s="8"/>
      <c r="UMA136" s="8"/>
      <c r="UMB136" s="8"/>
      <c r="UMC136" s="8"/>
      <c r="UMD136" s="8"/>
      <c r="UME136" s="8"/>
      <c r="UMF136" s="8"/>
      <c r="UMG136" s="8"/>
      <c r="UMH136" s="8"/>
      <c r="UMI136" s="8"/>
      <c r="UMJ136" s="8"/>
      <c r="UMK136" s="8"/>
      <c r="UML136" s="8"/>
      <c r="UMM136" s="8"/>
      <c r="UMN136" s="8"/>
      <c r="UMO136" s="8"/>
      <c r="UMP136" s="8"/>
      <c r="UMQ136" s="8"/>
      <c r="UMR136" s="8"/>
      <c r="UMS136" s="8"/>
      <c r="UMT136" s="8"/>
      <c r="UMU136" s="8"/>
      <c r="UMV136" s="8"/>
      <c r="UMW136" s="8"/>
      <c r="UMX136" s="8"/>
      <c r="UMY136" s="8"/>
      <c r="UMZ136" s="8"/>
      <c r="UNA136" s="8"/>
      <c r="UNB136" s="8"/>
      <c r="UNC136" s="8"/>
      <c r="UND136" s="8"/>
      <c r="UNE136" s="8"/>
      <c r="UNF136" s="8"/>
      <c r="UNG136" s="8"/>
      <c r="UNH136" s="8"/>
      <c r="UNI136" s="8"/>
      <c r="UNJ136" s="8"/>
      <c r="UNK136" s="8"/>
      <c r="UNL136" s="8"/>
      <c r="UNM136" s="8"/>
      <c r="UNN136" s="8"/>
      <c r="UNO136" s="8"/>
      <c r="UNP136" s="8"/>
      <c r="UNQ136" s="8"/>
      <c r="UNR136" s="8"/>
      <c r="UNS136" s="8"/>
      <c r="UNT136" s="8"/>
      <c r="UNU136" s="8"/>
      <c r="UNV136" s="8"/>
      <c r="UNW136" s="8"/>
      <c r="UNX136" s="8"/>
      <c r="UNY136" s="8"/>
      <c r="UNZ136" s="8"/>
      <c r="UOA136" s="8"/>
      <c r="UOB136" s="8"/>
      <c r="UOC136" s="8"/>
      <c r="UOD136" s="8"/>
      <c r="UOE136" s="8"/>
      <c r="UOF136" s="8"/>
      <c r="UOG136" s="8"/>
      <c r="UOH136" s="8"/>
      <c r="UOI136" s="8"/>
      <c r="UOJ136" s="8"/>
      <c r="UOK136" s="8"/>
      <c r="UOL136" s="8"/>
      <c r="UOM136" s="8"/>
      <c r="UON136" s="8"/>
      <c r="UOO136" s="8"/>
      <c r="UOP136" s="8"/>
      <c r="UOQ136" s="8"/>
      <c r="UOR136" s="8"/>
      <c r="UOS136" s="8"/>
      <c r="UOT136" s="8"/>
      <c r="UOU136" s="8"/>
      <c r="UOV136" s="8"/>
      <c r="UOW136" s="8"/>
      <c r="UOX136" s="8"/>
      <c r="UOY136" s="8"/>
      <c r="UOZ136" s="8"/>
      <c r="UPA136" s="8"/>
      <c r="UPB136" s="8"/>
      <c r="UPC136" s="8"/>
      <c r="UPD136" s="8"/>
      <c r="UPE136" s="8"/>
      <c r="UPF136" s="8"/>
      <c r="UPG136" s="8"/>
      <c r="UPH136" s="8"/>
      <c r="UPI136" s="8"/>
      <c r="UPJ136" s="8"/>
      <c r="UPK136" s="8"/>
      <c r="UPL136" s="8"/>
      <c r="UPM136" s="8"/>
      <c r="UPN136" s="8"/>
      <c r="UPO136" s="8"/>
      <c r="UPP136" s="8"/>
      <c r="UPQ136" s="8"/>
      <c r="UPR136" s="8"/>
      <c r="UPS136" s="8"/>
      <c r="UPT136" s="8"/>
      <c r="UPU136" s="8"/>
      <c r="UPV136" s="8"/>
      <c r="UPW136" s="8"/>
      <c r="UPX136" s="8"/>
      <c r="UPY136" s="8"/>
      <c r="UPZ136" s="8"/>
      <c r="UQA136" s="8"/>
      <c r="UQB136" s="8"/>
      <c r="UQC136" s="8"/>
      <c r="UQD136" s="8"/>
      <c r="UQE136" s="8"/>
      <c r="UQF136" s="8"/>
      <c r="UQG136" s="8"/>
      <c r="UQH136" s="8"/>
      <c r="UQI136" s="8"/>
      <c r="UQJ136" s="8"/>
      <c r="UQK136" s="8"/>
      <c r="UQL136" s="8"/>
      <c r="UQM136" s="8"/>
      <c r="UQN136" s="8"/>
      <c r="UQO136" s="8"/>
      <c r="UQP136" s="8"/>
      <c r="UQQ136" s="8"/>
      <c r="UQR136" s="8"/>
      <c r="UQS136" s="8"/>
      <c r="UQT136" s="8"/>
      <c r="UQU136" s="8"/>
      <c r="UQV136" s="8"/>
      <c r="UQW136" s="8"/>
      <c r="UQX136" s="8"/>
      <c r="UQY136" s="8"/>
      <c r="UQZ136" s="8"/>
      <c r="URA136" s="8"/>
      <c r="URB136" s="8"/>
      <c r="URC136" s="8"/>
      <c r="URD136" s="8"/>
      <c r="URE136" s="8"/>
      <c r="URF136" s="8"/>
      <c r="URG136" s="8"/>
      <c r="URH136" s="8"/>
      <c r="URI136" s="8"/>
      <c r="URJ136" s="8"/>
      <c r="URK136" s="8"/>
      <c r="URL136" s="8"/>
      <c r="URM136" s="8"/>
      <c r="URN136" s="8"/>
      <c r="URO136" s="8"/>
      <c r="URP136" s="8"/>
      <c r="URQ136" s="8"/>
      <c r="URR136" s="8"/>
      <c r="URS136" s="8"/>
      <c r="URT136" s="8"/>
      <c r="URU136" s="8"/>
      <c r="URV136" s="8"/>
      <c r="URW136" s="8"/>
      <c r="URX136" s="8"/>
      <c r="URY136" s="8"/>
      <c r="URZ136" s="8"/>
      <c r="USA136" s="8"/>
      <c r="USB136" s="8"/>
      <c r="USC136" s="8"/>
      <c r="USD136" s="8"/>
      <c r="USE136" s="8"/>
      <c r="USF136" s="8"/>
      <c r="USG136" s="8"/>
      <c r="USH136" s="8"/>
      <c r="USI136" s="8"/>
      <c r="USJ136" s="8"/>
      <c r="USK136" s="8"/>
      <c r="USL136" s="8"/>
      <c r="USM136" s="8"/>
      <c r="USN136" s="8"/>
      <c r="USO136" s="8"/>
      <c r="USP136" s="8"/>
      <c r="USQ136" s="8"/>
      <c r="USR136" s="8"/>
      <c r="USS136" s="8"/>
      <c r="UST136" s="8"/>
      <c r="USU136" s="8"/>
      <c r="USV136" s="8"/>
      <c r="USW136" s="8"/>
      <c r="USX136" s="8"/>
      <c r="USY136" s="8"/>
      <c r="USZ136" s="8"/>
      <c r="UTA136" s="8"/>
      <c r="UTB136" s="8"/>
      <c r="UTC136" s="8"/>
      <c r="UTD136" s="8"/>
      <c r="UTE136" s="8"/>
      <c r="UTF136" s="8"/>
      <c r="UTG136" s="8"/>
      <c r="UTH136" s="8"/>
      <c r="UTI136" s="8"/>
      <c r="UTJ136" s="8"/>
      <c r="UTK136" s="8"/>
      <c r="UTL136" s="8"/>
      <c r="UTM136" s="8"/>
      <c r="UTN136" s="8"/>
      <c r="UTO136" s="8"/>
      <c r="UTP136" s="8"/>
      <c r="UTQ136" s="8"/>
      <c r="UTR136" s="8"/>
      <c r="UTS136" s="8"/>
      <c r="UTT136" s="8"/>
      <c r="UTU136" s="8"/>
      <c r="UTV136" s="8"/>
      <c r="UTW136" s="8"/>
      <c r="UTX136" s="8"/>
      <c r="UTY136" s="8"/>
      <c r="UTZ136" s="8"/>
      <c r="UUA136" s="8"/>
      <c r="UUB136" s="8"/>
      <c r="UUC136" s="8"/>
      <c r="UUD136" s="8"/>
      <c r="UUE136" s="8"/>
      <c r="UUF136" s="8"/>
      <c r="UUG136" s="8"/>
      <c r="UUH136" s="8"/>
      <c r="UUI136" s="8"/>
      <c r="UUJ136" s="8"/>
      <c r="UUK136" s="8"/>
      <c r="UUL136" s="8"/>
      <c r="UUM136" s="8"/>
      <c r="UUN136" s="8"/>
      <c r="UUO136" s="8"/>
      <c r="UUP136" s="8"/>
      <c r="UUQ136" s="8"/>
      <c r="UUR136" s="8"/>
      <c r="UUS136" s="8"/>
      <c r="UUT136" s="8"/>
      <c r="UUU136" s="8"/>
      <c r="UUV136" s="8"/>
      <c r="UUW136" s="8"/>
      <c r="UUX136" s="8"/>
      <c r="UUY136" s="8"/>
      <c r="UUZ136" s="8"/>
      <c r="UVA136" s="8"/>
      <c r="UVB136" s="8"/>
      <c r="UVC136" s="8"/>
      <c r="UVD136" s="8"/>
      <c r="UVE136" s="8"/>
      <c r="UVF136" s="8"/>
      <c r="UVG136" s="8"/>
      <c r="UVH136" s="8"/>
      <c r="UVI136" s="8"/>
      <c r="UVJ136" s="8"/>
      <c r="UVK136" s="8"/>
      <c r="UVL136" s="8"/>
      <c r="UVM136" s="8"/>
      <c r="UVN136" s="8"/>
      <c r="UVO136" s="8"/>
      <c r="UVP136" s="8"/>
      <c r="UVQ136" s="8"/>
      <c r="UVR136" s="8"/>
      <c r="UVS136" s="8"/>
      <c r="UVT136" s="8"/>
      <c r="UVU136" s="8"/>
      <c r="UVV136" s="8"/>
      <c r="UVW136" s="8"/>
      <c r="UVX136" s="8"/>
      <c r="UVY136" s="8"/>
      <c r="UVZ136" s="8"/>
      <c r="UWA136" s="8"/>
      <c r="UWB136" s="8"/>
      <c r="UWC136" s="8"/>
      <c r="UWD136" s="8"/>
      <c r="UWE136" s="8"/>
      <c r="UWF136" s="8"/>
      <c r="UWG136" s="8"/>
      <c r="UWH136" s="8"/>
      <c r="UWI136" s="8"/>
      <c r="UWJ136" s="8"/>
      <c r="UWK136" s="8"/>
      <c r="UWL136" s="8"/>
      <c r="UWM136" s="8"/>
      <c r="UWN136" s="8"/>
      <c r="UWO136" s="8"/>
      <c r="UWP136" s="8"/>
      <c r="UWQ136" s="8"/>
      <c r="UWR136" s="8"/>
      <c r="UWS136" s="8"/>
      <c r="UWT136" s="8"/>
      <c r="UWU136" s="8"/>
      <c r="UWV136" s="8"/>
      <c r="UWW136" s="8"/>
      <c r="UWX136" s="8"/>
      <c r="UWY136" s="8"/>
      <c r="UWZ136" s="8"/>
      <c r="UXA136" s="8"/>
      <c r="UXB136" s="8"/>
      <c r="UXC136" s="8"/>
      <c r="UXD136" s="8"/>
      <c r="UXE136" s="8"/>
      <c r="UXF136" s="8"/>
      <c r="UXG136" s="8"/>
      <c r="UXH136" s="8"/>
      <c r="UXI136" s="8"/>
      <c r="UXJ136" s="8"/>
      <c r="UXK136" s="8"/>
      <c r="UXL136" s="8"/>
      <c r="UXM136" s="8"/>
      <c r="UXN136" s="8"/>
      <c r="UXO136" s="8"/>
      <c r="UXP136" s="8"/>
      <c r="UXQ136" s="8"/>
      <c r="UXR136" s="8"/>
      <c r="UXS136" s="8"/>
      <c r="UXT136" s="8"/>
      <c r="UXU136" s="8"/>
      <c r="UXV136" s="8"/>
      <c r="UXW136" s="8"/>
      <c r="UXX136" s="8"/>
      <c r="UXY136" s="8"/>
      <c r="UXZ136" s="8"/>
      <c r="UYA136" s="8"/>
      <c r="UYB136" s="8"/>
      <c r="UYC136" s="8"/>
      <c r="UYD136" s="8"/>
      <c r="UYE136" s="8"/>
      <c r="UYF136" s="8"/>
      <c r="UYG136" s="8"/>
      <c r="UYH136" s="8"/>
      <c r="UYI136" s="8"/>
      <c r="UYJ136" s="8"/>
      <c r="UYK136" s="8"/>
      <c r="UYL136" s="8"/>
      <c r="UYM136" s="8"/>
      <c r="UYN136" s="8"/>
      <c r="UYO136" s="8"/>
      <c r="UYP136" s="8"/>
      <c r="UYQ136" s="8"/>
      <c r="UYR136" s="8"/>
      <c r="UYS136" s="8"/>
      <c r="UYT136" s="8"/>
      <c r="UYU136" s="8"/>
      <c r="UYV136" s="8"/>
      <c r="UYW136" s="8"/>
      <c r="UYX136" s="8"/>
      <c r="UYY136" s="8"/>
      <c r="UYZ136" s="8"/>
      <c r="UZA136" s="8"/>
      <c r="UZB136" s="8"/>
      <c r="UZC136" s="8"/>
      <c r="UZD136" s="8"/>
      <c r="UZE136" s="8"/>
      <c r="UZF136" s="8"/>
      <c r="UZG136" s="8"/>
      <c r="UZH136" s="8"/>
      <c r="UZI136" s="8"/>
      <c r="UZJ136" s="8"/>
      <c r="UZK136" s="8"/>
      <c r="UZL136" s="8"/>
      <c r="UZM136" s="8"/>
      <c r="UZN136" s="8"/>
      <c r="UZO136" s="8"/>
      <c r="UZP136" s="8"/>
      <c r="UZQ136" s="8"/>
      <c r="UZR136" s="8"/>
      <c r="UZS136" s="8"/>
      <c r="UZT136" s="8"/>
      <c r="UZU136" s="8"/>
      <c r="UZV136" s="8"/>
      <c r="UZW136" s="8"/>
      <c r="UZX136" s="8"/>
      <c r="UZY136" s="8"/>
      <c r="UZZ136" s="8"/>
      <c r="VAA136" s="8"/>
      <c r="VAB136" s="8"/>
      <c r="VAC136" s="8"/>
      <c r="VAD136" s="8"/>
      <c r="VAE136" s="8"/>
      <c r="VAF136" s="8"/>
      <c r="VAG136" s="8"/>
      <c r="VAH136" s="8"/>
      <c r="VAI136" s="8"/>
      <c r="VAJ136" s="8"/>
      <c r="VAK136" s="8"/>
      <c r="VAL136" s="8"/>
      <c r="VAM136" s="8"/>
      <c r="VAN136" s="8"/>
      <c r="VAO136" s="8"/>
      <c r="VAP136" s="8"/>
      <c r="VAQ136" s="8"/>
      <c r="VAR136" s="8"/>
      <c r="VAS136" s="8"/>
      <c r="VAT136" s="8"/>
      <c r="VAU136" s="8"/>
      <c r="VAV136" s="8"/>
      <c r="VAW136" s="8"/>
      <c r="VAX136" s="8"/>
      <c r="VAY136" s="8"/>
      <c r="VAZ136" s="8"/>
      <c r="VBA136" s="8"/>
      <c r="VBB136" s="8"/>
      <c r="VBC136" s="8"/>
      <c r="VBD136" s="8"/>
      <c r="VBE136" s="8"/>
      <c r="VBF136" s="8"/>
      <c r="VBG136" s="8"/>
      <c r="VBH136" s="8"/>
      <c r="VBI136" s="8"/>
      <c r="VBJ136" s="8"/>
      <c r="VBK136" s="8"/>
      <c r="VBL136" s="8"/>
      <c r="VBM136" s="8"/>
      <c r="VBN136" s="8"/>
      <c r="VBO136" s="8"/>
      <c r="VBP136" s="8"/>
      <c r="VBQ136" s="8"/>
      <c r="VBR136" s="8"/>
      <c r="VBS136" s="8"/>
      <c r="VBT136" s="8"/>
      <c r="VBU136" s="8"/>
      <c r="VBV136" s="8"/>
      <c r="VBW136" s="8"/>
      <c r="VBX136" s="8"/>
      <c r="VBY136" s="8"/>
      <c r="VBZ136" s="8"/>
      <c r="VCA136" s="8"/>
      <c r="VCB136" s="8"/>
      <c r="VCC136" s="8"/>
      <c r="VCD136" s="8"/>
      <c r="VCE136" s="8"/>
      <c r="VCF136" s="8"/>
      <c r="VCG136" s="8"/>
      <c r="VCH136" s="8"/>
      <c r="VCI136" s="8"/>
      <c r="VCJ136" s="8"/>
      <c r="VCK136" s="8"/>
      <c r="VCL136" s="8"/>
      <c r="VCM136" s="8"/>
      <c r="VCN136" s="8"/>
      <c r="VCO136" s="8"/>
      <c r="VCP136" s="8"/>
      <c r="VCQ136" s="8"/>
      <c r="VCR136" s="8"/>
      <c r="VCS136" s="8"/>
      <c r="VCT136" s="8"/>
      <c r="VCU136" s="8"/>
      <c r="VCV136" s="8"/>
      <c r="VCW136" s="8"/>
      <c r="VCX136" s="8"/>
      <c r="VCY136" s="8"/>
      <c r="VCZ136" s="8"/>
      <c r="VDA136" s="8"/>
      <c r="VDB136" s="8"/>
      <c r="VDC136" s="8"/>
      <c r="VDD136" s="8"/>
      <c r="VDE136" s="8"/>
      <c r="VDF136" s="8"/>
      <c r="VDG136" s="8"/>
      <c r="VDH136" s="8"/>
      <c r="VDI136" s="8"/>
      <c r="VDJ136" s="8"/>
      <c r="VDK136" s="8"/>
      <c r="VDL136" s="8"/>
      <c r="VDM136" s="8"/>
      <c r="VDN136" s="8"/>
      <c r="VDO136" s="8"/>
      <c r="VDP136" s="8"/>
      <c r="VDQ136" s="8"/>
      <c r="VDR136" s="8"/>
      <c r="VDS136" s="8"/>
      <c r="VDT136" s="8"/>
      <c r="VDU136" s="8"/>
      <c r="VDV136" s="8"/>
      <c r="VDW136" s="8"/>
      <c r="VDX136" s="8"/>
      <c r="VDY136" s="8"/>
      <c r="VDZ136" s="8"/>
      <c r="VEA136" s="8"/>
      <c r="VEB136" s="8"/>
      <c r="VEC136" s="8"/>
      <c r="VED136" s="8"/>
      <c r="VEE136" s="8"/>
      <c r="VEF136" s="8"/>
      <c r="VEG136" s="8"/>
      <c r="VEH136" s="8"/>
      <c r="VEI136" s="8"/>
      <c r="VEJ136" s="8"/>
      <c r="VEK136" s="8"/>
      <c r="VEL136" s="8"/>
      <c r="VEM136" s="8"/>
      <c r="VEN136" s="8"/>
      <c r="VEO136" s="8"/>
      <c r="VEP136" s="8"/>
      <c r="VEQ136" s="8"/>
      <c r="VER136" s="8"/>
      <c r="VES136" s="8"/>
      <c r="VET136" s="8"/>
      <c r="VEU136" s="8"/>
      <c r="VEV136" s="8"/>
      <c r="VEW136" s="8"/>
      <c r="VEX136" s="8"/>
      <c r="VEY136" s="8"/>
      <c r="VEZ136" s="8"/>
      <c r="VFA136" s="8"/>
      <c r="VFB136" s="8"/>
      <c r="VFC136" s="8"/>
      <c r="VFD136" s="8"/>
      <c r="VFE136" s="8"/>
      <c r="VFF136" s="8"/>
      <c r="VFG136" s="8"/>
      <c r="VFH136" s="8"/>
      <c r="VFI136" s="8"/>
      <c r="VFJ136" s="8"/>
      <c r="VFK136" s="8"/>
      <c r="VFL136" s="8"/>
      <c r="VFM136" s="8"/>
      <c r="VFN136" s="8"/>
      <c r="VFO136" s="8"/>
      <c r="VFP136" s="8"/>
      <c r="VFQ136" s="8"/>
      <c r="VFR136" s="8"/>
      <c r="VFS136" s="8"/>
      <c r="VFT136" s="8"/>
      <c r="VFU136" s="8"/>
      <c r="VFV136" s="8"/>
      <c r="VFW136" s="8"/>
      <c r="VFX136" s="8"/>
      <c r="VFY136" s="8"/>
      <c r="VFZ136" s="8"/>
      <c r="VGA136" s="8"/>
      <c r="VGB136" s="8"/>
      <c r="VGC136" s="8"/>
      <c r="VGD136" s="8"/>
      <c r="VGE136" s="8"/>
      <c r="VGF136" s="8"/>
      <c r="VGG136" s="8"/>
      <c r="VGH136" s="8"/>
      <c r="VGI136" s="8"/>
      <c r="VGJ136" s="8"/>
      <c r="VGK136" s="8"/>
      <c r="VGL136" s="8"/>
      <c r="VGM136" s="8"/>
      <c r="VGN136" s="8"/>
      <c r="VGO136" s="8"/>
      <c r="VGP136" s="8"/>
      <c r="VGQ136" s="8"/>
      <c r="VGR136" s="8"/>
      <c r="VGS136" s="8"/>
      <c r="VGT136" s="8"/>
      <c r="VGU136" s="8"/>
      <c r="VGV136" s="8"/>
      <c r="VGW136" s="8"/>
      <c r="VGX136" s="8"/>
      <c r="VGY136" s="8"/>
      <c r="VGZ136" s="8"/>
      <c r="VHA136" s="8"/>
      <c r="VHB136" s="8"/>
      <c r="VHC136" s="8"/>
      <c r="VHD136" s="8"/>
      <c r="VHE136" s="8"/>
      <c r="VHF136" s="8"/>
      <c r="VHG136" s="8"/>
      <c r="VHH136" s="8"/>
      <c r="VHI136" s="8"/>
      <c r="VHJ136" s="8"/>
      <c r="VHK136" s="8"/>
      <c r="VHL136" s="8"/>
      <c r="VHM136" s="8"/>
      <c r="VHN136" s="8"/>
      <c r="VHO136" s="8"/>
      <c r="VHP136" s="8"/>
      <c r="VHQ136" s="8"/>
      <c r="VHR136" s="8"/>
      <c r="VHS136" s="8"/>
      <c r="VHT136" s="8"/>
      <c r="VHU136" s="8"/>
      <c r="VHV136" s="8"/>
      <c r="VHW136" s="8"/>
      <c r="VHX136" s="8"/>
      <c r="VHY136" s="8"/>
      <c r="VHZ136" s="8"/>
      <c r="VIA136" s="8"/>
      <c r="VIB136" s="8"/>
      <c r="VIC136" s="8"/>
      <c r="VID136" s="8"/>
      <c r="VIE136" s="8"/>
      <c r="VIF136" s="8"/>
      <c r="VIG136" s="8"/>
      <c r="VIH136" s="8"/>
      <c r="VII136" s="8"/>
      <c r="VIJ136" s="8"/>
      <c r="VIK136" s="8"/>
      <c r="VIL136" s="8"/>
      <c r="VIM136" s="8"/>
      <c r="VIN136" s="8"/>
      <c r="VIO136" s="8"/>
      <c r="VIP136" s="8"/>
      <c r="VIQ136" s="8"/>
      <c r="VIR136" s="8"/>
      <c r="VIS136" s="8"/>
      <c r="VIT136" s="8"/>
      <c r="VIU136" s="8"/>
      <c r="VIV136" s="8"/>
      <c r="VIW136" s="8"/>
      <c r="VIX136" s="8"/>
      <c r="VIY136" s="8"/>
      <c r="VIZ136" s="8"/>
      <c r="VJA136" s="8"/>
      <c r="VJB136" s="8"/>
      <c r="VJC136" s="8"/>
      <c r="VJD136" s="8"/>
      <c r="VJE136" s="8"/>
      <c r="VJF136" s="8"/>
      <c r="VJG136" s="8"/>
      <c r="VJH136" s="8"/>
      <c r="VJI136" s="8"/>
      <c r="VJJ136" s="8"/>
      <c r="VJK136" s="8"/>
      <c r="VJL136" s="8"/>
      <c r="VJM136" s="8"/>
      <c r="VJN136" s="8"/>
      <c r="VJO136" s="8"/>
      <c r="VJP136" s="8"/>
      <c r="VJQ136" s="8"/>
      <c r="VJR136" s="8"/>
      <c r="VJS136" s="8"/>
      <c r="VJT136" s="8"/>
      <c r="VJU136" s="8"/>
      <c r="VJV136" s="8"/>
      <c r="VJW136" s="8"/>
      <c r="VJX136" s="8"/>
      <c r="VJY136" s="8"/>
      <c r="VJZ136" s="8"/>
      <c r="VKA136" s="8"/>
      <c r="VKB136" s="8"/>
      <c r="VKC136" s="8"/>
      <c r="VKD136" s="8"/>
      <c r="VKE136" s="8"/>
      <c r="VKF136" s="8"/>
      <c r="VKG136" s="8"/>
      <c r="VKH136" s="8"/>
      <c r="VKI136" s="8"/>
      <c r="VKJ136" s="8"/>
      <c r="VKK136" s="8"/>
      <c r="VKL136" s="8"/>
      <c r="VKM136" s="8"/>
      <c r="VKN136" s="8"/>
      <c r="VKO136" s="8"/>
      <c r="VKP136" s="8"/>
      <c r="VKQ136" s="8"/>
      <c r="VKR136" s="8"/>
      <c r="VKS136" s="8"/>
      <c r="VKT136" s="8"/>
      <c r="VKU136" s="8"/>
      <c r="VKV136" s="8"/>
      <c r="VKW136" s="8"/>
      <c r="VKX136" s="8"/>
      <c r="VKY136" s="8"/>
      <c r="VKZ136" s="8"/>
      <c r="VLA136" s="8"/>
      <c r="VLB136" s="8"/>
      <c r="VLC136" s="8"/>
      <c r="VLD136" s="8"/>
      <c r="VLE136" s="8"/>
      <c r="VLF136" s="8"/>
      <c r="VLG136" s="8"/>
      <c r="VLH136" s="8"/>
      <c r="VLI136" s="8"/>
      <c r="VLJ136" s="8"/>
      <c r="VLK136" s="8"/>
      <c r="VLL136" s="8"/>
      <c r="VLM136" s="8"/>
      <c r="VLN136" s="8"/>
      <c r="VLO136" s="8"/>
      <c r="VLP136" s="8"/>
      <c r="VLQ136" s="8"/>
      <c r="VLR136" s="8"/>
      <c r="VLS136" s="8"/>
      <c r="VLT136" s="8"/>
      <c r="VLU136" s="8"/>
      <c r="VLV136" s="8"/>
      <c r="VLW136" s="8"/>
      <c r="VLX136" s="8"/>
      <c r="VLY136" s="8"/>
      <c r="VLZ136" s="8"/>
      <c r="VMA136" s="8"/>
      <c r="VMB136" s="8"/>
      <c r="VMC136" s="8"/>
      <c r="VMD136" s="8"/>
      <c r="VME136" s="8"/>
      <c r="VMF136" s="8"/>
      <c r="VMG136" s="8"/>
      <c r="VMH136" s="8"/>
      <c r="VMI136" s="8"/>
      <c r="VMJ136" s="8"/>
      <c r="VMK136" s="8"/>
      <c r="VML136" s="8"/>
      <c r="VMM136" s="8"/>
      <c r="VMN136" s="8"/>
      <c r="VMO136" s="8"/>
      <c r="VMP136" s="8"/>
      <c r="VMQ136" s="8"/>
      <c r="VMR136" s="8"/>
      <c r="VMS136" s="8"/>
      <c r="VMT136" s="8"/>
      <c r="VMU136" s="8"/>
      <c r="VMV136" s="8"/>
      <c r="VMW136" s="8"/>
      <c r="VMX136" s="8"/>
      <c r="VMY136" s="8"/>
      <c r="VMZ136" s="8"/>
      <c r="VNA136" s="8"/>
      <c r="VNB136" s="8"/>
      <c r="VNC136" s="8"/>
      <c r="VND136" s="8"/>
      <c r="VNE136" s="8"/>
      <c r="VNF136" s="8"/>
      <c r="VNG136" s="8"/>
      <c r="VNH136" s="8"/>
      <c r="VNI136" s="8"/>
      <c r="VNJ136" s="8"/>
      <c r="VNK136" s="8"/>
      <c r="VNL136" s="8"/>
      <c r="VNM136" s="8"/>
      <c r="VNN136" s="8"/>
      <c r="VNO136" s="8"/>
      <c r="VNP136" s="8"/>
      <c r="VNQ136" s="8"/>
      <c r="VNR136" s="8"/>
      <c r="VNS136" s="8"/>
      <c r="VNT136" s="8"/>
      <c r="VNU136" s="8"/>
      <c r="VNV136" s="8"/>
      <c r="VNW136" s="8"/>
      <c r="VNX136" s="8"/>
      <c r="VNY136" s="8"/>
      <c r="VNZ136" s="8"/>
      <c r="VOA136" s="8"/>
      <c r="VOB136" s="8"/>
      <c r="VOC136" s="8"/>
      <c r="VOD136" s="8"/>
      <c r="VOE136" s="8"/>
      <c r="VOF136" s="8"/>
      <c r="VOG136" s="8"/>
      <c r="VOH136" s="8"/>
      <c r="VOI136" s="8"/>
      <c r="VOJ136" s="8"/>
      <c r="VOK136" s="8"/>
      <c r="VOL136" s="8"/>
      <c r="VOM136" s="8"/>
      <c r="VON136" s="8"/>
      <c r="VOO136" s="8"/>
      <c r="VOP136" s="8"/>
      <c r="VOQ136" s="8"/>
      <c r="VOR136" s="8"/>
      <c r="VOS136" s="8"/>
      <c r="VOT136" s="8"/>
      <c r="VOU136" s="8"/>
      <c r="VOV136" s="8"/>
      <c r="VOW136" s="8"/>
      <c r="VOX136" s="8"/>
      <c r="VOY136" s="8"/>
      <c r="VOZ136" s="8"/>
      <c r="VPA136" s="8"/>
      <c r="VPB136" s="8"/>
      <c r="VPC136" s="8"/>
      <c r="VPD136" s="8"/>
      <c r="VPE136" s="8"/>
      <c r="VPF136" s="8"/>
      <c r="VPG136" s="8"/>
      <c r="VPH136" s="8"/>
      <c r="VPI136" s="8"/>
      <c r="VPJ136" s="8"/>
      <c r="VPK136" s="8"/>
      <c r="VPL136" s="8"/>
      <c r="VPM136" s="8"/>
      <c r="VPN136" s="8"/>
      <c r="VPO136" s="8"/>
      <c r="VPP136" s="8"/>
      <c r="VPQ136" s="8"/>
      <c r="VPR136" s="8"/>
      <c r="VPS136" s="8"/>
      <c r="VPT136" s="8"/>
      <c r="VPU136" s="8"/>
      <c r="VPV136" s="8"/>
      <c r="VPW136" s="8"/>
      <c r="VPX136" s="8"/>
      <c r="VPY136" s="8"/>
      <c r="VPZ136" s="8"/>
      <c r="VQA136" s="8"/>
      <c r="VQB136" s="8"/>
      <c r="VQC136" s="8"/>
      <c r="VQD136" s="8"/>
      <c r="VQE136" s="8"/>
      <c r="VQF136" s="8"/>
      <c r="VQG136" s="8"/>
      <c r="VQH136" s="8"/>
      <c r="VQI136" s="8"/>
      <c r="VQJ136" s="8"/>
      <c r="VQK136" s="8"/>
      <c r="VQL136" s="8"/>
      <c r="VQM136" s="8"/>
      <c r="VQN136" s="8"/>
      <c r="VQO136" s="8"/>
      <c r="VQP136" s="8"/>
      <c r="VQQ136" s="8"/>
      <c r="VQR136" s="8"/>
      <c r="VQS136" s="8"/>
      <c r="VQT136" s="8"/>
      <c r="VQU136" s="8"/>
      <c r="VQV136" s="8"/>
      <c r="VQW136" s="8"/>
      <c r="VQX136" s="8"/>
      <c r="VQY136" s="8"/>
      <c r="VQZ136" s="8"/>
      <c r="VRA136" s="8"/>
      <c r="VRB136" s="8"/>
      <c r="VRC136" s="8"/>
      <c r="VRD136" s="8"/>
      <c r="VRE136" s="8"/>
      <c r="VRF136" s="8"/>
      <c r="VRG136" s="8"/>
      <c r="VRH136" s="8"/>
      <c r="VRI136" s="8"/>
      <c r="VRJ136" s="8"/>
      <c r="VRK136" s="8"/>
      <c r="VRL136" s="8"/>
      <c r="VRM136" s="8"/>
      <c r="VRN136" s="8"/>
      <c r="VRO136" s="8"/>
      <c r="VRP136" s="8"/>
      <c r="VRQ136" s="8"/>
      <c r="VRR136" s="8"/>
      <c r="VRS136" s="8"/>
      <c r="VRT136" s="8"/>
      <c r="VRU136" s="8"/>
      <c r="VRV136" s="8"/>
      <c r="VRW136" s="8"/>
      <c r="VRX136" s="8"/>
      <c r="VRY136" s="8"/>
      <c r="VRZ136" s="8"/>
      <c r="VSA136" s="8"/>
      <c r="VSB136" s="8"/>
      <c r="VSC136" s="8"/>
      <c r="VSD136" s="8"/>
      <c r="VSE136" s="8"/>
      <c r="VSF136" s="8"/>
      <c r="VSG136" s="8"/>
      <c r="VSH136" s="8"/>
      <c r="VSI136" s="8"/>
      <c r="VSJ136" s="8"/>
      <c r="VSK136" s="8"/>
      <c r="VSL136" s="8"/>
      <c r="VSM136" s="8"/>
      <c r="VSN136" s="8"/>
      <c r="VSO136" s="8"/>
      <c r="VSP136" s="8"/>
      <c r="VSQ136" s="8"/>
      <c r="VSR136" s="8"/>
      <c r="VSS136" s="8"/>
      <c r="VST136" s="8"/>
      <c r="VSU136" s="8"/>
      <c r="VSV136" s="8"/>
      <c r="VSW136" s="8"/>
      <c r="VSX136" s="8"/>
      <c r="VSY136" s="8"/>
      <c r="VSZ136" s="8"/>
      <c r="VTA136" s="8"/>
      <c r="VTB136" s="8"/>
      <c r="VTC136" s="8"/>
      <c r="VTD136" s="8"/>
      <c r="VTE136" s="8"/>
      <c r="VTF136" s="8"/>
      <c r="VTG136" s="8"/>
      <c r="VTH136" s="8"/>
      <c r="VTI136" s="8"/>
      <c r="VTJ136" s="8"/>
      <c r="VTK136" s="8"/>
      <c r="VTL136" s="8"/>
      <c r="VTM136" s="8"/>
      <c r="VTN136" s="8"/>
      <c r="VTO136" s="8"/>
      <c r="VTP136" s="8"/>
      <c r="VTQ136" s="8"/>
      <c r="VTR136" s="8"/>
      <c r="VTS136" s="8"/>
      <c r="VTT136" s="8"/>
      <c r="VTU136" s="8"/>
      <c r="VTV136" s="8"/>
      <c r="VTW136" s="8"/>
      <c r="VTX136" s="8"/>
      <c r="VTY136" s="8"/>
      <c r="VTZ136" s="8"/>
      <c r="VUA136" s="8"/>
      <c r="VUB136" s="8"/>
      <c r="VUC136" s="8"/>
      <c r="VUD136" s="8"/>
      <c r="VUE136" s="8"/>
      <c r="VUF136" s="8"/>
      <c r="VUG136" s="8"/>
      <c r="VUH136" s="8"/>
      <c r="VUI136" s="8"/>
      <c r="VUJ136" s="8"/>
      <c r="VUK136" s="8"/>
      <c r="VUL136" s="8"/>
      <c r="VUM136" s="8"/>
      <c r="VUN136" s="8"/>
      <c r="VUO136" s="8"/>
      <c r="VUP136" s="8"/>
      <c r="VUQ136" s="8"/>
      <c r="VUR136" s="8"/>
      <c r="VUS136" s="8"/>
      <c r="VUT136" s="8"/>
      <c r="VUU136" s="8"/>
      <c r="VUV136" s="8"/>
      <c r="VUW136" s="8"/>
      <c r="VUX136" s="8"/>
      <c r="VUY136" s="8"/>
      <c r="VUZ136" s="8"/>
      <c r="VVA136" s="8"/>
      <c r="VVB136" s="8"/>
      <c r="VVC136" s="8"/>
      <c r="VVD136" s="8"/>
      <c r="VVE136" s="8"/>
      <c r="VVF136" s="8"/>
      <c r="VVG136" s="8"/>
      <c r="VVH136" s="8"/>
      <c r="VVI136" s="8"/>
      <c r="VVJ136" s="8"/>
      <c r="VVK136" s="8"/>
      <c r="VVL136" s="8"/>
      <c r="VVM136" s="8"/>
      <c r="VVN136" s="8"/>
      <c r="VVO136" s="8"/>
      <c r="VVP136" s="8"/>
      <c r="VVQ136" s="8"/>
      <c r="VVR136" s="8"/>
      <c r="VVS136" s="8"/>
      <c r="VVT136" s="8"/>
      <c r="VVU136" s="8"/>
      <c r="VVV136" s="8"/>
      <c r="VVW136" s="8"/>
      <c r="VVX136" s="8"/>
      <c r="VVY136" s="8"/>
      <c r="VVZ136" s="8"/>
      <c r="VWA136" s="8"/>
      <c r="VWB136" s="8"/>
      <c r="VWC136" s="8"/>
      <c r="VWD136" s="8"/>
      <c r="VWE136" s="8"/>
      <c r="VWF136" s="8"/>
      <c r="VWG136" s="8"/>
      <c r="VWH136" s="8"/>
      <c r="VWI136" s="8"/>
      <c r="VWJ136" s="8"/>
      <c r="VWK136" s="8"/>
      <c r="VWL136" s="8"/>
      <c r="VWM136" s="8"/>
      <c r="VWN136" s="8"/>
      <c r="VWO136" s="8"/>
      <c r="VWP136" s="8"/>
      <c r="VWQ136" s="8"/>
      <c r="VWR136" s="8"/>
      <c r="VWS136" s="8"/>
      <c r="VWT136" s="8"/>
      <c r="VWU136" s="8"/>
      <c r="VWV136" s="8"/>
      <c r="VWW136" s="8"/>
      <c r="VWX136" s="8"/>
      <c r="VWY136" s="8"/>
      <c r="VWZ136" s="8"/>
      <c r="VXA136" s="8"/>
      <c r="VXB136" s="8"/>
      <c r="VXC136" s="8"/>
      <c r="VXD136" s="8"/>
      <c r="VXE136" s="8"/>
      <c r="VXF136" s="8"/>
      <c r="VXG136" s="8"/>
      <c r="VXH136" s="8"/>
      <c r="VXI136" s="8"/>
      <c r="VXJ136" s="8"/>
      <c r="VXK136" s="8"/>
      <c r="VXL136" s="8"/>
      <c r="VXM136" s="8"/>
      <c r="VXN136" s="8"/>
      <c r="VXO136" s="8"/>
      <c r="VXP136" s="8"/>
      <c r="VXQ136" s="8"/>
      <c r="VXR136" s="8"/>
      <c r="VXS136" s="8"/>
      <c r="VXT136" s="8"/>
      <c r="VXU136" s="8"/>
      <c r="VXV136" s="8"/>
      <c r="VXW136" s="8"/>
      <c r="VXX136" s="8"/>
      <c r="VXY136" s="8"/>
      <c r="VXZ136" s="8"/>
      <c r="VYA136" s="8"/>
      <c r="VYB136" s="8"/>
      <c r="VYC136" s="8"/>
      <c r="VYD136" s="8"/>
      <c r="VYE136" s="8"/>
      <c r="VYF136" s="8"/>
      <c r="VYG136" s="8"/>
      <c r="VYH136" s="8"/>
      <c r="VYI136" s="8"/>
      <c r="VYJ136" s="8"/>
      <c r="VYK136" s="8"/>
      <c r="VYL136" s="8"/>
      <c r="VYM136" s="8"/>
      <c r="VYN136" s="8"/>
      <c r="VYO136" s="8"/>
      <c r="VYP136" s="8"/>
      <c r="VYQ136" s="8"/>
      <c r="VYR136" s="8"/>
      <c r="VYS136" s="8"/>
      <c r="VYT136" s="8"/>
      <c r="VYU136" s="8"/>
      <c r="VYV136" s="8"/>
      <c r="VYW136" s="8"/>
      <c r="VYX136" s="8"/>
      <c r="VYY136" s="8"/>
      <c r="VYZ136" s="8"/>
      <c r="VZA136" s="8"/>
      <c r="VZB136" s="8"/>
      <c r="VZC136" s="8"/>
      <c r="VZD136" s="8"/>
      <c r="VZE136" s="8"/>
      <c r="VZF136" s="8"/>
      <c r="VZG136" s="8"/>
      <c r="VZH136" s="8"/>
      <c r="VZI136" s="8"/>
      <c r="VZJ136" s="8"/>
      <c r="VZK136" s="8"/>
      <c r="VZL136" s="8"/>
      <c r="VZM136" s="8"/>
      <c r="VZN136" s="8"/>
      <c r="VZO136" s="8"/>
      <c r="VZP136" s="8"/>
      <c r="VZQ136" s="8"/>
      <c r="VZR136" s="8"/>
      <c r="VZS136" s="8"/>
      <c r="VZT136" s="8"/>
      <c r="VZU136" s="8"/>
      <c r="VZV136" s="8"/>
      <c r="VZW136" s="8"/>
      <c r="VZX136" s="8"/>
      <c r="VZY136" s="8"/>
      <c r="VZZ136" s="8"/>
      <c r="WAA136" s="8"/>
      <c r="WAB136" s="8"/>
      <c r="WAC136" s="8"/>
      <c r="WAD136" s="8"/>
      <c r="WAE136" s="8"/>
      <c r="WAF136" s="8"/>
      <c r="WAG136" s="8"/>
      <c r="WAH136" s="8"/>
      <c r="WAI136" s="8"/>
      <c r="WAJ136" s="8"/>
      <c r="WAK136" s="8"/>
      <c r="WAL136" s="8"/>
      <c r="WAM136" s="8"/>
      <c r="WAN136" s="8"/>
      <c r="WAO136" s="8"/>
      <c r="WAP136" s="8"/>
      <c r="WAQ136" s="8"/>
      <c r="WAR136" s="8"/>
      <c r="WAS136" s="8"/>
      <c r="WAT136" s="8"/>
      <c r="WAU136" s="8"/>
      <c r="WAV136" s="8"/>
      <c r="WAW136" s="8"/>
      <c r="WAX136" s="8"/>
      <c r="WAY136" s="8"/>
      <c r="WAZ136" s="8"/>
      <c r="WBA136" s="8"/>
      <c r="WBB136" s="8"/>
      <c r="WBC136" s="8"/>
      <c r="WBD136" s="8"/>
      <c r="WBE136" s="8"/>
      <c r="WBF136" s="8"/>
      <c r="WBG136" s="8"/>
      <c r="WBH136" s="8"/>
      <c r="WBI136" s="8"/>
      <c r="WBJ136" s="8"/>
      <c r="WBK136" s="8"/>
      <c r="WBL136" s="8"/>
      <c r="WBM136" s="8"/>
      <c r="WBN136" s="8"/>
      <c r="WBO136" s="8"/>
      <c r="WBP136" s="8"/>
      <c r="WBQ136" s="8"/>
      <c r="WBR136" s="8"/>
      <c r="WBS136" s="8"/>
      <c r="WBT136" s="8"/>
      <c r="WBU136" s="8"/>
      <c r="WBV136" s="8"/>
      <c r="WBW136" s="8"/>
      <c r="WBX136" s="8"/>
      <c r="WBY136" s="8"/>
      <c r="WBZ136" s="8"/>
      <c r="WCA136" s="8"/>
      <c r="WCB136" s="8"/>
      <c r="WCC136" s="8"/>
      <c r="WCD136" s="8"/>
      <c r="WCE136" s="8"/>
      <c r="WCF136" s="8"/>
      <c r="WCG136" s="8"/>
      <c r="WCH136" s="8"/>
      <c r="WCI136" s="8"/>
      <c r="WCJ136" s="8"/>
      <c r="WCK136" s="8"/>
      <c r="WCL136" s="8"/>
      <c r="WCM136" s="8"/>
      <c r="WCN136" s="8"/>
      <c r="WCO136" s="8"/>
      <c r="WCP136" s="8"/>
      <c r="WCQ136" s="8"/>
      <c r="WCR136" s="8"/>
      <c r="WCS136" s="8"/>
      <c r="WCT136" s="8"/>
      <c r="WCU136" s="8"/>
      <c r="WCV136" s="8"/>
      <c r="WCW136" s="8"/>
      <c r="WCX136" s="8"/>
      <c r="WCY136" s="8"/>
      <c r="WCZ136" s="8"/>
      <c r="WDA136" s="8"/>
      <c r="WDB136" s="8"/>
      <c r="WDC136" s="8"/>
      <c r="WDD136" s="8"/>
      <c r="WDE136" s="8"/>
      <c r="WDF136" s="8"/>
      <c r="WDG136" s="8"/>
      <c r="WDH136" s="8"/>
      <c r="WDI136" s="8"/>
      <c r="WDJ136" s="8"/>
      <c r="WDK136" s="8"/>
      <c r="WDL136" s="8"/>
      <c r="WDM136" s="8"/>
      <c r="WDN136" s="8"/>
      <c r="WDO136" s="8"/>
      <c r="WDP136" s="8"/>
      <c r="WDQ136" s="8"/>
      <c r="WDR136" s="8"/>
      <c r="WDS136" s="8"/>
      <c r="WDT136" s="8"/>
      <c r="WDU136" s="8"/>
      <c r="WDV136" s="8"/>
      <c r="WDW136" s="8"/>
      <c r="WDX136" s="8"/>
      <c r="WDY136" s="8"/>
      <c r="WDZ136" s="8"/>
      <c r="WEA136" s="8"/>
      <c r="WEB136" s="8"/>
      <c r="WEC136" s="8"/>
      <c r="WED136" s="8"/>
      <c r="WEE136" s="8"/>
      <c r="WEF136" s="8"/>
      <c r="WEG136" s="8"/>
      <c r="WEH136" s="8"/>
      <c r="WEI136" s="8"/>
      <c r="WEJ136" s="8"/>
      <c r="WEK136" s="8"/>
      <c r="WEL136" s="8"/>
      <c r="WEM136" s="8"/>
      <c r="WEN136" s="8"/>
      <c r="WEO136" s="8"/>
      <c r="WEP136" s="8"/>
      <c r="WEQ136" s="8"/>
      <c r="WER136" s="8"/>
      <c r="WES136" s="8"/>
      <c r="WET136" s="8"/>
      <c r="WEU136" s="8"/>
      <c r="WEV136" s="8"/>
      <c r="WEW136" s="8"/>
      <c r="WEX136" s="8"/>
      <c r="WEY136" s="8"/>
      <c r="WEZ136" s="8"/>
      <c r="WFA136" s="8"/>
      <c r="WFB136" s="8"/>
      <c r="WFC136" s="8"/>
      <c r="WFD136" s="8"/>
      <c r="WFE136" s="8"/>
      <c r="WFF136" s="8"/>
      <c r="WFG136" s="8"/>
      <c r="WFH136" s="8"/>
      <c r="WFI136" s="8"/>
      <c r="WFJ136" s="8"/>
      <c r="WFK136" s="8"/>
      <c r="WFL136" s="8"/>
      <c r="WFM136" s="8"/>
      <c r="WFN136" s="8"/>
      <c r="WFO136" s="8"/>
      <c r="WFP136" s="8"/>
      <c r="WFQ136" s="8"/>
      <c r="WFR136" s="8"/>
      <c r="WFS136" s="8"/>
      <c r="WFT136" s="8"/>
      <c r="WFU136" s="8"/>
      <c r="WFV136" s="8"/>
      <c r="WFW136" s="8"/>
      <c r="WFX136" s="8"/>
      <c r="WFY136" s="8"/>
      <c r="WFZ136" s="8"/>
      <c r="WGA136" s="8"/>
      <c r="WGB136" s="8"/>
      <c r="WGC136" s="8"/>
      <c r="WGD136" s="8"/>
      <c r="WGE136" s="8"/>
      <c r="WGF136" s="8"/>
      <c r="WGG136" s="8"/>
      <c r="WGH136" s="8"/>
      <c r="WGI136" s="8"/>
      <c r="WGJ136" s="8"/>
      <c r="WGK136" s="8"/>
      <c r="WGL136" s="8"/>
      <c r="WGM136" s="8"/>
      <c r="WGN136" s="8"/>
      <c r="WGO136" s="8"/>
      <c r="WGP136" s="8"/>
      <c r="WGQ136" s="8"/>
      <c r="WGR136" s="8"/>
      <c r="WGS136" s="8"/>
      <c r="WGT136" s="8"/>
      <c r="WGU136" s="8"/>
      <c r="WGV136" s="8"/>
      <c r="WGW136" s="8"/>
      <c r="WGX136" s="8"/>
      <c r="WGY136" s="8"/>
      <c r="WGZ136" s="8"/>
      <c r="WHA136" s="8"/>
      <c r="WHB136" s="8"/>
      <c r="WHC136" s="8"/>
      <c r="WHD136" s="8"/>
      <c r="WHE136" s="8"/>
      <c r="WHF136" s="8"/>
      <c r="WHG136" s="8"/>
      <c r="WHH136" s="8"/>
      <c r="WHI136" s="8"/>
      <c r="WHJ136" s="8"/>
      <c r="WHK136" s="8"/>
      <c r="WHL136" s="8"/>
      <c r="WHM136" s="8"/>
      <c r="WHN136" s="8"/>
      <c r="WHO136" s="8"/>
      <c r="WHP136" s="8"/>
      <c r="WHQ136" s="8"/>
      <c r="WHR136" s="8"/>
      <c r="WHS136" s="8"/>
      <c r="WHT136" s="8"/>
      <c r="WHU136" s="8"/>
      <c r="WHV136" s="8"/>
      <c r="WHW136" s="8"/>
      <c r="WHX136" s="8"/>
      <c r="WHY136" s="8"/>
      <c r="WHZ136" s="8"/>
      <c r="WIA136" s="8"/>
      <c r="WIB136" s="8"/>
      <c r="WIC136" s="8"/>
      <c r="WID136" s="8"/>
      <c r="WIE136" s="8"/>
      <c r="WIF136" s="8"/>
      <c r="WIG136" s="8"/>
      <c r="WIH136" s="8"/>
      <c r="WII136" s="8"/>
      <c r="WIJ136" s="8"/>
      <c r="WIK136" s="8"/>
      <c r="WIL136" s="8"/>
      <c r="WIM136" s="8"/>
      <c r="WIN136" s="8"/>
      <c r="WIO136" s="8"/>
      <c r="WIP136" s="8"/>
      <c r="WIQ136" s="8"/>
      <c r="WIR136" s="8"/>
      <c r="WIS136" s="8"/>
      <c r="WIT136" s="8"/>
      <c r="WIU136" s="8"/>
      <c r="WIV136" s="8"/>
      <c r="WIW136" s="8"/>
      <c r="WIX136" s="8"/>
      <c r="WIY136" s="8"/>
      <c r="WIZ136" s="8"/>
      <c r="WJA136" s="8"/>
      <c r="WJB136" s="8"/>
      <c r="WJC136" s="8"/>
      <c r="WJD136" s="8"/>
      <c r="WJE136" s="8"/>
      <c r="WJF136" s="8"/>
      <c r="WJG136" s="8"/>
      <c r="WJH136" s="8"/>
      <c r="WJI136" s="8"/>
      <c r="WJJ136" s="8"/>
      <c r="WJK136" s="8"/>
      <c r="WJL136" s="8"/>
      <c r="WJM136" s="8"/>
      <c r="WJN136" s="8"/>
      <c r="WJO136" s="8"/>
      <c r="WJP136" s="8"/>
      <c r="WJQ136" s="8"/>
      <c r="WJR136" s="8"/>
      <c r="WJS136" s="8"/>
      <c r="WJT136" s="8"/>
      <c r="WJU136" s="8"/>
      <c r="WJV136" s="8"/>
      <c r="WJW136" s="8"/>
      <c r="WJX136" s="8"/>
      <c r="WJY136" s="8"/>
      <c r="WJZ136" s="8"/>
      <c r="WKA136" s="8"/>
      <c r="WKB136" s="8"/>
      <c r="WKC136" s="8"/>
      <c r="WKD136" s="8"/>
      <c r="WKE136" s="8"/>
      <c r="WKF136" s="8"/>
      <c r="WKG136" s="8"/>
      <c r="WKH136" s="8"/>
      <c r="WKI136" s="8"/>
      <c r="WKJ136" s="8"/>
      <c r="WKK136" s="8"/>
      <c r="WKL136" s="8"/>
      <c r="WKM136" s="8"/>
      <c r="WKN136" s="8"/>
      <c r="WKO136" s="8"/>
      <c r="WKP136" s="8"/>
      <c r="WKQ136" s="8"/>
      <c r="WKR136" s="8"/>
      <c r="WKS136" s="8"/>
      <c r="WKT136" s="8"/>
      <c r="WKU136" s="8"/>
      <c r="WKV136" s="8"/>
      <c r="WKW136" s="8"/>
      <c r="WKX136" s="8"/>
      <c r="WKY136" s="8"/>
      <c r="WKZ136" s="8"/>
      <c r="WLA136" s="8"/>
      <c r="WLB136" s="8"/>
      <c r="WLC136" s="8"/>
      <c r="WLD136" s="8"/>
      <c r="WLE136" s="8"/>
      <c r="WLF136" s="8"/>
      <c r="WLG136" s="8"/>
      <c r="WLH136" s="8"/>
      <c r="WLI136" s="8"/>
      <c r="WLJ136" s="8"/>
      <c r="WLK136" s="8"/>
      <c r="WLL136" s="8"/>
      <c r="WLM136" s="8"/>
      <c r="WLN136" s="8"/>
      <c r="WLO136" s="8"/>
      <c r="WLP136" s="8"/>
      <c r="WLQ136" s="8"/>
      <c r="WLR136" s="8"/>
      <c r="WLS136" s="8"/>
      <c r="WLT136" s="8"/>
      <c r="WLU136" s="8"/>
      <c r="WLV136" s="8"/>
      <c r="WLW136" s="8"/>
      <c r="WLX136" s="8"/>
      <c r="WLY136" s="8"/>
      <c r="WLZ136" s="8"/>
      <c r="WMA136" s="8"/>
      <c r="WMB136" s="8"/>
      <c r="WMC136" s="8"/>
      <c r="WMD136" s="8"/>
      <c r="WME136" s="8"/>
      <c r="WMF136" s="8"/>
      <c r="WMG136" s="8"/>
      <c r="WMH136" s="8"/>
      <c r="WMI136" s="8"/>
      <c r="WMJ136" s="8"/>
      <c r="WMK136" s="8"/>
      <c r="WML136" s="8"/>
      <c r="WMM136" s="8"/>
      <c r="WMN136" s="8"/>
      <c r="WMO136" s="8"/>
      <c r="WMP136" s="8"/>
      <c r="WMQ136" s="8"/>
      <c r="WMR136" s="8"/>
      <c r="WMS136" s="8"/>
      <c r="WMT136" s="8"/>
      <c r="WMU136" s="8"/>
      <c r="WMV136" s="8"/>
      <c r="WMW136" s="8"/>
      <c r="WMX136" s="8"/>
      <c r="WMY136" s="8"/>
      <c r="WMZ136" s="8"/>
      <c r="WNA136" s="8"/>
      <c r="WNB136" s="8"/>
      <c r="WNC136" s="8"/>
      <c r="WND136" s="8"/>
      <c r="WNE136" s="8"/>
      <c r="WNF136" s="8"/>
      <c r="WNG136" s="8"/>
      <c r="WNH136" s="8"/>
      <c r="WNI136" s="8"/>
      <c r="WNJ136" s="8"/>
      <c r="WNK136" s="8"/>
      <c r="WNL136" s="8"/>
      <c r="WNM136" s="8"/>
      <c r="WNN136" s="8"/>
      <c r="WNO136" s="8"/>
      <c r="WNP136" s="8"/>
      <c r="WNQ136" s="8"/>
      <c r="WNR136" s="8"/>
      <c r="WNS136" s="8"/>
      <c r="WNT136" s="8"/>
      <c r="WNU136" s="8"/>
      <c r="WNV136" s="8"/>
      <c r="WNW136" s="8"/>
      <c r="WNX136" s="8"/>
      <c r="WNY136" s="8"/>
      <c r="WNZ136" s="8"/>
      <c r="WOA136" s="8"/>
      <c r="WOB136" s="8"/>
      <c r="WOC136" s="8"/>
      <c r="WOD136" s="8"/>
      <c r="WOE136" s="8"/>
      <c r="WOF136" s="8"/>
      <c r="WOG136" s="8"/>
      <c r="WOH136" s="8"/>
      <c r="WOI136" s="8"/>
      <c r="WOJ136" s="8"/>
      <c r="WOK136" s="8"/>
      <c r="WOL136" s="8"/>
      <c r="WOM136" s="8"/>
      <c r="WON136" s="8"/>
      <c r="WOO136" s="8"/>
      <c r="WOP136" s="8"/>
      <c r="WOQ136" s="8"/>
      <c r="WOR136" s="8"/>
      <c r="WOS136" s="8"/>
      <c r="WOT136" s="8"/>
      <c r="WOU136" s="8"/>
      <c r="WOV136" s="8"/>
      <c r="WOW136" s="8"/>
      <c r="WOX136" s="8"/>
      <c r="WOY136" s="8"/>
      <c r="WOZ136" s="8"/>
      <c r="WPA136" s="8"/>
      <c r="WPB136" s="8"/>
      <c r="WPC136" s="8"/>
      <c r="WPD136" s="8"/>
      <c r="WPE136" s="8"/>
      <c r="WPF136" s="8"/>
      <c r="WPG136" s="8"/>
      <c r="WPH136" s="8"/>
      <c r="WPI136" s="8"/>
      <c r="WPJ136" s="8"/>
      <c r="WPK136" s="8"/>
      <c r="WPL136" s="8"/>
      <c r="WPM136" s="8"/>
      <c r="WPN136" s="8"/>
      <c r="WPO136" s="8"/>
      <c r="WPP136" s="8"/>
      <c r="WPQ136" s="8"/>
      <c r="WPR136" s="8"/>
      <c r="WPS136" s="8"/>
      <c r="WPT136" s="8"/>
      <c r="WPU136" s="8"/>
      <c r="WPV136" s="8"/>
      <c r="WPW136" s="8"/>
      <c r="WPX136" s="8"/>
      <c r="WPY136" s="8"/>
      <c r="WPZ136" s="8"/>
      <c r="WQA136" s="8"/>
      <c r="WQB136" s="8"/>
      <c r="WQC136" s="8"/>
      <c r="WQD136" s="8"/>
      <c r="WQE136" s="8"/>
      <c r="WQF136" s="8"/>
      <c r="WQG136" s="8"/>
      <c r="WQH136" s="8"/>
      <c r="WQI136" s="8"/>
      <c r="WQJ136" s="8"/>
      <c r="WQK136" s="8"/>
      <c r="WQL136" s="8"/>
      <c r="WQM136" s="8"/>
      <c r="WQN136" s="8"/>
      <c r="WQO136" s="8"/>
      <c r="WQP136" s="8"/>
      <c r="WQQ136" s="8"/>
      <c r="WQR136" s="8"/>
      <c r="WQS136" s="8"/>
      <c r="WQT136" s="8"/>
      <c r="WQU136" s="8"/>
      <c r="WQV136" s="8"/>
      <c r="WQW136" s="8"/>
      <c r="WQX136" s="8"/>
      <c r="WQY136" s="8"/>
      <c r="WQZ136" s="8"/>
      <c r="WRA136" s="8"/>
      <c r="WRB136" s="8"/>
      <c r="WRC136" s="8"/>
      <c r="WRD136" s="8"/>
      <c r="WRE136" s="8"/>
      <c r="WRF136" s="8"/>
      <c r="WRG136" s="8"/>
      <c r="WRH136" s="8"/>
      <c r="WRI136" s="8"/>
      <c r="WRJ136" s="8"/>
      <c r="WRK136" s="8"/>
      <c r="WRL136" s="8"/>
      <c r="WRM136" s="8"/>
      <c r="WRN136" s="8"/>
      <c r="WRO136" s="8"/>
      <c r="WRP136" s="8"/>
      <c r="WRQ136" s="8"/>
      <c r="WRR136" s="8"/>
      <c r="WRS136" s="8"/>
      <c r="WRT136" s="8"/>
      <c r="WRU136" s="8"/>
      <c r="WRV136" s="8"/>
      <c r="WRW136" s="8"/>
      <c r="WRX136" s="8"/>
      <c r="WRY136" s="8"/>
      <c r="WRZ136" s="8"/>
      <c r="WSA136" s="8"/>
      <c r="WSB136" s="8"/>
      <c r="WSC136" s="8"/>
      <c r="WSD136" s="8"/>
      <c r="WSE136" s="8"/>
      <c r="WSF136" s="8"/>
      <c r="WSG136" s="8"/>
      <c r="WSH136" s="8"/>
      <c r="WSI136" s="8"/>
      <c r="WSJ136" s="8"/>
      <c r="WSK136" s="8"/>
      <c r="WSL136" s="8"/>
      <c r="WSM136" s="8"/>
      <c r="WSN136" s="8"/>
      <c r="WSO136" s="8"/>
      <c r="WSP136" s="8"/>
      <c r="WSQ136" s="8"/>
      <c r="WSR136" s="8"/>
      <c r="WSS136" s="8"/>
      <c r="WST136" s="8"/>
      <c r="WSU136" s="8"/>
      <c r="WSV136" s="8"/>
      <c r="WSW136" s="8"/>
      <c r="WSX136" s="8"/>
      <c r="WSY136" s="8"/>
      <c r="WSZ136" s="8"/>
      <c r="WTA136" s="8"/>
      <c r="WTB136" s="8"/>
      <c r="WTC136" s="8"/>
      <c r="WTD136" s="8"/>
      <c r="WTE136" s="8"/>
      <c r="WTF136" s="8"/>
      <c r="WTG136" s="8"/>
      <c r="WTH136" s="8"/>
      <c r="WTI136" s="8"/>
      <c r="WTJ136" s="8"/>
      <c r="WTK136" s="8"/>
      <c r="WTL136" s="8"/>
      <c r="WTM136" s="8"/>
      <c r="WTN136" s="8"/>
      <c r="WTO136" s="8"/>
      <c r="WTP136" s="8"/>
      <c r="WTQ136" s="8"/>
      <c r="WTR136" s="8"/>
      <c r="WTS136" s="8"/>
      <c r="WTT136" s="8"/>
      <c r="WTU136" s="8"/>
      <c r="WTV136" s="8"/>
      <c r="WTW136" s="8"/>
      <c r="WTX136" s="8"/>
      <c r="WTY136" s="8"/>
      <c r="WTZ136" s="8"/>
      <c r="WUA136" s="8"/>
      <c r="WUB136" s="8"/>
      <c r="WUC136" s="8"/>
      <c r="WUD136" s="8"/>
      <c r="WUE136" s="8"/>
      <c r="WUF136" s="8"/>
      <c r="WUG136" s="8"/>
      <c r="WUH136" s="8"/>
      <c r="WUI136" s="8"/>
      <c r="WUJ136" s="8"/>
      <c r="WUK136" s="8"/>
      <c r="WUL136" s="8"/>
      <c r="WUM136" s="8"/>
      <c r="WUN136" s="8"/>
      <c r="WUO136" s="8"/>
      <c r="WUP136" s="8"/>
      <c r="WUQ136" s="8"/>
      <c r="WUR136" s="8"/>
      <c r="WUS136" s="8"/>
      <c r="WUT136" s="8"/>
      <c r="WUU136" s="8"/>
      <c r="WUV136" s="8"/>
      <c r="WUW136" s="8"/>
      <c r="WUX136" s="8"/>
      <c r="WUY136" s="8"/>
      <c r="WUZ136" s="8"/>
      <c r="WVA136" s="8"/>
      <c r="WVB136" s="8"/>
      <c r="WVC136" s="8"/>
      <c r="WVD136" s="8"/>
      <c r="WVE136" s="8"/>
      <c r="WVF136" s="8"/>
      <c r="WVG136" s="8"/>
      <c r="WVH136" s="8"/>
      <c r="WVI136" s="8"/>
      <c r="WVJ136" s="8"/>
      <c r="WVK136" s="8"/>
      <c r="WVL136" s="8"/>
      <c r="WVM136" s="8"/>
      <c r="WVN136" s="8"/>
      <c r="WVO136" s="8"/>
      <c r="WVP136" s="8"/>
      <c r="WVQ136" s="8"/>
      <c r="WVR136" s="8"/>
      <c r="WVS136" s="8"/>
      <c r="WVT136" s="8"/>
      <c r="WVU136" s="8"/>
      <c r="WVV136" s="8"/>
      <c r="WVW136" s="8"/>
      <c r="WVX136" s="8"/>
      <c r="WVY136" s="8"/>
      <c r="WVZ136" s="8"/>
      <c r="WWA136" s="8"/>
      <c r="WWB136" s="8"/>
      <c r="WWC136" s="8"/>
      <c r="WWD136" s="8"/>
      <c r="WWE136" s="8"/>
      <c r="WWF136" s="8"/>
      <c r="WWG136" s="8"/>
      <c r="WWH136" s="8"/>
      <c r="WWI136" s="8"/>
      <c r="WWJ136" s="8"/>
      <c r="WWK136" s="8"/>
      <c r="WWL136" s="8"/>
      <c r="WWM136" s="8"/>
      <c r="WWN136" s="8"/>
      <c r="WWO136" s="8"/>
      <c r="WWP136" s="8"/>
      <c r="WWQ136" s="8"/>
      <c r="WWR136" s="8"/>
      <c r="WWS136" s="8"/>
      <c r="WWT136" s="8"/>
      <c r="WWU136" s="8"/>
      <c r="WWV136" s="8"/>
      <c r="WWW136" s="8"/>
      <c r="WWX136" s="8"/>
      <c r="WWY136" s="8"/>
      <c r="WWZ136" s="8"/>
      <c r="WXA136" s="8"/>
      <c r="WXB136" s="8"/>
      <c r="WXC136" s="8"/>
      <c r="WXD136" s="8"/>
      <c r="WXE136" s="8"/>
      <c r="WXF136" s="8"/>
      <c r="WXG136" s="8"/>
      <c r="WXH136" s="8"/>
      <c r="WXI136" s="8"/>
      <c r="WXJ136" s="8"/>
      <c r="WXK136" s="8"/>
      <c r="WXL136" s="8"/>
      <c r="WXM136" s="8"/>
      <c r="WXN136" s="8"/>
      <c r="WXO136" s="8"/>
      <c r="WXP136" s="8"/>
      <c r="WXQ136" s="8"/>
      <c r="WXR136" s="8"/>
      <c r="WXS136" s="8"/>
      <c r="WXT136" s="8"/>
      <c r="WXU136" s="8"/>
      <c r="WXV136" s="8"/>
      <c r="WXW136" s="8"/>
      <c r="WXX136" s="8"/>
      <c r="WXY136" s="8"/>
      <c r="WXZ136" s="8"/>
      <c r="WYA136" s="8"/>
      <c r="WYB136" s="8"/>
      <c r="WYC136" s="8"/>
      <c r="WYD136" s="8"/>
      <c r="WYE136" s="8"/>
      <c r="WYF136" s="8"/>
      <c r="WYG136" s="8"/>
      <c r="WYH136" s="8"/>
      <c r="WYI136" s="8"/>
      <c r="WYJ136" s="8"/>
      <c r="WYK136" s="8"/>
      <c r="WYL136" s="8"/>
      <c r="WYM136" s="8"/>
      <c r="WYN136" s="8"/>
      <c r="WYO136" s="8"/>
      <c r="WYP136" s="8"/>
      <c r="WYQ136" s="8"/>
      <c r="WYR136" s="8"/>
      <c r="WYS136" s="8"/>
      <c r="WYT136" s="8"/>
      <c r="WYU136" s="8"/>
      <c r="WYV136" s="8"/>
      <c r="WYW136" s="8"/>
      <c r="WYX136" s="8"/>
      <c r="WYY136" s="8"/>
      <c r="WYZ136" s="8"/>
      <c r="WZA136" s="8"/>
      <c r="WZB136" s="8"/>
      <c r="WZC136" s="8"/>
      <c r="WZD136" s="8"/>
      <c r="WZE136" s="8"/>
      <c r="WZF136" s="8"/>
      <c r="WZG136" s="8"/>
      <c r="WZH136" s="8"/>
      <c r="WZI136" s="8"/>
      <c r="WZJ136" s="8"/>
      <c r="WZK136" s="8"/>
      <c r="WZL136" s="8"/>
      <c r="WZM136" s="8"/>
      <c r="WZN136" s="8"/>
      <c r="WZO136" s="8"/>
      <c r="WZP136" s="8"/>
      <c r="WZQ136" s="8"/>
      <c r="WZR136" s="8"/>
      <c r="WZS136" s="8"/>
      <c r="WZT136" s="8"/>
      <c r="WZU136" s="8"/>
      <c r="WZV136" s="8"/>
      <c r="WZW136" s="8"/>
      <c r="WZX136" s="8"/>
      <c r="WZY136" s="8"/>
      <c r="WZZ136" s="8"/>
      <c r="XAA136" s="8"/>
      <c r="XAB136" s="8"/>
      <c r="XAC136" s="8"/>
      <c r="XAD136" s="8"/>
      <c r="XAE136" s="8"/>
      <c r="XAF136" s="8"/>
      <c r="XAG136" s="8"/>
      <c r="XAH136" s="8"/>
      <c r="XAI136" s="8"/>
      <c r="XAJ136" s="8"/>
      <c r="XAK136" s="8"/>
      <c r="XAL136" s="8"/>
      <c r="XAM136" s="8"/>
      <c r="XAN136" s="8"/>
      <c r="XAO136" s="8"/>
      <c r="XAP136" s="8"/>
      <c r="XAQ136" s="8"/>
      <c r="XAR136" s="8"/>
      <c r="XAS136" s="8"/>
      <c r="XAT136" s="8"/>
      <c r="XAU136" s="8"/>
      <c r="XAV136" s="8"/>
      <c r="XAW136" s="8"/>
      <c r="XAX136" s="8"/>
      <c r="XAY136" s="8"/>
      <c r="XAZ136" s="8"/>
      <c r="XBA136" s="8"/>
      <c r="XBB136" s="8"/>
      <c r="XBC136" s="8"/>
      <c r="XBD136" s="8"/>
      <c r="XBE136" s="8"/>
      <c r="XBF136" s="8"/>
      <c r="XBG136" s="8"/>
      <c r="XBH136" s="8"/>
      <c r="XBI136" s="8"/>
      <c r="XBJ136" s="8"/>
      <c r="XBK136" s="8"/>
      <c r="XBL136" s="8"/>
      <c r="XBM136" s="8"/>
      <c r="XBN136" s="8"/>
      <c r="XBO136" s="8"/>
      <c r="XBP136" s="8"/>
      <c r="XBQ136" s="8"/>
      <c r="XBR136" s="8"/>
      <c r="XBS136" s="8"/>
      <c r="XBT136" s="8"/>
      <c r="XBU136" s="8"/>
      <c r="XBV136" s="8"/>
      <c r="XBW136" s="8"/>
      <c r="XBX136" s="8"/>
      <c r="XBY136" s="8"/>
      <c r="XBZ136" s="8"/>
      <c r="XCA136" s="8"/>
      <c r="XCB136" s="8"/>
      <c r="XCC136" s="8"/>
      <c r="XCD136" s="8"/>
      <c r="XCE136" s="8"/>
      <c r="XCF136" s="8"/>
      <c r="XCG136" s="8"/>
      <c r="XCH136" s="8"/>
      <c r="XCI136" s="8"/>
      <c r="XCJ136" s="8"/>
      <c r="XCK136" s="8"/>
      <c r="XCL136" s="8"/>
      <c r="XCM136" s="8"/>
      <c r="XCN136" s="8"/>
      <c r="XCO136" s="8"/>
      <c r="XCP136" s="8"/>
      <c r="XCQ136" s="8"/>
      <c r="XCR136" s="8"/>
      <c r="XCS136" s="8"/>
      <c r="XCT136" s="8"/>
      <c r="XCU136" s="8"/>
      <c r="XCV136" s="8"/>
      <c r="XCW136" s="8"/>
      <c r="XCX136" s="8"/>
      <c r="XCY136" s="8"/>
      <c r="XCZ136" s="8"/>
      <c r="XDA136" s="8"/>
      <c r="XDB136" s="8"/>
      <c r="XDC136" s="8"/>
      <c r="XDD136" s="8"/>
      <c r="XDE136" s="8"/>
      <c r="XDF136" s="8"/>
      <c r="XDG136" s="8"/>
      <c r="XDH136" s="8"/>
      <c r="XDI136" s="8"/>
      <c r="XDJ136" s="8"/>
      <c r="XDK136" s="8"/>
      <c r="XDL136" s="8"/>
      <c r="XDM136" s="8"/>
      <c r="XDN136" s="8"/>
      <c r="XDO136" s="8"/>
      <c r="XDP136" s="8"/>
      <c r="XDQ136" s="8"/>
      <c r="XDR136" s="8"/>
      <c r="XDS136" s="8"/>
      <c r="XDT136" s="8"/>
      <c r="XDU136" s="8"/>
      <c r="XDV136" s="8"/>
      <c r="XDW136" s="8"/>
      <c r="XDX136" s="8"/>
      <c r="XDY136" s="8"/>
      <c r="XDZ136" s="8"/>
      <c r="XEA136" s="8"/>
      <c r="XEB136" s="8"/>
      <c r="XEC136" s="8"/>
      <c r="XED136" s="8"/>
      <c r="XEE136" s="8"/>
      <c r="XEF136" s="8"/>
      <c r="XEG136" s="8"/>
      <c r="XEH136" s="8"/>
      <c r="XEI136" s="8"/>
      <c r="XEJ136" s="8"/>
      <c r="XEK136" s="8"/>
      <c r="XEL136" s="8"/>
      <c r="XEM136" s="8"/>
      <c r="XEN136" s="8"/>
      <c r="XEO136" s="8"/>
      <c r="XEP136" s="8"/>
      <c r="XEQ136" s="8"/>
      <c r="XER136" s="8"/>
      <c r="XES136" s="8"/>
      <c r="XET136" s="8"/>
      <c r="XEU136" s="8"/>
      <c r="XEV136" s="8"/>
      <c r="XEW136" s="8"/>
      <c r="XEX136" s="8"/>
      <c r="XEY136" s="8"/>
      <c r="XEZ136" s="8"/>
      <c r="XFA136" s="8"/>
      <c r="XFB136" s="8"/>
      <c r="XFC136" s="8"/>
      <c r="XFD136" s="8"/>
    </row>
    <row r="137" spans="1:16384" s="8" customFormat="1" ht="12.75" hidden="1" customHeight="1" outlineLevel="1">
      <c r="A137" s="2507" t="s">
        <v>787</v>
      </c>
      <c r="B137" s="60"/>
      <c r="C137" s="752"/>
      <c r="D137" s="60"/>
      <c r="E137" s="60"/>
      <c r="F137" s="60"/>
      <c r="G137" s="736"/>
      <c r="H137" s="60"/>
      <c r="I137" s="753"/>
      <c r="J137" s="226"/>
      <c r="K137" s="226"/>
      <c r="L137" s="226"/>
      <c r="M137" s="736"/>
      <c r="N137" s="60"/>
      <c r="O137" s="753"/>
      <c r="P137" s="226"/>
      <c r="Q137" s="226"/>
      <c r="R137" s="226"/>
      <c r="S137" s="736"/>
      <c r="T137" s="60"/>
      <c r="U137" s="758"/>
      <c r="V137" s="223"/>
      <c r="W137" s="223"/>
      <c r="X137" s="223"/>
      <c r="Y137" s="224"/>
      <c r="Z137" s="60"/>
      <c r="AA137" s="758"/>
      <c r="AB137" s="223"/>
      <c r="AC137" s="223"/>
      <c r="AD137" s="223"/>
      <c r="AE137" s="224"/>
      <c r="AF137" s="740"/>
      <c r="AG137" s="1617"/>
      <c r="AH137" s="1618"/>
      <c r="AI137" s="1618"/>
      <c r="AJ137" s="1618"/>
      <c r="AK137" s="1619"/>
      <c r="AL137" s="740"/>
      <c r="AM137" s="1617"/>
      <c r="AN137" s="1618"/>
      <c r="AO137" s="1618"/>
      <c r="AP137" s="1618"/>
      <c r="AQ137" s="1619"/>
      <c r="AR137" s="226"/>
      <c r="AS137" s="1617"/>
      <c r="AT137" s="1618"/>
      <c r="AU137" s="1618"/>
      <c r="AV137" s="1618"/>
      <c r="AW137" s="1619"/>
      <c r="AX137" s="740"/>
      <c r="AY137" s="1617"/>
      <c r="AZ137" s="1618"/>
      <c r="BA137" s="1618"/>
      <c r="BB137" s="1618"/>
      <c r="BC137" s="1619"/>
      <c r="BD137" s="740"/>
      <c r="BE137" s="1617"/>
      <c r="BF137" s="1618"/>
      <c r="BG137" s="1618"/>
      <c r="BH137" s="1618"/>
      <c r="BI137" s="1619"/>
      <c r="BJ137" s="1698"/>
      <c r="BK137" s="2336"/>
      <c r="BL137" s="1703">
        <f>+BL131/BK130</f>
        <v>0.74774774774774777</v>
      </c>
      <c r="BM137" s="1703">
        <f>+BM131/BL130</f>
        <v>0.6953125</v>
      </c>
      <c r="BN137" s="195">
        <f>+BN131/BM130</f>
        <v>0.8165137614678899</v>
      </c>
      <c r="BO137" s="2792">
        <f>+AVERAGE(BK137:BN137)</f>
        <v>0.75319133640521263</v>
      </c>
      <c r="BP137" s="1698"/>
      <c r="BQ137" s="1820">
        <f>+BQ131/BO130</f>
        <v>0.85555555555555551</v>
      </c>
      <c r="BR137" s="1703">
        <f>+BR131/BQ130</f>
        <v>0.96385542168674698</v>
      </c>
      <c r="BS137" s="1703">
        <f>+BS131/BR130</f>
        <v>1.1506849315068493</v>
      </c>
      <c r="BT137" s="195">
        <f>+BT131/BS130</f>
        <v>1.5555555555555556</v>
      </c>
      <c r="BU137" s="2792">
        <f>+AVERAGE(BQ137:BT137)</f>
        <v>1.1314128660761769</v>
      </c>
      <c r="BV137" s="1698"/>
      <c r="BW137" s="1820">
        <f>+BW131/BU130</f>
        <v>2.2333333333333334</v>
      </c>
      <c r="BX137" s="1703">
        <f>+BX131/BW130</f>
        <v>2.3928571428571428</v>
      </c>
      <c r="BY137" s="1703">
        <f>+BY131/BX130</f>
        <v>2.5769230769230771</v>
      </c>
      <c r="BZ137" s="195">
        <f>+BZ131/BY130</f>
        <v>2.7916666666666665</v>
      </c>
      <c r="CA137" s="2792">
        <f>+AVERAGE(BW137:BZ137)</f>
        <v>2.4986950549450548</v>
      </c>
      <c r="CB137" s="1698"/>
      <c r="CC137" s="1820">
        <f>+CC131/CA130</f>
        <v>2.7272727272727271</v>
      </c>
      <c r="CD137" s="1703">
        <f>+CD131/CC130</f>
        <v>2.7272727272727271</v>
      </c>
      <c r="CE137" s="1703">
        <f>+CE131/CD130</f>
        <v>2.7272727272727271</v>
      </c>
      <c r="CF137" s="195">
        <f>+CF131/CE130</f>
        <v>2.7272727272727271</v>
      </c>
      <c r="CG137" s="2792">
        <f>+AVERAGE(CC137:CF137)</f>
        <v>2.7272727272727271</v>
      </c>
      <c r="CH137" s="1698"/>
      <c r="CI137" s="1820">
        <f>+CI131/CG130</f>
        <v>2.7272727272727271</v>
      </c>
      <c r="CJ137" s="1703">
        <f>+CJ131/CI130</f>
        <v>2.7272727272727271</v>
      </c>
      <c r="CK137" s="1703">
        <f>+CK131/CJ130</f>
        <v>2.7272727272727271</v>
      </c>
      <c r="CL137" s="195">
        <f>+CL131/CK130</f>
        <v>2.7272727272727271</v>
      </c>
      <c r="CM137" s="2792">
        <f>+AVERAGE(CI137:CL137)</f>
        <v>2.7272727272727271</v>
      </c>
      <c r="CN137" s="1698"/>
      <c r="CO137" s="1820">
        <f>+CO131/CM130</f>
        <v>2.7272727272727271</v>
      </c>
      <c r="CP137" s="1703">
        <f>+CP131/CO130</f>
        <v>2.7272727272727271</v>
      </c>
      <c r="CQ137" s="1703">
        <f>+CQ131/CP130</f>
        <v>2.7272727272727271</v>
      </c>
      <c r="CR137" s="195">
        <f>+CR131/CQ130</f>
        <v>2.7272727272727271</v>
      </c>
      <c r="CS137" s="2792">
        <f>+AVERAGE(CO137:CR137)</f>
        <v>2.7272727272727271</v>
      </c>
      <c r="CU137" s="4"/>
      <c r="CV137" s="60"/>
      <c r="CW137" s="60"/>
      <c r="CX137" s="60"/>
      <c r="CY137" s="60"/>
      <c r="CZ137" s="60"/>
      <c r="DA137" s="60"/>
      <c r="DB137" s="60"/>
      <c r="DC137" s="60"/>
      <c r="DD137" s="60"/>
      <c r="DE137" s="60"/>
      <c r="DF137" s="60"/>
      <c r="DG137" s="60"/>
      <c r="DH137" s="60"/>
      <c r="DI137" s="68"/>
      <c r="DJ137" s="68"/>
      <c r="DK137" s="68"/>
      <c r="DL137" s="68"/>
      <c r="DM137" s="68"/>
      <c r="DN137" s="68"/>
      <c r="DO137" s="68"/>
      <c r="DP137" s="68"/>
      <c r="DQ137" s="68"/>
      <c r="DR137" s="68"/>
      <c r="DS137" s="68"/>
      <c r="DT137" s="68"/>
    </row>
    <row r="138" spans="1:16384" s="8" customFormat="1" ht="12.75" hidden="1" customHeight="1" outlineLevel="1">
      <c r="A138" s="2441" t="s">
        <v>831</v>
      </c>
      <c r="B138" s="800"/>
      <c r="C138" s="801"/>
      <c r="D138" s="800"/>
      <c r="E138" s="800"/>
      <c r="F138" s="800"/>
      <c r="G138" s="802"/>
      <c r="H138" s="800"/>
      <c r="I138" s="803"/>
      <c r="J138" s="804"/>
      <c r="K138" s="804"/>
      <c r="L138" s="804"/>
      <c r="M138" s="802"/>
      <c r="N138" s="800"/>
      <c r="O138" s="803"/>
      <c r="P138" s="804"/>
      <c r="Q138" s="804"/>
      <c r="R138" s="804"/>
      <c r="S138" s="802"/>
      <c r="T138" s="800"/>
      <c r="U138" s="805"/>
      <c r="V138" s="806"/>
      <c r="W138" s="806"/>
      <c r="X138" s="806"/>
      <c r="Y138" s="807"/>
      <c r="Z138" s="800"/>
      <c r="AA138" s="805"/>
      <c r="AB138" s="806"/>
      <c r="AC138" s="806"/>
      <c r="AD138" s="806"/>
      <c r="AE138" s="807"/>
      <c r="AF138" s="1031"/>
      <c r="AG138" s="1620"/>
      <c r="AH138" s="1621"/>
      <c r="AI138" s="1621"/>
      <c r="AJ138" s="1621"/>
      <c r="AK138" s="1622"/>
      <c r="AL138" s="1031"/>
      <c r="AM138" s="1620"/>
      <c r="AN138" s="1621"/>
      <c r="AO138" s="1621"/>
      <c r="AP138" s="1621"/>
      <c r="AQ138" s="1622"/>
      <c r="AR138" s="804"/>
      <c r="AS138" s="1620"/>
      <c r="AT138" s="1621"/>
      <c r="AU138" s="1621"/>
      <c r="AV138" s="1621"/>
      <c r="AW138" s="1622"/>
      <c r="AX138" s="1031"/>
      <c r="AY138" s="1620"/>
      <c r="AZ138" s="1621"/>
      <c r="BA138" s="1621"/>
      <c r="BB138" s="1621"/>
      <c r="BC138" s="1622"/>
      <c r="BD138" s="1031"/>
      <c r="BE138" s="1620"/>
      <c r="BF138" s="1621"/>
      <c r="BG138" s="1621"/>
      <c r="BH138" s="1621"/>
      <c r="BI138" s="1622"/>
      <c r="BJ138" s="1700"/>
      <c r="BK138" s="2803">
        <f>+BK129/BK172</f>
        <v>5.918716752034256E-2</v>
      </c>
      <c r="BL138" s="2802">
        <f t="shared" ref="BL138:BN138" si="468">+BL129/BL172</f>
        <v>4.2447676876524607E-2</v>
      </c>
      <c r="BM138" s="2802">
        <f t="shared" si="468"/>
        <v>2.8903625261433294E-2</v>
      </c>
      <c r="BN138" s="2802">
        <f t="shared" si="468"/>
        <v>2.8102952027214849E-2</v>
      </c>
      <c r="BO138" s="2186"/>
      <c r="BP138" s="1700"/>
      <c r="BQ138" s="2404">
        <f>+BQ129/BQ172</f>
        <v>2.7463457104144055E-2</v>
      </c>
      <c r="BR138" s="2754">
        <f t="shared" ref="BR138:BT138" si="469">+BR129/BR172</f>
        <v>2.7249637319677639E-2</v>
      </c>
      <c r="BS138" s="2754">
        <f t="shared" si="469"/>
        <v>2.5642628643060432E-2</v>
      </c>
      <c r="BT138" s="2754">
        <f t="shared" si="469"/>
        <v>2.3991924038997223E-2</v>
      </c>
      <c r="BU138" s="2186"/>
      <c r="BV138" s="1700"/>
      <c r="BW138" s="2404">
        <f>+BW129/BW172</f>
        <v>2.6445968639610105E-2</v>
      </c>
      <c r="BX138" s="2754">
        <f t="shared" ref="BX138:BZ138" si="470">+BX129/BX172</f>
        <v>2.6916880141584269E-2</v>
      </c>
      <c r="BY138" s="2754">
        <f t="shared" si="470"/>
        <v>2.740486630418509E-2</v>
      </c>
      <c r="BZ138" s="2754">
        <f t="shared" si="470"/>
        <v>2.791087293295292E-2</v>
      </c>
      <c r="CA138" s="2186"/>
      <c r="CB138" s="1700"/>
      <c r="CC138" s="2509"/>
      <c r="CD138" s="1752"/>
      <c r="CE138" s="1752"/>
      <c r="CF138" s="2508"/>
      <c r="CG138" s="2186"/>
      <c r="CH138" s="1700"/>
      <c r="CI138" s="2509"/>
      <c r="CJ138" s="1752"/>
      <c r="CK138" s="1752"/>
      <c r="CL138" s="2508"/>
      <c r="CM138" s="2186"/>
      <c r="CN138" s="1700"/>
      <c r="CO138" s="2509"/>
      <c r="CP138" s="1752"/>
      <c r="CQ138" s="1752"/>
      <c r="CR138" s="2508"/>
      <c r="CS138" s="2186"/>
      <c r="CU138" s="4"/>
      <c r="CV138" s="60"/>
      <c r="CW138" s="60"/>
      <c r="CX138" s="60"/>
      <c r="CY138" s="60"/>
      <c r="CZ138" s="60"/>
      <c r="DA138" s="60"/>
      <c r="DB138" s="60"/>
      <c r="DC138" s="60"/>
      <c r="DD138" s="60"/>
      <c r="DE138" s="60"/>
      <c r="DF138" s="60"/>
      <c r="DG138" s="60"/>
      <c r="DH138" s="60"/>
      <c r="DI138" s="68"/>
      <c r="DJ138" s="68"/>
      <c r="DK138" s="68"/>
      <c r="DL138" s="68"/>
      <c r="DM138" s="68"/>
      <c r="DN138" s="68"/>
      <c r="DO138" s="68"/>
      <c r="DP138" s="68"/>
      <c r="DQ138" s="68"/>
      <c r="DR138" s="68"/>
      <c r="DS138" s="68"/>
      <c r="DT138" s="68"/>
    </row>
    <row r="139" spans="1:16384" ht="12.75" hidden="1" customHeight="1" outlineLevel="1">
      <c r="A139" s="796" t="s">
        <v>227</v>
      </c>
      <c r="B139" s="205"/>
      <c r="C139" s="750"/>
      <c r="D139" s="205"/>
      <c r="E139" s="205"/>
      <c r="F139" s="205"/>
      <c r="G139" s="191"/>
      <c r="H139" s="205"/>
      <c r="I139" s="750"/>
      <c r="J139" s="205"/>
      <c r="K139" s="205"/>
      <c r="L139" s="205"/>
      <c r="M139" s="191"/>
      <c r="N139" s="205"/>
      <c r="O139" s="750"/>
      <c r="P139" s="205"/>
      <c r="Q139" s="205"/>
      <c r="R139" s="205"/>
      <c r="S139" s="191"/>
      <c r="T139" s="205"/>
      <c r="U139" s="750">
        <f>((U142/2)/36)*1.5</f>
        <v>0.13270833333333334</v>
      </c>
      <c r="V139" s="205">
        <f>(((V142/2)/36)*1.5)+((U142/36)*3)</f>
        <v>0.8370833333333334</v>
      </c>
      <c r="W139" s="205">
        <f>(((W142/2)/36)*1.5)+((V142/36)*3)+(((U142/36)*3))</f>
        <v>2.0110416666666668</v>
      </c>
      <c r="X139" s="222">
        <f>(((X142/2)/36)*1.5)+((W142/36)*3)+(((V142/36)*3))+(((U142/36)*3))</f>
        <v>3.0829166666666667</v>
      </c>
      <c r="Y139" s="221">
        <f>SUM(U139:X139)</f>
        <v>6.0637500000000006</v>
      </c>
      <c r="Z139" s="222"/>
      <c r="AA139" s="771">
        <f>(((V142)/36)*3)+((U142/36)*3)+(((W142/36)*3))+(((X142/36)*3))+(((AA142/36)*1.5))</f>
        <v>4.165</v>
      </c>
      <c r="AB139" s="222">
        <f>(((V142)/36)*3)+((U142/36)*3)+(((W142/36)*3))+(((X142/36)*3))+(((AA142/36)*3)+(AB142/36)*1.5)</f>
        <v>4.5325000000000006</v>
      </c>
      <c r="AC139" s="222">
        <f>((W142/36)*3)+((V142/36)*3)+((X142/36)*3)+((AA142/36)*3)+(AB142/36)*3</f>
        <v>4.2058333333333335</v>
      </c>
      <c r="AD139" s="222">
        <f>AC139</f>
        <v>4.2058333333333335</v>
      </c>
      <c r="AE139" s="221">
        <f>SUM(AA139:AD139)</f>
        <v>17.10916666666667</v>
      </c>
      <c r="AF139" s="222"/>
      <c r="AG139" s="771">
        <f>(((AB142)/36)*3)+((AA142/36)*3)+(((AC142/36)*3))+(((AD142/36)*3))+(((AG142/36)*1.5))</f>
        <v>1.7456250000000004</v>
      </c>
      <c r="AH139" s="222">
        <f>(((AB142)/36)*3)+((AA142/36)*3)+(((AC142/36)*3))+(((AD142/36)*3))+(((AG142/36)*3)+(AH142/36)*1.5)</f>
        <v>2.1335416666666669</v>
      </c>
      <c r="AI139" s="222">
        <f>((AC142/36)*3)+((AB142/36)*3)+((AD142/36)*3)+((AG142/36)*3)+(AH142/36)*3</f>
        <v>2.0008333333333335</v>
      </c>
      <c r="AJ139" s="222">
        <f>((AD142/36)*3)+((AC142/36)*3)+((AG142/36)*3)+((AH142/36)*3)+(AI142/36)*3</f>
        <v>1.9804166666666667</v>
      </c>
      <c r="AK139" s="221">
        <f>SUM(AG139:AJ139)</f>
        <v>7.8604166666666675</v>
      </c>
      <c r="AL139" s="205"/>
      <c r="AM139" s="750"/>
      <c r="AN139" s="205"/>
      <c r="AO139" s="205"/>
      <c r="AP139" s="205"/>
      <c r="AQ139" s="1335"/>
      <c r="AR139" s="205"/>
      <c r="AS139" s="89"/>
      <c r="AT139" s="205"/>
      <c r="AU139" s="9"/>
      <c r="AV139" s="9"/>
      <c r="AW139" s="188"/>
      <c r="AX139" s="9"/>
      <c r="AY139" s="89"/>
      <c r="AZ139" s="9"/>
      <c r="BA139" s="9"/>
      <c r="BB139" s="9"/>
      <c r="BC139" s="188"/>
      <c r="BD139" s="9"/>
      <c r="BE139" s="89"/>
      <c r="BF139" s="9"/>
      <c r="BG139" s="9"/>
      <c r="BH139" s="9"/>
      <c r="BI139" s="188"/>
      <c r="BJ139" s="9"/>
      <c r="BK139" s="89"/>
      <c r="BL139" s="9"/>
      <c r="BM139" s="9"/>
      <c r="BN139" s="9"/>
      <c r="BO139" s="188"/>
      <c r="BP139" s="9"/>
      <c r="BQ139" s="89"/>
      <c r="BR139" s="9"/>
      <c r="BS139" s="9"/>
      <c r="BT139" s="9"/>
      <c r="BU139" s="188"/>
      <c r="BV139" s="9"/>
      <c r="BW139" s="89"/>
      <c r="BX139" s="9"/>
      <c r="BY139" s="9"/>
      <c r="BZ139" s="9"/>
      <c r="CA139" s="188"/>
      <c r="CB139" s="9"/>
      <c r="CC139" s="89"/>
      <c r="CD139" s="9"/>
      <c r="CE139" s="9"/>
      <c r="CF139" s="9"/>
      <c r="CG139" s="188"/>
      <c r="CH139" s="9"/>
      <c r="CI139" s="89"/>
      <c r="CJ139" s="9"/>
      <c r="CK139" s="9"/>
      <c r="CL139" s="9"/>
      <c r="CM139" s="188"/>
      <c r="CN139" s="9"/>
      <c r="CO139" s="89"/>
      <c r="CP139" s="9"/>
      <c r="CQ139" s="9"/>
      <c r="CR139" s="9"/>
      <c r="CS139" s="188"/>
      <c r="CT139" s="205"/>
      <c r="CU139" s="740"/>
      <c r="CV139" s="9"/>
      <c r="CW139" s="205"/>
      <c r="CX139" s="205"/>
      <c r="CY139" s="205"/>
      <c r="CZ139" s="205"/>
      <c r="DA139" s="205"/>
      <c r="DB139" s="205"/>
      <c r="DC139" s="205"/>
      <c r="DD139" s="205"/>
      <c r="DE139" s="205"/>
      <c r="DF139" s="205"/>
      <c r="DG139" s="205"/>
      <c r="DH139" s="205"/>
      <c r="DI139" s="205"/>
      <c r="DJ139" s="205"/>
      <c r="DK139" s="205"/>
      <c r="DL139" s="205"/>
      <c r="DM139" s="205"/>
      <c r="DN139" s="205"/>
      <c r="DO139" s="205"/>
      <c r="DP139" s="205"/>
      <c r="DQ139" s="205"/>
      <c r="DR139" s="205"/>
      <c r="DS139" s="205"/>
      <c r="DT139" s="205"/>
    </row>
    <row r="140" spans="1:16384" ht="12.75" hidden="1" customHeight="1" outlineLevel="1">
      <c r="A140" s="1029" t="s">
        <v>228</v>
      </c>
      <c r="B140" s="205"/>
      <c r="C140" s="750"/>
      <c r="D140" s="205"/>
      <c r="E140" s="205"/>
      <c r="F140" s="205"/>
      <c r="G140" s="191"/>
      <c r="H140" s="205"/>
      <c r="I140" s="750"/>
      <c r="J140" s="205"/>
      <c r="K140" s="205"/>
      <c r="L140" s="205"/>
      <c r="M140" s="191"/>
      <c r="N140" s="205"/>
      <c r="O140" s="750"/>
      <c r="P140" s="205"/>
      <c r="Q140" s="205"/>
      <c r="R140" s="205"/>
      <c r="S140" s="191"/>
      <c r="T140" s="205"/>
      <c r="U140" s="776">
        <v>13</v>
      </c>
      <c r="V140" s="746">
        <v>30</v>
      </c>
      <c r="W140" s="746">
        <v>25</v>
      </c>
      <c r="X140" s="746">
        <v>30</v>
      </c>
      <c r="Y140" s="191">
        <f>SUM(U140:X140)</f>
        <v>98</v>
      </c>
      <c r="Z140" s="205"/>
      <c r="AA140" s="776">
        <v>8</v>
      </c>
      <c r="AB140" s="746">
        <v>10</v>
      </c>
      <c r="AC140" s="746">
        <v>10</v>
      </c>
      <c r="AD140" s="746">
        <v>10</v>
      </c>
      <c r="AE140" s="191">
        <f>SUM(AA140:AD140)</f>
        <v>38</v>
      </c>
      <c r="AF140" s="205"/>
      <c r="AG140" s="750">
        <f>$AK140/4</f>
        <v>9.5</v>
      </c>
      <c r="AH140" s="205">
        <f>$AK140/4</f>
        <v>9.5</v>
      </c>
      <c r="AI140" s="205">
        <f>$AK140/4</f>
        <v>9.5</v>
      </c>
      <c r="AJ140" s="205">
        <f>$AK140/4</f>
        <v>9.5</v>
      </c>
      <c r="AK140" s="191">
        <f>AE140</f>
        <v>38</v>
      </c>
      <c r="AL140" s="205"/>
      <c r="AM140" s="750"/>
      <c r="AN140" s="205"/>
      <c r="AO140" s="205"/>
      <c r="AP140" s="205"/>
      <c r="AQ140" s="1011"/>
      <c r="AR140" s="205"/>
      <c r="AS140" s="89"/>
      <c r="AT140" s="1350"/>
      <c r="AU140" s="1350"/>
      <c r="AV140" s="1598"/>
      <c r="AW140" s="1701"/>
      <c r="AX140" s="9"/>
      <c r="AY140" s="89"/>
      <c r="AZ140" s="9"/>
      <c r="BA140" s="9"/>
      <c r="BB140" s="9"/>
      <c r="BC140" s="1702"/>
      <c r="BD140" s="9"/>
      <c r="BE140" s="89"/>
      <c r="BF140" s="9"/>
      <c r="BG140" s="9"/>
      <c r="BH140" s="9"/>
      <c r="BI140" s="1641"/>
      <c r="BJ140" s="9"/>
      <c r="BK140" s="89"/>
      <c r="BL140" s="195"/>
      <c r="BM140" s="9"/>
      <c r="BN140" s="9"/>
      <c r="BO140" s="2380"/>
      <c r="BP140" s="9"/>
      <c r="BQ140" s="89"/>
      <c r="BR140" s="9"/>
      <c r="BS140" s="9"/>
      <c r="BT140" s="9"/>
      <c r="BU140" s="2380"/>
      <c r="BV140" s="9"/>
      <c r="BW140" s="89"/>
      <c r="BX140" s="9"/>
      <c r="BY140" s="9"/>
      <c r="BZ140" s="9"/>
      <c r="CA140" s="2380"/>
      <c r="CB140" s="9"/>
      <c r="CC140" s="89"/>
      <c r="CD140" s="9"/>
      <c r="CE140" s="9"/>
      <c r="CF140" s="9"/>
      <c r="CG140" s="2380"/>
      <c r="CH140" s="9"/>
      <c r="CI140" s="89"/>
      <c r="CJ140" s="9"/>
      <c r="CK140" s="9"/>
      <c r="CL140" s="9"/>
      <c r="CM140" s="2380"/>
      <c r="CN140" s="9"/>
      <c r="CO140" s="89"/>
      <c r="CP140" s="9"/>
      <c r="CQ140" s="9"/>
      <c r="CR140" s="9"/>
      <c r="CS140" s="2380"/>
      <c r="CT140" s="205"/>
      <c r="CU140" s="2368"/>
      <c r="CV140" s="9"/>
      <c r="CX140" s="205"/>
      <c r="CY140" s="205"/>
      <c r="CZ140" s="205"/>
      <c r="DA140" s="205"/>
      <c r="DB140" s="205"/>
      <c r="DC140" s="205"/>
      <c r="DD140" s="205"/>
      <c r="DE140" s="205"/>
      <c r="DF140" s="205"/>
      <c r="DG140" s="205"/>
      <c r="DH140" s="205"/>
      <c r="DI140" s="205"/>
      <c r="DJ140" s="205"/>
      <c r="DK140" s="205"/>
      <c r="DL140" s="205"/>
      <c r="DM140" s="205"/>
      <c r="DN140" s="205"/>
      <c r="DO140" s="205"/>
      <c r="DP140" s="205"/>
      <c r="DQ140" s="205"/>
      <c r="DR140" s="205"/>
      <c r="DS140" s="205"/>
      <c r="DT140" s="205"/>
    </row>
    <row r="141" spans="1:16384" ht="12.75" hidden="1" customHeight="1" outlineLevel="1">
      <c r="A141" s="1028" t="s">
        <v>223</v>
      </c>
      <c r="B141" s="201"/>
      <c r="C141" s="751"/>
      <c r="D141" s="201"/>
      <c r="E141" s="201"/>
      <c r="F141" s="201"/>
      <c r="G141" s="203"/>
      <c r="H141" s="201"/>
      <c r="I141" s="751"/>
      <c r="J141" s="201"/>
      <c r="K141" s="201"/>
      <c r="L141" s="201"/>
      <c r="M141" s="203"/>
      <c r="N141" s="201"/>
      <c r="O141" s="751"/>
      <c r="P141" s="201"/>
      <c r="Q141" s="201"/>
      <c r="R141" s="201"/>
      <c r="S141" s="203"/>
      <c r="T141" s="201"/>
      <c r="U141" s="768">
        <v>490</v>
      </c>
      <c r="V141" s="201">
        <f>U141</f>
        <v>490</v>
      </c>
      <c r="W141" s="201">
        <f>V141</f>
        <v>490</v>
      </c>
      <c r="X141" s="201">
        <f>W141</f>
        <v>490</v>
      </c>
      <c r="Y141" s="203">
        <f>AVERAGE(U141:X141)</f>
        <v>490</v>
      </c>
      <c r="Z141" s="201"/>
      <c r="AA141" s="751">
        <f>X141</f>
        <v>490</v>
      </c>
      <c r="AB141" s="227">
        <f>AA141</f>
        <v>490</v>
      </c>
      <c r="AC141" s="227">
        <f>AB141</f>
        <v>490</v>
      </c>
      <c r="AD141" s="227">
        <f>AC141</f>
        <v>490</v>
      </c>
      <c r="AE141" s="203">
        <f>AVERAGE(AA141:AD141)</f>
        <v>490</v>
      </c>
      <c r="AF141" s="201"/>
      <c r="AG141" s="751">
        <f>AD141</f>
        <v>490</v>
      </c>
      <c r="AH141" s="201">
        <f>AD141</f>
        <v>490</v>
      </c>
      <c r="AI141" s="201">
        <f>AH141</f>
        <v>490</v>
      </c>
      <c r="AJ141" s="201">
        <f>AI141</f>
        <v>490</v>
      </c>
      <c r="AK141" s="203">
        <f>AVERAGE(AG141:AJ141)</f>
        <v>490</v>
      </c>
      <c r="AL141" s="201"/>
      <c r="AM141" s="1040"/>
      <c r="AN141" s="1041"/>
      <c r="AO141" s="1041"/>
      <c r="AP141" s="1041"/>
      <c r="AQ141" s="203"/>
      <c r="AR141" s="201"/>
      <c r="AS141" s="1040"/>
      <c r="AT141" s="1041"/>
      <c r="AU141" s="1041"/>
      <c r="AV141" s="1041"/>
      <c r="AW141" s="1961"/>
      <c r="AX141" s="195"/>
      <c r="AY141" s="2174"/>
      <c r="AZ141" s="195"/>
      <c r="BA141" s="195"/>
      <c r="BB141" s="195"/>
      <c r="BC141" s="1961"/>
      <c r="BD141" s="195"/>
      <c r="BE141" s="2174"/>
      <c r="BF141" s="195"/>
      <c r="BG141" s="195"/>
      <c r="BH141" s="195"/>
      <c r="BI141" s="1961"/>
      <c r="BJ141" s="1401"/>
      <c r="BK141" s="1040"/>
      <c r="BL141" s="1041"/>
      <c r="BM141" s="1041"/>
      <c r="BN141" s="1041"/>
      <c r="BO141" s="1961"/>
      <c r="BP141" s="1401"/>
      <c r="BQ141" s="1040"/>
      <c r="BR141" s="1041"/>
      <c r="BS141" s="1041"/>
      <c r="BT141" s="1041"/>
      <c r="BU141" s="1606"/>
      <c r="BV141" s="1401"/>
      <c r="BW141" s="1040"/>
      <c r="BX141" s="1041"/>
      <c r="BY141" s="1041"/>
      <c r="BZ141" s="1041"/>
      <c r="CA141" s="1606"/>
      <c r="CB141" s="1401"/>
      <c r="CC141" s="1040"/>
      <c r="CD141" s="1041"/>
      <c r="CE141" s="1041"/>
      <c r="CF141" s="1041"/>
      <c r="CG141" s="1606"/>
      <c r="CH141" s="1401"/>
      <c r="CI141" s="1040"/>
      <c r="CJ141" s="1041"/>
      <c r="CK141" s="1041"/>
      <c r="CL141" s="1041"/>
      <c r="CM141" s="1606"/>
      <c r="CN141" s="1401"/>
      <c r="CO141" s="1040"/>
      <c r="CP141" s="1041"/>
      <c r="CQ141" s="1041"/>
      <c r="CR141" s="1041"/>
      <c r="CS141" s="1606"/>
      <c r="CT141" s="201"/>
      <c r="CU141" s="205"/>
      <c r="CV141" s="9"/>
      <c r="CW141" s="201"/>
      <c r="CX141" s="201"/>
      <c r="CY141" s="201"/>
      <c r="CZ141" s="201"/>
      <c r="DA141" s="201"/>
      <c r="DB141" s="201"/>
      <c r="DC141" s="201"/>
      <c r="DD141" s="201"/>
      <c r="DE141" s="201"/>
      <c r="DF141" s="201"/>
      <c r="DG141" s="201"/>
      <c r="DH141" s="201"/>
      <c r="DI141" s="201"/>
      <c r="DJ141" s="201"/>
      <c r="DK141" s="201"/>
      <c r="DL141" s="201"/>
      <c r="DM141" s="201"/>
      <c r="DN141" s="201"/>
      <c r="DO141" s="201"/>
      <c r="DP141" s="201"/>
      <c r="DQ141" s="201"/>
      <c r="DR141" s="201"/>
      <c r="DS141" s="201"/>
      <c r="DT141" s="201"/>
    </row>
    <row r="142" spans="1:16384" ht="12.75" hidden="1" customHeight="1" outlineLevel="1">
      <c r="A142" s="1029" t="s">
        <v>229</v>
      </c>
      <c r="B142" s="205"/>
      <c r="C142" s="750"/>
      <c r="D142" s="205"/>
      <c r="E142" s="205"/>
      <c r="F142" s="205"/>
      <c r="G142" s="191"/>
      <c r="H142" s="205"/>
      <c r="I142" s="750"/>
      <c r="J142" s="205"/>
      <c r="K142" s="205"/>
      <c r="L142" s="205"/>
      <c r="M142" s="191"/>
      <c r="N142" s="205"/>
      <c r="O142" s="750"/>
      <c r="P142" s="205"/>
      <c r="Q142" s="205"/>
      <c r="R142" s="205"/>
      <c r="S142" s="191"/>
      <c r="T142" s="205"/>
      <c r="U142" s="750">
        <f>(U140*U141)/1000</f>
        <v>6.37</v>
      </c>
      <c r="V142" s="205">
        <f>(V140*V141)/1000</f>
        <v>14.7</v>
      </c>
      <c r="W142" s="205">
        <f>(W140*W141)/1000</f>
        <v>12.25</v>
      </c>
      <c r="X142" s="205">
        <f>(X140*X141)/1000</f>
        <v>14.7</v>
      </c>
      <c r="Y142" s="191">
        <f>SUM(U142:X142)</f>
        <v>48.019999999999996</v>
      </c>
      <c r="Z142" s="205"/>
      <c r="AA142" s="750">
        <f>(AA140*AA141)/1000</f>
        <v>3.92</v>
      </c>
      <c r="AB142" s="205">
        <f>(AB140*AB141)/1000</f>
        <v>4.9000000000000004</v>
      </c>
      <c r="AC142" s="205">
        <f>(AC140*AC141)/1000</f>
        <v>4.9000000000000004</v>
      </c>
      <c r="AD142" s="205">
        <f>(AD140*AD141)/1000</f>
        <v>4.9000000000000004</v>
      </c>
      <c r="AE142" s="191">
        <f>SUM(AA142:AD142)</f>
        <v>18.62</v>
      </c>
      <c r="AF142" s="205"/>
      <c r="AG142" s="750">
        <f>(AG140*AG141)/1000</f>
        <v>4.6550000000000002</v>
      </c>
      <c r="AH142" s="205">
        <f>(AH140*AH141)/1000</f>
        <v>4.6550000000000002</v>
      </c>
      <c r="AI142" s="205">
        <f>(AI140*AI141)/1000</f>
        <v>4.6550000000000002</v>
      </c>
      <c r="AJ142" s="205">
        <f>(AJ140*AJ141)/1000</f>
        <v>4.6550000000000002</v>
      </c>
      <c r="AK142" s="191">
        <f>SUM(AG142:AJ142)</f>
        <v>18.62</v>
      </c>
      <c r="AL142" s="205"/>
      <c r="AM142" s="750"/>
      <c r="AN142" s="205"/>
      <c r="AO142" s="205"/>
      <c r="AP142" s="205"/>
      <c r="AQ142" s="191"/>
      <c r="AR142" s="205"/>
      <c r="AS142" s="89"/>
      <c r="AT142" s="205"/>
      <c r="AU142" s="205"/>
      <c r="AV142" s="9"/>
      <c r="AW142" s="188"/>
      <c r="AX142" s="9"/>
      <c r="AY142" s="89"/>
      <c r="AZ142" s="9"/>
      <c r="BA142" s="9"/>
      <c r="BB142" s="9"/>
      <c r="BC142" s="188"/>
      <c r="BD142" s="9"/>
      <c r="BE142" s="2174"/>
      <c r="BF142" s="195"/>
      <c r="BG142" s="195"/>
      <c r="BH142" s="9"/>
      <c r="BI142" s="188"/>
      <c r="BJ142" s="9"/>
      <c r="BK142" s="89"/>
      <c r="BL142" s="9"/>
      <c r="BM142" s="9"/>
      <c r="BN142" s="9"/>
      <c r="BO142" s="188"/>
      <c r="BP142" s="9"/>
      <c r="BQ142" s="89"/>
      <c r="BR142" s="9"/>
      <c r="BS142" s="9"/>
      <c r="BT142" s="9"/>
      <c r="BU142" s="188"/>
      <c r="BV142" s="9"/>
      <c r="BW142" s="89"/>
      <c r="BX142" s="9"/>
      <c r="BY142" s="9"/>
      <c r="BZ142" s="9"/>
      <c r="CA142" s="188"/>
      <c r="CB142" s="9"/>
      <c r="CC142" s="89"/>
      <c r="CD142" s="9"/>
      <c r="CE142" s="9"/>
      <c r="CF142" s="9"/>
      <c r="CG142" s="188"/>
      <c r="CH142" s="9"/>
      <c r="CI142" s="89"/>
      <c r="CJ142" s="9"/>
      <c r="CK142" s="9"/>
      <c r="CL142" s="9"/>
      <c r="CM142" s="188"/>
      <c r="CN142" s="9"/>
      <c r="CO142" s="89"/>
      <c r="CP142" s="9"/>
      <c r="CQ142" s="9"/>
      <c r="CR142" s="9"/>
      <c r="CS142" s="188"/>
      <c r="CT142" s="205"/>
      <c r="CU142" s="2429"/>
      <c r="CV142" s="9"/>
      <c r="CW142" s="205"/>
      <c r="CX142" s="205"/>
      <c r="CY142" s="205"/>
      <c r="CZ142" s="205"/>
      <c r="DA142" s="205"/>
      <c r="DB142" s="205"/>
      <c r="DC142" s="205"/>
      <c r="DD142" s="205"/>
      <c r="DE142" s="205"/>
      <c r="DF142" s="205"/>
      <c r="DG142" s="205"/>
      <c r="DH142" s="205"/>
      <c r="DI142" s="205"/>
      <c r="DJ142" s="205"/>
      <c r="DK142" s="205"/>
      <c r="DL142" s="205"/>
      <c r="DM142" s="205"/>
      <c r="DN142" s="205"/>
      <c r="DO142" s="205"/>
      <c r="DP142" s="205"/>
      <c r="DQ142" s="205"/>
      <c r="DR142" s="205"/>
      <c r="DS142" s="205"/>
      <c r="DT142" s="205"/>
    </row>
    <row r="143" spans="1:16384" collapsed="1">
      <c r="A143" s="1042" t="s">
        <v>384</v>
      </c>
      <c r="B143" s="1043"/>
      <c r="C143" s="1044"/>
      <c r="D143" s="1045"/>
      <c r="E143" s="1045"/>
      <c r="F143" s="1045"/>
      <c r="G143" s="1046"/>
      <c r="H143" s="1043"/>
      <c r="I143" s="1044"/>
      <c r="J143" s="1045"/>
      <c r="K143" s="1045"/>
      <c r="L143" s="1045"/>
      <c r="M143" s="1046"/>
      <c r="N143" s="1043"/>
      <c r="O143" s="1044"/>
      <c r="P143" s="1045"/>
      <c r="Q143" s="1045"/>
      <c r="R143" s="1047"/>
      <c r="S143" s="1048"/>
      <c r="T143" s="1043"/>
      <c r="U143" s="2310"/>
      <c r="V143" s="2310"/>
      <c r="W143" s="2310"/>
      <c r="X143" s="2310"/>
      <c r="Y143" s="2310"/>
      <c r="Z143" s="1043"/>
      <c r="AA143" s="2310"/>
      <c r="AB143" s="2310"/>
      <c r="AC143" s="2310"/>
      <c r="AD143" s="2310"/>
      <c r="AE143" s="2310"/>
      <c r="AF143" s="1043"/>
      <c r="AG143" s="2310"/>
      <c r="AH143" s="2310"/>
      <c r="AI143" s="2310"/>
      <c r="AJ143" s="2310"/>
      <c r="AK143" s="2310"/>
      <c r="AL143" s="1043"/>
      <c r="AM143" s="2310"/>
      <c r="AN143" s="2310"/>
      <c r="AO143" s="2310"/>
      <c r="AP143" s="2310"/>
      <c r="AQ143" s="2310"/>
      <c r="AR143" s="1043"/>
      <c r="AS143" s="2310"/>
      <c r="AT143" s="2310"/>
      <c r="AU143" s="2310"/>
      <c r="AV143" s="2310"/>
      <c r="AW143" s="2310"/>
      <c r="AX143" s="1043"/>
      <c r="AY143" s="2310"/>
      <c r="AZ143" s="2310"/>
      <c r="BA143" s="2310"/>
      <c r="BB143" s="2310"/>
      <c r="BC143" s="2310"/>
      <c r="BD143" s="1043"/>
      <c r="BE143" s="2310"/>
      <c r="BF143" s="2310"/>
      <c r="BG143" s="2310"/>
      <c r="BH143" s="2310"/>
      <c r="BI143" s="2310"/>
      <c r="BJ143" s="1043"/>
      <c r="BK143" s="2310"/>
      <c r="BL143" s="1045"/>
      <c r="BM143" s="1045"/>
      <c r="BN143" s="1045"/>
      <c r="BO143" s="1046"/>
      <c r="BP143" s="1043"/>
      <c r="BQ143" s="2310"/>
      <c r="BR143" s="1045"/>
      <c r="BS143" s="1045"/>
      <c r="BT143" s="1045"/>
      <c r="BU143" s="1046"/>
      <c r="BV143" s="1043"/>
      <c r="BW143" s="2310"/>
      <c r="BX143" s="1045"/>
      <c r="BY143" s="1045"/>
      <c r="BZ143" s="1045"/>
      <c r="CA143" s="1046"/>
      <c r="CB143" s="1043"/>
      <c r="CC143" s="2310"/>
      <c r="CD143" s="1045"/>
      <c r="CE143" s="1045"/>
      <c r="CF143" s="1045"/>
      <c r="CG143" s="1046"/>
      <c r="CH143" s="1043"/>
      <c r="CI143" s="2310"/>
      <c r="CJ143" s="1045"/>
      <c r="CK143" s="1045"/>
      <c r="CL143" s="1045"/>
      <c r="CM143" s="1046"/>
      <c r="CN143" s="1043"/>
      <c r="CO143" s="2310"/>
      <c r="CP143" s="1045"/>
      <c r="CQ143" s="1045"/>
      <c r="CR143" s="1045"/>
      <c r="CS143" s="1046"/>
      <c r="CT143" s="1527"/>
      <c r="CU143" s="740"/>
      <c r="CV143" s="9"/>
      <c r="CW143" s="60"/>
      <c r="CX143" s="60"/>
      <c r="CY143" s="60"/>
      <c r="CZ143" s="60"/>
      <c r="DA143" s="60"/>
      <c r="DB143" s="60"/>
      <c r="DC143" s="60"/>
      <c r="DD143" s="60"/>
      <c r="DE143" s="60"/>
      <c r="DF143" s="60"/>
      <c r="DG143" s="60"/>
      <c r="DH143" s="60"/>
      <c r="DI143" s="68"/>
      <c r="DJ143" s="68"/>
      <c r="DK143" s="68"/>
      <c r="DL143" s="68"/>
      <c r="DM143" s="68"/>
      <c r="DN143" s="68"/>
      <c r="DO143" s="68"/>
      <c r="DP143" s="68"/>
      <c r="DQ143" s="68"/>
      <c r="DR143" s="68"/>
      <c r="DS143" s="68"/>
      <c r="DT143" s="68"/>
    </row>
    <row r="144" spans="1:16384" ht="12.75" hidden="1" customHeight="1" outlineLevel="1">
      <c r="A144" s="796" t="s">
        <v>450</v>
      </c>
      <c r="B144" s="205"/>
      <c r="C144" s="748">
        <f>14+C46</f>
        <v>29</v>
      </c>
      <c r="D144" s="740">
        <f>+D46+C144</f>
        <v>54</v>
      </c>
      <c r="E144" s="740">
        <f>+D144+E46</f>
        <v>84</v>
      </c>
      <c r="F144" s="740">
        <f>+E144+F46</f>
        <v>124</v>
      </c>
      <c r="G144" s="739">
        <f>+F144</f>
        <v>124</v>
      </c>
      <c r="H144" s="740"/>
      <c r="I144" s="760">
        <f>+F144+I46</f>
        <v>181</v>
      </c>
      <c r="J144" s="740">
        <f>+J46+I144</f>
        <v>246</v>
      </c>
      <c r="K144" s="740">
        <f>+K46+J144</f>
        <v>316</v>
      </c>
      <c r="L144" s="740">
        <f>+L46+K144</f>
        <v>396</v>
      </c>
      <c r="M144" s="739">
        <f>+L144</f>
        <v>396</v>
      </c>
      <c r="N144" s="740"/>
      <c r="O144" s="760">
        <f>+L144+O46</f>
        <v>479</v>
      </c>
      <c r="P144" s="740">
        <f>+P46+O144</f>
        <v>568</v>
      </c>
      <c r="Q144" s="740">
        <f>+Q46+P144</f>
        <v>668</v>
      </c>
      <c r="R144" s="740">
        <f>+R46+Q144</f>
        <v>770</v>
      </c>
      <c r="S144" s="739">
        <f>+R144</f>
        <v>770</v>
      </c>
      <c r="T144" s="740"/>
      <c r="U144" s="760">
        <f>+R144+U46</f>
        <v>862</v>
      </c>
      <c r="V144" s="740">
        <f>+V46+U144-V66</f>
        <v>865.9</v>
      </c>
      <c r="W144" s="740">
        <f>+W46+V144-W66-14</f>
        <v>796.31999999999994</v>
      </c>
      <c r="X144" s="740">
        <f>+X46+W144-X66-14</f>
        <v>731.11999999999989</v>
      </c>
      <c r="Y144" s="739">
        <f>+X144</f>
        <v>731.11999999999989</v>
      </c>
      <c r="Z144" s="740"/>
      <c r="AA144" s="760">
        <f>X144+AA46-AA66-10</f>
        <v>627.29999999999984</v>
      </c>
      <c r="AB144" s="740">
        <f>AA144+AB46-AB66-10</f>
        <v>548.30599999999981</v>
      </c>
      <c r="AC144" s="740">
        <f>AB144+AC46-AC66-10</f>
        <v>523.47999999999979</v>
      </c>
      <c r="AD144" s="740">
        <f>AC144+AD46-AD66-10</f>
        <v>488.61999999999978</v>
      </c>
      <c r="AE144" s="739">
        <f>+AD144</f>
        <v>488.61999999999978</v>
      </c>
      <c r="AF144" s="740"/>
      <c r="AG144" s="760">
        <f>AD144+AG46-AG66</f>
        <v>445.51999999999975</v>
      </c>
      <c r="AH144" s="740">
        <f>AG144+AH46-AH66</f>
        <v>411.03999999999974</v>
      </c>
      <c r="AI144" s="740">
        <f>AH144+AI46-AI66</f>
        <v>398.10999999999973</v>
      </c>
      <c r="AJ144" s="740">
        <f>AI144+AJ46-AJ66</f>
        <v>398.10999999999973</v>
      </c>
      <c r="AK144" s="739">
        <f>+AJ144</f>
        <v>398.10999999999973</v>
      </c>
      <c r="AL144" s="740"/>
      <c r="AM144" s="760">
        <f>AJ144+AM46-AM66</f>
        <v>398.10999999999973</v>
      </c>
      <c r="AN144" s="740">
        <f>AM144+AN46-AN66</f>
        <v>398.10999999999973</v>
      </c>
      <c r="AO144" s="740">
        <f>AN144+AO46-AO66</f>
        <v>398.10999999999973</v>
      </c>
      <c r="AP144" s="740">
        <f>AO144+AP46-AP66</f>
        <v>398.10999999999973</v>
      </c>
      <c r="AQ144" s="739">
        <f>+AP144</f>
        <v>398.10999999999973</v>
      </c>
      <c r="AR144" s="740"/>
      <c r="AS144" s="1432">
        <f>AP144+AS46-AS66</f>
        <v>398.10999999999973</v>
      </c>
      <c r="AT144" s="740">
        <f>AS144+AT46-AT66</f>
        <v>398.10999999999973</v>
      </c>
      <c r="AU144" s="740">
        <f>AT144+AU46-AU66</f>
        <v>398.10999999999973</v>
      </c>
      <c r="AV144" s="1611">
        <f>AU144+AV46-AV66</f>
        <v>398.10999999999973</v>
      </c>
      <c r="AW144" s="1610">
        <f>+AV144</f>
        <v>398.10999999999973</v>
      </c>
      <c r="AX144" s="1611"/>
      <c r="AY144" s="1432">
        <f>AV144+AY46-AY66</f>
        <v>398.10999999999973</v>
      </c>
      <c r="AZ144" s="1611">
        <f>AY144+AZ46-AZ66</f>
        <v>398.10999999999973</v>
      </c>
      <c r="BA144" s="1611">
        <f>AZ144+BA46-BA66</f>
        <v>398.10999999999973</v>
      </c>
      <c r="BB144" s="1611">
        <f>BA144+BB46-BB66</f>
        <v>398.10999999999973</v>
      </c>
      <c r="BC144" s="1610">
        <f>+BB144</f>
        <v>398.10999999999973</v>
      </c>
      <c r="BD144" s="1611"/>
      <c r="BE144" s="1432">
        <f>BB144+BE46-BE66</f>
        <v>398.10999999999973</v>
      </c>
      <c r="BF144" s="1611">
        <f>BE144+BF46-BF66</f>
        <v>398.10999999999973</v>
      </c>
      <c r="BG144" s="1611">
        <f>BF144+BG46-BG66</f>
        <v>398.10999999999973</v>
      </c>
      <c r="BH144" s="1611">
        <f>BG144+BH46-BH66</f>
        <v>398.10999999999973</v>
      </c>
      <c r="BI144" s="1610">
        <f>+BH144</f>
        <v>398.10999999999973</v>
      </c>
      <c r="BJ144" s="1611"/>
      <c r="BK144" s="1432">
        <f>BH144+BK46-BK66</f>
        <v>398.10999999999973</v>
      </c>
      <c r="BL144" s="1611">
        <f>BK144+BL46-BL66</f>
        <v>398.10999999999973</v>
      </c>
      <c r="BM144" s="1611">
        <f>BL144+BM46-BM66</f>
        <v>398.10999999999973</v>
      </c>
      <c r="BN144" s="1611">
        <f>BM144+BN46-BN66</f>
        <v>398.10999999999973</v>
      </c>
      <c r="BO144" s="1610">
        <f>+BN144</f>
        <v>398.10999999999973</v>
      </c>
      <c r="BP144" s="1611"/>
      <c r="BQ144" s="1432">
        <f>BN144+BQ46-BQ66</f>
        <v>398.10999999999973</v>
      </c>
      <c r="BR144" s="1611">
        <f>BQ144+BR46-BR66</f>
        <v>398.10999999999973</v>
      </c>
      <c r="BS144" s="1611">
        <f>BR144+BS46-BS66</f>
        <v>398.10999999999973</v>
      </c>
      <c r="BT144" s="1611">
        <f>BS144+BT46-BT66</f>
        <v>398.10999999999973</v>
      </c>
      <c r="BU144" s="1610">
        <f>+BT144</f>
        <v>398.10999999999973</v>
      </c>
      <c r="BV144" s="1611"/>
      <c r="BW144" s="1432">
        <f>BT144+BW46-BW66</f>
        <v>398.10999999999973</v>
      </c>
      <c r="BX144" s="1611">
        <f>BW144+BX46-BX66</f>
        <v>398.10999999999973</v>
      </c>
      <c r="BY144" s="1611">
        <f>BX144+BY46-BY66</f>
        <v>398.10999999999973</v>
      </c>
      <c r="BZ144" s="1611">
        <f>BY144+BZ46-BZ66</f>
        <v>398.10999999999973</v>
      </c>
      <c r="CA144" s="1610">
        <f>+BZ144</f>
        <v>398.10999999999973</v>
      </c>
      <c r="CB144" s="1611"/>
      <c r="CC144" s="1432">
        <f>BZ144+CC46-CC66</f>
        <v>398.10999999999973</v>
      </c>
      <c r="CD144" s="1611">
        <f>CC144+CD46-CD66</f>
        <v>398.10999999999973</v>
      </c>
      <c r="CE144" s="1611">
        <f>CD144+CE46-CE66</f>
        <v>398.10999999999973</v>
      </c>
      <c r="CF144" s="1611">
        <f>CE144+CF46-CF66</f>
        <v>398.10999999999973</v>
      </c>
      <c r="CG144" s="1610">
        <f>+CF144</f>
        <v>398.10999999999973</v>
      </c>
      <c r="CH144" s="1611"/>
      <c r="CI144" s="1432">
        <f>CF144+CI46-CI66</f>
        <v>398.10999999999973</v>
      </c>
      <c r="CJ144" s="1611">
        <f>CI144+CJ46-CJ66</f>
        <v>398.10999999999973</v>
      </c>
      <c r="CK144" s="1611">
        <f>CJ144+CK46-CK66</f>
        <v>398.10999999999973</v>
      </c>
      <c r="CL144" s="1611">
        <f>CK144+CL46-CL66</f>
        <v>398.10999999999973</v>
      </c>
      <c r="CM144" s="1610">
        <f>+CL144</f>
        <v>398.10999999999973</v>
      </c>
      <c r="CN144" s="1611"/>
      <c r="CO144" s="1432">
        <f>CL144+CO46-CO66</f>
        <v>398.10999999999973</v>
      </c>
      <c r="CP144" s="1611">
        <f>CO144+CP46-CP66</f>
        <v>398.10999999999973</v>
      </c>
      <c r="CQ144" s="1611">
        <f>CP144+CQ46-CQ66</f>
        <v>398.10999999999973</v>
      </c>
      <c r="CR144" s="1611">
        <f>CQ144+CR46-CR66</f>
        <v>398.10999999999973</v>
      </c>
      <c r="CS144" s="1610">
        <f>+CR144</f>
        <v>398.10999999999973</v>
      </c>
      <c r="CT144" s="9"/>
      <c r="CU144" s="205"/>
      <c r="CV144" s="9"/>
      <c r="CW144" s="205"/>
      <c r="CX144" s="205"/>
      <c r="CY144" s="205"/>
      <c r="CZ144" s="205"/>
      <c r="DA144" s="205"/>
      <c r="DB144" s="205"/>
      <c r="DC144" s="205"/>
      <c r="DD144" s="205"/>
      <c r="DE144" s="205"/>
      <c r="DF144" s="205"/>
      <c r="DG144" s="205"/>
      <c r="DH144" s="205"/>
      <c r="DI144" s="205"/>
      <c r="DJ144" s="205"/>
      <c r="DK144" s="205"/>
      <c r="DL144" s="205"/>
      <c r="DM144" s="205"/>
      <c r="DN144" s="205"/>
      <c r="DO144" s="205"/>
      <c r="DP144" s="205"/>
      <c r="DQ144" s="205"/>
      <c r="DR144" s="205"/>
      <c r="DS144" s="205"/>
      <c r="DT144" s="205"/>
    </row>
    <row r="145" spans="1:126" ht="12.75" hidden="1" customHeight="1" outlineLevel="2">
      <c r="A145" s="1028" t="s">
        <v>220</v>
      </c>
      <c r="B145" s="205"/>
      <c r="C145" s="760">
        <f>C144/2</f>
        <v>14.5</v>
      </c>
      <c r="D145" s="740">
        <f>AVERAGE(C144:D144)</f>
        <v>41.5</v>
      </c>
      <c r="E145" s="740">
        <f>AVERAGE(D144:E144)</f>
        <v>69</v>
      </c>
      <c r="F145" s="740">
        <f>AVERAGE(E144:F144)</f>
        <v>104</v>
      </c>
      <c r="G145" s="739">
        <f>F145</f>
        <v>104</v>
      </c>
      <c r="H145" s="740"/>
      <c r="I145" s="760">
        <f>AVERAGE(I144,G144)</f>
        <v>152.5</v>
      </c>
      <c r="J145" s="740">
        <f>AVERAGE(I144:J144)</f>
        <v>213.5</v>
      </c>
      <c r="K145" s="740">
        <f>AVERAGE(J144:K144)</f>
        <v>281</v>
      </c>
      <c r="L145" s="740">
        <f>AVERAGE(K144:L144)</f>
        <v>356</v>
      </c>
      <c r="M145" s="739">
        <f>AVERAGE(M144,G144)</f>
        <v>260</v>
      </c>
      <c r="N145" s="740"/>
      <c r="O145" s="760">
        <f>AVERAGE(O144,M144)</f>
        <v>437.5</v>
      </c>
      <c r="P145" s="740">
        <f>AVERAGE(O144:P144)</f>
        <v>523.5</v>
      </c>
      <c r="Q145" s="740">
        <f>AVERAGE(P144:Q144)</f>
        <v>618</v>
      </c>
      <c r="R145" s="740">
        <f>AVERAGE(Q144:R144)</f>
        <v>719</v>
      </c>
      <c r="S145" s="739">
        <f>AVERAGE(S144,M144)</f>
        <v>583</v>
      </c>
      <c r="T145" s="740"/>
      <c r="U145" s="760">
        <f>AVERAGE(U144,S144)</f>
        <v>816</v>
      </c>
      <c r="V145" s="740">
        <f>AVERAGE(U144:V144)-V66</f>
        <v>820.85</v>
      </c>
      <c r="W145" s="740">
        <f>AVERAGE(V144:W144)</f>
        <v>831.1099999999999</v>
      </c>
      <c r="X145" s="740">
        <f>AVERAGE(W144:X144)</f>
        <v>763.71999999999991</v>
      </c>
      <c r="Y145" s="739">
        <f>AVERAGE(Y144,S144)</f>
        <v>750.56</v>
      </c>
      <c r="Z145" s="740"/>
      <c r="AA145" s="760">
        <f>AVERAGE(AA144,Y144)</f>
        <v>679.20999999999981</v>
      </c>
      <c r="AB145" s="740">
        <f>AVERAGE(AA144:AB144)</f>
        <v>587.80299999999988</v>
      </c>
      <c r="AC145" s="740">
        <f>AVERAGE(AB144:AC144)</f>
        <v>535.8929999999998</v>
      </c>
      <c r="AD145" s="740">
        <f>AVERAGE(AC144:AD144)</f>
        <v>506.04999999999978</v>
      </c>
      <c r="AE145" s="739">
        <f>AVERAGE(AE144,Y144)</f>
        <v>609.86999999999989</v>
      </c>
      <c r="AF145" s="740"/>
      <c r="AG145" s="760">
        <f>AVERAGE(AG144,AE144)</f>
        <v>467.06999999999977</v>
      </c>
      <c r="AH145" s="740">
        <f>AVERAGE(AG144:AH144)</f>
        <v>428.27999999999975</v>
      </c>
      <c r="AI145" s="740">
        <f>AVERAGE(AH144:AI144)</f>
        <v>404.5749999999997</v>
      </c>
      <c r="AJ145" s="740">
        <f>AVERAGE(AI144:AJ144)</f>
        <v>398.10999999999973</v>
      </c>
      <c r="AK145" s="739">
        <f>AVERAGE(AE144,AK144)</f>
        <v>443.36499999999978</v>
      </c>
      <c r="AL145" s="740"/>
      <c r="AM145" s="760">
        <f>AVERAGE(AM144,AK144)</f>
        <v>398.10999999999973</v>
      </c>
      <c r="AN145" s="740">
        <f>AVERAGE(AM144:AN144)</f>
        <v>398.10999999999973</v>
      </c>
      <c r="AO145" s="740">
        <f>AVERAGE(AN144:AO144)</f>
        <v>398.10999999999973</v>
      </c>
      <c r="AP145" s="740">
        <f>AVERAGE(AO144:AP144)</f>
        <v>398.10999999999973</v>
      </c>
      <c r="AQ145" s="739">
        <f>AVERAGE(AK144,AQ144)</f>
        <v>398.10999999999973</v>
      </c>
      <c r="AR145" s="740"/>
      <c r="AS145" s="1432">
        <f>AVERAGE(AS144,AQ144)</f>
        <v>398.10999999999973</v>
      </c>
      <c r="AT145" s="740">
        <f>AVERAGE(AS144:AT144)</f>
        <v>398.10999999999973</v>
      </c>
      <c r="AU145" s="740">
        <f>AVERAGE(AT144:AU144)</f>
        <v>398.10999999999973</v>
      </c>
      <c r="AV145" s="1611">
        <f>AVERAGE(AU144:AV144)</f>
        <v>398.10999999999973</v>
      </c>
      <c r="AW145" s="1610">
        <f>AVERAGE(AQ144,AW144)</f>
        <v>398.10999999999973</v>
      </c>
      <c r="AX145" s="1611"/>
      <c r="AY145" s="1432">
        <f>AVERAGE(AY144,AW144)</f>
        <v>398.10999999999973</v>
      </c>
      <c r="AZ145" s="1611">
        <f>AVERAGE(AY144:AZ144)</f>
        <v>398.10999999999973</v>
      </c>
      <c r="BA145" s="1611">
        <f>AVERAGE(AZ144:BA144)</f>
        <v>398.10999999999973</v>
      </c>
      <c r="BB145" s="1611">
        <f>AVERAGE(BA144:BB144)</f>
        <v>398.10999999999973</v>
      </c>
      <c r="BC145" s="1610">
        <f>AVERAGE(AY145:BB145)</f>
        <v>398.10999999999973</v>
      </c>
      <c r="BD145" s="1611"/>
      <c r="BE145" s="1432">
        <f>AVERAGE(BE144,BB144)</f>
        <v>398.10999999999973</v>
      </c>
      <c r="BF145" s="1611">
        <f>AVERAGE(BE144:BF144)</f>
        <v>398.10999999999973</v>
      </c>
      <c r="BG145" s="1611">
        <f>AVERAGE(BF144:BG144)</f>
        <v>398.10999999999973</v>
      </c>
      <c r="BH145" s="1611">
        <f>AVERAGE(BG144:BH144)</f>
        <v>398.10999999999973</v>
      </c>
      <c r="BI145" s="1610">
        <f>AVERAGE(BE145:BH145)</f>
        <v>398.10999999999973</v>
      </c>
      <c r="BJ145" s="1611"/>
      <c r="BK145" s="1432">
        <f>AVERAGE(BK144,BI144)</f>
        <v>398.10999999999973</v>
      </c>
      <c r="BL145" s="1611">
        <f>AVERAGE(BK144:BL144)</f>
        <v>398.10999999999973</v>
      </c>
      <c r="BM145" s="1611">
        <f>AVERAGE(BL144:BM144)</f>
        <v>398.10999999999973</v>
      </c>
      <c r="BN145" s="1611">
        <f>AVERAGE(BM144:BN144)</f>
        <v>398.10999999999973</v>
      </c>
      <c r="BO145" s="1610">
        <f>AVERAGE(BK145:BN145)</f>
        <v>398.10999999999973</v>
      </c>
      <c r="BP145" s="1611"/>
      <c r="BQ145" s="1432">
        <f>AVERAGE(BQ144,BN144)</f>
        <v>398.10999999999973</v>
      </c>
      <c r="BR145" s="1611">
        <f>AVERAGE(BQ144:BR144)</f>
        <v>398.10999999999973</v>
      </c>
      <c r="BS145" s="1611">
        <f>AVERAGE(BR144:BS144)</f>
        <v>398.10999999999973</v>
      </c>
      <c r="BT145" s="1611">
        <f>AVERAGE(BS144:BT144)</f>
        <v>398.10999999999973</v>
      </c>
      <c r="BU145" s="1610">
        <f>AVERAGE(BQ145:BT145)</f>
        <v>398.10999999999973</v>
      </c>
      <c r="BV145" s="1611"/>
      <c r="BW145" s="1432">
        <f>AVERAGE(BW144,BT144)</f>
        <v>398.10999999999973</v>
      </c>
      <c r="BX145" s="1611">
        <f>AVERAGE(BW144:BX144)</f>
        <v>398.10999999999973</v>
      </c>
      <c r="BY145" s="1611">
        <f>AVERAGE(BX144:BY144)</f>
        <v>398.10999999999973</v>
      </c>
      <c r="BZ145" s="1611">
        <f>AVERAGE(BY144:BZ144)</f>
        <v>398.10999999999973</v>
      </c>
      <c r="CA145" s="1610">
        <f>AVERAGE(BW145:BZ145)</f>
        <v>398.10999999999973</v>
      </c>
      <c r="CB145" s="1611"/>
      <c r="CC145" s="1432">
        <f>AVERAGE(CC144,BZ144)</f>
        <v>398.10999999999973</v>
      </c>
      <c r="CD145" s="1611">
        <f>AVERAGE(CC144:CD144)</f>
        <v>398.10999999999973</v>
      </c>
      <c r="CE145" s="1611">
        <f>AVERAGE(CD144:CE144)</f>
        <v>398.10999999999973</v>
      </c>
      <c r="CF145" s="1611">
        <f>AVERAGE(CE144:CF144)</f>
        <v>398.10999999999973</v>
      </c>
      <c r="CG145" s="1610">
        <f>AVERAGE(CC145:CF145)</f>
        <v>398.10999999999973</v>
      </c>
      <c r="CH145" s="1611"/>
      <c r="CI145" s="1432">
        <f>AVERAGE(CI144,CF144)</f>
        <v>398.10999999999973</v>
      </c>
      <c r="CJ145" s="1611">
        <f>AVERAGE(CI144:CJ144)</f>
        <v>398.10999999999973</v>
      </c>
      <c r="CK145" s="1611">
        <f>AVERAGE(CJ144:CK144)</f>
        <v>398.10999999999973</v>
      </c>
      <c r="CL145" s="1611">
        <f>AVERAGE(CK144:CL144)</f>
        <v>398.10999999999973</v>
      </c>
      <c r="CM145" s="1610">
        <f>AVERAGE(CI145:CL145)</f>
        <v>398.10999999999973</v>
      </c>
      <c r="CN145" s="1611"/>
      <c r="CO145" s="1432">
        <f>AVERAGE(CO144,CL144)</f>
        <v>398.10999999999973</v>
      </c>
      <c r="CP145" s="1611">
        <f>AVERAGE(CO144:CP144)</f>
        <v>398.10999999999973</v>
      </c>
      <c r="CQ145" s="1611">
        <f>AVERAGE(CP144:CQ144)</f>
        <v>398.10999999999973</v>
      </c>
      <c r="CR145" s="1611">
        <f>AVERAGE(CQ144:CR144)</f>
        <v>398.10999999999973</v>
      </c>
      <c r="CS145" s="1610">
        <f>AVERAGE(CO145:CR145)</f>
        <v>398.10999999999973</v>
      </c>
      <c r="CT145" s="205"/>
      <c r="CU145" s="205"/>
      <c r="CV145" s="205"/>
      <c r="CW145" s="205"/>
      <c r="CX145" s="205"/>
      <c r="CY145" s="205"/>
      <c r="CZ145" s="205"/>
      <c r="DA145" s="205"/>
      <c r="DB145" s="205"/>
      <c r="DC145" s="205"/>
      <c r="DD145" s="205"/>
      <c r="DE145" s="205"/>
      <c r="DF145" s="205"/>
      <c r="DG145" s="205"/>
      <c r="DH145" s="205"/>
      <c r="DI145" s="205"/>
      <c r="DJ145" s="205"/>
      <c r="DK145" s="205"/>
      <c r="DL145" s="205"/>
      <c r="DM145" s="205"/>
      <c r="DN145" s="205"/>
      <c r="DO145" s="205"/>
      <c r="DP145" s="205"/>
      <c r="DQ145" s="205"/>
      <c r="DR145" s="205"/>
      <c r="DS145" s="205"/>
      <c r="DT145" s="205"/>
    </row>
    <row r="146" spans="1:126" collapsed="1">
      <c r="A146" s="1590" t="s">
        <v>614</v>
      </c>
      <c r="B146" s="205"/>
      <c r="C146" s="760"/>
      <c r="D146" s="740"/>
      <c r="E146" s="740"/>
      <c r="F146" s="740"/>
      <c r="G146" s="739"/>
      <c r="H146" s="740"/>
      <c r="I146" s="760"/>
      <c r="J146" s="740"/>
      <c r="K146" s="740"/>
      <c r="L146" s="740"/>
      <c r="M146" s="739"/>
      <c r="N146" s="740"/>
      <c r="O146" s="760"/>
      <c r="P146" s="740"/>
      <c r="Q146" s="740"/>
      <c r="R146" s="740"/>
      <c r="S146" s="739"/>
      <c r="T146" s="740"/>
      <c r="U146" s="760"/>
      <c r="V146" s="740"/>
      <c r="W146" s="740"/>
      <c r="X146" s="740"/>
      <c r="Y146" s="739"/>
      <c r="Z146" s="740"/>
      <c r="AA146" s="760"/>
      <c r="AB146" s="740"/>
      <c r="AC146" s="740"/>
      <c r="AD146" s="740"/>
      <c r="AE146" s="739"/>
      <c r="AF146" s="740"/>
      <c r="AG146" s="760"/>
      <c r="AH146" s="740"/>
      <c r="AI146" s="740"/>
      <c r="AJ146" s="740"/>
      <c r="AK146" s="739"/>
      <c r="AL146" s="740"/>
      <c r="AM146" s="760"/>
      <c r="AN146" s="740"/>
      <c r="AO146" s="740"/>
      <c r="AP146" s="740"/>
      <c r="AQ146" s="739"/>
      <c r="AR146" s="740"/>
      <c r="AS146" s="1432"/>
      <c r="AT146" s="740"/>
      <c r="AU146" s="740"/>
      <c r="AV146" s="1611"/>
      <c r="AW146" s="1610"/>
      <c r="AX146" s="1611"/>
      <c r="AY146" s="1432"/>
      <c r="AZ146" s="1611"/>
      <c r="BA146" s="1611"/>
      <c r="BB146" s="1611"/>
      <c r="BC146" s="1610"/>
      <c r="BD146" s="1611"/>
      <c r="BE146" s="1432">
        <f>+BE49+BB49</f>
        <v>105</v>
      </c>
      <c r="BF146" s="1611">
        <f>+BE146+BF49</f>
        <v>180</v>
      </c>
      <c r="BG146" s="1611">
        <f>+BF146+BG49</f>
        <v>280</v>
      </c>
      <c r="BH146" s="1611">
        <f>+BG146+BH49</f>
        <v>420</v>
      </c>
      <c r="BI146" s="1610">
        <f>+BH146</f>
        <v>420</v>
      </c>
      <c r="BJ146" s="1611"/>
      <c r="BK146" s="1432">
        <f>+BK49+BI146</f>
        <v>520</v>
      </c>
      <c r="BL146" s="1611">
        <f>+BL49+BK146</f>
        <v>620</v>
      </c>
      <c r="BM146" s="1611">
        <f>+BM49+BL146</f>
        <v>720</v>
      </c>
      <c r="BN146" s="1611">
        <f>+BN49+BM146</f>
        <v>820</v>
      </c>
      <c r="BO146" s="1610">
        <f>+BN146</f>
        <v>820</v>
      </c>
      <c r="BP146" s="1611"/>
      <c r="BQ146" s="1432">
        <f>+BQ49+BN146</f>
        <v>920</v>
      </c>
      <c r="BR146" s="1611">
        <f>+BR49+BQ146</f>
        <v>1030</v>
      </c>
      <c r="BS146" s="1611">
        <f>+BS49+BR146</f>
        <v>1140</v>
      </c>
      <c r="BT146" s="1611">
        <f>+BT49+BS146</f>
        <v>1250</v>
      </c>
      <c r="BU146" s="1610">
        <f>+BT146</f>
        <v>1250</v>
      </c>
      <c r="BV146" s="1611"/>
      <c r="BW146" s="1432">
        <f>+BW49+BT146</f>
        <v>1360</v>
      </c>
      <c r="BX146" s="1611">
        <f>+BX49+BW146</f>
        <v>1470</v>
      </c>
      <c r="BY146" s="1611">
        <f>+BY49+BX146</f>
        <v>1580</v>
      </c>
      <c r="BZ146" s="1611">
        <f>+BZ49+BY146</f>
        <v>1690</v>
      </c>
      <c r="CA146" s="1610">
        <f>+BZ146</f>
        <v>1690</v>
      </c>
      <c r="CB146" s="1611"/>
      <c r="CC146" s="1432">
        <f>+CC49+BZ146</f>
        <v>1800</v>
      </c>
      <c r="CD146" s="1611">
        <f>+CD49+CC146</f>
        <v>1910</v>
      </c>
      <c r="CE146" s="1611">
        <f>+CE49+CD146</f>
        <v>2020</v>
      </c>
      <c r="CF146" s="1611">
        <f>+CF49+CE146</f>
        <v>2130</v>
      </c>
      <c r="CG146" s="1610">
        <f>+CF146</f>
        <v>2130</v>
      </c>
      <c r="CH146" s="1611"/>
      <c r="CI146" s="1432">
        <f>+CI49+CF146</f>
        <v>2240</v>
      </c>
      <c r="CJ146" s="1611">
        <f>+CJ49+CI146</f>
        <v>2350</v>
      </c>
      <c r="CK146" s="1611">
        <f>+CK49+CJ146</f>
        <v>2460</v>
      </c>
      <c r="CL146" s="1611">
        <f>+CL49+CK146</f>
        <v>2570</v>
      </c>
      <c r="CM146" s="1610">
        <f>+CL146</f>
        <v>2570</v>
      </c>
      <c r="CN146" s="1611"/>
      <c r="CO146" s="1432">
        <f>+CO49+CL146</f>
        <v>2680</v>
      </c>
      <c r="CP146" s="1611">
        <f>+CP49+CO146</f>
        <v>2790</v>
      </c>
      <c r="CQ146" s="1611">
        <f>+CQ49+CP146</f>
        <v>2900</v>
      </c>
      <c r="CR146" s="1611">
        <f>+CR49+CQ146</f>
        <v>3010</v>
      </c>
      <c r="CS146" s="1610">
        <f>+CR146</f>
        <v>3010</v>
      </c>
      <c r="CT146" s="205"/>
      <c r="CU146" s="205"/>
      <c r="CV146" s="205"/>
      <c r="CW146" s="205"/>
      <c r="CX146" s="205"/>
      <c r="CY146" s="205"/>
      <c r="CZ146" s="205"/>
      <c r="DA146" s="205"/>
      <c r="DB146" s="205"/>
      <c r="DC146" s="205"/>
      <c r="DD146" s="205"/>
      <c r="DE146" s="205"/>
      <c r="DF146" s="205"/>
      <c r="DG146" s="205"/>
      <c r="DH146" s="205"/>
      <c r="DI146" s="205"/>
      <c r="DJ146" s="205"/>
      <c r="DK146" s="205"/>
      <c r="DL146" s="205"/>
      <c r="DM146" s="205"/>
      <c r="DN146" s="205"/>
      <c r="DO146" s="205"/>
      <c r="DP146" s="205"/>
      <c r="DQ146" s="205"/>
      <c r="DR146" s="205"/>
      <c r="DS146" s="205"/>
      <c r="DT146" s="205"/>
    </row>
    <row r="147" spans="1:126" ht="12.75" hidden="1" customHeight="1" outlineLevel="1">
      <c r="A147" s="1028" t="s">
        <v>220</v>
      </c>
      <c r="B147" s="205"/>
      <c r="C147" s="760"/>
      <c r="D147" s="740"/>
      <c r="E147" s="740"/>
      <c r="F147" s="740"/>
      <c r="G147" s="739"/>
      <c r="H147" s="740"/>
      <c r="I147" s="760"/>
      <c r="J147" s="740"/>
      <c r="K147" s="740"/>
      <c r="L147" s="740"/>
      <c r="M147" s="739"/>
      <c r="N147" s="740"/>
      <c r="O147" s="760"/>
      <c r="P147" s="740"/>
      <c r="Q147" s="740"/>
      <c r="R147" s="740"/>
      <c r="S147" s="739"/>
      <c r="T147" s="740"/>
      <c r="U147" s="760"/>
      <c r="V147" s="740"/>
      <c r="W147" s="740"/>
      <c r="X147" s="740"/>
      <c r="Y147" s="739"/>
      <c r="Z147" s="740"/>
      <c r="AA147" s="760"/>
      <c r="AB147" s="740"/>
      <c r="AC147" s="740"/>
      <c r="AD147" s="740"/>
      <c r="AE147" s="739"/>
      <c r="AF147" s="740"/>
      <c r="AG147" s="760"/>
      <c r="AH147" s="740"/>
      <c r="AI147" s="740"/>
      <c r="AJ147" s="740"/>
      <c r="AK147" s="739"/>
      <c r="AL147" s="740"/>
      <c r="AM147" s="760"/>
      <c r="AN147" s="740"/>
      <c r="AO147" s="740"/>
      <c r="AP147" s="740"/>
      <c r="AQ147" s="739"/>
      <c r="AR147" s="740"/>
      <c r="AS147" s="1432"/>
      <c r="AT147" s="740"/>
      <c r="AU147" s="740"/>
      <c r="AV147" s="1611"/>
      <c r="AW147" s="1610"/>
      <c r="AX147" s="1611"/>
      <c r="AY147" s="1432"/>
      <c r="AZ147" s="1611"/>
      <c r="BA147" s="1611"/>
      <c r="BB147" s="1611"/>
      <c r="BC147" s="1610"/>
      <c r="BD147" s="1611"/>
      <c r="BE147" s="1432">
        <f>AVERAGE(BE146,BB146)</f>
        <v>105</v>
      </c>
      <c r="BF147" s="1611">
        <f>AVERAGE(BE146:BF146)</f>
        <v>142.5</v>
      </c>
      <c r="BG147" s="1611">
        <f>AVERAGE(BF146:BG146)</f>
        <v>230</v>
      </c>
      <c r="BH147" s="1611">
        <f>AVERAGE(BG146:BH146)</f>
        <v>350</v>
      </c>
      <c r="BI147" s="1610">
        <f>AVERAGE(BE147:BH147)</f>
        <v>206.875</v>
      </c>
      <c r="BJ147" s="1611"/>
      <c r="BK147" s="1432">
        <f>AVERAGE(BK146,BI146)</f>
        <v>470</v>
      </c>
      <c r="BL147" s="1611">
        <f>AVERAGE(BK146:BL146)</f>
        <v>570</v>
      </c>
      <c r="BM147" s="1611">
        <f>AVERAGE(BL146:BM146)</f>
        <v>670</v>
      </c>
      <c r="BN147" s="1611">
        <f>AVERAGE(BM146:BN146)</f>
        <v>770</v>
      </c>
      <c r="BO147" s="1610">
        <f>AVERAGE(BK147:BN147)</f>
        <v>620</v>
      </c>
      <c r="BP147" s="1611"/>
      <c r="BQ147" s="1432">
        <f>AVERAGE(BQ146,BN146)</f>
        <v>870</v>
      </c>
      <c r="BR147" s="1611">
        <f>AVERAGE(BQ146:BR146)</f>
        <v>975</v>
      </c>
      <c r="BS147" s="1611">
        <f>AVERAGE(BR146:BS146)</f>
        <v>1085</v>
      </c>
      <c r="BT147" s="1611">
        <f>AVERAGE(BS146:BT146)</f>
        <v>1195</v>
      </c>
      <c r="BU147" s="1610">
        <f>AVERAGE(BQ147:BT147)</f>
        <v>1031.25</v>
      </c>
      <c r="BV147" s="1611"/>
      <c r="BW147" s="1432">
        <f>AVERAGE(BW146,BT146)</f>
        <v>1305</v>
      </c>
      <c r="BX147" s="1611">
        <f>AVERAGE(BW146:BX146)</f>
        <v>1415</v>
      </c>
      <c r="BY147" s="1611">
        <f>AVERAGE(BX146:BY146)</f>
        <v>1525</v>
      </c>
      <c r="BZ147" s="1611">
        <f>AVERAGE(BY146:BZ146)</f>
        <v>1635</v>
      </c>
      <c r="CA147" s="1610">
        <f>AVERAGE(BW147:BZ147)</f>
        <v>1470</v>
      </c>
      <c r="CB147" s="1611"/>
      <c r="CC147" s="1432">
        <f>AVERAGE(CC146,BZ146)</f>
        <v>1745</v>
      </c>
      <c r="CD147" s="1611">
        <f>AVERAGE(CC146:CD146)</f>
        <v>1855</v>
      </c>
      <c r="CE147" s="1611">
        <f>AVERAGE(CD146:CE146)</f>
        <v>1965</v>
      </c>
      <c r="CF147" s="1611">
        <f>AVERAGE(CE146:CF146)</f>
        <v>2075</v>
      </c>
      <c r="CG147" s="1610">
        <f>AVERAGE(CC147:CF147)</f>
        <v>1910</v>
      </c>
      <c r="CH147" s="1611"/>
      <c r="CI147" s="1432">
        <f>AVERAGE(CI146,CF146)</f>
        <v>2185</v>
      </c>
      <c r="CJ147" s="1611">
        <f>AVERAGE(CI146:CJ146)</f>
        <v>2295</v>
      </c>
      <c r="CK147" s="1611">
        <f>AVERAGE(CJ146:CK146)</f>
        <v>2405</v>
      </c>
      <c r="CL147" s="1611">
        <f>AVERAGE(CK146:CL146)</f>
        <v>2515</v>
      </c>
      <c r="CM147" s="1610">
        <f>AVERAGE(CI147:CL147)</f>
        <v>2350</v>
      </c>
      <c r="CN147" s="1611"/>
      <c r="CO147" s="1432">
        <f>AVERAGE(CO146,CL146)</f>
        <v>2625</v>
      </c>
      <c r="CP147" s="1611">
        <f>AVERAGE(CO146:CP146)</f>
        <v>2735</v>
      </c>
      <c r="CQ147" s="1611">
        <f>AVERAGE(CP146:CQ146)</f>
        <v>2845</v>
      </c>
      <c r="CR147" s="1611">
        <f>AVERAGE(CQ146:CR146)</f>
        <v>2955</v>
      </c>
      <c r="CS147" s="1610">
        <f>AVERAGE(CO147:CR147)</f>
        <v>2790</v>
      </c>
      <c r="CT147" s="205"/>
      <c r="CU147" s="205"/>
      <c r="CV147" s="205"/>
      <c r="CW147" s="205"/>
      <c r="CX147" s="205"/>
      <c r="CY147" s="205"/>
      <c r="CZ147" s="205"/>
      <c r="DA147" s="205"/>
      <c r="DB147" s="205"/>
      <c r="DC147" s="205"/>
      <c r="DD147" s="205"/>
      <c r="DE147" s="205"/>
      <c r="DF147" s="205"/>
      <c r="DG147" s="205"/>
      <c r="DH147" s="205"/>
      <c r="DI147" s="205"/>
      <c r="DJ147" s="205"/>
      <c r="DK147" s="205"/>
      <c r="DL147" s="205"/>
      <c r="DM147" s="205"/>
      <c r="DN147" s="205"/>
      <c r="DO147" s="205"/>
      <c r="DP147" s="205"/>
      <c r="DQ147" s="205"/>
      <c r="DR147" s="205"/>
      <c r="DS147" s="205"/>
      <c r="DT147" s="205"/>
    </row>
    <row r="148" spans="1:126" collapsed="1">
      <c r="A148" s="796" t="s">
        <v>451</v>
      </c>
      <c r="B148" s="205"/>
      <c r="C148" s="760"/>
      <c r="D148" s="740"/>
      <c r="E148" s="740"/>
      <c r="F148" s="740"/>
      <c r="G148" s="1030"/>
      <c r="H148" s="740"/>
      <c r="I148" s="760"/>
      <c r="J148" s="740"/>
      <c r="K148" s="740"/>
      <c r="L148" s="740"/>
      <c r="M148" s="1030"/>
      <c r="N148" s="740"/>
      <c r="O148" s="760"/>
      <c r="P148" s="740"/>
      <c r="Q148" s="740"/>
      <c r="R148" s="740"/>
      <c r="S148" s="739"/>
      <c r="T148" s="740"/>
      <c r="U148" s="760"/>
      <c r="V148" s="740"/>
      <c r="W148" s="740"/>
      <c r="X148" s="740"/>
      <c r="Y148" s="1030"/>
      <c r="Z148" s="740"/>
      <c r="AA148" s="748"/>
      <c r="AB148" s="738"/>
      <c r="AC148" s="740">
        <f>AC52</f>
        <v>45</v>
      </c>
      <c r="AD148" s="740">
        <f>AC148+AD52</f>
        <v>175</v>
      </c>
      <c r="AE148" s="739">
        <f>AD148</f>
        <v>175</v>
      </c>
      <c r="AF148" s="740"/>
      <c r="AG148" s="760">
        <f>AE148+AG52</f>
        <v>422</v>
      </c>
      <c r="AH148" s="740">
        <f>AG148+AH52</f>
        <v>645</v>
      </c>
      <c r="AI148" s="740">
        <f>AH148+AI52</f>
        <v>905</v>
      </c>
      <c r="AJ148" s="1630">
        <f>AI148+AJ52</f>
        <v>1160</v>
      </c>
      <c r="AK148" s="739">
        <f>AJ148</f>
        <v>1160</v>
      </c>
      <c r="AL148" s="740"/>
      <c r="AM148" s="760">
        <f>AK148+AM52</f>
        <v>1420</v>
      </c>
      <c r="AN148" s="740">
        <f>AM148+AN52</f>
        <v>1680</v>
      </c>
      <c r="AO148" s="740">
        <f>AN148+AO52</f>
        <v>1940</v>
      </c>
      <c r="AP148" s="740">
        <f>AO148+AP52</f>
        <v>2220</v>
      </c>
      <c r="AQ148" s="739">
        <f>AP148</f>
        <v>2220</v>
      </c>
      <c r="AR148" s="740"/>
      <c r="AS148" s="1432">
        <f>AQ148+AS52</f>
        <v>2520</v>
      </c>
      <c r="AT148" s="740">
        <f>AS148+AT52</f>
        <v>2800</v>
      </c>
      <c r="AU148" s="740">
        <f>AT148+AU52</f>
        <v>3065</v>
      </c>
      <c r="AV148" s="1611">
        <f>AU148+AV52</f>
        <v>3370</v>
      </c>
      <c r="AW148" s="1610">
        <f>AV148</f>
        <v>3370</v>
      </c>
      <c r="AX148" s="1611"/>
      <c r="AY148" s="1432">
        <f>AW148+AY52</f>
        <v>3650</v>
      </c>
      <c r="AZ148" s="1611">
        <f>AY148+AZ52</f>
        <v>3900</v>
      </c>
      <c r="BA148" s="1611">
        <f>AZ148+BA52</f>
        <v>4110</v>
      </c>
      <c r="BB148" s="1611">
        <f>BA148+BB52</f>
        <v>4422</v>
      </c>
      <c r="BC148" s="1610">
        <f>BB148</f>
        <v>4422</v>
      </c>
      <c r="BD148" s="1611"/>
      <c r="BE148" s="1432">
        <f>BB148+BE52</f>
        <v>4672</v>
      </c>
      <c r="BF148" s="1611">
        <f>BE148+BF52</f>
        <v>4922</v>
      </c>
      <c r="BG148" s="1611">
        <f>BF148+BG52</f>
        <v>5172</v>
      </c>
      <c r="BH148" s="1611">
        <f>BG148+BH52</f>
        <v>5402</v>
      </c>
      <c r="BI148" s="1610">
        <f>BH148</f>
        <v>5402</v>
      </c>
      <c r="BJ148" s="1611"/>
      <c r="BK148" s="1432">
        <f>BI148+BK52</f>
        <v>5652</v>
      </c>
      <c r="BL148" s="1611">
        <f>BK148+BL52</f>
        <v>5847</v>
      </c>
      <c r="BM148" s="1611">
        <f>BL148+BM52</f>
        <v>6042</v>
      </c>
      <c r="BN148" s="1611">
        <f>BM148+BN52</f>
        <v>6227</v>
      </c>
      <c r="BO148" s="1610">
        <f>BN148</f>
        <v>6227</v>
      </c>
      <c r="BP148" s="1611"/>
      <c r="BQ148" s="1432">
        <f>BN148+BQ52</f>
        <v>6417</v>
      </c>
      <c r="BR148" s="1611">
        <f>BQ148+BR52</f>
        <v>6617</v>
      </c>
      <c r="BS148" s="1611">
        <f>BR148+BS52</f>
        <v>6817</v>
      </c>
      <c r="BT148" s="1611">
        <f>BS148+BT52</f>
        <v>7017</v>
      </c>
      <c r="BU148" s="1610">
        <f>BT148</f>
        <v>7017</v>
      </c>
      <c r="BV148" s="1611"/>
      <c r="BW148" s="1432">
        <f>BT148+BW52</f>
        <v>7217</v>
      </c>
      <c r="BX148" s="1611">
        <f>BW148+BX52</f>
        <v>7417</v>
      </c>
      <c r="BY148" s="1611">
        <f>BX148+BY52</f>
        <v>7617</v>
      </c>
      <c r="BZ148" s="1611">
        <f>BY148+BZ52</f>
        <v>7817</v>
      </c>
      <c r="CA148" s="1610">
        <f>BZ148</f>
        <v>7817</v>
      </c>
      <c r="CB148" s="1611"/>
      <c r="CC148" s="1432">
        <f>BZ148+CC52</f>
        <v>8017</v>
      </c>
      <c r="CD148" s="1611">
        <f>CC148+CD52</f>
        <v>8217</v>
      </c>
      <c r="CE148" s="1611">
        <f>CD148+CE52</f>
        <v>8417</v>
      </c>
      <c r="CF148" s="1611">
        <f>CE148+CF52</f>
        <v>8617</v>
      </c>
      <c r="CG148" s="1610">
        <f>CF148</f>
        <v>8617</v>
      </c>
      <c r="CH148" s="1611"/>
      <c r="CI148" s="1432">
        <f>CF148+CI52</f>
        <v>8817</v>
      </c>
      <c r="CJ148" s="1611">
        <f>CI148+CJ52</f>
        <v>9017</v>
      </c>
      <c r="CK148" s="1611">
        <f>CJ148+CK52</f>
        <v>9217</v>
      </c>
      <c r="CL148" s="1611">
        <f>CK148+CL52</f>
        <v>9417</v>
      </c>
      <c r="CM148" s="1610">
        <f>CL148</f>
        <v>9417</v>
      </c>
      <c r="CN148" s="1611"/>
      <c r="CO148" s="1432">
        <f>CL148+CO52</f>
        <v>9617</v>
      </c>
      <c r="CP148" s="1611">
        <f>CO148+CP52</f>
        <v>9817</v>
      </c>
      <c r="CQ148" s="1611">
        <f>CP148+CQ52</f>
        <v>10017</v>
      </c>
      <c r="CR148" s="1611">
        <f>CQ148+CR52</f>
        <v>10217</v>
      </c>
      <c r="CS148" s="1610">
        <f>CR148</f>
        <v>10217</v>
      </c>
      <c r="CT148" s="205"/>
      <c r="CU148" s="205"/>
      <c r="CV148" s="205"/>
      <c r="CW148" s="205"/>
      <c r="CX148" s="205"/>
      <c r="CY148" s="205"/>
      <c r="CZ148" s="205"/>
      <c r="DA148" s="205"/>
      <c r="DB148" s="205"/>
      <c r="DC148" s="205"/>
      <c r="DD148" s="205"/>
      <c r="DE148" s="205"/>
      <c r="DF148" s="205"/>
      <c r="DG148" s="205"/>
      <c r="DH148" s="205"/>
      <c r="DI148" s="205"/>
      <c r="DJ148" s="205"/>
      <c r="DK148" s="205"/>
      <c r="DL148" s="205"/>
      <c r="DM148" s="205"/>
      <c r="DN148" s="205"/>
      <c r="DO148" s="205"/>
      <c r="DP148" s="205"/>
      <c r="DQ148" s="205"/>
      <c r="DR148" s="205"/>
      <c r="DS148" s="205"/>
      <c r="DT148" s="205"/>
    </row>
    <row r="149" spans="1:126" ht="12.75" hidden="1" customHeight="1" outlineLevel="1">
      <c r="A149" s="1028" t="s">
        <v>220</v>
      </c>
      <c r="B149" s="205"/>
      <c r="C149" s="760"/>
      <c r="D149" s="740"/>
      <c r="E149" s="740"/>
      <c r="F149" s="740"/>
      <c r="G149" s="739"/>
      <c r="H149" s="740"/>
      <c r="I149" s="760"/>
      <c r="J149" s="740"/>
      <c r="K149" s="740"/>
      <c r="L149" s="740"/>
      <c r="M149" s="739"/>
      <c r="N149" s="740"/>
      <c r="O149" s="760"/>
      <c r="P149" s="740"/>
      <c r="Q149" s="740"/>
      <c r="R149" s="740"/>
      <c r="S149" s="739"/>
      <c r="T149" s="740"/>
      <c r="U149" s="760"/>
      <c r="V149" s="740"/>
      <c r="W149" s="740"/>
      <c r="X149" s="740"/>
      <c r="Y149" s="739"/>
      <c r="Z149" s="740"/>
      <c r="AA149" s="760"/>
      <c r="AB149" s="740"/>
      <c r="AC149" s="740">
        <f>AVERAGE(AB148:AC148)</f>
        <v>45</v>
      </c>
      <c r="AD149" s="740">
        <f>AVERAGE(AC148:AD148)</f>
        <v>110</v>
      </c>
      <c r="AE149" s="739">
        <f>AVERAGE(AA149:AD149)</f>
        <v>77.5</v>
      </c>
      <c r="AF149" s="740"/>
      <c r="AG149" s="760">
        <f>AVERAGE(AG148,AE148)</f>
        <v>298.5</v>
      </c>
      <c r="AH149" s="740">
        <f>AVERAGE(AG148:AH148)</f>
        <v>533.5</v>
      </c>
      <c r="AI149" s="740">
        <f>AVERAGE(AH148:AI148)</f>
        <v>775</v>
      </c>
      <c r="AJ149" s="740">
        <f>AVERAGE(AI148:AJ148)</f>
        <v>1032.5</v>
      </c>
      <c r="AK149" s="739">
        <f>AVERAGE(AE148,AK148)</f>
        <v>667.5</v>
      </c>
      <c r="AL149" s="740"/>
      <c r="AM149" s="760">
        <f>AVERAGE(AM148,AK148)</f>
        <v>1290</v>
      </c>
      <c r="AN149" s="740">
        <f>AVERAGE(AM148:AN148)</f>
        <v>1550</v>
      </c>
      <c r="AO149" s="740">
        <f>AVERAGE(AN148:AO148)</f>
        <v>1810</v>
      </c>
      <c r="AP149" s="740">
        <f>AVERAGE(AO148:AP148)</f>
        <v>2080</v>
      </c>
      <c r="AQ149" s="739">
        <f>AVERAGE(AK148,AQ148)</f>
        <v>1690</v>
      </c>
      <c r="AR149" s="740"/>
      <c r="AS149" s="1432">
        <f>AVERAGE(AS148,AQ148)</f>
        <v>2370</v>
      </c>
      <c r="AT149" s="740">
        <f>AVERAGE(AS148:AT148)</f>
        <v>2660</v>
      </c>
      <c r="AU149" s="740">
        <f>AVERAGE(AT148:AU148)</f>
        <v>2932.5</v>
      </c>
      <c r="AV149" s="1611">
        <f>AVERAGE(AU148:AV148)</f>
        <v>3217.5</v>
      </c>
      <c r="AW149" s="1610">
        <f>AVERAGE(AQ148,AW148)</f>
        <v>2795</v>
      </c>
      <c r="AX149" s="1611"/>
      <c r="AY149" s="1432">
        <f>AVERAGE(AY148,AW148)</f>
        <v>3510</v>
      </c>
      <c r="AZ149" s="1611">
        <f>AVERAGE(AY148:AZ148)</f>
        <v>3775</v>
      </c>
      <c r="BA149" s="1611">
        <f>AVERAGE(AZ148:BA148)</f>
        <v>4005</v>
      </c>
      <c r="BB149" s="1611">
        <f>AVERAGE(BA148:BB148)</f>
        <v>4266</v>
      </c>
      <c r="BC149" s="1610">
        <f>AVERAGE(AY149:BB149)</f>
        <v>3889</v>
      </c>
      <c r="BD149" s="1611"/>
      <c r="BE149" s="1432">
        <f>AVERAGE(BE148,BB148)</f>
        <v>4547</v>
      </c>
      <c r="BF149" s="1611">
        <f>AVERAGE(BE148:BF148)</f>
        <v>4797</v>
      </c>
      <c r="BG149" s="1611">
        <f>AVERAGE(BF148:BG148)</f>
        <v>5047</v>
      </c>
      <c r="BH149" s="1611">
        <f>AVERAGE(BG148:BH148)</f>
        <v>5287</v>
      </c>
      <c r="BI149" s="1610">
        <f>AVERAGE(BE149:BH149)</f>
        <v>4919.5</v>
      </c>
      <c r="BJ149" s="1611"/>
      <c r="BK149" s="1432">
        <f>AVERAGE(BK148,BI148)</f>
        <v>5527</v>
      </c>
      <c r="BL149" s="1611">
        <f>AVERAGE(BK148:BL148)</f>
        <v>5749.5</v>
      </c>
      <c r="BM149" s="1611">
        <f>AVERAGE(BL148:BM148)</f>
        <v>5944.5</v>
      </c>
      <c r="BN149" s="1611">
        <f>AVERAGE(BM148:BN148)</f>
        <v>6134.5</v>
      </c>
      <c r="BO149" s="1610">
        <f>AVERAGE(BK149:BN149)</f>
        <v>5838.875</v>
      </c>
      <c r="BP149" s="1611"/>
      <c r="BQ149" s="1432">
        <f>AVERAGE(BQ148,BN148)</f>
        <v>6322</v>
      </c>
      <c r="BR149" s="1611">
        <f>AVERAGE(BQ148:BR148)</f>
        <v>6517</v>
      </c>
      <c r="BS149" s="1611">
        <f>AVERAGE(BR148:BS148)</f>
        <v>6717</v>
      </c>
      <c r="BT149" s="1611">
        <f>AVERAGE(BS148:BT148)</f>
        <v>6917</v>
      </c>
      <c r="BU149" s="1610">
        <f>AVERAGE(BQ149:BT149)</f>
        <v>6618.25</v>
      </c>
      <c r="BV149" s="1611"/>
      <c r="BW149" s="1432">
        <f>AVERAGE(BW148,BT148)</f>
        <v>7117</v>
      </c>
      <c r="BX149" s="1611">
        <f>AVERAGE(BW148:BX148)</f>
        <v>7317</v>
      </c>
      <c r="BY149" s="1611">
        <f>AVERAGE(BX148:BY148)</f>
        <v>7517</v>
      </c>
      <c r="BZ149" s="1611">
        <f>AVERAGE(BY148:BZ148)</f>
        <v>7717</v>
      </c>
      <c r="CA149" s="1610">
        <f>AVERAGE(BW149:BZ149)</f>
        <v>7417</v>
      </c>
      <c r="CB149" s="1611"/>
      <c r="CC149" s="1432">
        <f>AVERAGE(CC148,BZ148)</f>
        <v>7917</v>
      </c>
      <c r="CD149" s="1611">
        <f>AVERAGE(CC148:CD148)</f>
        <v>8117</v>
      </c>
      <c r="CE149" s="1611">
        <f>AVERAGE(CD148:CE148)</f>
        <v>8317</v>
      </c>
      <c r="CF149" s="1611">
        <f>AVERAGE(CE148:CF148)</f>
        <v>8517</v>
      </c>
      <c r="CG149" s="1610">
        <f>AVERAGE(CC149:CF149)</f>
        <v>8217</v>
      </c>
      <c r="CH149" s="1611"/>
      <c r="CI149" s="1432">
        <f>AVERAGE(CI148,CF148)</f>
        <v>8717</v>
      </c>
      <c r="CJ149" s="1611">
        <f>AVERAGE(CI148:CJ148)</f>
        <v>8917</v>
      </c>
      <c r="CK149" s="1611">
        <f>AVERAGE(CJ148:CK148)</f>
        <v>9117</v>
      </c>
      <c r="CL149" s="1611">
        <f>AVERAGE(CK148:CL148)</f>
        <v>9317</v>
      </c>
      <c r="CM149" s="1610">
        <f>AVERAGE(CI149:CL149)</f>
        <v>9017</v>
      </c>
      <c r="CN149" s="1611"/>
      <c r="CO149" s="1432">
        <f>AVERAGE(CO148,CL148)</f>
        <v>9517</v>
      </c>
      <c r="CP149" s="1611">
        <f>AVERAGE(CO148:CP148)</f>
        <v>9717</v>
      </c>
      <c r="CQ149" s="1611">
        <f>AVERAGE(CP148:CQ148)</f>
        <v>9917</v>
      </c>
      <c r="CR149" s="1611">
        <f>AVERAGE(CQ148:CR148)</f>
        <v>10117</v>
      </c>
      <c r="CS149" s="1610">
        <f>AVERAGE(CO149:CR149)</f>
        <v>9817</v>
      </c>
      <c r="CT149" s="205"/>
      <c r="CU149" s="205"/>
      <c r="CV149" s="205"/>
      <c r="CW149" s="205"/>
      <c r="CX149" s="205"/>
      <c r="CY149" s="205"/>
      <c r="CZ149" s="205"/>
      <c r="DA149" s="205"/>
      <c r="DB149" s="205"/>
      <c r="DC149" s="205"/>
      <c r="DD149" s="205"/>
      <c r="DE149" s="205"/>
      <c r="DF149" s="205"/>
      <c r="DG149" s="205"/>
      <c r="DH149" s="205"/>
      <c r="DI149" s="205"/>
      <c r="DJ149" s="205"/>
      <c r="DK149" s="205"/>
      <c r="DL149" s="205"/>
      <c r="DM149" s="205"/>
      <c r="DN149" s="205"/>
      <c r="DO149" s="205"/>
      <c r="DP149" s="205"/>
      <c r="DQ149" s="205"/>
      <c r="DR149" s="205"/>
      <c r="DS149" s="205"/>
      <c r="DT149" s="205"/>
    </row>
    <row r="150" spans="1:126" collapsed="1">
      <c r="A150" s="796" t="s">
        <v>449</v>
      </c>
      <c r="B150" s="205"/>
      <c r="C150" s="760"/>
      <c r="D150" s="740"/>
      <c r="E150" s="740"/>
      <c r="F150" s="740"/>
      <c r="G150" s="739"/>
      <c r="H150" s="740"/>
      <c r="I150" s="760"/>
      <c r="J150" s="740"/>
      <c r="K150" s="740"/>
      <c r="L150" s="740"/>
      <c r="M150" s="739"/>
      <c r="N150" s="740"/>
      <c r="O150" s="760"/>
      <c r="P150" s="740"/>
      <c r="Q150" s="740"/>
      <c r="R150" s="740"/>
      <c r="S150" s="739"/>
      <c r="T150" s="740"/>
      <c r="U150" s="760"/>
      <c r="V150" s="740"/>
      <c r="W150" s="740"/>
      <c r="X150" s="740"/>
      <c r="Y150" s="739"/>
      <c r="Z150" s="740"/>
      <c r="AA150" s="760"/>
      <c r="AB150" s="740"/>
      <c r="AC150" s="740"/>
      <c r="AD150" s="740"/>
      <c r="AE150" s="739"/>
      <c r="AF150" s="740"/>
      <c r="AG150" s="760"/>
      <c r="AH150" s="740"/>
      <c r="AI150" s="740"/>
      <c r="AJ150" s="740"/>
      <c r="AK150" s="739"/>
      <c r="AL150" s="740"/>
      <c r="AM150" s="760"/>
      <c r="AN150" s="740"/>
      <c r="AO150" s="740"/>
      <c r="AP150" s="740"/>
      <c r="AQ150" s="739"/>
      <c r="AR150" s="740"/>
      <c r="AS150" s="1432">
        <f>AS55</f>
        <v>65</v>
      </c>
      <c r="AT150" s="740">
        <f>AS150+AT55</f>
        <v>200</v>
      </c>
      <c r="AU150" s="740">
        <f>AT150+AU55</f>
        <v>355</v>
      </c>
      <c r="AV150" s="1611">
        <f>AU150+AV55</f>
        <v>533</v>
      </c>
      <c r="AW150" s="1610">
        <f>AV150</f>
        <v>533</v>
      </c>
      <c r="AX150" s="1611"/>
      <c r="AY150" s="1432">
        <f>AW150+AY55</f>
        <v>668</v>
      </c>
      <c r="AZ150" s="1611">
        <f>AY150+AZ55</f>
        <v>823</v>
      </c>
      <c r="BA150" s="1611">
        <f>AZ150+BA55</f>
        <v>963</v>
      </c>
      <c r="BB150" s="1611">
        <f>BA150+BB55</f>
        <v>1163</v>
      </c>
      <c r="BC150" s="1610">
        <f>BB150</f>
        <v>1163</v>
      </c>
      <c r="BD150" s="1611"/>
      <c r="BE150" s="1432">
        <f>BB150+BE55</f>
        <v>1313</v>
      </c>
      <c r="BF150" s="1611">
        <f>BE150+BF55</f>
        <v>1473</v>
      </c>
      <c r="BG150" s="1611">
        <f>BF150+BG55</f>
        <v>1638</v>
      </c>
      <c r="BH150" s="1611">
        <f>BG150+BH55</f>
        <v>1788</v>
      </c>
      <c r="BI150" s="1610">
        <f>BH150</f>
        <v>1788</v>
      </c>
      <c r="BJ150" s="1611"/>
      <c r="BK150" s="1432">
        <f>BI150+BK55</f>
        <v>1953</v>
      </c>
      <c r="BL150" s="1611">
        <f>BK150+BL55</f>
        <v>2088</v>
      </c>
      <c r="BM150" s="1611">
        <f>BL150+BM55</f>
        <v>2218</v>
      </c>
      <c r="BN150" s="1611">
        <f>BM150+BN55</f>
        <v>2363</v>
      </c>
      <c r="BO150" s="1610">
        <f>BN150</f>
        <v>2363</v>
      </c>
      <c r="BP150" s="1611"/>
      <c r="BQ150" s="1432">
        <f>BN150+BQ55</f>
        <v>2503</v>
      </c>
      <c r="BR150" s="1611">
        <f>BQ150+BR55</f>
        <v>2643</v>
      </c>
      <c r="BS150" s="1611">
        <f>BR150+BS55</f>
        <v>2783</v>
      </c>
      <c r="BT150" s="1611">
        <f>BS150+BT55</f>
        <v>2923</v>
      </c>
      <c r="BU150" s="1610">
        <f>BT150</f>
        <v>2923</v>
      </c>
      <c r="BV150" s="1611"/>
      <c r="BW150" s="1432">
        <f>BT150+BW55</f>
        <v>3063</v>
      </c>
      <c r="BX150" s="1611">
        <f>BW150+BX55</f>
        <v>3203</v>
      </c>
      <c r="BY150" s="1611">
        <f>BX150+BY55</f>
        <v>3343</v>
      </c>
      <c r="BZ150" s="1611">
        <f>BY150+BZ55</f>
        <v>3483</v>
      </c>
      <c r="CA150" s="1610">
        <f>BZ150</f>
        <v>3483</v>
      </c>
      <c r="CB150" s="1611"/>
      <c r="CC150" s="1432">
        <f>BZ150+CC55</f>
        <v>3623</v>
      </c>
      <c r="CD150" s="1611">
        <f>CC150+CD55</f>
        <v>3763</v>
      </c>
      <c r="CE150" s="1611">
        <f>CD150+CE55</f>
        <v>3903</v>
      </c>
      <c r="CF150" s="1611">
        <f>CE150+CF55</f>
        <v>4043</v>
      </c>
      <c r="CG150" s="1610">
        <f>CF150</f>
        <v>4043</v>
      </c>
      <c r="CH150" s="1611"/>
      <c r="CI150" s="1432">
        <f>CF150+CI55</f>
        <v>4183</v>
      </c>
      <c r="CJ150" s="1611">
        <f>CI150+CJ55</f>
        <v>4323</v>
      </c>
      <c r="CK150" s="1611">
        <f>CJ150+CK55</f>
        <v>4463</v>
      </c>
      <c r="CL150" s="1611">
        <f>CK150+CL55</f>
        <v>4603</v>
      </c>
      <c r="CM150" s="1610">
        <f>CL150</f>
        <v>4603</v>
      </c>
      <c r="CN150" s="1611"/>
      <c r="CO150" s="1432">
        <f>CL150+CO55</f>
        <v>4743</v>
      </c>
      <c r="CP150" s="1611">
        <f>CO150+CP55</f>
        <v>4883</v>
      </c>
      <c r="CQ150" s="1611">
        <f>CP150+CQ55</f>
        <v>5023</v>
      </c>
      <c r="CR150" s="1611">
        <f>CQ150+CR55</f>
        <v>5163</v>
      </c>
      <c r="CS150" s="1610">
        <f>CR150</f>
        <v>5163</v>
      </c>
      <c r="CT150" s="205"/>
      <c r="CU150" s="205"/>
      <c r="CV150" s="205"/>
      <c r="CW150" s="205"/>
      <c r="CX150" s="205"/>
      <c r="CY150" s="205"/>
      <c r="CZ150" s="205"/>
      <c r="DA150" s="205"/>
      <c r="DB150" s="205"/>
      <c r="DC150" s="205"/>
      <c r="DD150" s="205"/>
      <c r="DE150" s="205"/>
      <c r="DF150" s="205"/>
      <c r="DG150" s="205"/>
      <c r="DH150" s="205"/>
      <c r="DI150" s="205"/>
      <c r="DJ150" s="205"/>
      <c r="DK150" s="205"/>
      <c r="DL150" s="205"/>
      <c r="DM150" s="205"/>
      <c r="DN150" s="205"/>
      <c r="DO150" s="205"/>
      <c r="DP150" s="205"/>
      <c r="DQ150" s="205"/>
      <c r="DR150" s="205"/>
      <c r="DS150" s="205"/>
      <c r="DT150" s="205"/>
    </row>
    <row r="151" spans="1:126" ht="12.75" hidden="1" customHeight="1" outlineLevel="1">
      <c r="A151" s="1028" t="s">
        <v>220</v>
      </c>
      <c r="B151" s="205"/>
      <c r="C151" s="760"/>
      <c r="D151" s="740"/>
      <c r="E151" s="740"/>
      <c r="F151" s="740"/>
      <c r="G151" s="739"/>
      <c r="H151" s="740"/>
      <c r="I151" s="760"/>
      <c r="J151" s="740"/>
      <c r="K151" s="740"/>
      <c r="L151" s="740"/>
      <c r="M151" s="739"/>
      <c r="N151" s="740"/>
      <c r="O151" s="760"/>
      <c r="P151" s="740"/>
      <c r="Q151" s="740"/>
      <c r="R151" s="740"/>
      <c r="S151" s="739"/>
      <c r="T151" s="740"/>
      <c r="U151" s="760"/>
      <c r="V151" s="740"/>
      <c r="W151" s="740"/>
      <c r="X151" s="740"/>
      <c r="Y151" s="739"/>
      <c r="Z151" s="740"/>
      <c r="AA151" s="760"/>
      <c r="AB151" s="740"/>
      <c r="AC151" s="740"/>
      <c r="AD151" s="740"/>
      <c r="AE151" s="739"/>
      <c r="AF151" s="740"/>
      <c r="AG151" s="760"/>
      <c r="AH151" s="740"/>
      <c r="AI151" s="740"/>
      <c r="AJ151" s="740"/>
      <c r="AK151" s="739"/>
      <c r="AL151" s="740"/>
      <c r="AM151" s="760"/>
      <c r="AN151" s="740"/>
      <c r="AO151" s="740"/>
      <c r="AP151" s="740"/>
      <c r="AQ151" s="739"/>
      <c r="AR151" s="740"/>
      <c r="AS151" s="1432"/>
      <c r="AT151" s="740">
        <f>AVERAGE(AS150,AT150)</f>
        <v>132.5</v>
      </c>
      <c r="AU151" s="740">
        <f>AVERAGE(AT150,AU150)</f>
        <v>277.5</v>
      </c>
      <c r="AV151" s="1611">
        <f>AVERAGE(AU150,AV150)</f>
        <v>444</v>
      </c>
      <c r="AW151" s="1610">
        <f>AVERAGE(AS151:AV151)</f>
        <v>284.66666666666669</v>
      </c>
      <c r="AX151" s="1611"/>
      <c r="AY151" s="1432">
        <f>AVERAGE(AW150,AY150)</f>
        <v>600.5</v>
      </c>
      <c r="AZ151" s="1611">
        <f>AVERAGE(AY150,AZ150)</f>
        <v>745.5</v>
      </c>
      <c r="BA151" s="1611">
        <f>AVERAGE(AZ150,BA150)</f>
        <v>893</v>
      </c>
      <c r="BB151" s="1611">
        <f>AVERAGE(BA150,BB150)</f>
        <v>1063</v>
      </c>
      <c r="BC151" s="1610">
        <f>AVERAGE(AY151:BB151)</f>
        <v>825.5</v>
      </c>
      <c r="BD151" s="1611"/>
      <c r="BE151" s="1432">
        <f>AVERAGE(BB150,BE150)</f>
        <v>1238</v>
      </c>
      <c r="BF151" s="1611">
        <f>AVERAGE(BE150,BF150)</f>
        <v>1393</v>
      </c>
      <c r="BG151" s="1611">
        <f>AVERAGE(BF150,BG150)</f>
        <v>1555.5</v>
      </c>
      <c r="BH151" s="1611">
        <f>AVERAGE(BG150,BH150)</f>
        <v>1713</v>
      </c>
      <c r="BI151" s="1610">
        <f>AVERAGE(BE151:BH151)</f>
        <v>1474.875</v>
      </c>
      <c r="BJ151" s="1611"/>
      <c r="BK151" s="1432">
        <f>AVERAGE(BI150,BK150)</f>
        <v>1870.5</v>
      </c>
      <c r="BL151" s="1611">
        <f>AVERAGE(BK150,BL150)</f>
        <v>2020.5</v>
      </c>
      <c r="BM151" s="1611">
        <f>AVERAGE(BL150,BM150)</f>
        <v>2153</v>
      </c>
      <c r="BN151" s="1611">
        <f>AVERAGE(BM150,BN150)</f>
        <v>2290.5</v>
      </c>
      <c r="BO151" s="1610">
        <f>AVERAGE(BK151:BN151)</f>
        <v>2083.625</v>
      </c>
      <c r="BP151" s="1611"/>
      <c r="BQ151" s="1432">
        <f>AVERAGE(BN150,BQ150)</f>
        <v>2433</v>
      </c>
      <c r="BR151" s="1611">
        <f>AVERAGE(BQ150,BR150)</f>
        <v>2573</v>
      </c>
      <c r="BS151" s="1611">
        <f>AVERAGE(BR150,BS150)</f>
        <v>2713</v>
      </c>
      <c r="BT151" s="1611">
        <f>AVERAGE(BS150,BT150)</f>
        <v>2853</v>
      </c>
      <c r="BU151" s="1610">
        <f>AVERAGE(BQ151:BT151)</f>
        <v>2643</v>
      </c>
      <c r="BV151" s="1611"/>
      <c r="BW151" s="1432">
        <f>AVERAGE(BT150,BW150)</f>
        <v>2993</v>
      </c>
      <c r="BX151" s="1611">
        <f>AVERAGE(BW150,BX150)</f>
        <v>3133</v>
      </c>
      <c r="BY151" s="1611">
        <f>AVERAGE(BX150,BY150)</f>
        <v>3273</v>
      </c>
      <c r="BZ151" s="1611">
        <f>AVERAGE(BY150,BZ150)</f>
        <v>3413</v>
      </c>
      <c r="CA151" s="1610">
        <f>AVERAGE(BW151:BZ151)</f>
        <v>3203</v>
      </c>
      <c r="CB151" s="1611"/>
      <c r="CC151" s="1432">
        <f>AVERAGE(BZ150,CC150)</f>
        <v>3553</v>
      </c>
      <c r="CD151" s="1611">
        <f>AVERAGE(CC150,CD150)</f>
        <v>3693</v>
      </c>
      <c r="CE151" s="1611">
        <f>AVERAGE(CD150,CE150)</f>
        <v>3833</v>
      </c>
      <c r="CF151" s="1611">
        <f>AVERAGE(CE150,CF150)</f>
        <v>3973</v>
      </c>
      <c r="CG151" s="1610">
        <f>AVERAGE(CC151:CF151)</f>
        <v>3763</v>
      </c>
      <c r="CH151" s="1611"/>
      <c r="CI151" s="1432">
        <f>AVERAGE(CF150,CI150)</f>
        <v>4113</v>
      </c>
      <c r="CJ151" s="1611">
        <f>AVERAGE(CI150,CJ150)</f>
        <v>4253</v>
      </c>
      <c r="CK151" s="1611">
        <f>AVERAGE(CJ150,CK150)</f>
        <v>4393</v>
      </c>
      <c r="CL151" s="1611">
        <f>AVERAGE(CK150,CL150)</f>
        <v>4533</v>
      </c>
      <c r="CM151" s="1610">
        <f>AVERAGE(CI151:CL151)</f>
        <v>4323</v>
      </c>
      <c r="CN151" s="1611"/>
      <c r="CO151" s="1432">
        <f>AVERAGE(CL150,CO150)</f>
        <v>4673</v>
      </c>
      <c r="CP151" s="1611">
        <f>AVERAGE(CO150,CP150)</f>
        <v>4813</v>
      </c>
      <c r="CQ151" s="1611">
        <f>AVERAGE(CP150,CQ150)</f>
        <v>4953</v>
      </c>
      <c r="CR151" s="1611">
        <f>AVERAGE(CQ150,CR150)</f>
        <v>5093</v>
      </c>
      <c r="CS151" s="1610">
        <f>AVERAGE(CO151:CR151)</f>
        <v>4883</v>
      </c>
      <c r="CT151" s="205"/>
      <c r="CU151" s="9" t="s">
        <v>774</v>
      </c>
      <c r="CV151" s="205"/>
      <c r="CW151" s="205"/>
      <c r="CX151" s="205"/>
      <c r="CY151" s="1821"/>
      <c r="CZ151" s="1821"/>
      <c r="DA151" s="1821"/>
      <c r="DB151" s="1821"/>
      <c r="DC151" s="1821"/>
      <c r="DD151" s="1821"/>
      <c r="DE151" s="1821"/>
      <c r="DF151" s="1821"/>
      <c r="DG151" s="1821"/>
      <c r="DH151" s="1821"/>
      <c r="DI151" s="1821"/>
      <c r="DJ151" s="1821"/>
      <c r="DK151" s="1821"/>
      <c r="DL151" s="1821"/>
      <c r="DM151" s="1821"/>
      <c r="DN151" s="1821"/>
      <c r="DO151" s="1821"/>
      <c r="DP151" s="1821"/>
      <c r="DQ151" s="1822"/>
      <c r="DR151" s="1821"/>
      <c r="DS151" s="1821"/>
      <c r="DT151" s="1821"/>
      <c r="DU151" s="1821"/>
      <c r="DV151" s="1821"/>
    </row>
    <row r="152" spans="1:126" ht="12.75" customHeight="1" collapsed="1">
      <c r="A152" s="796" t="s">
        <v>452</v>
      </c>
      <c r="B152" s="205"/>
      <c r="C152" s="760"/>
      <c r="D152" s="740"/>
      <c r="E152" s="740"/>
      <c r="F152" s="740"/>
      <c r="G152" s="739"/>
      <c r="H152" s="740"/>
      <c r="I152" s="760"/>
      <c r="J152" s="740"/>
      <c r="K152" s="740"/>
      <c r="L152" s="740"/>
      <c r="M152" s="739"/>
      <c r="N152" s="740"/>
      <c r="O152" s="760"/>
      <c r="P152" s="740"/>
      <c r="Q152" s="740"/>
      <c r="R152" s="740"/>
      <c r="S152" s="739"/>
      <c r="T152" s="740"/>
      <c r="U152" s="760">
        <f>S152+U64+U66</f>
        <v>18</v>
      </c>
      <c r="V152" s="740">
        <f>U152+V64+V66</f>
        <v>121.1</v>
      </c>
      <c r="W152" s="740">
        <f>V152+W64+W66</f>
        <v>273.68</v>
      </c>
      <c r="X152" s="740">
        <f>W152+X64+X66</f>
        <v>449.88</v>
      </c>
      <c r="Y152" s="739">
        <f>X152</f>
        <v>449.88</v>
      </c>
      <c r="Z152" s="740"/>
      <c r="AA152" s="760">
        <f>Y152+AA64+AA66</f>
        <v>637.70000000000005</v>
      </c>
      <c r="AB152" s="740">
        <f>AA152+AB64+AB66</f>
        <v>807.69400000000007</v>
      </c>
      <c r="AC152" s="740">
        <f>AB152+AC64+AC66</f>
        <v>907.5200000000001</v>
      </c>
      <c r="AD152" s="740">
        <f>AC152+AD64+AD66</f>
        <v>1003.3800000000001</v>
      </c>
      <c r="AE152" s="739">
        <f>AD152</f>
        <v>1003.3800000000001</v>
      </c>
      <c r="AF152" s="740"/>
      <c r="AG152" s="760">
        <f>+AD152+AG64+AG66-10</f>
        <v>1069.98</v>
      </c>
      <c r="AH152" s="740">
        <f>+AG152+AH64+AH66-10</f>
        <v>1133.96</v>
      </c>
      <c r="AI152" s="740">
        <f>+AH152+AI64+AI66-AI74-10</f>
        <v>1196.3900000000001</v>
      </c>
      <c r="AJ152" s="740">
        <f>+AI152+AJ64-AJ74</f>
        <v>1108.8900000000001</v>
      </c>
      <c r="AK152" s="739">
        <f>AJ152</f>
        <v>1108.8900000000001</v>
      </c>
      <c r="AL152" s="740"/>
      <c r="AM152" s="760">
        <f>+AK152+AM64-AM74</f>
        <v>985.8900000000001</v>
      </c>
      <c r="AN152" s="740">
        <f>+AM152+AN64-AN74</f>
        <v>887.8900000000001</v>
      </c>
      <c r="AO152" s="740">
        <f>+AN152+AO64-AO74</f>
        <v>872.8900000000001</v>
      </c>
      <c r="AP152" s="740">
        <f>AS152-AS64+AS74</f>
        <v>875.62406015037595</v>
      </c>
      <c r="AQ152" s="739">
        <f>AP152</f>
        <v>875.62406015037595</v>
      </c>
      <c r="AR152" s="740"/>
      <c r="AS152" s="760">
        <f>AT152-AT64+AT74</f>
        <v>879.62406015037595</v>
      </c>
      <c r="AT152" s="740">
        <f>AU152-AU64+AU74</f>
        <v>879.62406015037595</v>
      </c>
      <c r="AU152" s="1629">
        <f>(2327/1.33)-AU154</f>
        <v>879.62406015037595</v>
      </c>
      <c r="AV152" s="1611">
        <f>AU152+AV64-AV74</f>
        <v>879.62406015037595</v>
      </c>
      <c r="AW152" s="1610">
        <f>AV152</f>
        <v>879.62406015037595</v>
      </c>
      <c r="AX152" s="1611"/>
      <c r="AY152" s="1432">
        <f>AW152+AY64-AY74-AY85</f>
        <v>879.62406015037595</v>
      </c>
      <c r="AZ152" s="1611">
        <f>AY152+AZ64-AZ74-AZ85</f>
        <v>879.3601729323309</v>
      </c>
      <c r="BA152" s="1611">
        <f>AZ152+BA64-BA74-BA85</f>
        <v>877.60092481203014</v>
      </c>
      <c r="BB152" s="1611">
        <f>BA152+BB64-BB74-BB85</f>
        <v>877.60092481203014</v>
      </c>
      <c r="BC152" s="1610">
        <f>BB152</f>
        <v>877.60092481203014</v>
      </c>
      <c r="BD152" s="1611"/>
      <c r="BE152" s="1432">
        <f>BB152-51</f>
        <v>826.60092481203014</v>
      </c>
      <c r="BF152" s="1611">
        <f>BE152-20</f>
        <v>806.60092481203014</v>
      </c>
      <c r="BG152" s="1611">
        <f>BF152-30</f>
        <v>776.60092481203014</v>
      </c>
      <c r="BH152" s="1611">
        <f>BG152+BH64-BH74-BH85-40</f>
        <v>736.60092481203014</v>
      </c>
      <c r="BI152" s="1610">
        <f>BH152</f>
        <v>736.60092481203014</v>
      </c>
      <c r="BJ152" s="1611"/>
      <c r="BK152" s="1432">
        <f>BI152+BK64-BK74-BK85-10</f>
        <v>726.60092481203014</v>
      </c>
      <c r="BL152" s="1611">
        <f>BK152+BL64-BL74-BL85-15</f>
        <v>711.60092481203014</v>
      </c>
      <c r="BM152" s="1611">
        <f>BL152+BM64-BM74-BM85-15</f>
        <v>696.60092481203014</v>
      </c>
      <c r="BN152" s="1611">
        <f>BM152+BN64-BN74-BN85-10</f>
        <v>686.60092481203014</v>
      </c>
      <c r="BO152" s="1610">
        <f>BN152</f>
        <v>686.60092481203014</v>
      </c>
      <c r="BP152" s="1611"/>
      <c r="BQ152" s="1432">
        <f>BO152+BQ64-BQ74-BQ85-10</f>
        <v>676.60092481203014</v>
      </c>
      <c r="BR152" s="2418">
        <f>BQ152+BR64-BR74-BR85-30</f>
        <v>646.60092481203014</v>
      </c>
      <c r="BS152" s="2465">
        <f>IF(((BR152+BS64-BS74-BS85-BS133*$CU$152-BS122*$CU152)&lt;0),0,(BR152+BS64-BS74-BS85-BS133*$CU$152-BS122*$CU152))</f>
        <v>587.60092481203014</v>
      </c>
      <c r="BT152" s="2465">
        <f>IF(((BS152+BT64-BT74-BT85-BT133*$CU$152-BT122*$CU152)&lt;0),0,(BS152+BT64-BT74-BT85-BT133*$CU$152-BT122*$CU152))</f>
        <v>528.60092481203014</v>
      </c>
      <c r="BU152" s="2466">
        <f t="shared" ref="BU152" si="471">BT152</f>
        <v>528.60092481203014</v>
      </c>
      <c r="BV152" s="2465"/>
      <c r="BW152" s="2464">
        <f>IF(((BT152+BW64-BW74-BW85-BW133*$CU$152-BW122*$CU152)&lt;0),0,(BT152+BW64-BW74-BW85-BW133*$CU$152-BW122*$CU152))</f>
        <v>473.60092481203014</v>
      </c>
      <c r="BX152" s="2465">
        <f>IF(((BW152+BX64-BX74-BX85-BX133*$CU$152-BX122*$CU152)&lt;0),0,(BW152+BX64-BX74-BX85-BX133*$CU$152-BX122*$CU152))</f>
        <v>418.60092481203014</v>
      </c>
      <c r="BY152" s="2465">
        <f>IF(((BX152+BY64-BY74-BY85-BY133*$CU$152-BY122*$CU152)&lt;0),0,(BX152+BY64-BY74-BY85-BY133*$CU$152-BY122*$CU152))</f>
        <v>363.60092481203014</v>
      </c>
      <c r="BZ152" s="2465">
        <f>IF(((BY152+BZ64-BZ74-BZ85-BZ133*$CU$152-BZ122*$CU152)&lt;0),0,(BY152+BZ64-BZ74-BZ85-BZ133*$CU$152-BZ122*$CU152))</f>
        <v>308.60092481203014</v>
      </c>
      <c r="CA152" s="2466">
        <f t="shared" ref="CA152" si="472">BZ152</f>
        <v>308.60092481203014</v>
      </c>
      <c r="CB152" s="2465"/>
      <c r="CC152" s="2464">
        <f>IF(((BZ152+CC64-CC74-CC85-CC133*$CU$152-CC122*$CU152)&lt;0),0,(BZ152+CC64-CC74-CC85-CC133*$CU$152-CC122*$CU152))</f>
        <v>258.60092481203014</v>
      </c>
      <c r="CD152" s="2465">
        <f>IF(((CC152+CD64-CD74-CD85-CD133*$CU$152-CD122*$CU152)&lt;0),0,(CC152+CD64-CD74-CD85-CD133*$CU$152-CD122*$CU152))</f>
        <v>208.60092481203014</v>
      </c>
      <c r="CE152" s="2465">
        <f>IF(((CD152+CE64-CE74-CE85-CE133*$CU$152-CE122*$CU152)&lt;0),0,(CD152+CE64-CE74-CE85-CE133*$CU$152-CE122*$CU152))</f>
        <v>158.60092481203014</v>
      </c>
      <c r="CF152" s="2465">
        <f>IF(((CE152+CF64-CF74-CF85-CF133*$CU$152-CF122*$CU152)&lt;0),0,(CE152+CF64-CF74-CF85-CF133*$CU$152-CF122*$CU152))</f>
        <v>108.60092481203014</v>
      </c>
      <c r="CG152" s="2466">
        <f>CF152</f>
        <v>108.60092481203014</v>
      </c>
      <c r="CH152" s="2465"/>
      <c r="CI152" s="2464">
        <f>IF(((CF152+CI64-CI74-CI85-CI133*$CU$152-CI122*$CU152)&lt;0),0,(CF152+CI64-CI74-CI85-CI133*$CU$152-CI122*$CU152))</f>
        <v>58.600924812030144</v>
      </c>
      <c r="CJ152" s="2465">
        <f>IF(((CI152+CJ64-CJ74-CJ85-CJ133*$CU$152-CJ122*$CU152)&lt;0),0,(CI152+CJ64-CJ74-CJ85-CJ133*$CU$152-CJ122*$CU152))</f>
        <v>8.6009248120301436</v>
      </c>
      <c r="CK152" s="2465">
        <f>IF(((CJ152+CK64-CK74-CK85-CK133*$CU$152-CK122*$CU152)&lt;0),0,(CJ152+CK64-CK74-CK85-CK133*$CU$152-CK122*$CU152))</f>
        <v>0</v>
      </c>
      <c r="CL152" s="2465">
        <f>IF(((CK152+CL64-CL74-CL85-CL133*$CU$152-CL122*$CU152)&lt;0),0,(CK152+CL64-CL74-CL85-CL133*$CU$152-CL122*$CU152))</f>
        <v>0</v>
      </c>
      <c r="CM152" s="2466">
        <f>CL152</f>
        <v>0</v>
      </c>
      <c r="CN152" s="2465"/>
      <c r="CO152" s="2464">
        <f>IF(((CL152+CO64-CO74-CO85-CO133*$CU$152-CO122*$CU152)&lt;0),0,(CL152+CO64-CO74-CO85-CO133*$CU$152-CO122*$CU152))</f>
        <v>0</v>
      </c>
      <c r="CP152" s="2465">
        <f>IF(((CO152+CP64-CP74-CP85-CP133*$CU$152-CP122*$CU152)&lt;0),0,(CO152+CP64-CP74-CP85-CP133*$CU$152-CP122*$CU152))</f>
        <v>0</v>
      </c>
      <c r="CQ152" s="2465">
        <f>IF(((CP152+CQ64-CQ74-CQ85-CQ133*$CU$152-CQ122*$CU152)&lt;0),0,(CP152+CQ64-CQ74-CQ85-CQ133*$CU$152-CQ122*$CU152))</f>
        <v>0</v>
      </c>
      <c r="CR152" s="2465">
        <f>IF(((CQ152+CR64-CR74-CR85-CR133*$CU$152-CR122*$CU152)&lt;0),0,(CQ152+CR64-CR74-CR85-CR133*$CU$152-CR122*$CU152))</f>
        <v>0</v>
      </c>
      <c r="CS152" s="2466">
        <f>CR152</f>
        <v>0</v>
      </c>
      <c r="CT152" s="2469"/>
      <c r="CU152" s="2468">
        <v>1</v>
      </c>
      <c r="CV152" s="2365"/>
      <c r="CW152" s="205"/>
      <c r="CX152" s="205"/>
      <c r="CY152" s="205"/>
      <c r="CZ152" s="205"/>
      <c r="DA152" s="205"/>
      <c r="DB152" s="205"/>
      <c r="DC152" s="205"/>
      <c r="DD152" s="205"/>
      <c r="DE152" s="205"/>
      <c r="DF152" s="205"/>
      <c r="DG152" s="205"/>
      <c r="DH152" s="205"/>
      <c r="DI152" s="205"/>
      <c r="DJ152" s="205"/>
      <c r="DK152" s="205"/>
      <c r="DL152" s="205"/>
      <c r="DM152" s="205"/>
      <c r="DN152" s="205"/>
      <c r="DO152" s="205"/>
      <c r="DP152" s="205"/>
      <c r="DQ152" s="205"/>
      <c r="DR152" s="205"/>
      <c r="DS152" s="205"/>
      <c r="DT152" s="205"/>
    </row>
    <row r="153" spans="1:126" ht="12.75" hidden="1" customHeight="1" outlineLevel="2">
      <c r="A153" s="1028" t="s">
        <v>220</v>
      </c>
      <c r="B153" s="205"/>
      <c r="C153" s="760"/>
      <c r="D153" s="740"/>
      <c r="E153" s="740"/>
      <c r="F153" s="740"/>
      <c r="G153" s="739"/>
      <c r="H153" s="740"/>
      <c r="I153" s="760"/>
      <c r="J153" s="740"/>
      <c r="K153" s="740"/>
      <c r="L153" s="740"/>
      <c r="M153" s="739"/>
      <c r="N153" s="740"/>
      <c r="O153" s="760"/>
      <c r="P153" s="740"/>
      <c r="Q153" s="740"/>
      <c r="R153" s="740"/>
      <c r="S153" s="739"/>
      <c r="T153" s="740"/>
      <c r="U153" s="760">
        <f>AVERAGE(0,U152)</f>
        <v>9</v>
      </c>
      <c r="V153" s="740">
        <f>AVERAGE(U152:V152)</f>
        <v>69.55</v>
      </c>
      <c r="W153" s="740">
        <f>AVERAGE(V152:W152)</f>
        <v>197.39</v>
      </c>
      <c r="X153" s="740">
        <f>AVERAGE(W152:X152)</f>
        <v>361.78</v>
      </c>
      <c r="Y153" s="739">
        <f>AVERAGE(X153,U153)</f>
        <v>185.39</v>
      </c>
      <c r="Z153" s="740"/>
      <c r="AA153" s="760">
        <f>AVERAGE(AA152,X152)</f>
        <v>543.79</v>
      </c>
      <c r="AB153" s="740">
        <f>AVERAGE(AA152:AB152)</f>
        <v>722.69700000000012</v>
      </c>
      <c r="AC153" s="740">
        <f>AVERAGE(AB152:AC152)</f>
        <v>857.60700000000008</v>
      </c>
      <c r="AD153" s="740">
        <f>AVERAGE(AC152:AD152)</f>
        <v>955.45</v>
      </c>
      <c r="AE153" s="739">
        <f>AVERAGE(Y152,AE152)</f>
        <v>726.63000000000011</v>
      </c>
      <c r="AF153" s="740"/>
      <c r="AG153" s="760">
        <f>AVERAGE(AG152,AD152)</f>
        <v>1036.68</v>
      </c>
      <c r="AH153" s="740">
        <f>AVERAGE(AG152:AH152)</f>
        <v>1101.97</v>
      </c>
      <c r="AI153" s="740">
        <f>AVERAGE(AH152:AI152)</f>
        <v>1165.1750000000002</v>
      </c>
      <c r="AJ153" s="740">
        <f>AVERAGE(AI152:AJ152)</f>
        <v>1152.6400000000001</v>
      </c>
      <c r="AK153" s="739">
        <f>AVERAGE(AE152,AK152)</f>
        <v>1056.1350000000002</v>
      </c>
      <c r="AL153" s="740"/>
      <c r="AM153" s="760">
        <f>AVERAGE(AM152,AJ152)</f>
        <v>1047.3900000000001</v>
      </c>
      <c r="AN153" s="740">
        <f>AVERAGE(AM152:AN152)</f>
        <v>936.8900000000001</v>
      </c>
      <c r="AO153" s="740">
        <f>AVERAGE(AN152:AO152)</f>
        <v>880.3900000000001</v>
      </c>
      <c r="AP153" s="740">
        <f>AVERAGE(AO152:AP152)</f>
        <v>874.25703007518803</v>
      </c>
      <c r="AQ153" s="739">
        <f>AVERAGE(AK152,AQ152)</f>
        <v>992.25703007518803</v>
      </c>
      <c r="AR153" s="740"/>
      <c r="AS153" s="1432">
        <f>AVERAGE(AS152,AP152)</f>
        <v>877.62406015037595</v>
      </c>
      <c r="AT153" s="740">
        <f>AVERAGE(AS152:AT152)</f>
        <v>879.62406015037595</v>
      </c>
      <c r="AU153" s="740">
        <f>AVERAGE(AT152:AU152)</f>
        <v>879.62406015037595</v>
      </c>
      <c r="AV153" s="1611">
        <f>AVERAGE(AU152:AV152)</f>
        <v>879.62406015037595</v>
      </c>
      <c r="AW153" s="1610">
        <f>AVERAGE(AQ152,AW152)</f>
        <v>877.62406015037595</v>
      </c>
      <c r="AX153" s="1611"/>
      <c r="AY153" s="1432">
        <f>AVERAGE(AY152,AV152)</f>
        <v>879.62406015037595</v>
      </c>
      <c r="AZ153" s="1611">
        <f>AVERAGE(AY152:AZ152)</f>
        <v>879.49211654135343</v>
      </c>
      <c r="BA153" s="1611">
        <f>AVERAGE(AZ152:BA152)</f>
        <v>878.48054887218052</v>
      </c>
      <c r="BB153" s="1611">
        <f>AVERAGE(BA152:BB152)</f>
        <v>877.60092481203014</v>
      </c>
      <c r="BC153" s="1610">
        <f>AVERAGE(AY153:BB153)</f>
        <v>878.79941259398493</v>
      </c>
      <c r="BD153" s="1611"/>
      <c r="BE153" s="1432">
        <f>AVERAGE(BE152,BB152)</f>
        <v>852.10092481203014</v>
      </c>
      <c r="BF153" s="1611">
        <f>AVERAGE(BE152:BF152)</f>
        <v>816.60092481203014</v>
      </c>
      <c r="BG153" s="1611">
        <f>AVERAGE(BF152:BG152)</f>
        <v>791.60092481203014</v>
      </c>
      <c r="BH153" s="1611">
        <f>AVERAGE(BG152:BH152)</f>
        <v>756.60092481203014</v>
      </c>
      <c r="BI153" s="1610">
        <f>AVERAGE(BE153:BH153)</f>
        <v>804.22592481203014</v>
      </c>
      <c r="BJ153" s="1611"/>
      <c r="BK153" s="1432">
        <f>AVERAGE(BK152,BH152)</f>
        <v>731.60092481203014</v>
      </c>
      <c r="BL153" s="1611">
        <f>AVERAGE(BK152:BL152)</f>
        <v>719.10092481203014</v>
      </c>
      <c r="BM153" s="1611">
        <f>AVERAGE(BL152:BM152)</f>
        <v>704.10092481203014</v>
      </c>
      <c r="BN153" s="1611">
        <f>AVERAGE(BM152:BN152)</f>
        <v>691.60092481203014</v>
      </c>
      <c r="BO153" s="1610">
        <f>AVERAGE(BK153:BN153)</f>
        <v>711.60092481203014</v>
      </c>
      <c r="BP153" s="1611"/>
      <c r="BQ153" s="1432">
        <f>AVERAGE(BQ152,BN152)</f>
        <v>681.60092481203014</v>
      </c>
      <c r="BR153" s="1611">
        <f>AVERAGE(BQ152:BR152)</f>
        <v>661.60092481203014</v>
      </c>
      <c r="BS153" s="1611">
        <f>AVERAGE(BR152:BS152)</f>
        <v>617.10092481203014</v>
      </c>
      <c r="BT153" s="1611">
        <f>AVERAGE(BS152:BT152)</f>
        <v>558.10092481203014</v>
      </c>
      <c r="BU153" s="1610">
        <f>AVERAGE(BQ153:BT153)</f>
        <v>629.60092481203014</v>
      </c>
      <c r="BV153" s="1611"/>
      <c r="BW153" s="1432">
        <f>AVERAGE(BW152,BT152)</f>
        <v>501.10092481203014</v>
      </c>
      <c r="BX153" s="1611">
        <f>AVERAGE(BW152:BX152)</f>
        <v>446.10092481203014</v>
      </c>
      <c r="BY153" s="1611">
        <f>AVERAGE(BX152:BY152)</f>
        <v>391.10092481203014</v>
      </c>
      <c r="BZ153" s="1611">
        <f>AVERAGE(BY152:BZ152)</f>
        <v>336.10092481203014</v>
      </c>
      <c r="CA153" s="1610">
        <f>AVERAGE(BW153:BZ153)</f>
        <v>418.60092481203014</v>
      </c>
      <c r="CB153" s="1611"/>
      <c r="CC153" s="1432">
        <f>AVERAGE(CC152,BZ152)</f>
        <v>283.60092481203014</v>
      </c>
      <c r="CD153" s="1611">
        <f>AVERAGE(CC152:CD152)</f>
        <v>233.60092481203014</v>
      </c>
      <c r="CE153" s="1611">
        <f>AVERAGE(CD152:CE152)</f>
        <v>183.60092481203014</v>
      </c>
      <c r="CF153" s="1611">
        <f>AVERAGE(CE152:CF152)</f>
        <v>133.60092481203014</v>
      </c>
      <c r="CG153" s="1610">
        <f>AVERAGE(CC153:CF153)</f>
        <v>208.60092481203014</v>
      </c>
      <c r="CH153" s="1611"/>
      <c r="CI153" s="1432">
        <f>AVERAGE(CI152,CF152)</f>
        <v>83.600924812030144</v>
      </c>
      <c r="CJ153" s="1611">
        <f>AVERAGE(CI152:CJ152)</f>
        <v>33.600924812030144</v>
      </c>
      <c r="CK153" s="1611">
        <f>AVERAGE(CJ152:CK152)</f>
        <v>4.3004624060150718</v>
      </c>
      <c r="CL153" s="1611">
        <f>AVERAGE(CK152:CL152)</f>
        <v>0</v>
      </c>
      <c r="CM153" s="1610">
        <f>AVERAGE(CI153:CL153)</f>
        <v>30.37557800751884</v>
      </c>
      <c r="CN153" s="1611"/>
      <c r="CO153" s="1432">
        <f>AVERAGE(CO152,CL152)</f>
        <v>0</v>
      </c>
      <c r="CP153" s="1611">
        <f>AVERAGE(CO152:CP152)</f>
        <v>0</v>
      </c>
      <c r="CQ153" s="1611">
        <f>AVERAGE(CP152:CQ152)</f>
        <v>0</v>
      </c>
      <c r="CR153" s="1611">
        <f>AVERAGE(CQ152:CR152)</f>
        <v>0</v>
      </c>
      <c r="CS153" s="1610">
        <f>AVERAGE(CO153:CR153)</f>
        <v>0</v>
      </c>
      <c r="CT153" s="205"/>
      <c r="CU153" s="1608"/>
      <c r="CV153" s="205"/>
      <c r="CW153" s="205"/>
      <c r="CX153" s="205"/>
      <c r="CY153" s="1821"/>
      <c r="CZ153" s="1821"/>
      <c r="DA153" s="1821"/>
      <c r="DB153" s="1821"/>
      <c r="DC153" s="1821"/>
      <c r="DD153" s="1821"/>
      <c r="DE153" s="1821"/>
      <c r="DF153" s="1821"/>
      <c r="DG153" s="1821"/>
      <c r="DH153" s="1821"/>
      <c r="DI153" s="1821"/>
      <c r="DJ153" s="1821"/>
      <c r="DK153" s="1821"/>
      <c r="DL153" s="1821"/>
      <c r="DM153" s="1821"/>
      <c r="DN153" s="1821"/>
      <c r="DO153" s="1821"/>
      <c r="DP153" s="1821"/>
      <c r="DQ153" s="1822"/>
      <c r="DR153" s="1821"/>
      <c r="DS153" s="1821"/>
      <c r="DT153" s="1821"/>
      <c r="DU153" s="1821"/>
      <c r="DV153" s="1821"/>
    </row>
    <row r="154" spans="1:126" collapsed="1">
      <c r="A154" s="796" t="s">
        <v>453</v>
      </c>
      <c r="B154" s="205"/>
      <c r="C154" s="760"/>
      <c r="D154" s="740"/>
      <c r="E154" s="740"/>
      <c r="F154" s="740"/>
      <c r="G154" s="739"/>
      <c r="H154" s="740"/>
      <c r="I154" s="760"/>
      <c r="J154" s="740"/>
      <c r="K154" s="740"/>
      <c r="L154" s="740"/>
      <c r="M154" s="739"/>
      <c r="N154" s="740"/>
      <c r="O154" s="760"/>
      <c r="P154" s="740"/>
      <c r="Q154" s="740"/>
      <c r="R154" s="740"/>
      <c r="S154" s="739"/>
      <c r="T154" s="740"/>
      <c r="U154" s="760"/>
      <c r="V154" s="740"/>
      <c r="W154" s="740"/>
      <c r="X154" s="740"/>
      <c r="Y154" s="739"/>
      <c r="Z154" s="740"/>
      <c r="AA154" s="760"/>
      <c r="AB154" s="740"/>
      <c r="AC154" s="740"/>
      <c r="AD154" s="740"/>
      <c r="AE154" s="739"/>
      <c r="AF154" s="740"/>
      <c r="AG154" s="760">
        <f>AE154+AG73</f>
        <v>0</v>
      </c>
      <c r="AH154" s="740">
        <f>AG154+AH73</f>
        <v>0</v>
      </c>
      <c r="AI154" s="740">
        <f>AH154+AI72</f>
        <v>2</v>
      </c>
      <c r="AJ154" s="740">
        <f>AI154+AJ72+AJ74</f>
        <v>144</v>
      </c>
      <c r="AK154" s="739">
        <f>AJ154</f>
        <v>144</v>
      </c>
      <c r="AL154" s="740"/>
      <c r="AM154" s="760">
        <f>AK154+AM72+AM74</f>
        <v>328</v>
      </c>
      <c r="AN154" s="740">
        <f>AM154+AN72+AN74</f>
        <v>499</v>
      </c>
      <c r="AO154" s="740">
        <f>AN154+AO72+AO74</f>
        <v>599</v>
      </c>
      <c r="AP154" s="740">
        <f>AO154+AP72+AP74</f>
        <v>669</v>
      </c>
      <c r="AQ154" s="739">
        <f>AP154</f>
        <v>669</v>
      </c>
      <c r="AR154" s="740"/>
      <c r="AS154" s="1432">
        <f>AQ154+AS72-AS83-AS94</f>
        <v>740</v>
      </c>
      <c r="AT154" s="740">
        <f>AS154+AT72-AT83-AT94</f>
        <v>805</v>
      </c>
      <c r="AU154" s="740">
        <f>AT154+AU72-AU83-AU94</f>
        <v>870</v>
      </c>
      <c r="AV154" s="1611">
        <f>AU154+AV72-AV83-AV94</f>
        <v>938</v>
      </c>
      <c r="AW154" s="1610">
        <f>AV154</f>
        <v>938</v>
      </c>
      <c r="AX154" s="1611"/>
      <c r="AY154" s="1432">
        <f>AW154+AY72-AY83-AY94</f>
        <v>934.70900000000006</v>
      </c>
      <c r="AZ154" s="1611">
        <f>AY154+AZ72-AZ83-AZ94</f>
        <v>923.1350000000001</v>
      </c>
      <c r="BA154" s="1611">
        <f>AZ154+BA72-BA83-BA94</f>
        <v>903.43700000000001</v>
      </c>
      <c r="BB154" s="1611">
        <f>BA154+BB72-BB83-BB94</f>
        <v>904.995</v>
      </c>
      <c r="BC154" s="1610">
        <f>BB154</f>
        <v>904.995</v>
      </c>
      <c r="BD154" s="1611"/>
      <c r="BE154" s="1432">
        <f>BB154-44</f>
        <v>860.995</v>
      </c>
      <c r="BF154" s="1611">
        <f>BE154-25</f>
        <v>835.995</v>
      </c>
      <c r="BG154" s="1611">
        <f>BF154-34</f>
        <v>801.995</v>
      </c>
      <c r="BH154" s="1611">
        <f>BG154+BH72-BH83-BH94-40</f>
        <v>735.73099999999999</v>
      </c>
      <c r="BI154" s="1610">
        <f>BH154</f>
        <v>735.73099999999999</v>
      </c>
      <c r="BJ154" s="1611"/>
      <c r="BK154" s="2800">
        <f>BI154+BK72-BK83-BK94-10</f>
        <v>718.69600000000003</v>
      </c>
      <c r="BL154" s="1611">
        <f>BK154+BL72-BL83-BL94-15</f>
        <v>703.69600000000003</v>
      </c>
      <c r="BM154" s="1611">
        <f>BL154+BM72-BM83-BM94-8</f>
        <v>695.69600000000003</v>
      </c>
      <c r="BN154" s="1611">
        <f>BM154+BN72-BN83-BN94-10</f>
        <v>685.69600000000003</v>
      </c>
      <c r="BO154" s="1610">
        <f>BN154</f>
        <v>685.69600000000003</v>
      </c>
      <c r="BP154" s="1611"/>
      <c r="BQ154" s="2800">
        <f>BO154+BQ72-BQ83-BQ94-9</f>
        <v>676.69600000000003</v>
      </c>
      <c r="BR154" s="2418">
        <f>BQ154+BR72-BR83-BR94-30</f>
        <v>646.69600000000003</v>
      </c>
      <c r="BS154" s="2465">
        <f>BR154+BS72-BS83-BS94-BS133*$CU$154-BS122*$CU$154</f>
        <v>587.69600000000003</v>
      </c>
      <c r="BT154" s="2465">
        <f>BS154+BT72-BT83-BT94-BT133*$CU$154-BT122*$CU$154</f>
        <v>528.69600000000003</v>
      </c>
      <c r="BU154" s="2466">
        <f t="shared" ref="BU154" si="473">BT154</f>
        <v>528.69600000000003</v>
      </c>
      <c r="BV154" s="2465"/>
      <c r="BW154" s="2464">
        <f>IF(((BT154+BW66-BW74-BW85-BW133*$CU$154-BW122*$CU154)&lt;0),0,(BT154+BW66-BW74-BW85-BW133*$CU$154-BW122*$CU154))</f>
        <v>473.69600000000003</v>
      </c>
      <c r="BX154" s="2465">
        <f>IF(((BW154+BX66-BX74-BX85-BX133*$CU$154-BX122*$CU154)&lt;0),0,(BW154+BX66-BX74-BX85-BX133*$CU$154-BX122*$CU154))</f>
        <v>418.69600000000003</v>
      </c>
      <c r="BY154" s="2465">
        <f>IF(((BX154+BY66-BY74-BY85-BY133*$CU$154-BY122*$CU154)&lt;0),0,(BX154+BY66-BY74-BY85-BY133*$CU$154-BY122*$CU154))</f>
        <v>363.69600000000003</v>
      </c>
      <c r="BZ154" s="2465">
        <f>IF(((BY154+BZ66-BZ74-BZ85-BZ133*$CU$154-BZ122*$CU154)&lt;0),0,(BY154+BZ66-BZ74-BZ85-BZ133*$CU$154-BZ122*$CU154))</f>
        <v>308.69600000000003</v>
      </c>
      <c r="CA154" s="2466">
        <f t="shared" ref="CA154" si="474">BZ154</f>
        <v>308.69600000000003</v>
      </c>
      <c r="CB154" s="2465"/>
      <c r="CC154" s="2464">
        <f>IF(((BZ154+CC66-CC74-CC85-CC133*$CU$154-CC122*$CU154)&lt;0),0,(BZ154+CC66-CC74-CC85-CC133*$CU$154-CC122*$CU154))</f>
        <v>258.69600000000003</v>
      </c>
      <c r="CD154" s="2465">
        <f>IF(((CC154+CD66-CD74-CD85-CD133*$CU$154-CD122*$CU154)&lt;0),0,(CC154+CD66-CD74-CD85-CD133*$CU$154-CD122*$CU154))</f>
        <v>208.69600000000003</v>
      </c>
      <c r="CE154" s="2465">
        <f>IF(((CD154+CE66-CE74-CE85-CE133*$CU$154-CE122*$CU154)&lt;0),0,(CD154+CE66-CE74-CE85-CE133*$CU$154-CE122*$CU154))</f>
        <v>158.69600000000003</v>
      </c>
      <c r="CF154" s="2465">
        <f>IF(((CE154+CF66-CF74-CF85-CF133*$CU$154-CF122*$CU154)&lt;0),0,(CE154+CF66-CF74-CF85-CF133*$CU$154-CF122*$CU154))</f>
        <v>108.69600000000003</v>
      </c>
      <c r="CG154" s="2466">
        <f t="shared" ref="CG154" si="475">CF154</f>
        <v>108.69600000000003</v>
      </c>
      <c r="CH154" s="2465"/>
      <c r="CI154" s="2464">
        <f>IF(((CF154+CI66-CI74-CI85-CI133*$CU$154-CI122*$CU154)&lt;0),0,(CF154+CI66-CI74-CI85-CI133*$CU$154-CI122*$CU154))</f>
        <v>58.696000000000026</v>
      </c>
      <c r="CJ154" s="2465">
        <f>IF(((CI154+CJ66-CJ74-CJ85-CJ133*$CU$154-CJ122*$CU154)&lt;0),0,(CI154+CJ66-CJ74-CJ85-CJ133*$CU$154-CJ122*$CU154))</f>
        <v>8.6960000000000264</v>
      </c>
      <c r="CK154" s="2465">
        <f>IF(((CJ154+CK$66-CK$74-CK$85-CK$133*CU154-CK$122*CU154)&lt;0),0,(CJ154+CK66-CK$74-CK$85-CK$133*CU$154-CK$122*CU154))</f>
        <v>0</v>
      </c>
      <c r="CL154" s="2465">
        <f>IF(((CK154+CL66-CL74-CL85-CL133*$CU$154-CL122*$CU154)&lt;0),0,(CK154+CL66-CL74-CL85-CL133*$CU$154-CL122*$CU154))</f>
        <v>0</v>
      </c>
      <c r="CM154" s="2466">
        <f t="shared" ref="CM154" si="476">CL154</f>
        <v>0</v>
      </c>
      <c r="CN154" s="2465"/>
      <c r="CO154" s="2464">
        <f>IF(((CL154+CO66-CO74-CO85-CO133*$CU$154-CO122*$CU154)&lt;0),0,(CL154+CO66-CO74-CO85-CO133*$CU$154-CO122*$CU154))</f>
        <v>0</v>
      </c>
      <c r="CP154" s="2465">
        <f>IF(((CO154+CP66-CP74-CP85-CP133*$CU$154-CP122*$CU154)&lt;0),0,(CO154+CP66-CP74-CP85-CP133*$CU$154-CP122*$CU154))</f>
        <v>0</v>
      </c>
      <c r="CQ154" s="2465">
        <f>IF(((CP154+CQ66-CQ74-CQ85-CQ133*$CU$154-CQ122*$CU154)&lt;0),0,(CP154+CQ66-CQ74-CQ85-CQ133*$CU$154-CQ122*$CU154))</f>
        <v>0</v>
      </c>
      <c r="CR154" s="2465">
        <f>IF(((CQ154+CR66-CR74-CR85-CR133*$CU$154-CR122*$CU154)&lt;0),0,(CQ154+CR66-CR74-CR85-CR133*$CU$154-CR122*$CU154))</f>
        <v>0</v>
      </c>
      <c r="CS154" s="2466">
        <f t="shared" ref="CS154" si="477">CR154</f>
        <v>0</v>
      </c>
      <c r="CT154" s="2467"/>
      <c r="CU154" s="2468">
        <v>1</v>
      </c>
      <c r="CV154" s="205"/>
      <c r="CW154" s="205"/>
      <c r="CX154" s="205"/>
      <c r="CY154" s="205"/>
      <c r="CZ154" s="205"/>
      <c r="DA154" s="205"/>
      <c r="DB154" s="205"/>
      <c r="DC154" s="205"/>
      <c r="DD154" s="205"/>
      <c r="DE154" s="205"/>
      <c r="DF154" s="205"/>
      <c r="DG154" s="205"/>
      <c r="DH154" s="205"/>
      <c r="DI154" s="205"/>
      <c r="DJ154" s="205"/>
      <c r="DK154" s="205"/>
      <c r="DL154" s="205"/>
      <c r="DM154" s="205"/>
      <c r="DN154" s="205"/>
      <c r="DO154" s="205"/>
      <c r="DP154" s="205"/>
      <c r="DQ154" s="205"/>
      <c r="DR154" s="205"/>
      <c r="DS154" s="205"/>
      <c r="DT154" s="205"/>
    </row>
    <row r="155" spans="1:126" ht="12.75" hidden="1" customHeight="1" outlineLevel="1">
      <c r="A155" s="1028" t="s">
        <v>220</v>
      </c>
      <c r="B155" s="205"/>
      <c r="C155" s="760"/>
      <c r="D155" s="740"/>
      <c r="E155" s="740"/>
      <c r="F155" s="740"/>
      <c r="G155" s="739"/>
      <c r="H155" s="740"/>
      <c r="I155" s="760"/>
      <c r="J155" s="740"/>
      <c r="K155" s="740"/>
      <c r="L155" s="740"/>
      <c r="M155" s="739"/>
      <c r="N155" s="740"/>
      <c r="O155" s="760"/>
      <c r="P155" s="740"/>
      <c r="Q155" s="740"/>
      <c r="R155" s="740"/>
      <c r="S155" s="739"/>
      <c r="T155" s="740"/>
      <c r="U155" s="760"/>
      <c r="V155" s="740"/>
      <c r="W155" s="740"/>
      <c r="X155" s="740"/>
      <c r="Y155" s="739"/>
      <c r="Z155" s="740"/>
      <c r="AA155" s="760"/>
      <c r="AB155" s="740"/>
      <c r="AC155" s="740"/>
      <c r="AD155" s="740"/>
      <c r="AE155" s="739"/>
      <c r="AF155" s="740"/>
      <c r="AG155" s="760">
        <f>AVERAGE(AG154,AD154)</f>
        <v>0</v>
      </c>
      <c r="AH155" s="740">
        <f>AVERAGE(AG154:AH154)</f>
        <v>0</v>
      </c>
      <c r="AI155" s="740">
        <f>AVERAGE(AH154:AI154)</f>
        <v>1</v>
      </c>
      <c r="AJ155" s="740">
        <f>AVERAGE(AI154:AJ154)</f>
        <v>73</v>
      </c>
      <c r="AK155" s="739">
        <f>AVERAGE(AG155:AJ155)</f>
        <v>18.5</v>
      </c>
      <c r="AL155" s="740"/>
      <c r="AM155" s="760">
        <f>AVERAGE(AM154,AJ154)</f>
        <v>236</v>
      </c>
      <c r="AN155" s="740">
        <f>AVERAGE(AM154:AN154)</f>
        <v>413.5</v>
      </c>
      <c r="AO155" s="740">
        <f>AVERAGE(AN154:AO154)</f>
        <v>549</v>
      </c>
      <c r="AP155" s="740">
        <f>AVERAGE(AO154:AP154)</f>
        <v>634</v>
      </c>
      <c r="AQ155" s="739">
        <f>AVERAGE(AM155:AP155)</f>
        <v>458.125</v>
      </c>
      <c r="AR155" s="740"/>
      <c r="AS155" s="1432">
        <f>AVERAGE(AS154,AP154)</f>
        <v>704.5</v>
      </c>
      <c r="AT155" s="740">
        <f>AVERAGE(AS154:AT154)</f>
        <v>772.5</v>
      </c>
      <c r="AU155" s="740">
        <f>AVERAGE(AT154:AU154)</f>
        <v>837.5</v>
      </c>
      <c r="AV155" s="1611">
        <f>AVERAGE(AU154:AV154)</f>
        <v>904</v>
      </c>
      <c r="AW155" s="1610">
        <f t="shared" ref="AW155:AW161" si="478">AVERAGE(AS155:AV155)</f>
        <v>804.625</v>
      </c>
      <c r="AX155" s="1611"/>
      <c r="AY155" s="1432">
        <f>AVERAGE(AY154,AV154)</f>
        <v>936.35450000000003</v>
      </c>
      <c r="AZ155" s="1611">
        <f>AVERAGE(AY154:AZ154)</f>
        <v>928.92200000000003</v>
      </c>
      <c r="BA155" s="1611">
        <f>AVERAGE(AZ154:BA154)</f>
        <v>913.28600000000006</v>
      </c>
      <c r="BB155" s="1611">
        <f>AVERAGE(BA154:BB154)</f>
        <v>904.21600000000001</v>
      </c>
      <c r="BC155" s="1610">
        <f>AVERAGE(AY155:BB155)</f>
        <v>920.69462499999997</v>
      </c>
      <c r="BD155" s="1611"/>
      <c r="BE155" s="1432">
        <f>AVERAGE(BE154,BB154)</f>
        <v>882.995</v>
      </c>
      <c r="BF155" s="1611">
        <f>AVERAGE(BE154:BF154)</f>
        <v>848.495</v>
      </c>
      <c r="BG155" s="1611">
        <f>AVERAGE(BF154:BG154)</f>
        <v>818.995</v>
      </c>
      <c r="BH155" s="1611">
        <f>AVERAGE(BG154:BH154)</f>
        <v>768.86300000000006</v>
      </c>
      <c r="BI155" s="1610">
        <f>AVERAGE(BE155:BH155)</f>
        <v>829.83699999999999</v>
      </c>
      <c r="BJ155" s="1611"/>
      <c r="BK155" s="1432">
        <f>AVERAGE(BK154,BH154)</f>
        <v>727.21350000000007</v>
      </c>
      <c r="BL155" s="1611">
        <f>AVERAGE(BK154:BL154)</f>
        <v>711.19600000000003</v>
      </c>
      <c r="BM155" s="1611">
        <f>AVERAGE(BL154:BM154)</f>
        <v>699.69600000000003</v>
      </c>
      <c r="BN155" s="1611">
        <f>AVERAGE(BM154:BN154)</f>
        <v>690.69600000000003</v>
      </c>
      <c r="BO155" s="1610">
        <f>AVERAGE(BK155:BN155)</f>
        <v>707.20037500000001</v>
      </c>
      <c r="BP155" s="1611"/>
      <c r="BQ155" s="1432">
        <f>AVERAGE(BQ154,BN154)</f>
        <v>681.19600000000003</v>
      </c>
      <c r="BR155" s="1611">
        <f>AVERAGE(BQ154:BR154)</f>
        <v>661.69600000000003</v>
      </c>
      <c r="BS155" s="1611">
        <f>AVERAGE(BR154:BS154)</f>
        <v>617.19600000000003</v>
      </c>
      <c r="BT155" s="1611">
        <f>AVERAGE(BS154:BT154)</f>
        <v>558.19600000000003</v>
      </c>
      <c r="BU155" s="1610">
        <f>AVERAGE(BQ155:BT155)</f>
        <v>629.57100000000003</v>
      </c>
      <c r="BV155" s="1611"/>
      <c r="BW155" s="1432">
        <f>AVERAGE(BW154,BT154)</f>
        <v>501.19600000000003</v>
      </c>
      <c r="BX155" s="1611">
        <f>AVERAGE(BW154:BX154)</f>
        <v>446.19600000000003</v>
      </c>
      <c r="BY155" s="1611">
        <f>AVERAGE(BX154:BY154)</f>
        <v>391.19600000000003</v>
      </c>
      <c r="BZ155" s="1611">
        <f>AVERAGE(BY154:BZ154)</f>
        <v>336.19600000000003</v>
      </c>
      <c r="CA155" s="1610">
        <f>AVERAGE(BW155:BZ155)</f>
        <v>418.69600000000003</v>
      </c>
      <c r="CB155" s="1611"/>
      <c r="CC155" s="1432">
        <f>AVERAGE(CC154,BZ154)</f>
        <v>283.69600000000003</v>
      </c>
      <c r="CD155" s="1611">
        <f>AVERAGE(CC154:CD154)</f>
        <v>233.69600000000003</v>
      </c>
      <c r="CE155" s="1611">
        <f>AVERAGE(CD154:CE154)</f>
        <v>183.69600000000003</v>
      </c>
      <c r="CF155" s="1611">
        <f>AVERAGE(CE154:CF154)</f>
        <v>133.69600000000003</v>
      </c>
      <c r="CG155" s="1610">
        <f>AVERAGE(CC155:CF155)</f>
        <v>208.69600000000003</v>
      </c>
      <c r="CH155" s="1611"/>
      <c r="CI155" s="1432">
        <f>AVERAGE(CI154,CF154)</f>
        <v>83.696000000000026</v>
      </c>
      <c r="CJ155" s="1611">
        <f>AVERAGE(CI154:CJ154)</f>
        <v>33.696000000000026</v>
      </c>
      <c r="CK155" s="1611">
        <f>AVERAGE(CJ154:CK154)</f>
        <v>4.3480000000000132</v>
      </c>
      <c r="CL155" s="1611">
        <f>AVERAGE(CK154:CL154)</f>
        <v>0</v>
      </c>
      <c r="CM155" s="1610">
        <f>AVERAGE(CI155:CL155)</f>
        <v>30.435000000000016</v>
      </c>
      <c r="CN155" s="1611"/>
      <c r="CO155" s="1432">
        <f>AVERAGE(CO154,CL154)</f>
        <v>0</v>
      </c>
      <c r="CP155" s="1611">
        <f>AVERAGE(CO154:CP154)</f>
        <v>0</v>
      </c>
      <c r="CQ155" s="1611">
        <f>AVERAGE(CP154:CQ154)</f>
        <v>0</v>
      </c>
      <c r="CR155" s="1611">
        <f>AVERAGE(CQ154:CR154)</f>
        <v>0</v>
      </c>
      <c r="CS155" s="1610">
        <f>AVERAGE(CO155:CR155)</f>
        <v>0</v>
      </c>
      <c r="CT155" s="205"/>
      <c r="CU155" s="740"/>
      <c r="CV155" s="205"/>
      <c r="CW155" s="205"/>
      <c r="CX155" s="205"/>
      <c r="CY155" s="1821"/>
      <c r="CZ155" s="1821"/>
      <c r="DA155" s="1821"/>
      <c r="DB155" s="1821"/>
      <c r="DC155" s="1821"/>
      <c r="DD155" s="1821"/>
      <c r="DE155" s="1821"/>
      <c r="DF155" s="1821"/>
      <c r="DG155" s="1821"/>
      <c r="DH155" s="1821"/>
      <c r="DI155" s="1821"/>
      <c r="DJ155" s="1821"/>
      <c r="DK155" s="1821"/>
      <c r="DL155" s="1821"/>
      <c r="DM155" s="1821"/>
      <c r="DN155" s="1821"/>
      <c r="DO155" s="1821"/>
      <c r="DP155" s="1821"/>
      <c r="DQ155" s="1822"/>
      <c r="DR155" s="1821"/>
      <c r="DS155" s="1821"/>
      <c r="DT155" s="1821"/>
      <c r="DU155" s="1821"/>
      <c r="DV155" s="1821"/>
    </row>
    <row r="156" spans="1:126" collapsed="1">
      <c r="A156" s="1590" t="s">
        <v>520</v>
      </c>
      <c r="B156" s="205"/>
      <c r="C156" s="760"/>
      <c r="D156" s="740"/>
      <c r="E156" s="740"/>
      <c r="F156" s="740"/>
      <c r="G156" s="739"/>
      <c r="H156" s="740"/>
      <c r="I156" s="760"/>
      <c r="J156" s="740"/>
      <c r="K156" s="740"/>
      <c r="L156" s="740"/>
      <c r="M156" s="739"/>
      <c r="N156" s="740"/>
      <c r="O156" s="760"/>
      <c r="P156" s="740"/>
      <c r="Q156" s="740"/>
      <c r="R156" s="740"/>
      <c r="S156" s="739"/>
      <c r="T156" s="740"/>
      <c r="U156" s="760"/>
      <c r="V156" s="740"/>
      <c r="W156" s="740"/>
      <c r="X156" s="740"/>
      <c r="Y156" s="739"/>
      <c r="Z156" s="740"/>
      <c r="AA156" s="760"/>
      <c r="AB156" s="740"/>
      <c r="AC156" s="740"/>
      <c r="AD156" s="740"/>
      <c r="AE156" s="739"/>
      <c r="AF156" s="740"/>
      <c r="AG156" s="760"/>
      <c r="AH156" s="740"/>
      <c r="AI156" s="740"/>
      <c r="AJ156" s="740"/>
      <c r="AK156" s="739"/>
      <c r="AL156" s="740"/>
      <c r="AM156" s="760"/>
      <c r="AN156" s="740"/>
      <c r="AO156" s="740"/>
      <c r="AP156" s="740"/>
      <c r="AQ156" s="739"/>
      <c r="AR156" s="740"/>
      <c r="AS156" s="1432"/>
      <c r="AT156" s="740"/>
      <c r="AU156" s="740"/>
      <c r="AV156" s="1611">
        <v>0</v>
      </c>
      <c r="AW156" s="1610">
        <f t="shared" si="478"/>
        <v>0</v>
      </c>
      <c r="AX156" s="1611"/>
      <c r="AY156" s="1432">
        <f>AW156+AY81-AY93</f>
        <v>16.876000000000001</v>
      </c>
      <c r="AZ156" s="1611">
        <f>AY156+AZ81-AZ93</f>
        <v>40.891887218045113</v>
      </c>
      <c r="BA156" s="1611">
        <f>AZ156+BA81-BA93</f>
        <v>67.341135338345865</v>
      </c>
      <c r="BB156" s="1679">
        <f>BA156+BB81-BB93</f>
        <v>79.217135338345869</v>
      </c>
      <c r="BC156" s="1610">
        <f>BB156</f>
        <v>79.217135338345869</v>
      </c>
      <c r="BD156" s="1611"/>
      <c r="BE156" s="1432">
        <f>BB156+BE81-BE93</f>
        <v>93.17299548872181</v>
      </c>
      <c r="BF156" s="1611">
        <f>BE156+BF81-BF93</f>
        <v>100.18765563909776</v>
      </c>
      <c r="BG156" s="1611">
        <f>BF156+BG81-BG93</f>
        <v>102.22105563909776</v>
      </c>
      <c r="BH156" s="1679">
        <f>BG156+BH81-BH93</f>
        <v>102.15905563909776</v>
      </c>
      <c r="BI156" s="1610">
        <f>BH156</f>
        <v>102.15905563909776</v>
      </c>
      <c r="BJ156" s="1611"/>
      <c r="BK156" s="1432">
        <f>BI156+BK81-BK93</f>
        <v>102.15905563909776</v>
      </c>
      <c r="BL156" s="1611">
        <f>BK156+BL81-BL93</f>
        <v>102.15905563909776</v>
      </c>
      <c r="BM156" s="1611">
        <f>BL156+BM81-BM93</f>
        <v>102.15905563909776</v>
      </c>
      <c r="BN156" s="1679">
        <f>BM156+BN81-BN93</f>
        <v>99.159055639097758</v>
      </c>
      <c r="BO156" s="1610">
        <f>BN156</f>
        <v>99.159055639097758</v>
      </c>
      <c r="BP156" s="1611"/>
      <c r="BQ156" s="1432">
        <f>BN156+BQ81-BQ93</f>
        <v>99.159055639097758</v>
      </c>
      <c r="BR156" s="1611">
        <f>BQ156+BR81-BR93</f>
        <v>99.159055639097758</v>
      </c>
      <c r="BS156" s="1611">
        <f>BR156+BS81-BS93</f>
        <v>99.159055639097758</v>
      </c>
      <c r="BT156" s="1679">
        <f>BS156+BT81-BT93</f>
        <v>99.159055639097758</v>
      </c>
      <c r="BU156" s="1610">
        <f>BT156</f>
        <v>99.159055639097758</v>
      </c>
      <c r="BV156" s="1611"/>
      <c r="BW156" s="2464">
        <f>IF(OR(BW152=0,BW154=0),BT156-BW122*$CU$156-BW133*$CU$156,BT156)</f>
        <v>99.159055639097758</v>
      </c>
      <c r="BX156" s="2465">
        <f>IF(OR(BX152=0,BX154=0),BW156-BX122*$CU$156-BX133*$CU$156,BW156)</f>
        <v>99.159055639097758</v>
      </c>
      <c r="BY156" s="2465">
        <f>IF(OR(BY152=0,BY154=0),BX156-BY122*$CU$156-BY133*$CU$156,BX156)</f>
        <v>99.159055639097758</v>
      </c>
      <c r="BZ156" s="2470">
        <f>IF(OR(BZ152=0,BZ154=0),BY156-BZ122*$CU$156-BZ133*$CU$156,BY156)</f>
        <v>99.159055639097758</v>
      </c>
      <c r="CA156" s="2466">
        <f>BZ156</f>
        <v>99.159055639097758</v>
      </c>
      <c r="CB156" s="2465"/>
      <c r="CC156" s="2464">
        <f>IF(OR(CC152=0,CC154=0),BZ156-CC122*$CU$156-CC133*$CU$156,BZ156)</f>
        <v>99.159055639097758</v>
      </c>
      <c r="CD156" s="2465">
        <f>IF(OR(CD152=0,CD154=0),CC156-CD122*$CU$156-CD133*$CU$156,CC156)</f>
        <v>99.159055639097758</v>
      </c>
      <c r="CE156" s="2465">
        <f>IF(OR(CE152=0,CE154=0),CD156-CE122*$CU$156-CE133*$CU$156,CD156)</f>
        <v>99.159055639097758</v>
      </c>
      <c r="CF156" s="2470">
        <f>IF(OR(CF152=0,CF154=0),CE156-CF122*$CU$156-CF133*$CU$156,CE156)</f>
        <v>99.159055639097758</v>
      </c>
      <c r="CG156" s="2466">
        <f>CF156</f>
        <v>99.159055639097758</v>
      </c>
      <c r="CH156" s="2465"/>
      <c r="CI156" s="2464">
        <f>IF(OR(CI152=0,CI154=0),CF156-CI122*$CU$156-CI133*$CU$156,CF156)</f>
        <v>99.159055639097758</v>
      </c>
      <c r="CJ156" s="2465">
        <f>IF(((CI156+CJ$66-CJ$74-CJ$85-CJ$133*$CU$156-CJ$122*$CU$156)&lt;0),0,(CI156+CJ68-CJ$74-CJ$85-CJ$133*$CU$156-CJ$122*$CU156))</f>
        <v>49.159055639097758</v>
      </c>
      <c r="CK156" s="2465">
        <f>IF(((CJ156+CK$66-CK$74-CK$85-CK$133*$CU$156-CK$122*$CU$156)&lt;0),0,(CJ156+CK68-CK$74-CK$85-CK$133*$CU$156-CK$122*$CU156))</f>
        <v>0</v>
      </c>
      <c r="CL156" s="2470">
        <f>IF(((CK156+CL$66-CL$74-CL$85-CL$133*CV156-CL$122*CV156)&lt;0),0,(CK156+CL68-CL$74-CL$85-CL$133*CV$156-CL$122*CV156))</f>
        <v>0</v>
      </c>
      <c r="CM156" s="2466">
        <f>CL156</f>
        <v>0</v>
      </c>
      <c r="CN156" s="2465"/>
      <c r="CO156" s="2464">
        <f>IF(((CL156+CO$66-CO$74-CO$85-CO$133*CY156-CO$122*CY156)&lt;0),0,(CL156+CO68-CO$74-CO$85-CO$133*CY$156-CO$122*CY156))</f>
        <v>0</v>
      </c>
      <c r="CP156" s="2465">
        <f>IF(((CO156+CP$66-CP$74-CP$85-CP$133*$CU$156-CP$122*$CU$156)&lt;0),0,(CO156+CP68-CP$74-CP$85-CP$133*$CU$156-CP$122*$CU156))</f>
        <v>0</v>
      </c>
      <c r="CQ156" s="2465">
        <f>IF(((CP156+CQ$66-CQ$74-CQ$85-CQ$133*$CU$156-CQ$122*$CU$156)&lt;0),0,(CP156+CQ68-CQ$74-CQ$85-CQ$133*$CU$156-CQ$122*$CU156))</f>
        <v>0</v>
      </c>
      <c r="CR156" s="2465">
        <f>IF(((CQ156+CR$66-CR$74-CR$85-CR$133*$CU$156-CR$122*$CU$156)&lt;0),0,(CQ156+CR68-CR$74-CR$85-CR$133*$CU$156-CR$122*$CU156))</f>
        <v>0</v>
      </c>
      <c r="CS156" s="2466">
        <f>CR156</f>
        <v>0</v>
      </c>
      <c r="CT156" s="2467"/>
      <c r="CU156" s="2468">
        <v>1</v>
      </c>
      <c r="CV156" s="205"/>
      <c r="CW156" s="205"/>
      <c r="CX156" s="205"/>
      <c r="CY156" s="205"/>
      <c r="CZ156" s="205"/>
      <c r="DA156" s="205"/>
      <c r="DB156" s="205"/>
      <c r="DC156" s="205"/>
      <c r="DD156" s="205"/>
      <c r="DE156" s="205"/>
      <c r="DF156" s="205"/>
      <c r="DG156" s="205"/>
      <c r="DH156" s="205"/>
      <c r="DI156" s="205"/>
      <c r="DJ156" s="205"/>
      <c r="DK156" s="205"/>
      <c r="DL156" s="205"/>
      <c r="DM156" s="205"/>
      <c r="DN156" s="205"/>
      <c r="DO156" s="205"/>
      <c r="DP156" s="205"/>
      <c r="DQ156" s="205"/>
      <c r="DR156" s="205"/>
      <c r="DS156" s="205"/>
      <c r="DT156" s="205"/>
    </row>
    <row r="157" spans="1:126" ht="12.75" hidden="1" customHeight="1" outlineLevel="1">
      <c r="A157" s="1028" t="s">
        <v>220</v>
      </c>
      <c r="B157" s="205"/>
      <c r="C157" s="760"/>
      <c r="D157" s="740"/>
      <c r="E157" s="740"/>
      <c r="F157" s="740"/>
      <c r="G157" s="739"/>
      <c r="H157" s="740"/>
      <c r="I157" s="760"/>
      <c r="J157" s="740"/>
      <c r="K157" s="740"/>
      <c r="L157" s="740"/>
      <c r="M157" s="739"/>
      <c r="N157" s="740"/>
      <c r="O157" s="760"/>
      <c r="P157" s="740"/>
      <c r="Q157" s="740"/>
      <c r="R157" s="740"/>
      <c r="S157" s="739"/>
      <c r="T157" s="740"/>
      <c r="U157" s="760"/>
      <c r="V157" s="740"/>
      <c r="W157" s="740"/>
      <c r="X157" s="740"/>
      <c r="Y157" s="739"/>
      <c r="Z157" s="740"/>
      <c r="AA157" s="760"/>
      <c r="AB157" s="740"/>
      <c r="AC157" s="740"/>
      <c r="AD157" s="740"/>
      <c r="AE157" s="739"/>
      <c r="AF157" s="740"/>
      <c r="AG157" s="760"/>
      <c r="AH157" s="740"/>
      <c r="AI157" s="740"/>
      <c r="AJ157" s="740"/>
      <c r="AK157" s="739"/>
      <c r="AL157" s="740"/>
      <c r="AM157" s="760"/>
      <c r="AN157" s="740"/>
      <c r="AO157" s="740"/>
      <c r="AP157" s="740"/>
      <c r="AQ157" s="739"/>
      <c r="AR157" s="740"/>
      <c r="AS157" s="1432"/>
      <c r="AT157" s="740"/>
      <c r="AU157" s="740"/>
      <c r="AV157" s="1611">
        <v>0</v>
      </c>
      <c r="AW157" s="1610">
        <f t="shared" si="478"/>
        <v>0</v>
      </c>
      <c r="AX157" s="1611"/>
      <c r="AY157" s="1432">
        <f>AVERAGE(AY156,AV156)</f>
        <v>8.4380000000000006</v>
      </c>
      <c r="AZ157" s="1611">
        <f>AVERAGE(AY156:AZ156)</f>
        <v>28.883943609022559</v>
      </c>
      <c r="BA157" s="1611">
        <f>AVERAGE(AZ156:BA156)</f>
        <v>54.116511278195489</v>
      </c>
      <c r="BB157" s="1611">
        <f>AVERAGE(BA156:BB156)</f>
        <v>73.279135338345867</v>
      </c>
      <c r="BC157" s="1610">
        <f>AVERAGE(AY157:BB157)</f>
        <v>41.179397556390981</v>
      </c>
      <c r="BD157" s="1611"/>
      <c r="BE157" s="1432">
        <f>AVERAGE(BE156,BB156)</f>
        <v>86.19506541353384</v>
      </c>
      <c r="BF157" s="1611">
        <f>AVERAGE(BE156:BF156)</f>
        <v>96.680325563909776</v>
      </c>
      <c r="BG157" s="1611">
        <f>AVERAGE(BF156:BG156)</f>
        <v>101.20435563909776</v>
      </c>
      <c r="BH157" s="1611">
        <f>AVERAGE(BG156:BH156)</f>
        <v>102.19005563909775</v>
      </c>
      <c r="BI157" s="1610">
        <f>AVERAGE(BE157:BH157)</f>
        <v>96.567450563909773</v>
      </c>
      <c r="BJ157" s="1611"/>
      <c r="BK157" s="1432">
        <f>AVERAGE(BK156,BH156)</f>
        <v>102.15905563909776</v>
      </c>
      <c r="BL157" s="1611">
        <f>AVERAGE(BK156:BL156)</f>
        <v>102.15905563909776</v>
      </c>
      <c r="BM157" s="1611">
        <f>AVERAGE(BL156:BM156)</f>
        <v>102.15905563909776</v>
      </c>
      <c r="BN157" s="1611">
        <f>AVERAGE(BM156:BN156)</f>
        <v>100.65905563909776</v>
      </c>
      <c r="BO157" s="1610">
        <f>AVERAGE(BK157:BN157)</f>
        <v>101.78405563909776</v>
      </c>
      <c r="BP157" s="1611"/>
      <c r="BQ157" s="1432">
        <f>AVERAGE(BQ156,BN156)</f>
        <v>99.159055639097758</v>
      </c>
      <c r="BR157" s="1611">
        <f>AVERAGE(BQ156:BR156)</f>
        <v>99.159055639097758</v>
      </c>
      <c r="BS157" s="1611">
        <f>AVERAGE(BR156:BS156)</f>
        <v>99.159055639097758</v>
      </c>
      <c r="BT157" s="1611">
        <f>AVERAGE(BS156:BT156)</f>
        <v>99.159055639097758</v>
      </c>
      <c r="BU157" s="1610">
        <f>AVERAGE(BQ157:BT157)</f>
        <v>99.159055639097758</v>
      </c>
      <c r="BV157" s="1611"/>
      <c r="BW157" s="1432">
        <f>AVERAGE(BW156,BT156)</f>
        <v>99.159055639097758</v>
      </c>
      <c r="BX157" s="1611">
        <f>AVERAGE(BW156:BX156)</f>
        <v>99.159055639097758</v>
      </c>
      <c r="BY157" s="1611">
        <f>AVERAGE(BX156:BY156)</f>
        <v>99.159055639097758</v>
      </c>
      <c r="BZ157" s="1611">
        <f>AVERAGE(BY156:BZ156)</f>
        <v>99.159055639097758</v>
      </c>
      <c r="CA157" s="1610">
        <f>AVERAGE(BW157:BZ157)</f>
        <v>99.159055639097758</v>
      </c>
      <c r="CB157" s="1611"/>
      <c r="CC157" s="1432">
        <f>AVERAGE(CC156,BZ156)</f>
        <v>99.159055639097758</v>
      </c>
      <c r="CD157" s="1611">
        <f>AVERAGE(CC156:CD156)</f>
        <v>99.159055639097758</v>
      </c>
      <c r="CE157" s="1611">
        <f>AVERAGE(CD156:CE156)</f>
        <v>99.159055639097758</v>
      </c>
      <c r="CF157" s="1611">
        <f>AVERAGE(CE156:CF156)</f>
        <v>99.159055639097758</v>
      </c>
      <c r="CG157" s="1610">
        <f>AVERAGE(CC157:CF157)</f>
        <v>99.159055639097758</v>
      </c>
      <c r="CH157" s="1611"/>
      <c r="CI157" s="1432">
        <f>AVERAGE(CI156,CF156)</f>
        <v>99.159055639097758</v>
      </c>
      <c r="CJ157" s="1611">
        <f>AVERAGE(CI156:CJ156)</f>
        <v>74.159055639097758</v>
      </c>
      <c r="CK157" s="1611">
        <f>AVERAGE(CJ156:CK156)</f>
        <v>24.579527819548879</v>
      </c>
      <c r="CL157" s="1611">
        <f>AVERAGE(CK156:CL156)</f>
        <v>0</v>
      </c>
      <c r="CM157" s="1610">
        <f>AVERAGE(CI157:CL157)</f>
        <v>49.474409774436097</v>
      </c>
      <c r="CN157" s="1611"/>
      <c r="CO157" s="1432">
        <f>AVERAGE(CO156,CL156)</f>
        <v>0</v>
      </c>
      <c r="CP157" s="1611">
        <f>AVERAGE(CO156:CP156)</f>
        <v>0</v>
      </c>
      <c r="CQ157" s="1611">
        <f>AVERAGE(CP156:CQ156)</f>
        <v>0</v>
      </c>
      <c r="CR157" s="1611">
        <f>AVERAGE(CQ156:CR156)</f>
        <v>0</v>
      </c>
      <c r="CS157" s="1610">
        <f>AVERAGE(CO157:CR157)</f>
        <v>0</v>
      </c>
      <c r="CT157" s="205"/>
      <c r="CU157" s="740"/>
      <c r="CV157" s="205"/>
      <c r="CW157" s="205"/>
      <c r="CX157" s="205"/>
      <c r="CY157" s="1821"/>
      <c r="CZ157" s="1821"/>
      <c r="DA157" s="1821"/>
      <c r="DB157" s="1821"/>
      <c r="DC157" s="1821"/>
      <c r="DD157" s="1821"/>
      <c r="DE157" s="1821"/>
      <c r="DF157" s="1821"/>
      <c r="DG157" s="1821"/>
      <c r="DH157" s="1821"/>
      <c r="DI157" s="1821"/>
      <c r="DJ157" s="1821"/>
      <c r="DK157" s="1821"/>
      <c r="DL157" s="1821"/>
      <c r="DM157" s="1821"/>
      <c r="DN157" s="1821"/>
      <c r="DO157" s="1821"/>
      <c r="DP157" s="1821"/>
      <c r="DQ157" s="1822"/>
      <c r="DR157" s="1821"/>
      <c r="DS157" s="1821"/>
      <c r="DT157" s="1821"/>
      <c r="DU157" s="1821"/>
      <c r="DV157" s="1821"/>
    </row>
    <row r="158" spans="1:126" collapsed="1">
      <c r="A158" s="1590" t="s">
        <v>521</v>
      </c>
      <c r="B158" s="205"/>
      <c r="C158" s="760"/>
      <c r="D158" s="740"/>
      <c r="E158" s="740"/>
      <c r="F158" s="740"/>
      <c r="G158" s="739"/>
      <c r="H158" s="740"/>
      <c r="I158" s="760"/>
      <c r="J158" s="740"/>
      <c r="K158" s="740"/>
      <c r="L158" s="740"/>
      <c r="M158" s="739"/>
      <c r="N158" s="740"/>
      <c r="O158" s="760"/>
      <c r="P158" s="740"/>
      <c r="Q158" s="740"/>
      <c r="R158" s="740"/>
      <c r="S158" s="739"/>
      <c r="T158" s="740"/>
      <c r="U158" s="760"/>
      <c r="V158" s="740"/>
      <c r="W158" s="740"/>
      <c r="X158" s="740"/>
      <c r="Y158" s="739"/>
      <c r="Z158" s="740"/>
      <c r="AA158" s="760"/>
      <c r="AB158" s="740"/>
      <c r="AC158" s="740"/>
      <c r="AD158" s="740"/>
      <c r="AE158" s="739"/>
      <c r="AF158" s="740"/>
      <c r="AG158" s="760"/>
      <c r="AH158" s="740"/>
      <c r="AI158" s="740"/>
      <c r="AJ158" s="740"/>
      <c r="AK158" s="739"/>
      <c r="AL158" s="740"/>
      <c r="AM158" s="760"/>
      <c r="AN158" s="740"/>
      <c r="AO158" s="740"/>
      <c r="AP158" s="740"/>
      <c r="AQ158" s="739"/>
      <c r="AR158" s="740"/>
      <c r="AS158" s="1432"/>
      <c r="AT158" s="740"/>
      <c r="AU158" s="740"/>
      <c r="AV158" s="1611">
        <v>0</v>
      </c>
      <c r="AW158" s="1610">
        <f t="shared" si="478"/>
        <v>0</v>
      </c>
      <c r="AX158" s="1611"/>
      <c r="AY158" s="1432">
        <f>AW158+AY91</f>
        <v>46.415000000000006</v>
      </c>
      <c r="AZ158" s="1611">
        <f>AY158+AZ91</f>
        <v>101.23700000000001</v>
      </c>
      <c r="BA158" s="1611">
        <f>AZ158+BA91</f>
        <v>151.245</v>
      </c>
      <c r="BB158" s="1679">
        <f>BA158+BB91</f>
        <v>190.81100000000001</v>
      </c>
      <c r="BC158" s="1610">
        <f>BB158</f>
        <v>190.81100000000001</v>
      </c>
      <c r="BD158" s="1611"/>
      <c r="BE158" s="1432">
        <f>BB158+BE91</f>
        <v>220.88900000000001</v>
      </c>
      <c r="BF158" s="1611">
        <f>BE158+BF91</f>
        <v>249.84140000000002</v>
      </c>
      <c r="BG158" s="1611">
        <f>BF158+BG91</f>
        <v>270.88280000000003</v>
      </c>
      <c r="BH158" s="1679">
        <f>BG158+BH91</f>
        <v>297.20880000000005</v>
      </c>
      <c r="BI158" s="1610">
        <f>BH158</f>
        <v>297.20880000000005</v>
      </c>
      <c r="BJ158" s="1611"/>
      <c r="BK158" s="1432">
        <f>BI158+BK91</f>
        <v>304.24380000000008</v>
      </c>
      <c r="BL158" s="1611">
        <f>BK158+BL91</f>
        <v>304.24380000000008</v>
      </c>
      <c r="BM158" s="1611">
        <f>BL158+BM91</f>
        <v>304.24380000000008</v>
      </c>
      <c r="BN158" s="1679">
        <f>BM158+BN91</f>
        <v>307.24380000000008</v>
      </c>
      <c r="BO158" s="1610">
        <f>BN158</f>
        <v>307.24380000000008</v>
      </c>
      <c r="BP158" s="1611"/>
      <c r="BQ158" s="1432">
        <f>BN158+BQ91</f>
        <v>307.24380000000008</v>
      </c>
      <c r="BR158" s="1611">
        <f>BQ158+BR91</f>
        <v>307.24380000000008</v>
      </c>
      <c r="BS158" s="1611">
        <f>BR158+BS91</f>
        <v>307.24380000000008</v>
      </c>
      <c r="BT158" s="1679">
        <f>BS158+BT91</f>
        <v>307.24380000000008</v>
      </c>
      <c r="BU158" s="1610">
        <f>BT158</f>
        <v>307.24380000000008</v>
      </c>
      <c r="BV158" s="1611"/>
      <c r="BW158" s="2464">
        <f>IF(OR(BW152=0,BW154=0),BT158-BW122*$CU$158-BW133*$CU$158,BT158)</f>
        <v>307.24380000000008</v>
      </c>
      <c r="BX158" s="2465">
        <f>IF(OR(BX152=0,BX154=0),BW158-BX122*$CU$158-BX133*$CU$158,BW158)</f>
        <v>307.24380000000008</v>
      </c>
      <c r="BY158" s="2465">
        <f>IF(OR(BY152=0,BY154=0),BX158-BY122*$CU$158-BY133*$CU$158,BX158)</f>
        <v>307.24380000000008</v>
      </c>
      <c r="BZ158" s="2470">
        <f>IF(OR(BZ152=0,BZ154=0),BY158-BZ122*$CU$158-BZ133*$CU$158,BY158)</f>
        <v>307.24380000000008</v>
      </c>
      <c r="CA158" s="2466">
        <f>BZ158</f>
        <v>307.24380000000008</v>
      </c>
      <c r="CB158" s="2465"/>
      <c r="CC158" s="2464">
        <f>IF(OR(CC152=0,CC154=0),BZ158-CC122*$CU$158-CC133*$CU$158,BZ158)</f>
        <v>307.24380000000008</v>
      </c>
      <c r="CD158" s="2465">
        <f>IF(OR(CD152=0,CD154=0),CC158-CD122*$CU$158-CD133*$CU$158,CC158)</f>
        <v>307.24380000000008</v>
      </c>
      <c r="CE158" s="2465">
        <f>IF(OR(CE152=0,CE154=0),CD158-CE122*$CU$158-CE133*$CU$158,CD158)</f>
        <v>307.24380000000008</v>
      </c>
      <c r="CF158" s="2470">
        <f>IF(OR(CF152=0,CF154=0),CE158-CF122*$CU$158-CF133*$CU$158,CE158)</f>
        <v>307.24380000000008</v>
      </c>
      <c r="CG158" s="2466">
        <f>CF158</f>
        <v>307.24380000000008</v>
      </c>
      <c r="CH158" s="2465"/>
      <c r="CI158" s="2464">
        <f>IF(OR(CI152=0,CI154=0),CF158-CI122*$CU$158-CI133*$CU$158,CF158)</f>
        <v>307.24380000000008</v>
      </c>
      <c r="CJ158" s="2465">
        <f>IF(OR(CJ152=0,CJ154=0),CI158-CJ122*$CU$158-CJ133*$CU$158,CI158)</f>
        <v>307.24380000000008</v>
      </c>
      <c r="CK158" s="2465">
        <f>IF(((CJ158+CK$66-CK$74-CK$85-CK$133*$CU$158-CK$122*$CU$158)&lt;0),0,(CJ158+CK66-CK$74-CK$85-CK$133*$CU$158-CK$122*$CU158))</f>
        <v>257.24380000000008</v>
      </c>
      <c r="CL158" s="2470">
        <f>IF(OR(CL152=0,CL154=0),CK158-CL122*$CU$158-CL133*$CU$158,CK158)</f>
        <v>207.24380000000008</v>
      </c>
      <c r="CM158" s="2466">
        <f>CL158</f>
        <v>207.24380000000008</v>
      </c>
      <c r="CN158" s="2465"/>
      <c r="CO158" s="2464">
        <f>IF(((CL158+CO$66-CO$74-CO$85-CO$133*CY158-CO$122*CY158)&lt;0),0,(CL158+CO66-CO$74-CO$85-CO$133*CY$156-CO$122*CY158))</f>
        <v>207.24380000000008</v>
      </c>
      <c r="CP158" s="2465">
        <f>IF(((CO158+CP$66-CP$74-CP$85-CP$133*$CU$156-CP$122*$CU$156)&lt;0),0,(CO158+CP$66-CP$74-CP$85-CP$133*$CU$156-CP$122*$CU158))</f>
        <v>157.24380000000008</v>
      </c>
      <c r="CQ158" s="2465">
        <f t="shared" ref="CQ158:CR158" si="479">IF(((CP158+CQ$66-CQ$74-CQ$85-CQ$133*$CU$156-CQ$122*$CU$156)&lt;0),0,(CP158+CQ$66-CQ$74-CQ$85-CQ$133*$CU$156-CQ$122*$CU158))</f>
        <v>107.24380000000008</v>
      </c>
      <c r="CR158" s="2465">
        <f t="shared" si="479"/>
        <v>57.243800000000078</v>
      </c>
      <c r="CS158" s="2466">
        <f>CR158</f>
        <v>57.243800000000078</v>
      </c>
      <c r="CT158" s="2467"/>
      <c r="CU158" s="2468">
        <v>1</v>
      </c>
      <c r="CV158" s="205"/>
      <c r="CW158" s="205"/>
      <c r="CX158" s="205"/>
      <c r="CY158" s="1821"/>
      <c r="CZ158" s="1821"/>
      <c r="DA158" s="1821"/>
      <c r="DB158" s="1821"/>
      <c r="DC158" s="1821"/>
      <c r="DD158" s="1821"/>
      <c r="DE158" s="1821"/>
      <c r="DF158" s="1821"/>
      <c r="DG158" s="1821"/>
      <c r="DH158" s="1821"/>
      <c r="DI158" s="1821"/>
      <c r="DJ158" s="1821"/>
      <c r="DK158" s="1821"/>
      <c r="DL158" s="1821"/>
      <c r="DM158" s="1821"/>
      <c r="DN158" s="1821"/>
      <c r="DO158" s="1821"/>
      <c r="DP158" s="1821"/>
      <c r="DQ158" s="1822"/>
      <c r="DR158" s="1821"/>
      <c r="DS158" s="1821"/>
      <c r="DT158" s="1821"/>
      <c r="DU158" s="1821"/>
      <c r="DV158" s="1821"/>
    </row>
    <row r="159" spans="1:126" ht="12.75" hidden="1" customHeight="1" outlineLevel="1">
      <c r="A159" s="1028" t="s">
        <v>220</v>
      </c>
      <c r="B159" s="205"/>
      <c r="C159" s="760"/>
      <c r="D159" s="740"/>
      <c r="E159" s="740"/>
      <c r="F159" s="740"/>
      <c r="G159" s="739"/>
      <c r="H159" s="740"/>
      <c r="I159" s="760"/>
      <c r="J159" s="740"/>
      <c r="K159" s="740"/>
      <c r="L159" s="740"/>
      <c r="M159" s="739"/>
      <c r="N159" s="740"/>
      <c r="O159" s="760"/>
      <c r="P159" s="740"/>
      <c r="Q159" s="740"/>
      <c r="R159" s="740"/>
      <c r="S159" s="739"/>
      <c r="T159" s="740"/>
      <c r="U159" s="760"/>
      <c r="V159" s="740"/>
      <c r="W159" s="740"/>
      <c r="X159" s="740"/>
      <c r="Y159" s="739"/>
      <c r="Z159" s="740"/>
      <c r="AA159" s="760"/>
      <c r="AB159" s="740"/>
      <c r="AC159" s="740"/>
      <c r="AD159" s="740"/>
      <c r="AE159" s="739"/>
      <c r="AF159" s="740"/>
      <c r="AG159" s="760"/>
      <c r="AH159" s="740"/>
      <c r="AI159" s="740"/>
      <c r="AJ159" s="740"/>
      <c r="AK159" s="739"/>
      <c r="AL159" s="740"/>
      <c r="AM159" s="760"/>
      <c r="AN159" s="740"/>
      <c r="AO159" s="740"/>
      <c r="AP159" s="740"/>
      <c r="AQ159" s="739"/>
      <c r="AR159" s="740"/>
      <c r="AS159" s="1432"/>
      <c r="AT159" s="740"/>
      <c r="AU159" s="740"/>
      <c r="AV159" s="1611">
        <v>0</v>
      </c>
      <c r="AW159" s="1610">
        <f t="shared" si="478"/>
        <v>0</v>
      </c>
      <c r="AX159" s="1611"/>
      <c r="AY159" s="1432">
        <f>AVERAGE(AY158,AV158)</f>
        <v>23.207500000000003</v>
      </c>
      <c r="AZ159" s="1611">
        <f>AVERAGE(AY158:AZ158)</f>
        <v>73.826000000000008</v>
      </c>
      <c r="BA159" s="1611">
        <f>AVERAGE(AZ158:BA158)</f>
        <v>126.24100000000001</v>
      </c>
      <c r="BB159" s="1679">
        <f>AVERAGE(BA158:BB158)</f>
        <v>171.02800000000002</v>
      </c>
      <c r="BC159" s="1610">
        <f>AVERAGE(AY159:BB159)</f>
        <v>98.575625000000002</v>
      </c>
      <c r="BD159" s="1611"/>
      <c r="BE159" s="1432">
        <f>AVERAGE(BE158,BB158)</f>
        <v>205.85000000000002</v>
      </c>
      <c r="BF159" s="1611">
        <f>AVERAGE(BE158:BF158)</f>
        <v>235.36520000000002</v>
      </c>
      <c r="BG159" s="1611">
        <f>AVERAGE(BF158:BG158)</f>
        <v>260.36210000000005</v>
      </c>
      <c r="BH159" s="1679">
        <f>AVERAGE(BG158:BH158)</f>
        <v>284.04580000000004</v>
      </c>
      <c r="BI159" s="1610">
        <f>AVERAGE(BE159:BH159)</f>
        <v>246.40577500000006</v>
      </c>
      <c r="BJ159" s="1611"/>
      <c r="BK159" s="1432">
        <f>AVERAGE(BK158,BH158)</f>
        <v>300.72630000000004</v>
      </c>
      <c r="BL159" s="1611">
        <f>AVERAGE(BK158:BL158)</f>
        <v>304.24380000000008</v>
      </c>
      <c r="BM159" s="1611">
        <f>AVERAGE(BL158:BM158)</f>
        <v>304.24380000000008</v>
      </c>
      <c r="BN159" s="1679">
        <f>AVERAGE(BM158:BN158)</f>
        <v>305.74380000000008</v>
      </c>
      <c r="BO159" s="1610">
        <f>AVERAGE(BK159:BN159)</f>
        <v>303.7394250000001</v>
      </c>
      <c r="BP159" s="1611"/>
      <c r="BQ159" s="1432">
        <f>AVERAGE(BQ158,BN158)</f>
        <v>307.24380000000008</v>
      </c>
      <c r="BR159" s="1611">
        <f>AVERAGE(BQ158:BR158)</f>
        <v>307.24380000000008</v>
      </c>
      <c r="BS159" s="1611">
        <f>AVERAGE(BR158:BS158)</f>
        <v>307.24380000000008</v>
      </c>
      <c r="BT159" s="1679">
        <f>AVERAGE(BS158:BT158)</f>
        <v>307.24380000000008</v>
      </c>
      <c r="BU159" s="1610">
        <f>AVERAGE(BQ159:BT159)</f>
        <v>307.24380000000008</v>
      </c>
      <c r="BV159" s="1611"/>
      <c r="BW159" s="1432">
        <f>AVERAGE(BW158,BT158)</f>
        <v>307.24380000000008</v>
      </c>
      <c r="BX159" s="1611">
        <f>AVERAGE(BW158:BX158)</f>
        <v>307.24380000000008</v>
      </c>
      <c r="BY159" s="1611">
        <f>AVERAGE(BX158:BY158)</f>
        <v>307.24380000000008</v>
      </c>
      <c r="BZ159" s="1679">
        <f>AVERAGE(BY158:BZ158)</f>
        <v>307.24380000000008</v>
      </c>
      <c r="CA159" s="1610">
        <f>AVERAGE(BW159:BZ159)</f>
        <v>307.24380000000008</v>
      </c>
      <c r="CB159" s="1611"/>
      <c r="CC159" s="1432">
        <f>AVERAGE(CC158,BZ158)</f>
        <v>307.24380000000008</v>
      </c>
      <c r="CD159" s="1611">
        <f>AVERAGE(CC158:CD158)</f>
        <v>307.24380000000008</v>
      </c>
      <c r="CE159" s="1611">
        <f>AVERAGE(CD158:CE158)</f>
        <v>307.24380000000008</v>
      </c>
      <c r="CF159" s="1679">
        <f>AVERAGE(CE158:CF158)</f>
        <v>307.24380000000008</v>
      </c>
      <c r="CG159" s="1610">
        <f>AVERAGE(CC159:CF159)</f>
        <v>307.24380000000008</v>
      </c>
      <c r="CH159" s="1611"/>
      <c r="CI159" s="1432">
        <f>AVERAGE(CI158,CF158)</f>
        <v>307.24380000000008</v>
      </c>
      <c r="CJ159" s="1611">
        <f>AVERAGE(CI158:CJ158)</f>
        <v>307.24380000000008</v>
      </c>
      <c r="CK159" s="1611">
        <f>AVERAGE(CJ158:CK158)</f>
        <v>282.24380000000008</v>
      </c>
      <c r="CL159" s="1679">
        <f>AVERAGE(CK158:CL158)</f>
        <v>232.24380000000008</v>
      </c>
      <c r="CM159" s="1610">
        <f>AVERAGE(CI159:CL159)</f>
        <v>282.24380000000008</v>
      </c>
      <c r="CN159" s="1611"/>
      <c r="CO159" s="1432">
        <f>AVERAGE(CO158,CL158)</f>
        <v>207.24380000000008</v>
      </c>
      <c r="CP159" s="1611">
        <f>AVERAGE(CO158:CP158)</f>
        <v>182.24380000000008</v>
      </c>
      <c r="CQ159" s="1611">
        <f>AVERAGE(CP158:CQ158)</f>
        <v>132.24380000000008</v>
      </c>
      <c r="CR159" s="1679">
        <f>AVERAGE(CQ158:CR158)</f>
        <v>82.243800000000078</v>
      </c>
      <c r="CS159" s="1610">
        <f>AVERAGE(CO159:CR159)</f>
        <v>150.99380000000008</v>
      </c>
      <c r="CT159" s="205"/>
      <c r="CU159" s="205"/>
      <c r="CV159" s="205"/>
      <c r="CW159" s="205"/>
      <c r="CX159" s="205"/>
      <c r="CY159" s="205"/>
      <c r="CZ159" s="205"/>
      <c r="DA159" s="205"/>
      <c r="DB159" s="205"/>
      <c r="DC159" s="205"/>
      <c r="DD159" s="205"/>
      <c r="DE159" s="205"/>
      <c r="DF159" s="205"/>
      <c r="DG159" s="205"/>
      <c r="DH159" s="205"/>
      <c r="DI159" s="205"/>
      <c r="DJ159" s="205"/>
      <c r="DK159" s="205"/>
      <c r="DL159" s="205"/>
      <c r="DM159" s="205"/>
      <c r="DN159" s="205"/>
      <c r="DO159" s="205"/>
      <c r="DP159" s="205"/>
      <c r="DQ159" s="205"/>
      <c r="DR159" s="205"/>
      <c r="DS159" s="205"/>
      <c r="DT159" s="205"/>
    </row>
    <row r="160" spans="1:126" collapsed="1">
      <c r="A160" s="1590" t="s">
        <v>522</v>
      </c>
      <c r="B160" s="205"/>
      <c r="C160" s="760"/>
      <c r="D160" s="740"/>
      <c r="E160" s="740"/>
      <c r="F160" s="740"/>
      <c r="G160" s="739"/>
      <c r="H160" s="740"/>
      <c r="I160" s="760"/>
      <c r="J160" s="740"/>
      <c r="K160" s="740"/>
      <c r="L160" s="740"/>
      <c r="M160" s="739"/>
      <c r="N160" s="740"/>
      <c r="O160" s="760"/>
      <c r="P160" s="740"/>
      <c r="Q160" s="740"/>
      <c r="R160" s="740"/>
      <c r="S160" s="739"/>
      <c r="T160" s="740"/>
      <c r="U160" s="760"/>
      <c r="V160" s="740"/>
      <c r="W160" s="740"/>
      <c r="X160" s="740"/>
      <c r="Y160" s="739"/>
      <c r="Z160" s="740"/>
      <c r="AA160" s="760"/>
      <c r="AB160" s="740"/>
      <c r="AC160" s="740"/>
      <c r="AD160" s="740"/>
      <c r="AE160" s="739"/>
      <c r="AF160" s="740"/>
      <c r="AG160" s="760"/>
      <c r="AH160" s="740"/>
      <c r="AI160" s="740"/>
      <c r="AJ160" s="740"/>
      <c r="AK160" s="739"/>
      <c r="AL160" s="740"/>
      <c r="AM160" s="760"/>
      <c r="AN160" s="740"/>
      <c r="AO160" s="740"/>
      <c r="AP160" s="740"/>
      <c r="AQ160" s="739"/>
      <c r="AR160" s="740"/>
      <c r="AS160" s="1432"/>
      <c r="AT160" s="740"/>
      <c r="AU160" s="740"/>
      <c r="AV160" s="1611">
        <v>0</v>
      </c>
      <c r="AW160" s="1610">
        <f t="shared" si="478"/>
        <v>0</v>
      </c>
      <c r="AX160" s="1611"/>
      <c r="AY160" s="1432">
        <f>AW160+AY103</f>
        <v>0</v>
      </c>
      <c r="AZ160" s="1611">
        <f>AY160+AZ103</f>
        <v>6</v>
      </c>
      <c r="BA160" s="1611">
        <f>AZ160+BA103</f>
        <v>12.3</v>
      </c>
      <c r="BB160" s="1679">
        <f>BA160+BB103</f>
        <v>19.380000000000003</v>
      </c>
      <c r="BC160" s="1610">
        <f>BB160</f>
        <v>19.380000000000003</v>
      </c>
      <c r="BD160" s="1611"/>
      <c r="BE160" s="1432">
        <f>BB160+BE103</f>
        <v>29.628</v>
      </c>
      <c r="BF160" s="1611">
        <f>BE160+BF103</f>
        <v>42.314</v>
      </c>
      <c r="BG160" s="1611">
        <f>BF160+BG103</f>
        <v>52.295839999999998</v>
      </c>
      <c r="BH160" s="1679">
        <f>BG160+BH103</f>
        <v>62.285670400000001</v>
      </c>
      <c r="BI160" s="1610">
        <f>BH160</f>
        <v>62.285670400000001</v>
      </c>
      <c r="BJ160" s="1611"/>
      <c r="BK160" s="1432">
        <f>BI160+BK103</f>
        <v>64.557103359999999</v>
      </c>
      <c r="BL160" s="1611">
        <f>BK160+BL103</f>
        <v>64.557103359999999</v>
      </c>
      <c r="BM160" s="1611">
        <f>BL160+BM103</f>
        <v>64.557103359999999</v>
      </c>
      <c r="BN160" s="1679">
        <f>BM160+BN103</f>
        <v>64.557103359999999</v>
      </c>
      <c r="BO160" s="1610">
        <f>BN160</f>
        <v>64.557103359999999</v>
      </c>
      <c r="BP160" s="1611"/>
      <c r="BQ160" s="1432">
        <f>BN160+BQ103</f>
        <v>64.557103359999999</v>
      </c>
      <c r="BR160" s="1611">
        <f>BQ160+BR103</f>
        <v>64.557103359999999</v>
      </c>
      <c r="BS160" s="1611">
        <f>BR160+BS103</f>
        <v>64.557103359999999</v>
      </c>
      <c r="BT160" s="1679">
        <f>BS160+BT103</f>
        <v>64.557103359999999</v>
      </c>
      <c r="BU160" s="1610">
        <f>BT160</f>
        <v>64.557103359999999</v>
      </c>
      <c r="BV160" s="1611"/>
      <c r="BW160" s="1432">
        <f>BT160+BW103</f>
        <v>64.557103359999999</v>
      </c>
      <c r="BX160" s="1611">
        <f>BW160+BX103</f>
        <v>64.557103359999999</v>
      </c>
      <c r="BY160" s="1611">
        <f>BX160+BY103</f>
        <v>64.557103359999999</v>
      </c>
      <c r="BZ160" s="1679">
        <f>BY160+BZ103</f>
        <v>64.557103359999999</v>
      </c>
      <c r="CA160" s="1610">
        <f>BZ160</f>
        <v>64.557103359999999</v>
      </c>
      <c r="CB160" s="1611"/>
      <c r="CC160" s="1432">
        <f>BZ160+CC103</f>
        <v>64.557103359999999</v>
      </c>
      <c r="CD160" s="1611">
        <f>CC160+CD103</f>
        <v>64.557103359999999</v>
      </c>
      <c r="CE160" s="1611">
        <f>CD160+CE103</f>
        <v>64.557103359999999</v>
      </c>
      <c r="CF160" s="1679">
        <f>CE160+CF103</f>
        <v>64.557103359999999</v>
      </c>
      <c r="CG160" s="1610">
        <f>CF160</f>
        <v>64.557103359999999</v>
      </c>
      <c r="CH160" s="1611"/>
      <c r="CI160" s="1432">
        <f>CF160+CI103</f>
        <v>64.557103359999999</v>
      </c>
      <c r="CJ160" s="1611">
        <f>CI160+CJ103</f>
        <v>64.557103359999999</v>
      </c>
      <c r="CK160" s="1611">
        <f>CJ160+CK103</f>
        <v>64.557103359999999</v>
      </c>
      <c r="CL160" s="1679">
        <f>CK160+CL103</f>
        <v>64.557103359999999</v>
      </c>
      <c r="CM160" s="1610">
        <f>CL160</f>
        <v>64.557103359999999</v>
      </c>
      <c r="CN160" s="1611"/>
      <c r="CO160" s="1432">
        <f>CL160+CO103</f>
        <v>64.557103359999999</v>
      </c>
      <c r="CP160" s="1611">
        <f>CO160+CP103</f>
        <v>64.557103359999999</v>
      </c>
      <c r="CQ160" s="1611">
        <f>CP160+CQ103</f>
        <v>64.557103359999999</v>
      </c>
      <c r="CR160" s="1679">
        <f>CQ160+CR103</f>
        <v>64.557103359999999</v>
      </c>
      <c r="CS160" s="1610">
        <f>CR160</f>
        <v>64.557103359999999</v>
      </c>
      <c r="CT160" s="205"/>
      <c r="CU160" s="205"/>
      <c r="CV160" s="205"/>
      <c r="CW160" s="205"/>
      <c r="CX160" s="205"/>
      <c r="CY160" s="205"/>
      <c r="CZ160" s="205"/>
      <c r="DA160" s="205"/>
      <c r="DB160" s="205"/>
      <c r="DC160" s="205"/>
      <c r="DD160" s="205"/>
      <c r="DE160" s="205"/>
      <c r="DF160" s="205"/>
      <c r="DG160" s="205"/>
      <c r="DH160" s="205"/>
      <c r="DI160" s="205"/>
      <c r="DJ160" s="205"/>
      <c r="DK160" s="205"/>
      <c r="DL160" s="205"/>
      <c r="DM160" s="205"/>
      <c r="DN160" s="205"/>
      <c r="DO160" s="205"/>
      <c r="DP160" s="205"/>
      <c r="DQ160" s="205"/>
      <c r="DR160" s="205"/>
      <c r="DS160" s="205"/>
      <c r="DT160" s="205"/>
    </row>
    <row r="161" spans="1:142" ht="12.75" hidden="1" customHeight="1" outlineLevel="1">
      <c r="A161" s="1028" t="s">
        <v>220</v>
      </c>
      <c r="B161" s="205"/>
      <c r="C161" s="760"/>
      <c r="D161" s="740"/>
      <c r="E161" s="740"/>
      <c r="F161" s="740"/>
      <c r="G161" s="739"/>
      <c r="H161" s="740"/>
      <c r="I161" s="760"/>
      <c r="J161" s="740"/>
      <c r="K161" s="740"/>
      <c r="L161" s="740"/>
      <c r="M161" s="739"/>
      <c r="N161" s="740"/>
      <c r="O161" s="760"/>
      <c r="P161" s="740"/>
      <c r="Q161" s="740"/>
      <c r="R161" s="740"/>
      <c r="S161" s="739"/>
      <c r="T161" s="740"/>
      <c r="U161" s="760"/>
      <c r="V161" s="740"/>
      <c r="W161" s="740"/>
      <c r="X161" s="740"/>
      <c r="Y161" s="739"/>
      <c r="Z161" s="740"/>
      <c r="AA161" s="760"/>
      <c r="AB161" s="740"/>
      <c r="AC161" s="740"/>
      <c r="AD161" s="740"/>
      <c r="AE161" s="739"/>
      <c r="AF161" s="740"/>
      <c r="AG161" s="760"/>
      <c r="AH161" s="740"/>
      <c r="AI161" s="740"/>
      <c r="AJ161" s="740"/>
      <c r="AK161" s="739"/>
      <c r="AL161" s="740"/>
      <c r="AM161" s="760"/>
      <c r="AN161" s="740"/>
      <c r="AO161" s="740"/>
      <c r="AP161" s="740"/>
      <c r="AQ161" s="739"/>
      <c r="AR161" s="740"/>
      <c r="AS161" s="1432"/>
      <c r="AT161" s="740"/>
      <c r="AU161" s="740"/>
      <c r="AV161" s="1611">
        <v>0</v>
      </c>
      <c r="AW161" s="1610">
        <f t="shared" si="478"/>
        <v>0</v>
      </c>
      <c r="AX161" s="1611"/>
      <c r="AY161" s="1432">
        <f>AVERAGE(AW160,AY160)</f>
        <v>0</v>
      </c>
      <c r="AZ161" s="1611">
        <f>AVERAGE(AY160,AZ160)</f>
        <v>3</v>
      </c>
      <c r="BA161" s="1611">
        <f>AVERAGE(AZ160,BA160)</f>
        <v>9.15</v>
      </c>
      <c r="BB161" s="1611">
        <f>AVERAGE(BA160,BB160)</f>
        <v>15.840000000000002</v>
      </c>
      <c r="BC161" s="1610">
        <f>AVERAGE(AY161:BB161)</f>
        <v>6.9975000000000005</v>
      </c>
      <c r="BD161" s="1611"/>
      <c r="BE161" s="1432">
        <f>AVERAGE(BB160,BE160)</f>
        <v>24.504000000000001</v>
      </c>
      <c r="BF161" s="1611">
        <f>AVERAGE(BE160,BF160)</f>
        <v>35.971000000000004</v>
      </c>
      <c r="BG161" s="1611">
        <f>AVERAGE(BF160,BG160)</f>
        <v>47.304919999999996</v>
      </c>
      <c r="BH161" s="1611">
        <f>AVERAGE(BG160,BH160)</f>
        <v>57.2907552</v>
      </c>
      <c r="BI161" s="1610">
        <f>AVERAGE(BE161:BH161)</f>
        <v>41.267668800000003</v>
      </c>
      <c r="BJ161" s="1611"/>
      <c r="BK161" s="1432">
        <f>AVERAGE(BI160,BK160)</f>
        <v>63.42138688</v>
      </c>
      <c r="BL161" s="1611">
        <f>AVERAGE(BK160,BL160)</f>
        <v>64.557103359999999</v>
      </c>
      <c r="BM161" s="1611">
        <f>AVERAGE(BL160,BM160)</f>
        <v>64.557103359999999</v>
      </c>
      <c r="BN161" s="1611">
        <f>AVERAGE(BM160,BN160)</f>
        <v>64.557103359999999</v>
      </c>
      <c r="BO161" s="1610">
        <f t="shared" ref="BO161:BO167" si="480">AVERAGE(BK161:BN161)</f>
        <v>64.273174240000003</v>
      </c>
      <c r="BP161" s="1611"/>
      <c r="BQ161" s="1432">
        <f>AVERAGE(BN160,BQ160)</f>
        <v>64.557103359999999</v>
      </c>
      <c r="BR161" s="1611">
        <f>AVERAGE(BQ160,BR160)</f>
        <v>64.557103359999999</v>
      </c>
      <c r="BS161" s="1611">
        <f>AVERAGE(BR160,BS160)</f>
        <v>64.557103359999999</v>
      </c>
      <c r="BT161" s="1611">
        <f>AVERAGE(BS160,BT160)</f>
        <v>64.557103359999999</v>
      </c>
      <c r="BU161" s="1610">
        <f>AVERAGE(BQ161:BT161)</f>
        <v>64.557103359999999</v>
      </c>
      <c r="BV161" s="1611"/>
      <c r="BW161" s="1432">
        <f>AVERAGE(BT160,BW160)</f>
        <v>64.557103359999999</v>
      </c>
      <c r="BX161" s="1611">
        <f>AVERAGE(BW160,BX160)</f>
        <v>64.557103359999999</v>
      </c>
      <c r="BY161" s="1611">
        <f>AVERAGE(BX160,BY160)</f>
        <v>64.557103359999999</v>
      </c>
      <c r="BZ161" s="1611">
        <f>AVERAGE(BY160,BZ160)</f>
        <v>64.557103359999999</v>
      </c>
      <c r="CA161" s="1610">
        <f>AVERAGE(BW161:BZ161)</f>
        <v>64.557103359999999</v>
      </c>
      <c r="CB161" s="1611"/>
      <c r="CC161" s="1432">
        <f>AVERAGE(BZ160,CC160)</f>
        <v>64.557103359999999</v>
      </c>
      <c r="CD161" s="1611">
        <f>AVERAGE(CC160,CD160)</f>
        <v>64.557103359999999</v>
      </c>
      <c r="CE161" s="1611">
        <f>AVERAGE(CD160,CE160)</f>
        <v>64.557103359999999</v>
      </c>
      <c r="CF161" s="1611">
        <f>AVERAGE(CE160,CF160)</f>
        <v>64.557103359999999</v>
      </c>
      <c r="CG161" s="1610">
        <f>AVERAGE(CC161:CF161)</f>
        <v>64.557103359999999</v>
      </c>
      <c r="CH161" s="1611"/>
      <c r="CI161" s="1432">
        <f>AVERAGE(CF160,CI160)</f>
        <v>64.557103359999999</v>
      </c>
      <c r="CJ161" s="1611">
        <f>AVERAGE(CI160,CJ160)</f>
        <v>64.557103359999999</v>
      </c>
      <c r="CK161" s="1611">
        <f>AVERAGE(CJ160,CK160)</f>
        <v>64.557103359999999</v>
      </c>
      <c r="CL161" s="1611">
        <f>AVERAGE(CK160,CL160)</f>
        <v>64.557103359999999</v>
      </c>
      <c r="CM161" s="1610">
        <f>AVERAGE(CI161:CL161)</f>
        <v>64.557103359999999</v>
      </c>
      <c r="CN161" s="1611"/>
      <c r="CO161" s="1432">
        <f>AVERAGE(CL160,CO160)</f>
        <v>64.557103359999999</v>
      </c>
      <c r="CP161" s="1611">
        <f>AVERAGE(CO160,CP160)</f>
        <v>64.557103359999999</v>
      </c>
      <c r="CQ161" s="1611">
        <f>AVERAGE(CP160,CQ160)</f>
        <v>64.557103359999999</v>
      </c>
      <c r="CR161" s="1611">
        <f>AVERAGE(CQ160,CR160)</f>
        <v>64.557103359999999</v>
      </c>
      <c r="CS161" s="1610">
        <f>AVERAGE(CO161:CR161)</f>
        <v>64.557103359999999</v>
      </c>
      <c r="CT161" s="205"/>
    </row>
    <row r="162" spans="1:142" collapsed="1">
      <c r="A162" s="796" t="s">
        <v>454</v>
      </c>
      <c r="B162" s="205"/>
      <c r="C162" s="760"/>
      <c r="D162" s="740"/>
      <c r="E162" s="740"/>
      <c r="F162" s="740"/>
      <c r="G162" s="739"/>
      <c r="H162" s="740"/>
      <c r="I162" s="760"/>
      <c r="J162" s="740"/>
      <c r="K162" s="740"/>
      <c r="L162" s="740"/>
      <c r="M162" s="739"/>
      <c r="N162" s="740"/>
      <c r="O162" s="760"/>
      <c r="P162" s="740"/>
      <c r="Q162" s="740"/>
      <c r="R162" s="740"/>
      <c r="S162" s="739"/>
      <c r="T162" s="740"/>
      <c r="U162" s="760"/>
      <c r="V162" s="740"/>
      <c r="W162" s="740"/>
      <c r="X162" s="740"/>
      <c r="Y162" s="739"/>
      <c r="Z162" s="740"/>
      <c r="AA162" s="760"/>
      <c r="AB162" s="740"/>
      <c r="AC162" s="740"/>
      <c r="AD162" s="740"/>
      <c r="AE162" s="739"/>
      <c r="AF162" s="740"/>
      <c r="AG162" s="760"/>
      <c r="AH162" s="740"/>
      <c r="AI162" s="740"/>
      <c r="AJ162" s="740"/>
      <c r="AK162" s="739"/>
      <c r="AL162" s="740"/>
      <c r="AM162" s="760"/>
      <c r="AN162" s="740"/>
      <c r="AO162" s="740"/>
      <c r="AP162" s="740"/>
      <c r="AQ162" s="739"/>
      <c r="AR162" s="740"/>
      <c r="AS162" s="1432">
        <f>AS109</f>
        <v>12</v>
      </c>
      <c r="AT162" s="740">
        <f>AS162+AT109</f>
        <v>46</v>
      </c>
      <c r="AU162" s="740">
        <f>AT162+AU109</f>
        <v>91</v>
      </c>
      <c r="AV162" s="1611">
        <f>AU162+AV109</f>
        <v>134</v>
      </c>
      <c r="AW162" s="1610">
        <f>AV162</f>
        <v>134</v>
      </c>
      <c r="AX162" s="1611"/>
      <c r="AY162" s="1432">
        <f>AW162+AY109</f>
        <v>180.9</v>
      </c>
      <c r="AZ162" s="1611">
        <f>AY162+AZ109</f>
        <v>214.96800000000002</v>
      </c>
      <c r="BA162" s="1611">
        <f>AZ162+BA109</f>
        <v>252.96800000000002</v>
      </c>
      <c r="BB162" s="1611">
        <f>BA162+BB109</f>
        <v>279.59039999999999</v>
      </c>
      <c r="BC162" s="1610">
        <f>BB162</f>
        <v>279.59039999999999</v>
      </c>
      <c r="BD162" s="1611"/>
      <c r="BE162" s="1432">
        <f>BB162+BE109</f>
        <v>289.94279999999998</v>
      </c>
      <c r="BF162" s="1611">
        <f>BE162+BF109</f>
        <v>311.28625199999999</v>
      </c>
      <c r="BG162" s="1611">
        <f>BF162+BG109</f>
        <v>326.88610144</v>
      </c>
      <c r="BH162" s="1611">
        <f>BG162+BH109</f>
        <v>350.93166086399998</v>
      </c>
      <c r="BI162" s="1610">
        <f>BH162</f>
        <v>350.93166086399998</v>
      </c>
      <c r="BJ162" s="1611"/>
      <c r="BK162" s="1432">
        <f>BI162+BK109</f>
        <v>356.53849477759996</v>
      </c>
      <c r="BL162" s="1611">
        <f>BK162+BL109</f>
        <v>361.58464529983996</v>
      </c>
      <c r="BM162" s="1611">
        <f>BL162+BM109</f>
        <v>361.58464529983996</v>
      </c>
      <c r="BN162" s="1611">
        <f>BM162+BN109</f>
        <v>361.58464529983996</v>
      </c>
      <c r="BO162" s="1610">
        <f>BN162</f>
        <v>361.58464529983996</v>
      </c>
      <c r="BP162" s="1611"/>
      <c r="BQ162" s="1432">
        <f>BN162+BQ109</f>
        <v>361.58464529983996</v>
      </c>
      <c r="BR162" s="1611">
        <f>BQ162+BR109</f>
        <v>361.58464529983996</v>
      </c>
      <c r="BS162" s="1611">
        <f>BR162+BS109</f>
        <v>361.58464529983996</v>
      </c>
      <c r="BT162" s="1611">
        <f>BS162+BT109</f>
        <v>361.58464529983996</v>
      </c>
      <c r="BU162" s="1610">
        <f>BT162</f>
        <v>361.58464529983996</v>
      </c>
      <c r="BV162" s="1611"/>
      <c r="BW162" s="1432">
        <f>BT162+BW109</f>
        <v>361.58464529983996</v>
      </c>
      <c r="BX162" s="1611">
        <f>BW162+BX109</f>
        <v>361.58464529983996</v>
      </c>
      <c r="BY162" s="1611">
        <f>BX162+BY109</f>
        <v>361.58464529983996</v>
      </c>
      <c r="BZ162" s="1611">
        <f>BY162+BZ109</f>
        <v>361.58464529983996</v>
      </c>
      <c r="CA162" s="1610">
        <f>BZ162</f>
        <v>361.58464529983996</v>
      </c>
      <c r="CB162" s="1611"/>
      <c r="CC162" s="1432">
        <f>BZ162+CC109</f>
        <v>361.58464529983996</v>
      </c>
      <c r="CD162" s="1611">
        <f>CC162+CD109</f>
        <v>361.58464529983996</v>
      </c>
      <c r="CE162" s="1611">
        <f>CD162+CE109</f>
        <v>361.58464529983996</v>
      </c>
      <c r="CF162" s="1611">
        <f>CE162+CF109</f>
        <v>361.58464529983996</v>
      </c>
      <c r="CG162" s="1610">
        <f>CF162</f>
        <v>361.58464529983996</v>
      </c>
      <c r="CH162" s="1611"/>
      <c r="CI162" s="1432">
        <f>CF162+CI109</f>
        <v>361.58464529983996</v>
      </c>
      <c r="CJ162" s="1611">
        <f>CI162+CJ109</f>
        <v>361.58464529983996</v>
      </c>
      <c r="CK162" s="1611">
        <f>CJ162+CK109</f>
        <v>361.58464529983996</v>
      </c>
      <c r="CL162" s="1611">
        <f>CK162+CL109</f>
        <v>361.58464529983996</v>
      </c>
      <c r="CM162" s="1610">
        <f>CL162</f>
        <v>361.58464529983996</v>
      </c>
      <c r="CN162" s="1611"/>
      <c r="CO162" s="1432">
        <f>CL162+CO109</f>
        <v>361.58464529983996</v>
      </c>
      <c r="CP162" s="1611">
        <f>CO162+CP109</f>
        <v>361.58464529983996</v>
      </c>
      <c r="CQ162" s="1611">
        <f>CP162+CQ109</f>
        <v>361.58464529983996</v>
      </c>
      <c r="CR162" s="1611">
        <f>CQ162+CR109</f>
        <v>361.58464529983996</v>
      </c>
      <c r="CS162" s="1610">
        <f>CR162</f>
        <v>361.58464529983996</v>
      </c>
      <c r="CY162" s="2348" t="s">
        <v>736</v>
      </c>
    </row>
    <row r="163" spans="1:142" ht="12.75" hidden="1" customHeight="1" outlineLevel="1">
      <c r="A163" s="1028" t="s">
        <v>220</v>
      </c>
      <c r="B163" s="205"/>
      <c r="C163" s="760"/>
      <c r="D163" s="740"/>
      <c r="E163" s="740"/>
      <c r="F163" s="740"/>
      <c r="G163" s="739"/>
      <c r="H163" s="740"/>
      <c r="I163" s="760"/>
      <c r="J163" s="740"/>
      <c r="K163" s="740"/>
      <c r="L163" s="740"/>
      <c r="M163" s="739"/>
      <c r="N163" s="740"/>
      <c r="O163" s="760"/>
      <c r="P163" s="740"/>
      <c r="Q163" s="740"/>
      <c r="R163" s="740"/>
      <c r="S163" s="739"/>
      <c r="T163" s="740"/>
      <c r="U163" s="760"/>
      <c r="V163" s="740"/>
      <c r="W163" s="740"/>
      <c r="X163" s="740"/>
      <c r="Y163" s="739"/>
      <c r="Z163" s="740"/>
      <c r="AA163" s="760"/>
      <c r="AB163" s="740"/>
      <c r="AC163" s="740"/>
      <c r="AD163" s="740"/>
      <c r="AE163" s="739"/>
      <c r="AF163" s="740"/>
      <c r="AG163" s="760"/>
      <c r="AH163" s="740"/>
      <c r="AI163" s="740"/>
      <c r="AJ163" s="740"/>
      <c r="AK163" s="739"/>
      <c r="AL163" s="740"/>
      <c r="AM163" s="760"/>
      <c r="AN163" s="740"/>
      <c r="AO163" s="740"/>
      <c r="AP163" s="740"/>
      <c r="AQ163" s="739"/>
      <c r="AR163" s="740"/>
      <c r="AS163" s="1432">
        <f>AS162/2</f>
        <v>6</v>
      </c>
      <c r="AT163" s="740">
        <f>AVERAGE(AS162,AT162)</f>
        <v>29</v>
      </c>
      <c r="AU163" s="740">
        <f>AVERAGE(AT162,AU162)</f>
        <v>68.5</v>
      </c>
      <c r="AV163" s="1611">
        <f>AVERAGE(AU162,AV162)</f>
        <v>112.5</v>
      </c>
      <c r="AW163" s="1610">
        <f>AVERAGE(AS163:AV163)</f>
        <v>54</v>
      </c>
      <c r="AX163" s="1611"/>
      <c r="AY163" s="1432">
        <f>AVERAGE(AW162,AY162)</f>
        <v>157.44999999999999</v>
      </c>
      <c r="AZ163" s="1611">
        <f>AVERAGE(AY162,AZ162)</f>
        <v>197.93400000000003</v>
      </c>
      <c r="BA163" s="1611">
        <f>AVERAGE(AZ162,BA162)</f>
        <v>233.96800000000002</v>
      </c>
      <c r="BB163" s="1611">
        <f>AVERAGE(BA162,BB162)</f>
        <v>266.2792</v>
      </c>
      <c r="BC163" s="1610">
        <f>AVERAGE(AY163:BB163)</f>
        <v>213.90780000000001</v>
      </c>
      <c r="BD163" s="1611"/>
      <c r="BE163" s="1432">
        <f>AVERAGE(BB162,BE162)</f>
        <v>284.76659999999998</v>
      </c>
      <c r="BF163" s="1611">
        <f>AVERAGE(BE162,BF162)</f>
        <v>300.61452599999996</v>
      </c>
      <c r="BG163" s="1611">
        <f>AVERAGE(BF162,BG162)</f>
        <v>319.08617672000003</v>
      </c>
      <c r="BH163" s="1611">
        <f>AVERAGE(BG162,BH162)</f>
        <v>338.90888115199999</v>
      </c>
      <c r="BI163" s="1610">
        <f>AVERAGE(BE163:BH163)</f>
        <v>310.84404596799999</v>
      </c>
      <c r="BJ163" s="1611"/>
      <c r="BK163" s="1432">
        <f>AVERAGE(BI162,BK162)</f>
        <v>353.73507782079997</v>
      </c>
      <c r="BL163" s="1611">
        <f>AVERAGE(BK162,BL162)</f>
        <v>359.06157003871999</v>
      </c>
      <c r="BM163" s="1611">
        <f>AVERAGE(BL162,BM162)</f>
        <v>361.58464529983996</v>
      </c>
      <c r="BN163" s="1611">
        <f>AVERAGE(BM162,BN162)</f>
        <v>361.58464529983996</v>
      </c>
      <c r="BO163" s="1610">
        <f t="shared" si="480"/>
        <v>358.9914846147999</v>
      </c>
      <c r="BP163" s="1611"/>
      <c r="BQ163" s="1432">
        <f>AVERAGE(BN162,BQ162)</f>
        <v>361.58464529983996</v>
      </c>
      <c r="BR163" s="1611">
        <f>AVERAGE(BQ162,BR162)</f>
        <v>361.58464529983996</v>
      </c>
      <c r="BS163" s="1611">
        <f>AVERAGE(BR162,BS162)</f>
        <v>361.58464529983996</v>
      </c>
      <c r="BT163" s="1611">
        <f>AVERAGE(BS162,BT162)</f>
        <v>361.58464529983996</v>
      </c>
      <c r="BU163" s="1610">
        <f t="shared" ref="BU163:BU167" si="481">AVERAGE(BQ163:BT163)</f>
        <v>361.58464529983996</v>
      </c>
      <c r="BV163" s="1611"/>
      <c r="BW163" s="1432">
        <f>AVERAGE(BT162,BW162)</f>
        <v>361.58464529983996</v>
      </c>
      <c r="BX163" s="1611">
        <f>AVERAGE(BW162,BX162)</f>
        <v>361.58464529983996</v>
      </c>
      <c r="BY163" s="1611">
        <f>AVERAGE(BX162,BY162)</f>
        <v>361.58464529983996</v>
      </c>
      <c r="BZ163" s="1611">
        <f>AVERAGE(BY162,BZ162)</f>
        <v>361.58464529983996</v>
      </c>
      <c r="CA163" s="1610">
        <f t="shared" ref="CA163:CA167" si="482">AVERAGE(BW163:BZ163)</f>
        <v>361.58464529983996</v>
      </c>
      <c r="CB163" s="1611"/>
      <c r="CC163" s="1432">
        <f>AVERAGE(BZ162,CC162)</f>
        <v>361.58464529983996</v>
      </c>
      <c r="CD163" s="1611">
        <f>AVERAGE(CC162,CD162)</f>
        <v>361.58464529983996</v>
      </c>
      <c r="CE163" s="1611">
        <f>AVERAGE(CD162,CE162)</f>
        <v>361.58464529983996</v>
      </c>
      <c r="CF163" s="1611">
        <f>AVERAGE(CE162,CF162)</f>
        <v>361.58464529983996</v>
      </c>
      <c r="CG163" s="1610">
        <f t="shared" ref="CG163:CG167" si="483">AVERAGE(CC163:CF163)</f>
        <v>361.58464529983996</v>
      </c>
      <c r="CH163" s="1611"/>
      <c r="CI163" s="1432">
        <f>AVERAGE(CF162,CI162)</f>
        <v>361.58464529983996</v>
      </c>
      <c r="CJ163" s="1611">
        <f>AVERAGE(CI162,CJ162)</f>
        <v>361.58464529983996</v>
      </c>
      <c r="CK163" s="1611">
        <f>AVERAGE(CJ162,CK162)</f>
        <v>361.58464529983996</v>
      </c>
      <c r="CL163" s="1611">
        <f>AVERAGE(CK162,CL162)</f>
        <v>361.58464529983996</v>
      </c>
      <c r="CM163" s="1610">
        <f t="shared" ref="CM163" si="484">AVERAGE(CI163:CL163)</f>
        <v>361.58464529983996</v>
      </c>
      <c r="CN163" s="1611"/>
      <c r="CO163" s="1432">
        <f>AVERAGE(CL162,CO162)</f>
        <v>361.58464529983996</v>
      </c>
      <c r="CP163" s="1611">
        <f>AVERAGE(CO162,CP162)</f>
        <v>361.58464529983996</v>
      </c>
      <c r="CQ163" s="1611">
        <f>AVERAGE(CP162,CQ162)</f>
        <v>361.58464529983996</v>
      </c>
      <c r="CR163" s="1611">
        <f>AVERAGE(CQ162,CR162)</f>
        <v>361.58464529983996</v>
      </c>
      <c r="CS163" s="1610">
        <f t="shared" ref="CS163" si="485">AVERAGE(CO163:CR163)</f>
        <v>361.58464529983996</v>
      </c>
      <c r="CT163" s="205"/>
      <c r="CU163" s="205"/>
      <c r="CV163" s="205"/>
      <c r="CW163" s="205"/>
      <c r="CX163" s="205"/>
      <c r="CY163" s="2383" t="s">
        <v>110</v>
      </c>
      <c r="CZ163" s="2383" t="s">
        <v>111</v>
      </c>
      <c r="DA163" s="2383" t="s">
        <v>112</v>
      </c>
      <c r="DB163" s="2383" t="s">
        <v>113</v>
      </c>
      <c r="DC163" s="2383" t="s">
        <v>114</v>
      </c>
      <c r="DD163" s="2383" t="s">
        <v>271</v>
      </c>
      <c r="DE163" s="2383" t="s">
        <v>101</v>
      </c>
      <c r="DF163" s="2383" t="s">
        <v>100</v>
      </c>
      <c r="DG163" s="2383" t="s">
        <v>94</v>
      </c>
      <c r="DH163" s="2383" t="s">
        <v>93</v>
      </c>
      <c r="DI163" s="2383" t="s">
        <v>92</v>
      </c>
      <c r="DJ163" s="2383" t="s">
        <v>91</v>
      </c>
      <c r="DK163" s="2383" t="s">
        <v>115</v>
      </c>
      <c r="DL163" s="2383" t="s">
        <v>116</v>
      </c>
      <c r="DM163" s="2383" t="s">
        <v>117</v>
      </c>
      <c r="DN163" s="2383" t="s">
        <v>118</v>
      </c>
      <c r="DO163" s="2383" t="s">
        <v>509</v>
      </c>
      <c r="DP163" s="2383" t="s">
        <v>510</v>
      </c>
      <c r="DQ163" s="2383" t="s">
        <v>511</v>
      </c>
      <c r="DR163" s="2383" t="s">
        <v>512</v>
      </c>
      <c r="DS163" s="2383" t="s">
        <v>551</v>
      </c>
      <c r="DT163" s="2383" t="s">
        <v>552</v>
      </c>
      <c r="DU163" s="2383" t="s">
        <v>553</v>
      </c>
      <c r="DV163" s="2383" t="s">
        <v>554</v>
      </c>
      <c r="DW163" s="2383" t="s">
        <v>772</v>
      </c>
      <c r="DX163" s="2383" t="s">
        <v>798</v>
      </c>
      <c r="DY163" s="2383" t="s">
        <v>799</v>
      </c>
      <c r="DZ163" s="2383" t="s">
        <v>800</v>
      </c>
      <c r="EA163" s="2383" t="s">
        <v>581</v>
      </c>
      <c r="EB163" s="2383" t="s">
        <v>582</v>
      </c>
      <c r="EC163" s="2383" t="s">
        <v>583</v>
      </c>
      <c r="ED163" s="2383" t="s">
        <v>584</v>
      </c>
      <c r="EE163" s="2383" t="s">
        <v>760</v>
      </c>
      <c r="EF163" s="2383" t="s">
        <v>761</v>
      </c>
      <c r="EG163" s="2383" t="s">
        <v>762</v>
      </c>
      <c r="EH163" s="2383" t="s">
        <v>763</v>
      </c>
      <c r="EI163" s="2383" t="s">
        <v>764</v>
      </c>
      <c r="EJ163" s="2383" t="s">
        <v>765</v>
      </c>
      <c r="EK163" s="2383" t="s">
        <v>766</v>
      </c>
      <c r="EL163" s="2383" t="s">
        <v>767</v>
      </c>
    </row>
    <row r="164" spans="1:142" ht="12.75" customHeight="1" collapsed="1">
      <c r="A164" s="1590" t="s">
        <v>754</v>
      </c>
      <c r="B164" s="205"/>
      <c r="C164" s="760"/>
      <c r="D164" s="740"/>
      <c r="E164" s="740"/>
      <c r="F164" s="740"/>
      <c r="G164" s="739"/>
      <c r="H164" s="740"/>
      <c r="I164" s="760"/>
      <c r="J164" s="740"/>
      <c r="K164" s="740"/>
      <c r="L164" s="740"/>
      <c r="M164" s="739"/>
      <c r="N164" s="740"/>
      <c r="O164" s="760"/>
      <c r="P164" s="740"/>
      <c r="Q164" s="740"/>
      <c r="R164" s="740"/>
      <c r="S164" s="739"/>
      <c r="T164" s="740"/>
      <c r="U164" s="760"/>
      <c r="V164" s="740"/>
      <c r="W164" s="740"/>
      <c r="X164" s="740"/>
      <c r="Y164" s="739"/>
      <c r="Z164" s="740"/>
      <c r="AA164" s="760"/>
      <c r="AB164" s="740"/>
      <c r="AC164" s="740"/>
      <c r="AD164" s="740"/>
      <c r="AE164" s="739"/>
      <c r="AF164" s="740"/>
      <c r="AG164" s="760"/>
      <c r="AH164" s="740"/>
      <c r="AI164" s="740"/>
      <c r="AJ164" s="740"/>
      <c r="AK164" s="739"/>
      <c r="AL164" s="740"/>
      <c r="AM164" s="760"/>
      <c r="AN164" s="740"/>
      <c r="AO164" s="740"/>
      <c r="AP164" s="740"/>
      <c r="AQ164" s="739"/>
      <c r="AR164" s="740"/>
      <c r="AS164" s="1432"/>
      <c r="AT164" s="740"/>
      <c r="AU164" s="740"/>
      <c r="AV164" s="1611"/>
      <c r="AW164" s="1610"/>
      <c r="AX164" s="1611"/>
      <c r="AY164" s="1432"/>
      <c r="AZ164" s="1611"/>
      <c r="BA164" s="1611"/>
      <c r="BB164" s="1611"/>
      <c r="BC164" s="1610"/>
      <c r="BD164" s="1611"/>
      <c r="BE164" s="1432"/>
      <c r="BF164" s="1611"/>
      <c r="BG164" s="1611"/>
      <c r="BH164" s="1611"/>
      <c r="BI164" s="1610"/>
      <c r="BJ164" s="1611"/>
      <c r="BK164" s="1432">
        <f>BI164+BK120</f>
        <v>0</v>
      </c>
      <c r="BL164" s="1611">
        <f>BK164+BL120</f>
        <v>0</v>
      </c>
      <c r="BM164" s="1611">
        <f>BL164+BM120</f>
        <v>0</v>
      </c>
      <c r="BN164" s="1611">
        <f>BM164+BN120</f>
        <v>0</v>
      </c>
      <c r="BO164" s="1610">
        <f>BN164</f>
        <v>0</v>
      </c>
      <c r="BP164" s="1611"/>
      <c r="BQ164" s="1432">
        <f>BN164+BQ120</f>
        <v>0</v>
      </c>
      <c r="BR164" s="1611">
        <f>BQ164+BR120</f>
        <v>0</v>
      </c>
      <c r="BS164" s="1611">
        <f>BR164+BS120</f>
        <v>0</v>
      </c>
      <c r="BT164" s="1611">
        <f>BS164+BT120</f>
        <v>0</v>
      </c>
      <c r="BU164" s="1610">
        <f>BT164</f>
        <v>0</v>
      </c>
      <c r="BV164" s="1611"/>
      <c r="BW164" s="1432">
        <f>BT164+BW120</f>
        <v>0</v>
      </c>
      <c r="BX164" s="1611">
        <f>BW164+BX120</f>
        <v>0</v>
      </c>
      <c r="BY164" s="1611">
        <f>BX164+BY120</f>
        <v>0</v>
      </c>
      <c r="BZ164" s="1611">
        <f>BY164+BZ120</f>
        <v>0</v>
      </c>
      <c r="CA164" s="1610">
        <f>BZ164</f>
        <v>0</v>
      </c>
      <c r="CB164" s="1611"/>
      <c r="CC164" s="1432">
        <f>BZ164+CC120</f>
        <v>0</v>
      </c>
      <c r="CD164" s="1611">
        <f>CC164+CD120</f>
        <v>0</v>
      </c>
      <c r="CE164" s="1611">
        <f>CD164+CE120</f>
        <v>0</v>
      </c>
      <c r="CF164" s="1611">
        <f>CE164+CF120</f>
        <v>0</v>
      </c>
      <c r="CG164" s="1610">
        <f>CF164</f>
        <v>0</v>
      </c>
      <c r="CH164" s="1611"/>
      <c r="CI164" s="1432">
        <f>CF164+CI120</f>
        <v>0</v>
      </c>
      <c r="CJ164" s="1611">
        <f>CI164+CJ120</f>
        <v>0</v>
      </c>
      <c r="CK164" s="1611">
        <f>CJ164+CK120</f>
        <v>0</v>
      </c>
      <c r="CL164" s="1611">
        <f>CK164+CL120</f>
        <v>0</v>
      </c>
      <c r="CM164" s="1610">
        <f>CL164</f>
        <v>0</v>
      </c>
      <c r="CN164" s="1611"/>
      <c r="CO164" s="1432">
        <f>CL164+CO120</f>
        <v>0</v>
      </c>
      <c r="CP164" s="1611">
        <f>CO164+CP120</f>
        <v>0</v>
      </c>
      <c r="CQ164" s="1611">
        <f>CP164+CQ120</f>
        <v>0</v>
      </c>
      <c r="CR164" s="1611">
        <f>CQ164+CR120</f>
        <v>0</v>
      </c>
      <c r="CS164" s="1610">
        <f>CR164</f>
        <v>0</v>
      </c>
      <c r="CT164" s="205"/>
      <c r="CU164" s="205"/>
      <c r="CV164" s="205"/>
      <c r="CW164" s="205"/>
      <c r="CX164" s="205"/>
      <c r="CY164" s="2383"/>
      <c r="CZ164" s="2383"/>
      <c r="DA164" s="2383"/>
      <c r="DB164" s="2383"/>
      <c r="DC164" s="2383"/>
      <c r="DD164" s="2383"/>
      <c r="DE164" s="2383"/>
      <c r="DF164" s="2383"/>
      <c r="DG164" s="2383"/>
      <c r="DH164" s="2383"/>
      <c r="DI164" s="2383"/>
      <c r="DJ164" s="2383"/>
      <c r="DK164" s="2383"/>
      <c r="DL164" s="2383"/>
      <c r="DM164" s="2383"/>
      <c r="DN164" s="2383"/>
      <c r="DO164" s="2383"/>
      <c r="DP164" s="2383"/>
      <c r="DQ164" s="2383"/>
      <c r="DR164" s="2383"/>
      <c r="DS164" s="2383"/>
      <c r="DT164" s="2383"/>
      <c r="DU164" s="2383"/>
      <c r="DV164" s="2383"/>
      <c r="DW164" s="2383"/>
      <c r="DX164" s="2383"/>
      <c r="DY164" s="2383"/>
      <c r="DZ164" s="2383"/>
      <c r="EA164" s="2383"/>
      <c r="EB164" s="2383"/>
      <c r="EC164" s="2383"/>
      <c r="ED164" s="2383"/>
      <c r="EE164" s="2383"/>
      <c r="EF164" s="2383"/>
      <c r="EG164" s="2383"/>
      <c r="EH164" s="2383"/>
      <c r="EI164" s="2383"/>
      <c r="EJ164" s="2383"/>
      <c r="EK164" s="2383"/>
      <c r="EL164" s="2383"/>
    </row>
    <row r="165" spans="1:142" ht="12.75" hidden="1" customHeight="1" outlineLevel="1">
      <c r="A165" s="1028" t="s">
        <v>220</v>
      </c>
      <c r="B165" s="205"/>
      <c r="C165" s="760"/>
      <c r="D165" s="740"/>
      <c r="E165" s="740"/>
      <c r="F165" s="740"/>
      <c r="G165" s="739"/>
      <c r="H165" s="740"/>
      <c r="I165" s="760"/>
      <c r="J165" s="740"/>
      <c r="K165" s="740"/>
      <c r="L165" s="740"/>
      <c r="M165" s="739"/>
      <c r="N165" s="740"/>
      <c r="O165" s="760"/>
      <c r="P165" s="740"/>
      <c r="Q165" s="740"/>
      <c r="R165" s="740"/>
      <c r="S165" s="739"/>
      <c r="T165" s="740"/>
      <c r="U165" s="760"/>
      <c r="V165" s="740"/>
      <c r="W165" s="740"/>
      <c r="X165" s="740"/>
      <c r="Y165" s="739"/>
      <c r="Z165" s="740"/>
      <c r="AA165" s="760"/>
      <c r="AB165" s="740"/>
      <c r="AC165" s="740"/>
      <c r="AD165" s="740"/>
      <c r="AE165" s="739"/>
      <c r="AF165" s="740"/>
      <c r="AG165" s="760"/>
      <c r="AH165" s="740"/>
      <c r="AI165" s="740"/>
      <c r="AJ165" s="740"/>
      <c r="AK165" s="739"/>
      <c r="AL165" s="740"/>
      <c r="AM165" s="760"/>
      <c r="AN165" s="740"/>
      <c r="AO165" s="740"/>
      <c r="AP165" s="740"/>
      <c r="AQ165" s="739"/>
      <c r="AR165" s="740"/>
      <c r="AS165" s="1432"/>
      <c r="AT165" s="740"/>
      <c r="AU165" s="740"/>
      <c r="AV165" s="1611"/>
      <c r="AW165" s="1610"/>
      <c r="AX165" s="1611"/>
      <c r="AY165" s="1432"/>
      <c r="AZ165" s="1611"/>
      <c r="BA165" s="1611"/>
      <c r="BB165" s="1611"/>
      <c r="BC165" s="1610"/>
      <c r="BD165" s="1611"/>
      <c r="BE165" s="1432"/>
      <c r="BF165" s="1611"/>
      <c r="BG165" s="1611"/>
      <c r="BH165" s="1611"/>
      <c r="BI165" s="1610"/>
      <c r="BJ165" s="1611"/>
      <c r="BK165" s="1432">
        <f>AVERAGE(BI164,BK164)</f>
        <v>0</v>
      </c>
      <c r="BL165" s="1611">
        <f>AVERAGE(BK164,BL164)</f>
        <v>0</v>
      </c>
      <c r="BM165" s="1611">
        <f>AVERAGE(BL164,BM164)</f>
        <v>0</v>
      </c>
      <c r="BN165" s="1611">
        <f>AVERAGE(BM164,BN164)</f>
        <v>0</v>
      </c>
      <c r="BO165" s="1610">
        <f t="shared" si="480"/>
        <v>0</v>
      </c>
      <c r="BP165" s="1611"/>
      <c r="BQ165" s="1432">
        <f>AVERAGE(BN164,BQ164)</f>
        <v>0</v>
      </c>
      <c r="BR165" s="1611">
        <f>AVERAGE(BQ164,BR164)</f>
        <v>0</v>
      </c>
      <c r="BS165" s="1611">
        <f>AVERAGE(BR164,BS164)</f>
        <v>0</v>
      </c>
      <c r="BT165" s="1611">
        <f>AVERAGE(BS164,BT164)</f>
        <v>0</v>
      </c>
      <c r="BU165" s="1610">
        <f t="shared" si="481"/>
        <v>0</v>
      </c>
      <c r="BV165" s="1611"/>
      <c r="BW165" s="1432">
        <f>AVERAGE(BT164,BW164)</f>
        <v>0</v>
      </c>
      <c r="BX165" s="1611">
        <f>AVERAGE(BW164,BX164)</f>
        <v>0</v>
      </c>
      <c r="BY165" s="1611">
        <f>AVERAGE(BX164,BY164)</f>
        <v>0</v>
      </c>
      <c r="BZ165" s="1611">
        <f>AVERAGE(BY164,BZ164)</f>
        <v>0</v>
      </c>
      <c r="CA165" s="1610">
        <f t="shared" si="482"/>
        <v>0</v>
      </c>
      <c r="CB165" s="1611"/>
      <c r="CC165" s="1432">
        <f>AVERAGE(BZ164,CC164)</f>
        <v>0</v>
      </c>
      <c r="CD165" s="1611">
        <f>AVERAGE(CC164,CD164)</f>
        <v>0</v>
      </c>
      <c r="CE165" s="1611">
        <f>AVERAGE(CD164,CE164)</f>
        <v>0</v>
      </c>
      <c r="CF165" s="1611">
        <f>AVERAGE(CE164,CF164)</f>
        <v>0</v>
      </c>
      <c r="CG165" s="1610">
        <f t="shared" si="483"/>
        <v>0</v>
      </c>
      <c r="CH165" s="1611"/>
      <c r="CI165" s="1432">
        <f>AVERAGE(CF164,CI164)</f>
        <v>0</v>
      </c>
      <c r="CJ165" s="1611">
        <f>AVERAGE(CI164,CJ164)</f>
        <v>0</v>
      </c>
      <c r="CK165" s="1611">
        <f>AVERAGE(CJ164,CK164)</f>
        <v>0</v>
      </c>
      <c r="CL165" s="1611">
        <f>AVERAGE(CK164,CL164)</f>
        <v>0</v>
      </c>
      <c r="CM165" s="1610">
        <f t="shared" ref="CM165" si="486">AVERAGE(CI165:CL165)</f>
        <v>0</v>
      </c>
      <c r="CN165" s="1611"/>
      <c r="CO165" s="1432">
        <f>AVERAGE(CL164,CO164)</f>
        <v>0</v>
      </c>
      <c r="CP165" s="1611">
        <f>AVERAGE(CO164,CP164)</f>
        <v>0</v>
      </c>
      <c r="CQ165" s="1611">
        <f>AVERAGE(CP164,CQ164)</f>
        <v>0</v>
      </c>
      <c r="CR165" s="1611">
        <f>AVERAGE(CQ164,CR164)</f>
        <v>0</v>
      </c>
      <c r="CS165" s="1610">
        <f t="shared" ref="CS165" si="487">AVERAGE(CO165:CR165)</f>
        <v>0</v>
      </c>
      <c r="CT165" s="205"/>
      <c r="CU165" s="205"/>
      <c r="CV165" s="205"/>
      <c r="CW165" s="205"/>
      <c r="CX165" s="205"/>
      <c r="CY165" s="2383"/>
      <c r="CZ165" s="2383"/>
      <c r="DA165" s="2383"/>
      <c r="DB165" s="2383"/>
      <c r="DC165" s="2383"/>
      <c r="DD165" s="2383"/>
      <c r="DE165" s="2383"/>
      <c r="DF165" s="2383"/>
      <c r="DG165" s="2383"/>
      <c r="DH165" s="2383"/>
      <c r="DI165" s="2383"/>
      <c r="DJ165" s="2383"/>
      <c r="DK165" s="2383"/>
      <c r="DL165" s="2383"/>
      <c r="DM165" s="2383"/>
      <c r="DN165" s="2383"/>
      <c r="DO165" s="2383"/>
      <c r="DP165" s="2383"/>
      <c r="DQ165" s="2383"/>
      <c r="DR165" s="2383"/>
      <c r="DS165" s="2383"/>
      <c r="DT165" s="2383"/>
      <c r="DU165" s="2383"/>
      <c r="DV165" s="2383"/>
      <c r="DW165" s="2383"/>
      <c r="DX165" s="2383"/>
      <c r="DY165" s="2383"/>
      <c r="DZ165" s="2383"/>
      <c r="EA165" s="2383"/>
      <c r="EB165" s="2383"/>
      <c r="EC165" s="2383"/>
      <c r="ED165" s="2383"/>
      <c r="EE165" s="2383"/>
      <c r="EF165" s="2383"/>
      <c r="EG165" s="2383"/>
      <c r="EH165" s="2383"/>
      <c r="EI165" s="2383"/>
      <c r="EJ165" s="2383"/>
      <c r="EK165" s="2383"/>
      <c r="EL165" s="2383"/>
    </row>
    <row r="166" spans="1:142" ht="12.75" customHeight="1" collapsed="1">
      <c r="A166" s="1590" t="s">
        <v>755</v>
      </c>
      <c r="B166" s="205"/>
      <c r="C166" s="760"/>
      <c r="D166" s="740"/>
      <c r="E166" s="740"/>
      <c r="F166" s="740"/>
      <c r="G166" s="739"/>
      <c r="H166" s="740"/>
      <c r="I166" s="760"/>
      <c r="J166" s="740"/>
      <c r="K166" s="740"/>
      <c r="L166" s="740"/>
      <c r="M166" s="739"/>
      <c r="N166" s="740"/>
      <c r="O166" s="760"/>
      <c r="P166" s="740"/>
      <c r="Q166" s="740"/>
      <c r="R166" s="740"/>
      <c r="S166" s="739"/>
      <c r="T166" s="740"/>
      <c r="U166" s="760"/>
      <c r="V166" s="740"/>
      <c r="W166" s="740"/>
      <c r="X166" s="740"/>
      <c r="Y166" s="739"/>
      <c r="Z166" s="740"/>
      <c r="AA166" s="760"/>
      <c r="AB166" s="740"/>
      <c r="AC166" s="740"/>
      <c r="AD166" s="740"/>
      <c r="AE166" s="739"/>
      <c r="AF166" s="740"/>
      <c r="AG166" s="760"/>
      <c r="AH166" s="740"/>
      <c r="AI166" s="740"/>
      <c r="AJ166" s="740"/>
      <c r="AK166" s="739"/>
      <c r="AL166" s="740"/>
      <c r="AM166" s="760"/>
      <c r="AN166" s="740"/>
      <c r="AO166" s="740"/>
      <c r="AP166" s="740"/>
      <c r="AQ166" s="739"/>
      <c r="AR166" s="740"/>
      <c r="AS166" s="1432"/>
      <c r="AT166" s="740"/>
      <c r="AU166" s="740"/>
      <c r="AV166" s="1611"/>
      <c r="AW166" s="1610"/>
      <c r="AX166" s="1611"/>
      <c r="AY166" s="1432"/>
      <c r="AZ166" s="1611"/>
      <c r="BA166" s="1611"/>
      <c r="BB166" s="1611"/>
      <c r="BC166" s="1610"/>
      <c r="BD166" s="1611"/>
      <c r="BE166" s="1432"/>
      <c r="BF166" s="1611"/>
      <c r="BG166" s="1611"/>
      <c r="BH166" s="2462"/>
      <c r="BI166" s="1610"/>
      <c r="BJ166" s="1611"/>
      <c r="BK166" s="1432">
        <f>BI166+BK131</f>
        <v>25</v>
      </c>
      <c r="BL166" s="1611">
        <f>BK166+BL131</f>
        <v>108</v>
      </c>
      <c r="BM166" s="1611">
        <f>BL166+BM131</f>
        <v>197</v>
      </c>
      <c r="BN166" s="1611">
        <f>BM166+BN131</f>
        <v>286</v>
      </c>
      <c r="BO166" s="1610">
        <f>BN166</f>
        <v>286</v>
      </c>
      <c r="BP166" s="1611"/>
      <c r="BQ166" s="1432">
        <f>BN166+BQ131</f>
        <v>363</v>
      </c>
      <c r="BR166" s="1611">
        <f>BQ166+BR131</f>
        <v>443</v>
      </c>
      <c r="BS166" s="1611">
        <f>BR166+BS131</f>
        <v>527</v>
      </c>
      <c r="BT166" s="1611">
        <f>BS166+BT131</f>
        <v>611</v>
      </c>
      <c r="BU166" s="1610">
        <f>BT166</f>
        <v>611</v>
      </c>
      <c r="BV166" s="1611"/>
      <c r="BW166" s="1432">
        <f>BT166+BW131</f>
        <v>678</v>
      </c>
      <c r="BX166" s="1611">
        <f>BW166+BX131</f>
        <v>745</v>
      </c>
      <c r="BY166" s="1611">
        <f>BX166+BY131</f>
        <v>812</v>
      </c>
      <c r="BZ166" s="1611">
        <f>BY166+BZ131</f>
        <v>879</v>
      </c>
      <c r="CA166" s="1610">
        <f>BZ166</f>
        <v>879</v>
      </c>
      <c r="CB166" s="1611"/>
      <c r="CC166" s="1432">
        <f>BZ166+CC131</f>
        <v>939</v>
      </c>
      <c r="CD166" s="1611">
        <f>CC166+CD131</f>
        <v>999</v>
      </c>
      <c r="CE166" s="1611">
        <f>CD166+CE131</f>
        <v>1059</v>
      </c>
      <c r="CF166" s="1611">
        <f>CE166+CF131</f>
        <v>1119</v>
      </c>
      <c r="CG166" s="1610">
        <f>CF166</f>
        <v>1119</v>
      </c>
      <c r="CH166" s="1611"/>
      <c r="CI166" s="1432">
        <f>CF166+CI131</f>
        <v>1179</v>
      </c>
      <c r="CJ166" s="1611">
        <f>CI166+CJ131</f>
        <v>1239</v>
      </c>
      <c r="CK166" s="1611">
        <f>CJ166+CK131</f>
        <v>1299</v>
      </c>
      <c r="CL166" s="1611">
        <f>CK166+CL131</f>
        <v>1359</v>
      </c>
      <c r="CM166" s="1610">
        <f>CL166</f>
        <v>1359</v>
      </c>
      <c r="CN166" s="1611"/>
      <c r="CO166" s="1432">
        <f>CL166+CO131</f>
        <v>1419</v>
      </c>
      <c r="CP166" s="1611">
        <f>CO166+CP131</f>
        <v>1479</v>
      </c>
      <c r="CQ166" s="1611">
        <f>CP166+CQ131</f>
        <v>1539</v>
      </c>
      <c r="CR166" s="1611">
        <f>CQ166+CR131</f>
        <v>1599</v>
      </c>
      <c r="CS166" s="1610">
        <f>CR166</f>
        <v>1599</v>
      </c>
      <c r="CT166" s="205"/>
      <c r="CU166" s="205"/>
      <c r="CV166" s="205"/>
      <c r="CW166" s="205"/>
      <c r="CX166" s="205"/>
      <c r="CY166" s="2383"/>
      <c r="CZ166" s="2383"/>
      <c r="DA166" s="2383"/>
      <c r="DB166" s="2383"/>
      <c r="DC166" s="2383"/>
      <c r="DD166" s="2383"/>
      <c r="DE166" s="2383"/>
      <c r="DF166" s="2383"/>
      <c r="DG166" s="2383"/>
      <c r="DH166" s="2383"/>
      <c r="DI166" s="2383"/>
      <c r="DJ166" s="2383"/>
      <c r="DK166" s="2383"/>
      <c r="DL166" s="2383"/>
      <c r="DM166" s="2383"/>
      <c r="DN166" s="2383"/>
      <c r="DO166" s="2383"/>
      <c r="DP166" s="2383"/>
      <c r="DQ166" s="2383"/>
      <c r="DR166" s="2383"/>
      <c r="DS166" s="2383"/>
      <c r="DT166" s="2383"/>
      <c r="DU166" s="2383"/>
      <c r="DV166" s="2383"/>
      <c r="DW166" s="2383"/>
      <c r="DX166" s="2383"/>
      <c r="DY166" s="2383"/>
      <c r="DZ166" s="2383"/>
      <c r="EA166" s="2383"/>
      <c r="EB166" s="2383"/>
      <c r="EC166" s="2383"/>
      <c r="ED166" s="2383"/>
      <c r="EE166" s="2383"/>
      <c r="EF166" s="2383"/>
      <c r="EG166" s="2383"/>
      <c r="EH166" s="2383"/>
      <c r="EI166" s="2383"/>
      <c r="EJ166" s="2383"/>
      <c r="EK166" s="2383"/>
      <c r="EL166" s="2383"/>
    </row>
    <row r="167" spans="1:142" ht="12.75" hidden="1" customHeight="1" outlineLevel="1">
      <c r="A167" s="1028" t="s">
        <v>220</v>
      </c>
      <c r="B167" s="205"/>
      <c r="C167" s="760"/>
      <c r="D167" s="740"/>
      <c r="E167" s="740"/>
      <c r="F167" s="740"/>
      <c r="G167" s="739"/>
      <c r="H167" s="740"/>
      <c r="I167" s="760"/>
      <c r="J167" s="740"/>
      <c r="K167" s="740"/>
      <c r="L167" s="740"/>
      <c r="M167" s="739"/>
      <c r="N167" s="740"/>
      <c r="O167" s="760"/>
      <c r="P167" s="740"/>
      <c r="Q167" s="740"/>
      <c r="R167" s="740"/>
      <c r="S167" s="739"/>
      <c r="T167" s="740"/>
      <c r="U167" s="760"/>
      <c r="V167" s="740"/>
      <c r="W167" s="740"/>
      <c r="X167" s="740"/>
      <c r="Y167" s="739"/>
      <c r="Z167" s="740"/>
      <c r="AA167" s="760"/>
      <c r="AB167" s="740"/>
      <c r="AC167" s="740"/>
      <c r="AD167" s="740"/>
      <c r="AE167" s="739"/>
      <c r="AF167" s="740"/>
      <c r="AG167" s="760"/>
      <c r="AH167" s="740"/>
      <c r="AI167" s="740"/>
      <c r="AJ167" s="740"/>
      <c r="AK167" s="739"/>
      <c r="AL167" s="740"/>
      <c r="AM167" s="760"/>
      <c r="AN167" s="740"/>
      <c r="AO167" s="740"/>
      <c r="AP167" s="740"/>
      <c r="AQ167" s="739"/>
      <c r="AR167" s="740"/>
      <c r="AS167" s="1432"/>
      <c r="AT167" s="740"/>
      <c r="AU167" s="740"/>
      <c r="AV167" s="1611"/>
      <c r="AW167" s="1610"/>
      <c r="AX167" s="1611"/>
      <c r="AY167" s="1432"/>
      <c r="AZ167" s="1611"/>
      <c r="BA167" s="1611"/>
      <c r="BB167" s="1611"/>
      <c r="BC167" s="1610"/>
      <c r="BD167" s="1611"/>
      <c r="BE167" s="1432"/>
      <c r="BF167" s="1611"/>
      <c r="BG167" s="1611"/>
      <c r="BH167" s="1611"/>
      <c r="BI167" s="1610"/>
      <c r="BJ167" s="1611"/>
      <c r="BK167" s="1432">
        <f>AVERAGE(BI166,BK166)</f>
        <v>25</v>
      </c>
      <c r="BL167" s="1611">
        <f>AVERAGE(BK166,BL166)</f>
        <v>66.5</v>
      </c>
      <c r="BM167" s="1611">
        <f>AVERAGE(BL166,BM166)</f>
        <v>152.5</v>
      </c>
      <c r="BN167" s="1611">
        <f>AVERAGE(BM166,BN166)</f>
        <v>241.5</v>
      </c>
      <c r="BO167" s="1610">
        <f t="shared" si="480"/>
        <v>121.375</v>
      </c>
      <c r="BP167" s="1611"/>
      <c r="BQ167" s="1432">
        <f>AVERAGE(BN166,BQ166)</f>
        <v>324.5</v>
      </c>
      <c r="BR167" s="1611">
        <f>AVERAGE(BQ166,BR166)</f>
        <v>403</v>
      </c>
      <c r="BS167" s="1611">
        <f>AVERAGE(BR166,BS166)</f>
        <v>485</v>
      </c>
      <c r="BT167" s="1611">
        <f>AVERAGE(BS166,BT166)</f>
        <v>569</v>
      </c>
      <c r="BU167" s="1610">
        <f t="shared" si="481"/>
        <v>445.375</v>
      </c>
      <c r="BV167" s="1611"/>
      <c r="BW167" s="1432">
        <f>AVERAGE(BT166,BW166)</f>
        <v>644.5</v>
      </c>
      <c r="BX167" s="1611">
        <f>AVERAGE(BW166,BX166)</f>
        <v>711.5</v>
      </c>
      <c r="BY167" s="1611">
        <f>AVERAGE(BX166,BY166)</f>
        <v>778.5</v>
      </c>
      <c r="BZ167" s="1611">
        <f>AVERAGE(BY166,BZ166)</f>
        <v>845.5</v>
      </c>
      <c r="CA167" s="1610">
        <f t="shared" si="482"/>
        <v>745</v>
      </c>
      <c r="CB167" s="1611"/>
      <c r="CC167" s="1432">
        <f>AVERAGE(BZ166,CC166)</f>
        <v>909</v>
      </c>
      <c r="CD167" s="1611">
        <f>AVERAGE(CC166,CD166)</f>
        <v>969</v>
      </c>
      <c r="CE167" s="1611">
        <f>AVERAGE(CD166,CE166)</f>
        <v>1029</v>
      </c>
      <c r="CF167" s="1611">
        <f>AVERAGE(CE166,CF166)</f>
        <v>1089</v>
      </c>
      <c r="CG167" s="1610">
        <f t="shared" si="483"/>
        <v>999</v>
      </c>
      <c r="CH167" s="1611"/>
      <c r="CI167" s="1432">
        <f>AVERAGE(CF166,CI166)</f>
        <v>1149</v>
      </c>
      <c r="CJ167" s="1611">
        <f>AVERAGE(CI166,CJ166)</f>
        <v>1209</v>
      </c>
      <c r="CK167" s="1611">
        <f>AVERAGE(CJ166,CK166)</f>
        <v>1269</v>
      </c>
      <c r="CL167" s="1611">
        <f>AVERAGE(CK166,CL166)</f>
        <v>1329</v>
      </c>
      <c r="CM167" s="1610">
        <f t="shared" ref="CM167" si="488">AVERAGE(CI167:CL167)</f>
        <v>1239</v>
      </c>
      <c r="CN167" s="1611"/>
      <c r="CO167" s="1432">
        <f>AVERAGE(CL166,CO166)</f>
        <v>1389</v>
      </c>
      <c r="CP167" s="1611">
        <f>AVERAGE(CO166,CP166)</f>
        <v>1449</v>
      </c>
      <c r="CQ167" s="1611">
        <f>AVERAGE(CP166,CQ166)</f>
        <v>1509</v>
      </c>
      <c r="CR167" s="1611">
        <f>AVERAGE(CQ166,CR166)</f>
        <v>1569</v>
      </c>
      <c r="CS167" s="1610">
        <f t="shared" ref="CS167" si="489">AVERAGE(CO167:CR167)</f>
        <v>1479</v>
      </c>
      <c r="CT167" s="205"/>
      <c r="CU167" s="205"/>
      <c r="CV167" s="205"/>
      <c r="CW167" s="205"/>
      <c r="CX167" s="205"/>
      <c r="CY167" s="2383"/>
      <c r="CZ167" s="2383"/>
      <c r="DA167" s="2383"/>
      <c r="DB167" s="2383"/>
      <c r="DC167" s="2383"/>
      <c r="DD167" s="2383"/>
      <c r="DE167" s="2383"/>
      <c r="DF167" s="2383"/>
      <c r="DG167" s="2383"/>
      <c r="DH167" s="2383"/>
      <c r="DI167" s="2383"/>
      <c r="DJ167" s="2383"/>
      <c r="DK167" s="2383"/>
      <c r="DL167" s="2383"/>
      <c r="DM167" s="2383"/>
      <c r="DN167" s="2383"/>
      <c r="DO167" s="2383"/>
      <c r="DP167" s="2383"/>
      <c r="DQ167" s="2383"/>
      <c r="DR167" s="2383"/>
      <c r="DS167" s="2383"/>
      <c r="DT167" s="2383"/>
      <c r="DU167" s="2383"/>
      <c r="DV167" s="2383"/>
      <c r="DW167" s="2383"/>
      <c r="DX167" s="2383"/>
      <c r="DY167" s="2383"/>
      <c r="DZ167" s="2383"/>
      <c r="EA167" s="2383"/>
      <c r="EB167" s="2383"/>
      <c r="EC167" s="2383"/>
      <c r="ED167" s="2383"/>
      <c r="EE167" s="2383"/>
      <c r="EF167" s="2383"/>
      <c r="EG167" s="2383"/>
      <c r="EH167" s="2383"/>
      <c r="EI167" s="2383"/>
      <c r="EJ167" s="2383"/>
      <c r="EK167" s="2383"/>
      <c r="EL167" s="2383"/>
    </row>
    <row r="168" spans="1:142" collapsed="1">
      <c r="A168" s="1590" t="s">
        <v>415</v>
      </c>
      <c r="B168" s="205"/>
      <c r="C168" s="760"/>
      <c r="D168" s="740"/>
      <c r="E168" s="740"/>
      <c r="F168" s="740"/>
      <c r="G168" s="739"/>
      <c r="H168" s="740"/>
      <c r="I168" s="760"/>
      <c r="J168" s="740"/>
      <c r="K168" s="740"/>
      <c r="L168" s="740"/>
      <c r="M168" s="739"/>
      <c r="N168" s="740"/>
      <c r="O168" s="760"/>
      <c r="P168" s="740"/>
      <c r="Q168" s="740"/>
      <c r="R168" s="740"/>
      <c r="S168" s="1610">
        <f>S163+S155+S153+S151+S149+S145+S157+S159+S161+S147</f>
        <v>583</v>
      </c>
      <c r="T168" s="740"/>
      <c r="U168" s="760"/>
      <c r="V168" s="740"/>
      <c r="W168" s="740"/>
      <c r="X168" s="740"/>
      <c r="Y168" s="1610">
        <f>Y163+Y155+Y153+Y151+Y149+Y145+Y157+Y159+Y161+Y147</f>
        <v>935.94999999999993</v>
      </c>
      <c r="Z168" s="740"/>
      <c r="AA168" s="760"/>
      <c r="AB168" s="740"/>
      <c r="AC168" s="740"/>
      <c r="AD168" s="740"/>
      <c r="AE168" s="1610">
        <f>AE163+AE155+AE153+AE151+AE149+AE145+AE157+AE159+AE161+AE147</f>
        <v>1414</v>
      </c>
      <c r="AF168" s="740"/>
      <c r="AG168" s="760"/>
      <c r="AH168" s="740"/>
      <c r="AI168" s="740"/>
      <c r="AJ168" s="740"/>
      <c r="AK168" s="1610">
        <f>AK163+AK155+AK153+AK151+AK149+AK145+AK157+AK159+AK161+AK147</f>
        <v>2185.5</v>
      </c>
      <c r="AL168" s="740"/>
      <c r="AM168" s="760"/>
      <c r="AN168" s="740"/>
      <c r="AO168" s="740"/>
      <c r="AP168" s="740"/>
      <c r="AQ168" s="739">
        <f>AQ163+AQ155+AQ153+AQ151+AQ149+AQ145+AQ157+AQ159+AQ161+AQ147</f>
        <v>3538.4920300751878</v>
      </c>
      <c r="AR168" s="740"/>
      <c r="AS168" s="1432"/>
      <c r="AT168" s="740"/>
      <c r="AU168" s="740"/>
      <c r="AV168" s="1611"/>
      <c r="AW168" s="1610">
        <f>AW163+AW155+AW153+AW151+AW149+AW145+AW157+AW159+AW161+AW147</f>
        <v>5214.0257268170426</v>
      </c>
      <c r="AX168" s="1611"/>
      <c r="AY168" s="1432"/>
      <c r="AZ168" s="1611"/>
      <c r="BA168" s="1611"/>
      <c r="BB168" s="1611"/>
      <c r="BC168" s="1610">
        <f>BC163+BC155+BC153+BC151+BC149+BC145+BC157+BC159+BC161+BC147</f>
        <v>7272.764360150376</v>
      </c>
      <c r="BD168" s="1611"/>
      <c r="BE168" s="1432"/>
      <c r="BF168" s="1611"/>
      <c r="BG168" s="1611"/>
      <c r="BH168" s="1611"/>
      <c r="BI168" s="1610">
        <f>BI163+BI155+BI153+BI151+BI149+BI145+BI157+BI159+BI161+BI147</f>
        <v>9328.507865143938</v>
      </c>
      <c r="BJ168" s="1611"/>
      <c r="BK168" s="2174"/>
      <c r="BL168" s="195"/>
      <c r="BM168" s="1611"/>
      <c r="BN168" s="1611"/>
      <c r="BO168" s="1610">
        <f>BO163+BO155+BO153+BO151+BO149+BO145+BO157+BO159+BO161+BO147+BO165+BO167</f>
        <v>11309.574439305929</v>
      </c>
      <c r="BP168" s="1611"/>
      <c r="BQ168" s="1432"/>
      <c r="BR168" s="1611"/>
      <c r="BS168" s="1611"/>
      <c r="BT168" s="1611"/>
      <c r="BU168" s="1610">
        <f>BU163+BU155+BU153+BU151+BU149+BU145+BU157+BU159+BU161+BU147+BU165+BU167</f>
        <v>13227.701529110969</v>
      </c>
      <c r="BV168" s="1611"/>
      <c r="BW168" s="1432"/>
      <c r="BX168" s="1611"/>
      <c r="BY168" s="1611"/>
      <c r="BZ168" s="1611"/>
      <c r="CA168" s="1610">
        <f>CA163+CA155+CA153+CA151+CA149+CA145+CA157+CA159+CA161+CA147+CA165+CA167</f>
        <v>14902.951529110969</v>
      </c>
      <c r="CB168" s="1611"/>
      <c r="CC168" s="1432"/>
      <c r="CD168" s="1611"/>
      <c r="CE168" s="1611"/>
      <c r="CF168" s="1611"/>
      <c r="CG168" s="1610">
        <f>CG163+CG155+CG153+CG151+CG149+CG145+CG157+CG159+CG161+CG147+CG165+CG167</f>
        <v>16536.951529110971</v>
      </c>
      <c r="CH168" s="1611"/>
      <c r="CI168" s="1432"/>
      <c r="CJ168" s="1611"/>
      <c r="CK168" s="1611"/>
      <c r="CL168" s="1611"/>
      <c r="CM168" s="1610">
        <f>CM163+CM155+CM153+CM151+CM149+CM145+CM157+CM159+CM161+CM147+CM165+CM167</f>
        <v>18145.780536441795</v>
      </c>
      <c r="CN168" s="1611"/>
      <c r="CO168" s="1432"/>
      <c r="CP168" s="1611"/>
      <c r="CQ168" s="1611"/>
      <c r="CR168" s="1611"/>
      <c r="CS168" s="1610">
        <f>CS163+CS155+CS153+CS151+CS149+CS145+CS157+CS159+CS161+CS147+CS165+CS167</f>
        <v>19944.245548659841</v>
      </c>
      <c r="CT168" s="205"/>
      <c r="CU168" s="205"/>
      <c r="CV168" s="205"/>
      <c r="CW168" s="205"/>
      <c r="CX168" s="205"/>
      <c r="CY168" s="1822">
        <f>+AA169</f>
        <v>637.70000000000005</v>
      </c>
      <c r="CZ168" s="1822">
        <f>+AB169</f>
        <v>807.69400000000007</v>
      </c>
      <c r="DA168" s="1822">
        <f>+AC169</f>
        <v>907.5200000000001</v>
      </c>
      <c r="DB168" s="1822">
        <f>+AD169</f>
        <v>1003.3800000000001</v>
      </c>
      <c r="DC168" s="1822">
        <f>+AG169</f>
        <v>1069.98</v>
      </c>
      <c r="DD168" s="1822">
        <f>+AH169</f>
        <v>1133.96</v>
      </c>
      <c r="DE168" s="1822">
        <f>+AI169</f>
        <v>1198.3900000000001</v>
      </c>
      <c r="DF168" s="1822">
        <f>+AJ169</f>
        <v>1252.8900000000001</v>
      </c>
      <c r="DG168" s="1822">
        <f>+AM169</f>
        <v>1313.89</v>
      </c>
      <c r="DH168" s="1822">
        <f>+AN169</f>
        <v>1386.89</v>
      </c>
      <c r="DI168" s="1822">
        <f>+AO169</f>
        <v>1471.89</v>
      </c>
      <c r="DJ168" s="1822">
        <f>+AP169</f>
        <v>1544.624060150376</v>
      </c>
      <c r="DK168" s="1822">
        <f>+AS169</f>
        <v>1619.624060150376</v>
      </c>
      <c r="DL168" s="1822">
        <f>+AT169</f>
        <v>1684.624060150376</v>
      </c>
      <c r="DM168" s="1822">
        <f>+AU169</f>
        <v>1749.624060150376</v>
      </c>
      <c r="DN168" s="1822">
        <f>+AV169</f>
        <v>1817.624060150376</v>
      </c>
      <c r="DO168" s="1822">
        <f>+AY169</f>
        <v>1877.624060150376</v>
      </c>
      <c r="DP168" s="1822">
        <f>+AZ169</f>
        <v>1944.6240601503764</v>
      </c>
      <c r="DQ168" s="1822">
        <f>+BA169</f>
        <v>1999.624060150376</v>
      </c>
      <c r="DR168" s="1822">
        <f>+BB169</f>
        <v>2052.624060150376</v>
      </c>
      <c r="DS168" s="1822">
        <f>+BE169</f>
        <v>2001.6579203007523</v>
      </c>
      <c r="DT168" s="1822">
        <f>+BF169</f>
        <v>1992.6249804511281</v>
      </c>
      <c r="DU168" s="1822">
        <f>+BG169</f>
        <v>1951.6997804511282</v>
      </c>
      <c r="DV168" s="1822">
        <f>+BH169</f>
        <v>1871.6997804511279</v>
      </c>
      <c r="DW168" s="1822">
        <f>+BK169+BK164+BK166</f>
        <v>1876.6997804511279</v>
      </c>
      <c r="DX168" s="1822">
        <f>+BL169+BL164+BL166</f>
        <v>1929.6997804511279</v>
      </c>
      <c r="DY168" s="1822">
        <f>+BM169+BM164+BM166</f>
        <v>1995.6997804511279</v>
      </c>
      <c r="DZ168" s="1822">
        <f>+BN169+BN164+BN166</f>
        <v>2064.6997804511279</v>
      </c>
      <c r="EA168" s="1822">
        <f>+BQ169+BQ164+BQ166</f>
        <v>2122.6997804511279</v>
      </c>
      <c r="EB168" s="1822">
        <f>+BR169+BR164+BR166</f>
        <v>2142.6997804511279</v>
      </c>
      <c r="EC168" s="1822">
        <f>+BS169+BS164+BS166</f>
        <v>2108.6997804511279</v>
      </c>
      <c r="ED168" s="1822">
        <f>+BT169+BT164+BT166</f>
        <v>2074.6997804511279</v>
      </c>
      <c r="EE168" s="1822">
        <f>+BW169+BW164+BW166</f>
        <v>2031.6997804511279</v>
      </c>
      <c r="EF168" s="1822">
        <f>+BX169+BX164+BX166</f>
        <v>1988.6997804511279</v>
      </c>
      <c r="EG168" s="1822">
        <f>+BY169+BY164+BY166</f>
        <v>1945.6997804511279</v>
      </c>
      <c r="EH168" s="1822">
        <f>+BZ169+BZ164+BZ166</f>
        <v>1902.6997804511279</v>
      </c>
      <c r="EI168" s="1822">
        <f>+CC169+CC164+CC166</f>
        <v>1862.6997804511279</v>
      </c>
      <c r="EJ168" s="1822">
        <f>+CD169+CD164+CD166</f>
        <v>1822.6997804511279</v>
      </c>
      <c r="EK168" s="1822">
        <f>+CE169+CE164+CE166</f>
        <v>1782.6997804511279</v>
      </c>
      <c r="EL168" s="1822">
        <f>+CF169+CF164+CF166</f>
        <v>1742.6997804511279</v>
      </c>
    </row>
    <row r="169" spans="1:142">
      <c r="A169" s="1590" t="s">
        <v>572</v>
      </c>
      <c r="B169" s="205"/>
      <c r="C169" s="760"/>
      <c r="D169" s="740"/>
      <c r="E169" s="740"/>
      <c r="F169" s="740"/>
      <c r="G169" s="739"/>
      <c r="H169" s="740"/>
      <c r="I169" s="760"/>
      <c r="J169" s="740"/>
      <c r="K169" s="740"/>
      <c r="L169" s="740"/>
      <c r="M169" s="739"/>
      <c r="N169" s="740"/>
      <c r="O169" s="760"/>
      <c r="P169" s="740"/>
      <c r="Q169" s="740"/>
      <c r="R169" s="740"/>
      <c r="S169" s="1610">
        <f>SUM(S152,S154,S156,S158)</f>
        <v>0</v>
      </c>
      <c r="T169" s="740"/>
      <c r="U169" s="760"/>
      <c r="V169" s="740"/>
      <c r="W169" s="740"/>
      <c r="X169" s="740"/>
      <c r="Y169" s="1610">
        <f>SUM(Y152,Y154,Y156,Y158)</f>
        <v>449.88</v>
      </c>
      <c r="Z169" s="740"/>
      <c r="AA169" s="1432">
        <f>SUM(AA152,AA154,AA156,AA158)</f>
        <v>637.70000000000005</v>
      </c>
      <c r="AB169" s="1611">
        <f>SUM(AB152,AB154,AB156,AB158)</f>
        <v>807.69400000000007</v>
      </c>
      <c r="AC169" s="1611">
        <f>SUM(AC152,AC154,AC156,AC158)</f>
        <v>907.5200000000001</v>
      </c>
      <c r="AD169" s="1611">
        <f>SUM(AD152,AD154,AD156,AD158)</f>
        <v>1003.3800000000001</v>
      </c>
      <c r="AE169" s="1610">
        <f>SUM(AE152,AE154,AE156,AE158)</f>
        <v>1003.3800000000001</v>
      </c>
      <c r="AF169" s="740"/>
      <c r="AG169" s="1432">
        <f>SUM(AG152,AG154,AG156,AG158)</f>
        <v>1069.98</v>
      </c>
      <c r="AH169" s="1611">
        <f>SUM(AH152,AH154,AH156,AH158)</f>
        <v>1133.96</v>
      </c>
      <c r="AI169" s="1611">
        <f>SUM(AI152,AI154,AI156,AI158)</f>
        <v>1198.3900000000001</v>
      </c>
      <c r="AJ169" s="1611">
        <f>SUM(AJ152,AJ154,AJ156,AJ158)</f>
        <v>1252.8900000000001</v>
      </c>
      <c r="AK169" s="1610">
        <f>SUM(AK152,AK154,AK156,AK158)</f>
        <v>1252.8900000000001</v>
      </c>
      <c r="AL169" s="740"/>
      <c r="AM169" s="1432">
        <f>SUM(AM152,AM154,AM156,AM158)</f>
        <v>1313.89</v>
      </c>
      <c r="AN169" s="1611">
        <f>SUM(AN152,AN154,AN156,AN158)</f>
        <v>1386.89</v>
      </c>
      <c r="AO169" s="1611">
        <f>SUM(AO152,AO154,AO156,AO158)</f>
        <v>1471.89</v>
      </c>
      <c r="AP169" s="1611">
        <f>SUM(AP152,AP154,AP156,AP158)</f>
        <v>1544.624060150376</v>
      </c>
      <c r="AQ169" s="1610">
        <f>SUM(AQ152,AQ154,AQ156,AQ158)</f>
        <v>1544.624060150376</v>
      </c>
      <c r="AR169" s="740"/>
      <c r="AS169" s="1432">
        <f>SUM(AS152,AS154,AS156,AS158)</f>
        <v>1619.624060150376</v>
      </c>
      <c r="AT169" s="1611">
        <f>SUM(AT152,AT154,AT156,AT158)</f>
        <v>1684.624060150376</v>
      </c>
      <c r="AU169" s="1611">
        <f>SUM(AU152,AU154,AU156,AU158)</f>
        <v>1749.624060150376</v>
      </c>
      <c r="AV169" s="1611">
        <f>SUM(AV152,AV154,AV156,AV158)</f>
        <v>1817.624060150376</v>
      </c>
      <c r="AW169" s="1610">
        <f>SUM(AW152,AW154,AW156,AW158)</f>
        <v>1817.624060150376</v>
      </c>
      <c r="AX169" s="1611"/>
      <c r="AY169" s="1432">
        <f>SUM(AY152,AY154,AY156,AY158)</f>
        <v>1877.624060150376</v>
      </c>
      <c r="AZ169" s="1611">
        <f>SUM(AZ152,AZ154,AZ156,AZ158)</f>
        <v>1944.6240601503764</v>
      </c>
      <c r="BA169" s="1611">
        <f>SUM(BA152,BA154,BA156,BA158)</f>
        <v>1999.624060150376</v>
      </c>
      <c r="BB169" s="1611">
        <f>SUM(BB152,BB154,BB156,BB158)</f>
        <v>2052.624060150376</v>
      </c>
      <c r="BC169" s="1610">
        <f>SUM(BC152,BC154,BC156,BC158)</f>
        <v>2052.624060150376</v>
      </c>
      <c r="BD169" s="1611"/>
      <c r="BE169" s="1432">
        <f>SUM(BE152,BE154,BE156,BE158)</f>
        <v>2001.6579203007523</v>
      </c>
      <c r="BF169" s="1611">
        <f>SUM(BF152,BF154,BF156,BF158)</f>
        <v>1992.6249804511281</v>
      </c>
      <c r="BG169" s="1611">
        <f>SUM(BG152,BG154,BG156,BG158)</f>
        <v>1951.6997804511282</v>
      </c>
      <c r="BH169" s="1611">
        <f>SUM(BH152,BH154,BH156,BH158)</f>
        <v>1871.6997804511279</v>
      </c>
      <c r="BI169" s="1610">
        <f>SUM(BI152,BI154,BI156,BI158)</f>
        <v>1871.6997804511279</v>
      </c>
      <c r="BJ169" s="1611"/>
      <c r="BK169" s="1432">
        <f>SUM(BK152,BK154,BK156,BK158)</f>
        <v>1851.6997804511279</v>
      </c>
      <c r="BL169" s="1611">
        <f>SUM(BL152,BL154,BL156,BL158)</f>
        <v>1821.6997804511279</v>
      </c>
      <c r="BM169" s="1611">
        <f>SUM(BM152,BM154,BM156,BM158)</f>
        <v>1798.6997804511279</v>
      </c>
      <c r="BN169" s="1611">
        <f>SUM(BN152,BN154,BN156,BN158)</f>
        <v>1778.6997804511279</v>
      </c>
      <c r="BO169" s="1610">
        <f>SUM(BO152,BO154,BO156,BO158)+BO160+BO162</f>
        <v>2204.8415291109677</v>
      </c>
      <c r="BP169" s="1611"/>
      <c r="BQ169" s="1432">
        <f>SUM(BQ152,BQ154,BQ156,BQ158)</f>
        <v>1759.6997804511279</v>
      </c>
      <c r="BR169" s="1611">
        <f>SUM(BR152,BR154,BR156,BR158)</f>
        <v>1699.6997804511279</v>
      </c>
      <c r="BS169" s="1611">
        <f>SUM(BS152,BS154,BS156,BS158)</f>
        <v>1581.6997804511279</v>
      </c>
      <c r="BT169" s="1611">
        <f>SUM(BT152,BT154,BT156,BT158)</f>
        <v>1463.6997804511279</v>
      </c>
      <c r="BU169" s="1610">
        <f>SUM(BU152,BU154,BU156,BU158)</f>
        <v>1463.6997804511279</v>
      </c>
      <c r="BV169" s="1611"/>
      <c r="BW169" s="1432">
        <f>SUM(BW152,BW154,BW156,BW158)</f>
        <v>1353.6997804511279</v>
      </c>
      <c r="BX169" s="1611">
        <f>SUM(BX152,BX154,BX156,BX158)</f>
        <v>1243.6997804511279</v>
      </c>
      <c r="BY169" s="1611">
        <f>SUM(BY152,BY154,BY156,BY158)</f>
        <v>1133.6997804511279</v>
      </c>
      <c r="BZ169" s="1611">
        <f>SUM(BZ152,BZ154,BZ156,BZ158)</f>
        <v>1023.699780451128</v>
      </c>
      <c r="CA169" s="1610">
        <f>SUM(CA152,CA154,CA156,CA158)</f>
        <v>1023.699780451128</v>
      </c>
      <c r="CB169" s="1611"/>
      <c r="CC169" s="1432">
        <f>SUM(CC152,CC154,CC156,CC158)</f>
        <v>923.69978045112805</v>
      </c>
      <c r="CD169" s="1611">
        <f>SUM(CD152,CD154,CD156,CD158)</f>
        <v>823.69978045112805</v>
      </c>
      <c r="CE169" s="1611">
        <f>SUM(CE152,CE154,CE156,CE158)</f>
        <v>723.69978045112794</v>
      </c>
      <c r="CF169" s="1611">
        <f>SUM(CF152,CF154,CF156,CF158)</f>
        <v>623.69978045112794</v>
      </c>
      <c r="CG169" s="1610">
        <f>SUM(CG152,CG154,CG156,CG158)</f>
        <v>623.69978045112794</v>
      </c>
      <c r="CH169" s="1611"/>
      <c r="CI169" s="1432">
        <f>SUM(CI152,CI154,CI156,CI158)</f>
        <v>523.69978045112794</v>
      </c>
      <c r="CJ169" s="1611">
        <f>SUM(CJ152,CJ154,CJ156,CJ158)</f>
        <v>373.69978045112799</v>
      </c>
      <c r="CK169" s="1611">
        <f>SUM(CK152,CK154,CK156,CK158)</f>
        <v>257.24380000000008</v>
      </c>
      <c r="CL169" s="1611">
        <f>SUM(CL152,CL154,CL156,CL158)</f>
        <v>207.24380000000008</v>
      </c>
      <c r="CM169" s="1610">
        <f>SUM(CM152,CM154,CM156,CM158)</f>
        <v>207.24380000000008</v>
      </c>
      <c r="CN169" s="1611"/>
      <c r="CO169" s="1432">
        <f>SUM(CO152,CO154,CO156,CO158)</f>
        <v>207.24380000000008</v>
      </c>
      <c r="CP169" s="1611">
        <f>SUM(CP152,CP154,CP156,CP158)</f>
        <v>157.24380000000008</v>
      </c>
      <c r="CQ169" s="1611">
        <f>SUM(CQ152,CQ154,CQ156,CQ158)</f>
        <v>107.24380000000008</v>
      </c>
      <c r="CR169" s="1611">
        <f>SUM(CR152,CR154,CR156,CR158)</f>
        <v>57.243800000000078</v>
      </c>
      <c r="CS169" s="1610">
        <f>SUM(CS152,CS154,CS156,CS158)</f>
        <v>57.243800000000078</v>
      </c>
      <c r="CT169" s="205"/>
      <c r="CU169" s="205"/>
      <c r="CV169" s="205"/>
      <c r="CW169" s="205"/>
      <c r="CX169" s="205"/>
      <c r="CY169" s="205"/>
      <c r="CZ169" s="205"/>
      <c r="DA169" s="205"/>
      <c r="DB169" s="205"/>
      <c r="DC169" s="205"/>
      <c r="DD169" s="205"/>
      <c r="DE169" s="205"/>
      <c r="DF169" s="205"/>
      <c r="DG169" s="205"/>
      <c r="DH169" s="205"/>
      <c r="DI169" s="205"/>
      <c r="DJ169" s="205"/>
      <c r="DK169" s="205"/>
      <c r="DL169" s="205"/>
      <c r="DM169" s="205"/>
      <c r="DN169" s="205"/>
      <c r="DO169" s="205"/>
      <c r="DP169" s="205"/>
      <c r="DQ169" s="205"/>
      <c r="DR169" s="205"/>
      <c r="DS169" s="205"/>
      <c r="DT169" s="205"/>
    </row>
    <row r="170" spans="1:142">
      <c r="A170" s="2443" t="s">
        <v>574</v>
      </c>
      <c r="B170" s="809"/>
      <c r="C170" s="2444"/>
      <c r="D170" s="2445"/>
      <c r="E170" s="2445"/>
      <c r="F170" s="2445"/>
      <c r="G170" s="2446"/>
      <c r="H170" s="2445"/>
      <c r="I170" s="2444"/>
      <c r="J170" s="2445"/>
      <c r="K170" s="2445"/>
      <c r="L170" s="2445"/>
      <c r="M170" s="2446"/>
      <c r="N170" s="2445"/>
      <c r="O170" s="2444"/>
      <c r="P170" s="2445"/>
      <c r="Q170" s="2445"/>
      <c r="R170" s="2445"/>
      <c r="S170" s="2446"/>
      <c r="T170" s="2445"/>
      <c r="U170" s="2444"/>
      <c r="V170" s="2445"/>
      <c r="W170" s="2445"/>
      <c r="X170" s="2445"/>
      <c r="Y170" s="2447"/>
      <c r="Z170" s="2445"/>
      <c r="AA170" s="2444"/>
      <c r="AB170" s="2445"/>
      <c r="AC170" s="2445"/>
      <c r="AD170" s="2445"/>
      <c r="AE170" s="2447"/>
      <c r="AF170" s="2445"/>
      <c r="AG170" s="2444"/>
      <c r="AH170" s="2445"/>
      <c r="AI170" s="2448"/>
      <c r="AJ170" s="2445"/>
      <c r="AK170" s="2447"/>
      <c r="AL170" s="2445"/>
      <c r="AM170" s="2449">
        <f>+AM144+AM148+AM150+AM152+AM154+AM156+AM158+AM160+AM162+AM146</f>
        <v>3132</v>
      </c>
      <c r="AN170" s="2450">
        <f>+AN144+AN148+AN150+AN152+AN154+AN156+AN158+AN160+AN162+AN146</f>
        <v>3465</v>
      </c>
      <c r="AO170" s="2450">
        <f>+AO144+AO148+AO150+AO152+AO154+AO156+AO158+AO160+AO162+AO146</f>
        <v>3810</v>
      </c>
      <c r="AP170" s="2451">
        <f>+AP144+AP148+AP150+AP152+AP154+AP156+AP158+AP160+AP162+AP146</f>
        <v>4162.7340601503756</v>
      </c>
      <c r="AQ170" s="2447">
        <f>+AQ144+AQ148+AQ150+AQ152+AQ154+AQ156+AQ158+AQ160+AQ162+AQ146</f>
        <v>4162.7340601503756</v>
      </c>
      <c r="AR170" s="2445"/>
      <c r="AS170" s="2449">
        <f>+AS144+AS148+AS150+AS152+AS154+AS156+AS158+AS160+AS162+AS146</f>
        <v>4614.7340601503756</v>
      </c>
      <c r="AT170" s="2450">
        <f>+AT144+AT148+AT150+AT152+AT154+AT156+AT158+AT160+AT162+AT146</f>
        <v>5128.7340601503756</v>
      </c>
      <c r="AU170" s="2450">
        <f>+AU144+AU148+AU150+AU152+AU154+AU156+AU158+AU160+AU162+AU146</f>
        <v>5658.7340601503756</v>
      </c>
      <c r="AV170" s="2451">
        <f>+AV144+AV148+AV150+AV152+AV154+AV156+AV158+AV160+AV162+AV146</f>
        <v>6252.7340601503756</v>
      </c>
      <c r="AW170" s="2447">
        <f>+AW144+AW148+AW150+AW152+AW154+AW156+AW158+AW160+AW162+AW146</f>
        <v>6252.7340601503756</v>
      </c>
      <c r="AX170" s="2450"/>
      <c r="AY170" s="2449">
        <f>+AY144+AY148+AY150+AY152+AY154+AY156+AY158+AY160+AY162+AY146</f>
        <v>6774.6340601503753</v>
      </c>
      <c r="AZ170" s="2450">
        <f>+AZ144+AZ148+AZ150+AZ152+AZ154+AZ156+AZ158+AZ160+AZ162+AZ146</f>
        <v>7286.7020601503755</v>
      </c>
      <c r="BA170" s="2450">
        <f>+BA144+BA148+BA150+BA152+BA154+BA156+BA158+BA160+BA162+BA146</f>
        <v>7736.0020601503757</v>
      </c>
      <c r="BB170" s="2451">
        <f>+BB144+BB148+BB150+BB152+BB154+BB156+BB158+BB160+BB162+BB146</f>
        <v>8334.7044601503749</v>
      </c>
      <c r="BC170" s="2447">
        <f>+BC144+BC148+BC150+BC152+BC154+BC156+BC158+BC160+BC162+BC146</f>
        <v>8334.7044601503749</v>
      </c>
      <c r="BD170" s="2445"/>
      <c r="BE170" s="2449">
        <f>+BE144+BE148+BE150+BE152+BE154+BE156+BE158+BE160+BE162+BE146</f>
        <v>8809.3387203007514</v>
      </c>
      <c r="BF170" s="2450">
        <f>+BF144+BF148+BF150+BF152+BF154+BF156+BF158+BF160+BF162+BF146</f>
        <v>9319.335232451127</v>
      </c>
      <c r="BG170" s="2450">
        <f>+BG144+BG148+BG150+BG152+BG154+BG156+BG158+BG160+BG162+BG146</f>
        <v>9818.9917218911287</v>
      </c>
      <c r="BH170" s="2451">
        <f>+BH144+BH148+BH150+BH152+BH154+BH156+BH158+BH160+BH162+BH146</f>
        <v>10293.02711171513</v>
      </c>
      <c r="BI170" s="2447">
        <f>+BI144+BI148+BI150+BI152+BI154+BI156+BI158+BI160+BI162+BI146</f>
        <v>10293.02711171513</v>
      </c>
      <c r="BJ170" s="2445"/>
      <c r="BK170" s="2449">
        <f>+BK144+BK148+BK150+BK152+BK154+BK156+BK158+BK160+BK162+BK146+BK164+BK166</f>
        <v>10820.90537858873</v>
      </c>
      <c r="BL170" s="2450">
        <f t="shared" ref="BL170:BM170" si="490">+BL144+BL148+BL150+BL152+BL154+BL156+BL158+BL160+BL162+BL146+BL164+BL166</f>
        <v>11308.951529110969</v>
      </c>
      <c r="BM170" s="2450">
        <f t="shared" si="490"/>
        <v>11799.951529110969</v>
      </c>
      <c r="BN170" s="2451">
        <f>+BN144+BN148+BN150+BN152+BN154+BN156+BN158+BN160+BN162+BN146+BN164+BN166</f>
        <v>12298.951529110969</v>
      </c>
      <c r="BO170" s="2447">
        <f>+BO144+BO148+BO150+BO152+BO154+BO156+BO158+BO160+BO162+BO146+BO164+BO166</f>
        <v>12298.951529110969</v>
      </c>
      <c r="BP170" s="2445"/>
      <c r="BQ170" s="2449">
        <f t="shared" ref="BQ170:BU170" si="491">+BQ144+BQ148+BQ150+BQ152+BQ154+BQ156+BQ158+BQ160+BQ162+BQ146+BQ164+BQ166</f>
        <v>12786.951529110969</v>
      </c>
      <c r="BR170" s="2450">
        <f t="shared" si="491"/>
        <v>13256.951529110969</v>
      </c>
      <c r="BS170" s="2450">
        <f t="shared" si="491"/>
        <v>13672.951529110969</v>
      </c>
      <c r="BT170" s="2451">
        <f t="shared" si="491"/>
        <v>14088.951529110969</v>
      </c>
      <c r="BU170" s="2447">
        <f t="shared" si="491"/>
        <v>14088.951529110969</v>
      </c>
      <c r="BV170" s="2445"/>
      <c r="BW170" s="2449">
        <f t="shared" ref="BW170:CA170" si="492">+BW144+BW148+BW150+BW152+BW154+BW156+BW158+BW160+BW162+BW146+BW164+BW166</f>
        <v>14495.951529110969</v>
      </c>
      <c r="BX170" s="2450">
        <f t="shared" si="492"/>
        <v>14902.951529110969</v>
      </c>
      <c r="BY170" s="2450">
        <f t="shared" si="492"/>
        <v>15309.951529110969</v>
      </c>
      <c r="BZ170" s="2451">
        <f t="shared" si="492"/>
        <v>15716.951529110969</v>
      </c>
      <c r="CA170" s="2447">
        <f t="shared" si="492"/>
        <v>15716.951529110969</v>
      </c>
      <c r="CB170" s="2445"/>
      <c r="CC170" s="2449">
        <f t="shared" ref="CC170:CG170" si="493">+CC144+CC148+CC150+CC152+CC154+CC156+CC158+CC160+CC162+CC146+CC164+CC166</f>
        <v>16126.951529110969</v>
      </c>
      <c r="CD170" s="2450">
        <f t="shared" si="493"/>
        <v>16536.951529110971</v>
      </c>
      <c r="CE170" s="2450">
        <f t="shared" si="493"/>
        <v>16946.951529110971</v>
      </c>
      <c r="CF170" s="2451">
        <f t="shared" si="493"/>
        <v>17356.951529110971</v>
      </c>
      <c r="CG170" s="2447">
        <f t="shared" si="493"/>
        <v>17356.951529110971</v>
      </c>
      <c r="CH170" s="2445"/>
      <c r="CI170" s="2449">
        <f t="shared" ref="CI170:CM170" si="494">+CI144+CI148+CI150+CI152+CI154+CI156+CI158+CI160+CI162+CI146+CI164+CI166</f>
        <v>17766.951529110971</v>
      </c>
      <c r="CJ170" s="2450">
        <f t="shared" si="494"/>
        <v>18126.951529110971</v>
      </c>
      <c r="CK170" s="2450">
        <f t="shared" si="494"/>
        <v>18520.495548659841</v>
      </c>
      <c r="CL170" s="2451">
        <f t="shared" si="494"/>
        <v>18980.495548659841</v>
      </c>
      <c r="CM170" s="2447">
        <f t="shared" si="494"/>
        <v>18980.495548659841</v>
      </c>
      <c r="CN170" s="2445"/>
      <c r="CO170" s="2449">
        <f t="shared" ref="CO170:CS170" si="495">+CO144+CO148+CO150+CO152+CO154+CO156+CO158+CO160+CO162+CO146+CO164+CO166</f>
        <v>19490.495548659841</v>
      </c>
      <c r="CP170" s="2450">
        <f t="shared" si="495"/>
        <v>19950.495548659841</v>
      </c>
      <c r="CQ170" s="2450">
        <f t="shared" si="495"/>
        <v>20410.495548659841</v>
      </c>
      <c r="CR170" s="2451">
        <f t="shared" si="495"/>
        <v>20870.495548659841</v>
      </c>
      <c r="CS170" s="2447">
        <f t="shared" si="495"/>
        <v>20870.495548659841</v>
      </c>
      <c r="CT170" s="205"/>
      <c r="CU170" s="205"/>
      <c r="CV170" s="1611"/>
      <c r="CW170" s="205"/>
      <c r="CX170" s="205"/>
      <c r="CY170" s="205"/>
      <c r="CZ170" s="205"/>
      <c r="DA170" s="205"/>
      <c r="DB170" s="205"/>
      <c r="DC170" s="205"/>
      <c r="DD170" s="205"/>
      <c r="DE170" s="205"/>
      <c r="DF170" s="205"/>
      <c r="DG170" s="205"/>
      <c r="DH170" s="205"/>
      <c r="DI170" s="205"/>
      <c r="DJ170" s="205"/>
      <c r="DK170" s="205"/>
      <c r="DL170" s="205"/>
      <c r="DM170" s="205"/>
      <c r="DN170" s="205"/>
      <c r="DO170" s="205"/>
      <c r="DP170" s="205"/>
      <c r="DQ170" s="205"/>
      <c r="DR170" s="205"/>
      <c r="DS170" s="205"/>
      <c r="DT170" s="205"/>
    </row>
    <row r="171" spans="1:142">
      <c r="A171" s="157" t="s">
        <v>573</v>
      </c>
      <c r="B171" s="205"/>
      <c r="C171" s="760"/>
      <c r="D171" s="740"/>
      <c r="E171" s="740"/>
      <c r="F171" s="740"/>
      <c r="G171" s="739"/>
      <c r="H171" s="740"/>
      <c r="I171" s="760"/>
      <c r="J171" s="740"/>
      <c r="K171" s="740"/>
      <c r="L171" s="740"/>
      <c r="M171" s="739"/>
      <c r="N171" s="740"/>
      <c r="O171" s="760"/>
      <c r="P171" s="740"/>
      <c r="Q171" s="740"/>
      <c r="R171" s="740"/>
      <c r="S171" s="739"/>
      <c r="T171" s="740"/>
      <c r="U171" s="760"/>
      <c r="V171" s="740"/>
      <c r="W171" s="740"/>
      <c r="X171" s="740"/>
      <c r="Y171" s="1610"/>
      <c r="Z171" s="740"/>
      <c r="AA171" s="760"/>
      <c r="AB171" s="740"/>
      <c r="AC171" s="740"/>
      <c r="AD171" s="740"/>
      <c r="AE171" s="1610"/>
      <c r="AF171" s="740"/>
      <c r="AG171" s="760"/>
      <c r="AH171" s="740"/>
      <c r="AI171" s="215"/>
      <c r="AJ171" s="740"/>
      <c r="AK171" s="1610"/>
      <c r="AL171" s="740"/>
      <c r="AM171" s="1432">
        <f>++AM148+AM150+AM152+AM154+AM156+AM158+AM160+AM162+AM146</f>
        <v>2733.8900000000003</v>
      </c>
      <c r="AN171" s="1611">
        <f>++AN148+AN150+AN152+AN154+AN156+AN158+AN160+AN162+AN146</f>
        <v>3066.8900000000003</v>
      </c>
      <c r="AO171" s="1611">
        <f>++AO148+AO150+AO152+AO154+AO156+AO158+AO160+AO162+AO146</f>
        <v>3411.8900000000003</v>
      </c>
      <c r="AP171" s="1679">
        <f>++AP148+AP150+AP152+AP154+AP156+AP158+AP160+AP162+AP146</f>
        <v>3764.624060150376</v>
      </c>
      <c r="AQ171" s="1610">
        <f>++AQ148+AQ150+AQ152+AQ154+AQ156+AQ158+AQ160+AQ162+AQ146</f>
        <v>3764.624060150376</v>
      </c>
      <c r="AR171" s="740"/>
      <c r="AS171" s="1432">
        <f>++AS148+AS150+AS152+AS154+AS156+AS158+AS160+AS162+AS146</f>
        <v>4216.624060150376</v>
      </c>
      <c r="AT171" s="1611">
        <f>++AT148+AT150+AT152+AT154+AT156+AT158+AT160+AT162+AT146</f>
        <v>4730.624060150376</v>
      </c>
      <c r="AU171" s="1611">
        <f>++AU148+AU150+AU152+AU154+AU156+AU158+AU160+AU162+AU146</f>
        <v>5260.624060150376</v>
      </c>
      <c r="AV171" s="1679">
        <f>++AV148+AV150+AV152+AV154+AV156+AV158+AV160+AV162+AV146</f>
        <v>5854.624060150376</v>
      </c>
      <c r="AW171" s="1610">
        <f>++AW148+AW150+AW152+AW154+AW156+AW158+AW160+AW162+AW146</f>
        <v>5854.624060150376</v>
      </c>
      <c r="AX171" s="740"/>
      <c r="AY171" s="1432">
        <f>++AY148+AY150+AY152+AY154+AY156+AY158+AY160+AY162+AY146</f>
        <v>6376.5240601503756</v>
      </c>
      <c r="AZ171" s="1611">
        <f>++AZ148+AZ150+AZ152+AZ154+AZ156+AZ158+AZ160+AZ162+AZ146</f>
        <v>6888.5920601503758</v>
      </c>
      <c r="BA171" s="1611">
        <f>++BA148+BA150+BA152+BA154+BA156+BA158+BA160+BA162+BA146</f>
        <v>7337.892060150376</v>
      </c>
      <c r="BB171" s="1679">
        <f>++BB148+BB150+BB152+BB154+BB156+BB158+BB160+BB162+BB146</f>
        <v>7936.5944601503752</v>
      </c>
      <c r="BC171" s="1610">
        <f>++BC148+BC150+BC152+BC154+BC156+BC158+BC160+BC162+BC146</f>
        <v>7936.5944601503752</v>
      </c>
      <c r="BD171" s="740"/>
      <c r="BE171" s="1432">
        <f>++BE148+BE150+BE152+BE154+BE156+BE158+BE160+BE162+BE146</f>
        <v>8411.2287203007509</v>
      </c>
      <c r="BF171" s="1611">
        <f>++BF148+BF150+BF152+BF154+BF156+BF158+BF160+BF162+BF146</f>
        <v>8921.2252324511282</v>
      </c>
      <c r="BG171" s="1611">
        <f>++BG148+BG150+BG152+BG154+BG156+BG158+BG160+BG162+BG146</f>
        <v>9420.8817218911299</v>
      </c>
      <c r="BH171" s="1679">
        <f>++BH148+BH150+BH152+BH154+BH156+BH158+BH160+BH162+BH146</f>
        <v>9894.9171117151291</v>
      </c>
      <c r="BI171" s="1610">
        <f>++BI148+BI150+BI152+BI154+BI156+BI158+BI160+BI162+BI146</f>
        <v>9894.9171117151291</v>
      </c>
      <c r="BJ171" s="740"/>
      <c r="BK171" s="1432">
        <f>++BK148+BK150+BK152+BK154+BK156+BK158+BK160+BK162+BK146+BK164+BK166</f>
        <v>10422.795378588729</v>
      </c>
      <c r="BL171" s="1611">
        <f t="shared" ref="BL171:BO171" si="496">++BL148+BL150+BL152+BL154+BL156+BL158+BL160+BL162+BL146+BL164+BL166</f>
        <v>10910.841529110969</v>
      </c>
      <c r="BM171" s="1611">
        <f t="shared" si="496"/>
        <v>11401.841529110969</v>
      </c>
      <c r="BN171" s="1679">
        <f t="shared" si="496"/>
        <v>11900.841529110969</v>
      </c>
      <c r="BO171" s="1610">
        <f t="shared" si="496"/>
        <v>11900.841529110969</v>
      </c>
      <c r="BP171" s="740"/>
      <c r="BQ171" s="1432">
        <f t="shared" ref="BQ171:BU171" si="497">++BQ148+BQ150+BQ152+BQ154+BQ156+BQ158+BQ160+BQ162+BQ146+BQ164+BQ166</f>
        <v>12388.841529110969</v>
      </c>
      <c r="BR171" s="1611">
        <f t="shared" si="497"/>
        <v>12858.841529110969</v>
      </c>
      <c r="BS171" s="1611">
        <f t="shared" si="497"/>
        <v>13274.841529110969</v>
      </c>
      <c r="BT171" s="1679">
        <f t="shared" si="497"/>
        <v>13690.841529110969</v>
      </c>
      <c r="BU171" s="1610">
        <f t="shared" si="497"/>
        <v>13690.841529110969</v>
      </c>
      <c r="BV171" s="740"/>
      <c r="BW171" s="1432">
        <f t="shared" ref="BW171:CA171" si="498">++BW148+BW150+BW152+BW154+BW156+BW158+BW160+BW162+BW146+BW164+BW166</f>
        <v>14097.841529110969</v>
      </c>
      <c r="BX171" s="1611">
        <f t="shared" si="498"/>
        <v>14504.841529110969</v>
      </c>
      <c r="BY171" s="1611">
        <f t="shared" si="498"/>
        <v>14911.841529110969</v>
      </c>
      <c r="BZ171" s="1679">
        <f t="shared" si="498"/>
        <v>15318.841529110969</v>
      </c>
      <c r="CA171" s="1610">
        <f t="shared" si="498"/>
        <v>15318.841529110969</v>
      </c>
      <c r="CB171" s="740"/>
      <c r="CC171" s="1432">
        <f t="shared" ref="CC171:CG171" si="499">++CC148+CC150+CC152+CC154+CC156+CC158+CC160+CC162+CC146+CC164+CC166</f>
        <v>15728.841529110969</v>
      </c>
      <c r="CD171" s="1611">
        <f t="shared" si="499"/>
        <v>16138.841529110969</v>
      </c>
      <c r="CE171" s="1611">
        <f t="shared" si="499"/>
        <v>16548.84152911097</v>
      </c>
      <c r="CF171" s="1679">
        <f t="shared" si="499"/>
        <v>16958.84152911097</v>
      </c>
      <c r="CG171" s="1610">
        <f t="shared" si="499"/>
        <v>16958.84152911097</v>
      </c>
      <c r="CH171" s="740"/>
      <c r="CI171" s="1432">
        <f t="shared" ref="CI171:CM171" si="500">++CI148+CI150+CI152+CI154+CI156+CI158+CI160+CI162+CI146+CI164+CI166</f>
        <v>17368.84152911097</v>
      </c>
      <c r="CJ171" s="1611">
        <f t="shared" si="500"/>
        <v>17728.84152911097</v>
      </c>
      <c r="CK171" s="1611">
        <f t="shared" si="500"/>
        <v>18122.38554865984</v>
      </c>
      <c r="CL171" s="1679">
        <f t="shared" si="500"/>
        <v>18582.38554865984</v>
      </c>
      <c r="CM171" s="1610">
        <f t="shared" si="500"/>
        <v>18582.38554865984</v>
      </c>
      <c r="CN171" s="740"/>
      <c r="CO171" s="1432">
        <f t="shared" ref="CO171:CS171" si="501">++CO148+CO150+CO152+CO154+CO156+CO158+CO160+CO162+CO146+CO164+CO166</f>
        <v>19092.38554865984</v>
      </c>
      <c r="CP171" s="1611">
        <f t="shared" si="501"/>
        <v>19552.38554865984</v>
      </c>
      <c r="CQ171" s="1611">
        <f t="shared" si="501"/>
        <v>20012.38554865984</v>
      </c>
      <c r="CR171" s="1679">
        <f t="shared" si="501"/>
        <v>20472.38554865984</v>
      </c>
      <c r="CS171" s="1610">
        <f t="shared" si="501"/>
        <v>20472.38554865984</v>
      </c>
      <c r="CT171" s="205"/>
      <c r="CU171" s="205"/>
      <c r="CV171" s="2433"/>
      <c r="CW171" s="205"/>
      <c r="CX171" s="205"/>
      <c r="CY171" s="205"/>
      <c r="CZ171" s="205"/>
      <c r="DA171" s="205"/>
      <c r="DB171" s="205"/>
      <c r="DC171" s="205"/>
      <c r="DD171" s="205"/>
      <c r="DE171" s="205"/>
      <c r="DF171" s="205"/>
      <c r="DG171" s="205"/>
      <c r="DH171" s="205"/>
      <c r="DI171" s="205"/>
      <c r="DJ171" s="205"/>
      <c r="DK171" s="205"/>
      <c r="DL171" s="205"/>
      <c r="DM171" s="205"/>
      <c r="DN171" s="205"/>
      <c r="DO171" s="205"/>
      <c r="DP171" s="205"/>
      <c r="DQ171" s="205"/>
      <c r="DR171" s="205"/>
      <c r="DS171" s="205"/>
      <c r="DT171" s="205"/>
    </row>
    <row r="172" spans="1:142">
      <c r="A172" s="1590" t="s">
        <v>773</v>
      </c>
      <c r="B172" s="205"/>
      <c r="C172" s="760"/>
      <c r="D172" s="740"/>
      <c r="E172" s="740"/>
      <c r="F172" s="740"/>
      <c r="G172" s="739"/>
      <c r="H172" s="740"/>
      <c r="I172" s="760"/>
      <c r="J172" s="740"/>
      <c r="K172" s="740"/>
      <c r="L172" s="740"/>
      <c r="M172" s="739"/>
      <c r="N172" s="740"/>
      <c r="O172" s="760"/>
      <c r="P172" s="740"/>
      <c r="Q172" s="740"/>
      <c r="R172" s="740"/>
      <c r="S172" s="739"/>
      <c r="T172" s="740"/>
      <c r="U172" s="760"/>
      <c r="V172" s="740"/>
      <c r="W172" s="740"/>
      <c r="X172" s="740"/>
      <c r="Y172" s="739"/>
      <c r="Z172" s="740"/>
      <c r="AA172" s="760"/>
      <c r="AB172" s="740"/>
      <c r="AC172" s="740"/>
      <c r="AD172" s="740"/>
      <c r="AE172" s="739"/>
      <c r="AF172" s="740"/>
      <c r="AG172" s="1432">
        <f t="shared" ref="AG172:AJ172" si="502">+AG169+AG162+AG160+AG164+AG166</f>
        <v>1069.98</v>
      </c>
      <c r="AH172" s="1611">
        <f t="shared" si="502"/>
        <v>1133.96</v>
      </c>
      <c r="AI172" s="1611">
        <f t="shared" si="502"/>
        <v>1198.3900000000001</v>
      </c>
      <c r="AJ172" s="1679">
        <f t="shared" si="502"/>
        <v>1252.8900000000001</v>
      </c>
      <c r="AK172" s="1610">
        <f>+AK169+AK162+AK160+AK164+AK166</f>
        <v>1252.8900000000001</v>
      </c>
      <c r="AL172" s="740"/>
      <c r="AM172" s="1432">
        <f t="shared" ref="AM172:AP172" si="503">+AM169+AM162+AM160+AM164+AM166</f>
        <v>1313.89</v>
      </c>
      <c r="AN172" s="1611">
        <f t="shared" si="503"/>
        <v>1386.89</v>
      </c>
      <c r="AO172" s="1611">
        <f t="shared" si="503"/>
        <v>1471.89</v>
      </c>
      <c r="AP172" s="1679">
        <f t="shared" si="503"/>
        <v>1544.624060150376</v>
      </c>
      <c r="AQ172" s="1610">
        <f>+AQ169+AQ162+AQ160+AQ164+AQ166</f>
        <v>1544.624060150376</v>
      </c>
      <c r="AR172" s="740"/>
      <c r="AS172" s="1432">
        <f t="shared" ref="AS172:AV172" si="504">+AS169+AS162+AS160+AS164+AS166</f>
        <v>1631.624060150376</v>
      </c>
      <c r="AT172" s="1611">
        <f>+AT169+AT162+AT160+AT164+AT166</f>
        <v>1730.624060150376</v>
      </c>
      <c r="AU172" s="1611">
        <f t="shared" si="504"/>
        <v>1840.624060150376</v>
      </c>
      <c r="AV172" s="1679">
        <f t="shared" si="504"/>
        <v>1951.624060150376</v>
      </c>
      <c r="AW172" s="1610">
        <f>+AW169+AW162+AW160+AW164+AW166</f>
        <v>1951.624060150376</v>
      </c>
      <c r="AX172" s="740"/>
      <c r="AY172" s="1432">
        <f>+AY169+AY162+AY160+AY164+AY166</f>
        <v>2058.524060150376</v>
      </c>
      <c r="AZ172" s="1611">
        <f>+AZ169+AZ162+AZ160+AZ164+AZ166</f>
        <v>2165.5920601503763</v>
      </c>
      <c r="BA172" s="1611">
        <f>+BA169+BA162+BA160+BA164+BA166</f>
        <v>2264.892060150376</v>
      </c>
      <c r="BB172" s="1679">
        <f>+BB169+BB162+BB160+BB164+BB166</f>
        <v>2351.5944601503761</v>
      </c>
      <c r="BC172" s="1610">
        <f>+BC169+BC162+BC160+BC164+BC166</f>
        <v>2351.5944601503761</v>
      </c>
      <c r="BD172" s="740"/>
      <c r="BE172" s="1432">
        <f t="shared" ref="BE172:CG172" si="505">+BE169+BE162+BE160+BE164+BE166</f>
        <v>2321.2287203007522</v>
      </c>
      <c r="BF172" s="1611">
        <f t="shared" si="505"/>
        <v>2346.2252324511278</v>
      </c>
      <c r="BG172" s="1611">
        <f t="shared" si="505"/>
        <v>2330.8817218911281</v>
      </c>
      <c r="BH172" s="1679">
        <f>+BH169+BH162+BH160+BH164+BH166</f>
        <v>2284.9171117151282</v>
      </c>
      <c r="BI172" s="1610">
        <f>+BI169+BI162+BI160+BI164+BI166</f>
        <v>2284.9171117151282</v>
      </c>
      <c r="BJ172" s="740"/>
      <c r="BK172" s="1432">
        <f>+BK169+BK162+BK160+BK164+BK166</f>
        <v>2297.795378588728</v>
      </c>
      <c r="BL172" s="1611">
        <f>+BL169+BL162+BL160+BL164+BL166</f>
        <v>2355.8415291109677</v>
      </c>
      <c r="BM172" s="1611">
        <f>+BM169+BM162+BM160+BM164+BM166</f>
        <v>2421.8415291109677</v>
      </c>
      <c r="BN172" s="1679">
        <f>+BN169+BN162+BN160+BN164+BN166</f>
        <v>2490.8415291109677</v>
      </c>
      <c r="BO172" s="1610">
        <f t="shared" si="505"/>
        <v>2916.9832777708075</v>
      </c>
      <c r="BP172" s="740"/>
      <c r="BQ172" s="1432">
        <f t="shared" si="505"/>
        <v>2548.8415291109677</v>
      </c>
      <c r="BR172" s="1611">
        <f t="shared" si="505"/>
        <v>2568.8415291109677</v>
      </c>
      <c r="BS172" s="1611">
        <f t="shared" si="505"/>
        <v>2534.8415291109677</v>
      </c>
      <c r="BT172" s="1679">
        <f t="shared" si="505"/>
        <v>2500.8415291109677</v>
      </c>
      <c r="BU172" s="1610">
        <f t="shared" si="505"/>
        <v>2500.8415291109677</v>
      </c>
      <c r="BV172" s="740"/>
      <c r="BW172" s="1432">
        <f t="shared" si="505"/>
        <v>2457.8415291109677</v>
      </c>
      <c r="BX172" s="1611">
        <f t="shared" si="505"/>
        <v>2414.8415291109677</v>
      </c>
      <c r="BY172" s="1611">
        <f t="shared" si="505"/>
        <v>2371.8415291109677</v>
      </c>
      <c r="BZ172" s="1679">
        <f t="shared" si="505"/>
        <v>2328.8415291109677</v>
      </c>
      <c r="CA172" s="1610">
        <f t="shared" si="505"/>
        <v>2328.8415291109677</v>
      </c>
      <c r="CB172" s="740"/>
      <c r="CC172" s="1432">
        <f t="shared" si="505"/>
        <v>2288.8415291109677</v>
      </c>
      <c r="CD172" s="1611">
        <f t="shared" si="505"/>
        <v>2248.8415291109677</v>
      </c>
      <c r="CE172" s="1611">
        <f t="shared" si="505"/>
        <v>2208.8415291109677</v>
      </c>
      <c r="CF172" s="1679">
        <f t="shared" si="505"/>
        <v>2168.8415291109677</v>
      </c>
      <c r="CG172" s="1610">
        <f t="shared" si="505"/>
        <v>2168.8415291109677</v>
      </c>
      <c r="CH172" s="740"/>
      <c r="CI172" s="1432">
        <f t="shared" ref="CI172:CM172" si="506">+CI169+CI162+CI160+CI164+CI166</f>
        <v>2128.8415291109677</v>
      </c>
      <c r="CJ172" s="1611">
        <f t="shared" si="506"/>
        <v>2038.8415291109682</v>
      </c>
      <c r="CK172" s="1611">
        <f t="shared" si="506"/>
        <v>1982.38554865984</v>
      </c>
      <c r="CL172" s="1679">
        <f t="shared" si="506"/>
        <v>1992.38554865984</v>
      </c>
      <c r="CM172" s="1610">
        <f t="shared" si="506"/>
        <v>1992.38554865984</v>
      </c>
      <c r="CN172" s="740"/>
      <c r="CO172" s="1432">
        <f t="shared" ref="CO172:CS172" si="507">+CO169+CO162+CO160+CO164+CO166</f>
        <v>2052.38554865984</v>
      </c>
      <c r="CP172" s="1611">
        <f t="shared" si="507"/>
        <v>2062.38554865984</v>
      </c>
      <c r="CQ172" s="1611">
        <f t="shared" si="507"/>
        <v>2072.38554865984</v>
      </c>
      <c r="CR172" s="1679">
        <f t="shared" si="507"/>
        <v>2082.38554865984</v>
      </c>
      <c r="CS172" s="1610">
        <f t="shared" si="507"/>
        <v>2082.38554865984</v>
      </c>
      <c r="CT172" s="1766"/>
      <c r="CU172" s="1611"/>
      <c r="CV172" s="1611"/>
      <c r="CW172" s="952"/>
      <c r="CX172" s="205"/>
      <c r="CY172" s="205"/>
      <c r="DA172" s="205"/>
      <c r="DB172" s="205"/>
      <c r="DC172" s="205"/>
      <c r="DD172" s="205"/>
      <c r="DE172" s="205"/>
      <c r="DF172" s="205"/>
      <c r="DG172" s="205"/>
      <c r="DH172" s="205"/>
      <c r="DI172" s="205"/>
      <c r="DJ172" s="205"/>
    </row>
    <row r="173" spans="1:142" ht="13.5" thickBot="1">
      <c r="A173" s="1398" t="s">
        <v>95</v>
      </c>
      <c r="B173" s="1043"/>
      <c r="C173" s="1049"/>
      <c r="D173" s="1043"/>
      <c r="E173" s="1043"/>
      <c r="F173" s="1043"/>
      <c r="G173" s="1050"/>
      <c r="H173" s="1043"/>
      <c r="I173" s="1049"/>
      <c r="J173" s="1043"/>
      <c r="K173" s="1043"/>
      <c r="L173" s="1043"/>
      <c r="M173" s="1050"/>
      <c r="N173" s="1043"/>
      <c r="O173" s="1049"/>
      <c r="P173" s="1043"/>
      <c r="Q173" s="1043"/>
      <c r="R173" s="1043"/>
      <c r="S173" s="1050"/>
      <c r="T173" s="1043"/>
      <c r="U173" s="1049"/>
      <c r="V173" s="1051"/>
      <c r="W173" s="1043"/>
      <c r="X173" s="1043"/>
      <c r="Y173" s="1050"/>
      <c r="Z173" s="1043"/>
      <c r="AA173" s="1049"/>
      <c r="AB173" s="1043"/>
      <c r="AC173" s="1043"/>
      <c r="AD173" s="1043"/>
      <c r="AE173" s="1050"/>
      <c r="AF173" s="1043"/>
      <c r="AG173" s="1955">
        <f>AG7</f>
        <v>40999</v>
      </c>
      <c r="AH173" s="1956">
        <f>AH7</f>
        <v>41090</v>
      </c>
      <c r="AI173" s="1956">
        <f>AI7</f>
        <v>41182</v>
      </c>
      <c r="AJ173" s="1956">
        <f>AJ7</f>
        <v>41274</v>
      </c>
      <c r="AK173" s="2212">
        <f>AK6</f>
        <v>2012</v>
      </c>
      <c r="AL173" s="2213"/>
      <c r="AM173" s="172">
        <f>AM7</f>
        <v>41364</v>
      </c>
      <c r="AN173" s="173">
        <f>AN7</f>
        <v>41455</v>
      </c>
      <c r="AO173" s="173">
        <f>AO7</f>
        <v>41547</v>
      </c>
      <c r="AP173" s="173">
        <f>AP7</f>
        <v>41639</v>
      </c>
      <c r="AQ173" s="2212">
        <f>AQ6</f>
        <v>2013</v>
      </c>
      <c r="AR173" s="2213"/>
      <c r="AS173" s="172">
        <f>AS7</f>
        <v>41729</v>
      </c>
      <c r="AT173" s="173">
        <f>AT7</f>
        <v>41820</v>
      </c>
      <c r="AU173" s="173">
        <f>AU7</f>
        <v>41912</v>
      </c>
      <c r="AV173" s="173">
        <f>AV7</f>
        <v>42004</v>
      </c>
      <c r="AW173" s="2212">
        <f>AW6</f>
        <v>2014</v>
      </c>
      <c r="AX173" s="2213"/>
      <c r="AY173" s="172">
        <f>AY7</f>
        <v>42094</v>
      </c>
      <c r="AZ173" s="173">
        <f>AZ7</f>
        <v>42185</v>
      </c>
      <c r="BA173" s="173">
        <f>BA7</f>
        <v>42277</v>
      </c>
      <c r="BB173" s="173">
        <f>BB7</f>
        <v>42369</v>
      </c>
      <c r="BC173" s="2212">
        <f>BC6</f>
        <v>2015</v>
      </c>
      <c r="BD173" s="1043"/>
      <c r="BE173" s="1955">
        <f>BE7</f>
        <v>42460</v>
      </c>
      <c r="BF173" s="1956">
        <f>BF7</f>
        <v>42551</v>
      </c>
      <c r="BG173" s="1956">
        <f>BG7</f>
        <v>42643</v>
      </c>
      <c r="BH173" s="1956">
        <f>BH7</f>
        <v>42735</v>
      </c>
      <c r="BI173" s="2212">
        <f>BI6</f>
        <v>2016</v>
      </c>
      <c r="BJ173" s="1043"/>
      <c r="BK173" s="1955">
        <f>BK7</f>
        <v>42825</v>
      </c>
      <c r="BL173" s="1956">
        <f>BL7</f>
        <v>42916</v>
      </c>
      <c r="BM173" s="1956">
        <f>BM7</f>
        <v>43008</v>
      </c>
      <c r="BN173" s="1956">
        <f>BN7</f>
        <v>43100</v>
      </c>
      <c r="BO173" s="2212">
        <f>BO6</f>
        <v>2017</v>
      </c>
      <c r="BP173" s="1043"/>
      <c r="BQ173" s="1955">
        <f>BQ7</f>
        <v>43190</v>
      </c>
      <c r="BR173" s="1956">
        <f>BR7</f>
        <v>43281</v>
      </c>
      <c r="BS173" s="1956">
        <f>BS7</f>
        <v>43373</v>
      </c>
      <c r="BT173" s="1956">
        <f>BT7</f>
        <v>43465</v>
      </c>
      <c r="BU173" s="3072">
        <f>+BU174/1719-1</f>
        <v>9.8422114842975361E-3</v>
      </c>
      <c r="BV173" s="1043"/>
      <c r="BW173" s="1955">
        <f>BW7</f>
        <v>43555</v>
      </c>
      <c r="BX173" s="1956">
        <f>BX7</f>
        <v>43646</v>
      </c>
      <c r="BY173" s="1956">
        <f>BY7</f>
        <v>43738</v>
      </c>
      <c r="BZ173" s="1956">
        <f>BZ7</f>
        <v>43830</v>
      </c>
      <c r="CA173" s="1932">
        <f>CA6</f>
        <v>2019</v>
      </c>
      <c r="CB173" s="1043"/>
      <c r="CC173" s="1955">
        <f>CC7</f>
        <v>43920</v>
      </c>
      <c r="CD173" s="1956">
        <f>CD7</f>
        <v>44011</v>
      </c>
      <c r="CE173" s="1956">
        <f>CE7</f>
        <v>44103</v>
      </c>
      <c r="CF173" s="1956">
        <f>CF7</f>
        <v>44195</v>
      </c>
      <c r="CG173" s="1932">
        <f>CG6</f>
        <v>2020</v>
      </c>
      <c r="CH173" s="1043"/>
      <c r="CI173" s="1955">
        <f>CI7</f>
        <v>44285</v>
      </c>
      <c r="CJ173" s="1956">
        <f>CJ7</f>
        <v>44376</v>
      </c>
      <c r="CK173" s="1956">
        <f>CK7</f>
        <v>44468</v>
      </c>
      <c r="CL173" s="1956">
        <f>CL7</f>
        <v>44560</v>
      </c>
      <c r="CM173" s="1932">
        <f>CM6</f>
        <v>2021</v>
      </c>
      <c r="CN173" s="1043"/>
      <c r="CO173" s="1955">
        <f>CO7</f>
        <v>44650</v>
      </c>
      <c r="CP173" s="1956">
        <f>CP7</f>
        <v>44741</v>
      </c>
      <c r="CQ173" s="1956">
        <f>CQ7</f>
        <v>44833</v>
      </c>
      <c r="CR173" s="1956">
        <f>CR7</f>
        <v>44925</v>
      </c>
      <c r="CS173" s="1932">
        <f>CS6</f>
        <v>2022</v>
      </c>
      <c r="CT173" s="60"/>
      <c r="CU173" s="60"/>
      <c r="CV173" s="2434"/>
      <c r="CW173" s="952"/>
      <c r="CX173" s="60"/>
      <c r="CY173" s="60"/>
      <c r="CZ173" s="60"/>
      <c r="DA173" s="60"/>
      <c r="DB173" s="60"/>
      <c r="DC173" s="60"/>
      <c r="DD173" s="60"/>
      <c r="DE173" s="60"/>
      <c r="DF173" s="60"/>
      <c r="DG173" s="60"/>
      <c r="DH173" s="60"/>
      <c r="DI173" s="68"/>
      <c r="DJ173" s="68"/>
      <c r="DK173" s="68"/>
      <c r="DL173" s="68"/>
      <c r="DM173" s="68"/>
      <c r="DN173" s="68"/>
      <c r="DO173" s="68"/>
      <c r="DP173" s="68"/>
      <c r="DQ173" s="68"/>
      <c r="DR173" s="68"/>
      <c r="DS173" s="68"/>
      <c r="DT173" s="68"/>
    </row>
    <row r="174" spans="1:142">
      <c r="A174" s="780" t="s">
        <v>232</v>
      </c>
      <c r="B174" s="781"/>
      <c r="C174" s="782">
        <f>SUM(C176:C185)</f>
        <v>0.72499999999999998</v>
      </c>
      <c r="D174" s="781">
        <f>SUM(D176:D185)</f>
        <v>2.2825000000000002</v>
      </c>
      <c r="E174" s="781">
        <f>SUM(E176:E185)</f>
        <v>3.7949999999999999</v>
      </c>
      <c r="F174" s="781">
        <f>SUM(F176:F185)</f>
        <v>5.98</v>
      </c>
      <c r="G174" s="783">
        <f>SUM(G176:G185)</f>
        <v>12.782500000000001</v>
      </c>
      <c r="H174" s="781"/>
      <c r="I174" s="782">
        <f>SUM(I176:I185)</f>
        <v>8.0062499999999996</v>
      </c>
      <c r="J174" s="781">
        <f>SUM(J176:J185)</f>
        <v>11.20875</v>
      </c>
      <c r="K174" s="781">
        <f>SUM(K176:K185)</f>
        <v>14.7525</v>
      </c>
      <c r="L174" s="781">
        <f>SUM(L176:L185)</f>
        <v>18.690000000000001</v>
      </c>
      <c r="M174" s="783">
        <f>SUM(M176:M185)</f>
        <v>52.657499999999999</v>
      </c>
      <c r="N174" s="781"/>
      <c r="O174" s="782">
        <f>SUM(O176:O185)</f>
        <v>24.0625</v>
      </c>
      <c r="P174" s="781">
        <f>SUM(P176:P185)</f>
        <v>30.10125</v>
      </c>
      <c r="Q174" s="781">
        <f>SUM(Q176:Q185)</f>
        <v>35.534999999999997</v>
      </c>
      <c r="R174" s="781">
        <f>SUM(R176:R185)</f>
        <v>41.342500000000001</v>
      </c>
      <c r="S174" s="783">
        <f>SUM(S176:S185)</f>
        <v>131.04124999999999</v>
      </c>
      <c r="T174" s="781"/>
      <c r="U174" s="782">
        <f>SUM(U176:U185)</f>
        <v>45.615000000000002</v>
      </c>
      <c r="V174" s="781">
        <f>SUM(V176:V185)</f>
        <v>43.8245</v>
      </c>
      <c r="W174" s="781">
        <f>SUM(W176:W185)</f>
        <v>50.399089999999994</v>
      </c>
      <c r="X174" s="781">
        <f>SUM(X176:X185)</f>
        <v>58.536124999999991</v>
      </c>
      <c r="Y174" s="783">
        <f>SUM(Y176:Y185)</f>
        <v>198.37471499999998</v>
      </c>
      <c r="Z174" s="781"/>
      <c r="AA174" s="782">
        <f>SUM(AA176:AA185)</f>
        <v>73.051999999999992</v>
      </c>
      <c r="AB174" s="781">
        <f>SUM(AB176:AB185)</f>
        <v>70.704092500000002</v>
      </c>
      <c r="AC174" s="781">
        <f>SUM(AC176:AC185)</f>
        <v>73.188029999999998</v>
      </c>
      <c r="AD174" s="781">
        <f>SUM(AD176:AD185)</f>
        <v>78.656624999999991</v>
      </c>
      <c r="AE174" s="783">
        <f>SUM(AE176:AE185)</f>
        <v>295.60074750000001</v>
      </c>
      <c r="AF174" s="781"/>
      <c r="AG174" s="782">
        <f>SUM(AG176:AG185)</f>
        <v>96.123825000000011</v>
      </c>
      <c r="AH174" s="781">
        <f>SUM(AH176:AH185)</f>
        <v>111.15908999999999</v>
      </c>
      <c r="AI174" s="781">
        <f>SUM(AI176:AI185)</f>
        <v>110.60065625000001</v>
      </c>
      <c r="AJ174" s="781">
        <f>SUM(AJ176:AJ185)</f>
        <v>123.33905499999999</v>
      </c>
      <c r="AK174" s="783">
        <f>SUM(AK176:AK185)</f>
        <v>441.22262624999991</v>
      </c>
      <c r="AL174" s="781"/>
      <c r="AM174" s="782">
        <f>SUM(AM176:AM185)</f>
        <v>128.24030999999999</v>
      </c>
      <c r="AN174" s="781">
        <f>SUM(AN176:AN185)</f>
        <v>138.8706875</v>
      </c>
      <c r="AO174" s="1604">
        <f>+AU174/1.36</f>
        <v>147.05882352941177</v>
      </c>
      <c r="AP174" s="781">
        <f>SUM(AP176:AP185)</f>
        <v>163.99959891917294</v>
      </c>
      <c r="AQ174" s="783">
        <f>SUM(AM174:AP174)</f>
        <v>578.16941994858473</v>
      </c>
      <c r="AR174" s="781"/>
      <c r="AS174" s="1434">
        <f>SUM(AS176:AS185)</f>
        <v>162.36240253759399</v>
      </c>
      <c r="AT174" s="781">
        <f>SUM(AT176:AT185)</f>
        <v>173.38912246240602</v>
      </c>
      <c r="AU174" s="1604">
        <v>200</v>
      </c>
      <c r="AV174" s="1385">
        <f>SUM(AV176:AV185)</f>
        <v>218.76583768796991</v>
      </c>
      <c r="AW174" s="1645">
        <f>SUM(AW176:AW185)</f>
        <v>754.51736268797004</v>
      </c>
      <c r="AX174" s="1385"/>
      <c r="AY174" s="1434">
        <f>SUM(AY176:AY185)</f>
        <v>239.87508768796994</v>
      </c>
      <c r="AZ174" s="1385">
        <f>SUM(AZ176:AZ185)</f>
        <v>247.77693010338348</v>
      </c>
      <c r="BA174" s="1385">
        <f>SUM(BA176:BA185)</f>
        <v>268.87073727443612</v>
      </c>
      <c r="BB174" s="1385">
        <f>SUM(BB176:BB185)</f>
        <v>277.06147584962406</v>
      </c>
      <c r="BC174" s="1645">
        <f>SUM(BC176:BC185)</f>
        <v>1033.5842309154136</v>
      </c>
      <c r="BD174" s="1385"/>
      <c r="BE174" s="1434">
        <f>SUM(BE176:BE185)</f>
        <v>296.40336076691727</v>
      </c>
      <c r="BF174" s="1385">
        <f>SUM(BF176:BF185)</f>
        <v>310.86664672203005</v>
      </c>
      <c r="BG174" s="1385">
        <f>SUM(BG176:BG185)</f>
        <v>333.20309423799631</v>
      </c>
      <c r="BH174" s="1385">
        <f>SUM(BH176:BH185)</f>
        <v>330.7694369410346</v>
      </c>
      <c r="BI174" s="1645">
        <f>SUM(BI176:BI185)</f>
        <v>1271.2425386679784</v>
      </c>
      <c r="BJ174" s="1385"/>
      <c r="BK174" s="1434">
        <f>SUM(BK176:BK187)</f>
        <v>317.86297388576691</v>
      </c>
      <c r="BL174" s="1385">
        <f t="shared" ref="BL174:BO174" si="508">SUM(BL176:BL187)</f>
        <v>337.82918791744129</v>
      </c>
      <c r="BM174" s="1385">
        <f>SUM(BM176:BM187)</f>
        <v>380.32616495636159</v>
      </c>
      <c r="BN174" s="1385">
        <f>SUM(BN176:BN187)</f>
        <v>432.06255006217737</v>
      </c>
      <c r="BO174" s="1645">
        <f t="shared" si="508"/>
        <v>1468.0808768217473</v>
      </c>
      <c r="BP174" s="1385"/>
      <c r="BQ174" s="1434">
        <f t="shared" ref="BQ174:CG174" si="509">SUM(BQ176:BQ187)</f>
        <v>417.34731609944077</v>
      </c>
      <c r="BR174" s="1385">
        <f t="shared" si="509"/>
        <v>428.70816979006497</v>
      </c>
      <c r="BS174" s="1385">
        <f t="shared" si="509"/>
        <v>438.39589848068908</v>
      </c>
      <c r="BT174" s="1385">
        <f t="shared" si="509"/>
        <v>451.46737717131327</v>
      </c>
      <c r="BU174" s="1645">
        <f t="shared" si="509"/>
        <v>1735.9187615415076</v>
      </c>
      <c r="BV174" s="1385"/>
      <c r="BW174" s="1434">
        <f t="shared" ref="BW174" si="510">SUM(BW176:BW187)</f>
        <v>464.14252334853597</v>
      </c>
      <c r="BX174" s="1385">
        <f t="shared" si="509"/>
        <v>473.80791952575845</v>
      </c>
      <c r="BY174" s="1385">
        <f t="shared" si="509"/>
        <v>484.02331570298099</v>
      </c>
      <c r="BZ174" s="1385">
        <f t="shared" si="509"/>
        <v>494.78871188020366</v>
      </c>
      <c r="CA174" s="1645">
        <f t="shared" si="509"/>
        <v>1916.7624704574789</v>
      </c>
      <c r="CB174" s="1385"/>
      <c r="CC174" s="1434">
        <f t="shared" ref="CC174" si="511">SUM(CC176:CC187)</f>
        <v>505.69160805742615</v>
      </c>
      <c r="CD174" s="1385">
        <f t="shared" si="509"/>
        <v>516.69450423464878</v>
      </c>
      <c r="CE174" s="1385">
        <f t="shared" si="509"/>
        <v>528.19740041187129</v>
      </c>
      <c r="CF174" s="1385">
        <f t="shared" si="509"/>
        <v>540.20029658909402</v>
      </c>
      <c r="CG174" s="1645">
        <f t="shared" si="509"/>
        <v>2090.7838092930401</v>
      </c>
      <c r="CH174" s="1385"/>
      <c r="CI174" s="1434">
        <f t="shared" ref="CI174:CM174" si="512">SUM(CI176:CI187)</f>
        <v>551.98606804075257</v>
      </c>
      <c r="CJ174" s="1385">
        <f t="shared" si="512"/>
        <v>563.49058949241123</v>
      </c>
      <c r="CK174" s="1385">
        <f t="shared" si="512"/>
        <v>575.67575073260377</v>
      </c>
      <c r="CL174" s="1385">
        <f t="shared" si="512"/>
        <v>590.61012189948792</v>
      </c>
      <c r="CM174" s="1645">
        <f t="shared" si="512"/>
        <v>2281.7625301652561</v>
      </c>
      <c r="CN174" s="1385"/>
      <c r="CO174" s="1434">
        <f t="shared" ref="CO174:CS174" si="513">SUM(CO176:CO187)</f>
        <v>607.92635327783842</v>
      </c>
      <c r="CP174" s="1385">
        <f t="shared" si="513"/>
        <v>625.43008465618891</v>
      </c>
      <c r="CQ174" s="1385">
        <f t="shared" si="513"/>
        <v>642.55881603453918</v>
      </c>
      <c r="CR174" s="1385">
        <f t="shared" si="513"/>
        <v>660.06254741288967</v>
      </c>
      <c r="CS174" s="1645">
        <f t="shared" si="513"/>
        <v>2535.9778013814562</v>
      </c>
      <c r="CT174" s="187"/>
      <c r="CU174" s="952">
        <f>+(CS174/BO174)^(1/5)-1</f>
        <v>0.1155244490848748</v>
      </c>
      <c r="CV174" s="1330"/>
      <c r="CW174" s="201"/>
      <c r="CX174" s="201"/>
      <c r="CY174" s="201"/>
      <c r="CZ174" s="201"/>
      <c r="DA174" s="201"/>
      <c r="DB174" s="201"/>
      <c r="DC174" s="201"/>
      <c r="DD174" s="201"/>
      <c r="DE174" s="201"/>
      <c r="DF174" s="201"/>
      <c r="DG174" s="201"/>
      <c r="DH174" s="201"/>
      <c r="DI174" s="201"/>
      <c r="DJ174" s="201"/>
      <c r="DK174" s="201"/>
      <c r="DL174" s="201"/>
      <c r="DM174" s="201"/>
      <c r="DN174" s="201"/>
      <c r="DO174" s="201"/>
      <c r="DP174" s="201"/>
      <c r="DQ174" s="201"/>
      <c r="DR174" s="201"/>
      <c r="DS174" s="201"/>
      <c r="DT174" s="201"/>
    </row>
    <row r="175" spans="1:142">
      <c r="A175" s="730" t="s">
        <v>362</v>
      </c>
      <c r="B175" s="205"/>
      <c r="C175" s="750"/>
      <c r="D175" s="205"/>
      <c r="E175" s="205"/>
      <c r="F175" s="205"/>
      <c r="G175" s="191"/>
      <c r="H175" s="205"/>
      <c r="I175" s="750"/>
      <c r="J175" s="205"/>
      <c r="K175" s="205"/>
      <c r="L175" s="205"/>
      <c r="M175" s="191"/>
      <c r="N175" s="205"/>
      <c r="O175" s="750"/>
      <c r="P175" s="205"/>
      <c r="Q175" s="205"/>
      <c r="R175" s="205"/>
      <c r="S175" s="191"/>
      <c r="T175" s="205"/>
      <c r="U175" s="750"/>
      <c r="V175" s="205"/>
      <c r="W175" s="205"/>
      <c r="X175" s="205"/>
      <c r="Y175" s="191"/>
      <c r="Z175" s="205"/>
      <c r="AA175" s="750"/>
      <c r="AB175" s="205"/>
      <c r="AC175" s="1318"/>
      <c r="AD175" s="205"/>
      <c r="AE175" s="191"/>
      <c r="AF175" s="205"/>
      <c r="AG175" s="750"/>
      <c r="AH175" s="1039"/>
      <c r="AI175" s="205"/>
      <c r="AJ175" s="205"/>
      <c r="AK175" s="191"/>
      <c r="AL175" s="205"/>
      <c r="AM175" s="1341"/>
      <c r="AN175" s="1318"/>
      <c r="AO175" s="205"/>
      <c r="AP175" s="205"/>
      <c r="AQ175" s="1420"/>
      <c r="AR175" s="205"/>
      <c r="AS175" s="89"/>
      <c r="AT175" s="205"/>
      <c r="AU175" s="205"/>
      <c r="AV175" s="1703"/>
      <c r="AW175" s="1420"/>
      <c r="AX175" s="9"/>
      <c r="AY175" s="2554"/>
      <c r="AZ175" s="195"/>
      <c r="BA175" s="195"/>
      <c r="BB175" s="195"/>
      <c r="BC175" s="1420"/>
      <c r="BD175" s="9"/>
      <c r="BE175" s="2554">
        <f>+BE174/AY174-1</f>
        <v>0.23565712314602449</v>
      </c>
      <c r="BF175" s="195">
        <f>+BF174/AZ174-1</f>
        <v>0.25462304578688078</v>
      </c>
      <c r="BG175" s="195">
        <f>+BG174/BA174-1</f>
        <v>0.2392687192950127</v>
      </c>
      <c r="BH175" s="195">
        <f>+BH174/BB174-1</f>
        <v>0.19384853461388718</v>
      </c>
      <c r="BI175" s="1420">
        <f>+BI174/BC174-1</f>
        <v>0.22993608130232213</v>
      </c>
      <c r="BJ175" s="9"/>
      <c r="BK175" s="2554">
        <f>+BK174/BE174-1</f>
        <v>7.2400033060775026E-2</v>
      </c>
      <c r="BL175" s="153">
        <f>+BL174/BF174-1</f>
        <v>8.673346426746309E-2</v>
      </c>
      <c r="BM175" s="153">
        <f>+BM174/BG174-1</f>
        <v>0.14142446913985363</v>
      </c>
      <c r="BN175" s="153">
        <f>+BN174/BH174-1</f>
        <v>0.30623480227769662</v>
      </c>
      <c r="BO175" s="1420">
        <f>+BO174/BI174-1</f>
        <v>0.1548393262233172</v>
      </c>
      <c r="BP175" s="9"/>
      <c r="BQ175" s="2554">
        <f t="shared" ref="BQ175:BU175" si="514">+BQ174/BK174-1</f>
        <v>0.31297870587917664</v>
      </c>
      <c r="BR175" s="195">
        <f t="shared" si="514"/>
        <v>0.26900867397766914</v>
      </c>
      <c r="BS175" s="195">
        <f t="shared" si="514"/>
        <v>0.15268403511231043</v>
      </c>
      <c r="BT175" s="195">
        <f t="shared" si="514"/>
        <v>4.4912078370003217E-2</v>
      </c>
      <c r="BU175" s="1420">
        <f t="shared" si="514"/>
        <v>0.18244082390038563</v>
      </c>
      <c r="BV175" s="9"/>
      <c r="BW175" s="2554">
        <f t="shared" ref="BW175:CA175" si="515">+BW174/BQ174-1</f>
        <v>0.11212533408971392</v>
      </c>
      <c r="BX175" s="195">
        <f t="shared" si="515"/>
        <v>0.10519918423243135</v>
      </c>
      <c r="BY175" s="195">
        <f t="shared" si="515"/>
        <v>0.10407811154351343</v>
      </c>
      <c r="BZ175" s="195">
        <f t="shared" si="515"/>
        <v>9.5956733308886877E-2</v>
      </c>
      <c r="CA175" s="1420">
        <f t="shared" si="515"/>
        <v>0.10417751851208812</v>
      </c>
      <c r="CB175" s="1420"/>
      <c r="CC175" s="2174"/>
      <c r="CD175" s="195"/>
      <c r="CE175" s="195"/>
      <c r="CF175" s="195"/>
      <c r="CG175" s="1420">
        <f t="shared" ref="CG175" si="516">+CG174/CA174-1</f>
        <v>9.0789203940343732E-2</v>
      </c>
      <c r="CH175" s="1420"/>
      <c r="CI175" s="2174"/>
      <c r="CJ175" s="195"/>
      <c r="CK175" s="195"/>
      <c r="CL175" s="195"/>
      <c r="CM175" s="1420">
        <f t="shared" ref="CM175" si="517">+CM174/CG174-1</f>
        <v>9.1343122145561173E-2</v>
      </c>
      <c r="CN175" s="1420"/>
      <c r="CO175" s="2174"/>
      <c r="CP175" s="195"/>
      <c r="CQ175" s="195"/>
      <c r="CR175" s="195"/>
      <c r="CS175" s="1420">
        <f t="shared" ref="CS175" si="518">+CS174/CM174-1</f>
        <v>0.11141180024451924</v>
      </c>
      <c r="CT175" s="205"/>
      <c r="CU175" s="205"/>
      <c r="CV175" s="205"/>
      <c r="CW175" s="205"/>
      <c r="CX175" s="205"/>
      <c r="CY175" s="205"/>
      <c r="CZ175" s="205"/>
      <c r="DA175" s="205"/>
      <c r="DB175" s="205"/>
      <c r="DC175" s="205"/>
      <c r="DD175" s="205"/>
      <c r="DE175" s="205"/>
      <c r="DF175" s="205"/>
      <c r="DG175" s="205"/>
      <c r="DH175" s="205"/>
      <c r="DI175" s="205"/>
      <c r="DJ175" s="205"/>
      <c r="DK175" s="205"/>
      <c r="DL175" s="205"/>
      <c r="DM175" s="205"/>
      <c r="DN175" s="205"/>
      <c r="DO175" s="205"/>
      <c r="DP175" s="205"/>
      <c r="DQ175" s="205"/>
      <c r="DR175" s="205"/>
      <c r="DS175" s="205"/>
      <c r="DT175" s="205"/>
    </row>
    <row r="176" spans="1:142" ht="12" customHeight="1">
      <c r="A176" s="1029" t="s">
        <v>387</v>
      </c>
      <c r="B176" s="205"/>
      <c r="C176" s="750">
        <f>((C189/4)*C145)/1000</f>
        <v>0.72499999999999998</v>
      </c>
      <c r="D176" s="205">
        <f>((D189/4)*D145)/1000</f>
        <v>2.2825000000000002</v>
      </c>
      <c r="E176" s="205">
        <f>((E189/4)*E145)/1000</f>
        <v>3.7949999999999999</v>
      </c>
      <c r="F176" s="205">
        <f>((F189/4)*F145)/1000</f>
        <v>5.98</v>
      </c>
      <c r="G176" s="191">
        <f>SUM(C176:F176)</f>
        <v>12.782500000000001</v>
      </c>
      <c r="H176" s="205"/>
      <c r="I176" s="750">
        <f>((I189/4)*I145)/1000</f>
        <v>8.0062499999999996</v>
      </c>
      <c r="J176" s="205">
        <f>((J189/4)*J145)/1000</f>
        <v>11.20875</v>
      </c>
      <c r="K176" s="205">
        <f>((K189/4)*K145)/1000</f>
        <v>14.7525</v>
      </c>
      <c r="L176" s="205">
        <f>((L189/4)*L145)/1000</f>
        <v>18.690000000000001</v>
      </c>
      <c r="M176" s="191">
        <f>SUM(I176:L176)</f>
        <v>52.657499999999999</v>
      </c>
      <c r="N176" s="205"/>
      <c r="O176" s="750">
        <f>((O189/4)*O145)/1000</f>
        <v>24.0625</v>
      </c>
      <c r="P176" s="205">
        <f>((P189/4)*P145)/1000</f>
        <v>30.10125</v>
      </c>
      <c r="Q176" s="205">
        <f>((Q189/4)*Q145)/1000</f>
        <v>35.534999999999997</v>
      </c>
      <c r="R176" s="205">
        <f>((R189/4)*R145)/1000</f>
        <v>41.342500000000001</v>
      </c>
      <c r="S176" s="191">
        <f>SUM(O176:R176)</f>
        <v>131.04124999999999</v>
      </c>
      <c r="T176" s="205"/>
      <c r="U176" s="750">
        <f>((U189/4)*U145)/1000</f>
        <v>45.39</v>
      </c>
      <c r="V176" s="205">
        <f>((V189/4)*V145)/1000</f>
        <v>41.042499999999997</v>
      </c>
      <c r="W176" s="205">
        <f>((W189/4)*W145)/1000</f>
        <v>41.763277499999994</v>
      </c>
      <c r="X176" s="205">
        <f>((X189/4)*X145)/1000</f>
        <v>38.185999999999993</v>
      </c>
      <c r="Y176" s="191">
        <f>SUM(U176:X176)</f>
        <v>166.3817775</v>
      </c>
      <c r="Z176" s="205"/>
      <c r="AA176" s="750">
        <f>((AA189/4)*AA145)/1000</f>
        <v>25.470374999999994</v>
      </c>
      <c r="AB176" s="205">
        <f>((AB189/4)*AB145)/1000</f>
        <v>14.695074999999997</v>
      </c>
      <c r="AC176" s="205">
        <f>((AC189/4)*AC145)/1000</f>
        <v>14.737057499999995</v>
      </c>
      <c r="AD176" s="205">
        <f>((AD189/4)*AD145)/1000</f>
        <v>12.651249999999994</v>
      </c>
      <c r="AE176" s="191">
        <f>SUM(AA176:AD176)</f>
        <v>67.553757499999975</v>
      </c>
      <c r="AF176" s="205"/>
      <c r="AG176" s="750">
        <f>((AG189/4)*AG145)/1000</f>
        <v>11.676749999999995</v>
      </c>
      <c r="AH176" s="205">
        <f>((AH189/4)*AH145)/1000</f>
        <v>10.706999999999992</v>
      </c>
      <c r="AI176" s="205">
        <f>((AI189/4)*AI145)/1000</f>
        <v>10.114374999999992</v>
      </c>
      <c r="AJ176" s="205">
        <f>((AJ189/4)*AJ145)/1000</f>
        <v>9.9527499999999929</v>
      </c>
      <c r="AK176" s="191">
        <f>SUM(AG176:AJ176)</f>
        <v>42.450874999999968</v>
      </c>
      <c r="AL176" s="205"/>
      <c r="AM176" s="750">
        <f>((AM189/4)*AM145)/1000</f>
        <v>6.4692874999999956</v>
      </c>
      <c r="AN176" s="205">
        <f>((AN189/4)*AN145)/1000</f>
        <v>6.4692874999999956</v>
      </c>
      <c r="AO176" s="205">
        <f>((AO189/4)*AO145)/1000</f>
        <v>6.4692874999999956</v>
      </c>
      <c r="AP176" s="205">
        <f>((AP189/4)*AP145)/1000</f>
        <v>6.4692874999999956</v>
      </c>
      <c r="AQ176" s="191">
        <f>SUM(AM176:AP176)</f>
        <v>25.877149999999983</v>
      </c>
      <c r="AR176" s="205"/>
      <c r="AS176" s="89">
        <f>((AS189/4)*AS145)/1000</f>
        <v>0.49763749999999962</v>
      </c>
      <c r="AT176" s="205">
        <f>((AT189/4)*AT145)/1000</f>
        <v>0.49763749999999962</v>
      </c>
      <c r="AU176" s="205">
        <f>((AU189/4)*AU145)/1000</f>
        <v>0.49763749999999962</v>
      </c>
      <c r="AV176" s="9">
        <f>((AV189/4)*AV145)/1000</f>
        <v>0.49763749999999962</v>
      </c>
      <c r="AW176" s="188">
        <f>SUM(AS176:AV176)</f>
        <v>1.9905499999999985</v>
      </c>
      <c r="AX176" s="9"/>
      <c r="AY176" s="89">
        <f>((AY189/4)*AY145)/1000</f>
        <v>0.49763749999999962</v>
      </c>
      <c r="AZ176" s="9">
        <f>((AZ189/4)*AZ145)/1000</f>
        <v>0.49763749999999962</v>
      </c>
      <c r="BA176" s="9">
        <f>((BA189/4)*BA145)/1000</f>
        <v>0.49763749999999962</v>
      </c>
      <c r="BB176" s="9">
        <f>((BB189/4)*BB145)/1000</f>
        <v>0.49763749999999962</v>
      </c>
      <c r="BC176" s="188">
        <f>SUM(AY176:BB176)</f>
        <v>1.9905499999999985</v>
      </c>
      <c r="BD176" s="9"/>
      <c r="BE176" s="89">
        <f>((BE189/4)*BE145)/1000</f>
        <v>0.49763749999999962</v>
      </c>
      <c r="BF176" s="9">
        <f>((BF189/4)*BF145)/1000</f>
        <v>0.49763749999999962</v>
      </c>
      <c r="BG176" s="9">
        <f>((BG189/4)*BG145)/1000</f>
        <v>0.49763749999999962</v>
      </c>
      <c r="BH176" s="9">
        <f>((BH189/4)*BH145)/1000</f>
        <v>0.49763749999999962</v>
      </c>
      <c r="BI176" s="188">
        <f t="shared" ref="BI176:BI185" si="519">SUM(BE176:BH176)</f>
        <v>1.9905499999999985</v>
      </c>
      <c r="BJ176" s="9"/>
      <c r="BK176" s="89">
        <f>((BK189/4)*BK145)/1000</f>
        <v>0.49763749999999962</v>
      </c>
      <c r="BL176" s="9">
        <f>((BL189/4)*BL145)/1000</f>
        <v>0.49763749999999962</v>
      </c>
      <c r="BM176" s="9">
        <f>((BM189/4)*BM145)/1000</f>
        <v>0.49763749999999962</v>
      </c>
      <c r="BN176" s="9">
        <f>((BN189/4)*BN145)/1000</f>
        <v>0.49763749999999962</v>
      </c>
      <c r="BO176" s="188">
        <f t="shared" ref="BO176:BO185" si="520">SUM(BK176:BN176)</f>
        <v>1.9905499999999985</v>
      </c>
      <c r="BP176" s="9"/>
      <c r="BQ176" s="89">
        <f>((BQ189/4)*BQ145)/1000</f>
        <v>0.49763749999999962</v>
      </c>
      <c r="BR176" s="9">
        <f>((BR189/4)*BR145)/1000</f>
        <v>0.49763749999999962</v>
      </c>
      <c r="BS176" s="9">
        <f>((BS189/4)*BS145)/1000</f>
        <v>0.49763749999999962</v>
      </c>
      <c r="BT176" s="9">
        <f>((BT189/4)*BT145)/1000</f>
        <v>0.49763749999999962</v>
      </c>
      <c r="BU176" s="188">
        <f t="shared" ref="BU176:BU185" si="521">SUM(BQ176:BT176)</f>
        <v>1.9905499999999985</v>
      </c>
      <c r="BV176" s="9"/>
      <c r="BW176" s="89">
        <f>((BW189/4)*BW145)/1000</f>
        <v>0.49763749999999962</v>
      </c>
      <c r="BX176" s="9">
        <f>((BX189/4)*BX145)/1000</f>
        <v>0.49763749999999962</v>
      </c>
      <c r="BY176" s="9">
        <f>((BY189/4)*BY145)/1000</f>
        <v>0.49763749999999962</v>
      </c>
      <c r="BZ176" s="9">
        <f>((BZ189/4)*BZ145)/1000</f>
        <v>0.49763749999999962</v>
      </c>
      <c r="CA176" s="188">
        <f t="shared" ref="CA176:CA185" si="522">SUM(BW176:BZ176)</f>
        <v>1.9905499999999985</v>
      </c>
      <c r="CB176" s="9"/>
      <c r="CC176" s="89">
        <f>((CC189/4)*CC145)/1000</f>
        <v>0.49763749999999962</v>
      </c>
      <c r="CD176" s="9">
        <f>((CD189/4)*CD145)/1000</f>
        <v>0.49763749999999962</v>
      </c>
      <c r="CE176" s="9">
        <f>((CE189/4)*CE145)/1000</f>
        <v>0.49763749999999962</v>
      </c>
      <c r="CF176" s="9">
        <f>((CF189/4)*CF145)/1000</f>
        <v>0.49763749999999962</v>
      </c>
      <c r="CG176" s="188">
        <f t="shared" ref="CG176:CG185" si="523">SUM(CC176:CF176)</f>
        <v>1.9905499999999985</v>
      </c>
      <c r="CH176" s="9"/>
      <c r="CI176" s="89">
        <f>((CI189/4)*CI145)/1000</f>
        <v>0.49763749999999962</v>
      </c>
      <c r="CJ176" s="9">
        <f>((CJ189/4)*CJ145)/1000</f>
        <v>0.49763749999999962</v>
      </c>
      <c r="CK176" s="9">
        <f>((CK189/4)*CK145)/1000</f>
        <v>0.49763749999999962</v>
      </c>
      <c r="CL176" s="9">
        <f>((CL189/4)*CL145)/1000</f>
        <v>0.49763749999999962</v>
      </c>
      <c r="CM176" s="188">
        <f t="shared" ref="CM176:CM185" si="524">SUM(CI176:CL176)</f>
        <v>1.9905499999999985</v>
      </c>
      <c r="CN176" s="9"/>
      <c r="CO176" s="89">
        <f>((CO189/4)*CO145)/1000</f>
        <v>0.49763749999999962</v>
      </c>
      <c r="CP176" s="9">
        <f>((CP189/4)*CP145)/1000</f>
        <v>0.49763749999999962</v>
      </c>
      <c r="CQ176" s="9">
        <f>((CQ189/4)*CQ145)/1000</f>
        <v>0.49763749999999962</v>
      </c>
      <c r="CR176" s="9">
        <f>((CR189/4)*CR145)/1000</f>
        <v>0.49763749999999962</v>
      </c>
      <c r="CS176" s="188">
        <f t="shared" ref="CS176:CS185" si="525">SUM(CO176:CR176)</f>
        <v>1.9905499999999985</v>
      </c>
      <c r="CT176" s="205"/>
      <c r="CU176" s="205"/>
      <c r="CV176" s="205"/>
      <c r="CW176" s="205"/>
      <c r="CX176" s="205"/>
      <c r="CY176" s="205"/>
      <c r="CZ176" s="205"/>
      <c r="DA176" s="205"/>
      <c r="DB176" s="205"/>
      <c r="DC176" s="205"/>
      <c r="DD176" s="205"/>
      <c r="DE176" s="205"/>
      <c r="DF176" s="205"/>
      <c r="DG176" s="205"/>
      <c r="DH176" s="205"/>
      <c r="DI176" s="205"/>
      <c r="DJ176" s="205"/>
      <c r="DK176" s="205"/>
      <c r="DL176" s="205"/>
      <c r="DM176" s="205"/>
      <c r="DN176" s="205"/>
      <c r="DO176" s="205"/>
      <c r="DP176" s="205"/>
      <c r="DQ176" s="205"/>
      <c r="DR176" s="205"/>
      <c r="DS176" s="205"/>
      <c r="DT176" s="205"/>
    </row>
    <row r="177" spans="1:124" ht="12" customHeight="1">
      <c r="A177" s="1749" t="s">
        <v>615</v>
      </c>
      <c r="B177" s="205"/>
      <c r="C177" s="750"/>
      <c r="D177" s="205"/>
      <c r="E177" s="205"/>
      <c r="F177" s="205"/>
      <c r="G177" s="191"/>
      <c r="H177" s="205"/>
      <c r="I177" s="750"/>
      <c r="J177" s="205"/>
      <c r="K177" s="205"/>
      <c r="L177" s="205"/>
      <c r="M177" s="191"/>
      <c r="N177" s="205"/>
      <c r="O177" s="750"/>
      <c r="P177" s="205"/>
      <c r="Q177" s="205"/>
      <c r="R177" s="205"/>
      <c r="S177" s="191"/>
      <c r="T177" s="205"/>
      <c r="U177" s="750"/>
      <c r="V177" s="205"/>
      <c r="W177" s="205"/>
      <c r="X177" s="205"/>
      <c r="Y177" s="191"/>
      <c r="Z177" s="205"/>
      <c r="AA177" s="750"/>
      <c r="AB177" s="205"/>
      <c r="AC177" s="205"/>
      <c r="AD177" s="205"/>
      <c r="AE177" s="191"/>
      <c r="AF177" s="205"/>
      <c r="AG177" s="750"/>
      <c r="AH177" s="205"/>
      <c r="AI177" s="205"/>
      <c r="AJ177" s="205"/>
      <c r="AK177" s="191"/>
      <c r="AL177" s="205"/>
      <c r="AM177" s="750"/>
      <c r="AN177" s="205"/>
      <c r="AO177" s="205"/>
      <c r="AP177" s="205"/>
      <c r="AQ177" s="191"/>
      <c r="AR177" s="205"/>
      <c r="AS177" s="89"/>
      <c r="AT177" s="205"/>
      <c r="AU177" s="205"/>
      <c r="AV177" s="9"/>
      <c r="AW177" s="188"/>
      <c r="AX177" s="9"/>
      <c r="AY177" s="89"/>
      <c r="AZ177" s="9"/>
      <c r="BA177" s="9"/>
      <c r="BB177" s="9"/>
      <c r="BC177" s="188"/>
      <c r="BD177" s="9"/>
      <c r="BE177" s="89">
        <f>((BE190/4)*BE147)/1000</f>
        <v>0.315</v>
      </c>
      <c r="BF177" s="9">
        <f>((BF190/4)*BF147)/1000</f>
        <v>0.46312500000000001</v>
      </c>
      <c r="BG177" s="9">
        <f>((BG190/4)*BG147)/1000</f>
        <v>0.80500000000000005</v>
      </c>
      <c r="BH177" s="9">
        <f>((BH190/4)*BH147)/1000</f>
        <v>2.1</v>
      </c>
      <c r="BI177" s="188">
        <f t="shared" si="519"/>
        <v>3.683125</v>
      </c>
      <c r="BJ177" s="9"/>
      <c r="BK177" s="89">
        <f>((BK190/4)*BK147)/1000</f>
        <v>2.585</v>
      </c>
      <c r="BL177" s="9">
        <f>((BL190/4)*BL147)/1000</f>
        <v>3.1349999999999998</v>
      </c>
      <c r="BM177" s="9">
        <f>((BM190/4)*BM147)/1000</f>
        <v>3.6850000000000001</v>
      </c>
      <c r="BN177" s="9">
        <f>((BN190/4)*BN147)/1000</f>
        <v>4.2350000000000003</v>
      </c>
      <c r="BO177" s="188">
        <f t="shared" si="520"/>
        <v>13.64</v>
      </c>
      <c r="BP177" s="9"/>
      <c r="BQ177" s="89">
        <f>((BQ190/4)*BQ147)/1000</f>
        <v>4.5674999999999999</v>
      </c>
      <c r="BR177" s="9">
        <f>((BR190/4)*BR147)/1000</f>
        <v>5.1187500000000004</v>
      </c>
      <c r="BS177" s="9">
        <f>((BS190/4)*BS147)/1000</f>
        <v>5.69625</v>
      </c>
      <c r="BT177" s="9">
        <f>((BT190/4)*BT147)/1000</f>
        <v>6.2737499999999997</v>
      </c>
      <c r="BU177" s="188">
        <f t="shared" si="521"/>
        <v>21.65625</v>
      </c>
      <c r="BV177" s="9"/>
      <c r="BW177" s="89">
        <f>((BW190/4)*BW147)/1000</f>
        <v>6.8512500000000003</v>
      </c>
      <c r="BX177" s="9">
        <f>((BX190/4)*BX147)/1000</f>
        <v>7.42875</v>
      </c>
      <c r="BY177" s="9">
        <f>((BY190/4)*BY147)/1000</f>
        <v>8.0062499999999996</v>
      </c>
      <c r="BZ177" s="9">
        <f>((BZ190/4)*BZ147)/1000</f>
        <v>8.5837500000000002</v>
      </c>
      <c r="CA177" s="188">
        <f t="shared" si="522"/>
        <v>30.870000000000005</v>
      </c>
      <c r="CB177" s="9"/>
      <c r="CC177" s="89">
        <f>((CC190/4)*CC147)/1000</f>
        <v>9.1612500000000008</v>
      </c>
      <c r="CD177" s="9">
        <f>((CD190/4)*CD147)/1000</f>
        <v>9.7387499999999996</v>
      </c>
      <c r="CE177" s="9">
        <f>((CE190/4)*CE147)/1000</f>
        <v>10.31625</v>
      </c>
      <c r="CF177" s="9">
        <f>((CF190/4)*CF147)/1000</f>
        <v>10.893750000000001</v>
      </c>
      <c r="CG177" s="188">
        <f t="shared" si="523"/>
        <v>40.11</v>
      </c>
      <c r="CH177" s="9"/>
      <c r="CI177" s="89">
        <f>((CI190/4)*CI147)/1000</f>
        <v>11.47125</v>
      </c>
      <c r="CJ177" s="9">
        <f>((CJ190/4)*CJ147)/1000</f>
        <v>12.04875</v>
      </c>
      <c r="CK177" s="9">
        <f>((CK190/4)*CK147)/1000</f>
        <v>12.626250000000001</v>
      </c>
      <c r="CL177" s="9">
        <f>((CL190/4)*CL147)/1000</f>
        <v>13.203749999999999</v>
      </c>
      <c r="CM177" s="188">
        <f t="shared" si="524"/>
        <v>49.35</v>
      </c>
      <c r="CN177" s="9"/>
      <c r="CO177" s="89">
        <f>((CO190/4)*CO147)/1000</f>
        <v>13.78125</v>
      </c>
      <c r="CP177" s="9">
        <f>((CP190/4)*CP147)/1000</f>
        <v>14.358750000000001</v>
      </c>
      <c r="CQ177" s="9">
        <f>((CQ190/4)*CQ147)/1000</f>
        <v>14.936249999999999</v>
      </c>
      <c r="CR177" s="9">
        <f>((CR190/4)*CR147)/1000</f>
        <v>15.51375</v>
      </c>
      <c r="CS177" s="188">
        <f t="shared" si="525"/>
        <v>58.59</v>
      </c>
      <c r="CT177" s="205"/>
      <c r="CU177" s="205"/>
      <c r="CV177" s="952"/>
      <c r="CW177" s="205"/>
      <c r="CX177" s="205"/>
      <c r="CY177" s="205"/>
      <c r="CZ177" s="205"/>
      <c r="DA177" s="205"/>
      <c r="DB177" s="205"/>
      <c r="DC177" s="205"/>
      <c r="DD177" s="205"/>
      <c r="DE177" s="205"/>
      <c r="DF177" s="205"/>
      <c r="DG177" s="205"/>
      <c r="DH177" s="205"/>
      <c r="DI177" s="205"/>
      <c r="DJ177" s="205"/>
      <c r="DK177" s="205"/>
      <c r="DL177" s="205"/>
      <c r="DM177" s="205"/>
      <c r="DN177" s="205"/>
      <c r="DO177" s="205"/>
      <c r="DP177" s="205"/>
      <c r="DQ177" s="205"/>
      <c r="DR177" s="205"/>
      <c r="DS177" s="205"/>
      <c r="DT177" s="205"/>
    </row>
    <row r="178" spans="1:124">
      <c r="A178" s="1029" t="s">
        <v>230</v>
      </c>
      <c r="B178" s="205"/>
      <c r="C178" s="750"/>
      <c r="D178" s="205"/>
      <c r="E178" s="205"/>
      <c r="F178" s="205"/>
      <c r="G178" s="191"/>
      <c r="H178" s="205"/>
      <c r="I178" s="750"/>
      <c r="J178" s="205"/>
      <c r="K178" s="205"/>
      <c r="L178" s="205"/>
      <c r="M178" s="191"/>
      <c r="N178" s="205"/>
      <c r="O178" s="750"/>
      <c r="P178" s="205"/>
      <c r="Q178" s="205"/>
      <c r="R178" s="205"/>
      <c r="S178" s="191"/>
      <c r="T178" s="205"/>
      <c r="U178" s="750"/>
      <c r="V178" s="205"/>
      <c r="W178" s="205"/>
      <c r="X178" s="205"/>
      <c r="Y178" s="191"/>
      <c r="Z178" s="205"/>
      <c r="AA178" s="750"/>
      <c r="AB178" s="205"/>
      <c r="AC178" s="205">
        <f>((AC191/4)*AC149)/1000</f>
        <v>0.5625</v>
      </c>
      <c r="AD178" s="205">
        <f>((AD191/4)*AD149)/1000</f>
        <v>1.5125</v>
      </c>
      <c r="AE178" s="191">
        <f>SUM(AC178:AD178)</f>
        <v>2.0750000000000002</v>
      </c>
      <c r="AF178" s="205"/>
      <c r="AG178" s="750">
        <f>((AG191/4)*AG149)/1000</f>
        <v>4.1043750000000001</v>
      </c>
      <c r="AH178" s="205">
        <f>((AH191/4)*AH149)/1000</f>
        <v>7.3356250000000003</v>
      </c>
      <c r="AI178" s="205">
        <f>((AI191/4)*AI149)/1000</f>
        <v>8.71875</v>
      </c>
      <c r="AJ178" s="205">
        <f>((AJ191/4)*AJ149)/1000</f>
        <v>14.196875</v>
      </c>
      <c r="AK178" s="191">
        <f>SUM(AG178:AJ178)</f>
        <v>34.355625000000003</v>
      </c>
      <c r="AL178" s="205"/>
      <c r="AM178" s="750">
        <f>((AM191/4)*AM149)/1000</f>
        <v>15.157500000000001</v>
      </c>
      <c r="AN178" s="205">
        <f>((AN191/4)*AN149)/1000</f>
        <v>17.824999999999999</v>
      </c>
      <c r="AO178" s="205">
        <f>((AO191/4)*AO149)/1000</f>
        <v>19.91</v>
      </c>
      <c r="AP178" s="205">
        <f>((AP191/4)*AP149)/1000</f>
        <v>22.88</v>
      </c>
      <c r="AQ178" s="191">
        <f>SUM(AM178:AP178)</f>
        <v>75.772499999999994</v>
      </c>
      <c r="AR178" s="205"/>
      <c r="AS178" s="89">
        <f>((AS191/4)*AS149)/1000</f>
        <v>27.254999999999999</v>
      </c>
      <c r="AT178" s="205">
        <f>((AT191/4)*AT149)/1000</f>
        <v>29.26</v>
      </c>
      <c r="AU178" s="205">
        <f>((AU191/4)*AU149)/1000</f>
        <v>31.524374999999999</v>
      </c>
      <c r="AV178" s="9">
        <f>((AV191/4)*AV149)/1000</f>
        <v>36.196874999999999</v>
      </c>
      <c r="AW178" s="188">
        <f>SUM(AS178:AV178)</f>
        <v>124.23625000000001</v>
      </c>
      <c r="AX178" s="9"/>
      <c r="AY178" s="89">
        <f>((AY191/4)*AY149)/1000</f>
        <v>39.487499999999997</v>
      </c>
      <c r="AZ178" s="9">
        <f>((AZ191/4)*AZ149)/1000</f>
        <v>38.693750000000001</v>
      </c>
      <c r="BA178" s="9">
        <f>((BA191/4)*BA149)/1000</f>
        <v>41.551875000000003</v>
      </c>
      <c r="BB178" s="9">
        <f>((BB191/4)*BB149)/1000</f>
        <v>42.66</v>
      </c>
      <c r="BC178" s="188">
        <f t="shared" ref="BC178:BC185" si="526">SUM(AY178:BB178)</f>
        <v>162.393125</v>
      </c>
      <c r="BD178" s="9"/>
      <c r="BE178" s="89">
        <f>((BE191/4)*BE149)/1000</f>
        <v>52.290500000000002</v>
      </c>
      <c r="BF178" s="9">
        <f>((BF191/4)*BF149)/1000</f>
        <v>50.968125000000001</v>
      </c>
      <c r="BG178" s="9">
        <f>((BG191/4)*BG149)/1000</f>
        <v>56.147874999999999</v>
      </c>
      <c r="BH178" s="9">
        <f>((BH191/4)*BH149)/1000</f>
        <v>56.174374999999998</v>
      </c>
      <c r="BI178" s="188">
        <f t="shared" si="519"/>
        <v>215.58087499999999</v>
      </c>
      <c r="BJ178" s="9"/>
      <c r="BK178" s="89">
        <f>((BK191/4)*BK149)/1000</f>
        <v>57.618975000000006</v>
      </c>
      <c r="BL178" s="9">
        <f>((BL191/4)*BL149)/1000</f>
        <v>60.369750000000003</v>
      </c>
      <c r="BM178" s="9">
        <f>((BM191/4)*BM149)/1000</f>
        <v>64.646437500000005</v>
      </c>
      <c r="BN178" s="9">
        <f>((BN191/4)*BN149)/1000</f>
        <v>66.712687500000001</v>
      </c>
      <c r="BO178" s="188">
        <f t="shared" si="520"/>
        <v>249.34785000000005</v>
      </c>
      <c r="BP178" s="9"/>
      <c r="BQ178" s="89">
        <f>((BQ191/4)*BQ149)/1000</f>
        <v>68.751750000000001</v>
      </c>
      <c r="BR178" s="9">
        <f>((BR191/4)*BR149)/1000</f>
        <v>70.872375000000005</v>
      </c>
      <c r="BS178" s="9">
        <f>((BS191/4)*BS149)/1000</f>
        <v>73.047375000000002</v>
      </c>
      <c r="BT178" s="9">
        <f>((BT191/4)*BT149)/1000</f>
        <v>75.222375</v>
      </c>
      <c r="BU178" s="188">
        <f t="shared" si="521"/>
        <v>287.89387499999998</v>
      </c>
      <c r="BV178" s="9"/>
      <c r="BW178" s="89">
        <f>((BW191/4)*BW149)/1000</f>
        <v>77.397374999999997</v>
      </c>
      <c r="BX178" s="9">
        <f>((BX191/4)*BX149)/1000</f>
        <v>79.572374999999994</v>
      </c>
      <c r="BY178" s="9">
        <f>((BY191/4)*BY149)/1000</f>
        <v>81.747375000000005</v>
      </c>
      <c r="BZ178" s="9">
        <f>((BZ191/4)*BZ149)/1000</f>
        <v>83.922375000000002</v>
      </c>
      <c r="CA178" s="188">
        <f t="shared" si="522"/>
        <v>322.6395</v>
      </c>
      <c r="CB178" s="9"/>
      <c r="CC178" s="89">
        <f>((CC191/4)*CC149)/1000</f>
        <v>86.097375</v>
      </c>
      <c r="CD178" s="9">
        <f>((CD191/4)*CD149)/1000</f>
        <v>88.272374999999997</v>
      </c>
      <c r="CE178" s="9">
        <f>((CE191/4)*CE149)/1000</f>
        <v>90.447374999999994</v>
      </c>
      <c r="CF178" s="9">
        <f>((CF191/4)*CF149)/1000</f>
        <v>92.622375000000005</v>
      </c>
      <c r="CG178" s="188">
        <f t="shared" si="523"/>
        <v>357.43950000000007</v>
      </c>
      <c r="CH178" s="9"/>
      <c r="CI178" s="89">
        <f>((CI191/4)*CI149)/1000</f>
        <v>94.797375000000002</v>
      </c>
      <c r="CJ178" s="9">
        <f>((CJ191/4)*CJ149)/1000</f>
        <v>96.972375</v>
      </c>
      <c r="CK178" s="9">
        <f>((CK191/4)*CK149)/1000</f>
        <v>99.147374999999997</v>
      </c>
      <c r="CL178" s="9">
        <f>((CL191/4)*CL149)/1000</f>
        <v>101.32237499999999</v>
      </c>
      <c r="CM178" s="188">
        <f t="shared" si="524"/>
        <v>392.23950000000002</v>
      </c>
      <c r="CN178" s="9"/>
      <c r="CO178" s="89">
        <f>((CO191/4)*CO149)/1000</f>
        <v>103.49737500000001</v>
      </c>
      <c r="CP178" s="9">
        <f>((CP191/4)*CP149)/1000</f>
        <v>105.672375</v>
      </c>
      <c r="CQ178" s="9">
        <f>((CQ191/4)*CQ149)/1000</f>
        <v>107.847375</v>
      </c>
      <c r="CR178" s="9">
        <f>((CR191/4)*CR149)/1000</f>
        <v>110.022375</v>
      </c>
      <c r="CS178" s="188">
        <f t="shared" si="525"/>
        <v>427.03950000000003</v>
      </c>
      <c r="CT178" s="205"/>
      <c r="CU178" s="205"/>
      <c r="CV178" s="205"/>
      <c r="CW178" s="205"/>
      <c r="CX178" s="205"/>
      <c r="CY178" s="205"/>
      <c r="CZ178" s="205"/>
      <c r="DA178" s="205"/>
      <c r="DB178" s="205"/>
      <c r="DC178" s="205"/>
      <c r="DD178" s="205"/>
      <c r="DE178" s="205"/>
      <c r="DF178" s="205"/>
      <c r="DG178" s="205"/>
      <c r="DH178" s="205"/>
      <c r="DI178" s="205"/>
      <c r="DJ178" s="205"/>
      <c r="DK178" s="205"/>
      <c r="DL178" s="205"/>
      <c r="DM178" s="205"/>
      <c r="DN178" s="205"/>
      <c r="DO178" s="205"/>
      <c r="DP178" s="205"/>
      <c r="DQ178" s="205"/>
      <c r="DR178" s="205"/>
      <c r="DS178" s="205"/>
      <c r="DT178" s="205"/>
    </row>
    <row r="179" spans="1:124">
      <c r="A179" s="1029" t="s">
        <v>447</v>
      </c>
      <c r="B179" s="205"/>
      <c r="C179" s="750"/>
      <c r="D179" s="205"/>
      <c r="E179" s="205"/>
      <c r="F179" s="205"/>
      <c r="G179" s="191"/>
      <c r="H179" s="205"/>
      <c r="I179" s="750"/>
      <c r="J179" s="205"/>
      <c r="K179" s="205"/>
      <c r="L179" s="205"/>
      <c r="M179" s="191"/>
      <c r="N179" s="205"/>
      <c r="O179" s="750"/>
      <c r="P179" s="205"/>
      <c r="Q179" s="205"/>
      <c r="R179" s="205"/>
      <c r="S179" s="191"/>
      <c r="T179" s="205"/>
      <c r="U179" s="750"/>
      <c r="V179" s="205"/>
      <c r="W179" s="205"/>
      <c r="X179" s="205"/>
      <c r="Y179" s="191"/>
      <c r="Z179" s="205"/>
      <c r="AA179" s="750"/>
      <c r="AB179" s="205"/>
      <c r="AC179" s="205"/>
      <c r="AD179" s="205"/>
      <c r="AE179" s="191"/>
      <c r="AF179" s="205"/>
      <c r="AG179" s="750"/>
      <c r="AH179" s="205"/>
      <c r="AI179" s="205"/>
      <c r="AJ179" s="205"/>
      <c r="AK179" s="191"/>
      <c r="AL179" s="205"/>
      <c r="AM179" s="750"/>
      <c r="AN179" s="205"/>
      <c r="AO179" s="205"/>
      <c r="AP179" s="205"/>
      <c r="AQ179" s="191"/>
      <c r="AR179" s="205"/>
      <c r="AS179" s="95">
        <f>((AS192/4)*15)/1000</f>
        <v>0.32624999999999998</v>
      </c>
      <c r="AT179" s="205">
        <f>((AT192/4)*AT151)/1000</f>
        <v>2.9812500000000002</v>
      </c>
      <c r="AU179" s="205">
        <f>((AU192/4)*AU151)/1000</f>
        <v>6.1050000000000004</v>
      </c>
      <c r="AV179" s="9">
        <f>((AV192/4)*AV151)/1000</f>
        <v>11.654999999999999</v>
      </c>
      <c r="AW179" s="188">
        <f>SUM(AS179:AV179)</f>
        <v>21.067500000000003</v>
      </c>
      <c r="AX179" s="9"/>
      <c r="AY179" s="89">
        <f>((AY192/4)*AY151)/1000</f>
        <v>15.763125</v>
      </c>
      <c r="AZ179" s="9">
        <f>((AZ192/4)*AZ151)/1000</f>
        <v>19.196625000000001</v>
      </c>
      <c r="BA179" s="9">
        <f>((BA192/4)*BA151)/1000</f>
        <v>25.673749999999998</v>
      </c>
      <c r="BB179" s="9">
        <f>((BB192/4)*BB151)/1000</f>
        <v>35.344749999999998</v>
      </c>
      <c r="BC179" s="188">
        <f t="shared" si="526"/>
        <v>95.978250000000003</v>
      </c>
      <c r="BD179" s="9"/>
      <c r="BE179" s="89">
        <f>((BE192/4)*BE151)/1000</f>
        <v>40.234999999999999</v>
      </c>
      <c r="BF179" s="9">
        <f>((BF192/4)*BF151)/1000</f>
        <v>50.496250000000003</v>
      </c>
      <c r="BG179" s="9">
        <f>((BG192/4)*BG151)/1000</f>
        <v>58.331249999999997</v>
      </c>
      <c r="BH179" s="9">
        <f>((BH192/4)*BH151)/1000</f>
        <v>64.237499999999997</v>
      </c>
      <c r="BI179" s="188">
        <f t="shared" si="519"/>
        <v>213.3</v>
      </c>
      <c r="BJ179" s="9"/>
      <c r="BK179" s="89">
        <f>((BK192/4)*BK151)/1000</f>
        <v>59.856000000000002</v>
      </c>
      <c r="BL179" s="9">
        <f>((BL192/4)*BL151)/1000</f>
        <v>73.748249999999999</v>
      </c>
      <c r="BM179" s="9">
        <f>((BM192/4)*BM151)/1000</f>
        <v>83.428749999999994</v>
      </c>
      <c r="BN179" s="9">
        <f>((BN192/4)*BN151)/1000</f>
        <v>90.47475</v>
      </c>
      <c r="BO179" s="188">
        <f t="shared" si="520"/>
        <v>307.50774999999999</v>
      </c>
      <c r="BP179" s="9"/>
      <c r="BQ179" s="89">
        <f>((BQ192/4)*BQ151)/1000</f>
        <v>89.412750000000003</v>
      </c>
      <c r="BR179" s="9">
        <f>((BR192/4)*BR151)/1000</f>
        <v>94.557749999999999</v>
      </c>
      <c r="BS179" s="9">
        <f>((BS192/4)*BS151)/1000</f>
        <v>99.702749999999995</v>
      </c>
      <c r="BT179" s="9">
        <f>((BT192/4)*BT151)/1000</f>
        <v>104.84775</v>
      </c>
      <c r="BU179" s="188">
        <f t="shared" si="521"/>
        <v>388.52100000000002</v>
      </c>
      <c r="BV179" s="9"/>
      <c r="BW179" s="89">
        <f>((BW192/4)*BW151)/1000</f>
        <v>112.2375</v>
      </c>
      <c r="BX179" s="9">
        <f>((BX192/4)*BX151)/1000</f>
        <v>117.4875</v>
      </c>
      <c r="BY179" s="9">
        <f>((BY192/4)*BY151)/1000</f>
        <v>122.7375</v>
      </c>
      <c r="BZ179" s="9">
        <f>((BZ192/4)*BZ151)/1000</f>
        <v>127.9875</v>
      </c>
      <c r="CA179" s="188">
        <f t="shared" si="522"/>
        <v>480.45</v>
      </c>
      <c r="CB179" s="9"/>
      <c r="CC179" s="89">
        <f>((CC192/4)*CC151)/1000</f>
        <v>133.23750000000001</v>
      </c>
      <c r="CD179" s="9">
        <f>((CD192/4)*CD151)/1000</f>
        <v>138.48750000000001</v>
      </c>
      <c r="CE179" s="9">
        <f>((CE192/4)*CE151)/1000</f>
        <v>143.73750000000001</v>
      </c>
      <c r="CF179" s="9">
        <f>((CF192/4)*CF151)/1000</f>
        <v>148.98750000000001</v>
      </c>
      <c r="CG179" s="188">
        <f t="shared" si="523"/>
        <v>564.45000000000005</v>
      </c>
      <c r="CH179" s="9"/>
      <c r="CI179" s="89">
        <f>((CI192/4)*CI151)/1000</f>
        <v>154.23750000000001</v>
      </c>
      <c r="CJ179" s="9">
        <f>((CJ192/4)*CJ151)/1000</f>
        <v>159.48750000000001</v>
      </c>
      <c r="CK179" s="9">
        <f>((CK192/4)*CK151)/1000</f>
        <v>164.73750000000001</v>
      </c>
      <c r="CL179" s="9">
        <f>((CL192/4)*CL151)/1000</f>
        <v>169.98750000000001</v>
      </c>
      <c r="CM179" s="188">
        <f t="shared" si="524"/>
        <v>648.45000000000005</v>
      </c>
      <c r="CN179" s="9"/>
      <c r="CO179" s="89">
        <f>((CO192/4)*CO151)/1000</f>
        <v>175.23750000000001</v>
      </c>
      <c r="CP179" s="9">
        <f>((CP192/4)*CP151)/1000</f>
        <v>180.48750000000001</v>
      </c>
      <c r="CQ179" s="9">
        <f>((CQ192/4)*CQ151)/1000</f>
        <v>185.73750000000001</v>
      </c>
      <c r="CR179" s="9">
        <f>((CR192/4)*CR151)/1000</f>
        <v>190.98750000000001</v>
      </c>
      <c r="CS179" s="188">
        <f t="shared" si="525"/>
        <v>732.45</v>
      </c>
      <c r="CT179" s="205"/>
      <c r="CU179" s="205"/>
      <c r="CV179" s="205"/>
      <c r="CW179" s="205"/>
      <c r="CX179" s="205"/>
      <c r="CY179" s="205"/>
      <c r="CZ179" s="205"/>
      <c r="DA179" s="205"/>
      <c r="DB179" s="205"/>
      <c r="DC179" s="205"/>
      <c r="DD179" s="205"/>
      <c r="DE179" s="205"/>
      <c r="DF179" s="205"/>
      <c r="DG179" s="205"/>
      <c r="DH179" s="205"/>
      <c r="DI179" s="205"/>
      <c r="DJ179" s="205"/>
      <c r="DK179" s="205"/>
      <c r="DL179" s="205"/>
      <c r="DM179" s="205"/>
      <c r="DN179" s="205"/>
      <c r="DO179" s="205"/>
      <c r="DP179" s="205"/>
      <c r="DQ179" s="205"/>
      <c r="DR179" s="205"/>
      <c r="DS179" s="205"/>
      <c r="DT179" s="205"/>
    </row>
    <row r="180" spans="1:124">
      <c r="A180" s="1029" t="s">
        <v>9</v>
      </c>
      <c r="B180" s="205"/>
      <c r="C180" s="750"/>
      <c r="D180" s="205"/>
      <c r="E180" s="205"/>
      <c r="F180" s="205"/>
      <c r="G180" s="191"/>
      <c r="H180" s="205"/>
      <c r="I180" s="750"/>
      <c r="J180" s="205"/>
      <c r="K180" s="205"/>
      <c r="L180" s="205"/>
      <c r="M180" s="191"/>
      <c r="N180" s="205"/>
      <c r="O180" s="750"/>
      <c r="P180" s="205"/>
      <c r="Q180" s="205"/>
      <c r="R180" s="205"/>
      <c r="S180" s="191"/>
      <c r="T180" s="205"/>
      <c r="U180" s="776">
        <f>((U193/4)*U153)/1000</f>
        <v>0.22500000000000001</v>
      </c>
      <c r="V180" s="205">
        <f>((V193/4)*V153)/1000</f>
        <v>2.782</v>
      </c>
      <c r="W180" s="205">
        <f>((W193/4)*W153)/1000</f>
        <v>8.6358125000000001</v>
      </c>
      <c r="X180" s="205">
        <f>((X193/4)*X153)/1000</f>
        <v>20.350124999999998</v>
      </c>
      <c r="Y180" s="191">
        <f>SUM(U180:X180)</f>
        <v>31.992937499999996</v>
      </c>
      <c r="Z180" s="205"/>
      <c r="AA180" s="750">
        <f>((AA193/4)*AA153)/1000</f>
        <v>47.581625000000003</v>
      </c>
      <c r="AB180" s="205">
        <f>((AB193/4)*AB153)/1000</f>
        <v>56.009017500000006</v>
      </c>
      <c r="AC180" s="205">
        <f>((AC193/4)*AC153)/1000</f>
        <v>57.888472500000006</v>
      </c>
      <c r="AD180" s="205">
        <f>((AD193/4)*AD153)/1000</f>
        <v>64.492874999999998</v>
      </c>
      <c r="AE180" s="191">
        <f>SUM(AA180:AD180)</f>
        <v>225.97199000000001</v>
      </c>
      <c r="AF180" s="205"/>
      <c r="AG180" s="750">
        <f>((AG193/4)*AG153)/1000</f>
        <v>80.342700000000008</v>
      </c>
      <c r="AH180" s="205">
        <f>((AH193/4)*AH153)/1000</f>
        <v>93.116464999999991</v>
      </c>
      <c r="AI180" s="205">
        <f>((AI193/4)*AI153)/1000</f>
        <v>91.757531250000014</v>
      </c>
      <c r="AJ180" s="205">
        <f>((AJ193/4)*AJ153)/1000</f>
        <v>93.075680000000006</v>
      </c>
      <c r="AK180" s="191">
        <f>SUM(AG180:AJ180)</f>
        <v>358.29237624999996</v>
      </c>
      <c r="AL180" s="205"/>
      <c r="AM180" s="750">
        <f>((AM193/4)*AM153)/1000</f>
        <v>86.671522500000009</v>
      </c>
      <c r="AN180" s="205">
        <f>((AN193/4)*AN153)/1000</f>
        <v>79.635650000000012</v>
      </c>
      <c r="AO180" s="205">
        <f>((AO193/4)*AO153)/1000</f>
        <v>76.814027500000009</v>
      </c>
      <c r="AP180" s="205">
        <f>((AP193/4)*AP153)/1000</f>
        <v>77.590311419172934</v>
      </c>
      <c r="AQ180" s="191">
        <f>SUM(AM180:AP180)</f>
        <v>320.71151141917301</v>
      </c>
      <c r="AR180" s="205"/>
      <c r="AS180" s="89">
        <f>((AS193/4)*AS153)/1000</f>
        <v>73.501015037593987</v>
      </c>
      <c r="AT180" s="205">
        <f>((AT193/4)*AT153)/1000</f>
        <v>72.56898496240602</v>
      </c>
      <c r="AU180" s="205">
        <f>((AU193/4)*AU153)/1000</f>
        <v>72.56898496240602</v>
      </c>
      <c r="AV180" s="9">
        <f>((AV193/4)*AV153)/1000</f>
        <v>75.867575187969919</v>
      </c>
      <c r="AW180" s="188">
        <f>SUM(AS180:AV180)</f>
        <v>294.50656015037595</v>
      </c>
      <c r="AX180" s="9"/>
      <c r="AY180" s="89">
        <f>((AY193/4)*AY153)/1000</f>
        <v>75.867575187969919</v>
      </c>
      <c r="AZ180" s="9">
        <f>((AZ193/4)*AZ153)/1000</f>
        <v>72.558099614661657</v>
      </c>
      <c r="BA180" s="9">
        <f>((BA193/4)*BA153)/1000</f>
        <v>68.082242537593999</v>
      </c>
      <c r="BB180" s="9">
        <f>((BB193/4)*BB153)/1000</f>
        <v>65.820069360902252</v>
      </c>
      <c r="BC180" s="188">
        <f t="shared" si="526"/>
        <v>282.32798670112783</v>
      </c>
      <c r="BD180" s="9"/>
      <c r="BE180" s="89">
        <f>((BE193/4)*BE153)/1000</f>
        <v>63.907569360902265</v>
      </c>
      <c r="BF180" s="9">
        <f>((BF193/4)*BF153)/1000</f>
        <v>62.265820516917302</v>
      </c>
      <c r="BG180" s="9">
        <f>((BG193/4)*BG153)/1000</f>
        <v>58.776368667293241</v>
      </c>
      <c r="BH180" s="9">
        <f>((BH193/4)*BH153)/1000</f>
        <v>56.745069360902264</v>
      </c>
      <c r="BI180" s="188">
        <f t="shared" si="519"/>
        <v>241.69482790601506</v>
      </c>
      <c r="BJ180" s="9"/>
      <c r="BK180" s="89">
        <f>((BK193/4)*BK153)/1000</f>
        <v>52.126565892857151</v>
      </c>
      <c r="BL180" s="9">
        <f>((BL193/4)*BL153)/1000</f>
        <v>51.235940892857151</v>
      </c>
      <c r="BM180" s="9">
        <f>((BM193/4)*BM153)/1000</f>
        <v>54.56782167293234</v>
      </c>
      <c r="BN180" s="9">
        <f>((BN193/4)*BN153)/1000</f>
        <v>56.192575140977446</v>
      </c>
      <c r="BO180" s="188">
        <f t="shared" si="520"/>
        <v>214.1229035996241</v>
      </c>
      <c r="BP180" s="9"/>
      <c r="BQ180" s="89">
        <f>((BQ193/4)*BQ153)/1000</f>
        <v>52.824071672932341</v>
      </c>
      <c r="BR180" s="9">
        <f>((BR193/4)*BR153)/1000</f>
        <v>49.620069360902264</v>
      </c>
      <c r="BS180" s="9">
        <f>((BS193/4)*BS153)/1000</f>
        <v>44.73981704887219</v>
      </c>
      <c r="BT180" s="9">
        <f>((BT193/4)*BT153)/1000</f>
        <v>39.067064736842113</v>
      </c>
      <c r="BU180" s="188">
        <f t="shared" si="521"/>
        <v>186.25102281954889</v>
      </c>
      <c r="BV180" s="9"/>
      <c r="BW180" s="89">
        <f>((BW193/4)*BW153)/1000</f>
        <v>33.824312424812035</v>
      </c>
      <c r="BX180" s="9">
        <f>((BX193/4)*BX153)/1000</f>
        <v>28.99656011278196</v>
      </c>
      <c r="BY180" s="9">
        <f>((BY193/4)*BY153)/1000</f>
        <v>24.443807800751884</v>
      </c>
      <c r="BZ180" s="9">
        <f>((BZ193/4)*BZ153)/1000</f>
        <v>20.16605548872181</v>
      </c>
      <c r="CA180" s="188">
        <f t="shared" si="522"/>
        <v>107.43073582706769</v>
      </c>
      <c r="CB180" s="9"/>
      <c r="CC180" s="89">
        <f>((CC193/4)*CC153)/1000</f>
        <v>16.307053176691735</v>
      </c>
      <c r="CD180" s="9">
        <f>((CD193/4)*CD153)/1000</f>
        <v>12.848050864661658</v>
      </c>
      <c r="CE180" s="9">
        <f>((CE193/4)*CE153)/1000</f>
        <v>9.6390485526315821</v>
      </c>
      <c r="CF180" s="9">
        <f>((CF193/4)*CF153)/1000</f>
        <v>6.6800462406015066</v>
      </c>
      <c r="CG180" s="188">
        <f t="shared" si="523"/>
        <v>45.474198834586481</v>
      </c>
      <c r="CH180" s="9"/>
      <c r="CI180" s="89">
        <f>((CI193/4)*CI153)/1000</f>
        <v>3.8665427725563939</v>
      </c>
      <c r="CJ180" s="9">
        <f>((CJ193/4)*CJ153)/1000</f>
        <v>1.4280393045112809</v>
      </c>
      <c r="CK180" s="9">
        <f>((CK193/4)*CK153)/1000</f>
        <v>0.16664291823308403</v>
      </c>
      <c r="CL180" s="9">
        <f>((CL193/4)*CL153)/1000</f>
        <v>0</v>
      </c>
      <c r="CM180" s="188">
        <f t="shared" si="524"/>
        <v>5.4612249953007588</v>
      </c>
      <c r="CN180" s="9"/>
      <c r="CO180" s="89">
        <f>((CO193/4)*CO153)/1000</f>
        <v>0</v>
      </c>
      <c r="CP180" s="9">
        <f>((CP193/4)*CP153)/1000</f>
        <v>0</v>
      </c>
      <c r="CQ180" s="9">
        <f>((CQ193/4)*CQ153)/1000</f>
        <v>0</v>
      </c>
      <c r="CR180" s="9">
        <f>((CR193/4)*CR153)/1000</f>
        <v>0</v>
      </c>
      <c r="CS180" s="188">
        <f t="shared" si="525"/>
        <v>0</v>
      </c>
      <c r="CT180" s="205"/>
      <c r="CU180" s="205"/>
      <c r="CV180" s="205"/>
      <c r="CW180" s="205"/>
      <c r="CX180" s="205"/>
      <c r="CY180" s="205"/>
      <c r="CZ180" s="205"/>
      <c r="DA180" s="205"/>
      <c r="DB180" s="205"/>
      <c r="DC180" s="205"/>
      <c r="DD180" s="205"/>
      <c r="DE180" s="205"/>
      <c r="DF180" s="205"/>
      <c r="DG180" s="205"/>
      <c r="DH180" s="205"/>
      <c r="DI180" s="205"/>
      <c r="DJ180" s="205"/>
      <c r="DK180" s="205"/>
      <c r="DL180" s="205"/>
      <c r="DM180" s="205"/>
      <c r="DN180" s="205"/>
      <c r="DO180" s="205"/>
      <c r="DP180" s="205"/>
      <c r="DQ180" s="205"/>
      <c r="DR180" s="205"/>
      <c r="DS180" s="205"/>
      <c r="DT180" s="205"/>
    </row>
    <row r="181" spans="1:124">
      <c r="A181" s="1029" t="s">
        <v>26</v>
      </c>
      <c r="B181" s="205"/>
      <c r="C181" s="750"/>
      <c r="D181" s="205"/>
      <c r="E181" s="205"/>
      <c r="F181" s="205"/>
      <c r="G181" s="191"/>
      <c r="H181" s="205"/>
      <c r="I181" s="750"/>
      <c r="J181" s="205"/>
      <c r="K181" s="205"/>
      <c r="L181" s="205"/>
      <c r="M181" s="191"/>
      <c r="N181" s="205"/>
      <c r="O181" s="750"/>
      <c r="P181" s="205"/>
      <c r="Q181" s="205"/>
      <c r="R181" s="205"/>
      <c r="S181" s="191"/>
      <c r="T181" s="205"/>
      <c r="U181" s="750"/>
      <c r="V181" s="205"/>
      <c r="W181" s="205"/>
      <c r="X181" s="205"/>
      <c r="Y181" s="191"/>
      <c r="Z181" s="205"/>
      <c r="AA181" s="750"/>
      <c r="AB181" s="205"/>
      <c r="AC181" s="205"/>
      <c r="AD181" s="205"/>
      <c r="AE181" s="191"/>
      <c r="AF181" s="205"/>
      <c r="AG181" s="750">
        <f>((AG194/4)*AG155)/1000</f>
        <v>0</v>
      </c>
      <c r="AH181" s="205">
        <f>((AH194/4)*AH155)/1000</f>
        <v>0</v>
      </c>
      <c r="AI181" s="205">
        <f>((AI194/4)*AI155)/1000</f>
        <v>0.01</v>
      </c>
      <c r="AJ181" s="205">
        <f>((AJ194/4)*AJ155)/1000</f>
        <v>6.1137499999999996</v>
      </c>
      <c r="AK181" s="191">
        <f>SUM(AG181:AJ181)</f>
        <v>6.1237499999999994</v>
      </c>
      <c r="AL181" s="205"/>
      <c r="AM181" s="750">
        <f>((AM194/4)*AM155)/1000</f>
        <v>19.942</v>
      </c>
      <c r="AN181" s="205">
        <f>((AN194/4)*AN155)/1000</f>
        <v>34.940750000000001</v>
      </c>
      <c r="AO181" s="205">
        <f>((AO194/4)*AO155)/1000</f>
        <v>47.90025</v>
      </c>
      <c r="AP181" s="205">
        <f>((AP194/4)*AP155)/1000</f>
        <v>57.06</v>
      </c>
      <c r="AQ181" s="191">
        <f>SUM(AM181:AP181)</f>
        <v>159.84300000000002</v>
      </c>
      <c r="AR181" s="205"/>
      <c r="AS181" s="89">
        <f>((AS194/4)*AS155)/1000</f>
        <v>59.8825</v>
      </c>
      <c r="AT181" s="205">
        <f>((AT194/4)*AT155)/1000</f>
        <v>63.731250000000003</v>
      </c>
      <c r="AU181" s="205">
        <f>((AU194/4)*AU155)/1000</f>
        <v>69.09375</v>
      </c>
      <c r="AV181" s="9">
        <f>((AV194/4)*AV155)/1000</f>
        <v>74.58</v>
      </c>
      <c r="AW181" s="188">
        <f>SUM(AS181:AV181)</f>
        <v>267.28750000000002</v>
      </c>
      <c r="AX181" s="9"/>
      <c r="AY181" s="89">
        <f>((AY194/4)*AY155)/1000</f>
        <v>79.59013250000001</v>
      </c>
      <c r="AZ181" s="9">
        <f>((AZ194/4)*AZ155)/1000</f>
        <v>75.474912500000002</v>
      </c>
      <c r="BA181" s="9">
        <f>((BA194/4)*BA155)/1000</f>
        <v>75.346095000000005</v>
      </c>
      <c r="BB181" s="9">
        <f>((BB194/4)*BB155)/1000</f>
        <v>70.076740000000001</v>
      </c>
      <c r="BC181" s="188">
        <f t="shared" si="526"/>
        <v>300.48788000000002</v>
      </c>
      <c r="BD181" s="9"/>
      <c r="BE181" s="89">
        <f>((BE194/4)*BE155)/1000</f>
        <v>66.224625000000003</v>
      </c>
      <c r="BF181" s="9">
        <f>((BF194/4)*BF155)/1000</f>
        <v>65.758362500000004</v>
      </c>
      <c r="BG181" s="9">
        <f>((BG194/4)*BG155)/1000</f>
        <v>60.810378750000005</v>
      </c>
      <c r="BH181" s="9">
        <f>((BH194/4)*BH155)/1000</f>
        <v>57.664725000000004</v>
      </c>
      <c r="BI181" s="188">
        <f t="shared" si="519"/>
        <v>250.45809125000002</v>
      </c>
      <c r="BJ181" s="9"/>
      <c r="BK181" s="89">
        <f>((BK194/4)*BK155)/1000</f>
        <v>51.813961875000011</v>
      </c>
      <c r="BL181" s="9">
        <f>((BL194/4)*BL155)/1000</f>
        <v>50.672715000000004</v>
      </c>
      <c r="BM181" s="9">
        <f>((BM194/4)*BM155)/1000</f>
        <v>54.226440000000004</v>
      </c>
      <c r="BN181" s="9">
        <f>((BN194/4)*BN155)/1000</f>
        <v>56.119050000000001</v>
      </c>
      <c r="BO181" s="188">
        <f t="shared" si="520"/>
        <v>212.83216687500004</v>
      </c>
      <c r="BP181" s="9"/>
      <c r="BQ181" s="89">
        <f>((BQ194/4)*BQ155)/1000</f>
        <v>52.79269</v>
      </c>
      <c r="BR181" s="9">
        <f>((BR194/4)*BR155)/1000</f>
        <v>49.627200000000002</v>
      </c>
      <c r="BS181" s="9">
        <f>((BS194/4)*BS155)/1000</f>
        <v>44.74671</v>
      </c>
      <c r="BT181" s="9">
        <f>((BT194/4)*BT155)/1000</f>
        <v>39.073720000000002</v>
      </c>
      <c r="BU181" s="188">
        <f t="shared" si="521"/>
        <v>186.24032000000003</v>
      </c>
      <c r="BV181" s="9"/>
      <c r="BW181" s="89">
        <f>((BW194/4)*BW155)/1000</f>
        <v>33.830730000000003</v>
      </c>
      <c r="BX181" s="9">
        <f>((BX194/4)*BX155)/1000</f>
        <v>29.002740000000003</v>
      </c>
      <c r="BY181" s="9">
        <f>((BY194/4)*BY155)/1000</f>
        <v>24.449750000000002</v>
      </c>
      <c r="BZ181" s="9">
        <f>((BZ194/4)*BZ155)/1000</f>
        <v>20.171760000000003</v>
      </c>
      <c r="CA181" s="188">
        <f t="shared" si="522"/>
        <v>107.45498000000001</v>
      </c>
      <c r="CB181" s="9"/>
      <c r="CC181" s="89">
        <f>((CC194/4)*CC155)/1000</f>
        <v>16.312520000000003</v>
      </c>
      <c r="CD181" s="9">
        <f>((CD194/4)*CD155)/1000</f>
        <v>12.85328</v>
      </c>
      <c r="CE181" s="9">
        <f>((CE194/4)*CE155)/1000</f>
        <v>9.6440400000000004</v>
      </c>
      <c r="CF181" s="9">
        <f>((CF194/4)*CF155)/1000</f>
        <v>6.684800000000001</v>
      </c>
      <c r="CG181" s="188">
        <f t="shared" si="523"/>
        <v>45.494640000000011</v>
      </c>
      <c r="CH181" s="9"/>
      <c r="CI181" s="89">
        <f>((CI194/4)*CI155)/1000</f>
        <v>3.8709400000000014</v>
      </c>
      <c r="CJ181" s="9">
        <f>((CJ194/4)*CJ155)/1000</f>
        <v>1.4320800000000011</v>
      </c>
      <c r="CK181" s="9">
        <f>((CK194/4)*CK155)/1000</f>
        <v>0.16848500000000052</v>
      </c>
      <c r="CL181" s="9">
        <f>((CL194/4)*CL155)/1000</f>
        <v>0</v>
      </c>
      <c r="CM181" s="188">
        <f t="shared" si="524"/>
        <v>5.4715050000000032</v>
      </c>
      <c r="CN181" s="9"/>
      <c r="CO181" s="89">
        <f>((CO194/4)*CO155)/1000</f>
        <v>0</v>
      </c>
      <c r="CP181" s="9">
        <f>((CP194/4)*CP155)/1000</f>
        <v>0</v>
      </c>
      <c r="CQ181" s="9">
        <f>((CQ194/4)*CQ155)/1000</f>
        <v>0</v>
      </c>
      <c r="CR181" s="9">
        <f>((CR194/4)*CR155)/1000</f>
        <v>0</v>
      </c>
      <c r="CS181" s="188">
        <f t="shared" si="525"/>
        <v>0</v>
      </c>
      <c r="CT181" s="205"/>
      <c r="CU181" s="205"/>
      <c r="CV181" s="205"/>
      <c r="CW181" s="205"/>
      <c r="CX181" s="205"/>
      <c r="CY181" s="205"/>
      <c r="CZ181" s="205"/>
      <c r="DA181" s="205"/>
      <c r="DB181" s="205"/>
      <c r="DC181" s="205"/>
      <c r="DD181" s="205"/>
      <c r="DE181" s="205"/>
      <c r="DF181" s="205"/>
      <c r="DG181" s="205"/>
      <c r="DH181" s="205"/>
      <c r="DI181" s="205"/>
      <c r="DJ181" s="205"/>
      <c r="DK181" s="205"/>
      <c r="DL181" s="205"/>
      <c r="DM181" s="205"/>
      <c r="DN181" s="205"/>
      <c r="DO181" s="205"/>
      <c r="DP181" s="205"/>
      <c r="DQ181" s="205"/>
      <c r="DR181" s="205"/>
      <c r="DS181" s="205"/>
      <c r="DT181" s="205"/>
    </row>
    <row r="182" spans="1:124">
      <c r="A182" s="1749" t="s">
        <v>517</v>
      </c>
      <c r="B182" s="205"/>
      <c r="C182" s="750"/>
      <c r="D182" s="205"/>
      <c r="E182" s="205"/>
      <c r="F182" s="205"/>
      <c r="G182" s="191"/>
      <c r="H182" s="205"/>
      <c r="I182" s="750"/>
      <c r="J182" s="205"/>
      <c r="K182" s="205"/>
      <c r="L182" s="205"/>
      <c r="M182" s="191"/>
      <c r="N182" s="205"/>
      <c r="O182" s="750"/>
      <c r="P182" s="205"/>
      <c r="Q182" s="205"/>
      <c r="R182" s="205"/>
      <c r="S182" s="191"/>
      <c r="T182" s="205"/>
      <c r="U182" s="750"/>
      <c r="V182" s="205"/>
      <c r="W182" s="205"/>
      <c r="X182" s="205"/>
      <c r="Y182" s="191"/>
      <c r="Z182" s="205"/>
      <c r="AA182" s="750"/>
      <c r="AB182" s="205"/>
      <c r="AC182" s="205"/>
      <c r="AD182" s="205"/>
      <c r="AE182" s="191"/>
      <c r="AF182" s="205"/>
      <c r="AG182" s="750"/>
      <c r="AH182" s="205"/>
      <c r="AI182" s="205"/>
      <c r="AJ182" s="205"/>
      <c r="AK182" s="191"/>
      <c r="AL182" s="205"/>
      <c r="AM182" s="750"/>
      <c r="AN182" s="205"/>
      <c r="AO182" s="205"/>
      <c r="AP182" s="205"/>
      <c r="AQ182" s="191"/>
      <c r="AR182" s="205"/>
      <c r="AS182" s="89"/>
      <c r="AT182" s="205"/>
      <c r="AU182" s="205"/>
      <c r="AV182" s="9"/>
      <c r="AW182" s="188"/>
      <c r="AX182" s="9"/>
      <c r="AY182" s="89">
        <f>((AY195/4)*AY157)/1000</f>
        <v>0.71723000000000003</v>
      </c>
      <c r="AZ182" s="9">
        <f>((AZ195/4)*AZ157)/1000</f>
        <v>2.3107154887218049</v>
      </c>
      <c r="BA182" s="9">
        <f>((BA195/4)*BA157)/1000</f>
        <v>4.7351947368421055</v>
      </c>
      <c r="BB182" s="9">
        <f>((BB195/4)*BB157)/1000</f>
        <v>5.6791329887218041</v>
      </c>
      <c r="BC182" s="188">
        <f t="shared" si="526"/>
        <v>13.442273214285715</v>
      </c>
      <c r="BD182" s="9"/>
      <c r="BE182" s="89">
        <f>((BE195/4)*BE157)/1000</f>
        <v>6.4646299060150376</v>
      </c>
      <c r="BF182" s="9">
        <f>((BF195/4)*BF157)/1000</f>
        <v>7.734426045112782</v>
      </c>
      <c r="BG182" s="9">
        <f>((BG195/4)*BG157)/1000</f>
        <v>7.514423406203008</v>
      </c>
      <c r="BH182" s="9">
        <f>((BH195/4)*BH157)/1000</f>
        <v>7.6642541729323312</v>
      </c>
      <c r="BI182" s="188">
        <f t="shared" si="519"/>
        <v>29.377733530263157</v>
      </c>
      <c r="BJ182" s="9"/>
      <c r="BK182" s="89">
        <f>((BK195/4)*BK157)/1000</f>
        <v>7.2788327142857154</v>
      </c>
      <c r="BL182" s="9">
        <f>((BL195/4)*BL157)/1000</f>
        <v>7.2788327142857154</v>
      </c>
      <c r="BM182" s="9">
        <f>((BM195/4)*BM157)/1000</f>
        <v>7.9173268120300762</v>
      </c>
      <c r="BN182" s="9">
        <f>((BN195/4)*BN157)/1000</f>
        <v>8.1785482706766928</v>
      </c>
      <c r="BO182" s="188">
        <f t="shared" si="520"/>
        <v>30.653540511278202</v>
      </c>
      <c r="BP182" s="9"/>
      <c r="BQ182" s="89">
        <f>((BQ195/4)*BQ157)/1000</f>
        <v>7.5608779924812044</v>
      </c>
      <c r="BR182" s="9">
        <f>((BR195/4)*BR157)/1000</f>
        <v>7.312980353383459</v>
      </c>
      <c r="BS182" s="9">
        <f>((BS195/4)*BS157)/1000</f>
        <v>7.0650827142857153</v>
      </c>
      <c r="BT182" s="9">
        <f>((BT195/4)*BT157)/1000</f>
        <v>6.8171850751879708</v>
      </c>
      <c r="BU182" s="188">
        <f t="shared" si="521"/>
        <v>28.756126135338349</v>
      </c>
      <c r="BV182" s="9"/>
      <c r="BW182" s="89">
        <f>((BW195/4)*BW157)/1000</f>
        <v>6.5692874360902263</v>
      </c>
      <c r="BX182" s="9">
        <f>((BX195/4)*BX157)/1000</f>
        <v>6.3213897969924817</v>
      </c>
      <c r="BY182" s="9">
        <f>((BY195/4)*BY157)/1000</f>
        <v>6.0734921578947381</v>
      </c>
      <c r="BZ182" s="9">
        <f>((BZ195/4)*BZ157)/1000</f>
        <v>5.8255945187969935</v>
      </c>
      <c r="CA182" s="188">
        <f t="shared" si="522"/>
        <v>24.78976390977444</v>
      </c>
      <c r="CB182" s="9"/>
      <c r="CC182" s="89">
        <f>((CC195/4)*CC157)/1000</f>
        <v>5.577696879699249</v>
      </c>
      <c r="CD182" s="9">
        <f>((CD195/4)*CD157)/1000</f>
        <v>5.3297992406015045</v>
      </c>
      <c r="CE182" s="9">
        <f>((CE195/4)*CE157)/1000</f>
        <v>5.0819016015037608</v>
      </c>
      <c r="CF182" s="9">
        <f>((CF195/4)*CF157)/1000</f>
        <v>4.8340039624060154</v>
      </c>
      <c r="CG182" s="188">
        <f t="shared" si="523"/>
        <v>20.823401684210531</v>
      </c>
      <c r="CH182" s="9"/>
      <c r="CI182" s="89">
        <f>((CI195/4)*CI157)/1000</f>
        <v>4.462157503759399</v>
      </c>
      <c r="CJ182" s="9">
        <f>((CJ195/4)*CJ157)/1000</f>
        <v>3.0590610451127827</v>
      </c>
      <c r="CK182" s="9">
        <f>((CK195/4)*CK157)/1000</f>
        <v>0.92173229323308292</v>
      </c>
      <c r="CL182" s="9">
        <f>((CL195/4)*CL157)/1000</f>
        <v>0</v>
      </c>
      <c r="CM182" s="188">
        <f t="shared" si="524"/>
        <v>8.4429508421052653</v>
      </c>
      <c r="CN182" s="9"/>
      <c r="CO182" s="89">
        <f>((CO195/4)*CO157)/1000</f>
        <v>0</v>
      </c>
      <c r="CP182" s="9">
        <f>((CP195/4)*CP157)/1000</f>
        <v>0</v>
      </c>
      <c r="CQ182" s="9">
        <f>((CQ195/4)*CQ157)/1000</f>
        <v>0</v>
      </c>
      <c r="CR182" s="9">
        <f>((CR195/4)*CR157)/1000</f>
        <v>0</v>
      </c>
      <c r="CS182" s="188">
        <f t="shared" si="525"/>
        <v>0</v>
      </c>
      <c r="CT182" s="205"/>
      <c r="CU182" s="205"/>
      <c r="CV182" s="205"/>
      <c r="CW182" s="205"/>
      <c r="CX182" s="205"/>
      <c r="CY182" s="205"/>
      <c r="CZ182" s="205"/>
      <c r="DA182" s="205"/>
      <c r="DB182" s="205"/>
      <c r="DC182" s="205"/>
      <c r="DD182" s="205"/>
      <c r="DE182" s="205"/>
      <c r="DF182" s="205"/>
      <c r="DG182" s="205"/>
      <c r="DH182" s="205"/>
      <c r="DI182" s="205"/>
      <c r="DJ182" s="205"/>
      <c r="DK182" s="205"/>
      <c r="DL182" s="205"/>
      <c r="DM182" s="205"/>
      <c r="DN182" s="205"/>
      <c r="DO182" s="205"/>
      <c r="DP182" s="205"/>
      <c r="DQ182" s="205"/>
      <c r="DR182" s="205"/>
      <c r="DS182" s="205"/>
      <c r="DT182" s="205"/>
    </row>
    <row r="183" spans="1:124">
      <c r="A183" s="1749" t="s">
        <v>518</v>
      </c>
      <c r="B183" s="205"/>
      <c r="C183" s="750"/>
      <c r="D183" s="205"/>
      <c r="E183" s="205"/>
      <c r="F183" s="205"/>
      <c r="G183" s="191"/>
      <c r="H183" s="205"/>
      <c r="I183" s="750"/>
      <c r="J183" s="205"/>
      <c r="K183" s="205"/>
      <c r="L183" s="205"/>
      <c r="M183" s="191"/>
      <c r="N183" s="205"/>
      <c r="O183" s="750"/>
      <c r="P183" s="205"/>
      <c r="Q183" s="205"/>
      <c r="R183" s="205"/>
      <c r="S183" s="191"/>
      <c r="T183" s="205"/>
      <c r="U183" s="750"/>
      <c r="V183" s="205"/>
      <c r="W183" s="205"/>
      <c r="X183" s="205"/>
      <c r="Y183" s="191"/>
      <c r="Z183" s="205"/>
      <c r="AA183" s="750"/>
      <c r="AB183" s="205"/>
      <c r="AC183" s="205"/>
      <c r="AD183" s="205"/>
      <c r="AE183" s="191"/>
      <c r="AF183" s="205"/>
      <c r="AG183" s="750"/>
      <c r="AH183" s="205"/>
      <c r="AI183" s="205"/>
      <c r="AJ183" s="205"/>
      <c r="AK183" s="191"/>
      <c r="AL183" s="205"/>
      <c r="AM183" s="750"/>
      <c r="AN183" s="205"/>
      <c r="AO183" s="205"/>
      <c r="AP183" s="205"/>
      <c r="AQ183" s="191"/>
      <c r="AR183" s="205"/>
      <c r="AS183" s="89"/>
      <c r="AT183" s="205"/>
      <c r="AU183" s="205"/>
      <c r="AV183" s="9"/>
      <c r="AW183" s="188"/>
      <c r="AX183" s="9"/>
      <c r="AY183" s="89">
        <f>((AY196/4)*AY159)/1000</f>
        <v>1.9726375000000003</v>
      </c>
      <c r="AZ183" s="9">
        <f>((AZ196/4)*AZ159)/1000</f>
        <v>5.9060800000000011</v>
      </c>
      <c r="BA183" s="9">
        <f>((BA196/4)*BA159)/1000</f>
        <v>11.046087500000002</v>
      </c>
      <c r="BB183" s="9">
        <f>((BB196/4)*BB159)/1000</f>
        <v>13.254670000000003</v>
      </c>
      <c r="BC183" s="188">
        <f t="shared" si="526"/>
        <v>32.179475000000004</v>
      </c>
      <c r="BD183" s="9"/>
      <c r="BE183" s="89">
        <f>((BE196/4)*BE159)/1000</f>
        <v>15.438750000000002</v>
      </c>
      <c r="BF183" s="9">
        <f>((BF196/4)*BF159)/1000</f>
        <v>18.829215999999999</v>
      </c>
      <c r="BG183" s="9">
        <f>((BG196/4)*BG159)/1000</f>
        <v>19.331885925000002</v>
      </c>
      <c r="BH183" s="9">
        <f>((BH196/4)*BH159)/1000</f>
        <v>21.303435000000004</v>
      </c>
      <c r="BI183" s="188">
        <f t="shared" si="519"/>
        <v>74.903286925000003</v>
      </c>
      <c r="BJ183" s="9"/>
      <c r="BK183" s="89">
        <f>((BK196/4)*BK159)/1000</f>
        <v>21.426748875000001</v>
      </c>
      <c r="BL183" s="9">
        <f>((BL196/4)*BL159)/1000</f>
        <v>21.677370750000005</v>
      </c>
      <c r="BM183" s="9">
        <f>((BM196/4)*BM159)/1000</f>
        <v>23.578894500000004</v>
      </c>
      <c r="BN183" s="9">
        <f>((BN196/4)*BN159)/1000</f>
        <v>24.841683750000009</v>
      </c>
      <c r="BO183" s="188">
        <f t="shared" si="520"/>
        <v>91.524697875000015</v>
      </c>
      <c r="BP183" s="9"/>
      <c r="BQ183" s="89">
        <f>((BQ196/4)*BQ159)/1000</f>
        <v>23.427339750000005</v>
      </c>
      <c r="BR183" s="9">
        <f>((BR196/4)*BR159)/1000</f>
        <v>22.659230250000004</v>
      </c>
      <c r="BS183" s="9">
        <f>((BS196/4)*BS159)/1000</f>
        <v>21.891120750000006</v>
      </c>
      <c r="BT183" s="9">
        <f>((BT196/4)*BT159)/1000</f>
        <v>21.123011250000008</v>
      </c>
      <c r="BU183" s="188">
        <f t="shared" si="521"/>
        <v>89.100702000000027</v>
      </c>
      <c r="BV183" s="9"/>
      <c r="BW183" s="89">
        <f>((BW196/4)*BW159)/1000</f>
        <v>20.354901750000003</v>
      </c>
      <c r="BX183" s="9">
        <f>((BX196/4)*BX159)/1000</f>
        <v>19.586792250000006</v>
      </c>
      <c r="BY183" s="9">
        <f>((BY196/4)*BY159)/1000</f>
        <v>18.818682750000004</v>
      </c>
      <c r="BZ183" s="9">
        <f>((BZ196/4)*BZ159)/1000</f>
        <v>18.050573250000006</v>
      </c>
      <c r="CA183" s="188">
        <f t="shared" si="522"/>
        <v>76.81095000000002</v>
      </c>
      <c r="CB183" s="9"/>
      <c r="CC183" s="89">
        <f>((CC196/4)*CC159)/1000</f>
        <v>17.282463750000002</v>
      </c>
      <c r="CD183" s="9">
        <f>((CD196/4)*CD159)/1000</f>
        <v>16.514354250000004</v>
      </c>
      <c r="CE183" s="9">
        <f>((CE196/4)*CE159)/1000</f>
        <v>15.746244750000004</v>
      </c>
      <c r="CF183" s="9">
        <f>((CF196/4)*CF159)/1000</f>
        <v>14.978135250000003</v>
      </c>
      <c r="CG183" s="188">
        <f t="shared" si="523"/>
        <v>64.521198000000012</v>
      </c>
      <c r="CH183" s="9"/>
      <c r="CI183" s="89">
        <f>((CI196/4)*CI159)/1000</f>
        <v>13.825971000000003</v>
      </c>
      <c r="CJ183" s="9">
        <f>((CJ196/4)*CJ159)/1000</f>
        <v>12.673806750000004</v>
      </c>
      <c r="CK183" s="9">
        <f>((CK196/4)*CK159)/1000</f>
        <v>10.584142500000004</v>
      </c>
      <c r="CL183" s="9">
        <f>((CL196/4)*CL159)/1000</f>
        <v>7.8382282500000029</v>
      </c>
      <c r="CM183" s="188">
        <f t="shared" si="524"/>
        <v>44.922148500000013</v>
      </c>
      <c r="CN183" s="9"/>
      <c r="CO183" s="89">
        <f>((CO196/4)*CO159)/1000</f>
        <v>6.2173140000000018</v>
      </c>
      <c r="CP183" s="9">
        <f>((CP196/4)*CP159)/1000</f>
        <v>4.7838997500000024</v>
      </c>
      <c r="CQ183" s="9">
        <f>((CQ196/4)*CQ159)/1000</f>
        <v>2.9754855000000018</v>
      </c>
      <c r="CR183" s="9">
        <f>((CR196/4)*CR159)/1000</f>
        <v>1.5420712500000016</v>
      </c>
      <c r="CS183" s="188">
        <f t="shared" si="525"/>
        <v>15.518770500000008</v>
      </c>
      <c r="CT183" s="205"/>
      <c r="CU183" s="205"/>
      <c r="CV183" s="205"/>
      <c r="CW183" s="205"/>
      <c r="CX183" s="205"/>
      <c r="CY183" s="205"/>
      <c r="CZ183" s="205"/>
      <c r="DA183" s="205"/>
      <c r="DB183" s="205"/>
      <c r="DC183" s="205"/>
      <c r="DD183" s="205"/>
      <c r="DE183" s="205"/>
      <c r="DF183" s="205"/>
      <c r="DG183" s="205"/>
      <c r="DH183" s="205"/>
      <c r="DI183" s="205"/>
      <c r="DJ183" s="205"/>
      <c r="DK183" s="205"/>
      <c r="DL183" s="205"/>
      <c r="DM183" s="205"/>
      <c r="DN183" s="205"/>
      <c r="DO183" s="205"/>
      <c r="DP183" s="205"/>
      <c r="DQ183" s="205"/>
      <c r="DR183" s="205"/>
      <c r="DS183" s="205"/>
      <c r="DT183" s="205"/>
    </row>
    <row r="184" spans="1:124">
      <c r="A184" s="1749" t="s">
        <v>519</v>
      </c>
      <c r="B184" s="205"/>
      <c r="C184" s="750"/>
      <c r="D184" s="205"/>
      <c r="E184" s="205"/>
      <c r="F184" s="205"/>
      <c r="G184" s="191"/>
      <c r="H184" s="205"/>
      <c r="I184" s="750"/>
      <c r="J184" s="205"/>
      <c r="K184" s="205"/>
      <c r="L184" s="205"/>
      <c r="M184" s="191"/>
      <c r="N184" s="205"/>
      <c r="O184" s="750"/>
      <c r="P184" s="205"/>
      <c r="Q184" s="205"/>
      <c r="R184" s="205"/>
      <c r="S184" s="191"/>
      <c r="T184" s="205"/>
      <c r="U184" s="750"/>
      <c r="V184" s="205"/>
      <c r="W184" s="205"/>
      <c r="X184" s="205"/>
      <c r="Y184" s="191"/>
      <c r="Z184" s="205"/>
      <c r="AA184" s="750"/>
      <c r="AB184" s="205"/>
      <c r="AC184" s="205"/>
      <c r="AD184" s="205"/>
      <c r="AE184" s="191"/>
      <c r="AF184" s="205"/>
      <c r="AG184" s="750"/>
      <c r="AH184" s="205"/>
      <c r="AI184" s="205"/>
      <c r="AJ184" s="205"/>
      <c r="AK184" s="191"/>
      <c r="AL184" s="205"/>
      <c r="AM184" s="750"/>
      <c r="AN184" s="205"/>
      <c r="AO184" s="205"/>
      <c r="AP184" s="205"/>
      <c r="AQ184" s="191"/>
      <c r="AR184" s="205"/>
      <c r="AS184" s="89"/>
      <c r="AT184" s="205"/>
      <c r="AU184" s="205"/>
      <c r="AV184" s="9"/>
      <c r="AW184" s="188"/>
      <c r="AX184" s="9"/>
      <c r="AY184" s="89">
        <f>((AY197/4)*AY161)/1000</f>
        <v>0</v>
      </c>
      <c r="AZ184" s="9">
        <f>((AZ197/4)*AZ161)/1000</f>
        <v>0.48</v>
      </c>
      <c r="BA184" s="9">
        <f>((BA197/4)*BA161)/1000</f>
        <v>1.5783750000000001</v>
      </c>
      <c r="BB184" s="9">
        <f>((BB197/4)*BB161)/1000</f>
        <v>2.4552000000000005</v>
      </c>
      <c r="BC184" s="188">
        <f t="shared" si="526"/>
        <v>4.5135750000000003</v>
      </c>
      <c r="BD184" s="9"/>
      <c r="BE184" s="89">
        <f>((BE197/4)*BE161)/1000</f>
        <v>4.0431600000000003</v>
      </c>
      <c r="BF184" s="9">
        <f>((BF197/4)*BF161)/1000</f>
        <v>5.7553600000000005</v>
      </c>
      <c r="BG184" s="9">
        <f>((BG197/4)*BG161)/1000</f>
        <v>9.1653282499999982</v>
      </c>
      <c r="BH184" s="9">
        <f>((BH197/4)*BH161)/1000</f>
        <v>9.3097477199999989</v>
      </c>
      <c r="BI184" s="188">
        <f t="shared" si="519"/>
        <v>28.273595969999995</v>
      </c>
      <c r="BJ184" s="9"/>
      <c r="BK184" s="89">
        <f>((BK197/4)*BK161)/1000</f>
        <v>9.8303149663999996</v>
      </c>
      <c r="BL184" s="9">
        <f>((BL197/4)*BL161)/1000</f>
        <v>10.1677437792</v>
      </c>
      <c r="BM184" s="9">
        <f>((BM197/4)*BM161)/1000</f>
        <v>10.409832916799999</v>
      </c>
      <c r="BN184" s="9">
        <f>((BN197/4)*BN161)/1000</f>
        <v>10.8133148128</v>
      </c>
      <c r="BO184" s="188">
        <f t="shared" si="520"/>
        <v>41.221206475199999</v>
      </c>
      <c r="BP184" s="9"/>
      <c r="BQ184" s="89">
        <f>((BQ197/4)*BQ161)/1000</f>
        <v>9.1993872288000009</v>
      </c>
      <c r="BR184" s="9">
        <f>((BR197/4)*BR161)/1000</f>
        <v>8.3924234367999997</v>
      </c>
      <c r="BS184" s="9">
        <f>((BS197/4)*BS161)/1000</f>
        <v>7.5854596448000002</v>
      </c>
      <c r="BT184" s="9">
        <f>((BT197/4)*BT161)/1000</f>
        <v>6.7784958527999999</v>
      </c>
      <c r="BU184" s="188">
        <f t="shared" si="521"/>
        <v>31.9557661632</v>
      </c>
      <c r="BV184" s="9"/>
      <c r="BW184" s="89">
        <f>((BW197/4)*BW161)/1000</f>
        <v>6.6171030944</v>
      </c>
      <c r="BX184" s="9">
        <f>((BX197/4)*BX161)/1000</f>
        <v>6.4557103360000001</v>
      </c>
      <c r="BY184" s="9">
        <f>((BY197/4)*BY161)/1000</f>
        <v>6.2943175776000002</v>
      </c>
      <c r="BZ184" s="9">
        <f>((BZ197/4)*BZ161)/1000</f>
        <v>6.1329248191999994</v>
      </c>
      <c r="CA184" s="188">
        <f t="shared" si="522"/>
        <v>25.500055827200001</v>
      </c>
      <c r="CB184" s="9"/>
      <c r="CC184" s="89">
        <f>((CC197/4)*CC161)/1000</f>
        <v>5.9715320608000004</v>
      </c>
      <c r="CD184" s="9">
        <f>((CD197/4)*CD161)/1000</f>
        <v>5.8101393023999997</v>
      </c>
      <c r="CE184" s="9">
        <f>((CE197/4)*CE161)/1000</f>
        <v>5.6487465439999998</v>
      </c>
      <c r="CF184" s="9">
        <f>((CF197/4)*CF161)/1000</f>
        <v>5.4873537855999999</v>
      </c>
      <c r="CG184" s="188">
        <f t="shared" si="523"/>
        <v>22.917771692800002</v>
      </c>
      <c r="CH184" s="9"/>
      <c r="CI184" s="89">
        <f>((CI197/4)*CI161)/1000</f>
        <v>5.3259610272</v>
      </c>
      <c r="CJ184" s="9">
        <f>((CJ197/4)*CJ161)/1000</f>
        <v>5.1645682688000001</v>
      </c>
      <c r="CK184" s="9">
        <f>((CK197/4)*CK161)/1000</f>
        <v>5.0031755104000002</v>
      </c>
      <c r="CL184" s="9">
        <f>((CL197/4)*CL161)/1000</f>
        <v>4.8417827520000003</v>
      </c>
      <c r="CM184" s="188">
        <f t="shared" si="524"/>
        <v>20.335487558400001</v>
      </c>
      <c r="CN184" s="9"/>
      <c r="CO184" s="89">
        <f>((CO197/4)*CO161)/1000</f>
        <v>4.6803899935999995</v>
      </c>
      <c r="CP184" s="9">
        <f>((CP197/4)*CP161)/1000</f>
        <v>4.5189972351999996</v>
      </c>
      <c r="CQ184" s="9">
        <f>((CQ197/4)*CQ161)/1000</f>
        <v>4.3576044767999997</v>
      </c>
      <c r="CR184" s="9">
        <f>((CR197/4)*CR161)/1000</f>
        <v>4.1962117183999998</v>
      </c>
      <c r="CS184" s="188">
        <f t="shared" si="525"/>
        <v>17.753203423999999</v>
      </c>
      <c r="CT184" s="205"/>
      <c r="CU184" s="205"/>
      <c r="CV184" s="205"/>
      <c r="CW184" s="205"/>
      <c r="CX184" s="205"/>
      <c r="CY184" s="205"/>
      <c r="CZ184" s="205"/>
      <c r="DA184" s="205"/>
      <c r="DB184" s="205"/>
      <c r="DC184" s="205"/>
      <c r="DD184" s="205"/>
      <c r="DE184" s="205"/>
      <c r="DF184" s="205"/>
      <c r="DG184" s="205"/>
      <c r="DH184" s="205"/>
      <c r="DI184" s="205"/>
      <c r="DJ184" s="205"/>
      <c r="DK184" s="205"/>
      <c r="DL184" s="205"/>
      <c r="DM184" s="205"/>
      <c r="DN184" s="205"/>
      <c r="DO184" s="205"/>
      <c r="DP184" s="205"/>
      <c r="DQ184" s="205"/>
      <c r="DR184" s="205"/>
      <c r="DS184" s="205"/>
      <c r="DT184" s="205"/>
    </row>
    <row r="185" spans="1:124">
      <c r="A185" s="1029" t="s">
        <v>448</v>
      </c>
      <c r="B185" s="205"/>
      <c r="C185" s="750"/>
      <c r="D185" s="205"/>
      <c r="E185" s="205"/>
      <c r="F185" s="205"/>
      <c r="G185" s="191"/>
      <c r="H185" s="205"/>
      <c r="I185" s="750"/>
      <c r="J185" s="205"/>
      <c r="K185" s="205"/>
      <c r="L185" s="205"/>
      <c r="M185" s="191"/>
      <c r="N185" s="205"/>
      <c r="O185" s="750"/>
      <c r="P185" s="205"/>
      <c r="Q185" s="205"/>
      <c r="R185" s="205"/>
      <c r="S185" s="191"/>
      <c r="T185" s="205"/>
      <c r="U185" s="750"/>
      <c r="V185" s="205"/>
      <c r="W185" s="205"/>
      <c r="X185" s="205"/>
      <c r="Y185" s="191"/>
      <c r="Z185" s="205"/>
      <c r="AA185" s="750"/>
      <c r="AB185" s="205"/>
      <c r="AC185" s="205"/>
      <c r="AD185" s="205"/>
      <c r="AE185" s="191"/>
      <c r="AF185" s="205"/>
      <c r="AG185" s="750"/>
      <c r="AH185" s="205"/>
      <c r="AI185" s="205"/>
      <c r="AJ185" s="205"/>
      <c r="AK185" s="191"/>
      <c r="AL185" s="205"/>
      <c r="AM185" s="750"/>
      <c r="AN185" s="205"/>
      <c r="AO185" s="205"/>
      <c r="AP185" s="205"/>
      <c r="AQ185" s="191"/>
      <c r="AR185" s="205"/>
      <c r="AS185" s="89">
        <f>((AS198/4)*AS163)/1000</f>
        <v>0.9</v>
      </c>
      <c r="AT185" s="9">
        <f>((AT198/4)*AT163)/1000</f>
        <v>4.3499999999999996</v>
      </c>
      <c r="AU185" s="9">
        <f>AU174-SUM(AU176:AU181)</f>
        <v>20.210252537593988</v>
      </c>
      <c r="AV185" s="9">
        <f>((AV198/4)*AV163)/1000</f>
        <v>19.96875</v>
      </c>
      <c r="AW185" s="188">
        <f>SUM(AS185:AV185)</f>
        <v>45.429002537593988</v>
      </c>
      <c r="AX185" s="9"/>
      <c r="AY185" s="89">
        <f>((AY198/4)*AY163)/1000</f>
        <v>25.979249999999997</v>
      </c>
      <c r="AZ185" s="9">
        <f>((AZ198/4)*AZ163)/1000</f>
        <v>32.659110000000005</v>
      </c>
      <c r="BA185" s="9">
        <f>((BA198/4)*BA163)/1000</f>
        <v>40.359480000000005</v>
      </c>
      <c r="BB185" s="9">
        <f>((BB198/4)*BB163)/1000</f>
        <v>41.273275999999996</v>
      </c>
      <c r="BC185" s="188">
        <f t="shared" si="526"/>
        <v>140.27111600000001</v>
      </c>
      <c r="BD185" s="9"/>
      <c r="BE185" s="89">
        <f>((BE198/4)*BE163)/1000</f>
        <v>46.986488999999992</v>
      </c>
      <c r="BF185" s="9">
        <f>((BF198/4)*BF163)/1000</f>
        <v>48.09832415999999</v>
      </c>
      <c r="BG185" s="9">
        <f>((BG198/4)*BG163)/1000</f>
        <v>61.822946739500004</v>
      </c>
      <c r="BH185" s="9">
        <f>((BH198/4)*BH163)/1000</f>
        <v>55.072693187199995</v>
      </c>
      <c r="BI185" s="188">
        <f t="shared" si="519"/>
        <v>211.98045308669998</v>
      </c>
      <c r="BJ185" s="9"/>
      <c r="BK185" s="89">
        <f>((BK198/4)*BK163)/1000</f>
        <v>54.828937062223993</v>
      </c>
      <c r="BL185" s="9">
        <f>((BL198/4)*BL163)/1000</f>
        <v>56.552197281098401</v>
      </c>
      <c r="BM185" s="9">
        <f>((BM198/4)*BM163)/1000</f>
        <v>58.305524054599189</v>
      </c>
      <c r="BN185" s="9">
        <f>((BN198/4)*BN163)/1000</f>
        <v>60.565428087723191</v>
      </c>
      <c r="BO185" s="188">
        <f t="shared" si="520"/>
        <v>230.25208648564478</v>
      </c>
      <c r="BP185" s="9"/>
      <c r="BQ185" s="89">
        <f>((BQ198/4)*BQ163)/1000</f>
        <v>51.525811955227198</v>
      </c>
      <c r="BR185" s="9">
        <f>((BR198/4)*BR163)/1000</f>
        <v>47.006003888979201</v>
      </c>
      <c r="BS185" s="9">
        <f>((BS198/4)*BS163)/1000</f>
        <v>42.486195822731197</v>
      </c>
      <c r="BT185" s="9">
        <f>((BT198/4)*BT163)/1000</f>
        <v>37.966387756483194</v>
      </c>
      <c r="BU185" s="188">
        <f t="shared" si="521"/>
        <v>178.98439942342077</v>
      </c>
      <c r="BV185" s="9"/>
      <c r="BW185" s="89">
        <f>((BW198/4)*BW163)/1000</f>
        <v>37.062426143233601</v>
      </c>
      <c r="BX185" s="9">
        <f>((BX198/4)*BX163)/1000</f>
        <v>36.158464529983995</v>
      </c>
      <c r="BY185" s="9">
        <f>((BY198/4)*BY163)/1000</f>
        <v>35.254502916734396</v>
      </c>
      <c r="BZ185" s="9">
        <f>((BZ198/4)*BZ163)/1000</f>
        <v>34.350541303484796</v>
      </c>
      <c r="CA185" s="188">
        <f t="shared" si="522"/>
        <v>142.82593489343679</v>
      </c>
      <c r="CB185" s="9"/>
      <c r="CC185" s="89">
        <f>((CC198/4)*CC163)/1000</f>
        <v>33.446579690235197</v>
      </c>
      <c r="CD185" s="9">
        <f>((CD198/4)*CD163)/1000</f>
        <v>32.542618076985597</v>
      </c>
      <c r="CE185" s="9">
        <f>((CE198/4)*CE163)/1000</f>
        <v>31.638656463735995</v>
      </c>
      <c r="CF185" s="9">
        <f>((CF198/4)*CF163)/1000</f>
        <v>30.734694850486399</v>
      </c>
      <c r="CG185" s="188">
        <f t="shared" si="523"/>
        <v>128.36254908144318</v>
      </c>
      <c r="CH185" s="9"/>
      <c r="CI185" s="89">
        <f>((CI198/4)*CI163)/1000</f>
        <v>29.830733237236796</v>
      </c>
      <c r="CJ185" s="9">
        <f>((CJ198/4)*CJ163)/1000</f>
        <v>28.926771623987197</v>
      </c>
      <c r="CK185" s="9">
        <f>((CK198/4)*CK163)/1000</f>
        <v>28.022810010737597</v>
      </c>
      <c r="CL185" s="9">
        <f>((CL198/4)*CL163)/1000</f>
        <v>27.118848397487998</v>
      </c>
      <c r="CM185" s="188">
        <f t="shared" si="524"/>
        <v>113.89916326944959</v>
      </c>
      <c r="CN185" s="9"/>
      <c r="CO185" s="89">
        <f>((CO198/4)*CO163)/1000</f>
        <v>26.214886784238399</v>
      </c>
      <c r="CP185" s="9">
        <f>((CP198/4)*CP163)/1000</f>
        <v>25.310925170988799</v>
      </c>
      <c r="CQ185" s="9">
        <f>((CQ198/4)*CQ163)/1000</f>
        <v>24.406963557739196</v>
      </c>
      <c r="CR185" s="9">
        <f>((CR198/4)*CR163)/1000</f>
        <v>23.503001944489601</v>
      </c>
      <c r="CS185" s="188">
        <f t="shared" si="525"/>
        <v>99.435777457455998</v>
      </c>
      <c r="CT185" s="205"/>
      <c r="CU185" s="205"/>
      <c r="CV185" s="205"/>
      <c r="CW185" s="205"/>
      <c r="CX185" s="205"/>
      <c r="CY185" s="205"/>
      <c r="CZ185" s="205"/>
      <c r="DA185" s="205"/>
      <c r="DB185" s="205"/>
      <c r="DC185" s="205"/>
      <c r="DD185" s="205"/>
      <c r="DE185" s="205"/>
      <c r="DF185" s="205"/>
      <c r="DG185" s="205"/>
      <c r="DH185" s="205"/>
      <c r="DI185" s="205"/>
      <c r="DJ185" s="205"/>
      <c r="DK185" s="205"/>
      <c r="DL185" s="205"/>
      <c r="DM185" s="205"/>
      <c r="DN185" s="205"/>
      <c r="DO185" s="205"/>
      <c r="DP185" s="205"/>
      <c r="DQ185" s="205"/>
      <c r="DR185" s="205"/>
      <c r="DS185" s="205"/>
      <c r="DT185" s="205"/>
    </row>
    <row r="186" spans="1:124">
      <c r="A186" s="1749" t="s">
        <v>757</v>
      </c>
      <c r="B186" s="205"/>
      <c r="C186" s="750"/>
      <c r="D186" s="205"/>
      <c r="E186" s="205"/>
      <c r="F186" s="205"/>
      <c r="G186" s="191"/>
      <c r="H186" s="205"/>
      <c r="I186" s="750"/>
      <c r="J186" s="205"/>
      <c r="K186" s="205"/>
      <c r="L186" s="205"/>
      <c r="M186" s="191"/>
      <c r="N186" s="205"/>
      <c r="O186" s="750"/>
      <c r="P186" s="205"/>
      <c r="Q186" s="205"/>
      <c r="R186" s="205"/>
      <c r="S186" s="191"/>
      <c r="T186" s="205"/>
      <c r="U186" s="750"/>
      <c r="V186" s="205"/>
      <c r="W186" s="205"/>
      <c r="X186" s="205"/>
      <c r="Y186" s="191"/>
      <c r="Z186" s="205"/>
      <c r="AA186" s="750"/>
      <c r="AB186" s="205"/>
      <c r="AC186" s="205"/>
      <c r="AD186" s="205"/>
      <c r="AE186" s="191"/>
      <c r="AF186" s="205"/>
      <c r="AG186" s="750"/>
      <c r="AH186" s="205"/>
      <c r="AI186" s="205"/>
      <c r="AJ186" s="205"/>
      <c r="AK186" s="191"/>
      <c r="AL186" s="205"/>
      <c r="AM186" s="750"/>
      <c r="AN186" s="205"/>
      <c r="AO186" s="205"/>
      <c r="AP186" s="205"/>
      <c r="AQ186" s="191"/>
      <c r="AR186" s="205"/>
      <c r="AS186" s="89"/>
      <c r="AT186" s="9"/>
      <c r="AU186" s="9"/>
      <c r="AV186" s="9"/>
      <c r="AW186" s="188"/>
      <c r="AX186" s="9"/>
      <c r="AY186" s="89"/>
      <c r="AZ186" s="9"/>
      <c r="BA186" s="9"/>
      <c r="BB186" s="9"/>
      <c r="BC186" s="188"/>
      <c r="BD186" s="9"/>
      <c r="BE186" s="89"/>
      <c r="BF186" s="9"/>
      <c r="BG186" s="9"/>
      <c r="BH186" s="9"/>
      <c r="BI186" s="188"/>
      <c r="BJ186" s="9"/>
      <c r="BK186" s="89"/>
      <c r="BL186" s="9"/>
      <c r="BM186" s="9">
        <f>((BM199/4)*BM165)/1000</f>
        <v>0</v>
      </c>
      <c r="BN186" s="9">
        <f>((BN199/4)*BN165)/1000</f>
        <v>0</v>
      </c>
      <c r="BO186" s="188">
        <f>SUM(BK186:BN186)</f>
        <v>0</v>
      </c>
      <c r="BP186" s="9"/>
      <c r="BQ186" s="89">
        <f>((BQ199/4)*BQ165)/1000</f>
        <v>0</v>
      </c>
      <c r="BR186" s="9">
        <f>((BR199/4)*BR165)/1000</f>
        <v>0</v>
      </c>
      <c r="BS186" s="9">
        <f>((BS199/4)*BS165)/1000</f>
        <v>0</v>
      </c>
      <c r="BT186" s="9">
        <f>((BT199/4)*BT165)/1000</f>
        <v>0</v>
      </c>
      <c r="BU186" s="188">
        <f>SUM(BQ186:BT186)</f>
        <v>0</v>
      </c>
      <c r="BV186" s="9"/>
      <c r="BW186" s="89">
        <f>((BW199/4)*BW165)/1000</f>
        <v>0</v>
      </c>
      <c r="BX186" s="9">
        <f>((BX199/4)*BX165)/1000</f>
        <v>0</v>
      </c>
      <c r="BY186" s="9">
        <f>((BY199/4)*BY165)/1000</f>
        <v>0</v>
      </c>
      <c r="BZ186" s="9">
        <f>((BZ199/4)*BZ165)/1000</f>
        <v>0</v>
      </c>
      <c r="CA186" s="188">
        <f>SUM(BW186:BZ186)</f>
        <v>0</v>
      </c>
      <c r="CB186" s="9"/>
      <c r="CC186" s="89">
        <f>((CC199/4)*CC165)/1000</f>
        <v>0</v>
      </c>
      <c r="CD186" s="9">
        <f>((CD199/4)*CD165)/1000</f>
        <v>0</v>
      </c>
      <c r="CE186" s="9">
        <f>((CE199/4)*CE165)/1000</f>
        <v>0</v>
      </c>
      <c r="CF186" s="9">
        <f>((CF199/4)*CF165)/1000</f>
        <v>0</v>
      </c>
      <c r="CG186" s="188">
        <f>SUM(CC186:CF186)</f>
        <v>0</v>
      </c>
      <c r="CH186" s="9"/>
      <c r="CI186" s="89">
        <f>((CI199/4)*CI165)/1000</f>
        <v>0</v>
      </c>
      <c r="CJ186" s="9">
        <f>((CJ199/4)*CJ165)/1000</f>
        <v>0</v>
      </c>
      <c r="CK186" s="9">
        <f>((CK199/4)*CK165)/1000</f>
        <v>0</v>
      </c>
      <c r="CL186" s="9">
        <f>((CL199/4)*CL165)/1000</f>
        <v>0</v>
      </c>
      <c r="CM186" s="188">
        <f>SUM(CI186:CL186)</f>
        <v>0</v>
      </c>
      <c r="CN186" s="9"/>
      <c r="CO186" s="89">
        <f>((CO199/4)*CO165)/1000</f>
        <v>0</v>
      </c>
      <c r="CP186" s="9">
        <f>((CP199/4)*CP165)/1000</f>
        <v>0</v>
      </c>
      <c r="CQ186" s="9">
        <f>((CQ199/4)*CQ165)/1000</f>
        <v>0</v>
      </c>
      <c r="CR186" s="9">
        <f>((CR199/4)*CR165)/1000</f>
        <v>0</v>
      </c>
      <c r="CS186" s="188">
        <f>SUM(CO186:CR186)</f>
        <v>0</v>
      </c>
      <c r="CT186" s="205"/>
      <c r="CU186" s="205"/>
      <c r="CV186" s="205"/>
      <c r="CW186" s="205"/>
      <c r="CX186" s="205"/>
      <c r="CY186" s="205"/>
      <c r="CZ186" s="205"/>
      <c r="DA186" s="205"/>
      <c r="DB186" s="205"/>
      <c r="DC186" s="205"/>
      <c r="DD186" s="205"/>
      <c r="DE186" s="205"/>
      <c r="DF186" s="205"/>
      <c r="DG186" s="205"/>
      <c r="DH186" s="205"/>
      <c r="DI186" s="205"/>
      <c r="DJ186" s="205"/>
      <c r="DK186" s="205"/>
      <c r="DL186" s="205"/>
      <c r="DM186" s="205"/>
      <c r="DN186" s="205"/>
      <c r="DO186" s="205"/>
      <c r="DP186" s="205"/>
      <c r="DQ186" s="205"/>
      <c r="DR186" s="205"/>
      <c r="DS186" s="205"/>
      <c r="DT186" s="205"/>
    </row>
    <row r="187" spans="1:124">
      <c r="A187" s="1749" t="s">
        <v>758</v>
      </c>
      <c r="B187" s="205"/>
      <c r="C187" s="750"/>
      <c r="D187" s="205"/>
      <c r="E187" s="205"/>
      <c r="F187" s="205"/>
      <c r="G187" s="191"/>
      <c r="H187" s="205"/>
      <c r="I187" s="750"/>
      <c r="J187" s="205"/>
      <c r="K187" s="205"/>
      <c r="L187" s="205"/>
      <c r="M187" s="191"/>
      <c r="N187" s="205"/>
      <c r="O187" s="750"/>
      <c r="P187" s="205"/>
      <c r="Q187" s="205"/>
      <c r="R187" s="205"/>
      <c r="S187" s="191"/>
      <c r="T187" s="205"/>
      <c r="U187" s="750"/>
      <c r="V187" s="205"/>
      <c r="W187" s="205"/>
      <c r="X187" s="205"/>
      <c r="Y187" s="191"/>
      <c r="Z187" s="205"/>
      <c r="AA187" s="750"/>
      <c r="AB187" s="205"/>
      <c r="AC187" s="205"/>
      <c r="AD187" s="205"/>
      <c r="AE187" s="191"/>
      <c r="AF187" s="205"/>
      <c r="AG187" s="750"/>
      <c r="AH187" s="205"/>
      <c r="AI187" s="205"/>
      <c r="AJ187" s="205"/>
      <c r="AK187" s="191"/>
      <c r="AL187" s="205"/>
      <c r="AM187" s="750"/>
      <c r="AN187" s="205"/>
      <c r="AO187" s="205"/>
      <c r="AP187" s="205"/>
      <c r="AQ187" s="191"/>
      <c r="AR187" s="205"/>
      <c r="AS187" s="89"/>
      <c r="AT187" s="9"/>
      <c r="AU187" s="9"/>
      <c r="AV187" s="9"/>
      <c r="AW187" s="188"/>
      <c r="AX187" s="9"/>
      <c r="AY187" s="89"/>
      <c r="AZ187" s="9"/>
      <c r="BA187" s="9"/>
      <c r="BB187" s="9"/>
      <c r="BC187" s="188"/>
      <c r="BD187" s="9"/>
      <c r="BE187" s="89"/>
      <c r="BF187" s="9"/>
      <c r="BG187" s="9"/>
      <c r="BH187" s="9"/>
      <c r="BI187" s="188"/>
      <c r="BJ187" s="9"/>
      <c r="BK187" s="89">
        <f>((BK200/4)*BK167)/1000</f>
        <v>0</v>
      </c>
      <c r="BL187" s="1384">
        <f>((BL200/4)*BL167)/1000</f>
        <v>2.4937499999999999</v>
      </c>
      <c r="BM187" s="1384">
        <f>((BM200/4)*BM167)/1000</f>
        <v>19.0625</v>
      </c>
      <c r="BN187" s="9">
        <f>((BN200/4)*BN167)/1000</f>
        <v>53.431874999999998</v>
      </c>
      <c r="BO187" s="188">
        <f>SUM(BK187:BN187)</f>
        <v>74.988124999999997</v>
      </c>
      <c r="BP187" s="9"/>
      <c r="BQ187" s="89">
        <f>((BQ200/4)*BQ167)/1000</f>
        <v>56.787500000000001</v>
      </c>
      <c r="BR187" s="1384">
        <f>((BR200/4)*BR167)/1000</f>
        <v>73.043750000000003</v>
      </c>
      <c r="BS187" s="1384">
        <f>((BS200/4)*BS167)/1000</f>
        <v>90.9375</v>
      </c>
      <c r="BT187" s="9">
        <f>((BT200/4)*BT167)/1000</f>
        <v>113.8</v>
      </c>
      <c r="BU187" s="188">
        <f t="shared" ref="BU187" si="527">SUM(BQ187:BT187)</f>
        <v>334.56875000000002</v>
      </c>
      <c r="BV187" s="9"/>
      <c r="BW187" s="89">
        <f>((BW200/4)*BW167)/1000</f>
        <v>128.9</v>
      </c>
      <c r="BX187" s="1384">
        <f>((BX200/4)*BX167)/1000</f>
        <v>142.30000000000001</v>
      </c>
      <c r="BY187" s="1384">
        <f>((BY200/4)*BY167)/1000</f>
        <v>155.69999999999999</v>
      </c>
      <c r="BZ187" s="9">
        <f>((BZ200/4)*BZ167)/1000</f>
        <v>169.1</v>
      </c>
      <c r="CA187" s="188">
        <f t="shared" ref="CA187" si="528">SUM(BW187:BZ187)</f>
        <v>596</v>
      </c>
      <c r="CB187" s="9"/>
      <c r="CC187" s="89">
        <f>((CC200/4)*CC167)/1000</f>
        <v>181.8</v>
      </c>
      <c r="CD187" s="1384">
        <f>((CD200/4)*CD167)/1000</f>
        <v>193.8</v>
      </c>
      <c r="CE187" s="1384">
        <f>((CE200/4)*CE167)/1000</f>
        <v>205.8</v>
      </c>
      <c r="CF187" s="9">
        <f>((CF200/4)*CF167)/1000</f>
        <v>217.8</v>
      </c>
      <c r="CG187" s="188">
        <f t="shared" ref="CG187" si="529">SUM(CC187:CF187)</f>
        <v>799.2</v>
      </c>
      <c r="CH187" s="9"/>
      <c r="CI187" s="89">
        <f>((CI200/4)*CI167)/1000</f>
        <v>229.8</v>
      </c>
      <c r="CJ187" s="1384">
        <f>((CJ200/4)*CJ167)/1000</f>
        <v>241.8</v>
      </c>
      <c r="CK187" s="1384">
        <f>((CK200/4)*CK167)/1000</f>
        <v>253.8</v>
      </c>
      <c r="CL187" s="9">
        <f>((CL200/4)*CL167)/1000</f>
        <v>265.8</v>
      </c>
      <c r="CM187" s="188">
        <f t="shared" ref="CM187" si="530">SUM(CI187:CL187)</f>
        <v>991.2</v>
      </c>
      <c r="CN187" s="9"/>
      <c r="CO187" s="89">
        <f>((CO200/4)*CO167)/1000</f>
        <v>277.8</v>
      </c>
      <c r="CP187" s="1384">
        <f>((CP200/4)*CP167)/1000</f>
        <v>289.8</v>
      </c>
      <c r="CQ187" s="1384">
        <f>((CQ200/4)*CQ167)/1000</f>
        <v>301.8</v>
      </c>
      <c r="CR187" s="9">
        <f>((CR200/4)*CR167)/1000</f>
        <v>313.8</v>
      </c>
      <c r="CS187" s="188">
        <f t="shared" ref="CS187" si="531">SUM(CO187:CR187)</f>
        <v>1183.2</v>
      </c>
      <c r="CT187" s="205"/>
      <c r="CU187" s="205"/>
      <c r="CV187" s="205"/>
      <c r="CW187" s="205"/>
      <c r="CX187" s="205"/>
      <c r="CY187" s="205"/>
      <c r="CZ187" s="205"/>
      <c r="DA187" s="205"/>
      <c r="DB187" s="205"/>
      <c r="DC187" s="205"/>
      <c r="DD187" s="205"/>
      <c r="DE187" s="205"/>
      <c r="DF187" s="205"/>
      <c r="DG187" s="205"/>
      <c r="DH187" s="205"/>
      <c r="DI187" s="205"/>
      <c r="DJ187" s="205"/>
      <c r="DK187" s="205"/>
      <c r="DL187" s="205"/>
      <c r="DM187" s="205"/>
      <c r="DN187" s="205"/>
      <c r="DO187" s="205"/>
      <c r="DP187" s="205"/>
      <c r="DQ187" s="205"/>
      <c r="DR187" s="205"/>
      <c r="DS187" s="205"/>
      <c r="DT187" s="205"/>
    </row>
    <row r="188" spans="1:124">
      <c r="A188" s="734" t="s">
        <v>482</v>
      </c>
      <c r="B188" s="781"/>
      <c r="C188" s="782"/>
      <c r="D188" s="781"/>
      <c r="E188" s="781"/>
      <c r="F188" s="781"/>
      <c r="G188" s="783"/>
      <c r="H188" s="781"/>
      <c r="I188" s="782"/>
      <c r="J188" s="781"/>
      <c r="K188" s="781"/>
      <c r="L188" s="781"/>
      <c r="M188" s="783"/>
      <c r="N188" s="781"/>
      <c r="O188" s="782"/>
      <c r="P188" s="781"/>
      <c r="Q188" s="781"/>
      <c r="R188" s="781"/>
      <c r="S188" s="783"/>
      <c r="T188" s="781"/>
      <c r="U188" s="782"/>
      <c r="V188" s="781"/>
      <c r="W188" s="781"/>
      <c r="X188" s="781"/>
      <c r="Y188" s="783"/>
      <c r="Z188" s="781"/>
      <c r="AA188" s="782"/>
      <c r="AB188" s="781"/>
      <c r="AC188" s="1052"/>
      <c r="AD188" s="781"/>
      <c r="AE188" s="783"/>
      <c r="AF188" s="781"/>
      <c r="AG188" s="782"/>
      <c r="AH188" s="781"/>
      <c r="AI188" s="781"/>
      <c r="AJ188" s="781"/>
      <c r="AK188" s="783"/>
      <c r="AL188" s="781"/>
      <c r="AM188" s="786"/>
      <c r="AN188" s="785"/>
      <c r="AO188" s="785"/>
      <c r="AP188" s="785"/>
      <c r="AQ188" s="1053"/>
      <c r="AR188" s="785"/>
      <c r="AS188" s="1437"/>
      <c r="AT188" s="785"/>
      <c r="AU188" s="785"/>
      <c r="AV188" s="1644"/>
      <c r="AW188" s="1704"/>
      <c r="AX188" s="1644"/>
      <c r="AY188" s="1437"/>
      <c r="AZ188" s="1644"/>
      <c r="BA188" s="1644"/>
      <c r="BB188" s="1644"/>
      <c r="BC188" s="1704"/>
      <c r="BD188" s="1385"/>
      <c r="BE188" s="1434"/>
      <c r="BF188" s="1385"/>
      <c r="BG188" s="1385"/>
      <c r="BH188" s="1385"/>
      <c r="BI188" s="1645"/>
      <c r="BJ188" s="1385"/>
      <c r="BK188" s="1434"/>
      <c r="BL188" s="1385"/>
      <c r="BM188" s="1385"/>
      <c r="BN188" s="3071"/>
      <c r="BO188" s="1645"/>
      <c r="BP188" s="1385"/>
      <c r="BQ188" s="3070"/>
      <c r="BR188" s="2177"/>
      <c r="BS188" s="2177"/>
      <c r="BT188" s="2177"/>
      <c r="BU188" s="2920"/>
      <c r="BV188" s="1385"/>
      <c r="BW188" s="2176"/>
      <c r="BX188" s="2177"/>
      <c r="BY188" s="2177"/>
      <c r="BZ188" s="2177"/>
      <c r="CA188" s="1645"/>
      <c r="CB188" s="1385"/>
      <c r="CC188" s="2176"/>
      <c r="CD188" s="2177"/>
      <c r="CE188" s="2177"/>
      <c r="CF188" s="2177"/>
      <c r="CG188" s="1645"/>
      <c r="CH188" s="1385"/>
      <c r="CI188" s="2176"/>
      <c r="CJ188" s="2177"/>
      <c r="CK188" s="2177"/>
      <c r="CL188" s="2177"/>
      <c r="CM188" s="1645"/>
      <c r="CN188" s="1385"/>
      <c r="CO188" s="2176"/>
      <c r="CP188" s="2177"/>
      <c r="CQ188" s="2177"/>
      <c r="CR188" s="2177"/>
      <c r="CS188" s="1645"/>
      <c r="CT188" s="205"/>
      <c r="CU188" s="205"/>
      <c r="CV188" s="205"/>
      <c r="CW188" s="205"/>
      <c r="CX188" s="205"/>
      <c r="CY188" s="205"/>
      <c r="CZ188" s="205"/>
      <c r="DA188" s="205"/>
      <c r="DB188" s="205"/>
      <c r="DC188" s="205"/>
      <c r="DD188" s="205"/>
      <c r="DE188" s="205"/>
      <c r="DF188" s="205"/>
      <c r="DG188" s="205"/>
      <c r="DH188" s="205"/>
      <c r="DI188" s="205"/>
      <c r="DJ188" s="205"/>
      <c r="DK188" s="205"/>
      <c r="DL188" s="205"/>
      <c r="DM188" s="205"/>
      <c r="DN188" s="205"/>
      <c r="DO188" s="205"/>
      <c r="DP188" s="205"/>
      <c r="DQ188" s="205"/>
      <c r="DR188" s="205"/>
      <c r="DS188" s="205"/>
      <c r="DT188" s="205"/>
    </row>
    <row r="189" spans="1:124">
      <c r="A189" s="1029" t="s">
        <v>231</v>
      </c>
      <c r="B189" s="205"/>
      <c r="C189" s="776">
        <v>200</v>
      </c>
      <c r="D189" s="746">
        <v>220</v>
      </c>
      <c r="E189" s="746">
        <v>220</v>
      </c>
      <c r="F189" s="746">
        <v>230</v>
      </c>
      <c r="G189" s="191">
        <f>SUM(C189:F189)/4</f>
        <v>217.5</v>
      </c>
      <c r="H189" s="205"/>
      <c r="I189" s="776">
        <v>210</v>
      </c>
      <c r="J189" s="746">
        <v>210</v>
      </c>
      <c r="K189" s="746">
        <v>210</v>
      </c>
      <c r="L189" s="746">
        <v>210</v>
      </c>
      <c r="M189" s="191">
        <f>SUM(I189:L189)/4</f>
        <v>210</v>
      </c>
      <c r="N189" s="205"/>
      <c r="O189" s="776">
        <v>220</v>
      </c>
      <c r="P189" s="746">
        <v>230</v>
      </c>
      <c r="Q189" s="746">
        <v>230</v>
      </c>
      <c r="R189" s="746">
        <v>230</v>
      </c>
      <c r="S189" s="191">
        <f>SUM(O189:R189)/4</f>
        <v>227.5</v>
      </c>
      <c r="T189" s="205"/>
      <c r="U189" s="776">
        <v>222.5</v>
      </c>
      <c r="V189" s="746">
        <v>200</v>
      </c>
      <c r="W189" s="746">
        <v>201</v>
      </c>
      <c r="X189" s="746">
        <v>200</v>
      </c>
      <c r="Y189" s="191">
        <f>AVERAGE(U189:X189)</f>
        <v>205.875</v>
      </c>
      <c r="Z189" s="205"/>
      <c r="AA189" s="776">
        <v>150</v>
      </c>
      <c r="AB189" s="746">
        <v>100</v>
      </c>
      <c r="AC189" s="746">
        <v>110</v>
      </c>
      <c r="AD189" s="746">
        <v>100</v>
      </c>
      <c r="AE189" s="191">
        <f>AVERAGE(AA189:AD189)</f>
        <v>115</v>
      </c>
      <c r="AF189" s="205"/>
      <c r="AG189" s="1615">
        <v>100</v>
      </c>
      <c r="AH189" s="1616">
        <v>100</v>
      </c>
      <c r="AI189" s="9">
        <f>+AH189</f>
        <v>100</v>
      </c>
      <c r="AJ189" s="9">
        <f>+AI189</f>
        <v>100</v>
      </c>
      <c r="AK189" s="188">
        <f>AVERAGE(AG189:AJ189)</f>
        <v>100</v>
      </c>
      <c r="AL189" s="205"/>
      <c r="AM189" s="89">
        <f>AQ189</f>
        <v>65</v>
      </c>
      <c r="AN189" s="9">
        <f>+AM189</f>
        <v>65</v>
      </c>
      <c r="AO189" s="9">
        <f>+AN189</f>
        <v>65</v>
      </c>
      <c r="AP189" s="9">
        <f>+AO189</f>
        <v>65</v>
      </c>
      <c r="AQ189" s="1641">
        <v>65</v>
      </c>
      <c r="AR189" s="205"/>
      <c r="AS189" s="750">
        <v>5</v>
      </c>
      <c r="AT189" s="205">
        <f>+AS189</f>
        <v>5</v>
      </c>
      <c r="AU189" s="205">
        <f>+AT189</f>
        <v>5</v>
      </c>
      <c r="AV189" s="9">
        <f>+AU189</f>
        <v>5</v>
      </c>
      <c r="AW189" s="1641"/>
      <c r="AX189" s="9"/>
      <c r="AY189" s="2438">
        <v>5</v>
      </c>
      <c r="AZ189" s="7">
        <v>5</v>
      </c>
      <c r="BA189" s="7">
        <f>+AZ189</f>
        <v>5</v>
      </c>
      <c r="BB189" s="2439">
        <f>+BA189</f>
        <v>5</v>
      </c>
      <c r="BC189" s="188">
        <f>BC176/BC145*1000</f>
        <v>4.9999999999999991</v>
      </c>
      <c r="BD189" s="9"/>
      <c r="BE189" s="2686">
        <v>5</v>
      </c>
      <c r="BF189" s="2687">
        <f>+BE189</f>
        <v>5</v>
      </c>
      <c r="BG189" s="2687">
        <f>+BF189</f>
        <v>5</v>
      </c>
      <c r="BH189" s="2687">
        <f>+BG189</f>
        <v>5</v>
      </c>
      <c r="BI189" s="188">
        <f>BI176/BI145*1000</f>
        <v>4.9999999999999991</v>
      </c>
      <c r="BJ189" s="9"/>
      <c r="BK189" s="2686">
        <v>5</v>
      </c>
      <c r="BL189" s="2743">
        <f t="shared" ref="BL189:BN190" si="532">+BK189</f>
        <v>5</v>
      </c>
      <c r="BM189" s="2743">
        <f t="shared" si="532"/>
        <v>5</v>
      </c>
      <c r="BN189" s="2743">
        <f t="shared" si="532"/>
        <v>5</v>
      </c>
      <c r="BO189" s="188">
        <f>BO176/BO145*1000</f>
        <v>4.9999999999999991</v>
      </c>
      <c r="BP189" s="9"/>
      <c r="BQ189" s="2436">
        <f>+BN189</f>
        <v>5</v>
      </c>
      <c r="BR189" s="2138">
        <f t="shared" ref="BR189:BT190" si="533">+BQ189</f>
        <v>5</v>
      </c>
      <c r="BS189" s="2138">
        <f t="shared" si="533"/>
        <v>5</v>
      </c>
      <c r="BT189" s="2138">
        <f t="shared" si="533"/>
        <v>5</v>
      </c>
      <c r="BU189" s="188">
        <f>BU176/BU145*1000</f>
        <v>4.9999999999999991</v>
      </c>
      <c r="BV189" s="9"/>
      <c r="BW189" s="2136">
        <f>+BT189</f>
        <v>5</v>
      </c>
      <c r="BX189" s="2138">
        <f t="shared" ref="BX189:BX190" si="534">+BW189</f>
        <v>5</v>
      </c>
      <c r="BY189" s="2138">
        <f t="shared" ref="BY189:BY190" si="535">+BX189</f>
        <v>5</v>
      </c>
      <c r="BZ189" s="2138">
        <f t="shared" ref="BZ189:BZ190" si="536">+BY189</f>
        <v>5</v>
      </c>
      <c r="CA189" s="188">
        <f>CA176/CA145*1000</f>
        <v>4.9999999999999991</v>
      </c>
      <c r="CB189" s="9"/>
      <c r="CC189" s="2136">
        <f>+BZ189</f>
        <v>5</v>
      </c>
      <c r="CD189" s="2138">
        <f t="shared" ref="CD189:CD190" si="537">+CC189</f>
        <v>5</v>
      </c>
      <c r="CE189" s="2138">
        <f t="shared" ref="CE189:CE190" si="538">+CD189</f>
        <v>5</v>
      </c>
      <c r="CF189" s="2138">
        <f t="shared" ref="CF189:CF190" si="539">+CE189</f>
        <v>5</v>
      </c>
      <c r="CG189" s="188">
        <f>CG176/CG145*1000</f>
        <v>4.9999999999999991</v>
      </c>
      <c r="CH189" s="9"/>
      <c r="CI189" s="2136">
        <f>+CF189</f>
        <v>5</v>
      </c>
      <c r="CJ189" s="2138">
        <f t="shared" ref="CJ189:CJ190" si="540">+CI189</f>
        <v>5</v>
      </c>
      <c r="CK189" s="2138">
        <f t="shared" ref="CK189:CK190" si="541">+CJ189</f>
        <v>5</v>
      </c>
      <c r="CL189" s="2138">
        <f t="shared" ref="CL189:CL190" si="542">+CK189</f>
        <v>5</v>
      </c>
      <c r="CM189" s="188">
        <f>CM176/CM145*1000</f>
        <v>4.9999999999999991</v>
      </c>
      <c r="CN189" s="9"/>
      <c r="CO189" s="2136">
        <f>+CL189</f>
        <v>5</v>
      </c>
      <c r="CP189" s="2138">
        <f t="shared" ref="CP189:CP190" si="543">+CO189</f>
        <v>5</v>
      </c>
      <c r="CQ189" s="2138">
        <f t="shared" ref="CQ189:CQ190" si="544">+CP189</f>
        <v>5</v>
      </c>
      <c r="CR189" s="2138">
        <f t="shared" ref="CR189:CR190" si="545">+CQ189</f>
        <v>5</v>
      </c>
      <c r="CS189" s="188">
        <f>CS176/CS145*1000</f>
        <v>4.9999999999999991</v>
      </c>
      <c r="CT189" s="205"/>
      <c r="CU189" s="215"/>
      <c r="CV189" s="205"/>
      <c r="CW189" s="205"/>
      <c r="CX189" s="205"/>
      <c r="CY189" s="205"/>
      <c r="CZ189" s="205"/>
      <c r="DA189" s="205"/>
      <c r="DB189" s="205"/>
      <c r="DC189" s="205"/>
      <c r="DD189" s="205"/>
      <c r="DE189" s="205"/>
      <c r="DF189" s="205"/>
      <c r="DG189" s="205"/>
      <c r="DH189" s="205"/>
      <c r="DI189" s="205"/>
      <c r="DJ189" s="205"/>
      <c r="DK189" s="205"/>
      <c r="DL189" s="205"/>
      <c r="DM189" s="205"/>
      <c r="DN189" s="205"/>
      <c r="DO189" s="205"/>
      <c r="DP189" s="205"/>
      <c r="DQ189" s="205"/>
      <c r="DR189" s="205"/>
      <c r="DS189" s="205"/>
      <c r="DT189" s="205"/>
    </row>
    <row r="190" spans="1:124">
      <c r="A190" s="1029" t="s">
        <v>615</v>
      </c>
      <c r="B190" s="205"/>
      <c r="C190" s="776">
        <v>0</v>
      </c>
      <c r="D190" s="746">
        <v>0</v>
      </c>
      <c r="E190" s="746">
        <v>0</v>
      </c>
      <c r="F190" s="746">
        <v>0</v>
      </c>
      <c r="G190" s="191">
        <v>0</v>
      </c>
      <c r="H190" s="205"/>
      <c r="I190" s="776">
        <v>0</v>
      </c>
      <c r="J190" s="746">
        <v>0</v>
      </c>
      <c r="K190" s="746">
        <v>0</v>
      </c>
      <c r="L190" s="746">
        <v>0</v>
      </c>
      <c r="M190" s="191">
        <v>0</v>
      </c>
      <c r="N190" s="205"/>
      <c r="O190" s="776">
        <v>0</v>
      </c>
      <c r="P190" s="746">
        <v>0</v>
      </c>
      <c r="Q190" s="746">
        <v>0</v>
      </c>
      <c r="R190" s="746">
        <v>0</v>
      </c>
      <c r="S190" s="191">
        <v>0</v>
      </c>
      <c r="T190" s="205"/>
      <c r="U190" s="776">
        <v>0</v>
      </c>
      <c r="V190" s="746">
        <v>0</v>
      </c>
      <c r="W190" s="746">
        <v>0</v>
      </c>
      <c r="X190" s="746">
        <v>0</v>
      </c>
      <c r="Y190" s="191">
        <v>0</v>
      </c>
      <c r="Z190" s="205"/>
      <c r="AA190" s="776">
        <v>0</v>
      </c>
      <c r="AB190" s="746">
        <v>0</v>
      </c>
      <c r="AC190" s="746">
        <v>0</v>
      </c>
      <c r="AD190" s="746">
        <v>0</v>
      </c>
      <c r="AE190" s="191">
        <v>0</v>
      </c>
      <c r="AF190" s="205"/>
      <c r="AG190" s="1615">
        <v>0</v>
      </c>
      <c r="AH190" s="1616">
        <v>0</v>
      </c>
      <c r="AI190" s="9">
        <v>0</v>
      </c>
      <c r="AJ190" s="9">
        <v>0</v>
      </c>
      <c r="AK190" s="188">
        <v>0</v>
      </c>
      <c r="AL190" s="205"/>
      <c r="AM190" s="89">
        <v>0</v>
      </c>
      <c r="AN190" s="9">
        <v>0</v>
      </c>
      <c r="AO190" s="9">
        <v>0</v>
      </c>
      <c r="AP190" s="9">
        <v>0</v>
      </c>
      <c r="AQ190" s="1641">
        <v>0</v>
      </c>
      <c r="AR190" s="205"/>
      <c r="AS190" s="750">
        <v>0</v>
      </c>
      <c r="AT190" s="205">
        <v>0</v>
      </c>
      <c r="AU190" s="205">
        <v>0</v>
      </c>
      <c r="AV190" s="9">
        <v>0</v>
      </c>
      <c r="AW190" s="1641">
        <v>0</v>
      </c>
      <c r="AX190" s="9"/>
      <c r="AY190" s="2438">
        <v>0</v>
      </c>
      <c r="AZ190" s="7">
        <v>0</v>
      </c>
      <c r="BA190" s="7">
        <v>0</v>
      </c>
      <c r="BB190" s="2439">
        <v>0</v>
      </c>
      <c r="BC190" s="188">
        <v>0</v>
      </c>
      <c r="BD190" s="9"/>
      <c r="BE190" s="2686">
        <v>12</v>
      </c>
      <c r="BF190" s="2687">
        <f>+BE190+1</f>
        <v>13</v>
      </c>
      <c r="BG190" s="2687">
        <f>+BF190+1</f>
        <v>14</v>
      </c>
      <c r="BH190" s="2687">
        <v>24</v>
      </c>
      <c r="BI190" s="188">
        <f>BI177/BI147*1000</f>
        <v>17.803625377643503</v>
      </c>
      <c r="BJ190" s="9"/>
      <c r="BK190" s="2686">
        <v>22</v>
      </c>
      <c r="BL190" s="2743">
        <f t="shared" si="532"/>
        <v>22</v>
      </c>
      <c r="BM190" s="2743">
        <f t="shared" si="532"/>
        <v>22</v>
      </c>
      <c r="BN190" s="2743">
        <f t="shared" si="532"/>
        <v>22</v>
      </c>
      <c r="BO190" s="188">
        <f>BO177/BO147*1000</f>
        <v>22.000000000000004</v>
      </c>
      <c r="BP190" s="9"/>
      <c r="BQ190" s="2436">
        <v>21</v>
      </c>
      <c r="BR190" s="2138">
        <f t="shared" si="533"/>
        <v>21</v>
      </c>
      <c r="BS190" s="2138">
        <f t="shared" si="533"/>
        <v>21</v>
      </c>
      <c r="BT190" s="2138">
        <f t="shared" si="533"/>
        <v>21</v>
      </c>
      <c r="BU190" s="188">
        <f>BU177/BU147*1000</f>
        <v>21</v>
      </c>
      <c r="BV190" s="9"/>
      <c r="BW190" s="2136">
        <f>+BT190</f>
        <v>21</v>
      </c>
      <c r="BX190" s="2138">
        <f t="shared" si="534"/>
        <v>21</v>
      </c>
      <c r="BY190" s="2138">
        <f t="shared" si="535"/>
        <v>21</v>
      </c>
      <c r="BZ190" s="2138">
        <f t="shared" si="536"/>
        <v>21</v>
      </c>
      <c r="CA190" s="188">
        <f>CA177/CA147*1000</f>
        <v>21.000000000000004</v>
      </c>
      <c r="CB190" s="9"/>
      <c r="CC190" s="2136">
        <f>+BZ190</f>
        <v>21</v>
      </c>
      <c r="CD190" s="2138">
        <f t="shared" si="537"/>
        <v>21</v>
      </c>
      <c r="CE190" s="2138">
        <f t="shared" si="538"/>
        <v>21</v>
      </c>
      <c r="CF190" s="2138">
        <f t="shared" si="539"/>
        <v>21</v>
      </c>
      <c r="CG190" s="188">
        <f>CG177/CG147*1000</f>
        <v>21</v>
      </c>
      <c r="CH190" s="9"/>
      <c r="CI190" s="2136">
        <f>+CF190</f>
        <v>21</v>
      </c>
      <c r="CJ190" s="2138">
        <f t="shared" si="540"/>
        <v>21</v>
      </c>
      <c r="CK190" s="2138">
        <f t="shared" si="541"/>
        <v>21</v>
      </c>
      <c r="CL190" s="2138">
        <f t="shared" si="542"/>
        <v>21</v>
      </c>
      <c r="CM190" s="188">
        <f>CM177/CM147*1000</f>
        <v>21</v>
      </c>
      <c r="CN190" s="9"/>
      <c r="CO190" s="2136">
        <f>+CL190</f>
        <v>21</v>
      </c>
      <c r="CP190" s="2138">
        <f t="shared" si="543"/>
        <v>21</v>
      </c>
      <c r="CQ190" s="2138">
        <f t="shared" si="544"/>
        <v>21</v>
      </c>
      <c r="CR190" s="2138">
        <f t="shared" si="545"/>
        <v>21</v>
      </c>
      <c r="CS190" s="188">
        <f>CS177/CS147*1000</f>
        <v>21</v>
      </c>
      <c r="CT190" s="205"/>
      <c r="CU190" s="215"/>
      <c r="CV190" s="205"/>
      <c r="CW190" s="205"/>
      <c r="CX190" s="205"/>
      <c r="CY190" s="205"/>
      <c r="CZ190" s="205"/>
      <c r="DA190" s="205"/>
      <c r="DB190" s="205"/>
      <c r="DC190" s="205"/>
      <c r="DD190" s="205"/>
      <c r="DE190" s="205"/>
      <c r="DF190" s="205"/>
      <c r="DG190" s="205"/>
      <c r="DH190" s="205"/>
      <c r="DI190" s="205"/>
      <c r="DJ190" s="205"/>
      <c r="DK190" s="205"/>
      <c r="DL190" s="205"/>
      <c r="DM190" s="205"/>
      <c r="DN190" s="205"/>
      <c r="DO190" s="205"/>
      <c r="DP190" s="205"/>
      <c r="DQ190" s="205"/>
      <c r="DR190" s="205"/>
      <c r="DS190" s="205"/>
      <c r="DT190" s="205"/>
    </row>
    <row r="191" spans="1:124">
      <c r="A191" s="1029" t="s">
        <v>230</v>
      </c>
      <c r="B191" s="205"/>
      <c r="C191" s="750"/>
      <c r="D191" s="205"/>
      <c r="E191" s="205"/>
      <c r="F191" s="205"/>
      <c r="G191" s="191"/>
      <c r="H191" s="205"/>
      <c r="I191" s="750"/>
      <c r="J191" s="205"/>
      <c r="K191" s="205"/>
      <c r="L191" s="205"/>
      <c r="M191" s="191"/>
      <c r="N191" s="205"/>
      <c r="O191" s="750"/>
      <c r="P191" s="205"/>
      <c r="Q191" s="205"/>
      <c r="R191" s="205"/>
      <c r="S191" s="191"/>
      <c r="T191" s="205"/>
      <c r="U191" s="750"/>
      <c r="V191" s="205"/>
      <c r="W191" s="205"/>
      <c r="X191" s="205"/>
      <c r="Y191" s="191"/>
      <c r="Z191" s="205"/>
      <c r="AA191" s="776"/>
      <c r="AB191" s="746"/>
      <c r="AC191" s="746">
        <v>50</v>
      </c>
      <c r="AD191" s="746">
        <v>55</v>
      </c>
      <c r="AE191" s="191">
        <f>AVERAGE(AA191:AD191)</f>
        <v>52.5</v>
      </c>
      <c r="AF191" s="205"/>
      <c r="AG191" s="95">
        <v>55</v>
      </c>
      <c r="AH191" s="7">
        <v>55</v>
      </c>
      <c r="AI191" s="7">
        <v>45</v>
      </c>
      <c r="AJ191" s="1616">
        <v>55</v>
      </c>
      <c r="AK191" s="188">
        <f>AVERAGE(AG191:AJ191)</f>
        <v>52.5</v>
      </c>
      <c r="AL191" s="205"/>
      <c r="AM191" s="95">
        <v>47</v>
      </c>
      <c r="AN191" s="7">
        <v>46</v>
      </c>
      <c r="AO191" s="7">
        <v>44</v>
      </c>
      <c r="AP191" s="7">
        <v>44</v>
      </c>
      <c r="AQ191" s="188">
        <f>AVERAGE(AM191:AP191)</f>
        <v>45.25</v>
      </c>
      <c r="AR191" s="205"/>
      <c r="AS191" s="95">
        <v>46</v>
      </c>
      <c r="AT191" s="746">
        <v>44</v>
      </c>
      <c r="AU191" s="746">
        <v>43</v>
      </c>
      <c r="AV191" s="1616">
        <v>45</v>
      </c>
      <c r="AW191" s="188">
        <f>AW178/AW149*1000</f>
        <v>44.449463327370303</v>
      </c>
      <c r="AX191" s="9"/>
      <c r="AY191" s="2438">
        <v>45</v>
      </c>
      <c r="AZ191" s="7">
        <v>41</v>
      </c>
      <c r="BA191" s="7">
        <v>41.5</v>
      </c>
      <c r="BB191" s="2439">
        <v>40</v>
      </c>
      <c r="BC191" s="188">
        <f>BC178/BC149*1000</f>
        <v>41.757039084597579</v>
      </c>
      <c r="BD191" s="9"/>
      <c r="BE191" s="2686">
        <v>46</v>
      </c>
      <c r="BF191" s="2687">
        <v>42.5</v>
      </c>
      <c r="BG191" s="2687">
        <v>44.5</v>
      </c>
      <c r="BH191" s="2687">
        <v>42.5</v>
      </c>
      <c r="BI191" s="188">
        <f>BI178/BI149*1000</f>
        <v>43.821704441508281</v>
      </c>
      <c r="BJ191" s="9"/>
      <c r="BK191" s="2686">
        <v>41.7</v>
      </c>
      <c r="BL191" s="2743">
        <v>42</v>
      </c>
      <c r="BM191" s="2743">
        <v>43.5</v>
      </c>
      <c r="BN191" s="2743">
        <f>BM191</f>
        <v>43.5</v>
      </c>
      <c r="BO191" s="188">
        <f>BO178/BO149*1000</f>
        <v>42.704776176917655</v>
      </c>
      <c r="BP191" s="9"/>
      <c r="BQ191" s="2436">
        <v>43.5</v>
      </c>
      <c r="BR191" s="2138">
        <f>BQ191</f>
        <v>43.5</v>
      </c>
      <c r="BS191" s="2138">
        <f>BR191</f>
        <v>43.5</v>
      </c>
      <c r="BT191" s="2138">
        <f>BS191</f>
        <v>43.5</v>
      </c>
      <c r="BU191" s="188">
        <f>BU178/BU149*1000</f>
        <v>43.5</v>
      </c>
      <c r="BV191" s="9"/>
      <c r="BW191" s="2136">
        <f>+BQ191</f>
        <v>43.5</v>
      </c>
      <c r="BX191" s="2138">
        <f>BW191</f>
        <v>43.5</v>
      </c>
      <c r="BY191" s="2138">
        <f>BX191</f>
        <v>43.5</v>
      </c>
      <c r="BZ191" s="2138">
        <f>BY191</f>
        <v>43.5</v>
      </c>
      <c r="CA191" s="188">
        <f>CA178/CA149*1000</f>
        <v>43.5</v>
      </c>
      <c r="CB191" s="9"/>
      <c r="CC191" s="2136">
        <f>+BW191</f>
        <v>43.5</v>
      </c>
      <c r="CD191" s="2138">
        <f>CC191</f>
        <v>43.5</v>
      </c>
      <c r="CE191" s="2138">
        <f>CD191</f>
        <v>43.5</v>
      </c>
      <c r="CF191" s="2138">
        <f>CE191</f>
        <v>43.5</v>
      </c>
      <c r="CG191" s="188">
        <f>CG178/CG149*1000</f>
        <v>43.500000000000014</v>
      </c>
      <c r="CH191" s="9"/>
      <c r="CI191" s="2136">
        <f>+CC191</f>
        <v>43.5</v>
      </c>
      <c r="CJ191" s="2138">
        <f>CI191</f>
        <v>43.5</v>
      </c>
      <c r="CK191" s="2138">
        <f>CJ191</f>
        <v>43.5</v>
      </c>
      <c r="CL191" s="2138">
        <f>CK191</f>
        <v>43.5</v>
      </c>
      <c r="CM191" s="188">
        <f>CM178/CM149*1000</f>
        <v>43.500000000000007</v>
      </c>
      <c r="CN191" s="9"/>
      <c r="CO191" s="2136">
        <f>+CI191</f>
        <v>43.5</v>
      </c>
      <c r="CP191" s="2138">
        <f>CO191</f>
        <v>43.5</v>
      </c>
      <c r="CQ191" s="2138">
        <f>CP191</f>
        <v>43.5</v>
      </c>
      <c r="CR191" s="2138">
        <f>CQ191</f>
        <v>43.5</v>
      </c>
      <c r="CS191" s="188">
        <f>CS178/CS149*1000</f>
        <v>43.500000000000007</v>
      </c>
      <c r="CT191" s="205"/>
      <c r="CU191" s="205"/>
      <c r="CV191" s="205"/>
      <c r="CW191" s="205"/>
      <c r="CX191" s="205"/>
      <c r="CY191" s="205"/>
      <c r="CZ191" s="205"/>
      <c r="DA191" s="205"/>
      <c r="DB191" s="205"/>
      <c r="DC191" s="205"/>
      <c r="DD191" s="205"/>
      <c r="DE191" s="205"/>
      <c r="DF191" s="205"/>
      <c r="DG191" s="205"/>
      <c r="DH191" s="205"/>
      <c r="DI191" s="205"/>
      <c r="DJ191" s="205"/>
      <c r="DK191" s="205"/>
      <c r="DL191" s="205"/>
      <c r="DM191" s="205"/>
      <c r="DN191" s="205"/>
      <c r="DO191" s="205"/>
      <c r="DP191" s="205"/>
      <c r="DQ191" s="205"/>
      <c r="DR191" s="205"/>
      <c r="DS191" s="205"/>
      <c r="DT191" s="205"/>
    </row>
    <row r="192" spans="1:124">
      <c r="A192" s="1029" t="s">
        <v>447</v>
      </c>
      <c r="B192" s="205"/>
      <c r="C192" s="750"/>
      <c r="D192" s="205"/>
      <c r="E192" s="205"/>
      <c r="F192" s="205"/>
      <c r="G192" s="191"/>
      <c r="H192" s="205"/>
      <c r="I192" s="750"/>
      <c r="J192" s="205"/>
      <c r="K192" s="205"/>
      <c r="L192" s="205"/>
      <c r="M192" s="191"/>
      <c r="N192" s="205"/>
      <c r="O192" s="750"/>
      <c r="P192" s="205"/>
      <c r="Q192" s="205"/>
      <c r="R192" s="205"/>
      <c r="S192" s="191"/>
      <c r="T192" s="205"/>
      <c r="U192" s="750"/>
      <c r="V192" s="205"/>
      <c r="W192" s="205"/>
      <c r="X192" s="205"/>
      <c r="Y192" s="191"/>
      <c r="Z192" s="205"/>
      <c r="AA192" s="776"/>
      <c r="AB192" s="746"/>
      <c r="AC192" s="746"/>
      <c r="AD192" s="746"/>
      <c r="AE192" s="191"/>
      <c r="AF192" s="205"/>
      <c r="AG192" s="95"/>
      <c r="AH192" s="7"/>
      <c r="AI192" s="7"/>
      <c r="AJ192" s="7"/>
      <c r="AK192" s="188"/>
      <c r="AL192" s="205"/>
      <c r="AM192" s="95"/>
      <c r="AN192" s="7"/>
      <c r="AO192" s="7"/>
      <c r="AP192" s="7"/>
      <c r="AQ192" s="188"/>
      <c r="AR192" s="205"/>
      <c r="AS192" s="1615">
        <v>87</v>
      </c>
      <c r="AT192" s="1643">
        <v>90</v>
      </c>
      <c r="AU192" s="1616">
        <v>88</v>
      </c>
      <c r="AV192" s="96">
        <v>105</v>
      </c>
      <c r="AW192" s="188">
        <f>+AVERAGE(AS192:AV192)</f>
        <v>92.5</v>
      </c>
      <c r="AX192" s="9"/>
      <c r="AY192" s="2438">
        <v>105</v>
      </c>
      <c r="AZ192" s="7">
        <v>103</v>
      </c>
      <c r="BA192" s="7">
        <v>115</v>
      </c>
      <c r="BB192" s="2439">
        <v>133</v>
      </c>
      <c r="BC192" s="188">
        <f>BC179/BC151*1000</f>
        <v>116.26680799515447</v>
      </c>
      <c r="BD192" s="9"/>
      <c r="BE192" s="2686">
        <v>130</v>
      </c>
      <c r="BF192" s="2687">
        <v>145</v>
      </c>
      <c r="BG192" s="2687">
        <v>150</v>
      </c>
      <c r="BH192" s="2687">
        <v>150</v>
      </c>
      <c r="BI192" s="188">
        <f>BI179/BI151*1000</f>
        <v>144.62242562929063</v>
      </c>
      <c r="BJ192" s="9"/>
      <c r="BK192" s="2686">
        <v>128</v>
      </c>
      <c r="BL192" s="2743">
        <v>146</v>
      </c>
      <c r="BM192" s="2743">
        <v>155</v>
      </c>
      <c r="BN192" s="2743">
        <v>158</v>
      </c>
      <c r="BO192" s="188">
        <f>BO179/BO151*1000</f>
        <v>147.58305837182795</v>
      </c>
      <c r="BP192" s="9"/>
      <c r="BQ192" s="2436">
        <v>147</v>
      </c>
      <c r="BR192" s="1361">
        <f t="shared" ref="BR192:BT192" si="546">+BQ192</f>
        <v>147</v>
      </c>
      <c r="BS192" s="1361">
        <f t="shared" si="546"/>
        <v>147</v>
      </c>
      <c r="BT192" s="1361">
        <f t="shared" si="546"/>
        <v>147</v>
      </c>
      <c r="BU192" s="188">
        <f>BU179/BU151*1000</f>
        <v>147.00000000000003</v>
      </c>
      <c r="BV192" s="9"/>
      <c r="BW192" s="2214">
        <v>150</v>
      </c>
      <c r="BX192" s="1361">
        <f>+BW192</f>
        <v>150</v>
      </c>
      <c r="BY192" s="1361">
        <f>+BX192</f>
        <v>150</v>
      </c>
      <c r="BZ192" s="1361">
        <f>+BY192</f>
        <v>150</v>
      </c>
      <c r="CA192" s="188">
        <f>CA179/CA151*1000</f>
        <v>150</v>
      </c>
      <c r="CB192" s="9"/>
      <c r="CC192" s="2214">
        <v>150</v>
      </c>
      <c r="CD192" s="1361">
        <f t="shared" ref="CD192:CF192" si="547">+CC192</f>
        <v>150</v>
      </c>
      <c r="CE192" s="1361">
        <f t="shared" si="547"/>
        <v>150</v>
      </c>
      <c r="CF192" s="1361">
        <f t="shared" si="547"/>
        <v>150</v>
      </c>
      <c r="CG192" s="188">
        <f t="shared" ref="CG192" si="548">CG179/CG151*1000</f>
        <v>150.00000000000003</v>
      </c>
      <c r="CH192" s="9"/>
      <c r="CI192" s="2214">
        <v>150</v>
      </c>
      <c r="CJ192" s="1361">
        <f t="shared" ref="CJ192" si="549">+CI192</f>
        <v>150</v>
      </c>
      <c r="CK192" s="1361">
        <f t="shared" ref="CK192" si="550">+CJ192</f>
        <v>150</v>
      </c>
      <c r="CL192" s="1361">
        <f t="shared" ref="CL192" si="551">+CK192</f>
        <v>150</v>
      </c>
      <c r="CM192" s="188">
        <f t="shared" ref="CM192" si="552">CM179/CM151*1000</f>
        <v>150.00000000000003</v>
      </c>
      <c r="CN192" s="9"/>
      <c r="CO192" s="2214">
        <v>150</v>
      </c>
      <c r="CP192" s="1361">
        <f t="shared" ref="CP192" si="553">+CO192</f>
        <v>150</v>
      </c>
      <c r="CQ192" s="1361">
        <f t="shared" ref="CQ192" si="554">+CP192</f>
        <v>150</v>
      </c>
      <c r="CR192" s="1361">
        <f t="shared" ref="CR192" si="555">+CQ192</f>
        <v>150</v>
      </c>
      <c r="CS192" s="188">
        <f t="shared" ref="CS192" si="556">CS179/CS151*1000</f>
        <v>150.00000000000003</v>
      </c>
      <c r="CT192" s="205"/>
      <c r="CU192" s="205"/>
      <c r="CV192" s="205"/>
      <c r="CW192" s="205"/>
      <c r="CX192" s="205"/>
      <c r="CY192" s="205"/>
      <c r="CZ192" s="205"/>
      <c r="DA192" s="205"/>
      <c r="DB192" s="205"/>
      <c r="DC192" s="205"/>
      <c r="DD192" s="205"/>
      <c r="DE192" s="205"/>
      <c r="DF192" s="205"/>
      <c r="DG192" s="205"/>
      <c r="DH192" s="205"/>
      <c r="DI192" s="205"/>
      <c r="DJ192" s="205"/>
      <c r="DK192" s="205"/>
      <c r="DL192" s="205"/>
      <c r="DM192" s="205"/>
      <c r="DN192" s="205"/>
      <c r="DO192" s="205"/>
      <c r="DP192" s="205"/>
      <c r="DQ192" s="205"/>
      <c r="DR192" s="205"/>
      <c r="DS192" s="205"/>
      <c r="DT192" s="205"/>
    </row>
    <row r="193" spans="1:150">
      <c r="A193" s="1029" t="s">
        <v>9</v>
      </c>
      <c r="B193" s="205"/>
      <c r="C193" s="750"/>
      <c r="D193" s="205"/>
      <c r="E193" s="205"/>
      <c r="F193" s="205"/>
      <c r="G193" s="191"/>
      <c r="H193" s="205"/>
      <c r="I193" s="750"/>
      <c r="J193" s="205"/>
      <c r="K193" s="205"/>
      <c r="L193" s="205"/>
      <c r="M193" s="191"/>
      <c r="N193" s="205"/>
      <c r="O193" s="750"/>
      <c r="P193" s="205"/>
      <c r="Q193" s="205"/>
      <c r="R193" s="205"/>
      <c r="S193" s="191"/>
      <c r="T193" s="205"/>
      <c r="U193" s="776">
        <v>100</v>
      </c>
      <c r="V193" s="746">
        <v>160</v>
      </c>
      <c r="W193" s="746">
        <v>175</v>
      </c>
      <c r="X193" s="746">
        <v>225</v>
      </c>
      <c r="Y193" s="191">
        <f>X193</f>
        <v>225</v>
      </c>
      <c r="Z193" s="205"/>
      <c r="AA193" s="776">
        <v>350</v>
      </c>
      <c r="AB193" s="746">
        <v>310</v>
      </c>
      <c r="AC193" s="746">
        <v>270</v>
      </c>
      <c r="AD193" s="746">
        <v>270</v>
      </c>
      <c r="AE193" s="191">
        <f>AVERAGE(AA193:AD193)</f>
        <v>300</v>
      </c>
      <c r="AF193" s="205"/>
      <c r="AG193" s="95">
        <v>310</v>
      </c>
      <c r="AH193" s="7">
        <v>338</v>
      </c>
      <c r="AI193" s="7">
        <v>315</v>
      </c>
      <c r="AJ193" s="1616">
        <v>323</v>
      </c>
      <c r="AK193" s="188">
        <f>AVERAGE(AG193:AJ193)</f>
        <v>321.5</v>
      </c>
      <c r="AL193" s="205"/>
      <c r="AM193" s="95">
        <v>331</v>
      </c>
      <c r="AN193" s="7">
        <v>340</v>
      </c>
      <c r="AO193" s="7">
        <v>349</v>
      </c>
      <c r="AP193" s="7">
        <v>355</v>
      </c>
      <c r="AQ193" s="188">
        <f>AVERAGE(AM193:AP193)</f>
        <v>343.75</v>
      </c>
      <c r="AR193" s="205"/>
      <c r="AS193" s="89">
        <v>335</v>
      </c>
      <c r="AT193" s="9">
        <f>+AU193</f>
        <v>330</v>
      </c>
      <c r="AU193" s="746">
        <v>330</v>
      </c>
      <c r="AV193" s="1616">
        <v>345</v>
      </c>
      <c r="AW193" s="188">
        <f>AW180/AW153*1000</f>
        <v>335.57256862341933</v>
      </c>
      <c r="AX193" s="9"/>
      <c r="AY193" s="2438">
        <v>345</v>
      </c>
      <c r="AZ193" s="7">
        <v>330</v>
      </c>
      <c r="BA193" s="7">
        <v>310</v>
      </c>
      <c r="BB193" s="2439">
        <v>300</v>
      </c>
      <c r="BC193" s="188">
        <f>BC180/BC153*1000</f>
        <v>321.26556146387242</v>
      </c>
      <c r="BD193" s="9"/>
      <c r="BE193" s="2686">
        <v>300</v>
      </c>
      <c r="BF193" s="2687">
        <v>305</v>
      </c>
      <c r="BG193" s="2687">
        <v>297</v>
      </c>
      <c r="BH193" s="2687">
        <v>300</v>
      </c>
      <c r="BI193" s="188">
        <f>BI180/BI153*1000</f>
        <v>300.53100807774365</v>
      </c>
      <c r="BJ193" s="9"/>
      <c r="BK193" s="2686">
        <v>285</v>
      </c>
      <c r="BL193" s="2743">
        <f>+BK193</f>
        <v>285</v>
      </c>
      <c r="BM193" s="2743">
        <v>310</v>
      </c>
      <c r="BN193" s="2743">
        <v>325</v>
      </c>
      <c r="BO193" s="188">
        <f>BO180/BO153*1000</f>
        <v>300.90307099612721</v>
      </c>
      <c r="BP193" s="9"/>
      <c r="BQ193" s="2436">
        <v>310</v>
      </c>
      <c r="BR193" s="1361">
        <f>+BQ193-10</f>
        <v>300</v>
      </c>
      <c r="BS193" s="1361">
        <f t="shared" ref="BS193:BT193" si="557">+BR193-10</f>
        <v>290</v>
      </c>
      <c r="BT193" s="1361">
        <f t="shared" si="557"/>
        <v>280</v>
      </c>
      <c r="BU193" s="188">
        <f t="shared" ref="BU193" si="558">BU180/BU153*1000</f>
        <v>295.82393462200656</v>
      </c>
      <c r="BV193" s="9"/>
      <c r="BW193" s="2214">
        <f t="shared" ref="BW193:BW196" si="559">+BT193-10</f>
        <v>270</v>
      </c>
      <c r="BX193" s="1361">
        <f t="shared" ref="BX193:BX196" si="560">+BW193-10</f>
        <v>260</v>
      </c>
      <c r="BY193" s="1361">
        <f t="shared" ref="BY193:BZ193" si="561">+BX193-10</f>
        <v>250</v>
      </c>
      <c r="BZ193" s="1361">
        <f t="shared" si="561"/>
        <v>240</v>
      </c>
      <c r="CA193" s="188">
        <f t="shared" ref="CA193" si="562">CA180/CA153*1000</f>
        <v>256.64237573127366</v>
      </c>
      <c r="CB193" s="9"/>
      <c r="CC193" s="2214">
        <f>+BZ193-10</f>
        <v>230</v>
      </c>
      <c r="CD193" s="1361">
        <f t="shared" ref="CD193:CF196" si="563">+CC193-10</f>
        <v>220</v>
      </c>
      <c r="CE193" s="1361">
        <f t="shared" si="563"/>
        <v>210</v>
      </c>
      <c r="CF193" s="1361">
        <f t="shared" si="563"/>
        <v>200</v>
      </c>
      <c r="CG193" s="188">
        <f t="shared" ref="CG193" si="564">CG180/CG153*1000</f>
        <v>217.99615162570919</v>
      </c>
      <c r="CH193" s="9"/>
      <c r="CI193" s="2214">
        <f t="shared" ref="CI193:CI196" si="565">+CF193-15</f>
        <v>185</v>
      </c>
      <c r="CJ193" s="1361">
        <f t="shared" ref="CJ193:CL193" si="566">+CI193-15</f>
        <v>170</v>
      </c>
      <c r="CK193" s="1361">
        <f t="shared" si="566"/>
        <v>155</v>
      </c>
      <c r="CL193" s="1361">
        <f t="shared" si="566"/>
        <v>140</v>
      </c>
      <c r="CM193" s="188">
        <f t="shared" ref="CM193:CS193" si="567">CM180/CM153*1000</f>
        <v>179.78999424962208</v>
      </c>
      <c r="CN193" s="9"/>
      <c r="CO193" s="2214">
        <f t="shared" ref="CO193:CO196" si="568">+CL193-15</f>
        <v>125</v>
      </c>
      <c r="CP193" s="1361">
        <f t="shared" ref="CP193:CR193" si="569">+CO193-15</f>
        <v>110</v>
      </c>
      <c r="CQ193" s="1361">
        <f t="shared" si="569"/>
        <v>95</v>
      </c>
      <c r="CR193" s="1361">
        <f t="shared" si="569"/>
        <v>80</v>
      </c>
      <c r="CS193" s="188" t="e">
        <f t="shared" si="567"/>
        <v>#DIV/0!</v>
      </c>
      <c r="CT193" s="205"/>
      <c r="CU193" s="205"/>
      <c r="CV193" s="205"/>
      <c r="CW193" s="205"/>
      <c r="CX193" s="205"/>
      <c r="CY193" s="205"/>
      <c r="CZ193" s="205"/>
      <c r="DA193" s="205"/>
      <c r="DB193" s="205"/>
      <c r="DC193" s="205"/>
      <c r="DD193" s="205"/>
      <c r="DE193" s="205"/>
      <c r="DF193" s="205"/>
      <c r="DG193" s="205"/>
      <c r="DH193" s="205"/>
      <c r="DI193" s="205"/>
      <c r="DJ193" s="205"/>
      <c r="DK193" s="205"/>
      <c r="DL193" s="205"/>
      <c r="DM193" s="205"/>
      <c r="DN193" s="205"/>
      <c r="DO193" s="205"/>
      <c r="DP193" s="205"/>
      <c r="DQ193" s="205"/>
      <c r="DR193" s="205"/>
      <c r="DS193" s="205"/>
      <c r="DT193" s="205"/>
    </row>
    <row r="194" spans="1:150">
      <c r="A194" s="1029" t="s">
        <v>26</v>
      </c>
      <c r="B194" s="205"/>
      <c r="C194" s="750"/>
      <c r="D194" s="205"/>
      <c r="E194" s="205"/>
      <c r="F194" s="205"/>
      <c r="G194" s="191"/>
      <c r="H194" s="205"/>
      <c r="I194" s="750"/>
      <c r="J194" s="205"/>
      <c r="K194" s="205"/>
      <c r="L194" s="205"/>
      <c r="M194" s="191"/>
      <c r="N194" s="205"/>
      <c r="O194" s="750"/>
      <c r="P194" s="205"/>
      <c r="Q194" s="205"/>
      <c r="R194" s="205"/>
      <c r="S194" s="191"/>
      <c r="T194" s="205"/>
      <c r="U194" s="750"/>
      <c r="V194" s="205"/>
      <c r="W194" s="205"/>
      <c r="X194" s="205"/>
      <c r="Y194" s="191"/>
      <c r="Z194" s="205"/>
      <c r="AA194" s="776"/>
      <c r="AB194" s="1319"/>
      <c r="AC194" s="746"/>
      <c r="AD194" s="746"/>
      <c r="AE194" s="191"/>
      <c r="AF194" s="205"/>
      <c r="AG194" s="89"/>
      <c r="AH194" s="9"/>
      <c r="AI194" s="7">
        <v>40</v>
      </c>
      <c r="AJ194" s="7">
        <v>335</v>
      </c>
      <c r="AK194" s="1641">
        <f>350/4</f>
        <v>87.5</v>
      </c>
      <c r="AL194" s="205"/>
      <c r="AM194" s="95">
        <v>338</v>
      </c>
      <c r="AN194" s="1616">
        <v>338</v>
      </c>
      <c r="AO194" s="7">
        <v>349</v>
      </c>
      <c r="AP194" s="7">
        <v>360</v>
      </c>
      <c r="AQ194" s="188">
        <f>AVERAGE(AM194:AP194)</f>
        <v>346.25</v>
      </c>
      <c r="AR194" s="205"/>
      <c r="AS194" s="89">
        <v>340</v>
      </c>
      <c r="AT194" s="9">
        <f>+AU194</f>
        <v>330</v>
      </c>
      <c r="AU194" s="746">
        <v>330</v>
      </c>
      <c r="AV194" s="1616">
        <v>330</v>
      </c>
      <c r="AW194" s="188">
        <f>AW181/AW155*1000</f>
        <v>332.1889078763399</v>
      </c>
      <c r="AX194" s="9"/>
      <c r="AY194" s="2438">
        <v>340</v>
      </c>
      <c r="AZ194" s="7">
        <v>325</v>
      </c>
      <c r="BA194" s="7">
        <v>330</v>
      </c>
      <c r="BB194" s="2439">
        <v>310</v>
      </c>
      <c r="BC194" s="188">
        <f>BC181/BC155*1000</f>
        <v>326.37084201507099</v>
      </c>
      <c r="BD194" s="9"/>
      <c r="BE194" s="2686">
        <v>300</v>
      </c>
      <c r="BF194" s="2687">
        <v>310</v>
      </c>
      <c r="BG194" s="2687">
        <f>+BG193</f>
        <v>297</v>
      </c>
      <c r="BH194" s="2687">
        <v>300</v>
      </c>
      <c r="BI194" s="188">
        <f>BI181/BI155*1000</f>
        <v>301.81600874629601</v>
      </c>
      <c r="BJ194" s="9"/>
      <c r="BK194" s="2686">
        <v>285</v>
      </c>
      <c r="BL194" s="2743">
        <v>285</v>
      </c>
      <c r="BM194" s="2743">
        <v>310</v>
      </c>
      <c r="BN194" s="2743">
        <f>+BN193</f>
        <v>325</v>
      </c>
      <c r="BO194" s="188">
        <f>BO181/BO155*1000</f>
        <v>300.95030262816255</v>
      </c>
      <c r="BP194" s="9"/>
      <c r="BQ194" s="2436">
        <v>310</v>
      </c>
      <c r="BR194" s="1361">
        <f>+BQ194-10</f>
        <v>300</v>
      </c>
      <c r="BS194" s="1361">
        <f t="shared" ref="BS194:BT194" si="570">+BR194-10</f>
        <v>290</v>
      </c>
      <c r="BT194" s="1361">
        <f t="shared" si="570"/>
        <v>280</v>
      </c>
      <c r="BU194" s="188">
        <f t="shared" ref="BU194" si="571">BU181/BU155*1000</f>
        <v>295.82099556682249</v>
      </c>
      <c r="BV194" s="9"/>
      <c r="BW194" s="2214">
        <f t="shared" si="559"/>
        <v>270</v>
      </c>
      <c r="BX194" s="1361">
        <f t="shared" si="560"/>
        <v>260</v>
      </c>
      <c r="BY194" s="1361">
        <f t="shared" ref="BY194:BZ194" si="572">+BX194-10</f>
        <v>250</v>
      </c>
      <c r="BZ194" s="1361">
        <f t="shared" si="572"/>
        <v>240</v>
      </c>
      <c r="CA194" s="188">
        <f t="shared" ref="CA194" si="573">CA181/CA155*1000</f>
        <v>256.64200278961346</v>
      </c>
      <c r="CB194" s="9"/>
      <c r="CC194" s="2214">
        <f>+BZ194-10</f>
        <v>230</v>
      </c>
      <c r="CD194" s="1361">
        <f t="shared" si="563"/>
        <v>220</v>
      </c>
      <c r="CE194" s="1361">
        <f t="shared" si="563"/>
        <v>210</v>
      </c>
      <c r="CF194" s="1361">
        <f t="shared" si="563"/>
        <v>200</v>
      </c>
      <c r="CG194" s="188">
        <f t="shared" ref="CG194" si="574">CG181/CG155*1000</f>
        <v>217.99478667535558</v>
      </c>
      <c r="CH194" s="9"/>
      <c r="CI194" s="2214">
        <f t="shared" si="565"/>
        <v>185</v>
      </c>
      <c r="CJ194" s="1361">
        <f t="shared" ref="CJ194:CL194" si="575">+CI194-15</f>
        <v>170</v>
      </c>
      <c r="CK194" s="1361">
        <f t="shared" si="575"/>
        <v>155</v>
      </c>
      <c r="CL194" s="1361">
        <f t="shared" si="575"/>
        <v>140</v>
      </c>
      <c r="CM194" s="188">
        <f t="shared" ref="CM194:CS194" si="576">CM181/CM155*1000</f>
        <v>179.77673730901921</v>
      </c>
      <c r="CN194" s="9"/>
      <c r="CO194" s="2214">
        <f t="shared" si="568"/>
        <v>125</v>
      </c>
      <c r="CP194" s="1361">
        <f t="shared" ref="CP194:CR194" si="577">+CO194-15</f>
        <v>110</v>
      </c>
      <c r="CQ194" s="1361">
        <f t="shared" si="577"/>
        <v>95</v>
      </c>
      <c r="CR194" s="1361">
        <f t="shared" si="577"/>
        <v>80</v>
      </c>
      <c r="CS194" s="188" t="e">
        <f t="shared" si="576"/>
        <v>#DIV/0!</v>
      </c>
      <c r="CT194" s="205"/>
      <c r="CU194" s="205"/>
      <c r="CV194" s="205"/>
      <c r="CW194" s="205"/>
      <c r="CX194" s="205"/>
      <c r="CY194" s="205"/>
      <c r="CZ194" s="205"/>
      <c r="DA194" s="205"/>
      <c r="DB194" s="205"/>
      <c r="DC194" s="205"/>
      <c r="DD194" s="205"/>
      <c r="DE194" s="205"/>
      <c r="DF194" s="205"/>
      <c r="DG194" s="205"/>
      <c r="DH194" s="205"/>
      <c r="DI194" s="205"/>
      <c r="DJ194" s="205"/>
      <c r="DK194" s="205"/>
      <c r="DL194" s="205"/>
      <c r="DM194" s="205"/>
      <c r="DN194" s="205"/>
      <c r="DO194" s="205"/>
      <c r="DP194" s="205"/>
      <c r="DQ194" s="205"/>
      <c r="DR194" s="205"/>
      <c r="DS194" s="205"/>
      <c r="DT194" s="205"/>
    </row>
    <row r="195" spans="1:150">
      <c r="A195" s="1749" t="s">
        <v>517</v>
      </c>
      <c r="B195" s="205"/>
      <c r="C195" s="750"/>
      <c r="D195" s="205"/>
      <c r="E195" s="205"/>
      <c r="F195" s="205"/>
      <c r="G195" s="191"/>
      <c r="H195" s="205"/>
      <c r="I195" s="750"/>
      <c r="J195" s="205"/>
      <c r="K195" s="205"/>
      <c r="L195" s="205"/>
      <c r="M195" s="191"/>
      <c r="N195" s="205"/>
      <c r="O195" s="750"/>
      <c r="P195" s="205"/>
      <c r="Q195" s="205"/>
      <c r="R195" s="205"/>
      <c r="S195" s="191"/>
      <c r="T195" s="205"/>
      <c r="U195" s="750"/>
      <c r="V195" s="205"/>
      <c r="W195" s="205"/>
      <c r="X195" s="205"/>
      <c r="Y195" s="191"/>
      <c r="Z195" s="205"/>
      <c r="AA195" s="776"/>
      <c r="AB195" s="1319"/>
      <c r="AC195" s="746"/>
      <c r="AD195" s="746"/>
      <c r="AE195" s="191"/>
      <c r="AF195" s="205"/>
      <c r="AG195" s="89"/>
      <c r="AH195" s="9"/>
      <c r="AI195" s="7"/>
      <c r="AJ195" s="7"/>
      <c r="AK195" s="1641"/>
      <c r="AL195" s="205"/>
      <c r="AM195" s="95"/>
      <c r="AN195" s="1616"/>
      <c r="AO195" s="7"/>
      <c r="AP195" s="7"/>
      <c r="AQ195" s="188"/>
      <c r="AR195" s="205"/>
      <c r="AS195" s="89"/>
      <c r="AT195" s="9"/>
      <c r="AU195" s="746"/>
      <c r="AV195" s="1616"/>
      <c r="AW195" s="188"/>
      <c r="AX195" s="9"/>
      <c r="AY195" s="95">
        <v>340</v>
      </c>
      <c r="AZ195" s="7">
        <v>320</v>
      </c>
      <c r="BA195" s="7">
        <v>350</v>
      </c>
      <c r="BB195" s="2439">
        <v>310</v>
      </c>
      <c r="BC195" s="188">
        <f>BC182/BC157*1000</f>
        <v>326.43200269935699</v>
      </c>
      <c r="BD195" s="9"/>
      <c r="BE195" s="2686">
        <v>300</v>
      </c>
      <c r="BF195" s="2687">
        <v>320</v>
      </c>
      <c r="BG195" s="2687">
        <f>+BG194</f>
        <v>297</v>
      </c>
      <c r="BH195" s="2687">
        <v>300</v>
      </c>
      <c r="BI195" s="188">
        <f>BI182/BI157*1000</f>
        <v>304.2198314101762</v>
      </c>
      <c r="BJ195" s="9"/>
      <c r="BK195" s="2686">
        <v>285</v>
      </c>
      <c r="BL195" s="2743">
        <v>285</v>
      </c>
      <c r="BM195" s="2743">
        <v>310</v>
      </c>
      <c r="BN195" s="2743">
        <f>+BN194</f>
        <v>325</v>
      </c>
      <c r="BO195" s="188">
        <f>BO182/BO157*1000</f>
        <v>301.16249857412271</v>
      </c>
      <c r="BP195" s="9"/>
      <c r="BQ195" s="2436">
        <f>+BN195-20</f>
        <v>305</v>
      </c>
      <c r="BR195" s="1361">
        <f>+BQ195-10</f>
        <v>295</v>
      </c>
      <c r="BS195" s="1361">
        <f t="shared" ref="BS195:BT195" si="578">+BR195-10</f>
        <v>285</v>
      </c>
      <c r="BT195" s="1361">
        <f t="shared" si="578"/>
        <v>275</v>
      </c>
      <c r="BU195" s="188">
        <f t="shared" ref="BU195" si="579">BU182/BU157*1000</f>
        <v>290</v>
      </c>
      <c r="BV195" s="9"/>
      <c r="BW195" s="2214">
        <f t="shared" si="559"/>
        <v>265</v>
      </c>
      <c r="BX195" s="1361">
        <f t="shared" si="560"/>
        <v>255</v>
      </c>
      <c r="BY195" s="1361">
        <f t="shared" ref="BY195:BZ195" si="580">+BX195-10</f>
        <v>245</v>
      </c>
      <c r="BZ195" s="1361">
        <f t="shared" si="580"/>
        <v>235</v>
      </c>
      <c r="CA195" s="188">
        <f t="shared" ref="CA195" si="581">CA182/CA157*1000</f>
        <v>250</v>
      </c>
      <c r="CB195" s="9"/>
      <c r="CC195" s="2214">
        <f>+BZ195-10</f>
        <v>225</v>
      </c>
      <c r="CD195" s="1361">
        <f t="shared" si="563"/>
        <v>215</v>
      </c>
      <c r="CE195" s="1361">
        <f t="shared" si="563"/>
        <v>205</v>
      </c>
      <c r="CF195" s="1361">
        <f t="shared" si="563"/>
        <v>195</v>
      </c>
      <c r="CG195" s="188">
        <f t="shared" ref="CG195" si="582">CG182/CG157*1000</f>
        <v>210.00000000000003</v>
      </c>
      <c r="CH195" s="9"/>
      <c r="CI195" s="2214">
        <f t="shared" si="565"/>
        <v>180</v>
      </c>
      <c r="CJ195" s="1361">
        <f t="shared" ref="CJ195:CL195" si="583">+CI195-15</f>
        <v>165</v>
      </c>
      <c r="CK195" s="1361">
        <f t="shared" si="583"/>
        <v>150</v>
      </c>
      <c r="CL195" s="1361">
        <f t="shared" si="583"/>
        <v>135</v>
      </c>
      <c r="CM195" s="188">
        <f t="shared" ref="CM195:CS195" si="584">CM182/CM157*1000</f>
        <v>170.65288662559891</v>
      </c>
      <c r="CN195" s="9"/>
      <c r="CO195" s="2214">
        <f t="shared" si="568"/>
        <v>120</v>
      </c>
      <c r="CP195" s="1361">
        <f t="shared" ref="CP195:CR195" si="585">+CO195-15</f>
        <v>105</v>
      </c>
      <c r="CQ195" s="1361">
        <f t="shared" si="585"/>
        <v>90</v>
      </c>
      <c r="CR195" s="1361">
        <f t="shared" si="585"/>
        <v>75</v>
      </c>
      <c r="CS195" s="188" t="e">
        <f t="shared" si="584"/>
        <v>#DIV/0!</v>
      </c>
      <c r="CT195" s="205"/>
      <c r="CU195" s="205"/>
      <c r="CV195" s="205"/>
      <c r="CW195" s="205"/>
      <c r="CX195" s="205"/>
      <c r="CY195" s="205"/>
      <c r="CZ195" s="205"/>
      <c r="DA195" s="205"/>
      <c r="DB195" s="205"/>
      <c r="DC195" s="205"/>
      <c r="DD195" s="205"/>
      <c r="DE195" s="205"/>
      <c r="DF195" s="205"/>
      <c r="DG195" s="205"/>
      <c r="DH195" s="205"/>
      <c r="DI195" s="205"/>
      <c r="DJ195" s="205"/>
      <c r="DK195" s="205"/>
      <c r="DL195" s="205"/>
      <c r="DM195" s="205"/>
      <c r="DN195" s="205"/>
      <c r="DO195" s="205"/>
      <c r="DP195" s="205"/>
      <c r="DQ195" s="205"/>
      <c r="DR195" s="205"/>
      <c r="DS195" s="205"/>
      <c r="DT195" s="205"/>
    </row>
    <row r="196" spans="1:150">
      <c r="A196" s="1749" t="s">
        <v>518</v>
      </c>
      <c r="B196" s="205"/>
      <c r="C196" s="750"/>
      <c r="D196" s="205"/>
      <c r="E196" s="205"/>
      <c r="F196" s="205"/>
      <c r="G196" s="191"/>
      <c r="H196" s="205"/>
      <c r="I196" s="750"/>
      <c r="J196" s="205"/>
      <c r="K196" s="205"/>
      <c r="L196" s="205"/>
      <c r="M196" s="191"/>
      <c r="N196" s="205"/>
      <c r="O196" s="750"/>
      <c r="P196" s="205"/>
      <c r="Q196" s="205"/>
      <c r="R196" s="205"/>
      <c r="S196" s="191"/>
      <c r="T196" s="205"/>
      <c r="U196" s="750"/>
      <c r="V196" s="205"/>
      <c r="W196" s="205"/>
      <c r="X196" s="205"/>
      <c r="Y196" s="191"/>
      <c r="Z196" s="205"/>
      <c r="AA196" s="776"/>
      <c r="AB196" s="1319"/>
      <c r="AC196" s="746"/>
      <c r="AD196" s="746"/>
      <c r="AE196" s="191"/>
      <c r="AF196" s="205"/>
      <c r="AG196" s="89"/>
      <c r="AH196" s="9"/>
      <c r="AI196" s="7"/>
      <c r="AJ196" s="7"/>
      <c r="AK196" s="1641"/>
      <c r="AL196" s="205"/>
      <c r="AM196" s="95"/>
      <c r="AN196" s="1616"/>
      <c r="AO196" s="7"/>
      <c r="AP196" s="7"/>
      <c r="AQ196" s="188"/>
      <c r="AR196" s="205"/>
      <c r="AS196" s="89"/>
      <c r="AT196" s="9"/>
      <c r="AU196" s="746"/>
      <c r="AV196" s="1616"/>
      <c r="AW196" s="188"/>
      <c r="AX196" s="9"/>
      <c r="AY196" s="95">
        <v>340</v>
      </c>
      <c r="AZ196" s="7">
        <v>320</v>
      </c>
      <c r="BA196" s="7">
        <v>350</v>
      </c>
      <c r="BB196" s="2439">
        <v>310</v>
      </c>
      <c r="BC196" s="188">
        <f>BC183/BC159*1000</f>
        <v>326.44454448044337</v>
      </c>
      <c r="BD196" s="9"/>
      <c r="BE196" s="2686">
        <v>300</v>
      </c>
      <c r="BF196" s="2687">
        <v>320</v>
      </c>
      <c r="BG196" s="2687">
        <f>+BG195</f>
        <v>297</v>
      </c>
      <c r="BH196" s="2687">
        <v>300</v>
      </c>
      <c r="BI196" s="188">
        <f>BI183/BI159*1000</f>
        <v>303.98348790729432</v>
      </c>
      <c r="BJ196" s="9"/>
      <c r="BK196" s="2686">
        <v>285</v>
      </c>
      <c r="BL196" s="2743">
        <v>285</v>
      </c>
      <c r="BM196" s="2743">
        <v>310</v>
      </c>
      <c r="BN196" s="2743">
        <f>+BN195</f>
        <v>325</v>
      </c>
      <c r="BO196" s="188">
        <f>BO183/BO159*1000</f>
        <v>301.32636839949237</v>
      </c>
      <c r="BP196" s="9"/>
      <c r="BQ196" s="2436">
        <f>+BN196-20</f>
        <v>305</v>
      </c>
      <c r="BR196" s="1361">
        <f>+BQ196-10</f>
        <v>295</v>
      </c>
      <c r="BS196" s="1361">
        <f t="shared" ref="BS196:BT196" si="586">+BR196-10</f>
        <v>285</v>
      </c>
      <c r="BT196" s="1361">
        <f t="shared" si="586"/>
        <v>275</v>
      </c>
      <c r="BU196" s="188">
        <f t="shared" ref="BU196" si="587">BU183/BU159*1000</f>
        <v>290.00000000000006</v>
      </c>
      <c r="BV196" s="9"/>
      <c r="BW196" s="2214">
        <f t="shared" si="559"/>
        <v>265</v>
      </c>
      <c r="BX196" s="1361">
        <f t="shared" si="560"/>
        <v>255</v>
      </c>
      <c r="BY196" s="1361">
        <f t="shared" ref="BY196:BZ196" si="588">+BX196-10</f>
        <v>245</v>
      </c>
      <c r="BZ196" s="1361">
        <f t="shared" si="588"/>
        <v>235</v>
      </c>
      <c r="CA196" s="188">
        <f t="shared" ref="CA196" si="589">CA183/CA159*1000</f>
        <v>250</v>
      </c>
      <c r="CB196" s="9"/>
      <c r="CC196" s="2214">
        <f>+BZ196-10</f>
        <v>225</v>
      </c>
      <c r="CD196" s="1361">
        <f t="shared" si="563"/>
        <v>215</v>
      </c>
      <c r="CE196" s="1361">
        <f t="shared" si="563"/>
        <v>205</v>
      </c>
      <c r="CF196" s="1361">
        <f t="shared" si="563"/>
        <v>195</v>
      </c>
      <c r="CG196" s="188">
        <f t="shared" ref="CG196" si="590">CG183/CG159*1000</f>
        <v>210</v>
      </c>
      <c r="CH196" s="9"/>
      <c r="CI196" s="2214">
        <f t="shared" si="565"/>
        <v>180</v>
      </c>
      <c r="CJ196" s="1361">
        <f t="shared" ref="CJ196:CL196" si="591">+CI196-15</f>
        <v>165</v>
      </c>
      <c r="CK196" s="1361">
        <f t="shared" si="591"/>
        <v>150</v>
      </c>
      <c r="CL196" s="1361">
        <f t="shared" si="591"/>
        <v>135</v>
      </c>
      <c r="CM196" s="188">
        <f t="shared" ref="CM196:CS196" si="592">CM183/CM159*1000</f>
        <v>159.16079821771106</v>
      </c>
      <c r="CN196" s="9"/>
      <c r="CO196" s="2214">
        <f t="shared" si="568"/>
        <v>120</v>
      </c>
      <c r="CP196" s="1361">
        <f t="shared" ref="CP196:CR196" si="593">+CO196-15</f>
        <v>105</v>
      </c>
      <c r="CQ196" s="1361">
        <f t="shared" si="593"/>
        <v>90</v>
      </c>
      <c r="CR196" s="1361">
        <f t="shared" si="593"/>
        <v>75</v>
      </c>
      <c r="CS196" s="188">
        <f t="shared" si="592"/>
        <v>102.77753457426729</v>
      </c>
      <c r="CT196" s="205"/>
      <c r="CU196" s="205"/>
      <c r="CV196" s="205"/>
      <c r="CW196" s="205"/>
      <c r="CX196" s="205"/>
      <c r="CY196" s="205"/>
      <c r="CZ196" s="205"/>
      <c r="DA196" s="205"/>
      <c r="DB196" s="205"/>
      <c r="DC196" s="205"/>
      <c r="DD196" s="205"/>
      <c r="DE196" s="205"/>
      <c r="DF196" s="205"/>
      <c r="DG196" s="205"/>
      <c r="DH196" s="205"/>
      <c r="DI196" s="205"/>
      <c r="DJ196" s="205"/>
      <c r="DK196" s="205"/>
      <c r="DL196" s="205"/>
      <c r="DM196" s="205"/>
      <c r="DN196" s="205"/>
      <c r="DO196" s="205"/>
      <c r="DP196" s="205"/>
      <c r="DQ196" s="205"/>
      <c r="DR196" s="205"/>
      <c r="DS196" s="205"/>
      <c r="DT196" s="205"/>
    </row>
    <row r="197" spans="1:150">
      <c r="A197" s="1749" t="s">
        <v>519</v>
      </c>
      <c r="B197" s="205"/>
      <c r="C197" s="750"/>
      <c r="D197" s="205"/>
      <c r="E197" s="205"/>
      <c r="F197" s="205"/>
      <c r="G197" s="191"/>
      <c r="H197" s="205"/>
      <c r="I197" s="750"/>
      <c r="J197" s="205"/>
      <c r="K197" s="205"/>
      <c r="L197" s="205"/>
      <c r="M197" s="191"/>
      <c r="N197" s="205"/>
      <c r="O197" s="750"/>
      <c r="P197" s="205"/>
      <c r="Q197" s="205"/>
      <c r="R197" s="205"/>
      <c r="S197" s="191"/>
      <c r="T197" s="205"/>
      <c r="U197" s="750"/>
      <c r="V197" s="205"/>
      <c r="W197" s="205"/>
      <c r="X197" s="205"/>
      <c r="Y197" s="191"/>
      <c r="Z197" s="205"/>
      <c r="AA197" s="776"/>
      <c r="AB197" s="1319"/>
      <c r="AC197" s="746"/>
      <c r="AD197" s="746"/>
      <c r="AE197" s="191"/>
      <c r="AF197" s="205"/>
      <c r="AG197" s="89"/>
      <c r="AH197" s="9"/>
      <c r="AI197" s="7"/>
      <c r="AJ197" s="7"/>
      <c r="AK197" s="1641"/>
      <c r="AL197" s="205"/>
      <c r="AM197" s="95"/>
      <c r="AN197" s="1616"/>
      <c r="AO197" s="7"/>
      <c r="AP197" s="7"/>
      <c r="AQ197" s="188"/>
      <c r="AR197" s="205"/>
      <c r="AS197" s="89"/>
      <c r="AT197" s="9"/>
      <c r="AU197" s="746"/>
      <c r="AV197" s="1616"/>
      <c r="AW197" s="188"/>
      <c r="AX197" s="9"/>
      <c r="AY197" s="95">
        <v>660</v>
      </c>
      <c r="AZ197" s="7">
        <v>640</v>
      </c>
      <c r="BA197" s="7">
        <f>+BA198</f>
        <v>690</v>
      </c>
      <c r="BB197" s="2439">
        <v>620</v>
      </c>
      <c r="BC197" s="188">
        <f>BC184/BC161*1000</f>
        <v>645.02679528403007</v>
      </c>
      <c r="BD197" s="9"/>
      <c r="BE197" s="2686">
        <f>+BE198</f>
        <v>660</v>
      </c>
      <c r="BF197" s="2687">
        <f>+BF198</f>
        <v>640</v>
      </c>
      <c r="BG197" s="2687">
        <v>775</v>
      </c>
      <c r="BH197" s="2687">
        <v>650</v>
      </c>
      <c r="BI197" s="188">
        <f>BI184/BI161*1000</f>
        <v>685.12704478233081</v>
      </c>
      <c r="BJ197" s="9"/>
      <c r="BK197" s="2686">
        <v>620</v>
      </c>
      <c r="BL197" s="2743">
        <v>630</v>
      </c>
      <c r="BM197" s="2743">
        <v>645</v>
      </c>
      <c r="BN197" s="2743">
        <v>670</v>
      </c>
      <c r="BO197" s="188">
        <f>BO184/BO161*1000</f>
        <v>641.3438726594934</v>
      </c>
      <c r="BP197" s="9"/>
      <c r="BQ197" s="2436">
        <f>+BN197-100</f>
        <v>570</v>
      </c>
      <c r="BR197" s="1361">
        <f>+BQ197-50</f>
        <v>520</v>
      </c>
      <c r="BS197" s="1361">
        <f t="shared" ref="BS197:BT197" si="594">+BR197-50</f>
        <v>470</v>
      </c>
      <c r="BT197" s="1361">
        <f t="shared" si="594"/>
        <v>420</v>
      </c>
      <c r="BU197" s="188">
        <f t="shared" ref="BU197" si="595">BU184/BU161*1000</f>
        <v>495</v>
      </c>
      <c r="BV197" s="9"/>
      <c r="BW197" s="2214">
        <f t="shared" ref="BW197:BW198" si="596">+BT197-10</f>
        <v>410</v>
      </c>
      <c r="BX197" s="1361">
        <f t="shared" ref="BX197:BX198" si="597">+BW197-10</f>
        <v>400</v>
      </c>
      <c r="BY197" s="1361">
        <f t="shared" ref="BY197:BY198" si="598">+BX197-10</f>
        <v>390</v>
      </c>
      <c r="BZ197" s="1361">
        <f t="shared" ref="BZ197:BZ198" si="599">+BY197-10</f>
        <v>380</v>
      </c>
      <c r="CA197" s="188">
        <f t="shared" ref="CA197" si="600">CA184/CA161*1000</f>
        <v>395</v>
      </c>
      <c r="CB197" s="9"/>
      <c r="CC197" s="2214">
        <f t="shared" ref="CC197:CC198" si="601">+BZ197-10</f>
        <v>370</v>
      </c>
      <c r="CD197" s="1361">
        <f t="shared" ref="CD197:CF197" si="602">+CC197-10</f>
        <v>360</v>
      </c>
      <c r="CE197" s="1361">
        <f t="shared" si="602"/>
        <v>350</v>
      </c>
      <c r="CF197" s="1361">
        <f t="shared" si="602"/>
        <v>340</v>
      </c>
      <c r="CG197" s="188">
        <f t="shared" ref="CG197:CS197" si="603">CG184/CG161*1000</f>
        <v>355.00000000000006</v>
      </c>
      <c r="CH197" s="9"/>
      <c r="CI197" s="2214">
        <f t="shared" ref="CI197:CI198" si="604">+CF197-10</f>
        <v>330</v>
      </c>
      <c r="CJ197" s="1361">
        <f t="shared" ref="CJ197:CJ198" si="605">+CI197-10</f>
        <v>320</v>
      </c>
      <c r="CK197" s="1361">
        <f t="shared" ref="CK197:CK198" si="606">+CJ197-10</f>
        <v>310</v>
      </c>
      <c r="CL197" s="1361">
        <f t="shared" ref="CL197:CL198" si="607">+CK197-10</f>
        <v>300</v>
      </c>
      <c r="CM197" s="188">
        <f t="shared" si="603"/>
        <v>315</v>
      </c>
      <c r="CN197" s="9"/>
      <c r="CO197" s="2214">
        <f t="shared" ref="CO197:CO198" si="608">+CL197-10</f>
        <v>290</v>
      </c>
      <c r="CP197" s="1361">
        <f t="shared" ref="CP197:CP198" si="609">+CO197-10</f>
        <v>280</v>
      </c>
      <c r="CQ197" s="1361">
        <f t="shared" ref="CQ197:CQ198" si="610">+CP197-10</f>
        <v>270</v>
      </c>
      <c r="CR197" s="1361">
        <f t="shared" ref="CR197:CR198" si="611">+CQ197-10</f>
        <v>260</v>
      </c>
      <c r="CS197" s="188">
        <f t="shared" si="603"/>
        <v>274.99999999999994</v>
      </c>
      <c r="CT197" s="205"/>
      <c r="CU197" s="205"/>
      <c r="CV197" s="205"/>
      <c r="CW197" s="205"/>
      <c r="CX197" s="205"/>
      <c r="CY197" s="205"/>
      <c r="CZ197" s="205"/>
      <c r="DA197" s="205"/>
      <c r="DB197" s="205"/>
      <c r="DC197" s="205"/>
      <c r="DD197" s="205"/>
      <c r="DE197" s="205"/>
      <c r="DF197" s="205"/>
      <c r="DG197" s="205"/>
      <c r="DH197" s="205"/>
      <c r="DI197" s="205"/>
      <c r="DJ197" s="205"/>
      <c r="DK197" s="205"/>
      <c r="DL197" s="205"/>
      <c r="DM197" s="205"/>
      <c r="DN197" s="205"/>
      <c r="DO197" s="205"/>
      <c r="DP197" s="205"/>
      <c r="DQ197" s="205"/>
      <c r="DR197" s="205"/>
      <c r="DS197" s="205"/>
      <c r="DT197" s="205"/>
    </row>
    <row r="198" spans="1:150">
      <c r="A198" s="1029" t="s">
        <v>448</v>
      </c>
      <c r="B198" s="205"/>
      <c r="C198" s="750"/>
      <c r="D198" s="205"/>
      <c r="E198" s="205"/>
      <c r="F198" s="205"/>
      <c r="G198" s="191"/>
      <c r="H198" s="205"/>
      <c r="I198" s="750"/>
      <c r="J198" s="205"/>
      <c r="K198" s="205"/>
      <c r="L198" s="205"/>
      <c r="M198" s="191"/>
      <c r="N198" s="205"/>
      <c r="O198" s="750"/>
      <c r="P198" s="205"/>
      <c r="Q198" s="205"/>
      <c r="R198" s="205"/>
      <c r="S198" s="191"/>
      <c r="T198" s="205"/>
      <c r="U198" s="750"/>
      <c r="V198" s="205"/>
      <c r="W198" s="205"/>
      <c r="X198" s="205"/>
      <c r="Y198" s="191"/>
      <c r="Z198" s="205"/>
      <c r="AA198" s="776"/>
      <c r="AB198" s="1319"/>
      <c r="AC198" s="746"/>
      <c r="AD198" s="746"/>
      <c r="AE198" s="191"/>
      <c r="AF198" s="205"/>
      <c r="AG198" s="750"/>
      <c r="AH198" s="205"/>
      <c r="AI198" s="746"/>
      <c r="AJ198" s="746"/>
      <c r="AK198" s="1011"/>
      <c r="AL198" s="205"/>
      <c r="AM198" s="95"/>
      <c r="AN198" s="7"/>
      <c r="AO198" s="7"/>
      <c r="AP198" s="7"/>
      <c r="AQ198" s="188"/>
      <c r="AR198" s="205"/>
      <c r="AS198" s="89">
        <f>+AT198</f>
        <v>600</v>
      </c>
      <c r="AT198" s="9">
        <v>600</v>
      </c>
      <c r="AU198" s="7">
        <v>550</v>
      </c>
      <c r="AV198" s="7">
        <v>710</v>
      </c>
      <c r="AW198" s="188">
        <f>AW185/AW163*1000</f>
        <v>841.27782477025903</v>
      </c>
      <c r="AX198" s="9"/>
      <c r="AY198" s="95">
        <v>660</v>
      </c>
      <c r="AZ198" s="7">
        <v>660</v>
      </c>
      <c r="BA198" s="7">
        <v>690</v>
      </c>
      <c r="BB198" s="2439">
        <v>620</v>
      </c>
      <c r="BC198" s="188">
        <f>BC185/BC163*1000</f>
        <v>655.75503090583891</v>
      </c>
      <c r="BD198" s="9"/>
      <c r="BE198" s="2686">
        <v>660</v>
      </c>
      <c r="BF198" s="2687">
        <v>640</v>
      </c>
      <c r="BG198" s="2687">
        <v>775</v>
      </c>
      <c r="BH198" s="2687">
        <f>+BH197</f>
        <v>650</v>
      </c>
      <c r="BI198" s="188">
        <f>BI185/BI163*1000</f>
        <v>681.95114507202891</v>
      </c>
      <c r="BJ198" s="9"/>
      <c r="BK198" s="2686">
        <v>620</v>
      </c>
      <c r="BL198" s="2743">
        <v>630</v>
      </c>
      <c r="BM198" s="2743">
        <v>645</v>
      </c>
      <c r="BN198" s="2743">
        <f>+BN197</f>
        <v>670</v>
      </c>
      <c r="BO198" s="188">
        <f>BO185/BO163*1000</f>
        <v>641.38592794953536</v>
      </c>
      <c r="BP198" s="9"/>
      <c r="BQ198" s="2436">
        <f>+BN198-100</f>
        <v>570</v>
      </c>
      <c r="BR198" s="1361">
        <f>+BQ198-50</f>
        <v>520</v>
      </c>
      <c r="BS198" s="1361">
        <f t="shared" ref="BS198:BT198" si="612">+BR198-50</f>
        <v>470</v>
      </c>
      <c r="BT198" s="1361">
        <f t="shared" si="612"/>
        <v>420</v>
      </c>
      <c r="BU198" s="188">
        <f t="shared" ref="BU198" si="613">BU185/BU163*1000</f>
        <v>494.99999999999994</v>
      </c>
      <c r="BV198" s="9"/>
      <c r="BW198" s="2214">
        <f t="shared" si="596"/>
        <v>410</v>
      </c>
      <c r="BX198" s="1361">
        <f t="shared" si="597"/>
        <v>400</v>
      </c>
      <c r="BY198" s="1361">
        <f t="shared" si="598"/>
        <v>390</v>
      </c>
      <c r="BZ198" s="1361">
        <f t="shared" si="599"/>
        <v>380</v>
      </c>
      <c r="CA198" s="188">
        <f t="shared" ref="CA198" si="614">CA185/CA163*1000</f>
        <v>395</v>
      </c>
      <c r="CB198" s="9"/>
      <c r="CC198" s="2214">
        <f t="shared" si="601"/>
        <v>370</v>
      </c>
      <c r="CD198" s="1361">
        <f t="shared" ref="CD198:CF198" si="615">+CC198-10</f>
        <v>360</v>
      </c>
      <c r="CE198" s="1361">
        <f t="shared" si="615"/>
        <v>350</v>
      </c>
      <c r="CF198" s="1361">
        <f t="shared" si="615"/>
        <v>340</v>
      </c>
      <c r="CG198" s="188">
        <f t="shared" ref="CG198" si="616">CG185/CG163*1000</f>
        <v>355</v>
      </c>
      <c r="CH198" s="9"/>
      <c r="CI198" s="2214">
        <f t="shared" si="604"/>
        <v>330</v>
      </c>
      <c r="CJ198" s="1361">
        <f t="shared" si="605"/>
        <v>320</v>
      </c>
      <c r="CK198" s="1361">
        <f t="shared" si="606"/>
        <v>310</v>
      </c>
      <c r="CL198" s="1361">
        <f t="shared" si="607"/>
        <v>300</v>
      </c>
      <c r="CM198" s="188">
        <f t="shared" ref="CM198:CS198" si="617">CM185/CM163*1000</f>
        <v>315</v>
      </c>
      <c r="CN198" s="9"/>
      <c r="CO198" s="2214">
        <f t="shared" si="608"/>
        <v>290</v>
      </c>
      <c r="CP198" s="1361">
        <f t="shared" si="609"/>
        <v>280</v>
      </c>
      <c r="CQ198" s="1361">
        <f t="shared" si="610"/>
        <v>270</v>
      </c>
      <c r="CR198" s="1361">
        <f t="shared" si="611"/>
        <v>260</v>
      </c>
      <c r="CS198" s="188">
        <f t="shared" si="617"/>
        <v>275</v>
      </c>
      <c r="CT198" s="205"/>
      <c r="CU198" s="1933"/>
      <c r="CV198" s="205"/>
      <c r="CW198" s="205"/>
      <c r="CX198" s="205"/>
      <c r="CY198" s="205"/>
      <c r="CZ198" s="205"/>
      <c r="DA198" s="205"/>
      <c r="DB198" s="205"/>
      <c r="DC198" s="205"/>
      <c r="DD198" s="205"/>
      <c r="DE198" s="205"/>
      <c r="DF198" s="205"/>
      <c r="DG198" s="205"/>
      <c r="DH198" s="205"/>
      <c r="DI198" s="205"/>
      <c r="DJ198" s="205"/>
      <c r="DK198" s="205"/>
      <c r="DL198" s="205"/>
      <c r="DM198" s="205"/>
      <c r="DN198" s="205"/>
      <c r="DO198" s="205"/>
      <c r="DP198" s="205"/>
      <c r="DQ198" s="205"/>
      <c r="DR198" s="205"/>
      <c r="DS198" s="205"/>
      <c r="DT198" s="205"/>
    </row>
    <row r="199" spans="1:150">
      <c r="A199" s="1749" t="s">
        <v>757</v>
      </c>
      <c r="B199" s="205"/>
      <c r="C199" s="750"/>
      <c r="D199" s="205"/>
      <c r="E199" s="205"/>
      <c r="F199" s="205"/>
      <c r="G199" s="191"/>
      <c r="H199" s="205"/>
      <c r="I199" s="750"/>
      <c r="J199" s="205"/>
      <c r="K199" s="205"/>
      <c r="L199" s="205"/>
      <c r="M199" s="191"/>
      <c r="N199" s="205"/>
      <c r="O199" s="750"/>
      <c r="P199" s="205"/>
      <c r="Q199" s="205"/>
      <c r="R199" s="205"/>
      <c r="S199" s="191"/>
      <c r="T199" s="205"/>
      <c r="U199" s="750"/>
      <c r="V199" s="205"/>
      <c r="W199" s="205"/>
      <c r="X199" s="205"/>
      <c r="Y199" s="191"/>
      <c r="Z199" s="205"/>
      <c r="AA199" s="776"/>
      <c r="AB199" s="1319"/>
      <c r="AC199" s="746"/>
      <c r="AD199" s="746"/>
      <c r="AE199" s="191"/>
      <c r="AF199" s="205"/>
      <c r="AG199" s="750"/>
      <c r="AH199" s="205"/>
      <c r="AI199" s="746"/>
      <c r="AJ199" s="746"/>
      <c r="AK199" s="1011"/>
      <c r="AL199" s="205"/>
      <c r="AM199" s="95"/>
      <c r="AN199" s="7"/>
      <c r="AO199" s="7"/>
      <c r="AP199" s="7"/>
      <c r="AQ199" s="188"/>
      <c r="AR199" s="205"/>
      <c r="AS199" s="89"/>
      <c r="AT199" s="9"/>
      <c r="AU199" s="7"/>
      <c r="AV199" s="2393"/>
      <c r="AW199" s="188"/>
      <c r="AX199" s="9"/>
      <c r="AY199" s="95"/>
      <c r="AZ199" s="2393"/>
      <c r="BA199" s="7"/>
      <c r="BB199" s="5"/>
      <c r="BC199" s="188"/>
      <c r="BD199" s="9"/>
      <c r="BE199" s="2214"/>
      <c r="BF199" s="1361"/>
      <c r="BG199" s="2138"/>
      <c r="BH199" s="2138"/>
      <c r="BI199" s="188"/>
      <c r="BJ199" s="9"/>
      <c r="BK199" s="2686"/>
      <c r="BL199" s="2420"/>
      <c r="BM199" s="2687"/>
      <c r="BN199" s="2687"/>
      <c r="BO199" s="188"/>
      <c r="BP199" s="9"/>
      <c r="BQ199" s="2436"/>
      <c r="BR199" s="2138"/>
      <c r="BS199" s="2138"/>
      <c r="BT199" s="2138"/>
      <c r="BU199" s="188"/>
      <c r="BV199" s="9"/>
      <c r="BW199" s="2136"/>
      <c r="BX199" s="2138"/>
      <c r="BY199" s="2138"/>
      <c r="BZ199" s="2138"/>
      <c r="CA199" s="188"/>
      <c r="CB199" s="9"/>
      <c r="CC199" s="2136"/>
      <c r="CD199" s="2138"/>
      <c r="CE199" s="2138"/>
      <c r="CF199" s="2138"/>
      <c r="CG199" s="188"/>
      <c r="CH199" s="9"/>
      <c r="CI199" s="2136"/>
      <c r="CJ199" s="2138"/>
      <c r="CK199" s="2138"/>
      <c r="CL199" s="2138"/>
      <c r="CM199" s="188"/>
      <c r="CN199" s="9"/>
      <c r="CO199" s="2136"/>
      <c r="CP199" s="2138"/>
      <c r="CQ199" s="2138"/>
      <c r="CR199" s="2138"/>
      <c r="CS199" s="188"/>
      <c r="CT199" s="205"/>
      <c r="CU199" s="1933"/>
      <c r="CV199" s="205"/>
      <c r="CW199" s="205"/>
      <c r="CX199" s="205"/>
      <c r="CY199" s="2348" t="s">
        <v>797</v>
      </c>
      <c r="CZ199" s="205"/>
      <c r="DA199" s="205"/>
      <c r="DB199" s="205"/>
      <c r="DC199" s="205"/>
      <c r="DD199" s="205"/>
      <c r="DE199" s="205"/>
      <c r="DF199" s="205"/>
      <c r="DG199" s="205"/>
      <c r="DH199" s="205"/>
      <c r="DI199" s="205"/>
      <c r="DJ199" s="205"/>
      <c r="DK199" s="205"/>
      <c r="DL199" s="205"/>
      <c r="DM199" s="205"/>
      <c r="DN199" s="205"/>
      <c r="DO199" s="205"/>
      <c r="DP199" s="205"/>
      <c r="DQ199" s="205"/>
      <c r="DR199" s="205"/>
      <c r="DS199" s="2560">
        <v>300</v>
      </c>
      <c r="DT199" s="2561">
        <v>310</v>
      </c>
      <c r="DU199" s="2542">
        <v>333</v>
      </c>
      <c r="DV199" s="2542">
        <v>331</v>
      </c>
      <c r="DW199" s="2542">
        <v>320</v>
      </c>
      <c r="DX199" s="2429">
        <f>+BL174</f>
        <v>337.82918791744129</v>
      </c>
      <c r="DY199" s="2429">
        <f>+BM174</f>
        <v>380.32616495636159</v>
      </c>
      <c r="DZ199" s="2429">
        <f>+BN174</f>
        <v>432.06255006217737</v>
      </c>
    </row>
    <row r="200" spans="1:150">
      <c r="A200" s="1749" t="s">
        <v>758</v>
      </c>
      <c r="B200" s="205"/>
      <c r="C200" s="750"/>
      <c r="D200" s="205"/>
      <c r="E200" s="205"/>
      <c r="F200" s="205"/>
      <c r="G200" s="191"/>
      <c r="H200" s="205"/>
      <c r="I200" s="750"/>
      <c r="J200" s="205"/>
      <c r="K200" s="205"/>
      <c r="L200" s="205"/>
      <c r="M200" s="191"/>
      <c r="N200" s="205"/>
      <c r="O200" s="750"/>
      <c r="P200" s="205"/>
      <c r="Q200" s="205"/>
      <c r="R200" s="205"/>
      <c r="S200" s="191"/>
      <c r="T200" s="205"/>
      <c r="U200" s="750"/>
      <c r="V200" s="205"/>
      <c r="W200" s="205"/>
      <c r="X200" s="205"/>
      <c r="Y200" s="191"/>
      <c r="Z200" s="205"/>
      <c r="AA200" s="776"/>
      <c r="AB200" s="1319"/>
      <c r="AC200" s="746"/>
      <c r="AD200" s="746"/>
      <c r="AE200" s="191"/>
      <c r="AF200" s="205"/>
      <c r="AG200" s="750"/>
      <c r="AH200" s="205"/>
      <c r="AI200" s="746"/>
      <c r="AJ200" s="746"/>
      <c r="AK200" s="1011"/>
      <c r="AL200" s="205"/>
      <c r="AM200" s="95"/>
      <c r="AN200" s="7"/>
      <c r="AO200" s="7"/>
      <c r="AP200" s="7"/>
      <c r="AQ200" s="188"/>
      <c r="AR200" s="205"/>
      <c r="AS200" s="89"/>
      <c r="AT200" s="1384"/>
      <c r="AU200" s="1536"/>
      <c r="AV200" s="7"/>
      <c r="AW200" s="188"/>
      <c r="AX200" s="9"/>
      <c r="AY200" s="1436"/>
      <c r="AZ200" s="1536"/>
      <c r="BA200" s="1536"/>
      <c r="BB200" s="6"/>
      <c r="BC200" s="188"/>
      <c r="BD200" s="9"/>
      <c r="BE200" s="2214"/>
      <c r="BF200" s="2215"/>
      <c r="BG200" s="2137"/>
      <c r="BH200" s="2137"/>
      <c r="BI200" s="188"/>
      <c r="BJ200" s="9"/>
      <c r="BK200" s="2436">
        <v>0</v>
      </c>
      <c r="BL200" s="2743">
        <v>150</v>
      </c>
      <c r="BM200" s="2743">
        <v>500</v>
      </c>
      <c r="BN200" s="2743">
        <v>885</v>
      </c>
      <c r="BO200" s="188">
        <f>BO187/BO167*1000</f>
        <v>617.82183316168891</v>
      </c>
      <c r="BP200" s="9"/>
      <c r="BQ200" s="2436">
        <v>700</v>
      </c>
      <c r="BR200" s="2786">
        <f>+BQ200+25</f>
        <v>725</v>
      </c>
      <c r="BS200" s="2786">
        <f>+BR200+25</f>
        <v>750</v>
      </c>
      <c r="BT200" s="2742">
        <v>800</v>
      </c>
      <c r="BU200" s="188">
        <f>BU187/BU167*1000</f>
        <v>751.20684816166158</v>
      </c>
      <c r="BV200" s="9"/>
      <c r="BW200" s="2136">
        <f>+BT200</f>
        <v>800</v>
      </c>
      <c r="BX200" s="2138">
        <f t="shared" ref="BX200:CF200" si="618">+BW200</f>
        <v>800</v>
      </c>
      <c r="BY200" s="2138">
        <f t="shared" si="618"/>
        <v>800</v>
      </c>
      <c r="BZ200" s="2138">
        <f t="shared" si="618"/>
        <v>800</v>
      </c>
      <c r="CA200" s="188">
        <f>CA187/CA167*1000</f>
        <v>800</v>
      </c>
      <c r="CB200" s="9"/>
      <c r="CC200" s="2136">
        <v>800</v>
      </c>
      <c r="CD200" s="2138">
        <f t="shared" si="618"/>
        <v>800</v>
      </c>
      <c r="CE200" s="2138">
        <f t="shared" si="618"/>
        <v>800</v>
      </c>
      <c r="CF200" s="2138">
        <f t="shared" si="618"/>
        <v>800</v>
      </c>
      <c r="CG200" s="188">
        <f>CG187/CG167*1000</f>
        <v>800</v>
      </c>
      <c r="CH200" s="9"/>
      <c r="CI200" s="2136">
        <f>+CF200</f>
        <v>800</v>
      </c>
      <c r="CJ200" s="2138">
        <f t="shared" ref="CJ200" si="619">+CI200</f>
        <v>800</v>
      </c>
      <c r="CK200" s="2138">
        <f t="shared" ref="CK200" si="620">+CJ200</f>
        <v>800</v>
      </c>
      <c r="CL200" s="2138">
        <f t="shared" ref="CL200" si="621">+CK200</f>
        <v>800</v>
      </c>
      <c r="CM200" s="188">
        <f>CM187/CM167*1000</f>
        <v>800</v>
      </c>
      <c r="CN200" s="9"/>
      <c r="CO200" s="2136">
        <f t="shared" ref="CO200" si="622">+CL200</f>
        <v>800</v>
      </c>
      <c r="CP200" s="2138">
        <f t="shared" ref="CP200" si="623">+CO200</f>
        <v>800</v>
      </c>
      <c r="CQ200" s="2138">
        <f t="shared" ref="CQ200" si="624">+CP200</f>
        <v>800</v>
      </c>
      <c r="CR200" s="2138">
        <f t="shared" ref="CR200" si="625">+CQ200</f>
        <v>800</v>
      </c>
      <c r="CS200" s="188">
        <f t="shared" ref="CS200" si="626">CS187/CS167*1000</f>
        <v>800</v>
      </c>
      <c r="CT200" s="205"/>
      <c r="CU200" s="1933"/>
      <c r="CV200" s="205"/>
      <c r="CW200" s="205"/>
      <c r="CX200" s="205"/>
      <c r="CY200" s="2383" t="s">
        <v>110</v>
      </c>
      <c r="CZ200" s="2383" t="s">
        <v>111</v>
      </c>
      <c r="DA200" s="2383" t="s">
        <v>112</v>
      </c>
      <c r="DB200" s="2383" t="s">
        <v>113</v>
      </c>
      <c r="DC200" s="2383" t="s">
        <v>114</v>
      </c>
      <c r="DD200" s="2383" t="s">
        <v>271</v>
      </c>
      <c r="DE200" s="2383" t="s">
        <v>101</v>
      </c>
      <c r="DF200" s="2383" t="s">
        <v>100</v>
      </c>
      <c r="DG200" s="2383" t="s">
        <v>94</v>
      </c>
      <c r="DH200" s="2383" t="s">
        <v>93</v>
      </c>
      <c r="DI200" s="2383" t="s">
        <v>92</v>
      </c>
      <c r="DJ200" s="2383" t="s">
        <v>91</v>
      </c>
      <c r="DK200" s="2383" t="s">
        <v>115</v>
      </c>
      <c r="DL200" s="2383" t="s">
        <v>116</v>
      </c>
      <c r="DM200" s="2383" t="s">
        <v>117</v>
      </c>
      <c r="DN200" s="2383" t="s">
        <v>118</v>
      </c>
      <c r="DO200" s="2383" t="s">
        <v>509</v>
      </c>
      <c r="DP200" s="2383" t="s">
        <v>510</v>
      </c>
      <c r="DQ200" s="2383" t="s">
        <v>511</v>
      </c>
      <c r="DR200" s="2383" t="s">
        <v>512</v>
      </c>
      <c r="DS200" s="2383" t="s">
        <v>551</v>
      </c>
      <c r="DT200" s="2383" t="s">
        <v>552</v>
      </c>
      <c r="DU200" s="2383" t="s">
        <v>553</v>
      </c>
      <c r="DV200" s="2383" t="s">
        <v>554</v>
      </c>
      <c r="DW200" s="2383" t="s">
        <v>772</v>
      </c>
      <c r="DX200" s="2383" t="s">
        <v>798</v>
      </c>
      <c r="DY200" s="2383" t="s">
        <v>799</v>
      </c>
      <c r="DZ200" s="2383" t="s">
        <v>800</v>
      </c>
      <c r="EA200" s="2383" t="s">
        <v>581</v>
      </c>
      <c r="EB200" s="2383" t="s">
        <v>582</v>
      </c>
      <c r="EC200" s="2383" t="s">
        <v>583</v>
      </c>
      <c r="ED200" s="2383" t="s">
        <v>584</v>
      </c>
      <c r="EE200" s="2383" t="s">
        <v>760</v>
      </c>
      <c r="EF200" s="2383" t="s">
        <v>761</v>
      </c>
      <c r="EG200" s="2383" t="s">
        <v>762</v>
      </c>
      <c r="EH200" s="2383" t="s">
        <v>763</v>
      </c>
      <c r="EI200" s="2383" t="s">
        <v>764</v>
      </c>
      <c r="EJ200" s="2383" t="s">
        <v>765</v>
      </c>
      <c r="EK200" s="2383" t="s">
        <v>766</v>
      </c>
      <c r="EL200" s="2383" t="s">
        <v>767</v>
      </c>
      <c r="EM200" s="2383" t="s">
        <v>888</v>
      </c>
      <c r="EN200" s="2383" t="s">
        <v>889</v>
      </c>
      <c r="EO200" s="2383" t="s">
        <v>890</v>
      </c>
      <c r="EP200" s="2383" t="s">
        <v>891</v>
      </c>
      <c r="EQ200" s="2383" t="s">
        <v>892</v>
      </c>
      <c r="ER200" s="2383" t="s">
        <v>893</v>
      </c>
      <c r="ES200" s="2383" t="s">
        <v>894</v>
      </c>
      <c r="ET200" s="2383" t="s">
        <v>895</v>
      </c>
    </row>
    <row r="201" spans="1:150">
      <c r="A201" s="1372" t="s">
        <v>235</v>
      </c>
      <c r="B201" s="817"/>
      <c r="C201" s="816">
        <f>+C43+C174</f>
        <v>10.025</v>
      </c>
      <c r="D201" s="817">
        <f>+D43+D174</f>
        <v>17.782499999999999</v>
      </c>
      <c r="E201" s="817">
        <f>+E43+E174</f>
        <v>22.395000000000003</v>
      </c>
      <c r="F201" s="817">
        <f>+F43+F174</f>
        <v>30.78</v>
      </c>
      <c r="G201" s="818">
        <f>+G43+G174</f>
        <v>80.982500000000002</v>
      </c>
      <c r="H201" s="817"/>
      <c r="I201" s="816">
        <f>+I43+I174</f>
        <v>36.506250000000001</v>
      </c>
      <c r="J201" s="817">
        <f>+J43+J174</f>
        <v>43.708750000000002</v>
      </c>
      <c r="K201" s="817">
        <f>+K43+K174</f>
        <v>49.752499999999998</v>
      </c>
      <c r="L201" s="817">
        <f>+L43+L174</f>
        <v>58.69</v>
      </c>
      <c r="M201" s="818">
        <f>+M43+M174</f>
        <v>188.6575</v>
      </c>
      <c r="N201" s="817"/>
      <c r="O201" s="816">
        <f>+O43+O174</f>
        <v>65.5625</v>
      </c>
      <c r="P201" s="817">
        <f>+P43+P174</f>
        <v>74.601249999999993</v>
      </c>
      <c r="Q201" s="817">
        <f>+Q43+Q174</f>
        <v>85.534999999999997</v>
      </c>
      <c r="R201" s="817">
        <f>+R43+R174</f>
        <v>92.342500000000001</v>
      </c>
      <c r="S201" s="818">
        <f>+S43+S174</f>
        <v>318.04124999999999</v>
      </c>
      <c r="T201" s="817"/>
      <c r="U201" s="816">
        <f>+U43+U174</f>
        <v>92.672708333333333</v>
      </c>
      <c r="V201" s="817">
        <f>+V43+V174</f>
        <v>106.43428333333333</v>
      </c>
      <c r="W201" s="817">
        <f>+W43+W174</f>
        <v>133.20689666666667</v>
      </c>
      <c r="X201" s="817">
        <f>+X43+X174</f>
        <v>156.76444166666664</v>
      </c>
      <c r="Y201" s="818">
        <f>+Y43+Y174</f>
        <v>489.07832999999999</v>
      </c>
      <c r="Z201" s="817"/>
      <c r="AA201" s="816">
        <f>+AA43+AA174</f>
        <v>180.63983999999999</v>
      </c>
      <c r="AB201" s="817">
        <f>+AB43+AB174</f>
        <v>170.8835205</v>
      </c>
      <c r="AC201" s="817">
        <f>+AC43+AC174</f>
        <v>140.43699133333331</v>
      </c>
      <c r="AD201" s="817">
        <f>+AD43+AD174</f>
        <v>151.40529833333332</v>
      </c>
      <c r="AE201" s="818">
        <f>+AE43+AE174</f>
        <v>643.36565016666668</v>
      </c>
      <c r="AF201" s="817"/>
      <c r="AG201" s="816">
        <f>+AG43+AG174</f>
        <v>167.52136000000002</v>
      </c>
      <c r="AH201" s="817">
        <f>+AH43+AH174</f>
        <v>178.23042366666667</v>
      </c>
      <c r="AI201" s="817">
        <f>+AI43+AI174</f>
        <v>184.39816158333335</v>
      </c>
      <c r="AJ201" s="817">
        <f>+AJ43+AJ174</f>
        <v>193.07947166666668</v>
      </c>
      <c r="AK201" s="818">
        <f>+AK43+AK174</f>
        <v>723.22941691666665</v>
      </c>
      <c r="AL201" s="817"/>
      <c r="AM201" s="816">
        <f>+AM43+AM174</f>
        <v>207.53030999999999</v>
      </c>
      <c r="AN201" s="817">
        <f>+AN43+AN174</f>
        <v>229.0006875</v>
      </c>
      <c r="AO201" s="817">
        <f>+AO43+AO174</f>
        <v>239.80882352941177</v>
      </c>
      <c r="AP201" s="817">
        <f>+AP43+AP174</f>
        <v>249.11959891917294</v>
      </c>
      <c r="AQ201" s="818">
        <f>+AQ43+AQ174</f>
        <v>925.4594199485847</v>
      </c>
      <c r="AR201" s="817"/>
      <c r="AS201" s="1438">
        <f>+AS43+AS174</f>
        <v>269.26240253759397</v>
      </c>
      <c r="AT201" s="817">
        <f>+AT43+AT174</f>
        <v>309.02912246240601</v>
      </c>
      <c r="AU201" s="817">
        <f>+AU43+AU174</f>
        <v>346.97500000000002</v>
      </c>
      <c r="AV201" s="1674">
        <f>+AV43+AV174</f>
        <v>373.42083768796988</v>
      </c>
      <c r="AW201" s="1705">
        <f>+AW43+AW174</f>
        <v>1298.6873626879701</v>
      </c>
      <c r="AX201" s="1674"/>
      <c r="AY201" s="1438">
        <f>+AY43+AY174</f>
        <v>383.79353768796994</v>
      </c>
      <c r="AZ201" s="1674">
        <f>+AZ43+AZ174</f>
        <v>398.68133035375945</v>
      </c>
      <c r="BA201" s="1674">
        <f>+BA43+BA174</f>
        <v>411.2547375842106</v>
      </c>
      <c r="BB201" s="1674">
        <f>+BB43+BB174</f>
        <v>419.94678614962402</v>
      </c>
      <c r="BC201" s="1705">
        <f>+BC43+BC174</f>
        <v>1613.6763917755638</v>
      </c>
      <c r="BD201" s="1674"/>
      <c r="BE201" s="1438">
        <f>+BE43+BE174</f>
        <v>410.23186035338347</v>
      </c>
      <c r="BF201" s="1674">
        <f>+BF43+BF174</f>
        <v>430.63610570849619</v>
      </c>
      <c r="BG201" s="1674">
        <f>+BG43+BG174</f>
        <v>438.10595420599634</v>
      </c>
      <c r="BH201" s="1674">
        <f>+BH43+BH174</f>
        <v>442.03690727383463</v>
      </c>
      <c r="BI201" s="1705">
        <f>+BI43+BI174</f>
        <v>1721.0108275417106</v>
      </c>
      <c r="BJ201" s="1674"/>
      <c r="BK201" s="1438">
        <f>+BK43+BK174</f>
        <v>412.84664906368687</v>
      </c>
      <c r="BL201" s="1674">
        <f>+BL43+BL174</f>
        <v>468.30228091356929</v>
      </c>
      <c r="BM201" s="1674">
        <f>+BM43+BM174</f>
        <v>508.09876495636161</v>
      </c>
      <c r="BN201" s="1674">
        <f>+BN43+BN174</f>
        <v>563.1230500621773</v>
      </c>
      <c r="BO201" s="1705">
        <f>+BO43+BO174</f>
        <v>1952.3707449957953</v>
      </c>
      <c r="BP201" s="1674"/>
      <c r="BQ201" s="1438">
        <f>+BQ43+BQ174</f>
        <v>529.52106609944076</v>
      </c>
      <c r="BR201" s="1674">
        <f>+BR43+BR174</f>
        <v>549.94216979006501</v>
      </c>
      <c r="BS201" s="1674">
        <f>+BS43+BS174</f>
        <v>563.12664848068903</v>
      </c>
      <c r="BT201" s="1674">
        <f>+BT43+BT174</f>
        <v>576.19812717131322</v>
      </c>
      <c r="BU201" s="1705">
        <f>+BU43+BU174</f>
        <v>2218.7880115415073</v>
      </c>
      <c r="BV201" s="1674"/>
      <c r="BW201" s="1438">
        <f>+BW43+BW174</f>
        <v>572.71927334853603</v>
      </c>
      <c r="BX201" s="1674">
        <f>+BX43+BX174</f>
        <v>582.38466952575845</v>
      </c>
      <c r="BY201" s="1674">
        <f>+BY43+BY174</f>
        <v>592.60006570298106</v>
      </c>
      <c r="BZ201" s="1674">
        <f>+BZ43+BZ174</f>
        <v>603.36546188020361</v>
      </c>
      <c r="CA201" s="1705">
        <f>+CA43+CA174</f>
        <v>2351.0694704574789</v>
      </c>
      <c r="CB201" s="1674"/>
      <c r="CC201" s="1438">
        <f>+CC43+CC174</f>
        <v>608.11210805742621</v>
      </c>
      <c r="CD201" s="1674">
        <f>+CD43+CD174</f>
        <v>619.11500423464872</v>
      </c>
      <c r="CE201" s="1674">
        <f>+CE43+CE174</f>
        <v>630.61790041187123</v>
      </c>
      <c r="CF201" s="1674">
        <f>+CF43+CF174</f>
        <v>642.62079658909397</v>
      </c>
      <c r="CG201" s="1705">
        <f>+CG43+CG174</f>
        <v>2500.4658092930404</v>
      </c>
      <c r="CH201" s="1674"/>
      <c r="CI201" s="1438">
        <f>+CI43+CI174</f>
        <v>654.40656804075252</v>
      </c>
      <c r="CJ201" s="1674">
        <f>+CJ43+CJ174</f>
        <v>665.91108949241129</v>
      </c>
      <c r="CK201" s="1674">
        <f>+CK43+CK174</f>
        <v>678.09625073260372</v>
      </c>
      <c r="CL201" s="1674">
        <f>+CL43+CL174</f>
        <v>693.03062189948787</v>
      </c>
      <c r="CM201" s="1705">
        <f>+CM43+CM174</f>
        <v>2691.4445301652559</v>
      </c>
      <c r="CN201" s="1674"/>
      <c r="CO201" s="1438">
        <f>+CO43+CO174</f>
        <v>710.34685327783836</v>
      </c>
      <c r="CP201" s="1674">
        <f>+CP43+CP174</f>
        <v>727.85058465618886</v>
      </c>
      <c r="CQ201" s="1674">
        <f>+CQ43+CQ174</f>
        <v>744.97931603453912</v>
      </c>
      <c r="CR201" s="1674">
        <f>+CR43+CR174</f>
        <v>762.48304741288962</v>
      </c>
      <c r="CS201" s="1705">
        <f>+CS43+CS174</f>
        <v>2945.6598013814564</v>
      </c>
      <c r="CT201" s="201"/>
      <c r="CU201" s="1933"/>
      <c r="CV201" s="70"/>
      <c r="CW201" s="70"/>
      <c r="CX201" s="2557" t="s">
        <v>221</v>
      </c>
      <c r="CY201" s="2556">
        <v>0.7</v>
      </c>
      <c r="CZ201" s="2556">
        <v>0.5</v>
      </c>
      <c r="DA201" s="2556">
        <v>0.4</v>
      </c>
      <c r="DB201" s="2556">
        <v>0.3</v>
      </c>
      <c r="DC201" s="2556">
        <v>0.2</v>
      </c>
      <c r="DD201" s="2556">
        <v>0.35</v>
      </c>
      <c r="DE201" s="2556">
        <v>0.44</v>
      </c>
      <c r="DF201" s="2556">
        <v>0.56000000000000005</v>
      </c>
      <c r="DG201" s="2556">
        <v>0.4</v>
      </c>
      <c r="DH201" s="2556">
        <v>0.26</v>
      </c>
      <c r="DI201" s="2556">
        <v>0.38</v>
      </c>
      <c r="DJ201" s="2556">
        <v>0.37</v>
      </c>
      <c r="DK201" s="2556">
        <v>0.32</v>
      </c>
      <c r="DL201" s="2556">
        <v>0.34</v>
      </c>
      <c r="DM201" s="2556">
        <v>0.36</v>
      </c>
      <c r="DN201" s="2556">
        <v>0.32</v>
      </c>
      <c r="DO201" s="2556">
        <v>0.39</v>
      </c>
      <c r="DP201" s="2556">
        <v>0.36</v>
      </c>
      <c r="DQ201" s="2556">
        <v>0.36</v>
      </c>
      <c r="DR201" s="2556">
        <v>0.3</v>
      </c>
      <c r="DS201" s="2556">
        <v>0.24</v>
      </c>
      <c r="DT201" s="2556">
        <v>0.25</v>
      </c>
      <c r="DU201" s="2555">
        <v>0.24</v>
      </c>
      <c r="DV201" s="2555">
        <v>0.2</v>
      </c>
      <c r="DW201" s="2555">
        <v>7.0000000000000007E-2</v>
      </c>
      <c r="DX201" s="1368">
        <f>+BL260</f>
        <v>8.673346426746309E-2</v>
      </c>
      <c r="DY201" s="1368">
        <f t="shared" ref="DY201" si="627">+BM260</f>
        <v>0.14142446913985363</v>
      </c>
      <c r="DZ201" s="1368">
        <f>+BN260</f>
        <v>0.30623480227769662</v>
      </c>
      <c r="EA201" s="1368">
        <f>+BQ260</f>
        <v>0.31297870587917664</v>
      </c>
      <c r="EB201" s="1368">
        <f>+BR260</f>
        <v>0.26900867397766914</v>
      </c>
      <c r="EC201" s="1368">
        <f>+BS260</f>
        <v>0.15268403511231043</v>
      </c>
      <c r="ED201" s="1368">
        <f>+BT260</f>
        <v>4.4912078370003217E-2</v>
      </c>
      <c r="EE201" s="1368">
        <f>+BW260</f>
        <v>0.11212533408971392</v>
      </c>
      <c r="EF201" s="1368">
        <f>+BX260</f>
        <v>0.10519918423243135</v>
      </c>
      <c r="EG201" s="1368">
        <f>+BY260</f>
        <v>0.10407811154351343</v>
      </c>
      <c r="EH201" s="1368">
        <f>+BZ260</f>
        <v>9.5956733308886877E-2</v>
      </c>
      <c r="EI201" s="1368">
        <f>+CC260</f>
        <v>8.9517944637212077E-2</v>
      </c>
      <c r="EJ201" s="1368">
        <f>+CD260</f>
        <v>9.0514706364165809E-2</v>
      </c>
      <c r="EK201" s="1368">
        <f>+CE260</f>
        <v>9.1264373586493752E-2</v>
      </c>
      <c r="EL201" s="1368">
        <f>+CF260</f>
        <v>9.1779750868458132E-2</v>
      </c>
      <c r="EM201" s="1368">
        <f>+CI260</f>
        <v>9.1546822699239305E-2</v>
      </c>
      <c r="EN201" s="1368">
        <f>+CJ260</f>
        <v>9.0568188502563762E-2</v>
      </c>
      <c r="EO201" s="1368">
        <f>+CK260</f>
        <v>8.9887512289364535E-2</v>
      </c>
      <c r="EP201" s="1368">
        <f>+CL260</f>
        <v>9.3316915278812473E-2</v>
      </c>
      <c r="EQ201" s="1368">
        <f>+CO260</f>
        <v>0.1013436542622228</v>
      </c>
      <c r="ER201" s="1368">
        <f>+CP260</f>
        <v>0.10992108176921356</v>
      </c>
      <c r="ES201" s="1368">
        <f>+CQ260</f>
        <v>0.11618183537663374</v>
      </c>
      <c r="ET201" s="1368">
        <f>+CR260</f>
        <v>0.11759437052997446</v>
      </c>
    </row>
    <row r="202" spans="1:150">
      <c r="A202" s="814"/>
      <c r="B202" s="234"/>
      <c r="C202" s="732"/>
      <c r="D202" s="732"/>
      <c r="E202" s="732"/>
      <c r="F202" s="732"/>
      <c r="G202" s="732"/>
      <c r="H202" s="1054"/>
      <c r="I202" s="732"/>
      <c r="J202" s="732"/>
      <c r="K202" s="732"/>
      <c r="L202" s="732"/>
      <c r="M202" s="732"/>
      <c r="N202" s="1054"/>
      <c r="O202" s="732"/>
      <c r="P202" s="732"/>
      <c r="Q202" s="732"/>
      <c r="R202" s="732"/>
      <c r="S202" s="732"/>
      <c r="T202" s="733"/>
      <c r="U202" s="732"/>
      <c r="V202" s="732"/>
      <c r="W202" s="732"/>
      <c r="X202" s="732"/>
      <c r="Y202" s="732"/>
      <c r="Z202" s="733"/>
      <c r="AA202" s="732"/>
      <c r="AB202" s="732"/>
      <c r="AC202" s="732"/>
      <c r="AD202" s="732"/>
      <c r="AE202" s="732"/>
      <c r="AF202" s="1054"/>
      <c r="AG202" s="732"/>
      <c r="AH202" s="732"/>
      <c r="AI202" s="732"/>
      <c r="AJ202" s="732"/>
      <c r="AK202" s="732"/>
      <c r="AL202" s="1054"/>
      <c r="AM202" s="732"/>
      <c r="AN202" s="732"/>
      <c r="AO202" s="732"/>
      <c r="AP202" s="732"/>
      <c r="AQ202" s="732"/>
      <c r="AR202" s="732"/>
      <c r="AS202" s="732"/>
      <c r="AT202" s="732"/>
      <c r="AU202" s="732"/>
      <c r="AV202" s="732"/>
      <c r="AW202" s="732"/>
      <c r="AX202" s="732"/>
      <c r="AY202" s="732"/>
      <c r="AZ202" s="732"/>
      <c r="BA202" s="732"/>
      <c r="BB202" s="732"/>
      <c r="BC202" s="732"/>
      <c r="BD202" s="732"/>
      <c r="BE202" s="732"/>
      <c r="BF202" s="732"/>
      <c r="BG202" s="732"/>
      <c r="BH202" s="732"/>
      <c r="BI202" s="732"/>
      <c r="BJ202" s="732"/>
      <c r="BK202" s="2517"/>
      <c r="BL202" s="732"/>
      <c r="BM202" s="732"/>
      <c r="BN202" s="732"/>
      <c r="BO202" s="732"/>
      <c r="BP202" s="732"/>
      <c r="BQ202" s="2929"/>
      <c r="BR202" s="732"/>
      <c r="BS202" s="732"/>
      <c r="BT202" s="732"/>
      <c r="BU202" s="732"/>
      <c r="BV202" s="732"/>
      <c r="BW202" s="732"/>
      <c r="BX202" s="732"/>
      <c r="BY202" s="732"/>
      <c r="BZ202" s="732"/>
      <c r="CA202" s="732"/>
      <c r="CB202" s="732"/>
      <c r="CC202" s="732"/>
      <c r="CD202" s="732"/>
      <c r="CE202" s="732"/>
      <c r="CF202" s="732"/>
      <c r="CG202" s="732"/>
      <c r="CH202" s="732"/>
      <c r="CI202" s="732"/>
      <c r="CJ202" s="732"/>
      <c r="CK202" s="732"/>
      <c r="CL202" s="732"/>
      <c r="CM202" s="732"/>
      <c r="CN202" s="732"/>
      <c r="CO202" s="732"/>
      <c r="CP202" s="732"/>
      <c r="CQ202" s="732"/>
      <c r="CR202" s="732"/>
      <c r="CS202" s="732"/>
      <c r="CT202" s="113"/>
      <c r="CU202" s="60"/>
      <c r="CV202" s="60"/>
      <c r="CW202" s="60"/>
      <c r="CX202" s="4" t="s">
        <v>820</v>
      </c>
      <c r="CY202" s="60"/>
      <c r="CZ202" s="60"/>
      <c r="DA202" s="60"/>
      <c r="DB202" s="60"/>
      <c r="DC202" s="60"/>
      <c r="DD202" s="60"/>
      <c r="DE202" s="60"/>
      <c r="DF202" s="60"/>
      <c r="DG202" s="60"/>
      <c r="DH202" s="60"/>
      <c r="DI202" s="68"/>
      <c r="DJ202" s="68"/>
      <c r="DK202" s="68"/>
      <c r="DL202" s="68"/>
      <c r="DM202" s="68"/>
      <c r="DN202" s="68"/>
      <c r="DO202" s="68"/>
      <c r="DP202" s="68"/>
      <c r="DQ202" s="68"/>
      <c r="DT202" s="68"/>
      <c r="DW202" s="2558">
        <v>7.9899999999999999E-2</v>
      </c>
      <c r="DX202" s="2558">
        <v>5.6854838709677419E-2</v>
      </c>
      <c r="DY202" s="2558">
        <v>3.7049549549549553E-2</v>
      </c>
      <c r="DZ202" s="2558">
        <v>3.727341389728097E-2</v>
      </c>
      <c r="EA202" s="2558">
        <v>3.8554687500000004E-2</v>
      </c>
      <c r="EB202" s="2558">
        <v>3.6519935047811911E-2</v>
      </c>
      <c r="EC202" s="2558">
        <v>3.0122171587417562E-2</v>
      </c>
      <c r="ED202" s="2558">
        <v>2.447562279692644E-2</v>
      </c>
    </row>
    <row r="203" spans="1:150" s="2348" customFormat="1">
      <c r="A203" s="808" t="s">
        <v>385</v>
      </c>
      <c r="B203" s="809"/>
      <c r="C203" s="810">
        <f t="shared" ref="C203:S203" si="628">C13</f>
        <v>3.0632999999999981</v>
      </c>
      <c r="D203" s="809">
        <f t="shared" si="628"/>
        <v>3.0970000000000013</v>
      </c>
      <c r="E203" s="809">
        <f t="shared" si="628"/>
        <v>3.2209999999999965</v>
      </c>
      <c r="F203" s="809">
        <f t="shared" si="628"/>
        <v>3.1150000000000091</v>
      </c>
      <c r="G203" s="811">
        <f t="shared" si="628"/>
        <v>12.496300000000019</v>
      </c>
      <c r="H203" s="809">
        <f t="shared" si="628"/>
        <v>0</v>
      </c>
      <c r="I203" s="810">
        <f t="shared" si="628"/>
        <v>3.3204900000000066</v>
      </c>
      <c r="J203" s="809">
        <f t="shared" si="628"/>
        <v>3.6519999999999868</v>
      </c>
      <c r="K203" s="809">
        <f t="shared" si="628"/>
        <v>3.3189999999999884</v>
      </c>
      <c r="L203" s="809">
        <f t="shared" si="628"/>
        <v>2.6985100000000273</v>
      </c>
      <c r="M203" s="811">
        <f t="shared" si="628"/>
        <v>12.990000000000009</v>
      </c>
      <c r="N203" s="809">
        <f t="shared" si="628"/>
        <v>0</v>
      </c>
      <c r="O203" s="810">
        <f t="shared" si="628"/>
        <v>2.6990000000000123</v>
      </c>
      <c r="P203" s="809">
        <f t="shared" si="628"/>
        <v>2.9040000000000106</v>
      </c>
      <c r="Q203" s="809">
        <f t="shared" si="628"/>
        <v>2.6060000000000088</v>
      </c>
      <c r="R203" s="809">
        <f t="shared" si="628"/>
        <v>2.0309999999999491</v>
      </c>
      <c r="S203" s="811">
        <f t="shared" si="628"/>
        <v>10.240000000000009</v>
      </c>
      <c r="T203" s="809"/>
      <c r="U203" s="810">
        <f t="shared" ref="U203:AJ203" si="629">U13</f>
        <v>2.4789999999999992</v>
      </c>
      <c r="V203" s="809">
        <f t="shared" si="629"/>
        <v>2.9380000000000024</v>
      </c>
      <c r="W203" s="809">
        <f t="shared" si="629"/>
        <v>3.867999999999995</v>
      </c>
      <c r="X203" s="809">
        <f t="shared" si="629"/>
        <v>3.6249999999999716</v>
      </c>
      <c r="Y203" s="811">
        <f t="shared" si="629"/>
        <v>12.909999999999968</v>
      </c>
      <c r="Z203" s="809">
        <f t="shared" si="629"/>
        <v>0</v>
      </c>
      <c r="AA203" s="810">
        <f t="shared" si="629"/>
        <v>4.3169999999999789</v>
      </c>
      <c r="AB203" s="809">
        <f t="shared" si="629"/>
        <v>4.1709999999999923</v>
      </c>
      <c r="AC203" s="809">
        <f t="shared" si="629"/>
        <v>3.5959999999999752</v>
      </c>
      <c r="AD203" s="809">
        <f t="shared" si="629"/>
        <v>6.2959999999999923</v>
      </c>
      <c r="AE203" s="811">
        <f t="shared" si="629"/>
        <v>18.379999999999995</v>
      </c>
      <c r="AF203" s="809">
        <f t="shared" si="629"/>
        <v>0</v>
      </c>
      <c r="AG203" s="810">
        <f t="shared" si="629"/>
        <v>3.1359999999999957</v>
      </c>
      <c r="AH203" s="809">
        <f t="shared" si="629"/>
        <v>2.9390000000000214</v>
      </c>
      <c r="AI203" s="809">
        <f t="shared" si="629"/>
        <v>3.3180000000000121</v>
      </c>
      <c r="AJ203" s="812">
        <f t="shared" si="629"/>
        <v>3.0000000000000568</v>
      </c>
      <c r="AK203" s="811">
        <f>SUM(AG203:AJ203)</f>
        <v>12.393000000000086</v>
      </c>
      <c r="AL203" s="809"/>
      <c r="AM203" s="810">
        <f>AM13</f>
        <v>3.1700000000000159</v>
      </c>
      <c r="AN203" s="809">
        <f>AN13</f>
        <v>3.296999999999997</v>
      </c>
      <c r="AO203" s="813">
        <v>3</v>
      </c>
      <c r="AP203" s="809">
        <f>AP13</f>
        <v>3.3860000000000241</v>
      </c>
      <c r="AQ203" s="811">
        <f>SUM(AM203:AP203)</f>
        <v>12.853000000000037</v>
      </c>
      <c r="AR203" s="809"/>
      <c r="AS203" s="1439">
        <f>AS13</f>
        <v>3.9110000000000014</v>
      </c>
      <c r="AT203" s="809">
        <f>AS203</f>
        <v>3.9110000000000014</v>
      </c>
      <c r="AU203" s="809">
        <f>AT203</f>
        <v>3.9110000000000014</v>
      </c>
      <c r="AV203" s="1706">
        <f>AU203</f>
        <v>3.9110000000000014</v>
      </c>
      <c r="AW203" s="1707">
        <f>SUM(AS203:AV203)</f>
        <v>15.644000000000005</v>
      </c>
      <c r="AX203" s="1706"/>
      <c r="AY203" s="1439">
        <f>+AY13</f>
        <v>4.1270000000000095</v>
      </c>
      <c r="AZ203" s="1706">
        <f>+AZ13</f>
        <v>4.7599999999999909</v>
      </c>
      <c r="BA203" s="1706">
        <f>AZ203</f>
        <v>4.7599999999999909</v>
      </c>
      <c r="BB203" s="1706">
        <f>BA203</f>
        <v>4.7599999999999909</v>
      </c>
      <c r="BC203" s="1707">
        <f>SUM(AY203:BB203)</f>
        <v>18.406999999999982</v>
      </c>
      <c r="BD203" s="1706"/>
      <c r="BE203" s="1439">
        <f>+BE13</f>
        <v>3.75</v>
      </c>
      <c r="BF203" s="1706">
        <f>+BF13</f>
        <v>4.9436940000000504</v>
      </c>
      <c r="BG203" s="1706">
        <f>+BG13</f>
        <v>5.7440000000000282</v>
      </c>
      <c r="BH203" s="1706">
        <f>BG203</f>
        <v>5.7440000000000282</v>
      </c>
      <c r="BI203" s="1707">
        <f>+SUM(BE203:BH203)</f>
        <v>20.181694000000107</v>
      </c>
      <c r="BJ203" s="1706"/>
      <c r="BK203" s="3034">
        <v>4</v>
      </c>
      <c r="BL203" s="3035">
        <v>5</v>
      </c>
      <c r="BM203" s="3035">
        <f>BL203</f>
        <v>5</v>
      </c>
      <c r="BN203" s="3035">
        <v>6</v>
      </c>
      <c r="BO203" s="2977">
        <f>+SUM(BK203:BN203)</f>
        <v>20</v>
      </c>
      <c r="BP203" s="1706"/>
      <c r="BQ203" s="3034">
        <v>6</v>
      </c>
      <c r="BR203" s="3036">
        <v>5</v>
      </c>
      <c r="BS203" s="3036">
        <f>BR203</f>
        <v>5</v>
      </c>
      <c r="BT203" s="1706">
        <f>+BU203-BS203-BR203-BQ203</f>
        <v>5</v>
      </c>
      <c r="BU203" s="2175">
        <v>21</v>
      </c>
      <c r="BV203" s="1706"/>
      <c r="BW203" s="1439">
        <f>CA203/4</f>
        <v>5</v>
      </c>
      <c r="BX203" s="1706">
        <f>BW203</f>
        <v>5</v>
      </c>
      <c r="BY203" s="1706">
        <f>BX203</f>
        <v>5</v>
      </c>
      <c r="BZ203" s="1706">
        <f>BY203</f>
        <v>5</v>
      </c>
      <c r="CA203" s="2175">
        <v>20</v>
      </c>
      <c r="CB203" s="1706"/>
      <c r="CC203" s="1439">
        <f>CG203/4</f>
        <v>5</v>
      </c>
      <c r="CD203" s="1706">
        <f>CC203</f>
        <v>5</v>
      </c>
      <c r="CE203" s="1706">
        <f>CD203</f>
        <v>5</v>
      </c>
      <c r="CF203" s="1706">
        <f>CE203</f>
        <v>5</v>
      </c>
      <c r="CG203" s="2175">
        <v>20</v>
      </c>
      <c r="CH203" s="1706"/>
      <c r="CI203" s="1439">
        <f>CM203/4</f>
        <v>5</v>
      </c>
      <c r="CJ203" s="1706">
        <f>CI203</f>
        <v>5</v>
      </c>
      <c r="CK203" s="1706">
        <f>CJ203</f>
        <v>5</v>
      </c>
      <c r="CL203" s="1706">
        <f>CK203</f>
        <v>5</v>
      </c>
      <c r="CM203" s="2175">
        <v>20</v>
      </c>
      <c r="CN203" s="1706"/>
      <c r="CO203" s="1439">
        <f>CS203/4</f>
        <v>5</v>
      </c>
      <c r="CP203" s="1706">
        <f>CO203</f>
        <v>5</v>
      </c>
      <c r="CQ203" s="1706">
        <f>CP203</f>
        <v>5</v>
      </c>
      <c r="CR203" s="1706">
        <f>CQ203</f>
        <v>5</v>
      </c>
      <c r="CS203" s="2175">
        <v>20</v>
      </c>
      <c r="CT203" s="187"/>
      <c r="CU203" s="201"/>
      <c r="CV203" s="201"/>
      <c r="CW203" s="201"/>
      <c r="CX203" s="4" t="s">
        <v>819</v>
      </c>
      <c r="DY203" s="2558">
        <v>-4.6509009009009013E-2</v>
      </c>
      <c r="DZ203" s="2558">
        <v>-4.6790030211480364E-2</v>
      </c>
      <c r="EA203" s="2558">
        <v>-4.8398437500000002E-2</v>
      </c>
      <c r="EB203" s="2558">
        <v>-4.5844173783423467E-2</v>
      </c>
      <c r="EC203" s="2558">
        <v>-3.7812938801226305E-2</v>
      </c>
      <c r="ED203" s="2558">
        <v>-3.0724717979120426E-2</v>
      </c>
    </row>
    <row r="204" spans="1:150" ht="5.0999999999999996" customHeight="1">
      <c r="A204" s="1055"/>
      <c r="B204" s="183"/>
      <c r="C204" s="183"/>
      <c r="D204" s="183"/>
      <c r="E204" s="183"/>
      <c r="F204" s="183"/>
      <c r="G204" s="183"/>
      <c r="H204" s="183"/>
      <c r="I204" s="183"/>
      <c r="J204" s="183"/>
      <c r="K204" s="183"/>
      <c r="L204" s="183"/>
      <c r="M204" s="183"/>
      <c r="N204" s="183"/>
      <c r="O204" s="183"/>
      <c r="P204" s="183"/>
      <c r="Q204" s="183"/>
      <c r="R204" s="183"/>
      <c r="S204" s="183"/>
      <c r="T204" s="183"/>
      <c r="U204" s="183"/>
      <c r="V204" s="183"/>
      <c r="W204" s="183"/>
      <c r="X204" s="183"/>
      <c r="Y204" s="183"/>
      <c r="Z204" s="183"/>
      <c r="AA204" s="183"/>
      <c r="AB204" s="183"/>
      <c r="AC204" s="183"/>
      <c r="AD204" s="183"/>
      <c r="AE204" s="183"/>
      <c r="AF204" s="183"/>
      <c r="AG204" s="183"/>
      <c r="AH204" s="183"/>
      <c r="AI204" s="183"/>
      <c r="AJ204" s="183"/>
      <c r="AK204" s="183"/>
      <c r="AL204" s="183"/>
      <c r="AM204" s="183"/>
      <c r="AN204" s="183"/>
      <c r="AO204" s="183"/>
      <c r="AP204" s="183"/>
      <c r="AQ204" s="183"/>
      <c r="AR204" s="183"/>
      <c r="AS204" s="1440"/>
      <c r="AT204" s="183"/>
      <c r="AU204" s="183"/>
      <c r="AV204" s="1440"/>
      <c r="AW204" s="1440"/>
      <c r="AX204" s="1440"/>
      <c r="AY204" s="1440"/>
      <c r="AZ204" s="1440"/>
      <c r="BA204" s="1440"/>
      <c r="BB204" s="1440"/>
      <c r="BC204" s="1440"/>
      <c r="BD204" s="1440"/>
      <c r="BE204" s="1440"/>
      <c r="BF204" s="1440"/>
      <c r="BG204" s="1440"/>
      <c r="BH204" s="1440"/>
      <c r="BI204" s="1440"/>
      <c r="BJ204" s="1440"/>
      <c r="BK204" s="1440"/>
      <c r="BL204" s="1440"/>
      <c r="BM204" s="1440"/>
      <c r="BN204" s="1440"/>
      <c r="BO204" s="1440"/>
      <c r="BP204" s="1440"/>
      <c r="BQ204" s="1440"/>
      <c r="BR204" s="1440"/>
      <c r="BS204" s="1440"/>
      <c r="BT204" s="1440"/>
      <c r="BU204" s="1440"/>
      <c r="BV204" s="1440"/>
      <c r="BW204" s="1440"/>
      <c r="BX204" s="1440"/>
      <c r="BY204" s="1440"/>
      <c r="BZ204" s="1440"/>
      <c r="CA204" s="1440"/>
      <c r="CB204" s="1440"/>
      <c r="CC204" s="1440"/>
      <c r="CD204" s="1440"/>
      <c r="CE204" s="1440"/>
      <c r="CF204" s="1440"/>
      <c r="CG204" s="1440"/>
      <c r="CH204" s="1440"/>
      <c r="CI204" s="1440"/>
      <c r="CJ204" s="1440"/>
      <c r="CK204" s="1440"/>
      <c r="CL204" s="1440"/>
      <c r="CM204" s="1440"/>
      <c r="CN204" s="1440"/>
      <c r="CO204" s="1440"/>
      <c r="CP204" s="1440"/>
      <c r="CQ204" s="1440"/>
      <c r="CR204" s="1440"/>
      <c r="CS204" s="1440"/>
      <c r="CT204" s="187"/>
      <c r="CU204" s="201"/>
      <c r="CV204" s="201"/>
      <c r="CW204" s="201"/>
    </row>
    <row r="205" spans="1:150">
      <c r="A205" s="1056" t="s">
        <v>386</v>
      </c>
      <c r="B205" s="1057"/>
      <c r="C205" s="1058">
        <f>C39+C201+C203</f>
        <v>61.265999999999998</v>
      </c>
      <c r="D205" s="1057">
        <f>D39+D201+D203</f>
        <v>74.296999999999997</v>
      </c>
      <c r="E205" s="1057">
        <f>E39+E201+E203</f>
        <v>90.021000000000015</v>
      </c>
      <c r="F205" s="1057">
        <f>F39+F201+F203</f>
        <v>101.11500000000001</v>
      </c>
      <c r="G205" s="1059">
        <f>G39+G201+G203</f>
        <v>326.69900000000001</v>
      </c>
      <c r="H205" s="1057"/>
      <c r="I205" s="1058">
        <f>I39+I201+I203</f>
        <v>110.68299999999999</v>
      </c>
      <c r="J205" s="1057">
        <f>J39+J201+J203</f>
        <v>128.55199999999999</v>
      </c>
      <c r="K205" s="1057">
        <f>K39+K201+K203</f>
        <v>140.31899999999999</v>
      </c>
      <c r="L205" s="1057">
        <f>L39+L201+L203</f>
        <v>152.83600000000001</v>
      </c>
      <c r="M205" s="1059">
        <f>M39+M201+M203</f>
        <v>532.39</v>
      </c>
      <c r="N205" s="1057"/>
      <c r="O205" s="1058">
        <f>O39+O201+O203</f>
        <v>156.19900000000001</v>
      </c>
      <c r="P205" s="1057">
        <f>P39+P201+P203</f>
        <v>153.20400000000001</v>
      </c>
      <c r="Q205" s="1057">
        <f>Q39+Q201+Q203</f>
        <v>150.30599999999998</v>
      </c>
      <c r="R205" s="1057">
        <f>R39+R201+R203</f>
        <v>167.53099999999995</v>
      </c>
      <c r="S205" s="1059">
        <f>S39+S201+S203</f>
        <v>627.24</v>
      </c>
      <c r="T205" s="1057"/>
      <c r="U205" s="1058">
        <f>U39+U201+U203</f>
        <v>173.67899999999997</v>
      </c>
      <c r="V205" s="1057">
        <f>V39+V201+V203</f>
        <v>198.53799999999995</v>
      </c>
      <c r="W205" s="1057">
        <f>W39+W201+W203</f>
        <v>224.66800000000001</v>
      </c>
      <c r="X205" s="1057">
        <f>X39+X201+X203</f>
        <v>245.625</v>
      </c>
      <c r="Y205" s="1059">
        <f>Y39+Y201+Y203</f>
        <v>842.51</v>
      </c>
      <c r="Z205" s="1057"/>
      <c r="AA205" s="1058">
        <f>AA39+AA201+AA203</f>
        <v>266.71699999999998</v>
      </c>
      <c r="AB205" s="1057">
        <f>AB39+AB201+AB203</f>
        <v>269.87100000000004</v>
      </c>
      <c r="AC205" s="1057">
        <f>AC39+AC201+AC203</f>
        <v>220.29599999999994</v>
      </c>
      <c r="AD205" s="1057">
        <f>AD39+AD201+AD203</f>
        <v>230.39599999999996</v>
      </c>
      <c r="AE205" s="1059">
        <f>AE39+AE201+AE203</f>
        <v>987.28000000000009</v>
      </c>
      <c r="AF205" s="1057"/>
      <c r="AG205" s="1058">
        <f>AG39+AG201+AG203</f>
        <v>255.235375</v>
      </c>
      <c r="AH205" s="1057">
        <f>AH39+AH201+AH203</f>
        <v>259.27645866666666</v>
      </c>
      <c r="AI205" s="1057">
        <f>AI39+AI201+AI203</f>
        <v>262.39831249999997</v>
      </c>
      <c r="AJ205" s="1057">
        <f>AJ39+AJ201+AJ203</f>
        <v>278.34259478541668</v>
      </c>
      <c r="AK205" s="1059">
        <f>AK39+AK201+AK203</f>
        <v>1055.2527409520833</v>
      </c>
      <c r="AL205" s="1057"/>
      <c r="AM205" s="1058">
        <f>AM39+AM201+AM203</f>
        <v>295.56664785971583</v>
      </c>
      <c r="AN205" s="1057">
        <f>AN39+AN201+AN203</f>
        <v>313.43224360499994</v>
      </c>
      <c r="AO205" s="1057">
        <f>AO39+AO201+AO203</f>
        <v>318.65610852941177</v>
      </c>
      <c r="AP205" s="1057">
        <f>AP39+AP201+AP203</f>
        <v>336.68940934979793</v>
      </c>
      <c r="AQ205" s="1059">
        <f>AQ39+AQ201+AQ203</f>
        <v>1264.3444093439255</v>
      </c>
      <c r="AR205" s="1057"/>
      <c r="AS205" s="1441">
        <f>AS39+AS201+AS203</f>
        <v>361.82221861853253</v>
      </c>
      <c r="AT205" s="1057">
        <f>AT39+AT201+AT203</f>
        <v>390.64025436098945</v>
      </c>
      <c r="AU205" s="1057">
        <f>AU39+AU201+AU203</f>
        <v>414.7878005</v>
      </c>
      <c r="AV205" s="1708">
        <f>AV39+AV201+AV203</f>
        <v>450.61564811859483</v>
      </c>
      <c r="AW205" s="1709">
        <f>AW39+AW201+AW203</f>
        <v>1617.8659215981172</v>
      </c>
      <c r="AX205" s="1708"/>
      <c r="AY205" s="1441">
        <f>AY39+AY201+AY203</f>
        <v>458.92053768796995</v>
      </c>
      <c r="AZ205" s="1708">
        <f>AZ39+AZ201+AZ203</f>
        <v>462.29133035375946</v>
      </c>
      <c r="BA205" s="1708">
        <f>BA39+BA201+BA203</f>
        <v>470.8147375842106</v>
      </c>
      <c r="BB205" s="1708">
        <f>BB39+BB201+BB203</f>
        <v>498.60678614962399</v>
      </c>
      <c r="BC205" s="1709">
        <f>BC39+BC201+BC203</f>
        <v>1890.6333917755637</v>
      </c>
      <c r="BD205" s="1708"/>
      <c r="BE205" s="1441">
        <f>BE39+BE201+BE203</f>
        <v>483.18186035338346</v>
      </c>
      <c r="BF205" s="1708">
        <f>BF39+BF201+BF203</f>
        <v>509.52979970849623</v>
      </c>
      <c r="BG205" s="1708">
        <f>BG39+BG201+BG203</f>
        <v>513.84995420599637</v>
      </c>
      <c r="BH205" s="1708">
        <f>BH39+BH201+BH203</f>
        <v>526.93090727383469</v>
      </c>
      <c r="BI205" s="1709">
        <f>BI39+BI201+BI203</f>
        <v>2033.4925215417106</v>
      </c>
      <c r="BJ205" s="1708"/>
      <c r="BK205" s="1441">
        <f>BK39+BK201+BK203</f>
        <v>490.74664906368685</v>
      </c>
      <c r="BL205" s="1708">
        <f>BL39+BL201+BL203</f>
        <v>543.25228091356928</v>
      </c>
      <c r="BM205" s="1708">
        <f>BM39+BM201+BM203</f>
        <v>595.99876495636158</v>
      </c>
      <c r="BN205" s="1708">
        <f>BN39+BN201+BN203</f>
        <v>659.17305006217725</v>
      </c>
      <c r="BO205" s="1709">
        <f>BO39+BO201+BO203</f>
        <v>2289.1707449957953</v>
      </c>
      <c r="BP205" s="1708"/>
      <c r="BQ205" s="1441">
        <f>BQ39+BQ201+BQ203</f>
        <v>628.4710660994408</v>
      </c>
      <c r="BR205" s="1708">
        <f>BR39+BR201+BR203</f>
        <v>637.69216979006501</v>
      </c>
      <c r="BS205" s="1708">
        <f>BS39+BS201+BS203</f>
        <v>652.17664848068898</v>
      </c>
      <c r="BT205" s="1708">
        <f>BT39+BT201+BT203</f>
        <v>675.70812717131321</v>
      </c>
      <c r="BU205" s="1709">
        <f>BU39+BU201+BU203</f>
        <v>2594.0480115415075</v>
      </c>
      <c r="BV205" s="1708"/>
      <c r="BW205" s="1441">
        <f>BW39+BW201+BW203</f>
        <v>674.26927334853599</v>
      </c>
      <c r="BX205" s="1708">
        <f>BX39+BX201+BX203</f>
        <v>673.22466952575849</v>
      </c>
      <c r="BY205" s="1708">
        <f>BY39+BY201+BY203</f>
        <v>684.8050657029811</v>
      </c>
      <c r="BZ205" s="1708">
        <f>BZ39+BZ201+BZ203</f>
        <v>706.5534618802036</v>
      </c>
      <c r="CA205" s="1709">
        <f>CA39+CA201+CA203</f>
        <v>2738.8524704574788</v>
      </c>
      <c r="CB205" s="1708"/>
      <c r="CC205" s="1441">
        <f>CC39+CC201+CC203</f>
        <v>713.82960805742619</v>
      </c>
      <c r="CD205" s="1708">
        <f>CD39+CD201+CD203</f>
        <v>713.5870042346487</v>
      </c>
      <c r="CE205" s="1708">
        <f>CE39+CE201+CE203</f>
        <v>726.52315041187126</v>
      </c>
      <c r="CF205" s="1708">
        <f>CF39+CF201+CF203</f>
        <v>750.058196589094</v>
      </c>
      <c r="CG205" s="1709">
        <f>CG39+CG201+CG203</f>
        <v>2903.9979592930404</v>
      </c>
      <c r="CH205" s="1708"/>
      <c r="CI205" s="1441">
        <f>CI39+CI201+CI203</f>
        <v>764.51994304075254</v>
      </c>
      <c r="CJ205" s="1708">
        <f>CJ39+CJ201+CJ203</f>
        <v>764.21668949241132</v>
      </c>
      <c r="CK205" s="1708">
        <f>CK39+CK201+CK203</f>
        <v>777.90676323260368</v>
      </c>
      <c r="CL205" s="1708">
        <f>CL39+CL201+CL203</f>
        <v>804.94989189948785</v>
      </c>
      <c r="CM205" s="1709">
        <f>CM39+CM201+CM203</f>
        <v>3111.593287665256</v>
      </c>
      <c r="CN205" s="1708"/>
      <c r="CO205" s="1441">
        <f>CO39+CO201+CO203</f>
        <v>825.09589702783842</v>
      </c>
      <c r="CP205" s="1708">
        <f>CP39+CP201+CP203</f>
        <v>830.20146465618893</v>
      </c>
      <c r="CQ205" s="1708">
        <f>CQ39+CQ201+CQ203</f>
        <v>848.91035415953911</v>
      </c>
      <c r="CR205" s="1708">
        <f>CR39+CR201+CR203</f>
        <v>879.12828091288964</v>
      </c>
      <c r="CS205" s="1709">
        <f>CS39+CS201+CS203</f>
        <v>3383.3359967564566</v>
      </c>
      <c r="CT205" s="187"/>
      <c r="CU205" s="201"/>
      <c r="CV205" s="201"/>
      <c r="CW205" s="201"/>
      <c r="CX205" s="6" t="s">
        <v>801</v>
      </c>
      <c r="CY205" s="1399">
        <f t="shared" ref="CY205:DX205" si="630">+CY202+CY201</f>
        <v>0.7</v>
      </c>
      <c r="CZ205" s="1399">
        <f t="shared" si="630"/>
        <v>0.5</v>
      </c>
      <c r="DA205" s="1399">
        <f t="shared" si="630"/>
        <v>0.4</v>
      </c>
      <c r="DB205" s="1399">
        <f t="shared" si="630"/>
        <v>0.3</v>
      </c>
      <c r="DC205" s="1399">
        <f t="shared" si="630"/>
        <v>0.2</v>
      </c>
      <c r="DD205" s="1399">
        <f t="shared" si="630"/>
        <v>0.35</v>
      </c>
      <c r="DE205" s="1399">
        <f t="shared" si="630"/>
        <v>0.44</v>
      </c>
      <c r="DF205" s="1399">
        <f t="shared" si="630"/>
        <v>0.56000000000000005</v>
      </c>
      <c r="DG205" s="1399">
        <f t="shared" si="630"/>
        <v>0.4</v>
      </c>
      <c r="DH205" s="1399">
        <f t="shared" si="630"/>
        <v>0.26</v>
      </c>
      <c r="DI205" s="1399">
        <f t="shared" si="630"/>
        <v>0.38</v>
      </c>
      <c r="DJ205" s="1399">
        <f t="shared" si="630"/>
        <v>0.37</v>
      </c>
      <c r="DK205" s="1399">
        <f t="shared" si="630"/>
        <v>0.32</v>
      </c>
      <c r="DL205" s="1399">
        <f t="shared" si="630"/>
        <v>0.34</v>
      </c>
      <c r="DM205" s="1399">
        <f t="shared" si="630"/>
        <v>0.36</v>
      </c>
      <c r="DN205" s="1399">
        <f t="shared" si="630"/>
        <v>0.32</v>
      </c>
      <c r="DO205" s="1399">
        <f t="shared" si="630"/>
        <v>0.39</v>
      </c>
      <c r="DP205" s="1399">
        <f t="shared" si="630"/>
        <v>0.36</v>
      </c>
      <c r="DQ205" s="1399">
        <f t="shared" si="630"/>
        <v>0.36</v>
      </c>
      <c r="DR205" s="1399">
        <f t="shared" si="630"/>
        <v>0.3</v>
      </c>
      <c r="DS205" s="1399">
        <f t="shared" si="630"/>
        <v>0.24</v>
      </c>
      <c r="DT205" s="1399">
        <f t="shared" si="630"/>
        <v>0.25</v>
      </c>
      <c r="DU205" s="1399">
        <f t="shared" si="630"/>
        <v>0.24</v>
      </c>
      <c r="DV205" s="1399">
        <f t="shared" si="630"/>
        <v>0.2</v>
      </c>
      <c r="DW205" s="1399">
        <f t="shared" si="630"/>
        <v>0.14990000000000001</v>
      </c>
      <c r="DX205" s="1399">
        <f t="shared" si="630"/>
        <v>0.14358830297714051</v>
      </c>
      <c r="DY205" s="1399">
        <f t="shared" ref="DY205:ET205" si="631">+DY202+DY201+DY203</f>
        <v>0.13196500968039418</v>
      </c>
      <c r="DZ205" s="1399">
        <f t="shared" si="631"/>
        <v>0.29671818596349719</v>
      </c>
      <c r="EA205" s="1399">
        <f t="shared" si="631"/>
        <v>0.30313495587917666</v>
      </c>
      <c r="EB205" s="1399">
        <f t="shared" si="631"/>
        <v>0.25968443524205759</v>
      </c>
      <c r="EC205" s="1399">
        <f t="shared" si="631"/>
        <v>0.1449932678985017</v>
      </c>
      <c r="ED205" s="1399">
        <f t="shared" si="631"/>
        <v>3.8662983187809238E-2</v>
      </c>
      <c r="EE205" s="1399">
        <f t="shared" si="631"/>
        <v>0.11212533408971392</v>
      </c>
      <c r="EF205" s="1399">
        <f t="shared" si="631"/>
        <v>0.10519918423243135</v>
      </c>
      <c r="EG205" s="1399">
        <f t="shared" si="631"/>
        <v>0.10407811154351343</v>
      </c>
      <c r="EH205" s="1399">
        <f t="shared" si="631"/>
        <v>9.5956733308886877E-2</v>
      </c>
      <c r="EI205" s="1399">
        <f t="shared" si="631"/>
        <v>8.9517944637212077E-2</v>
      </c>
      <c r="EJ205" s="1399">
        <f t="shared" si="631"/>
        <v>9.0514706364165809E-2</v>
      </c>
      <c r="EK205" s="1399">
        <f t="shared" si="631"/>
        <v>9.1264373586493752E-2</v>
      </c>
      <c r="EL205" s="1399">
        <f t="shared" si="631"/>
        <v>9.1779750868458132E-2</v>
      </c>
      <c r="EM205" s="1399">
        <f t="shared" si="631"/>
        <v>9.1546822699239305E-2</v>
      </c>
      <c r="EN205" s="1399">
        <f t="shared" si="631"/>
        <v>9.0568188502563762E-2</v>
      </c>
      <c r="EO205" s="1399">
        <f t="shared" si="631"/>
        <v>8.9887512289364535E-2</v>
      </c>
      <c r="EP205" s="1399">
        <f t="shared" si="631"/>
        <v>9.3316915278812473E-2</v>
      </c>
      <c r="EQ205" s="1399">
        <f t="shared" si="631"/>
        <v>0.1013436542622228</v>
      </c>
      <c r="ER205" s="1399">
        <f t="shared" si="631"/>
        <v>0.10992108176921356</v>
      </c>
      <c r="ES205" s="1399">
        <f t="shared" si="631"/>
        <v>0.11618183537663374</v>
      </c>
      <c r="ET205" s="1399">
        <f t="shared" si="631"/>
        <v>0.11759437052997446</v>
      </c>
    </row>
    <row r="206" spans="1:150">
      <c r="A206" s="1060"/>
      <c r="B206" s="187"/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187"/>
      <c r="AA206" s="187"/>
      <c r="AB206" s="187"/>
      <c r="AC206" s="187"/>
      <c r="AD206" s="187"/>
      <c r="AE206" s="187"/>
      <c r="AF206" s="187"/>
      <c r="AG206" s="187"/>
      <c r="AH206" s="187"/>
      <c r="AI206" s="187"/>
      <c r="AJ206" s="187"/>
      <c r="AK206" s="187"/>
      <c r="AL206" s="187"/>
      <c r="AM206" s="1340"/>
      <c r="AN206" s="1340"/>
      <c r="AO206" s="187"/>
      <c r="AP206" s="187"/>
      <c r="AQ206" s="187"/>
      <c r="AR206" s="187"/>
      <c r="AS206" s="187"/>
      <c r="AT206" s="187"/>
      <c r="AU206" s="187"/>
      <c r="AV206" s="187"/>
      <c r="AW206" s="187"/>
      <c r="AX206" s="187"/>
      <c r="AY206" s="187"/>
      <c r="AZ206" s="187"/>
      <c r="BA206" s="187"/>
      <c r="BB206" s="187"/>
      <c r="BC206" s="187"/>
      <c r="BD206" s="1442"/>
      <c r="BE206" s="2309"/>
      <c r="BF206" s="2309"/>
      <c r="BG206" s="2309"/>
      <c r="BH206" s="2309"/>
      <c r="BI206" s="153"/>
      <c r="BJ206" s="2309"/>
      <c r="BK206" s="2309"/>
      <c r="BL206" s="2309"/>
      <c r="BM206" s="2309"/>
      <c r="BN206" s="2309"/>
      <c r="BO206" s="153"/>
      <c r="BP206" s="2309"/>
      <c r="BQ206" s="2309"/>
      <c r="BR206" s="2309"/>
      <c r="BS206" s="2309"/>
      <c r="BT206" s="2309"/>
      <c r="BU206" s="2309"/>
      <c r="BV206" s="2309"/>
      <c r="BW206" s="2309"/>
      <c r="BX206" s="2309"/>
      <c r="BY206" s="2309"/>
      <c r="BZ206" s="2309"/>
      <c r="CA206" s="2309"/>
      <c r="CB206" s="2309"/>
      <c r="CC206" s="2309"/>
      <c r="CD206" s="2309"/>
      <c r="CE206" s="2309"/>
      <c r="CF206" s="2309"/>
      <c r="CG206" s="2309"/>
      <c r="CH206" s="2309"/>
      <c r="CI206" s="2309"/>
      <c r="CJ206" s="2309"/>
      <c r="CK206" s="2309"/>
      <c r="CL206" s="2309"/>
      <c r="CM206" s="2309"/>
      <c r="CN206" s="2309"/>
      <c r="CO206" s="2309"/>
      <c r="CP206" s="2309"/>
      <c r="CQ206" s="2309"/>
      <c r="CR206" s="2309"/>
      <c r="CS206" s="2309"/>
      <c r="CT206" s="187"/>
      <c r="CU206" s="201"/>
      <c r="CV206" s="201"/>
      <c r="CW206" s="201"/>
    </row>
    <row r="207" spans="1:150">
      <c r="A207" s="2971" t="s">
        <v>424</v>
      </c>
      <c r="B207" s="2972"/>
      <c r="C207" s="2973">
        <f>C15</f>
        <v>10.884</v>
      </c>
      <c r="D207" s="2972">
        <f>D15</f>
        <v>10.238</v>
      </c>
      <c r="E207" s="2972">
        <f>E15</f>
        <v>7.4889999999999999</v>
      </c>
      <c r="F207" s="2972">
        <f>F15</f>
        <v>11.489000000000001</v>
      </c>
      <c r="G207" s="2974">
        <f>SUM(C207:F207)</f>
        <v>40.1</v>
      </c>
      <c r="H207" s="2972"/>
      <c r="I207" s="2973">
        <f>I15</f>
        <v>11.178000000000001</v>
      </c>
      <c r="J207" s="2972">
        <f>J15</f>
        <v>11.625</v>
      </c>
      <c r="K207" s="2972">
        <f>K15</f>
        <v>9.9410000000000007</v>
      </c>
      <c r="L207" s="2978">
        <f>L15</f>
        <v>8.0910000000000011</v>
      </c>
      <c r="M207" s="2974">
        <f>SUM(I207:L207)</f>
        <v>40.835000000000001</v>
      </c>
      <c r="N207" s="2972"/>
      <c r="O207" s="2973">
        <f>O15</f>
        <v>9.5579999999999998</v>
      </c>
      <c r="P207" s="2972">
        <f>P15</f>
        <v>8.4390000000000001</v>
      </c>
      <c r="Q207" s="2972">
        <f>Q15</f>
        <v>8.0540000000000003</v>
      </c>
      <c r="R207" s="2978">
        <f>R15</f>
        <v>13.033000000000001</v>
      </c>
      <c r="S207" s="2974">
        <f>SUM(O207:R207)</f>
        <v>39.084000000000003</v>
      </c>
      <c r="T207" s="2972"/>
      <c r="U207" s="2973">
        <f>U15</f>
        <v>18.452000000000002</v>
      </c>
      <c r="V207" s="2972">
        <f>V15</f>
        <v>13.465</v>
      </c>
      <c r="W207" s="2972">
        <f>W15</f>
        <v>12.641</v>
      </c>
      <c r="X207" s="2972">
        <f>X15</f>
        <v>15.673000000000002</v>
      </c>
      <c r="Y207" s="2974">
        <f>SUM(U207:X207)</f>
        <v>60.231000000000002</v>
      </c>
      <c r="Z207" s="2972"/>
      <c r="AA207" s="2973">
        <f>AA15</f>
        <v>15.798</v>
      </c>
      <c r="AB207" s="2972">
        <f>AB15</f>
        <v>17.579000000000001</v>
      </c>
      <c r="AC207" s="2972">
        <f>AC15</f>
        <v>15.202999999999999</v>
      </c>
      <c r="AD207" s="2978">
        <f>AD15</f>
        <v>19.674999999999997</v>
      </c>
      <c r="AE207" s="2974">
        <f>SUM(AA207:AD207)</f>
        <v>68.254999999999995</v>
      </c>
      <c r="AF207" s="2972"/>
      <c r="AG207" s="2973">
        <f>AG15</f>
        <v>17.134</v>
      </c>
      <c r="AH207" s="2972">
        <f>AH15</f>
        <v>21.768000000000001</v>
      </c>
      <c r="AI207" s="2972">
        <f>AI15</f>
        <v>23.456</v>
      </c>
      <c r="AJ207" s="2978">
        <f>AJ15</f>
        <v>30.332000000000001</v>
      </c>
      <c r="AK207" s="2974">
        <f>SUM(AG207:AJ207)</f>
        <v>92.69</v>
      </c>
      <c r="AL207" s="2972"/>
      <c r="AM207" s="2973">
        <f>AM209+AM220</f>
        <v>34.697999999999652</v>
      </c>
      <c r="AN207" s="2972">
        <f>AN209+AN220</f>
        <v>31.89700000000003</v>
      </c>
      <c r="AO207" s="2972">
        <f>AO209+AO220</f>
        <v>37.29699999999999</v>
      </c>
      <c r="AP207" s="2978">
        <f>AP209+AP220</f>
        <v>49.839999999999989</v>
      </c>
      <c r="AQ207" s="2974">
        <f>AQ209+AQ220</f>
        <v>153.73199999999966</v>
      </c>
      <c r="AR207" s="2972"/>
      <c r="AS207" s="2975">
        <f>AS209+AS220</f>
        <v>59.469999999999942</v>
      </c>
      <c r="AT207" s="2972">
        <f>AT209+AT220</f>
        <v>54.857000000000077</v>
      </c>
      <c r="AU207" s="2972">
        <f>AU209+AU220</f>
        <v>61.060197549353283</v>
      </c>
      <c r="AV207" s="2979">
        <f>AV209+AV220</f>
        <v>57.914316814159278</v>
      </c>
      <c r="AW207" s="2977">
        <f>+SUM(AS207:AV207)</f>
        <v>233.30151436351258</v>
      </c>
      <c r="AX207" s="2976"/>
      <c r="AY207" s="2975">
        <f>AY209+AY220+AY217</f>
        <v>78.79249999999999</v>
      </c>
      <c r="AZ207" s="2976">
        <f>AZ209+AZ220+AZ217</f>
        <v>76.572670000000002</v>
      </c>
      <c r="BA207" s="2976">
        <f>BA209+BA220+BA217</f>
        <v>78.664000000000001</v>
      </c>
      <c r="BB207" s="2979">
        <f>BB209+BB220+BB217</f>
        <v>93.626000000000005</v>
      </c>
      <c r="BC207" s="2977">
        <f>+SUM(AY207:BB207)</f>
        <v>327.65517</v>
      </c>
      <c r="BD207" s="2976"/>
      <c r="BE207" s="2975">
        <f>BE209+BE220+BE217</f>
        <v>89.030281250000002</v>
      </c>
      <c r="BF207" s="2976">
        <f>BF209+BF220+BF217</f>
        <v>90.153222541158499</v>
      </c>
      <c r="BG207" s="2976">
        <f>BG209+BG220+BG217</f>
        <v>92.88898757678227</v>
      </c>
      <c r="BH207" s="2979">
        <f>BH209+BH220+BH217</f>
        <v>93.725220349592192</v>
      </c>
      <c r="BI207" s="2977">
        <f>+SUM(BE207:BH207)</f>
        <v>365.79771171753293</v>
      </c>
      <c r="BJ207" s="2976"/>
      <c r="BK207" s="2975">
        <f>BK209+BK220+BK217</f>
        <v>107.13282437499998</v>
      </c>
      <c r="BL207" s="2976">
        <f>BL209+BL220+BL217</f>
        <v>118.8060144026887</v>
      </c>
      <c r="BM207" s="2976">
        <f>BM209+BM220+BM217</f>
        <v>118.10421799218751</v>
      </c>
      <c r="BN207" s="2979">
        <f>BN209+BN220+BN217</f>
        <v>118.83614416875002</v>
      </c>
      <c r="BO207" s="2977">
        <f>+SUM(BK207:BN207)</f>
        <v>462.87920093862624</v>
      </c>
      <c r="BP207" s="2976"/>
      <c r="BQ207" s="2975">
        <f>+BQ211+BQ214</f>
        <v>154</v>
      </c>
      <c r="BR207" s="2976">
        <f t="shared" ref="BR207:BT207" si="632">+BR211+BR214</f>
        <v>152.74</v>
      </c>
      <c r="BS207" s="2976">
        <f t="shared" si="632"/>
        <v>153.5</v>
      </c>
      <c r="BT207" s="2979">
        <f t="shared" si="632"/>
        <v>164.61</v>
      </c>
      <c r="BU207" s="2977">
        <f>+SUM(BQ207:BT207)</f>
        <v>624.85</v>
      </c>
      <c r="BV207" s="2976"/>
      <c r="BW207" s="2975">
        <f t="shared" ref="BW207:CF207" si="633">+BW211+BW214</f>
        <v>198.39384615384614</v>
      </c>
      <c r="BX207" s="2976">
        <f t="shared" si="633"/>
        <v>196.99906153846155</v>
      </c>
      <c r="BY207" s="2976">
        <f t="shared" si="633"/>
        <v>197.26369230769234</v>
      </c>
      <c r="BZ207" s="2979">
        <f t="shared" si="633"/>
        <v>211.27451538461537</v>
      </c>
      <c r="CA207" s="2977">
        <f t="shared" ref="CA207" si="634">+SUM(BW207:BZ207)</f>
        <v>803.9311153846154</v>
      </c>
      <c r="CB207" s="2976"/>
      <c r="CC207" s="2975">
        <f t="shared" ref="CC207" si="635">+CC211+CC214</f>
        <v>247.4547029585799</v>
      </c>
      <c r="CD207" s="2976">
        <f t="shared" si="633"/>
        <v>245.86587912426035</v>
      </c>
      <c r="CE207" s="2976">
        <f t="shared" si="633"/>
        <v>245.7240705325444</v>
      </c>
      <c r="CF207" s="2979">
        <f t="shared" si="633"/>
        <v>263.00025170414204</v>
      </c>
      <c r="CG207" s="2977">
        <f t="shared" ref="CG207" si="636">+SUM(CC207:CF207)</f>
        <v>1002.0449043195267</v>
      </c>
      <c r="CH207" s="2976"/>
      <c r="CI207" s="2975">
        <f t="shared" ref="CI207:CL207" si="637">+CI211+CI214</f>
        <v>297.05479332180249</v>
      </c>
      <c r="CJ207" s="2976">
        <f t="shared" si="637"/>
        <v>295.1458625484388</v>
      </c>
      <c r="CK207" s="2976">
        <f t="shared" si="637"/>
        <v>294.98076315484752</v>
      </c>
      <c r="CL207" s="2979">
        <f t="shared" si="637"/>
        <v>315.72196993089671</v>
      </c>
      <c r="CM207" s="2977">
        <f t="shared" ref="CM207" si="638">+SUM(CI207:CL207)</f>
        <v>1202.9033889559855</v>
      </c>
      <c r="CN207" s="2976"/>
      <c r="CO207" s="2975">
        <f t="shared" ref="CO207:CR207" si="639">+CO211+CO214</f>
        <v>342.22578774011561</v>
      </c>
      <c r="CP207" s="2976">
        <f t="shared" si="639"/>
        <v>339.79409971152558</v>
      </c>
      <c r="CQ207" s="2976">
        <f t="shared" si="639"/>
        <v>340.33099243361846</v>
      </c>
      <c r="CR207" s="2979">
        <f t="shared" si="639"/>
        <v>364.53338327156007</v>
      </c>
      <c r="CS207" s="2977">
        <f t="shared" ref="CS207" si="640">+SUM(CO207:CR207)</f>
        <v>1386.8842631568195</v>
      </c>
      <c r="CT207" s="187"/>
      <c r="CU207" s="187"/>
      <c r="CV207" s="187"/>
      <c r="CW207" s="187"/>
      <c r="CX207" s="1401" t="s">
        <v>822</v>
      </c>
      <c r="CY207" s="1933">
        <f t="shared" ref="CY207:DQ207" si="641">+AVERAGE($CY$201:$DV$201)</f>
        <v>0.35583333333333339</v>
      </c>
      <c r="CZ207" s="1933">
        <f t="shared" si="641"/>
        <v>0.35583333333333339</v>
      </c>
      <c r="DA207" s="1933">
        <f t="shared" si="641"/>
        <v>0.35583333333333339</v>
      </c>
      <c r="DB207" s="1933">
        <f t="shared" si="641"/>
        <v>0.35583333333333339</v>
      </c>
      <c r="DC207" s="1933">
        <f t="shared" si="641"/>
        <v>0.35583333333333339</v>
      </c>
      <c r="DD207" s="1933">
        <f t="shared" si="641"/>
        <v>0.35583333333333339</v>
      </c>
      <c r="DE207" s="1933">
        <f t="shared" si="641"/>
        <v>0.35583333333333339</v>
      </c>
      <c r="DF207" s="1933">
        <f t="shared" si="641"/>
        <v>0.35583333333333339</v>
      </c>
      <c r="DG207" s="1933">
        <f t="shared" si="641"/>
        <v>0.35583333333333339</v>
      </c>
      <c r="DH207" s="1933">
        <f t="shared" si="641"/>
        <v>0.35583333333333339</v>
      </c>
      <c r="DI207" s="1933">
        <f t="shared" si="641"/>
        <v>0.35583333333333339</v>
      </c>
      <c r="DJ207" s="1933">
        <f t="shared" si="641"/>
        <v>0.35583333333333339</v>
      </c>
      <c r="DK207" s="1933">
        <f t="shared" si="641"/>
        <v>0.35583333333333339</v>
      </c>
      <c r="DL207" s="1933">
        <f t="shared" si="641"/>
        <v>0.35583333333333339</v>
      </c>
      <c r="DM207" s="1933">
        <f t="shared" si="641"/>
        <v>0.35583333333333339</v>
      </c>
      <c r="DN207" s="1933">
        <f t="shared" si="641"/>
        <v>0.35583333333333339</v>
      </c>
      <c r="DO207" s="1933">
        <f t="shared" si="641"/>
        <v>0.35583333333333339</v>
      </c>
      <c r="DP207" s="1933">
        <f t="shared" si="641"/>
        <v>0.35583333333333339</v>
      </c>
      <c r="DQ207" s="1933">
        <f t="shared" si="641"/>
        <v>0.35583333333333339</v>
      </c>
      <c r="DR207" s="1933">
        <f>+AVERAGE($CY$201:$DV$201)</f>
        <v>0.35583333333333339</v>
      </c>
      <c r="DS207" s="1933">
        <f>+AVERAGE($CY$201:$DV$201)</f>
        <v>0.35583333333333339</v>
      </c>
      <c r="DT207" s="1933">
        <f>+AVERAGE($CY$201:$DV$201)</f>
        <v>0.35583333333333339</v>
      </c>
      <c r="DU207" s="1933">
        <f>+AVERAGE($CY$201:$DV$201)</f>
        <v>0.35583333333333339</v>
      </c>
      <c r="DV207" s="1933">
        <f>+AVERAGE($CY$201:$DV$201)</f>
        <v>0.35583333333333339</v>
      </c>
    </row>
    <row r="208" spans="1:150">
      <c r="A208" s="2980" t="s">
        <v>428</v>
      </c>
      <c r="B208" s="2981"/>
      <c r="C208" s="2982"/>
      <c r="D208" s="2981"/>
      <c r="E208" s="2981"/>
      <c r="F208" s="2981"/>
      <c r="G208" s="2983"/>
      <c r="H208" s="2981"/>
      <c r="I208" s="2984">
        <f t="shared" ref="I208:L208" si="642">+I207/C207-1</f>
        <v>2.7012127894156635E-2</v>
      </c>
      <c r="J208" s="2985">
        <f t="shared" si="642"/>
        <v>0.13547567884352407</v>
      </c>
      <c r="K208" s="2985">
        <f t="shared" si="642"/>
        <v>0.32741353985845922</v>
      </c>
      <c r="L208" s="2985">
        <f t="shared" si="642"/>
        <v>-0.29576116285142307</v>
      </c>
      <c r="M208" s="2986">
        <f>+M207/G207-1</f>
        <v>1.8329177057356594E-2</v>
      </c>
      <c r="N208" s="2981"/>
      <c r="O208" s="2984">
        <f t="shared" ref="O208" si="643">+O207/I207-1</f>
        <v>-0.14492753623188415</v>
      </c>
      <c r="P208" s="2985">
        <f t="shared" ref="P208" si="644">+P207/J207-1</f>
        <v>-0.27406451612903227</v>
      </c>
      <c r="Q208" s="2985">
        <f t="shared" ref="Q208" si="645">+Q207/K207-1</f>
        <v>-0.18981993763202898</v>
      </c>
      <c r="R208" s="2985">
        <f t="shared" ref="R208" si="646">+R207/L207-1</f>
        <v>0.61080212581881099</v>
      </c>
      <c r="S208" s="2986">
        <f>+S207/M207-1</f>
        <v>-4.2879882453777385E-2</v>
      </c>
      <c r="T208" s="2981"/>
      <c r="U208" s="2984">
        <f t="shared" ref="U208" si="647">+U207/O207-1</f>
        <v>0.93052939945595337</v>
      </c>
      <c r="V208" s="2985">
        <f t="shared" ref="V208" si="648">+V207/P207-1</f>
        <v>0.59556819528380145</v>
      </c>
      <c r="W208" s="2985">
        <f t="shared" ref="W208" si="649">+W207/Q207-1</f>
        <v>0.56953066799106034</v>
      </c>
      <c r="X208" s="2985">
        <f t="shared" ref="X208:Y208" si="650">+X207/R207-1</f>
        <v>0.20256272538939624</v>
      </c>
      <c r="Y208" s="2986">
        <f t="shared" si="650"/>
        <v>0.54106539760515804</v>
      </c>
      <c r="Z208" s="2981"/>
      <c r="AA208" s="2984">
        <f t="shared" ref="AA208" si="651">+AA207/U207-1</f>
        <v>-0.14383264686754826</v>
      </c>
      <c r="AB208" s="2985">
        <f t="shared" ref="AB208" si="652">+AB207/V207-1</f>
        <v>0.30553286297809135</v>
      </c>
      <c r="AC208" s="2985">
        <f t="shared" ref="AC208" si="653">+AC207/W207-1</f>
        <v>0.20267383909500825</v>
      </c>
      <c r="AD208" s="2985">
        <f t="shared" ref="AD208:AE208" si="654">+AD207/X207-1</f>
        <v>0.25534358450839001</v>
      </c>
      <c r="AE208" s="2986">
        <f t="shared" si="654"/>
        <v>0.13322043465989264</v>
      </c>
      <c r="AF208" s="2981"/>
      <c r="AG208" s="2984">
        <f t="shared" ref="AG208" si="655">+AG207/AA207-1</f>
        <v>8.4567666793264884E-2</v>
      </c>
      <c r="AH208" s="2985">
        <f t="shared" ref="AH208" si="656">+AH207/AB207-1</f>
        <v>0.23829569372546788</v>
      </c>
      <c r="AI208" s="2985">
        <f t="shared" ref="AI208" si="657">+AI207/AC207-1</f>
        <v>0.54285338420048679</v>
      </c>
      <c r="AJ208" s="2985">
        <f t="shared" ref="AJ208:AK208" si="658">+AJ207/AD207-1</f>
        <v>0.54165184243964437</v>
      </c>
      <c r="AK208" s="2986">
        <f t="shared" si="658"/>
        <v>0.35799575122701643</v>
      </c>
      <c r="AL208" s="2981"/>
      <c r="AM208" s="2984">
        <f t="shared" ref="AM208" si="659">+AM207/AG207-1</f>
        <v>1.0250962997548529</v>
      </c>
      <c r="AN208" s="2985">
        <f t="shared" ref="AN208" si="660">+AN207/AH207-1</f>
        <v>0.46531606027196015</v>
      </c>
      <c r="AO208" s="2985">
        <f t="shared" ref="AO208" si="661">+AO207/AI207-1</f>
        <v>0.59008356070941304</v>
      </c>
      <c r="AP208" s="2985">
        <f t="shared" ref="AP208:AQ208" si="662">+AP207/AJ207-1</f>
        <v>0.6431491494131607</v>
      </c>
      <c r="AQ208" s="2986">
        <f t="shared" si="662"/>
        <v>0.65856079404466139</v>
      </c>
      <c r="AR208" s="2981"/>
      <c r="AS208" s="2984">
        <f t="shared" ref="AS208" si="663">+AS207/AM207-1</f>
        <v>0.71393163871118048</v>
      </c>
      <c r="AT208" s="2985">
        <f t="shared" ref="AT208" si="664">+AT207/AN207-1</f>
        <v>0.71981691068125597</v>
      </c>
      <c r="AU208" s="2985">
        <f t="shared" ref="AU208" si="665">+AU207/AO207-1</f>
        <v>0.63713428826321961</v>
      </c>
      <c r="AV208" s="2985">
        <f t="shared" ref="AV208:AW208" si="666">+AV207/AP207-1</f>
        <v>0.16200475148794724</v>
      </c>
      <c r="AW208" s="2986">
        <f t="shared" si="666"/>
        <v>0.51758589209476957</v>
      </c>
      <c r="AX208" s="2981"/>
      <c r="AY208" s="2984">
        <f t="shared" ref="AY208" si="667">+AY207/AS207-1</f>
        <v>0.32491172019505754</v>
      </c>
      <c r="AZ208" s="2985">
        <f t="shared" ref="AZ208" si="668">+AZ207/AT207-1</f>
        <v>0.3958595985927027</v>
      </c>
      <c r="BA208" s="2985">
        <f t="shared" ref="BA208" si="669">+BA207/AU207-1</f>
        <v>0.288302415602538</v>
      </c>
      <c r="BB208" s="2985">
        <f t="shared" ref="BB208:BC208" si="670">+BB207/AV207-1</f>
        <v>0.61662962027913792</v>
      </c>
      <c r="BC208" s="2986">
        <f t="shared" si="670"/>
        <v>0.40442796050381724</v>
      </c>
      <c r="BD208" s="2981"/>
      <c r="BE208" s="2984">
        <f t="shared" ref="BE208" si="671">+BE207/AY207-1</f>
        <v>0.12993344861503342</v>
      </c>
      <c r="BF208" s="2985">
        <f t="shared" ref="BF208" si="672">+BF207/AZ207-1</f>
        <v>0.1773550868888143</v>
      </c>
      <c r="BG208" s="2985">
        <f t="shared" ref="BG208" si="673">+BG207/BA207-1</f>
        <v>0.18083224317072943</v>
      </c>
      <c r="BH208" s="2985">
        <f t="shared" ref="BH208:BI208" si="674">+BH207/BB207-1</f>
        <v>1.0597520944202188E-3</v>
      </c>
      <c r="BI208" s="2986">
        <f t="shared" si="674"/>
        <v>0.11641062070692465</v>
      </c>
      <c r="BJ208" s="2981"/>
      <c r="BK208" s="2984">
        <f t="shared" ref="BK208" si="675">+BK207/BE207-1</f>
        <v>0.20333018014587001</v>
      </c>
      <c r="BL208" s="2985">
        <f t="shared" ref="BL208" si="676">+BL207/BF207-1</f>
        <v>0.31782326858531396</v>
      </c>
      <c r="BM208" s="2985">
        <f t="shared" ref="BM208" si="677">+BM207/BG207-1</f>
        <v>0.27145554142854955</v>
      </c>
      <c r="BN208" s="2985">
        <f t="shared" ref="BN208:BO208" si="678">+BN207/BH207-1</f>
        <v>0.26792066986340335</v>
      </c>
      <c r="BO208" s="2986">
        <f t="shared" si="678"/>
        <v>0.26539665534064127</v>
      </c>
      <c r="BP208" s="2981"/>
      <c r="BQ208" s="2984">
        <f t="shared" ref="BQ208" si="679">+BQ207/BK207-1</f>
        <v>0.43746793663302985</v>
      </c>
      <c r="BR208" s="2985">
        <f t="shared" ref="BR208" si="680">+BR207/BL207-1</f>
        <v>0.28562514926469373</v>
      </c>
      <c r="BS208" s="2985">
        <f t="shared" ref="BS208" si="681">+BS207/BM207-1</f>
        <v>0.29969955865720133</v>
      </c>
      <c r="BT208" s="2985">
        <f t="shared" ref="BT208:BU208" si="682">+BT207/BN207-1</f>
        <v>0.38518462670961506</v>
      </c>
      <c r="BU208" s="2986">
        <f t="shared" si="682"/>
        <v>0.34992023563152008</v>
      </c>
      <c r="BV208" s="2981"/>
      <c r="BW208" s="2984">
        <f t="shared" ref="BW208" si="683">+BW207/BQ207-1</f>
        <v>0.2882717282717282</v>
      </c>
      <c r="BX208" s="2985">
        <f t="shared" ref="BX208" si="684">+BX207/BR207-1</f>
        <v>0.2897673270817176</v>
      </c>
      <c r="BY208" s="2985">
        <f t="shared" ref="BY208" si="685">+BY207/BS207-1</f>
        <v>0.28510548734652996</v>
      </c>
      <c r="BZ208" s="2985">
        <f t="shared" ref="BZ208:CA208" si="686">+BZ207/BT207-1</f>
        <v>0.28348530092105806</v>
      </c>
      <c r="CA208" s="2986">
        <f t="shared" si="686"/>
        <v>0.28659856827176977</v>
      </c>
      <c r="CB208" s="2981"/>
      <c r="CC208" s="2984">
        <f t="shared" ref="CC208" si="687">+CC207/BW207-1</f>
        <v>0.24729021467071677</v>
      </c>
      <c r="CD208" s="2985">
        <f t="shared" ref="CD208" si="688">+CD207/BX207-1</f>
        <v>0.24805609328376521</v>
      </c>
      <c r="CE208" s="2985">
        <f t="shared" ref="CE208" si="689">+CE207/BY207-1</f>
        <v>0.24566293805990136</v>
      </c>
      <c r="CF208" s="2985">
        <f t="shared" ref="CF208:CG208" si="690">+CF207/BZ207-1</f>
        <v>0.24482714455817067</v>
      </c>
      <c r="CG208" s="2986">
        <f t="shared" si="690"/>
        <v>0.24643129883103243</v>
      </c>
      <c r="CH208" s="2981"/>
      <c r="CI208" s="2984">
        <f t="shared" ref="CI208" si="691">+CI207/CC207-1</f>
        <v>0.20044108990535081</v>
      </c>
      <c r="CJ208" s="2985">
        <f t="shared" ref="CJ208" si="692">+CJ207/CD207-1</f>
        <v>0.20043441407854901</v>
      </c>
      <c r="CK208" s="2985">
        <f t="shared" ref="CK208" si="693">+CK207/CE207-1</f>
        <v>0.20045530141004009</v>
      </c>
      <c r="CL208" s="2985">
        <f t="shared" ref="CL208" si="694">+CL207/CF207-1</f>
        <v>0.20046261509309549</v>
      </c>
      <c r="CM208" s="2986">
        <f t="shared" ref="CM208" si="695">+CM207/CG207-1</f>
        <v>0.20044858645617158</v>
      </c>
      <c r="CN208" s="2981"/>
      <c r="CO208" s="2984">
        <f t="shared" ref="CO208" si="696">+CO207/CI207-1</f>
        <v>0.15206283633127216</v>
      </c>
      <c r="CP208" s="2985">
        <f t="shared" ref="CP208" si="697">+CP207/CJ207-1</f>
        <v>0.15127515858623686</v>
      </c>
      <c r="CQ208" s="2985">
        <f t="shared" ref="CQ208" si="698">+CQ207/CK207-1</f>
        <v>0.15373961608121789</v>
      </c>
      <c r="CR208" s="2985">
        <f t="shared" ref="CR208" si="699">+CR207/CL207-1</f>
        <v>0.15460252370573668</v>
      </c>
      <c r="CS208" s="2986">
        <f t="shared" ref="CS208" si="700">+CS207/CM207-1</f>
        <v>0.15294734048468617</v>
      </c>
      <c r="CT208" s="187"/>
      <c r="CU208" s="187"/>
      <c r="CV208" s="187"/>
      <c r="CW208" s="187"/>
      <c r="CX208" s="1401"/>
      <c r="CY208" s="1933"/>
      <c r="CZ208" s="1933"/>
      <c r="DA208" s="1933"/>
      <c r="DB208" s="1933"/>
      <c r="DC208" s="1933"/>
      <c r="DD208" s="1933"/>
      <c r="DE208" s="1933"/>
      <c r="DF208" s="1933"/>
      <c r="DG208" s="1933"/>
      <c r="DH208" s="1933"/>
      <c r="DI208" s="1933"/>
      <c r="DJ208" s="1933"/>
      <c r="DK208" s="1933"/>
      <c r="DL208" s="1933"/>
      <c r="DM208" s="1933"/>
      <c r="DN208" s="1933"/>
      <c r="DO208" s="1933"/>
      <c r="DP208" s="1933"/>
      <c r="DQ208" s="1933"/>
      <c r="DR208" s="1933"/>
      <c r="DS208" s="1933"/>
      <c r="DT208" s="1933"/>
      <c r="DU208" s="1933"/>
      <c r="DV208" s="1933"/>
    </row>
    <row r="209" spans="1:150">
      <c r="A209" s="2930" t="s">
        <v>174</v>
      </c>
      <c r="B209" s="781"/>
      <c r="C209" s="786">
        <v>10.884</v>
      </c>
      <c r="D209" s="785">
        <v>10.238</v>
      </c>
      <c r="E209" s="785">
        <v>7.4889999999999999</v>
      </c>
      <c r="F209" s="785">
        <v>11.489000000000001</v>
      </c>
      <c r="G209" s="783">
        <v>40.1</v>
      </c>
      <c r="H209" s="781"/>
      <c r="I209" s="786">
        <v>11.178000000000001</v>
      </c>
      <c r="J209" s="785">
        <v>11.625</v>
      </c>
      <c r="K209" s="785">
        <v>9.9410000000000007</v>
      </c>
      <c r="L209" s="785">
        <v>8.0910000000000011</v>
      </c>
      <c r="M209" s="783">
        <v>40.835000000000001</v>
      </c>
      <c r="N209" s="781"/>
      <c r="O209" s="786">
        <v>9.5579999999999998</v>
      </c>
      <c r="P209" s="785">
        <v>8.4390000000000001</v>
      </c>
      <c r="Q209" s="785">
        <v>8.0540000000000003</v>
      </c>
      <c r="R209" s="785">
        <v>13.033000000000001</v>
      </c>
      <c r="S209" s="783">
        <v>39.084000000000003</v>
      </c>
      <c r="T209" s="781"/>
      <c r="U209" s="786">
        <v>18.452000000000002</v>
      </c>
      <c r="V209" s="785">
        <v>13.465</v>
      </c>
      <c r="W209" s="785">
        <v>12.641</v>
      </c>
      <c r="X209" s="785">
        <v>15.673000000000002</v>
      </c>
      <c r="Y209" s="783">
        <v>60.231000000000002</v>
      </c>
      <c r="Z209" s="781"/>
      <c r="AA209" s="786">
        <v>15.798</v>
      </c>
      <c r="AB209" s="785">
        <v>17.579000000000001</v>
      </c>
      <c r="AC209" s="785">
        <v>15.202999999999999</v>
      </c>
      <c r="AD209" s="785">
        <v>19.675000000000001</v>
      </c>
      <c r="AE209" s="783">
        <v>68.254999999999995</v>
      </c>
      <c r="AF209" s="781"/>
      <c r="AG209" s="1437">
        <v>17.134</v>
      </c>
      <c r="AH209" s="1644">
        <v>21.768000000000001</v>
      </c>
      <c r="AI209" s="1644">
        <v>23.456</v>
      </c>
      <c r="AJ209" s="1644">
        <v>30.332000000000001</v>
      </c>
      <c r="AK209" s="1645">
        <f>SUM(AG209:AJ209)</f>
        <v>92.69</v>
      </c>
      <c r="AL209" s="1385"/>
      <c r="AM209" s="1434">
        <v>34.337999999999653</v>
      </c>
      <c r="AN209" s="1385">
        <v>29.09700000000003</v>
      </c>
      <c r="AO209" s="1385">
        <v>33.696999999999989</v>
      </c>
      <c r="AP209" s="1385">
        <v>45.439999999999991</v>
      </c>
      <c r="AQ209" s="1645">
        <f>SUM(AM209:AP209)</f>
        <v>142.57199999999966</v>
      </c>
      <c r="AR209" s="1385">
        <v>34.337999999999653</v>
      </c>
      <c r="AS209" s="1434">
        <v>49.469999999999942</v>
      </c>
      <c r="AT209" s="1385">
        <v>43.257000000000076</v>
      </c>
      <c r="AU209" s="1385">
        <v>47.71778774676649</v>
      </c>
      <c r="AV209" s="1385">
        <v>40.569184070796446</v>
      </c>
      <c r="AW209" s="1645">
        <f>SUM(AS209:AV209)</f>
        <v>181.01397181756295</v>
      </c>
      <c r="AX209" s="1385"/>
      <c r="AY209" s="2844">
        <v>62.5</v>
      </c>
      <c r="AZ209" s="2845">
        <v>58.5</v>
      </c>
      <c r="BA209" s="2845">
        <v>54.2</v>
      </c>
      <c r="BB209" s="2845">
        <v>68.817000000000007</v>
      </c>
      <c r="BC209" s="1645">
        <f>SUM(AY209:BB209)</f>
        <v>244.017</v>
      </c>
      <c r="BD209" s="1385"/>
      <c r="BE209" s="1434">
        <f>+(AY209)*(1+BE210)</f>
        <v>63.75</v>
      </c>
      <c r="BF209" s="1385">
        <f>+(AZ209)*(1+BF210)</f>
        <v>69.498229332879376</v>
      </c>
      <c r="BG209" s="1385">
        <f>+(BA209)*(1+BG210)</f>
        <v>73.983000000000004</v>
      </c>
      <c r="BH209" s="1385">
        <f>+(BB209)*(1+BH210)</f>
        <v>75.285798000000014</v>
      </c>
      <c r="BI209" s="1645">
        <f>SUM(BE209:BH209)</f>
        <v>282.51702733287937</v>
      </c>
      <c r="BJ209" s="1385"/>
      <c r="BK209" s="1434">
        <f>+(BE209)*(1+BK210)</f>
        <v>86.699999999999989</v>
      </c>
      <c r="BL209" s="1385">
        <f>+(BF209)*(1+BL210)</f>
        <v>98.687485652688707</v>
      </c>
      <c r="BM209" s="1385">
        <f>+(BG209)*(1+BM210)</f>
        <v>98.397390000000016</v>
      </c>
      <c r="BN209" s="1385">
        <f>+(BH209)*(1+BN210)</f>
        <v>102.01225629000002</v>
      </c>
      <c r="BO209" s="1645">
        <f>SUM(BK209:BN209)</f>
        <v>385.79713194268874</v>
      </c>
      <c r="BP209" s="1385"/>
      <c r="BQ209" s="1434">
        <f>+(BK209)*(1+BQ210)</f>
        <v>124.84799999999998</v>
      </c>
      <c r="BR209" s="1385">
        <f>+(BL209)*(1+BR210)</f>
        <v>142.10997933987173</v>
      </c>
      <c r="BS209" s="1385">
        <f>+(BM209)*(1+BS210)</f>
        <v>141.69224160000002</v>
      </c>
      <c r="BT209" s="1385">
        <f>+(BN209)*(1+BT210)</f>
        <v>146.89764905760003</v>
      </c>
      <c r="BU209" s="1645">
        <f>SUM(BQ209:BT209)</f>
        <v>555.54786999747171</v>
      </c>
      <c r="BV209" s="1385"/>
      <c r="BW209" s="1434">
        <f>+(BQ209)*(1+BW210)</f>
        <v>147.32063999999997</v>
      </c>
      <c r="BX209" s="1385">
        <f>+(BR209)*(1+BX210)</f>
        <v>167.68977562104862</v>
      </c>
      <c r="BY209" s="1385">
        <f>+(BS209)*(1+BY210)</f>
        <v>167.196845088</v>
      </c>
      <c r="BZ209" s="1385">
        <f>+(BT209)*(1+BZ210)</f>
        <v>173.33922588796804</v>
      </c>
      <c r="CA209" s="1645">
        <f>SUM(BW209:BZ209)</f>
        <v>655.54648659701661</v>
      </c>
      <c r="CB209" s="1385"/>
      <c r="CC209" s="1434">
        <f>+(BW209)*(1+CC210)</f>
        <v>173.83835519999997</v>
      </c>
      <c r="CD209" s="1385">
        <f>+(BX209)*(1+CD210)</f>
        <v>197.87393523283737</v>
      </c>
      <c r="CE209" s="1385">
        <f>+(BY209)*(1+CE210)</f>
        <v>197.29227720384</v>
      </c>
      <c r="CF209" s="1385">
        <f>+(BZ209)*(1+CF210)</f>
        <v>204.54028654780228</v>
      </c>
      <c r="CG209" s="1645">
        <f>SUM(CC209:CF209)</f>
        <v>773.54485418447962</v>
      </c>
      <c r="CH209" s="1385"/>
      <c r="CI209" s="1434">
        <f>+(CC209)*(1+CI210)</f>
        <v>205.12925913599994</v>
      </c>
      <c r="CJ209" s="1385">
        <f>+(CD209)*(1+CJ210)</f>
        <v>233.49124357474807</v>
      </c>
      <c r="CK209" s="1385">
        <f>+(CE209)*(1+CK210)</f>
        <v>232.80488710053118</v>
      </c>
      <c r="CL209" s="1385">
        <f>+(CF209)*(1+CL210)</f>
        <v>241.35753812640667</v>
      </c>
      <c r="CM209" s="1645">
        <f>SUM(CI209:CL209)</f>
        <v>912.78292793768594</v>
      </c>
      <c r="CN209" s="1385"/>
      <c r="CO209" s="1434">
        <f>+(CI209)*(1+CO210)</f>
        <v>242.05252578047993</v>
      </c>
      <c r="CP209" s="1385">
        <f>+(CJ209)*(1+CP210)</f>
        <v>275.51966741820269</v>
      </c>
      <c r="CQ209" s="1385">
        <f>+(CK209)*(1+CQ210)</f>
        <v>274.70976677862677</v>
      </c>
      <c r="CR209" s="1385">
        <f>+(CL209)*(1+CR210)</f>
        <v>284.80189498915985</v>
      </c>
      <c r="CS209" s="1645">
        <f>SUM(CO209:CR209)</f>
        <v>1077.0838549664693</v>
      </c>
      <c r="CT209" s="187"/>
      <c r="CU209" s="187"/>
      <c r="CV209" s="187"/>
      <c r="CW209" s="187"/>
      <c r="CX209" s="2559" t="s">
        <v>823</v>
      </c>
      <c r="CY209" s="201"/>
      <c r="CZ209" s="201"/>
      <c r="DA209" s="201"/>
      <c r="DB209" s="201"/>
      <c r="DC209" s="201"/>
      <c r="DD209" s="201"/>
      <c r="DE209" s="201"/>
      <c r="DF209" s="201"/>
      <c r="DG209" s="201"/>
      <c r="DH209" s="201"/>
      <c r="DI209" s="201"/>
      <c r="DJ209" s="201"/>
      <c r="DK209" s="201"/>
      <c r="DL209" s="201"/>
      <c r="DM209" s="201"/>
      <c r="DN209" s="201"/>
      <c r="DO209" s="201"/>
      <c r="DP209" s="201"/>
      <c r="DQ209" s="201"/>
      <c r="DR209" s="201"/>
      <c r="DS209" s="1933"/>
      <c r="DT209" s="1933"/>
      <c r="DU209" s="1933"/>
      <c r="DV209" s="1933"/>
      <c r="DW209" s="1933">
        <f>+AVERAGE($DW$205:$ET205)</f>
        <v>0.12747681917364492</v>
      </c>
      <c r="DX209" s="1933">
        <f>+AVERAGE($DW$205:$ET205)</f>
        <v>0.12747681917364492</v>
      </c>
      <c r="DY209" s="1933">
        <f>+AVERAGE($DW$205:$ET205)</f>
        <v>0.12747681917364492</v>
      </c>
      <c r="DZ209" s="1933">
        <f>+AVERAGE($DW$205:$ET205)</f>
        <v>0.12747681917364492</v>
      </c>
      <c r="EA209" s="1933">
        <f>+AVERAGE($DW$205:$ET205)</f>
        <v>0.12747681917364492</v>
      </c>
      <c r="EB209" s="1933">
        <f>+AVERAGE($DW$205:$ET205)</f>
        <v>0.12747681917364492</v>
      </c>
      <c r="EC209" s="1933">
        <f>+AVERAGE($DW$205:$ET205)</f>
        <v>0.12747681917364492</v>
      </c>
      <c r="ED209" s="1933">
        <f>+AVERAGE($DW$205:$ET205)</f>
        <v>0.12747681917364492</v>
      </c>
      <c r="EE209" s="1933">
        <f>+AVERAGE($DW$205:$ET205)</f>
        <v>0.12747681917364492</v>
      </c>
      <c r="EF209" s="1933">
        <f>+AVERAGE($DW$205:$ET205)</f>
        <v>0.12747681917364492</v>
      </c>
      <c r="EG209" s="1933">
        <f>+AVERAGE($DW$205:$ET205)</f>
        <v>0.12747681917364492</v>
      </c>
      <c r="EH209" s="1933">
        <f>+AVERAGE($DW$205:$ET205)</f>
        <v>0.12747681917364492</v>
      </c>
      <c r="EI209" s="1933">
        <f>+AVERAGE($DW$205:$ET205)</f>
        <v>0.12747681917364492</v>
      </c>
      <c r="EJ209" s="1933">
        <f>+AVERAGE($DW$205:$ET205)</f>
        <v>0.12747681917364492</v>
      </c>
      <c r="EK209" s="1933">
        <f>+AVERAGE($DW$205:$ET205)</f>
        <v>0.12747681917364492</v>
      </c>
      <c r="EL209" s="1933">
        <f>+AVERAGE($DW$205:$ET205)</f>
        <v>0.12747681917364492</v>
      </c>
      <c r="EM209" s="1933">
        <f>+AVERAGE($DW$205:$ET205)</f>
        <v>0.12747681917364492</v>
      </c>
      <c r="EN209" s="1933">
        <f>+AVERAGE($DW$205:$ET205)</f>
        <v>0.12747681917364492</v>
      </c>
      <c r="EO209" s="1933">
        <f>+AVERAGE($DW$205:$ET205)</f>
        <v>0.12747681917364492</v>
      </c>
      <c r="EP209" s="1933">
        <f>+AVERAGE($DW$205:$ET205)</f>
        <v>0.12747681917364492</v>
      </c>
      <c r="EQ209" s="1933">
        <f>+AVERAGE($DW$205:$ET205)</f>
        <v>0.12747681917364492</v>
      </c>
      <c r="ER209" s="1933">
        <f>+AVERAGE($DW$205:$ET205)</f>
        <v>0.12747681917364492</v>
      </c>
      <c r="ES209" s="1933">
        <f>+AVERAGE($DW$205:$ET205)</f>
        <v>0.12747681917364492</v>
      </c>
      <c r="ET209" s="1933">
        <f>+AVERAGE($DW$205:$ET205)</f>
        <v>0.12747681917364492</v>
      </c>
    </row>
    <row r="210" spans="1:150">
      <c r="A210" s="1595" t="s">
        <v>428</v>
      </c>
      <c r="B210" s="1008"/>
      <c r="C210" s="193"/>
      <c r="D210" s="1008"/>
      <c r="E210" s="1008"/>
      <c r="F210" s="1008"/>
      <c r="G210" s="1009"/>
      <c r="H210" s="1008"/>
      <c r="I210" s="1332">
        <f>I209/C209-1</f>
        <v>2.7012127894156635E-2</v>
      </c>
      <c r="J210" s="1333">
        <f>J209/D209-1</f>
        <v>0.13547567884352407</v>
      </c>
      <c r="K210" s="1333">
        <f>K209/E209-1</f>
        <v>0.32741353985845922</v>
      </c>
      <c r="L210" s="1333">
        <f>L209/F209-1</f>
        <v>-0.29576116285142307</v>
      </c>
      <c r="M210" s="1334">
        <f>M209/G209-1</f>
        <v>1.8329177057356594E-2</v>
      </c>
      <c r="N210" s="1008"/>
      <c r="O210" s="1332">
        <f>O209/I209-1</f>
        <v>-0.14492753623188415</v>
      </c>
      <c r="P210" s="1333">
        <f>P209/J209-1</f>
        <v>-0.27406451612903227</v>
      </c>
      <c r="Q210" s="1333">
        <f>Q209/K209-1</f>
        <v>-0.18981993763202898</v>
      </c>
      <c r="R210" s="1333">
        <f>R209/L209-1</f>
        <v>0.61080212581881099</v>
      </c>
      <c r="S210" s="1334">
        <f>S209/M209-1</f>
        <v>-4.2879882453777385E-2</v>
      </c>
      <c r="T210" s="1008"/>
      <c r="U210" s="1332">
        <f>U209/O209-1</f>
        <v>0.93052939945595337</v>
      </c>
      <c r="V210" s="1333">
        <f>V209/P209-1</f>
        <v>0.59556819528380145</v>
      </c>
      <c r="W210" s="1333">
        <f>W209/Q209-1</f>
        <v>0.56953066799106034</v>
      </c>
      <c r="X210" s="1333">
        <f>X209/R209-1</f>
        <v>0.20256272538939624</v>
      </c>
      <c r="Y210" s="1334">
        <f>Y209/S209-1</f>
        <v>0.54106539760515804</v>
      </c>
      <c r="Z210" s="1008"/>
      <c r="AA210" s="1332">
        <f>AA209/U209-1</f>
        <v>-0.14383264686754826</v>
      </c>
      <c r="AB210" s="1333">
        <f>AB209/V209-1</f>
        <v>0.30553286297809135</v>
      </c>
      <c r="AC210" s="1333">
        <f>AC209/W209-1</f>
        <v>0.20267383909500825</v>
      </c>
      <c r="AD210" s="1333">
        <f>AD209/X209-1</f>
        <v>0.25534358450839023</v>
      </c>
      <c r="AE210" s="1334">
        <f>AE209/Y209-1</f>
        <v>0.13322043465989264</v>
      </c>
      <c r="AF210" s="1008"/>
      <c r="AG210" s="1394">
        <f>AG209/AA209-1</f>
        <v>8.4567666793264884E-2</v>
      </c>
      <c r="AH210" s="1395">
        <f>AH209/AB209-1</f>
        <v>0.23829569372546788</v>
      </c>
      <c r="AI210" s="1395">
        <f>AI209/AC209-1</f>
        <v>0.54285338420048679</v>
      </c>
      <c r="AJ210" s="1395">
        <f>AJ209/AD209-1</f>
        <v>0.54165184243964415</v>
      </c>
      <c r="AK210" s="1396">
        <f>AK209/AE209-1</f>
        <v>0.35799575122701643</v>
      </c>
      <c r="AL210" s="1384"/>
      <c r="AM210" s="1394">
        <f>+AM209/AG209-1</f>
        <v>1.004085444146122</v>
      </c>
      <c r="AN210" s="1395">
        <f>+AN209/AH209-1</f>
        <v>0.33668687982359558</v>
      </c>
      <c r="AO210" s="1395">
        <f>+AO209/AI209-1</f>
        <v>0.4366047066848564</v>
      </c>
      <c r="AP210" s="1395">
        <f>+AP209/AJ209-1</f>
        <v>0.49808782803639695</v>
      </c>
      <c r="AQ210" s="1396">
        <f>AQ209/AK209-1</f>
        <v>0.53815945625201933</v>
      </c>
      <c r="AR210" s="1384"/>
      <c r="AS210" s="1394">
        <f>+AS209/AM209-1</f>
        <v>0.44067796610170773</v>
      </c>
      <c r="AT210" s="1395">
        <f>+AT209/AN209-1</f>
        <v>0.48664810805237768</v>
      </c>
      <c r="AU210" s="1395">
        <f>+AU209/AO209-1</f>
        <v>0.41608415427980261</v>
      </c>
      <c r="AV210" s="1395">
        <f>+AV209/AP209-1</f>
        <v>-0.10719225196310622</v>
      </c>
      <c r="AW210" s="1396">
        <f>AW209/AQ209-1</f>
        <v>0.2696319881713336</v>
      </c>
      <c r="AX210" s="1384"/>
      <c r="AY210" s="1394">
        <f>+AY209/AS209-1</f>
        <v>0.26339195472003385</v>
      </c>
      <c r="AZ210" s="1395">
        <f>+AZ209/AT209-1</f>
        <v>0.35238227338927564</v>
      </c>
      <c r="BA210" s="1395">
        <f>+BA209/AU209-1</f>
        <v>0.13584477737387912</v>
      </c>
      <c r="BB210" s="1395">
        <f>+BB209/AV209-1</f>
        <v>0.69628750432616249</v>
      </c>
      <c r="BC210" s="1396">
        <f>+BC209/AW209-1</f>
        <v>0.34805616135496642</v>
      </c>
      <c r="BD210" s="1384"/>
      <c r="BE210" s="2688">
        <v>0.02</v>
      </c>
      <c r="BF210" s="2689">
        <v>0.18800392022016016</v>
      </c>
      <c r="BG210" s="2689">
        <v>0.36499999999999999</v>
      </c>
      <c r="BH210" s="2689">
        <v>9.4E-2</v>
      </c>
      <c r="BI210" s="1396">
        <f>+BI209/BC209-1</f>
        <v>0.15777600467540931</v>
      </c>
      <c r="BJ210" s="1384"/>
      <c r="BK210" s="2688">
        <v>0.36</v>
      </c>
      <c r="BL210" s="2740">
        <v>0.42</v>
      </c>
      <c r="BM210" s="2740">
        <v>0.33</v>
      </c>
      <c r="BN210" s="2740">
        <v>0.35499999999999998</v>
      </c>
      <c r="BO210" s="1396">
        <f>+BO209/BI209-1</f>
        <v>0.36557125630561815</v>
      </c>
      <c r="BP210" s="1384"/>
      <c r="BQ210" s="3033">
        <v>0.44</v>
      </c>
      <c r="BR210" s="2135">
        <f>+BQ210</f>
        <v>0.44</v>
      </c>
      <c r="BS210" s="2135">
        <f>+BR210</f>
        <v>0.44</v>
      </c>
      <c r="BT210" s="2135">
        <f>+BS210</f>
        <v>0.44</v>
      </c>
      <c r="BU210" s="1396">
        <f>+BU209/BO209-1</f>
        <v>0.43999999999999972</v>
      </c>
      <c r="BV210" s="1384"/>
      <c r="BW210" s="2134">
        <v>0.18</v>
      </c>
      <c r="BX210" s="2135">
        <f>+BW210</f>
        <v>0.18</v>
      </c>
      <c r="BY210" s="2135">
        <f>+BX210</f>
        <v>0.18</v>
      </c>
      <c r="BZ210" s="2135">
        <f>+BY210</f>
        <v>0.18</v>
      </c>
      <c r="CA210" s="1396">
        <f t="shared" ref="CA210" si="701">+CA209/BU209-1</f>
        <v>0.17999999999999994</v>
      </c>
      <c r="CB210" s="1384"/>
      <c r="CC210" s="2134">
        <f>+BZ210</f>
        <v>0.18</v>
      </c>
      <c r="CD210" s="2135">
        <f>+CC210</f>
        <v>0.18</v>
      </c>
      <c r="CE210" s="2135">
        <f>+CD210</f>
        <v>0.18</v>
      </c>
      <c r="CF210" s="2135">
        <f>+CE210</f>
        <v>0.18</v>
      </c>
      <c r="CG210" s="1396">
        <f t="shared" ref="CG210" si="702">+CG209/CA209-1</f>
        <v>0.17999999999999994</v>
      </c>
      <c r="CH210" s="1384"/>
      <c r="CI210" s="2134">
        <f>+CF210</f>
        <v>0.18</v>
      </c>
      <c r="CJ210" s="2135">
        <f>+CI210</f>
        <v>0.18</v>
      </c>
      <c r="CK210" s="2135">
        <f>+CJ210</f>
        <v>0.18</v>
      </c>
      <c r="CL210" s="2135">
        <f>+CK210</f>
        <v>0.18</v>
      </c>
      <c r="CM210" s="1396">
        <f t="shared" ref="CM210" si="703">+CM209/CG209-1</f>
        <v>0.17999999999999994</v>
      </c>
      <c r="CN210" s="1384"/>
      <c r="CO210" s="2134">
        <f>+CL210</f>
        <v>0.18</v>
      </c>
      <c r="CP210" s="2135">
        <f>+CO210</f>
        <v>0.18</v>
      </c>
      <c r="CQ210" s="2135">
        <f>+CP210</f>
        <v>0.18</v>
      </c>
      <c r="CR210" s="2135">
        <f>+CQ210</f>
        <v>0.18</v>
      </c>
      <c r="CS210" s="1396">
        <f t="shared" ref="CS210" si="704">+CS209/CM209-1</f>
        <v>0.17999999999999994</v>
      </c>
      <c r="CT210" s="187"/>
      <c r="CU210" s="187"/>
      <c r="CV210" s="187"/>
      <c r="CW210" s="187"/>
      <c r="CX210" s="187"/>
      <c r="CY210" s="187"/>
      <c r="CZ210" s="187"/>
      <c r="DA210" s="187"/>
      <c r="DB210" s="187"/>
      <c r="DC210" s="187"/>
      <c r="DD210" s="187"/>
      <c r="DE210" s="187"/>
      <c r="DF210" s="187"/>
      <c r="DG210" s="187"/>
      <c r="DH210" s="187"/>
      <c r="DI210" s="187"/>
      <c r="DJ210" s="187"/>
      <c r="DK210" s="187"/>
      <c r="DL210" s="187"/>
      <c r="DM210" s="187"/>
      <c r="DN210" s="187"/>
      <c r="DO210" s="187"/>
      <c r="DP210" s="187"/>
      <c r="DQ210" s="187"/>
      <c r="DR210" s="187"/>
      <c r="DS210" s="187"/>
      <c r="DT210" s="187"/>
    </row>
    <row r="211" spans="1:150">
      <c r="A211" s="2851" t="s">
        <v>844</v>
      </c>
      <c r="B211" s="205"/>
      <c r="C211" s="750"/>
      <c r="D211" s="205"/>
      <c r="E211" s="205"/>
      <c r="F211" s="205"/>
      <c r="G211" s="191"/>
      <c r="H211" s="205"/>
      <c r="I211" s="2848"/>
      <c r="J211" s="1330"/>
      <c r="K211" s="1330"/>
      <c r="L211" s="1330"/>
      <c r="M211" s="1335"/>
      <c r="N211" s="205"/>
      <c r="O211" s="2848"/>
      <c r="P211" s="1330"/>
      <c r="Q211" s="1330"/>
      <c r="R211" s="1330"/>
      <c r="S211" s="1335"/>
      <c r="T211" s="205"/>
      <c r="U211" s="2848"/>
      <c r="V211" s="1330"/>
      <c r="W211" s="1330"/>
      <c r="X211" s="1330"/>
      <c r="Y211" s="1335"/>
      <c r="Z211" s="205"/>
      <c r="AA211" s="2848"/>
      <c r="AB211" s="1330"/>
      <c r="AC211" s="1330"/>
      <c r="AD211" s="1330"/>
      <c r="AE211" s="1335"/>
      <c r="AF211" s="205"/>
      <c r="AG211" s="1392"/>
      <c r="AH211" s="154"/>
      <c r="AI211" s="154"/>
      <c r="AJ211" s="154"/>
      <c r="AK211" s="1393"/>
      <c r="AL211" s="9"/>
      <c r="AM211" s="1392"/>
      <c r="AN211" s="154"/>
      <c r="AO211" s="154"/>
      <c r="AP211" s="154"/>
      <c r="AQ211" s="1393"/>
      <c r="AR211" s="9"/>
      <c r="AS211" s="1392"/>
      <c r="AT211" s="154"/>
      <c r="AU211" s="154"/>
      <c r="AV211" s="154"/>
      <c r="AW211" s="1393"/>
      <c r="AX211" s="9"/>
      <c r="AY211" s="2852">
        <v>65.400000000000006</v>
      </c>
      <c r="AZ211" s="2853">
        <v>62.4</v>
      </c>
      <c r="BA211" s="2853">
        <v>65</v>
      </c>
      <c r="BB211" s="2853">
        <v>78</v>
      </c>
      <c r="BC211" s="1424">
        <f>+SUM(AY211:BB211)</f>
        <v>270.8</v>
      </c>
      <c r="BD211" s="9"/>
      <c r="BE211" s="2852">
        <v>69.400000000000006</v>
      </c>
      <c r="BF211" s="2853">
        <v>68.400000000000006</v>
      </c>
      <c r="BG211" s="2853">
        <v>68</v>
      </c>
      <c r="BH211" s="2853">
        <v>71</v>
      </c>
      <c r="BI211" s="1424">
        <f t="shared" ref="BI211" si="705">+SUM(BE211:BH211)</f>
        <v>276.8</v>
      </c>
      <c r="BJ211" s="9"/>
      <c r="BK211" s="2852">
        <v>78</v>
      </c>
      <c r="BL211" s="2853">
        <v>77</v>
      </c>
      <c r="BM211" s="2853">
        <v>80</v>
      </c>
      <c r="BN211" s="2853">
        <v>87</v>
      </c>
      <c r="BO211" s="1424">
        <f t="shared" ref="BO211" si="706">+SUM(BK211:BN211)</f>
        <v>322</v>
      </c>
      <c r="BP211" s="9"/>
      <c r="BQ211" s="2852">
        <v>96</v>
      </c>
      <c r="BR211" s="1423">
        <f t="shared" ref="BR211:BT211" si="707">+BL211*(1+BR212)</f>
        <v>93.94</v>
      </c>
      <c r="BS211" s="1423">
        <f t="shared" si="707"/>
        <v>98.4</v>
      </c>
      <c r="BT211" s="1423">
        <f t="shared" si="707"/>
        <v>107.01</v>
      </c>
      <c r="BU211" s="1424">
        <f t="shared" ref="BU211" si="708">+SUM(BQ211:BT211)</f>
        <v>395.35</v>
      </c>
      <c r="BV211" s="9"/>
      <c r="BW211" s="1425">
        <f t="shared" ref="BW211" si="709">+BQ211*(1+BW212)</f>
        <v>117.19384615384615</v>
      </c>
      <c r="BX211" s="1423">
        <f t="shared" ref="BX211" si="710">+BR211*(1+BX212)</f>
        <v>114.67906153846154</v>
      </c>
      <c r="BY211" s="1423">
        <f t="shared" ref="BY211" si="711">+BS211*(1+BY212)</f>
        <v>120.12369230769232</v>
      </c>
      <c r="BZ211" s="1423">
        <f t="shared" ref="BZ211" si="712">+BT211*(1+BZ212)</f>
        <v>130.63451538461538</v>
      </c>
      <c r="CA211" s="1424">
        <f t="shared" ref="CA211" si="713">+SUM(BW211:BZ211)</f>
        <v>482.63111538461544</v>
      </c>
      <c r="CB211" s="9"/>
      <c r="CC211" s="1425">
        <f t="shared" ref="CC211" si="714">+BW211*(1+CC212)</f>
        <v>141.8947029585799</v>
      </c>
      <c r="CD211" s="1423">
        <f t="shared" ref="CD211" si="715">+BX211*(1+CD212)</f>
        <v>138.84987912426035</v>
      </c>
      <c r="CE211" s="1423">
        <f t="shared" ref="CE211" si="716">+BY211*(1+CE212)</f>
        <v>145.44207053254439</v>
      </c>
      <c r="CF211" s="1423">
        <f t="shared" ref="CF211" si="717">+BZ211*(1+CF212)</f>
        <v>158.16825170414202</v>
      </c>
      <c r="CG211" s="1424">
        <f t="shared" ref="CG211" si="718">+SUM(CC211:CF211)</f>
        <v>584.35490431952667</v>
      </c>
      <c r="CH211" s="9"/>
      <c r="CI211" s="1425">
        <f t="shared" ref="CI211" si="719">+CC211*(1+CI212)</f>
        <v>170.3827933218025</v>
      </c>
      <c r="CJ211" s="1423">
        <f t="shared" ref="CJ211" si="720">+CD211*(1+CJ212)</f>
        <v>166.72666254843878</v>
      </c>
      <c r="CK211" s="1423">
        <f t="shared" ref="CK211" si="721">+CE211*(1+CK212)</f>
        <v>174.64236315484754</v>
      </c>
      <c r="CL211" s="1423">
        <f t="shared" ref="CL211" si="722">+CF211*(1+CL212)</f>
        <v>189.92356993089669</v>
      </c>
      <c r="CM211" s="1424">
        <f t="shared" ref="CM211" si="723">+SUM(CI211:CL211)</f>
        <v>701.67538895598545</v>
      </c>
      <c r="CN211" s="9"/>
      <c r="CO211" s="1425">
        <f t="shared" ref="CO211" si="724">+CI211*(1+CO212)</f>
        <v>202.8865877401156</v>
      </c>
      <c r="CP211" s="1423">
        <f t="shared" ref="CP211" si="725">+CJ211*(1+CP212)</f>
        <v>198.53297971152557</v>
      </c>
      <c r="CQ211" s="1423">
        <f t="shared" ref="CQ211" si="726">+CK211*(1+CQ212)</f>
        <v>207.95875243361846</v>
      </c>
      <c r="CR211" s="1423">
        <f t="shared" ref="CR211" si="727">+CL211*(1+CR212)</f>
        <v>226.15514327156006</v>
      </c>
      <c r="CS211" s="1424">
        <f t="shared" ref="CS211" si="728">+SUM(CO211:CR211)</f>
        <v>835.53346315681972</v>
      </c>
      <c r="CT211" s="187"/>
      <c r="CU211" s="187"/>
      <c r="CV211" s="187"/>
      <c r="CW211" s="187"/>
      <c r="CX211" s="187"/>
      <c r="CY211" s="187"/>
      <c r="CZ211" s="187"/>
      <c r="DA211" s="187"/>
      <c r="DB211" s="187"/>
      <c r="DC211" s="187"/>
      <c r="DD211" s="187"/>
      <c r="DE211" s="187"/>
      <c r="DF211" s="187"/>
      <c r="DG211" s="187"/>
      <c r="DH211" s="187"/>
      <c r="DI211" s="187"/>
      <c r="DJ211" s="187"/>
      <c r="DK211" s="187"/>
      <c r="DL211" s="187"/>
      <c r="DM211" s="187"/>
      <c r="DN211" s="187"/>
      <c r="DO211" s="187"/>
      <c r="DP211" s="187"/>
      <c r="DQ211" s="187"/>
      <c r="DR211" s="187"/>
      <c r="DS211" s="187"/>
      <c r="DT211" s="187"/>
    </row>
    <row r="212" spans="1:150">
      <c r="A212" s="2847" t="s">
        <v>428</v>
      </c>
      <c r="B212" s="205"/>
      <c r="C212" s="750"/>
      <c r="D212" s="205"/>
      <c r="E212" s="205"/>
      <c r="F212" s="205"/>
      <c r="G212" s="191"/>
      <c r="H212" s="205"/>
      <c r="I212" s="2848"/>
      <c r="J212" s="1330"/>
      <c r="K212" s="1330"/>
      <c r="L212" s="1330"/>
      <c r="M212" s="1335"/>
      <c r="N212" s="205"/>
      <c r="O212" s="2848"/>
      <c r="P212" s="1330"/>
      <c r="Q212" s="1330"/>
      <c r="R212" s="1330"/>
      <c r="S212" s="1335"/>
      <c r="T212" s="205"/>
      <c r="U212" s="2848"/>
      <c r="V212" s="1330"/>
      <c r="W212" s="1330"/>
      <c r="X212" s="1330"/>
      <c r="Y212" s="1335"/>
      <c r="Z212" s="205"/>
      <c r="AA212" s="2848"/>
      <c r="AB212" s="1330"/>
      <c r="AC212" s="1330"/>
      <c r="AD212" s="1330"/>
      <c r="AE212" s="1335"/>
      <c r="AF212" s="205"/>
      <c r="AG212" s="1392"/>
      <c r="AH212" s="154"/>
      <c r="AI212" s="154"/>
      <c r="AJ212" s="154"/>
      <c r="AK212" s="1393"/>
      <c r="AL212" s="9"/>
      <c r="AM212" s="1392"/>
      <c r="AN212" s="154"/>
      <c r="AO212" s="154"/>
      <c r="AP212" s="154"/>
      <c r="AQ212" s="1393"/>
      <c r="AR212" s="9"/>
      <c r="AS212" s="1392"/>
      <c r="AT212" s="154"/>
      <c r="AU212" s="154"/>
      <c r="AV212" s="154"/>
      <c r="AW212" s="1393"/>
      <c r="AX212" s="9"/>
      <c r="AY212" s="1392"/>
      <c r="AZ212" s="154"/>
      <c r="BA212" s="154"/>
      <c r="BB212" s="154"/>
      <c r="BC212" s="1393"/>
      <c r="BD212" s="9"/>
      <c r="BE212" s="1392">
        <f>+BE211/AY211-1</f>
        <v>6.1162079510703293E-2</v>
      </c>
      <c r="BF212" s="154">
        <f t="shared" ref="BF212" si="729">+BF211/AZ211-1</f>
        <v>9.6153846153846256E-2</v>
      </c>
      <c r="BG212" s="154">
        <f t="shared" ref="BG212" si="730">+BG211/BA211-1</f>
        <v>4.6153846153846212E-2</v>
      </c>
      <c r="BH212" s="154">
        <f t="shared" ref="BH212" si="731">+BH211/BB211-1</f>
        <v>-8.9743589743589758E-2</v>
      </c>
      <c r="BI212" s="1393">
        <f t="shared" ref="BF212:BI215" si="732">+BI211/BC211-1</f>
        <v>2.215657311669128E-2</v>
      </c>
      <c r="BJ212" s="9"/>
      <c r="BK212" s="1392">
        <f>+BK211/BE211-1</f>
        <v>0.12391930835734866</v>
      </c>
      <c r="BL212" s="154">
        <f t="shared" ref="BL212" si="733">+BL211/BF211-1</f>
        <v>0.12573099415204658</v>
      </c>
      <c r="BM212" s="154">
        <f t="shared" ref="BM212:BN212" si="734">+BM211/BG211-1</f>
        <v>0.17647058823529416</v>
      </c>
      <c r="BN212" s="154">
        <f t="shared" si="734"/>
        <v>0.22535211267605626</v>
      </c>
      <c r="BO212" s="1393">
        <f t="shared" ref="BO212" si="735">+BO211/BI211-1</f>
        <v>0.16329479768786115</v>
      </c>
      <c r="BP212" s="9"/>
      <c r="BQ212" s="1392">
        <f>+BQ211/BK211-1</f>
        <v>0.23076923076923084</v>
      </c>
      <c r="BR212" s="2854">
        <v>0.22</v>
      </c>
      <c r="BS212" s="2854">
        <v>0.23</v>
      </c>
      <c r="BT212" s="2854">
        <f>+BS212</f>
        <v>0.23</v>
      </c>
      <c r="BU212" s="1393">
        <f t="shared" ref="BU212" si="736">+BU211/BO211-1</f>
        <v>0.22779503105590071</v>
      </c>
      <c r="BV212" s="9"/>
      <c r="BW212" s="2970">
        <f>+BQ212-1%</f>
        <v>0.22076923076923083</v>
      </c>
      <c r="BX212" s="2854">
        <f>+BW212</f>
        <v>0.22076923076923083</v>
      </c>
      <c r="BY212" s="2854">
        <f>+BX212</f>
        <v>0.22076923076923083</v>
      </c>
      <c r="BZ212" s="2854">
        <f>+BY212</f>
        <v>0.22076923076923083</v>
      </c>
      <c r="CA212" s="1393">
        <f t="shared" ref="CA212" si="737">+CA211/BU211-1</f>
        <v>0.22076923076923083</v>
      </c>
      <c r="CB212" s="9"/>
      <c r="CC212" s="2970">
        <f t="shared" ref="CC212" si="738">+BW212-1%</f>
        <v>0.21076923076923082</v>
      </c>
      <c r="CD212" s="2854">
        <f t="shared" ref="CD212:CF212" si="739">+CC212</f>
        <v>0.21076923076923082</v>
      </c>
      <c r="CE212" s="2854">
        <f t="shared" si="739"/>
        <v>0.21076923076923082</v>
      </c>
      <c r="CF212" s="2854">
        <f t="shared" si="739"/>
        <v>0.21076923076923082</v>
      </c>
      <c r="CG212" s="1393">
        <f t="shared" ref="CG212" si="740">+CG211/CA211-1</f>
        <v>0.21076923076923082</v>
      </c>
      <c r="CH212" s="9"/>
      <c r="CI212" s="2970">
        <f t="shared" ref="CI212" si="741">+CC212-1%</f>
        <v>0.20076923076923081</v>
      </c>
      <c r="CJ212" s="2854">
        <f t="shared" ref="CJ212" si="742">+CI212</f>
        <v>0.20076923076923081</v>
      </c>
      <c r="CK212" s="2854">
        <f t="shared" ref="CK212" si="743">+CJ212</f>
        <v>0.20076923076923081</v>
      </c>
      <c r="CL212" s="2854">
        <f t="shared" ref="CL212" si="744">+CK212</f>
        <v>0.20076923076923081</v>
      </c>
      <c r="CM212" s="1393">
        <f t="shared" ref="CM212" si="745">+CM211/CG211-1</f>
        <v>0.20076923076923081</v>
      </c>
      <c r="CN212" s="9"/>
      <c r="CO212" s="2970">
        <f t="shared" ref="CO212" si="746">+CI212-1%</f>
        <v>0.1907692307692308</v>
      </c>
      <c r="CP212" s="2854">
        <f t="shared" ref="CP212" si="747">+CO212</f>
        <v>0.1907692307692308</v>
      </c>
      <c r="CQ212" s="2854">
        <f t="shared" ref="CQ212" si="748">+CP212</f>
        <v>0.1907692307692308</v>
      </c>
      <c r="CR212" s="2854">
        <f t="shared" ref="CR212" si="749">+CQ212</f>
        <v>0.1907692307692308</v>
      </c>
      <c r="CS212" s="1393">
        <f t="shared" ref="CS212" si="750">+CS211/CM211-1</f>
        <v>0.19076923076923102</v>
      </c>
      <c r="CT212" s="187"/>
      <c r="CU212" s="187"/>
      <c r="CV212" s="187"/>
      <c r="CW212" s="187"/>
      <c r="CX212" s="187"/>
      <c r="CY212" s="187"/>
      <c r="CZ212" s="187"/>
      <c r="DA212" s="187"/>
      <c r="DB212" s="187"/>
      <c r="DC212" s="187"/>
      <c r="DD212" s="187"/>
      <c r="DE212" s="187"/>
      <c r="DF212" s="187"/>
      <c r="DG212" s="187"/>
      <c r="DH212" s="187"/>
      <c r="DI212" s="187"/>
      <c r="DJ212" s="187"/>
      <c r="DK212" s="187"/>
      <c r="DL212" s="187"/>
      <c r="DM212" s="187"/>
      <c r="DN212" s="187"/>
      <c r="DO212" s="187"/>
      <c r="DP212" s="187"/>
      <c r="DQ212" s="187"/>
      <c r="DR212" s="187"/>
      <c r="DS212" s="187"/>
      <c r="DT212" s="187"/>
    </row>
    <row r="213" spans="1:150">
      <c r="A213" s="2940" t="s">
        <v>845</v>
      </c>
      <c r="B213" s="205"/>
      <c r="C213" s="2932"/>
      <c r="D213" s="205"/>
      <c r="E213" s="205"/>
      <c r="F213" s="205"/>
      <c r="G213" s="2933"/>
      <c r="H213" s="205"/>
      <c r="I213" s="2934"/>
      <c r="J213" s="1330"/>
      <c r="K213" s="1330"/>
      <c r="L213" s="1330"/>
      <c r="M213" s="2935"/>
      <c r="N213" s="205"/>
      <c r="O213" s="2934"/>
      <c r="P213" s="1330"/>
      <c r="Q213" s="1330"/>
      <c r="R213" s="1330"/>
      <c r="S213" s="2935"/>
      <c r="T213" s="205"/>
      <c r="U213" s="2934"/>
      <c r="V213" s="1330"/>
      <c r="W213" s="1330"/>
      <c r="X213" s="1330"/>
      <c r="Y213" s="2935"/>
      <c r="Z213" s="205"/>
      <c r="AA213" s="2934"/>
      <c r="AB213" s="1330"/>
      <c r="AC213" s="1330"/>
      <c r="AD213" s="1330"/>
      <c r="AE213" s="2935"/>
      <c r="AF213" s="205"/>
      <c r="AG213" s="2936"/>
      <c r="AH213" s="154"/>
      <c r="AI213" s="154"/>
      <c r="AJ213" s="154"/>
      <c r="AK213" s="2937"/>
      <c r="AL213" s="9"/>
      <c r="AM213" s="2936"/>
      <c r="AN213" s="154"/>
      <c r="AO213" s="154"/>
      <c r="AP213" s="154"/>
      <c r="AQ213" s="2937"/>
      <c r="AR213" s="9"/>
      <c r="AS213" s="2936"/>
      <c r="AT213" s="154"/>
      <c r="AU213" s="154"/>
      <c r="AV213" s="154"/>
      <c r="AW213" s="2937"/>
      <c r="AX213" s="9"/>
      <c r="AY213" s="2936">
        <f>+AY211/AY$207</f>
        <v>0.83002823872830556</v>
      </c>
      <c r="AZ213" s="154">
        <f t="shared" ref="AZ213:BC213" si="751">+AZ211/AZ$207</f>
        <v>0.81491216121887866</v>
      </c>
      <c r="BA213" s="154">
        <f t="shared" si="751"/>
        <v>0.82629919658293505</v>
      </c>
      <c r="BB213" s="154">
        <f t="shared" si="751"/>
        <v>0.83310191613440709</v>
      </c>
      <c r="BC213" s="2937">
        <f t="shared" si="751"/>
        <v>0.8264786421651763</v>
      </c>
      <c r="BD213" s="9"/>
      <c r="BE213" s="2936">
        <f>+BE211/BE$207</f>
        <v>0.77951006135903911</v>
      </c>
      <c r="BF213" s="154">
        <f t="shared" ref="BF213:BI213" si="752">+BF211/BF$207</f>
        <v>0.75870831981377829</v>
      </c>
      <c r="BG213" s="154">
        <f t="shared" si="752"/>
        <v>0.73205663850939307</v>
      </c>
      <c r="BH213" s="154">
        <f t="shared" si="752"/>
        <v>0.75753356177955289</v>
      </c>
      <c r="BI213" s="2937">
        <f t="shared" si="752"/>
        <v>0.75670238258281808</v>
      </c>
      <c r="BJ213" s="9"/>
      <c r="BK213" s="2936">
        <f>+BK211/BK$207</f>
        <v>0.72806817569724891</v>
      </c>
      <c r="BL213" s="154">
        <f t="shared" ref="BL213:BO213" si="753">+BL211/BL$207</f>
        <v>0.64811533647624331</v>
      </c>
      <c r="BM213" s="154">
        <f t="shared" si="753"/>
        <v>0.67736784816010487</v>
      </c>
      <c r="BN213" s="154">
        <f t="shared" si="753"/>
        <v>0.73210049525385157</v>
      </c>
      <c r="BO213" s="2937">
        <f t="shared" si="753"/>
        <v>0.69564586040385601</v>
      </c>
      <c r="BP213" s="9"/>
      <c r="BQ213" s="2936">
        <f>+BQ211/BQ$207</f>
        <v>0.62337662337662336</v>
      </c>
      <c r="BR213" s="154">
        <f t="shared" ref="BR213:BU213" si="754">+BR211/BR$207</f>
        <v>0.61503208065994497</v>
      </c>
      <c r="BS213" s="154">
        <f t="shared" si="754"/>
        <v>0.64104234527687298</v>
      </c>
      <c r="BT213" s="154">
        <f t="shared" si="754"/>
        <v>0.65008201202843086</v>
      </c>
      <c r="BU213" s="2937">
        <f t="shared" si="754"/>
        <v>0.63271185084420267</v>
      </c>
      <c r="BV213" s="9"/>
      <c r="BW213" s="2936">
        <f t="shared" ref="BW213:CA213" si="755">+BW211/BW$207</f>
        <v>0.59071311144886629</v>
      </c>
      <c r="BX213" s="154">
        <f t="shared" si="755"/>
        <v>0.58212998906125202</v>
      </c>
      <c r="BY213" s="154">
        <f t="shared" si="755"/>
        <v>0.60894983208731146</v>
      </c>
      <c r="BZ213" s="154">
        <f t="shared" si="755"/>
        <v>0.61831648339981449</v>
      </c>
      <c r="CA213" s="2937">
        <f t="shared" si="755"/>
        <v>0.60033889241084526</v>
      </c>
      <c r="CB213" s="9"/>
      <c r="CC213" s="2936">
        <f t="shared" ref="CC213:CG213" si="756">+CC211/CC$207</f>
        <v>0.57341687695598531</v>
      </c>
      <c r="CD213" s="154">
        <f t="shared" si="756"/>
        <v>0.56473830211342901</v>
      </c>
      <c r="CE213" s="154">
        <f t="shared" si="756"/>
        <v>0.59189183305215365</v>
      </c>
      <c r="CF213" s="154">
        <f t="shared" si="756"/>
        <v>0.60139962102420674</v>
      </c>
      <c r="CG213" s="2937">
        <f t="shared" si="756"/>
        <v>0.58316239302304829</v>
      </c>
      <c r="CH213" s="9"/>
      <c r="CI213" s="2936">
        <f t="shared" ref="CI213:CM213" si="757">+CI211/CI$207</f>
        <v>0.5735736205987596</v>
      </c>
      <c r="CJ213" s="154">
        <f t="shared" si="757"/>
        <v>0.56489581493311936</v>
      </c>
      <c r="CK213" s="154">
        <f t="shared" si="757"/>
        <v>0.59204661784392565</v>
      </c>
      <c r="CL213" s="154">
        <f t="shared" si="757"/>
        <v>0.60155322726659155</v>
      </c>
      <c r="CM213" s="2937">
        <f t="shared" si="757"/>
        <v>0.58331815788213714</v>
      </c>
      <c r="CN213" s="9"/>
      <c r="CO213" s="2936">
        <f t="shared" ref="CO213:CS213" si="758">+CO211/CO$207</f>
        <v>0.59284424204229336</v>
      </c>
      <c r="CP213" s="154">
        <f t="shared" si="758"/>
        <v>0.58427435873687561</v>
      </c>
      <c r="CQ213" s="154">
        <f t="shared" si="758"/>
        <v>0.61104852939357501</v>
      </c>
      <c r="CR213" s="154">
        <f t="shared" si="758"/>
        <v>0.6203962480525006</v>
      </c>
      <c r="CS213" s="2937">
        <f t="shared" si="758"/>
        <v>0.60245363319285372</v>
      </c>
      <c r="CT213" s="187"/>
      <c r="CU213" s="187"/>
      <c r="CV213" s="187"/>
      <c r="CW213" s="187"/>
      <c r="CX213" s="187"/>
      <c r="CY213" s="187"/>
      <c r="CZ213" s="187"/>
      <c r="DA213" s="187"/>
      <c r="DB213" s="187"/>
      <c r="DC213" s="187"/>
      <c r="DD213" s="187"/>
      <c r="DE213" s="187"/>
      <c r="DF213" s="187"/>
      <c r="DG213" s="187"/>
      <c r="DH213" s="187"/>
      <c r="DI213" s="187"/>
      <c r="DJ213" s="187"/>
      <c r="DK213" s="187"/>
      <c r="DL213" s="187"/>
      <c r="DM213" s="187"/>
      <c r="DN213" s="187"/>
      <c r="DO213" s="187"/>
      <c r="DP213" s="187"/>
      <c r="DQ213" s="187"/>
      <c r="DR213" s="187"/>
      <c r="DS213" s="187"/>
      <c r="DT213" s="187"/>
    </row>
    <row r="214" spans="1:150">
      <c r="A214" s="2931" t="s">
        <v>846</v>
      </c>
      <c r="B214" s="205"/>
      <c r="C214" s="2932"/>
      <c r="D214" s="205"/>
      <c r="E214" s="205"/>
      <c r="F214" s="205"/>
      <c r="G214" s="2933"/>
      <c r="H214" s="205"/>
      <c r="I214" s="2934"/>
      <c r="J214" s="1330"/>
      <c r="K214" s="1330"/>
      <c r="L214" s="1330"/>
      <c r="M214" s="2935"/>
      <c r="N214" s="205"/>
      <c r="O214" s="2934"/>
      <c r="P214" s="1330"/>
      <c r="Q214" s="1330"/>
      <c r="R214" s="1330"/>
      <c r="S214" s="2935"/>
      <c r="T214" s="205"/>
      <c r="U214" s="2934"/>
      <c r="V214" s="1330"/>
      <c r="W214" s="1330"/>
      <c r="X214" s="1330"/>
      <c r="Y214" s="2935"/>
      <c r="Z214" s="205"/>
      <c r="AA214" s="2934"/>
      <c r="AB214" s="1330"/>
      <c r="AC214" s="1330"/>
      <c r="AD214" s="1330"/>
      <c r="AE214" s="2935"/>
      <c r="AF214" s="205"/>
      <c r="AG214" s="2936"/>
      <c r="AH214" s="154"/>
      <c r="AI214" s="154"/>
      <c r="AJ214" s="154"/>
      <c r="AK214" s="2937"/>
      <c r="AL214" s="9"/>
      <c r="AM214" s="2936"/>
      <c r="AN214" s="154"/>
      <c r="AO214" s="154"/>
      <c r="AP214" s="154"/>
      <c r="AQ214" s="2937"/>
      <c r="AR214" s="9"/>
      <c r="AS214" s="2936"/>
      <c r="AT214" s="154"/>
      <c r="AU214" s="154"/>
      <c r="AV214" s="154"/>
      <c r="AW214" s="2937"/>
      <c r="AX214" s="9"/>
      <c r="AY214" s="2938">
        <v>13.6</v>
      </c>
      <c r="AZ214" s="2853">
        <v>14.6</v>
      </c>
      <c r="BA214" s="2853">
        <v>14</v>
      </c>
      <c r="BB214" s="2853">
        <v>16</v>
      </c>
      <c r="BC214" s="2939">
        <f>+SUM(AY214:BB214)</f>
        <v>58.2</v>
      </c>
      <c r="BD214" s="9"/>
      <c r="BE214" s="2938">
        <v>19.600000000000001</v>
      </c>
      <c r="BF214" s="2853">
        <v>21.6</v>
      </c>
      <c r="BG214" s="2853">
        <v>25</v>
      </c>
      <c r="BH214" s="2853">
        <v>23</v>
      </c>
      <c r="BI214" s="2939">
        <f t="shared" ref="BI214" si="759">+SUM(BE214:BH214)</f>
        <v>89.2</v>
      </c>
      <c r="BJ214" s="9"/>
      <c r="BK214" s="2938">
        <v>29</v>
      </c>
      <c r="BL214" s="2853">
        <v>42</v>
      </c>
      <c r="BM214" s="2853">
        <v>38</v>
      </c>
      <c r="BN214" s="2853">
        <v>32</v>
      </c>
      <c r="BO214" s="2939">
        <f t="shared" ref="BO214" si="760">+SUM(BK214:BN214)</f>
        <v>141</v>
      </c>
      <c r="BP214" s="9"/>
      <c r="BQ214" s="2938">
        <v>58</v>
      </c>
      <c r="BR214" s="1423">
        <f t="shared" ref="BR214" si="761">+BL214*(1+BR215)</f>
        <v>58.8</v>
      </c>
      <c r="BS214" s="1423">
        <f t="shared" ref="BS214" si="762">+BM214*(1+BS215)</f>
        <v>55.1</v>
      </c>
      <c r="BT214" s="1423">
        <f t="shared" ref="BT214" si="763">+BN214*(1+BT215)</f>
        <v>57.6</v>
      </c>
      <c r="BU214" s="2939">
        <f t="shared" ref="BU214" si="764">+SUM(BQ214:BT214)</f>
        <v>229.5</v>
      </c>
      <c r="BV214" s="9"/>
      <c r="BW214" s="1425">
        <f t="shared" ref="BW214" si="765">+BQ214*(1+BW215)</f>
        <v>81.199999999999989</v>
      </c>
      <c r="BX214" s="1423">
        <f t="shared" ref="BX214" si="766">+BR214*(1+BX215)</f>
        <v>82.32</v>
      </c>
      <c r="BY214" s="1423">
        <f t="shared" ref="BY214" si="767">+BS214*(1+BY215)</f>
        <v>77.14</v>
      </c>
      <c r="BZ214" s="1423">
        <f t="shared" ref="BZ214" si="768">+BT214*(1+BZ215)</f>
        <v>80.64</v>
      </c>
      <c r="CA214" s="2939">
        <f t="shared" ref="CA214" si="769">+SUM(BW214:BZ214)</f>
        <v>321.29999999999995</v>
      </c>
      <c r="CB214" s="9"/>
      <c r="CC214" s="1425">
        <f t="shared" ref="CC214" si="770">+BW214*(1+CC215)</f>
        <v>105.55999999999999</v>
      </c>
      <c r="CD214" s="1423">
        <f t="shared" ref="CD214" si="771">+BX214*(1+CD215)</f>
        <v>107.01599999999999</v>
      </c>
      <c r="CE214" s="1423">
        <f t="shared" ref="CE214" si="772">+BY214*(1+CE215)</f>
        <v>100.28200000000001</v>
      </c>
      <c r="CF214" s="1423">
        <f t="shared" ref="CF214" si="773">+BZ214*(1+CF215)</f>
        <v>104.83200000000001</v>
      </c>
      <c r="CG214" s="2939">
        <f t="shared" ref="CG214" si="774">+SUM(CC214:CF214)</f>
        <v>417.68999999999994</v>
      </c>
      <c r="CH214" s="9"/>
      <c r="CI214" s="1425">
        <f t="shared" ref="CI214" si="775">+CC214*(1+CI215)</f>
        <v>126.67199999999998</v>
      </c>
      <c r="CJ214" s="1423">
        <f t="shared" ref="CJ214" si="776">+CD214*(1+CJ215)</f>
        <v>128.41919999999999</v>
      </c>
      <c r="CK214" s="1423">
        <f t="shared" ref="CK214" si="777">+CE214*(1+CK215)</f>
        <v>120.33840000000001</v>
      </c>
      <c r="CL214" s="1423">
        <f t="shared" ref="CL214" si="778">+CF214*(1+CL215)</f>
        <v>125.7984</v>
      </c>
      <c r="CM214" s="2939">
        <f t="shared" ref="CM214" si="779">+SUM(CI214:CL214)</f>
        <v>501.22799999999995</v>
      </c>
      <c r="CN214" s="9"/>
      <c r="CO214" s="1425">
        <f t="shared" ref="CO214" si="780">+CI214*(1+CO215)</f>
        <v>139.33920000000001</v>
      </c>
      <c r="CP214" s="1423">
        <f t="shared" ref="CP214" si="781">+CJ214*(1+CP215)</f>
        <v>141.26112000000001</v>
      </c>
      <c r="CQ214" s="1423">
        <f t="shared" ref="CQ214" si="782">+CK214*(1+CQ215)</f>
        <v>132.37224000000001</v>
      </c>
      <c r="CR214" s="1423">
        <f t="shared" ref="CR214" si="783">+CL214*(1+CR215)</f>
        <v>138.37824000000001</v>
      </c>
      <c r="CS214" s="2939">
        <f t="shared" ref="CS214" si="784">+SUM(CO214:CR214)</f>
        <v>551.35080000000005</v>
      </c>
      <c r="CT214" s="187"/>
      <c r="CU214" s="187"/>
      <c r="CV214" s="187"/>
      <c r="CW214" s="187"/>
      <c r="CX214" s="187"/>
      <c r="CY214" s="187"/>
      <c r="CZ214" s="187"/>
      <c r="DA214" s="187"/>
      <c r="DB214" s="187"/>
      <c r="DC214" s="187"/>
      <c r="DD214" s="187"/>
      <c r="DE214" s="187"/>
      <c r="DF214" s="187"/>
      <c r="DG214" s="187"/>
      <c r="DH214" s="187"/>
      <c r="DI214" s="187"/>
      <c r="DJ214" s="187"/>
      <c r="DK214" s="187"/>
      <c r="DL214" s="187"/>
      <c r="DM214" s="187"/>
      <c r="DN214" s="187"/>
      <c r="DO214" s="187"/>
      <c r="DP214" s="187"/>
      <c r="DQ214" s="187"/>
      <c r="DR214" s="187"/>
      <c r="DS214" s="187"/>
      <c r="DT214" s="187"/>
    </row>
    <row r="215" spans="1:150">
      <c r="A215" s="2847" t="s">
        <v>428</v>
      </c>
      <c r="B215" s="205"/>
      <c r="C215" s="750"/>
      <c r="D215" s="205"/>
      <c r="E215" s="205"/>
      <c r="F215" s="205"/>
      <c r="G215" s="191"/>
      <c r="H215" s="205"/>
      <c r="I215" s="2848"/>
      <c r="J215" s="1330"/>
      <c r="K215" s="1330"/>
      <c r="L215" s="1330"/>
      <c r="M215" s="1335"/>
      <c r="N215" s="205"/>
      <c r="O215" s="2848"/>
      <c r="P215" s="1330"/>
      <c r="Q215" s="1330"/>
      <c r="R215" s="1330"/>
      <c r="S215" s="1335"/>
      <c r="T215" s="205"/>
      <c r="U215" s="2848"/>
      <c r="V215" s="1330"/>
      <c r="W215" s="1330"/>
      <c r="X215" s="1330"/>
      <c r="Y215" s="1335"/>
      <c r="Z215" s="205"/>
      <c r="AA215" s="2848"/>
      <c r="AB215" s="1330"/>
      <c r="AC215" s="1330"/>
      <c r="AD215" s="1330"/>
      <c r="AE215" s="1335"/>
      <c r="AF215" s="205"/>
      <c r="AG215" s="1392"/>
      <c r="AH215" s="154"/>
      <c r="AI215" s="154"/>
      <c r="AJ215" s="154"/>
      <c r="AK215" s="1393"/>
      <c r="AL215" s="9"/>
      <c r="AM215" s="1392"/>
      <c r="AN215" s="154"/>
      <c r="AO215" s="154"/>
      <c r="AP215" s="154"/>
      <c r="AQ215" s="1393"/>
      <c r="AR215" s="9"/>
      <c r="AS215" s="1392"/>
      <c r="AT215" s="154"/>
      <c r="AU215" s="154"/>
      <c r="AV215" s="154"/>
      <c r="AW215" s="1393"/>
      <c r="AX215" s="9"/>
      <c r="AY215" s="1392"/>
      <c r="AZ215" s="154"/>
      <c r="BA215" s="154"/>
      <c r="BB215" s="154"/>
      <c r="BC215" s="1393"/>
      <c r="BD215" s="9"/>
      <c r="BE215" s="1392">
        <f>+BE214/AY214-1</f>
        <v>0.4411764705882355</v>
      </c>
      <c r="BF215" s="154">
        <f t="shared" si="732"/>
        <v>0.47945205479452069</v>
      </c>
      <c r="BG215" s="154">
        <f t="shared" si="732"/>
        <v>0.78571428571428581</v>
      </c>
      <c r="BH215" s="154">
        <f t="shared" si="732"/>
        <v>0.4375</v>
      </c>
      <c r="BI215" s="1393">
        <f t="shared" si="732"/>
        <v>0.53264604810996552</v>
      </c>
      <c r="BJ215" s="9"/>
      <c r="BK215" s="1392">
        <f>+BK214/BE214-1</f>
        <v>0.47959183673469385</v>
      </c>
      <c r="BL215" s="154">
        <f t="shared" ref="BL215" si="785">+BL214/BF214-1</f>
        <v>0.94444444444444442</v>
      </c>
      <c r="BM215" s="154">
        <f t="shared" ref="BM215:BN215" si="786">+BM214/BG214-1</f>
        <v>0.52</v>
      </c>
      <c r="BN215" s="154">
        <f t="shared" si="786"/>
        <v>0.39130434782608692</v>
      </c>
      <c r="BO215" s="1393">
        <f t="shared" ref="BO215" si="787">+BO214/BI214-1</f>
        <v>0.58071748878923768</v>
      </c>
      <c r="BP215" s="9"/>
      <c r="BQ215" s="1392">
        <f>+BQ214/BK214-1</f>
        <v>1</v>
      </c>
      <c r="BR215" s="2854">
        <v>0.4</v>
      </c>
      <c r="BS215" s="2854">
        <v>0.45</v>
      </c>
      <c r="BT215" s="2854">
        <v>0.8</v>
      </c>
      <c r="BU215" s="1393">
        <f t="shared" ref="BU215" si="788">+BU214/BO214-1</f>
        <v>0.62765957446808507</v>
      </c>
      <c r="BV215" s="9"/>
      <c r="BW215" s="2970">
        <v>0.4</v>
      </c>
      <c r="BX215" s="2854">
        <f t="shared" ref="BX215:CF215" si="789">+BW215</f>
        <v>0.4</v>
      </c>
      <c r="BY215" s="2854">
        <f t="shared" si="789"/>
        <v>0.4</v>
      </c>
      <c r="BZ215" s="2854">
        <f t="shared" si="789"/>
        <v>0.4</v>
      </c>
      <c r="CA215" s="1393">
        <f t="shared" ref="CA215" si="790">+CA214/BU214-1</f>
        <v>0.39999999999999991</v>
      </c>
      <c r="CB215" s="9"/>
      <c r="CC215" s="2970">
        <f>+BW215-10%</f>
        <v>0.30000000000000004</v>
      </c>
      <c r="CD215" s="2854">
        <f t="shared" si="789"/>
        <v>0.30000000000000004</v>
      </c>
      <c r="CE215" s="2854">
        <f t="shared" si="789"/>
        <v>0.30000000000000004</v>
      </c>
      <c r="CF215" s="2854">
        <f t="shared" si="789"/>
        <v>0.30000000000000004</v>
      </c>
      <c r="CG215" s="1393">
        <f t="shared" ref="CG215" si="791">+CG214/CA214-1</f>
        <v>0.30000000000000004</v>
      </c>
      <c r="CH215" s="9"/>
      <c r="CI215" s="2970">
        <f t="shared" ref="CI215" si="792">+CC215-10%</f>
        <v>0.20000000000000004</v>
      </c>
      <c r="CJ215" s="2854">
        <f t="shared" ref="CJ215" si="793">+CI215</f>
        <v>0.20000000000000004</v>
      </c>
      <c r="CK215" s="2854">
        <f t="shared" ref="CK215" si="794">+CJ215</f>
        <v>0.20000000000000004</v>
      </c>
      <c r="CL215" s="2854">
        <f t="shared" ref="CL215" si="795">+CK215</f>
        <v>0.20000000000000004</v>
      </c>
      <c r="CM215" s="1393">
        <f t="shared" ref="CM215" si="796">+CM214/CG214-1</f>
        <v>0.19999999999999996</v>
      </c>
      <c r="CN215" s="9"/>
      <c r="CO215" s="2970">
        <f t="shared" ref="CO215" si="797">+CI215-10%</f>
        <v>0.10000000000000003</v>
      </c>
      <c r="CP215" s="2854">
        <f t="shared" ref="CP215" si="798">+CO215</f>
        <v>0.10000000000000003</v>
      </c>
      <c r="CQ215" s="2854">
        <f t="shared" ref="CQ215" si="799">+CP215</f>
        <v>0.10000000000000003</v>
      </c>
      <c r="CR215" s="2854">
        <f t="shared" ref="CR215" si="800">+CQ215</f>
        <v>0.10000000000000003</v>
      </c>
      <c r="CS215" s="1393">
        <f t="shared" ref="CS215" si="801">+CS214/CM214-1</f>
        <v>0.10000000000000031</v>
      </c>
      <c r="CT215" s="187"/>
      <c r="CU215" s="187"/>
      <c r="CV215" s="187"/>
      <c r="CW215" s="187"/>
      <c r="CX215" s="187"/>
      <c r="CY215" s="187"/>
      <c r="CZ215" s="187"/>
      <c r="DA215" s="187"/>
      <c r="DB215" s="187"/>
      <c r="DC215" s="187"/>
      <c r="DD215" s="187"/>
      <c r="DE215" s="187"/>
      <c r="DF215" s="187"/>
      <c r="DG215" s="187"/>
      <c r="DH215" s="187"/>
      <c r="DI215" s="187"/>
      <c r="DJ215" s="187"/>
      <c r="DK215" s="187"/>
      <c r="DL215" s="187"/>
      <c r="DM215" s="187"/>
      <c r="DN215" s="187"/>
      <c r="DO215" s="187"/>
      <c r="DP215" s="187"/>
      <c r="DQ215" s="187"/>
      <c r="DR215" s="187"/>
      <c r="DS215" s="187"/>
      <c r="DT215" s="187"/>
    </row>
    <row r="216" spans="1:150">
      <c r="A216" s="2946" t="s">
        <v>845</v>
      </c>
      <c r="B216" s="2947"/>
      <c r="C216" s="2948"/>
      <c r="D216" s="2947"/>
      <c r="E216" s="2947"/>
      <c r="F216" s="2947"/>
      <c r="G216" s="2949"/>
      <c r="H216" s="2947"/>
      <c r="I216" s="2950"/>
      <c r="J216" s="2951"/>
      <c r="K216" s="2951"/>
      <c r="L216" s="2951"/>
      <c r="M216" s="2952"/>
      <c r="N216" s="2947"/>
      <c r="O216" s="2950"/>
      <c r="P216" s="2951"/>
      <c r="Q216" s="2951"/>
      <c r="R216" s="2951"/>
      <c r="S216" s="2952"/>
      <c r="T216" s="2947"/>
      <c r="U216" s="2950"/>
      <c r="V216" s="2951"/>
      <c r="W216" s="2951"/>
      <c r="X216" s="2951"/>
      <c r="Y216" s="2952"/>
      <c r="Z216" s="2947"/>
      <c r="AA216" s="2950"/>
      <c r="AB216" s="2951"/>
      <c r="AC216" s="2951"/>
      <c r="AD216" s="2951"/>
      <c r="AE216" s="2952"/>
      <c r="AF216" s="2947"/>
      <c r="AG216" s="2953"/>
      <c r="AH216" s="2954"/>
      <c r="AI216" s="2954"/>
      <c r="AJ216" s="2954"/>
      <c r="AK216" s="2955"/>
      <c r="AL216" s="2956"/>
      <c r="AM216" s="2953"/>
      <c r="AN216" s="2954"/>
      <c r="AO216" s="2954"/>
      <c r="AP216" s="2954"/>
      <c r="AQ216" s="2955"/>
      <c r="AR216" s="2956"/>
      <c r="AS216" s="2953"/>
      <c r="AT216" s="2954"/>
      <c r="AU216" s="154"/>
      <c r="AV216" s="154"/>
      <c r="AW216" s="1393"/>
      <c r="AX216" s="9"/>
      <c r="AY216" s="1392">
        <f>+AY214/AY$207</f>
        <v>0.17260526065298096</v>
      </c>
      <c r="AZ216" s="154">
        <f t="shared" ref="AZ216:BC216" si="802">+AZ214/AZ$207</f>
        <v>0.19066855054159662</v>
      </c>
      <c r="BA216" s="154">
        <f t="shared" si="802"/>
        <v>0.17797213464863215</v>
      </c>
      <c r="BB216" s="154">
        <f t="shared" si="802"/>
        <v>0.1708927007455194</v>
      </c>
      <c r="BC216" s="1393">
        <f t="shared" si="802"/>
        <v>0.17762576430580967</v>
      </c>
      <c r="BD216" s="9"/>
      <c r="BE216" s="1392">
        <f>+BE214/BE$207</f>
        <v>0.22014981559995916</v>
      </c>
      <c r="BF216" s="154">
        <f t="shared" ref="BF216:BI216" si="803">+BF214/BF$207</f>
        <v>0.23959210099382472</v>
      </c>
      <c r="BG216" s="154">
        <f t="shared" si="803"/>
        <v>0.26913847004021801</v>
      </c>
      <c r="BH216" s="154">
        <f t="shared" si="803"/>
        <v>0.24539819606943261</v>
      </c>
      <c r="BI216" s="1393">
        <f t="shared" si="803"/>
        <v>0.24385062328897172</v>
      </c>
      <c r="BJ216" s="9"/>
      <c r="BK216" s="1392">
        <f>+BK214/BK$207</f>
        <v>0.27069201404128485</v>
      </c>
      <c r="BL216" s="154">
        <f t="shared" ref="BL216:BO216" si="804">+BL214/BL$207</f>
        <v>0.3535174562597691</v>
      </c>
      <c r="BM216" s="154">
        <f t="shared" si="804"/>
        <v>0.32174972787604983</v>
      </c>
      <c r="BN216" s="154">
        <f t="shared" si="804"/>
        <v>0.26927834308187643</v>
      </c>
      <c r="BO216" s="1393">
        <f t="shared" si="804"/>
        <v>0.30461511278553943</v>
      </c>
      <c r="BP216" s="9"/>
      <c r="BQ216" s="1392">
        <f>+BQ214/BQ$207</f>
        <v>0.37662337662337664</v>
      </c>
      <c r="BR216" s="154">
        <f t="shared" ref="BR216:BU216" si="805">+BR214/BR$207</f>
        <v>0.38496791934005498</v>
      </c>
      <c r="BS216" s="154">
        <f t="shared" si="805"/>
        <v>0.35895765472312702</v>
      </c>
      <c r="BT216" s="154">
        <f t="shared" si="805"/>
        <v>0.34991798797156914</v>
      </c>
      <c r="BU216" s="1393">
        <f t="shared" si="805"/>
        <v>0.36728814915579738</v>
      </c>
      <c r="BV216" s="9"/>
      <c r="BW216" s="1392">
        <f t="shared" ref="BW216:CA216" si="806">+BW214/BW$207</f>
        <v>0.40928688855113371</v>
      </c>
      <c r="BX216" s="154">
        <f t="shared" si="806"/>
        <v>0.41787001093874787</v>
      </c>
      <c r="BY216" s="154">
        <f t="shared" si="806"/>
        <v>0.39105016791268848</v>
      </c>
      <c r="BZ216" s="154">
        <f t="shared" si="806"/>
        <v>0.38168351660018557</v>
      </c>
      <c r="CA216" s="1393">
        <f t="shared" si="806"/>
        <v>0.39966110758915474</v>
      </c>
      <c r="CB216" s="9"/>
      <c r="CC216" s="1392">
        <f t="shared" ref="CC216:CG216" si="807">+CC214/CC$207</f>
        <v>0.42658312304401463</v>
      </c>
      <c r="CD216" s="154">
        <f t="shared" si="807"/>
        <v>0.43526169788657099</v>
      </c>
      <c r="CE216" s="154">
        <f t="shared" si="807"/>
        <v>0.40810816694784641</v>
      </c>
      <c r="CF216" s="154">
        <f t="shared" si="807"/>
        <v>0.39860037897579315</v>
      </c>
      <c r="CG216" s="1393">
        <f t="shared" si="807"/>
        <v>0.4168376069769516</v>
      </c>
      <c r="CH216" s="9"/>
      <c r="CI216" s="1392">
        <f t="shared" ref="CI216:CM216" si="808">+CI214/CI$207</f>
        <v>0.42642637940124034</v>
      </c>
      <c r="CJ216" s="154">
        <f t="shared" si="808"/>
        <v>0.43510418506688048</v>
      </c>
      <c r="CK216" s="154">
        <f t="shared" si="808"/>
        <v>0.40795338215607446</v>
      </c>
      <c r="CL216" s="154">
        <f t="shared" si="808"/>
        <v>0.39844677273340839</v>
      </c>
      <c r="CM216" s="1393">
        <f t="shared" si="808"/>
        <v>0.41668184211786269</v>
      </c>
      <c r="CN216" s="9"/>
      <c r="CO216" s="1392">
        <f t="shared" ref="CO216:CS216" si="809">+CO214/CO$207</f>
        <v>0.40715575795770664</v>
      </c>
      <c r="CP216" s="154">
        <f t="shared" si="809"/>
        <v>0.41572564126312439</v>
      </c>
      <c r="CQ216" s="154">
        <f t="shared" si="809"/>
        <v>0.38895147060642499</v>
      </c>
      <c r="CR216" s="154">
        <f t="shared" si="809"/>
        <v>0.37960375194749935</v>
      </c>
      <c r="CS216" s="1393">
        <f t="shared" si="809"/>
        <v>0.3975463668071465</v>
      </c>
      <c r="CT216" s="187"/>
      <c r="CU216" s="187"/>
      <c r="CV216" s="187"/>
      <c r="CW216" s="187"/>
      <c r="CX216" s="187"/>
      <c r="CY216" s="187"/>
      <c r="CZ216" s="187"/>
      <c r="DA216" s="187"/>
      <c r="DB216" s="187"/>
      <c r="DC216" s="187"/>
      <c r="DD216" s="187"/>
      <c r="DE216" s="187"/>
      <c r="DF216" s="187"/>
      <c r="DG216" s="187"/>
      <c r="DH216" s="187"/>
      <c r="DI216" s="187"/>
      <c r="DJ216" s="187"/>
      <c r="DK216" s="187"/>
      <c r="DL216" s="187"/>
      <c r="DM216" s="187"/>
      <c r="DN216" s="187"/>
      <c r="DO216" s="187"/>
      <c r="DP216" s="187"/>
      <c r="DQ216" s="187"/>
      <c r="DR216" s="187"/>
      <c r="DS216" s="187"/>
      <c r="DT216" s="187"/>
    </row>
    <row r="217" spans="1:150">
      <c r="A217" s="2941" t="s">
        <v>540</v>
      </c>
      <c r="B217" s="205"/>
      <c r="C217" s="2942"/>
      <c r="D217" s="746"/>
      <c r="E217" s="746"/>
      <c r="F217" s="746"/>
      <c r="G217" s="2933"/>
      <c r="H217" s="205"/>
      <c r="I217" s="2942"/>
      <c r="J217" s="746"/>
      <c r="K217" s="746"/>
      <c r="L217" s="746"/>
      <c r="M217" s="2933"/>
      <c r="N217" s="205"/>
      <c r="O217" s="2942"/>
      <c r="P217" s="746"/>
      <c r="Q217" s="746"/>
      <c r="R217" s="746"/>
      <c r="S217" s="2933"/>
      <c r="T217" s="205"/>
      <c r="U217" s="2942"/>
      <c r="V217" s="746"/>
      <c r="W217" s="746"/>
      <c r="X217" s="746"/>
      <c r="Y217" s="2933"/>
      <c r="Z217" s="205"/>
      <c r="AA217" s="2942"/>
      <c r="AB217" s="746"/>
      <c r="AC217" s="746"/>
      <c r="AD217" s="746"/>
      <c r="AE217" s="2933"/>
      <c r="AF217" s="205"/>
      <c r="AG217" s="2943"/>
      <c r="AH217" s="7"/>
      <c r="AI217" s="7"/>
      <c r="AJ217" s="7"/>
      <c r="AK217" s="2944"/>
      <c r="AL217" s="9"/>
      <c r="AM217" s="2945"/>
      <c r="AN217" s="9"/>
      <c r="AO217" s="9"/>
      <c r="AP217" s="9"/>
      <c r="AQ217" s="2944"/>
      <c r="AR217" s="9"/>
      <c r="AS217" s="2945"/>
      <c r="AT217" s="9"/>
      <c r="AU217" s="1385"/>
      <c r="AV217" s="1385"/>
      <c r="AW217" s="1645"/>
      <c r="AX217" s="1385"/>
      <c r="AY217" s="1434">
        <v>0</v>
      </c>
      <c r="AZ217" s="1385">
        <v>0</v>
      </c>
      <c r="BA217" s="1385">
        <v>8</v>
      </c>
      <c r="BB217" s="1651">
        <v>9.5</v>
      </c>
      <c r="BC217" s="2849">
        <v>20</v>
      </c>
      <c r="BD217" s="1385"/>
      <c r="BE217" s="1434">
        <f>+$BI$217/4</f>
        <v>12.5</v>
      </c>
      <c r="BF217" s="1385">
        <v>12.5</v>
      </c>
      <c r="BG217" s="1385">
        <f>+$BI$217/4</f>
        <v>12.5</v>
      </c>
      <c r="BH217" s="1651">
        <f>+$BI$217/4</f>
        <v>12.5</v>
      </c>
      <c r="BI217" s="2849">
        <v>50</v>
      </c>
      <c r="BJ217" s="1385"/>
      <c r="BK217" s="1434">
        <f>+$BO$217/4</f>
        <v>15</v>
      </c>
      <c r="BL217" s="1385">
        <f>+$BO$217/4</f>
        <v>15</v>
      </c>
      <c r="BM217" s="1385">
        <f>+$BO$217/4</f>
        <v>15</v>
      </c>
      <c r="BN217" s="1651">
        <f>+$BI$217/4</f>
        <v>12.5</v>
      </c>
      <c r="BO217" s="2969">
        <v>60</v>
      </c>
      <c r="BP217" s="1385"/>
      <c r="BQ217" s="1434">
        <f>+$BU$217/4</f>
        <v>7.5</v>
      </c>
      <c r="BR217" s="1385">
        <f>+BQ217</f>
        <v>7.5</v>
      </c>
      <c r="BS217" s="1385">
        <f>+BR217</f>
        <v>7.5</v>
      </c>
      <c r="BT217" s="1651">
        <f>+BU217-BS217-BR217-BQ217</f>
        <v>7.5</v>
      </c>
      <c r="BU217" s="2850">
        <v>30</v>
      </c>
      <c r="BV217" s="1385"/>
      <c r="BW217" s="1434">
        <f>+CA$217/4</f>
        <v>7.5</v>
      </c>
      <c r="BX217" s="1385">
        <f>+BW217</f>
        <v>7.5</v>
      </c>
      <c r="BY217" s="1385">
        <f>+BX217</f>
        <v>7.5</v>
      </c>
      <c r="BZ217" s="1651">
        <f>+CA217-BY217-BX217-BW217</f>
        <v>7.5</v>
      </c>
      <c r="CA217" s="2850">
        <v>30</v>
      </c>
      <c r="CB217" s="1385"/>
      <c r="CC217" s="1434">
        <f>+CG$217/4</f>
        <v>7.5</v>
      </c>
      <c r="CD217" s="1385">
        <f>+CC217</f>
        <v>7.5</v>
      </c>
      <c r="CE217" s="1385">
        <f>+CD217</f>
        <v>7.5</v>
      </c>
      <c r="CF217" s="1651">
        <f>+CG217-CE217-CD217-CC217</f>
        <v>7.5</v>
      </c>
      <c r="CG217" s="2850">
        <v>30</v>
      </c>
      <c r="CH217" s="1385"/>
      <c r="CI217" s="1434">
        <f>+CM$217/4</f>
        <v>7.5</v>
      </c>
      <c r="CJ217" s="1385">
        <f>+CI217</f>
        <v>7.5</v>
      </c>
      <c r="CK217" s="1385">
        <f>+CJ217</f>
        <v>7.5</v>
      </c>
      <c r="CL217" s="1651">
        <f>+CM217-CK217-CJ217-CI217</f>
        <v>7.5</v>
      </c>
      <c r="CM217" s="2850">
        <v>30</v>
      </c>
      <c r="CN217" s="1385"/>
      <c r="CO217" s="1434">
        <f>+CS$217/4</f>
        <v>7.5</v>
      </c>
      <c r="CP217" s="1385">
        <f>+CO217</f>
        <v>7.5</v>
      </c>
      <c r="CQ217" s="1385">
        <f>+CP217</f>
        <v>7.5</v>
      </c>
      <c r="CR217" s="1651">
        <f>+CS217-CQ217-CP217-CO217</f>
        <v>7.5</v>
      </c>
      <c r="CS217" s="2850">
        <v>30</v>
      </c>
      <c r="CT217" s="187"/>
      <c r="CU217" s="187"/>
      <c r="CV217" s="187"/>
      <c r="CW217" s="187"/>
      <c r="CX217" s="187"/>
      <c r="CY217" s="187"/>
      <c r="CZ217" s="187"/>
      <c r="DA217" s="187"/>
      <c r="DB217" s="187"/>
      <c r="DC217" s="187"/>
      <c r="DD217" s="187"/>
      <c r="DE217" s="187"/>
      <c r="DF217" s="187"/>
      <c r="DG217" s="187"/>
      <c r="DH217" s="187"/>
      <c r="DI217" s="187"/>
      <c r="DJ217" s="187"/>
      <c r="DK217" s="187"/>
      <c r="DL217" s="187"/>
      <c r="DM217" s="187"/>
      <c r="DN217" s="187"/>
      <c r="DO217" s="187"/>
      <c r="DP217" s="187"/>
      <c r="DQ217" s="187"/>
      <c r="DR217" s="187"/>
      <c r="DS217" s="187"/>
      <c r="DT217" s="187"/>
    </row>
    <row r="218" spans="1:150" ht="12.75" hidden="1" customHeight="1" outlineLevel="1">
      <c r="A218" s="796" t="s">
        <v>436</v>
      </c>
      <c r="B218" s="205"/>
      <c r="C218" s="776"/>
      <c r="D218" s="746"/>
      <c r="E218" s="746"/>
      <c r="F218" s="746"/>
      <c r="G218" s="191"/>
      <c r="H218" s="205"/>
      <c r="I218" s="776"/>
      <c r="J218" s="746"/>
      <c r="K218" s="746"/>
      <c r="L218" s="746"/>
      <c r="M218" s="191"/>
      <c r="N218" s="205"/>
      <c r="O218" s="776"/>
      <c r="P218" s="746"/>
      <c r="Q218" s="746"/>
      <c r="R218" s="746"/>
      <c r="S218" s="191"/>
      <c r="T218" s="205"/>
      <c r="U218" s="776"/>
      <c r="V218" s="746"/>
      <c r="W218" s="746"/>
      <c r="X218" s="746"/>
      <c r="Y218" s="191"/>
      <c r="Z218" s="205"/>
      <c r="AA218" s="776"/>
      <c r="AB218" s="746"/>
      <c r="AC218" s="746"/>
      <c r="AD218" s="738">
        <v>840</v>
      </c>
      <c r="AE218" s="191"/>
      <c r="AF218" s="205"/>
      <c r="AG218" s="95"/>
      <c r="AH218" s="7">
        <v>750</v>
      </c>
      <c r="AI218" s="7">
        <v>1600</v>
      </c>
      <c r="AJ218" s="1609">
        <v>2550</v>
      </c>
      <c r="AK218" s="188"/>
      <c r="AL218" s="9"/>
      <c r="AM218" s="1646">
        <v>4100</v>
      </c>
      <c r="AN218" s="1609">
        <v>2500</v>
      </c>
      <c r="AO218" s="1609">
        <v>3200</v>
      </c>
      <c r="AP218" s="9"/>
      <c r="AQ218" s="188"/>
      <c r="AR218" s="9"/>
      <c r="AS218" s="89"/>
      <c r="AT218" s="9"/>
      <c r="AU218" s="9"/>
      <c r="AV218" s="9"/>
      <c r="AW218" s="188"/>
      <c r="AX218" s="9"/>
      <c r="AY218" s="89"/>
      <c r="AZ218" s="9"/>
      <c r="BA218" s="9"/>
      <c r="BB218" s="9"/>
      <c r="BC218" s="188"/>
      <c r="BD218" s="9"/>
      <c r="BE218" s="89"/>
      <c r="BF218" s="9"/>
      <c r="BG218" s="9"/>
      <c r="BH218" s="9"/>
      <c r="BI218" s="188"/>
      <c r="BJ218" s="9"/>
      <c r="BK218" s="89"/>
      <c r="BL218" s="9"/>
      <c r="BM218" s="9"/>
      <c r="BN218" s="9"/>
      <c r="BO218" s="188"/>
      <c r="BP218" s="9"/>
      <c r="BQ218" s="89"/>
      <c r="BR218" s="9"/>
      <c r="BS218" s="9"/>
      <c r="BT218" s="9"/>
      <c r="BU218" s="188"/>
      <c r="BV218" s="9"/>
      <c r="BW218" s="89"/>
      <c r="BX218" s="9"/>
      <c r="BY218" s="9"/>
      <c r="BZ218" s="9"/>
      <c r="CA218" s="188"/>
      <c r="CB218" s="9"/>
      <c r="CC218" s="89"/>
      <c r="CD218" s="9"/>
      <c r="CE218" s="9"/>
      <c r="CF218" s="9"/>
      <c r="CG218" s="188"/>
      <c r="CH218" s="9"/>
      <c r="CI218" s="89"/>
      <c r="CJ218" s="9"/>
      <c r="CK218" s="9"/>
      <c r="CL218" s="9"/>
      <c r="CM218" s="188"/>
      <c r="CN218" s="9"/>
      <c r="CO218" s="89"/>
      <c r="CP218" s="9"/>
      <c r="CQ218" s="9"/>
      <c r="CR218" s="9"/>
      <c r="CS218" s="188"/>
      <c r="CT218" s="187"/>
      <c r="CU218" s="187"/>
      <c r="CV218" s="187"/>
      <c r="CW218" s="187"/>
      <c r="CX218" s="187"/>
      <c r="CY218" s="187"/>
      <c r="CZ218" s="187"/>
      <c r="DA218" s="187"/>
      <c r="DB218" s="187"/>
      <c r="DC218" s="187"/>
      <c r="DD218" s="187"/>
      <c r="DE218" s="187"/>
      <c r="DF218" s="187"/>
      <c r="DG218" s="187"/>
      <c r="DH218" s="187"/>
      <c r="DI218" s="187"/>
      <c r="DJ218" s="187"/>
      <c r="DK218" s="187"/>
      <c r="DL218" s="187"/>
      <c r="DM218" s="187"/>
      <c r="DN218" s="187"/>
      <c r="DO218" s="187"/>
      <c r="DP218" s="187"/>
      <c r="DQ218" s="187"/>
      <c r="DR218" s="187"/>
      <c r="DS218" s="187"/>
      <c r="DT218" s="187"/>
    </row>
    <row r="219" spans="1:150" ht="12.75" hidden="1" customHeight="1" outlineLevel="1">
      <c r="A219" s="796" t="s">
        <v>437</v>
      </c>
      <c r="B219" s="205"/>
      <c r="C219" s="776"/>
      <c r="D219" s="746"/>
      <c r="E219" s="746"/>
      <c r="F219" s="746"/>
      <c r="G219" s="191"/>
      <c r="H219" s="205"/>
      <c r="I219" s="776"/>
      <c r="J219" s="746"/>
      <c r="K219" s="746"/>
      <c r="L219" s="746"/>
      <c r="M219" s="191"/>
      <c r="N219" s="205"/>
      <c r="O219" s="776"/>
      <c r="P219" s="746"/>
      <c r="Q219" s="746"/>
      <c r="R219" s="746"/>
      <c r="S219" s="191"/>
      <c r="T219" s="205"/>
      <c r="U219" s="776"/>
      <c r="V219" s="746"/>
      <c r="W219" s="746"/>
      <c r="X219" s="746"/>
      <c r="Y219" s="191"/>
      <c r="Z219" s="205"/>
      <c r="AA219" s="776"/>
      <c r="AB219" s="746"/>
      <c r="AC219" s="746"/>
      <c r="AD219" s="738"/>
      <c r="AE219" s="191"/>
      <c r="AF219" s="205"/>
      <c r="AG219" s="95"/>
      <c r="AH219" s="7"/>
      <c r="AI219" s="7"/>
      <c r="AJ219" s="1609">
        <v>13000</v>
      </c>
      <c r="AK219" s="188"/>
      <c r="AL219" s="9"/>
      <c r="AM219" s="89"/>
      <c r="AN219" s="9"/>
      <c r="AO219" s="9"/>
      <c r="AP219" s="9"/>
      <c r="AQ219" s="188"/>
      <c r="AR219" s="9"/>
      <c r="AS219" s="89"/>
      <c r="AT219" s="9"/>
      <c r="AU219" s="9"/>
      <c r="AV219" s="9"/>
      <c r="AW219" s="188"/>
      <c r="AX219" s="9"/>
      <c r="AY219" s="89"/>
      <c r="AZ219" s="9"/>
      <c r="BA219" s="9"/>
      <c r="BB219" s="9"/>
      <c r="BC219" s="188"/>
      <c r="BD219" s="9"/>
      <c r="BE219" s="89"/>
      <c r="BF219" s="9"/>
      <c r="BG219" s="9"/>
      <c r="BH219" s="9"/>
      <c r="BI219" s="188"/>
      <c r="BJ219" s="9"/>
      <c r="BK219" s="89"/>
      <c r="BL219" s="9"/>
      <c r="BM219" s="9"/>
      <c r="BN219" s="9"/>
      <c r="BO219" s="188"/>
      <c r="BP219" s="9"/>
      <c r="BQ219" s="89"/>
      <c r="BR219" s="9"/>
      <c r="BS219" s="9"/>
      <c r="BT219" s="9"/>
      <c r="BU219" s="188"/>
      <c r="BV219" s="9"/>
      <c r="BW219" s="89"/>
      <c r="BX219" s="9"/>
      <c r="BY219" s="9"/>
      <c r="BZ219" s="9"/>
      <c r="CA219" s="188"/>
      <c r="CB219" s="9"/>
      <c r="CC219" s="89"/>
      <c r="CD219" s="9"/>
      <c r="CE219" s="9"/>
      <c r="CF219" s="9"/>
      <c r="CG219" s="188"/>
      <c r="CH219" s="9"/>
      <c r="CI219" s="89"/>
      <c r="CJ219" s="9"/>
      <c r="CK219" s="9"/>
      <c r="CL219" s="9"/>
      <c r="CM219" s="188"/>
      <c r="CN219" s="9"/>
      <c r="CO219" s="89"/>
      <c r="CP219" s="9"/>
      <c r="CQ219" s="9"/>
      <c r="CR219" s="9"/>
      <c r="CS219" s="188"/>
      <c r="CT219" s="187"/>
      <c r="CU219" s="187"/>
      <c r="CV219" s="187"/>
      <c r="CW219" s="187"/>
      <c r="CX219" s="187"/>
      <c r="CY219" s="187"/>
      <c r="CZ219" s="187"/>
      <c r="DA219" s="187"/>
      <c r="DB219" s="187"/>
      <c r="DC219" s="187"/>
      <c r="DD219" s="187"/>
      <c r="DE219" s="187"/>
      <c r="DF219" s="187"/>
      <c r="DG219" s="187"/>
      <c r="DH219" s="187"/>
      <c r="DI219" s="187"/>
      <c r="DJ219" s="187"/>
      <c r="DK219" s="187"/>
      <c r="DL219" s="187"/>
      <c r="DM219" s="187"/>
      <c r="DN219" s="187"/>
      <c r="DO219" s="187"/>
      <c r="DP219" s="187"/>
      <c r="DQ219" s="187"/>
      <c r="DR219" s="187"/>
      <c r="DS219" s="187"/>
      <c r="DT219" s="187"/>
    </row>
    <row r="220" spans="1:150" collapsed="1">
      <c r="A220" s="1594" t="s">
        <v>432</v>
      </c>
      <c r="B220" s="1325"/>
      <c r="C220" s="1326"/>
      <c r="D220" s="1325"/>
      <c r="E220" s="1325"/>
      <c r="F220" s="1325"/>
      <c r="G220" s="1327"/>
      <c r="H220" s="1325"/>
      <c r="I220" s="1326"/>
      <c r="J220" s="1325"/>
      <c r="K220" s="1325"/>
      <c r="L220" s="1328"/>
      <c r="M220" s="1327"/>
      <c r="N220" s="1325"/>
      <c r="O220" s="1326"/>
      <c r="P220" s="1325"/>
      <c r="Q220" s="1325"/>
      <c r="R220" s="1328"/>
      <c r="S220" s="1327"/>
      <c r="T220" s="1325"/>
      <c r="U220" s="1326"/>
      <c r="V220" s="1325"/>
      <c r="W220" s="1325"/>
      <c r="X220" s="1325"/>
      <c r="Y220" s="1327"/>
      <c r="Z220" s="1325"/>
      <c r="AA220" s="1326"/>
      <c r="AB220" s="1325"/>
      <c r="AC220" s="1325"/>
      <c r="AD220" s="1328"/>
      <c r="AE220" s="1327"/>
      <c r="AF220" s="1325"/>
      <c r="AG220" s="1647"/>
      <c r="AH220" s="1648"/>
      <c r="AI220" s="1648"/>
      <c r="AJ220" s="1649"/>
      <c r="AK220" s="1650"/>
      <c r="AL220" s="1648"/>
      <c r="AM220" s="1434">
        <f>AM223*AM222/1000</f>
        <v>0.36</v>
      </c>
      <c r="AN220" s="1385">
        <f>AN223*AN222/1000</f>
        <v>2.8</v>
      </c>
      <c r="AO220" s="1385">
        <f>AO223*AO222/1000</f>
        <v>3.6</v>
      </c>
      <c r="AP220" s="1651">
        <f>AP223*AP222/1000</f>
        <v>4.4000000000000004</v>
      </c>
      <c r="AQ220" s="1645">
        <f>SUM(AM220:AP220)</f>
        <v>11.16</v>
      </c>
      <c r="AR220" s="1648"/>
      <c r="AS220" s="1434">
        <f>AS223*AS222/1000</f>
        <v>10</v>
      </c>
      <c r="AT220" s="1385">
        <f>AT223*AT222/1000</f>
        <v>11.6</v>
      </c>
      <c r="AU220" s="1385">
        <f>AU223*AU222/1000</f>
        <v>13.342409802586795</v>
      </c>
      <c r="AV220" s="1651">
        <f>AV223*AV222/1000</f>
        <v>17.345132743362832</v>
      </c>
      <c r="AW220" s="1645">
        <f>SUM(AS220:AV220)</f>
        <v>52.287542545949627</v>
      </c>
      <c r="AX220" s="1648"/>
      <c r="AY220" s="2064">
        <f>+End_Mkts!AY72</f>
        <v>16.292499999999997</v>
      </c>
      <c r="AZ220" s="2065">
        <f>+End_Mkts!AZ72</f>
        <v>18.072670000000002</v>
      </c>
      <c r="BA220" s="2065">
        <f>+End_Mkts!BA72</f>
        <v>16.463999999999999</v>
      </c>
      <c r="BB220" s="2065">
        <f>+End_Mkts!BB72</f>
        <v>15.308999999999999</v>
      </c>
      <c r="BC220" s="1645">
        <f>SUM(AY220:BB220)</f>
        <v>66.138170000000002</v>
      </c>
      <c r="BD220" s="1648"/>
      <c r="BE220" s="2691">
        <f>+End_Mkts!BE72</f>
        <v>12.78028125</v>
      </c>
      <c r="BF220" s="2692">
        <f>+End_Mkts!BF72</f>
        <v>8.1549932082791159</v>
      </c>
      <c r="BG220" s="2692">
        <f>+End_Mkts!BG72</f>
        <v>6.4059875767822696</v>
      </c>
      <c r="BH220" s="2692">
        <f>+End_Mkts!BH72</f>
        <v>5.9394223495921734</v>
      </c>
      <c r="BI220" s="1645">
        <f>SUM(BE220:BH220)</f>
        <v>33.280684384653561</v>
      </c>
      <c r="BJ220" s="1648"/>
      <c r="BK220" s="2691">
        <f>+End_Mkts!BK72</f>
        <v>5.432824375</v>
      </c>
      <c r="BL220" s="2692">
        <f>+End_Mkts!BL72</f>
        <v>5.1185287500000003</v>
      </c>
      <c r="BM220" s="2692">
        <f>+End_Mkts!BM72</f>
        <v>4.7068279921874989</v>
      </c>
      <c r="BN220" s="2692">
        <f>+End_Mkts!BN72</f>
        <v>4.3238878787499999</v>
      </c>
      <c r="BO220" s="1645">
        <f>SUM(BK220:BN220)</f>
        <v>19.582068995937497</v>
      </c>
      <c r="BP220" s="1648"/>
      <c r="BQ220" s="2139">
        <f>+End_Mkts!BQ72</f>
        <v>3.9750093985546875</v>
      </c>
      <c r="BR220" s="2140">
        <f>+End_Mkts!BR72</f>
        <v>3.5754869559999998</v>
      </c>
      <c r="BS220" s="2140">
        <f>+End_Mkts!BS72</f>
        <v>3.1827595191092768</v>
      </c>
      <c r="BT220" s="2140">
        <f>+End_Mkts!BT72</f>
        <v>2.8644835671983486</v>
      </c>
      <c r="BU220" s="1645">
        <f>SUM(BQ220:BT220)</f>
        <v>13.597739440862313</v>
      </c>
      <c r="BV220" s="1648"/>
      <c r="BW220" s="2139">
        <f>+End_Mkts!BW72</f>
        <v>3.119734578136816</v>
      </c>
      <c r="BX220" s="2140">
        <f>+End_Mkts!BX72</f>
        <v>3.4317080359504981</v>
      </c>
      <c r="BY220" s="2140">
        <f>+End_Mkts!BY72</f>
        <v>3.7748788395455484</v>
      </c>
      <c r="BZ220" s="2140">
        <f>+End_Mkts!BZ72</f>
        <v>4.1523667235001041</v>
      </c>
      <c r="CA220" s="1645">
        <f>SUM(BW220:BZ220)</f>
        <v>14.478688177132966</v>
      </c>
      <c r="CB220" s="1648"/>
      <c r="CC220" s="2139">
        <f>+End_Mkts!CC72</f>
        <v>4.5676033958501145</v>
      </c>
      <c r="CD220" s="2140">
        <f>+End_Mkts!CD72</f>
        <v>5.0243637354351272</v>
      </c>
      <c r="CE220" s="2140">
        <f>+End_Mkts!CE72</f>
        <v>5.5268001089786392</v>
      </c>
      <c r="CF220" s="2140">
        <f>+End_Mkts!CF72</f>
        <v>6.0794801198765036</v>
      </c>
      <c r="CG220" s="1645">
        <f>SUM(CC220:CF220)</f>
        <v>21.198247360140385</v>
      </c>
      <c r="CH220" s="1648"/>
      <c r="CI220" s="2139">
        <f>+End_Mkts!CI72</f>
        <v>6.6874281318641549</v>
      </c>
      <c r="CJ220" s="2140">
        <f>+End_Mkts!CJ72</f>
        <v>7.3561709450505717</v>
      </c>
      <c r="CK220" s="2140">
        <f>+End_Mkts!CK72</f>
        <v>8.0917880395556292</v>
      </c>
      <c r="CL220" s="2140">
        <f>+End_Mkts!CL72</f>
        <v>8.9009668435111919</v>
      </c>
      <c r="CM220" s="1645">
        <f t="shared" ref="CM220" si="810">SUM(CI220:CL220)</f>
        <v>31.036353959981547</v>
      </c>
      <c r="CN220" s="1648"/>
      <c r="CO220" s="2139">
        <f>+End_Mkts!CO72</f>
        <v>9.7910635278623133</v>
      </c>
      <c r="CP220" s="2140">
        <f>+End_Mkts!CP72</f>
        <v>10.770169880648545</v>
      </c>
      <c r="CQ220" s="2140">
        <f>+End_Mkts!CQ72</f>
        <v>11.847186868713401</v>
      </c>
      <c r="CR220" s="2140">
        <f>+End_Mkts!CR72</f>
        <v>13.031905555584743</v>
      </c>
      <c r="CS220" s="1645">
        <f t="shared" ref="CS220" si="811">SUM(CO220:CR220)</f>
        <v>45.440325832809002</v>
      </c>
      <c r="CT220" s="187"/>
      <c r="CU220" s="187"/>
      <c r="CV220" s="187"/>
      <c r="CW220" s="187"/>
      <c r="CX220" s="187"/>
      <c r="CY220" s="187"/>
      <c r="CZ220" s="187"/>
      <c r="DA220" s="187"/>
      <c r="DB220" s="187"/>
      <c r="DC220" s="187"/>
      <c r="DD220" s="187"/>
      <c r="DE220" s="187"/>
      <c r="DF220" s="187"/>
      <c r="DG220" s="187"/>
      <c r="DH220" s="187"/>
      <c r="DI220" s="187"/>
      <c r="DJ220" s="187"/>
      <c r="DK220" s="187"/>
      <c r="DL220" s="187"/>
      <c r="DM220" s="187"/>
      <c r="DN220" s="187"/>
      <c r="DO220" s="187"/>
      <c r="DP220" s="187"/>
      <c r="DQ220" s="187"/>
      <c r="DR220" s="187"/>
      <c r="DS220" s="187"/>
      <c r="DT220" s="187"/>
    </row>
    <row r="221" spans="1:150">
      <c r="A221" s="1028" t="s">
        <v>428</v>
      </c>
      <c r="B221" s="189"/>
      <c r="C221" s="192"/>
      <c r="D221" s="189"/>
      <c r="E221" s="189"/>
      <c r="F221" s="189"/>
      <c r="G221" s="218"/>
      <c r="H221" s="189"/>
      <c r="I221" s="192"/>
      <c r="J221" s="189"/>
      <c r="K221" s="189"/>
      <c r="L221" s="1815"/>
      <c r="M221" s="218"/>
      <c r="N221" s="189"/>
      <c r="O221" s="192"/>
      <c r="P221" s="189"/>
      <c r="Q221" s="189"/>
      <c r="R221" s="1815"/>
      <c r="S221" s="218"/>
      <c r="T221" s="189"/>
      <c r="U221" s="192"/>
      <c r="V221" s="189"/>
      <c r="W221" s="189"/>
      <c r="X221" s="189"/>
      <c r="Y221" s="218"/>
      <c r="Z221" s="189"/>
      <c r="AA221" s="192"/>
      <c r="AB221" s="189"/>
      <c r="AC221" s="189"/>
      <c r="AD221" s="1815"/>
      <c r="AE221" s="218"/>
      <c r="AF221" s="189"/>
      <c r="AG221" s="315"/>
      <c r="AH221" s="197"/>
      <c r="AI221" s="197"/>
      <c r="AJ221" s="316"/>
      <c r="AK221" s="314"/>
      <c r="AL221" s="197"/>
      <c r="AM221" s="89"/>
      <c r="AN221" s="9"/>
      <c r="AO221" s="9"/>
      <c r="AP221" s="90"/>
      <c r="AQ221" s="188"/>
      <c r="AR221" s="197"/>
      <c r="AS221" s="1392">
        <f>+AS220/AM220-1</f>
        <v>26.777777777777779</v>
      </c>
      <c r="AT221" s="154">
        <f>+AT220/AN220-1</f>
        <v>3.1428571428571432</v>
      </c>
      <c r="AU221" s="154">
        <f>+AU220/AO220-1</f>
        <v>2.7062249451629987</v>
      </c>
      <c r="AV221" s="154">
        <f>+AV220/AP220-1</f>
        <v>2.9420756234915526</v>
      </c>
      <c r="AW221" s="1393">
        <f>+AW220/AQ220-1</f>
        <v>3.6852636689919018</v>
      </c>
      <c r="AX221" s="197"/>
      <c r="AY221" s="1392">
        <f>+AY220/AS220-1</f>
        <v>0.62924999999999964</v>
      </c>
      <c r="AZ221" s="154">
        <f>+AZ220/AT220-1</f>
        <v>0.55798879310344862</v>
      </c>
      <c r="BA221" s="154">
        <f>+BA220/AU220-1</f>
        <v>0.23395999999999972</v>
      </c>
      <c r="BB221" s="154">
        <f>+BB220/AV220-1</f>
        <v>-0.11738928571428575</v>
      </c>
      <c r="BC221" s="1393">
        <f>+BC220/AW220-1</f>
        <v>0.2648934484132357</v>
      </c>
      <c r="BD221" s="197"/>
      <c r="BE221" s="1392">
        <f>+BE220/AY220-1</f>
        <v>-0.21557273285253942</v>
      </c>
      <c r="BF221" s="154">
        <f>+BF220/AZ220-1</f>
        <v>-0.54876655146809439</v>
      </c>
      <c r="BG221" s="154">
        <f>+BG220/BA220-1</f>
        <v>-0.61090940374257352</v>
      </c>
      <c r="BH221" s="154">
        <f>+BH220/BB220-1</f>
        <v>-0.61203067805916955</v>
      </c>
      <c r="BI221" s="1393">
        <f>+BI220/BC220-1</f>
        <v>-0.49680064651541522</v>
      </c>
      <c r="BJ221" s="197"/>
      <c r="BK221" s="1392">
        <f>+BK220/BE220-1</f>
        <v>-0.57490572635089698</v>
      </c>
      <c r="BL221" s="154">
        <f>+BL220/BF220-1</f>
        <v>-0.37234420443127225</v>
      </c>
      <c r="BM221" s="154">
        <f>+BM220/BG220-1</f>
        <v>-0.2652455322818873</v>
      </c>
      <c r="BN221" s="154">
        <f>+BN220/BH220-1</f>
        <v>-0.2720019516633807</v>
      </c>
      <c r="BO221" s="1393">
        <f>+BO220/BI220-1</f>
        <v>-0.4116085844386298</v>
      </c>
      <c r="BP221" s="197"/>
      <c r="BQ221" s="1392">
        <f>+BQ220/BK220-1</f>
        <v>-0.26833464066198764</v>
      </c>
      <c r="BR221" s="154">
        <f>+BR220/BL220-1</f>
        <v>-0.30146197654941387</v>
      </c>
      <c r="BS221" s="154">
        <f>+BS220/BM220-1</f>
        <v>-0.32379948356045851</v>
      </c>
      <c r="BT221" s="154">
        <f>+BT220/BN220-1</f>
        <v>-0.33752131241052274</v>
      </c>
      <c r="BU221" s="1393">
        <f>+BU220/BO220-1</f>
        <v>-0.30560251607308175</v>
      </c>
      <c r="BV221" s="197"/>
      <c r="BW221" s="1392">
        <f>+BW220/BQ220-1</f>
        <v>-0.21516296809986146</v>
      </c>
      <c r="BX221" s="154">
        <f>+BX220/BR220-1</f>
        <v>-4.0212402343749898E-2</v>
      </c>
      <c r="BY221" s="154">
        <f>+BY220/BS220-1</f>
        <v>0.18603960396039643</v>
      </c>
      <c r="BZ221" s="154">
        <f>+BZ220/BT220-1</f>
        <v>0.44960396039604067</v>
      </c>
      <c r="CA221" s="1393">
        <f>+CA220/BU220-1</f>
        <v>6.4786411013534329E-2</v>
      </c>
      <c r="CB221" s="197"/>
      <c r="CC221" s="1392">
        <f>+CC220/BW220-1</f>
        <v>0.46410000000000062</v>
      </c>
      <c r="CD221" s="154">
        <f>+CD220/BX220-1</f>
        <v>0.46410000000000085</v>
      </c>
      <c r="CE221" s="154">
        <f>+CE220/BY220-1</f>
        <v>0.4641000000000004</v>
      </c>
      <c r="CF221" s="154">
        <f>+CF220/BZ220-1</f>
        <v>0.4641000000000004</v>
      </c>
      <c r="CG221" s="1393">
        <f>+CG220/CA220-1</f>
        <v>0.46410000000000062</v>
      </c>
      <c r="CH221" s="197"/>
      <c r="CI221" s="1392">
        <f>+CI220/CC220-1</f>
        <v>0.4641000000000004</v>
      </c>
      <c r="CJ221" s="154">
        <f>+CJ220/CD220-1</f>
        <v>0.4641000000000004</v>
      </c>
      <c r="CK221" s="154">
        <f>+CK220/CE220-1</f>
        <v>0.46410000000000062</v>
      </c>
      <c r="CL221" s="154">
        <f>+CL220/CF220-1</f>
        <v>0.4641000000000004</v>
      </c>
      <c r="CM221" s="1393">
        <f>+CM220/CG220-1</f>
        <v>0.4641000000000004</v>
      </c>
      <c r="CN221" s="197"/>
      <c r="CO221" s="1392">
        <f>+CO220/CI220-1</f>
        <v>0.46410000000000062</v>
      </c>
      <c r="CP221" s="154">
        <f>+CP220/CJ220-1</f>
        <v>0.4641000000000004</v>
      </c>
      <c r="CQ221" s="154">
        <f>+CQ220/CK220-1</f>
        <v>0.4641000000000004</v>
      </c>
      <c r="CR221" s="154">
        <f>+CR220/CL220-1</f>
        <v>0.46410000000000085</v>
      </c>
      <c r="CS221" s="1393">
        <f>+CS220/CM220-1</f>
        <v>0.46410000000000062</v>
      </c>
      <c r="CT221" s="187"/>
      <c r="CU221" s="187"/>
      <c r="CV221" s="187"/>
      <c r="CW221" s="187"/>
      <c r="CX221" s="187"/>
      <c r="CY221" s="187"/>
      <c r="CZ221" s="187"/>
      <c r="DA221" s="187"/>
      <c r="DB221" s="187"/>
      <c r="DC221" s="187"/>
      <c r="DD221" s="187"/>
      <c r="DE221" s="187"/>
      <c r="DF221" s="187"/>
      <c r="DG221" s="187"/>
      <c r="DH221" s="187"/>
      <c r="DI221" s="187"/>
      <c r="DJ221" s="187"/>
      <c r="DK221" s="187"/>
      <c r="DL221" s="187"/>
      <c r="DM221" s="187"/>
      <c r="DN221" s="187"/>
      <c r="DO221" s="187"/>
      <c r="DP221" s="187"/>
      <c r="DQ221" s="187"/>
      <c r="DR221" s="187"/>
      <c r="DS221" s="187"/>
      <c r="DT221" s="187"/>
    </row>
    <row r="222" spans="1:150" ht="12.75" hidden="1" customHeight="1" outlineLevel="1">
      <c r="A222" s="1028" t="s">
        <v>425</v>
      </c>
      <c r="B222" s="201"/>
      <c r="C222" s="751"/>
      <c r="D222" s="201"/>
      <c r="E222" s="201"/>
      <c r="F222" s="201"/>
      <c r="G222" s="203"/>
      <c r="H222" s="201"/>
      <c r="I222" s="751"/>
      <c r="J222" s="201"/>
      <c r="K222" s="201"/>
      <c r="L222" s="202"/>
      <c r="M222" s="203"/>
      <c r="N222" s="201"/>
      <c r="O222" s="751"/>
      <c r="P222" s="201"/>
      <c r="Q222" s="201"/>
      <c r="R222" s="202"/>
      <c r="S222" s="203"/>
      <c r="T222" s="201"/>
      <c r="U222" s="751"/>
      <c r="V222" s="201"/>
      <c r="W222" s="201"/>
      <c r="X222" s="201"/>
      <c r="Y222" s="203"/>
      <c r="Z222" s="201"/>
      <c r="AA222" s="751"/>
      <c r="AB222" s="201"/>
      <c r="AC222" s="201"/>
      <c r="AD222" s="202"/>
      <c r="AE222" s="203"/>
      <c r="AF222" s="201"/>
      <c r="AG222" s="1435"/>
      <c r="AH222" s="1401"/>
      <c r="AI222" s="1401"/>
      <c r="AJ222" s="1605"/>
      <c r="AK222" s="1606"/>
      <c r="AL222" s="1401"/>
      <c r="AM222" s="2035">
        <v>400</v>
      </c>
      <c r="AN222" s="2036">
        <v>400</v>
      </c>
      <c r="AO222" s="2036">
        <v>400</v>
      </c>
      <c r="AP222" s="2037">
        <v>400</v>
      </c>
      <c r="AQ222" s="1655">
        <f>AVERAGE(AM222:AP222)</f>
        <v>400</v>
      </c>
      <c r="AR222" s="1653"/>
      <c r="AS222" s="2035">
        <v>400</v>
      </c>
      <c r="AT222" s="2036">
        <v>400</v>
      </c>
      <c r="AU222" s="2036">
        <v>400</v>
      </c>
      <c r="AV222" s="2037">
        <v>400</v>
      </c>
      <c r="AW222" s="1655">
        <f>+SUMPRODUCT(AS222:AV222,AS223:AV223)/AW223</f>
        <v>400</v>
      </c>
      <c r="AX222" s="1401"/>
      <c r="AY222" s="1435">
        <f>+(AY220*1000)/AY223</f>
        <v>332.49999999999994</v>
      </c>
      <c r="AZ222" s="1653">
        <f>+(AZ220*1000)/AZ223</f>
        <v>335.3</v>
      </c>
      <c r="BA222" s="1653">
        <f>+(BA220*1000)/BA223</f>
        <v>336</v>
      </c>
      <c r="BB222" s="1654">
        <f>+(BB220*1000)/BB223</f>
        <v>340.2</v>
      </c>
      <c r="BC222" s="1655">
        <f>+SUMPRODUCT(AY222:BB222,AY223:BB223)/BC223</f>
        <v>335.89725749111221</v>
      </c>
      <c r="BD222" s="1401"/>
      <c r="BE222" s="1435">
        <f>+(BE220*1000)/BE223</f>
        <v>334.125</v>
      </c>
      <c r="BF222" s="1653">
        <f>+(BF220*1000)/BF223</f>
        <v>326.19972833116464</v>
      </c>
      <c r="BG222" s="1653">
        <f>+(BG220*1000)/BG223</f>
        <v>320.2993788391135</v>
      </c>
      <c r="BH222" s="1654">
        <f>+(BH220*1000)/BH223</f>
        <v>312.60117629432489</v>
      </c>
      <c r="BI222" s="1655">
        <f>+SUMPRODUCT(BE222:BH222,BE223:BH223)/BI223</f>
        <v>325.48346586458251</v>
      </c>
      <c r="BJ222" s="2018"/>
      <c r="BK222" s="1435">
        <f>+(BK220*1000)/BK223</f>
        <v>135.27107065048241</v>
      </c>
      <c r="BL222" s="1653">
        <f>+(BL220*1000)/BL223</f>
        <v>170.617625</v>
      </c>
      <c r="BM222" s="1653">
        <f>+(BM220*1000)/BM223</f>
        <v>224.13466629464281</v>
      </c>
      <c r="BN222" s="1654">
        <f>+(BN220*1000)/BN223</f>
        <v>216.73623452380951</v>
      </c>
      <c r="BO222" s="1655">
        <f>+SUMPRODUCT(BK222:BN222,BK223:BN223)/BO223</f>
        <v>176.23641800821241</v>
      </c>
      <c r="BP222" s="2018"/>
      <c r="BQ222" s="1435">
        <f>+(BQ220*1000)/BQ223</f>
        <v>94.260149062402732</v>
      </c>
      <c r="BR222" s="1653">
        <f>+(BR220*1000)/BR223</f>
        <v>113.50752241269841</v>
      </c>
      <c r="BS222" s="1653">
        <f>+(BS220*1000)/BS223</f>
        <v>144.34283533375404</v>
      </c>
      <c r="BT222" s="1654">
        <f>+(BT220*1000)/BT223</f>
        <v>136.74584400039853</v>
      </c>
      <c r="BU222" s="1655">
        <f>+SUMPRODUCT(BQ222:BT222,BQ223:BT223)/BU223</f>
        <v>116.55059546780505</v>
      </c>
      <c r="BV222" s="2018"/>
      <c r="BW222" s="1435">
        <f>+(BW220*1000)/BW223</f>
        <v>70.45605296819123</v>
      </c>
      <c r="BX222" s="1653">
        <f>+(BX220*1000)/BX223</f>
        <v>103.75534500228262</v>
      </c>
      <c r="BY222" s="1653">
        <f>+(BY220*1000)/BY223</f>
        <v>163.04411357501556</v>
      </c>
      <c r="BZ222" s="1654">
        <f>+(BZ220*1000)/BZ223</f>
        <v>188.78792098159698</v>
      </c>
      <c r="CA222" s="1655">
        <f>+SUMPRODUCT(BW222:BZ222,BW223:BZ223)/CA223</f>
        <v>118.19189547586134</v>
      </c>
      <c r="CB222" s="2018"/>
      <c r="CC222" s="1435">
        <f>+(CC220*1000)/CC223</f>
        <v>98.242578238789378</v>
      </c>
      <c r="CD222" s="1653">
        <f>+(CD220*1000)/CD223</f>
        <v>144.6744767788972</v>
      </c>
      <c r="CE222" s="1653">
        <f>+(CE220*1000)/CE223</f>
        <v>227.34560636683847</v>
      </c>
      <c r="CF222" s="1654">
        <f>+(CF220*1000)/CF223</f>
        <v>263.24228105633927</v>
      </c>
      <c r="CG222" s="1655">
        <f>+SUMPRODUCT(CC222:CF222,CC223:CF223)/CG223</f>
        <v>164.80452777734163</v>
      </c>
      <c r="CH222" s="2018"/>
      <c r="CI222" s="1435">
        <f>+(CI220*1000)/CI223</f>
        <v>136.9875798089634</v>
      </c>
      <c r="CJ222" s="1653">
        <f>+(CJ220*1000)/CJ223</f>
        <v>201.7313347161747</v>
      </c>
      <c r="CK222" s="1653">
        <f>+(CK220*1000)/CK223</f>
        <v>317.00638312541747</v>
      </c>
      <c r="CL222" s="1654">
        <f>+(CL220*1000)/CL223</f>
        <v>367.06002256627278</v>
      </c>
      <c r="CM222" s="1655">
        <f>+SUMPRODUCT(CI222:CL222,CI223:CL223)/CM223</f>
        <v>229.8002943988628</v>
      </c>
      <c r="CN222" s="2018"/>
      <c r="CO222" s="1435">
        <f>+(CO220*1000)/CO223</f>
        <v>191.01287199838418</v>
      </c>
      <c r="CP222" s="1653">
        <f>+(CP220*1000)/CP223</f>
        <v>281.29033062662052</v>
      </c>
      <c r="CQ222" s="1653">
        <f>+(CQ220*1000)/CQ223</f>
        <v>442.02766241326077</v>
      </c>
      <c r="CR222" s="1654">
        <f>+(CR220*1000)/CR223</f>
        <v>511.82150384693352</v>
      </c>
      <c r="CS222" s="1655">
        <f>+SUMPRODUCT(CO222:CR222,CO223:CR223)/CS223</f>
        <v>320.42915336130972</v>
      </c>
      <c r="CT222" s="187"/>
      <c r="CU222" s="187"/>
      <c r="CV222" s="187"/>
      <c r="CW222" s="187"/>
      <c r="CX222" s="187"/>
      <c r="CY222" s="187"/>
      <c r="CZ222" s="187"/>
      <c r="DA222" s="187"/>
      <c r="DB222" s="187"/>
      <c r="DC222" s="187"/>
      <c r="DD222" s="187"/>
      <c r="DE222" s="187"/>
      <c r="DF222" s="187"/>
      <c r="DG222" s="187"/>
      <c r="DH222" s="187"/>
      <c r="DI222" s="187"/>
      <c r="DJ222" s="187"/>
      <c r="DK222" s="187"/>
      <c r="DL222" s="187"/>
      <c r="DM222" s="187"/>
      <c r="DN222" s="187"/>
      <c r="DO222" s="187"/>
      <c r="DP222" s="187"/>
      <c r="DQ222" s="187"/>
      <c r="DR222" s="187"/>
      <c r="DS222" s="187"/>
      <c r="DT222" s="187"/>
    </row>
    <row r="223" spans="1:150" ht="12.75" hidden="1" customHeight="1" outlineLevel="1">
      <c r="A223" s="1816" t="s">
        <v>97</v>
      </c>
      <c r="B223" s="1321"/>
      <c r="C223" s="1322"/>
      <c r="D223" s="1321"/>
      <c r="E223" s="1321"/>
      <c r="F223" s="1321"/>
      <c r="G223" s="1323"/>
      <c r="H223" s="1321"/>
      <c r="I223" s="1322"/>
      <c r="J223" s="1321"/>
      <c r="K223" s="1321"/>
      <c r="L223" s="1324"/>
      <c r="M223" s="1323"/>
      <c r="N223" s="1321"/>
      <c r="O223" s="1322"/>
      <c r="P223" s="1321"/>
      <c r="Q223" s="1321"/>
      <c r="R223" s="1324"/>
      <c r="S223" s="1323"/>
      <c r="T223" s="1321"/>
      <c r="U223" s="1322"/>
      <c r="V223" s="1321"/>
      <c r="W223" s="1321"/>
      <c r="X223" s="1321"/>
      <c r="Y223" s="1323"/>
      <c r="Z223" s="1321"/>
      <c r="AA223" s="1322"/>
      <c r="AB223" s="1321"/>
      <c r="AC223" s="1321"/>
      <c r="AD223" s="1324"/>
      <c r="AE223" s="1323"/>
      <c r="AF223" s="1321"/>
      <c r="AG223" s="1656"/>
      <c r="AH223" s="1657"/>
      <c r="AI223" s="1657"/>
      <c r="AJ223" s="1658"/>
      <c r="AK223" s="1659"/>
      <c r="AL223" s="1657"/>
      <c r="AM223" s="2038">
        <f>+End_Mkts!AM71</f>
        <v>0.9</v>
      </c>
      <c r="AN223" s="2039">
        <f>+End_Mkts!AN71</f>
        <v>7</v>
      </c>
      <c r="AO223" s="2039">
        <f>+End_Mkts!AO71</f>
        <v>9</v>
      </c>
      <c r="AP223" s="2040">
        <f>+End_Mkts!AP71</f>
        <v>11</v>
      </c>
      <c r="AQ223" s="1660">
        <f>SUM(AM223:AP223)</f>
        <v>27.9</v>
      </c>
      <c r="AR223" s="1661"/>
      <c r="AS223" s="2038">
        <f>+End_Mkts!AS71</f>
        <v>25</v>
      </c>
      <c r="AT223" s="2039">
        <f>+End_Mkts!AT71</f>
        <v>29</v>
      </c>
      <c r="AU223" s="2039">
        <f>+End_Mkts!AU71</f>
        <v>33.356024506466987</v>
      </c>
      <c r="AV223" s="2040">
        <f>+End_Mkts!AV71</f>
        <v>43.362831858407084</v>
      </c>
      <c r="AW223" s="1660">
        <f>SUM(AS223:AV223)</f>
        <v>130.71885636487406</v>
      </c>
      <c r="AX223" s="1661"/>
      <c r="AY223" s="2038">
        <f>+End_Mkts!AY71</f>
        <v>49</v>
      </c>
      <c r="AZ223" s="2039">
        <f>+End_Mkts!AZ71</f>
        <v>53.900000000000006</v>
      </c>
      <c r="BA223" s="2039">
        <f>+End_Mkts!BA71</f>
        <v>49</v>
      </c>
      <c r="BB223" s="2040">
        <f>+End_Mkts!BB71</f>
        <v>45</v>
      </c>
      <c r="BC223" s="1660">
        <f>SUM(AY223:BB223)</f>
        <v>196.9</v>
      </c>
      <c r="BD223" s="1661"/>
      <c r="BE223" s="2141">
        <f>+End_Mkts!BE71</f>
        <v>38.25</v>
      </c>
      <c r="BF223" s="2142">
        <f>+End_Mkts!BF71</f>
        <v>25</v>
      </c>
      <c r="BG223" s="2142">
        <f>+End_Mkts!BG71</f>
        <v>20</v>
      </c>
      <c r="BH223" s="2143">
        <f>+End_Mkts!BH71</f>
        <v>19</v>
      </c>
      <c r="BI223" s="1660">
        <f>SUM(BE223:BH223)</f>
        <v>102.25</v>
      </c>
      <c r="BJ223" s="1661"/>
      <c r="BK223" s="2141">
        <f>+BE223*1.05</f>
        <v>40.162500000000001</v>
      </c>
      <c r="BL223" s="2142">
        <v>30</v>
      </c>
      <c r="BM223" s="2142">
        <f>+BG223*1.05</f>
        <v>21</v>
      </c>
      <c r="BN223" s="2143">
        <f>+BH223*1.05</f>
        <v>19.95</v>
      </c>
      <c r="BO223" s="1660">
        <f>SUM(BK223:BN223)</f>
        <v>111.1125</v>
      </c>
      <c r="BP223" s="1661"/>
      <c r="BQ223" s="2141">
        <f>+BK223*1.05</f>
        <v>42.170625000000001</v>
      </c>
      <c r="BR223" s="2142">
        <f>+BL223*1.05</f>
        <v>31.5</v>
      </c>
      <c r="BS223" s="2142">
        <f>+BM223*1.05</f>
        <v>22.05</v>
      </c>
      <c r="BT223" s="2143">
        <f>+BN223*1.05</f>
        <v>20.947500000000002</v>
      </c>
      <c r="BU223" s="1660">
        <f>SUM(BQ223:BT223)</f>
        <v>116.668125</v>
      </c>
      <c r="BV223" s="1661"/>
      <c r="BW223" s="2141">
        <f>+BQ223*1.05</f>
        <v>44.27915625</v>
      </c>
      <c r="BX223" s="2142">
        <f>+BR223*1.05</f>
        <v>33.075000000000003</v>
      </c>
      <c r="BY223" s="2142">
        <f>+BS223*1.05</f>
        <v>23.152500000000003</v>
      </c>
      <c r="BZ223" s="2143">
        <f>+BT223*1.05</f>
        <v>21.994875000000004</v>
      </c>
      <c r="CA223" s="1660">
        <f>SUM(BW223:BZ223)</f>
        <v>122.50153125000001</v>
      </c>
      <c r="CB223" s="1661"/>
      <c r="CC223" s="2141">
        <f>+BW223*1.05</f>
        <v>46.493114062499998</v>
      </c>
      <c r="CD223" s="2142">
        <f>+BX223*1.05</f>
        <v>34.728750000000005</v>
      </c>
      <c r="CE223" s="2142">
        <f>+BY223*1.05</f>
        <v>24.310125000000003</v>
      </c>
      <c r="CF223" s="2143">
        <f>+BZ223*1.05</f>
        <v>23.094618750000006</v>
      </c>
      <c r="CG223" s="1660">
        <f>SUM(CC223:CF223)</f>
        <v>128.6266078125</v>
      </c>
      <c r="CH223" s="1661"/>
      <c r="CI223" s="2141">
        <f>+CC223*1.05</f>
        <v>48.817769765625002</v>
      </c>
      <c r="CJ223" s="2142">
        <f>+CD223*1.05</f>
        <v>36.465187500000006</v>
      </c>
      <c r="CK223" s="2142">
        <f>+CE223*1.05</f>
        <v>25.525631250000004</v>
      </c>
      <c r="CL223" s="2143">
        <f>+CF223*1.05</f>
        <v>24.249349687500008</v>
      </c>
      <c r="CM223" s="1660">
        <f>SUM(CI223:CL223)</f>
        <v>135.05793820312502</v>
      </c>
      <c r="CN223" s="1661"/>
      <c r="CO223" s="2141">
        <f>+CI223*1.05</f>
        <v>51.258658253906255</v>
      </c>
      <c r="CP223" s="2142">
        <f>+CJ223*1.05</f>
        <v>38.288446875000005</v>
      </c>
      <c r="CQ223" s="2142">
        <f>+CK223*1.05</f>
        <v>26.801912812500007</v>
      </c>
      <c r="CR223" s="2143">
        <f>+CL223*1.05</f>
        <v>25.461817171875008</v>
      </c>
      <c r="CS223" s="1660">
        <f>SUM(CO223:CR223)</f>
        <v>141.81083511328126</v>
      </c>
      <c r="CT223" s="187"/>
      <c r="CU223" s="187"/>
      <c r="CV223" s="187"/>
      <c r="CW223" s="187"/>
      <c r="CX223" s="187"/>
      <c r="CY223" s="187"/>
      <c r="CZ223" s="187"/>
      <c r="DA223" s="187"/>
      <c r="DB223" s="187"/>
      <c r="DC223" s="187"/>
      <c r="DD223" s="187"/>
      <c r="DE223" s="187"/>
      <c r="DF223" s="187"/>
      <c r="DG223" s="187"/>
      <c r="DH223" s="187"/>
      <c r="DI223" s="187"/>
      <c r="DJ223" s="187"/>
      <c r="DK223" s="187"/>
      <c r="DL223" s="187"/>
      <c r="DM223" s="187"/>
      <c r="DN223" s="187"/>
      <c r="DO223" s="187"/>
      <c r="DP223" s="187"/>
      <c r="DQ223" s="187"/>
      <c r="DR223" s="187"/>
      <c r="DS223" s="187"/>
      <c r="DT223" s="187"/>
    </row>
    <row r="224" spans="1:150" collapsed="1">
      <c r="A224" s="1055"/>
      <c r="B224" s="183"/>
      <c r="C224" s="183"/>
      <c r="D224" s="183"/>
      <c r="E224" s="183"/>
      <c r="F224" s="183"/>
      <c r="G224" s="183"/>
      <c r="H224" s="183"/>
      <c r="I224" s="183"/>
      <c r="J224" s="183"/>
      <c r="K224" s="183"/>
      <c r="L224" s="183"/>
      <c r="M224" s="183"/>
      <c r="N224" s="183"/>
      <c r="O224" s="183"/>
      <c r="P224" s="183"/>
      <c r="Q224" s="183"/>
      <c r="R224" s="183"/>
      <c r="S224" s="183"/>
      <c r="T224" s="183"/>
      <c r="U224" s="183"/>
      <c r="V224" s="183"/>
      <c r="W224" s="183"/>
      <c r="X224" s="183"/>
      <c r="Y224" s="183"/>
      <c r="Z224" s="183"/>
      <c r="AA224" s="183"/>
      <c r="AB224" s="183"/>
      <c r="AC224" s="183"/>
      <c r="AD224" s="183"/>
      <c r="AE224" s="183"/>
      <c r="AF224" s="183"/>
      <c r="AG224" s="183"/>
      <c r="AH224" s="183"/>
      <c r="AI224" s="183"/>
      <c r="AJ224" s="183"/>
      <c r="AK224" s="183"/>
      <c r="AL224" s="183"/>
      <c r="AM224" s="183"/>
      <c r="AN224" s="183"/>
      <c r="AO224" s="1354"/>
      <c r="AP224" s="183"/>
      <c r="AQ224" s="183"/>
      <c r="AR224" s="183"/>
      <c r="AS224" s="1440"/>
      <c r="AT224" s="183"/>
      <c r="AU224" s="183"/>
      <c r="AV224" s="1711"/>
      <c r="AW224" s="1957"/>
      <c r="AX224" s="1440"/>
      <c r="AY224" s="1440"/>
      <c r="AZ224" s="1440"/>
      <c r="BA224" s="1440"/>
      <c r="BB224" s="1440"/>
      <c r="BC224" s="1440"/>
      <c r="BD224" s="1440"/>
      <c r="BE224" s="1440"/>
      <c r="BF224" s="1440"/>
      <c r="BG224" s="1440"/>
      <c r="BH224" s="1440"/>
      <c r="BI224" s="1440"/>
      <c r="BJ224" s="1440"/>
      <c r="BK224" s="1440"/>
      <c r="BL224" s="1440"/>
      <c r="BM224" s="1440"/>
      <c r="BN224" s="1440"/>
      <c r="BO224" s="1440"/>
      <c r="BP224" s="1440"/>
      <c r="BQ224" s="1440"/>
      <c r="BR224" s="1440"/>
      <c r="BS224" s="1440"/>
      <c r="BT224" s="1440"/>
      <c r="BU224" s="1440"/>
      <c r="BV224" s="1440"/>
      <c r="BW224" s="1440"/>
      <c r="BX224" s="1440"/>
      <c r="BY224" s="1440"/>
      <c r="BZ224" s="1440"/>
      <c r="CA224" s="1440"/>
      <c r="CB224" s="1440"/>
      <c r="CC224" s="1440"/>
      <c r="CD224" s="1440"/>
      <c r="CE224" s="1440"/>
      <c r="CF224" s="1440"/>
      <c r="CG224" s="1440"/>
      <c r="CH224" s="1440"/>
      <c r="CI224" s="1440"/>
      <c r="CJ224" s="1440"/>
      <c r="CK224" s="1440"/>
      <c r="CL224" s="1440"/>
      <c r="CM224" s="1440"/>
      <c r="CN224" s="1440"/>
      <c r="CO224" s="1440"/>
      <c r="CP224" s="1440"/>
      <c r="CQ224" s="1440"/>
      <c r="CR224" s="1440"/>
      <c r="CS224" s="1440"/>
      <c r="CT224" s="187"/>
      <c r="CU224" s="187"/>
      <c r="CV224" s="187"/>
      <c r="CW224" s="187"/>
      <c r="CX224" s="187"/>
      <c r="CY224" s="187"/>
      <c r="CZ224" s="187"/>
      <c r="DA224" s="187"/>
      <c r="DB224" s="187"/>
      <c r="DC224" s="187"/>
      <c r="DD224" s="187"/>
      <c r="DE224" s="187"/>
      <c r="DF224" s="187"/>
      <c r="DG224" s="187"/>
      <c r="DH224" s="187"/>
      <c r="DI224" s="187"/>
      <c r="DJ224" s="187"/>
      <c r="DK224" s="187"/>
      <c r="DL224" s="187"/>
      <c r="DM224" s="187"/>
      <c r="DN224" s="187"/>
      <c r="DO224" s="187"/>
      <c r="DP224" s="187"/>
      <c r="DQ224" s="187"/>
      <c r="DR224" s="187"/>
      <c r="DS224" s="187"/>
      <c r="DT224" s="187"/>
    </row>
    <row r="225" spans="1:124">
      <c r="A225" s="1056" t="s">
        <v>173</v>
      </c>
      <c r="B225" s="1057"/>
      <c r="C225" s="1058">
        <f>C205+C207</f>
        <v>72.150000000000006</v>
      </c>
      <c r="D225" s="1057">
        <f>D205+D207</f>
        <v>84.534999999999997</v>
      </c>
      <c r="E225" s="1057">
        <f>E205+E207</f>
        <v>97.510000000000019</v>
      </c>
      <c r="F225" s="1061">
        <f>F205+F207</f>
        <v>112.60400000000001</v>
      </c>
      <c r="G225" s="1059">
        <f>G205+G207</f>
        <v>366.79900000000004</v>
      </c>
      <c r="H225" s="1057"/>
      <c r="I225" s="1058">
        <f>I205+I207</f>
        <v>121.86099999999999</v>
      </c>
      <c r="J225" s="1057">
        <f>J205+J207</f>
        <v>140.17699999999999</v>
      </c>
      <c r="K225" s="1057">
        <f>K205+K207</f>
        <v>150.26</v>
      </c>
      <c r="L225" s="1061">
        <f>L205+L207</f>
        <v>160.92700000000002</v>
      </c>
      <c r="M225" s="1059">
        <f>M205+M207</f>
        <v>573.22500000000002</v>
      </c>
      <c r="N225" s="1057"/>
      <c r="O225" s="1058">
        <f>O205+O207</f>
        <v>165.75700000000001</v>
      </c>
      <c r="P225" s="1057">
        <f>P205+P207</f>
        <v>161.643</v>
      </c>
      <c r="Q225" s="1057">
        <f>Q205+Q207</f>
        <v>158.35999999999999</v>
      </c>
      <c r="R225" s="1061">
        <f>R205+R207</f>
        <v>180.56399999999996</v>
      </c>
      <c r="S225" s="1059">
        <f>S205+S207</f>
        <v>666.32400000000007</v>
      </c>
      <c r="T225" s="1057"/>
      <c r="U225" s="1058">
        <f>U205+U207</f>
        <v>192.13099999999997</v>
      </c>
      <c r="V225" s="1057">
        <f>V205+V207</f>
        <v>212.00299999999996</v>
      </c>
      <c r="W225" s="1057">
        <f>W205+W207</f>
        <v>237.309</v>
      </c>
      <c r="X225" s="1061">
        <f>X205+X207</f>
        <v>261.298</v>
      </c>
      <c r="Y225" s="1059">
        <f>Y205+Y207</f>
        <v>902.74099999999999</v>
      </c>
      <c r="Z225" s="1057"/>
      <c r="AA225" s="1058">
        <f>AA205+AA207</f>
        <v>282.51499999999999</v>
      </c>
      <c r="AB225" s="1057">
        <f>AB205+AB207</f>
        <v>287.45000000000005</v>
      </c>
      <c r="AC225" s="1057">
        <f>AC205+AC207</f>
        <v>235.49899999999994</v>
      </c>
      <c r="AD225" s="1061">
        <f>AD205+AD207</f>
        <v>250.07099999999997</v>
      </c>
      <c r="AE225" s="1059">
        <f>AE205+AE207</f>
        <v>1055.5350000000001</v>
      </c>
      <c r="AF225" s="1057"/>
      <c r="AG225" s="1058">
        <f>AG205+AG207</f>
        <v>272.36937499999999</v>
      </c>
      <c r="AH225" s="1057">
        <f>AH205+AH207</f>
        <v>281.04445866666663</v>
      </c>
      <c r="AI225" s="1057">
        <f>AI205+AI207</f>
        <v>285.85431249999999</v>
      </c>
      <c r="AJ225" s="1061">
        <f>AJ205+AJ207</f>
        <v>308.67459478541667</v>
      </c>
      <c r="AK225" s="1059">
        <f>AK205+AK207</f>
        <v>1147.9427409520833</v>
      </c>
      <c r="AL225" s="1057"/>
      <c r="AM225" s="1058">
        <f>AM205+AM207</f>
        <v>330.26464785971547</v>
      </c>
      <c r="AN225" s="1057">
        <f>AN205+AN207</f>
        <v>345.32924360499999</v>
      </c>
      <c r="AO225" s="1057">
        <f>AO205+AO207</f>
        <v>355.95310852941174</v>
      </c>
      <c r="AP225" s="1061">
        <f>AP205+AP207</f>
        <v>386.5294093497979</v>
      </c>
      <c r="AQ225" s="1059">
        <f>AQ205+AQ207</f>
        <v>1418.0764093439252</v>
      </c>
      <c r="AR225" s="1057"/>
      <c r="AS225" s="1441">
        <f>AS205+AS207</f>
        <v>421.2922186185325</v>
      </c>
      <c r="AT225" s="1057">
        <f>AT205+AT207</f>
        <v>445.49725436098953</v>
      </c>
      <c r="AU225" s="1057">
        <f>AU205+AU207</f>
        <v>475.84799804935329</v>
      </c>
      <c r="AV225" s="1712">
        <f>AV205+AV207</f>
        <v>508.52996493275413</v>
      </c>
      <c r="AW225" s="1709">
        <f>AW205+AW207</f>
        <v>1851.1674359616297</v>
      </c>
      <c r="AX225" s="1708"/>
      <c r="AY225" s="1441">
        <f>AY205+AY207</f>
        <v>537.71303768796997</v>
      </c>
      <c r="AZ225" s="1708">
        <f>AZ205+AZ207</f>
        <v>538.86400035375948</v>
      </c>
      <c r="BA225" s="1708">
        <f>BA205+BA207</f>
        <v>549.47873758421065</v>
      </c>
      <c r="BB225" s="1712">
        <f>BB205+BB207</f>
        <v>592.23278614962396</v>
      </c>
      <c r="BC225" s="1709">
        <f>BC205+BC207</f>
        <v>2218.2885617755637</v>
      </c>
      <c r="BD225" s="1708"/>
      <c r="BE225" s="1441">
        <f>BE205+BE207</f>
        <v>572.21214160338343</v>
      </c>
      <c r="BF225" s="1708">
        <f>BF205+BF207</f>
        <v>599.68302224965475</v>
      </c>
      <c r="BG225" s="1708">
        <f>BG205+BG207</f>
        <v>606.73894178277862</v>
      </c>
      <c r="BH225" s="1712">
        <f>BH205+BH207</f>
        <v>620.65612762342687</v>
      </c>
      <c r="BI225" s="1709">
        <f>BI205+BI207</f>
        <v>2399.2902332592435</v>
      </c>
      <c r="BJ225" s="1708"/>
      <c r="BK225" s="1441">
        <f>BK205+BK207</f>
        <v>597.87947343868677</v>
      </c>
      <c r="BL225" s="1708">
        <f>BL205+BL207</f>
        <v>662.05829531625795</v>
      </c>
      <c r="BM225" s="1708">
        <f>BM205+BM207</f>
        <v>714.10298294854908</v>
      </c>
      <c r="BN225" s="1712">
        <f>BN205+BN207</f>
        <v>778.00919423092728</v>
      </c>
      <c r="BO225" s="1709">
        <f>BO205+BO207</f>
        <v>2752.0499459344214</v>
      </c>
      <c r="BP225" s="1708"/>
      <c r="BQ225" s="1441">
        <f>BQ205+BQ207</f>
        <v>782.4710660994408</v>
      </c>
      <c r="BR225" s="1708">
        <f>BR205+BR207</f>
        <v>790.43216979006502</v>
      </c>
      <c r="BS225" s="1708">
        <f>BS205+BS207</f>
        <v>805.67664848068898</v>
      </c>
      <c r="BT225" s="1712">
        <f>BT205+BT207</f>
        <v>840.31812717131322</v>
      </c>
      <c r="BU225" s="1709">
        <f>BU205+BU207</f>
        <v>3218.8980115415075</v>
      </c>
      <c r="BV225" s="1708"/>
      <c r="BW225" s="1441">
        <f>BW205+BW207</f>
        <v>872.66311950238219</v>
      </c>
      <c r="BX225" s="1708">
        <f>BX205+BX207</f>
        <v>870.22373106422003</v>
      </c>
      <c r="BY225" s="1708">
        <f>BY205+BY207</f>
        <v>882.06875801067349</v>
      </c>
      <c r="BZ225" s="1712">
        <f>BZ205+BZ207</f>
        <v>917.82797726481897</v>
      </c>
      <c r="CA225" s="1709">
        <f>CA205+CA207</f>
        <v>3542.783585842094</v>
      </c>
      <c r="CB225" s="1708"/>
      <c r="CC225" s="1441">
        <f>CC205+CC207</f>
        <v>961.28431101600609</v>
      </c>
      <c r="CD225" s="1708">
        <f>CD205+CD207</f>
        <v>959.45288335890905</v>
      </c>
      <c r="CE225" s="1708">
        <f>CE205+CE207</f>
        <v>972.24722094441563</v>
      </c>
      <c r="CF225" s="1712">
        <f>CF205+CF207</f>
        <v>1013.0584482932361</v>
      </c>
      <c r="CG225" s="1709">
        <f>CG205+CG207</f>
        <v>3906.0428636125671</v>
      </c>
      <c r="CH225" s="1708"/>
      <c r="CI225" s="1441">
        <f>CI205+CI207</f>
        <v>1061.5747363625551</v>
      </c>
      <c r="CJ225" s="1708">
        <f>CJ205+CJ207</f>
        <v>1059.36255204085</v>
      </c>
      <c r="CK225" s="1708">
        <f>CK205+CK207</f>
        <v>1072.8875263874511</v>
      </c>
      <c r="CL225" s="1712">
        <f>CL205+CL207</f>
        <v>1120.6718618303846</v>
      </c>
      <c r="CM225" s="1709">
        <f>CM205+CM207</f>
        <v>4314.4966766212419</v>
      </c>
      <c r="CN225" s="1708"/>
      <c r="CO225" s="1441">
        <f>CO205+CO207</f>
        <v>1167.3216847679541</v>
      </c>
      <c r="CP225" s="1708">
        <f>CP205+CP207</f>
        <v>1169.9955643677145</v>
      </c>
      <c r="CQ225" s="1708">
        <f>CQ205+CQ207</f>
        <v>1189.2413465931577</v>
      </c>
      <c r="CR225" s="1712">
        <f>CR205+CR207</f>
        <v>1243.6616641844498</v>
      </c>
      <c r="CS225" s="1709">
        <f>CS205+CS207</f>
        <v>4770.2202599132761</v>
      </c>
      <c r="CT225" s="187"/>
      <c r="CU225" s="70"/>
      <c r="CV225" s="70"/>
      <c r="CW225" s="70"/>
      <c r="CX225" s="70"/>
      <c r="CY225" s="70"/>
      <c r="CZ225" s="70"/>
      <c r="DA225" s="70"/>
      <c r="DB225" s="70"/>
      <c r="DC225" s="70"/>
      <c r="DD225" s="70"/>
      <c r="DE225" s="70"/>
      <c r="DF225" s="70"/>
      <c r="DG225" s="70"/>
      <c r="DH225" s="70"/>
      <c r="DI225" s="70"/>
      <c r="DJ225" s="70"/>
      <c r="DK225" s="70"/>
      <c r="DL225" s="70"/>
      <c r="DM225" s="70"/>
      <c r="DN225" s="70"/>
      <c r="DO225" s="70"/>
      <c r="DP225" s="70"/>
      <c r="DQ225" s="70"/>
      <c r="DR225" s="70"/>
      <c r="DS225" s="70"/>
      <c r="DT225" s="70"/>
    </row>
    <row r="226" spans="1:124" ht="6.75" hidden="1" customHeight="1" outlineLevel="1">
      <c r="A226" s="1062"/>
      <c r="B226" s="1062"/>
      <c r="C226" s="1062"/>
      <c r="D226" s="1062"/>
      <c r="E226" s="1062"/>
      <c r="F226" s="1062"/>
      <c r="G226" s="1062"/>
      <c r="H226" s="1062"/>
      <c r="I226" s="1062"/>
      <c r="J226" s="1062"/>
      <c r="K226" s="1062"/>
      <c r="L226" s="1062"/>
      <c r="M226" s="1062"/>
      <c r="N226" s="1062"/>
      <c r="O226" s="1062"/>
      <c r="P226" s="1062"/>
      <c r="Q226" s="1062"/>
      <c r="R226" s="1062"/>
      <c r="S226" s="1062"/>
      <c r="T226" s="1062"/>
      <c r="U226" s="1062"/>
      <c r="V226" s="1062"/>
      <c r="W226" s="1062"/>
      <c r="X226" s="1062"/>
      <c r="Y226" s="1062"/>
      <c r="Z226" s="1062"/>
      <c r="AA226" s="1062"/>
      <c r="AB226" s="1062"/>
      <c r="AC226" s="1062"/>
      <c r="AD226" s="1062"/>
      <c r="AE226" s="1062"/>
      <c r="AF226" s="1062"/>
      <c r="AG226" s="1062"/>
      <c r="AH226" s="1062"/>
      <c r="AI226" s="1062"/>
      <c r="AJ226" s="1062"/>
      <c r="AK226" s="1062"/>
      <c r="AL226" s="1062"/>
      <c r="AM226" s="1062"/>
      <c r="AN226" s="1062"/>
      <c r="AO226" s="1062"/>
      <c r="AP226" s="1062"/>
      <c r="AQ226" s="1062"/>
      <c r="AR226" s="1062"/>
      <c r="AS226" s="1062"/>
      <c r="AT226" s="1541"/>
      <c r="AU226" s="1541"/>
      <c r="AV226" s="1062"/>
      <c r="AW226" s="1062"/>
      <c r="AX226" s="1062"/>
      <c r="AY226" s="1062"/>
      <c r="AZ226" s="1062"/>
      <c r="BA226" s="1062"/>
      <c r="BB226" s="1062"/>
      <c r="BC226" s="1062"/>
      <c r="BD226" s="1062"/>
      <c r="BE226" s="1062"/>
      <c r="BF226" s="1062"/>
      <c r="BG226" s="1062"/>
      <c r="BH226" s="1062"/>
      <c r="BI226" s="1062"/>
      <c r="BJ226" s="1062"/>
      <c r="BK226" s="1062"/>
      <c r="BL226" s="1062"/>
      <c r="BM226" s="1062"/>
      <c r="BN226" s="1062"/>
      <c r="BO226" s="1062"/>
      <c r="BP226" s="1062"/>
      <c r="BQ226" s="1062"/>
      <c r="BR226" s="1062"/>
      <c r="BS226" s="1062"/>
      <c r="BT226" s="1062"/>
      <c r="BU226" s="1062"/>
      <c r="BV226" s="1062"/>
      <c r="BW226" s="1062"/>
      <c r="BX226" s="1062"/>
      <c r="BY226" s="1062"/>
      <c r="BZ226" s="1062"/>
      <c r="CA226" s="1062"/>
      <c r="CB226" s="1062"/>
      <c r="CC226" s="1062"/>
      <c r="CD226" s="1062"/>
      <c r="CE226" s="1062"/>
      <c r="CF226" s="1062"/>
      <c r="CG226" s="1062"/>
      <c r="CH226" s="1062"/>
      <c r="CI226" s="1062"/>
      <c r="CJ226" s="1062"/>
      <c r="CK226" s="1062"/>
      <c r="CL226" s="1062"/>
      <c r="CM226" s="1062"/>
      <c r="CN226" s="1062"/>
      <c r="CO226" s="1062"/>
      <c r="CP226" s="1062"/>
      <c r="CQ226" s="1062"/>
      <c r="CR226" s="1062"/>
      <c r="CS226" s="1062"/>
      <c r="CT226" s="1062"/>
      <c r="CU226" s="1063"/>
      <c r="CV226" s="1063"/>
      <c r="CW226" s="1063"/>
      <c r="CX226" s="1063"/>
      <c r="CY226" s="1063"/>
      <c r="CZ226" s="1063"/>
      <c r="DA226" s="1063"/>
      <c r="DB226" s="1063"/>
      <c r="DC226" s="1063"/>
      <c r="DD226" s="1063"/>
      <c r="DE226" s="1063"/>
      <c r="DF226" s="1063"/>
      <c r="DG226" s="1063"/>
      <c r="DH226" s="1063"/>
      <c r="DI226" s="1063"/>
      <c r="DJ226" s="1063"/>
      <c r="DK226" s="1063"/>
      <c r="DL226" s="1063"/>
      <c r="DM226" s="1063"/>
      <c r="DN226" s="1063"/>
      <c r="DO226" s="1063"/>
      <c r="DP226" s="1063"/>
      <c r="DQ226" s="1063"/>
      <c r="DR226" s="1063"/>
      <c r="DS226" s="1063"/>
      <c r="DT226" s="1063"/>
    </row>
    <row r="227" spans="1:124" ht="6.75" customHeight="1" collapsed="1">
      <c r="A227" s="228"/>
      <c r="B227" s="228"/>
      <c r="C227" s="228"/>
      <c r="D227" s="228"/>
      <c r="E227" s="228"/>
      <c r="F227" s="228"/>
      <c r="G227" s="228"/>
      <c r="H227" s="228"/>
      <c r="I227" s="228"/>
      <c r="J227" s="228"/>
      <c r="K227" s="228"/>
      <c r="L227" s="228"/>
      <c r="M227" s="228"/>
      <c r="N227" s="228"/>
      <c r="O227" s="228"/>
      <c r="P227" s="228"/>
      <c r="Q227" s="228"/>
      <c r="R227" s="228"/>
      <c r="S227" s="228"/>
      <c r="T227" s="228"/>
      <c r="U227" s="228"/>
      <c r="V227" s="228"/>
      <c r="W227" s="228"/>
      <c r="X227" s="228"/>
      <c r="Y227" s="228"/>
      <c r="Z227" s="228"/>
      <c r="AA227" s="228"/>
      <c r="AB227" s="228"/>
      <c r="AC227" s="228"/>
      <c r="AD227" s="228"/>
      <c r="AE227" s="228"/>
      <c r="AF227" s="228"/>
      <c r="AG227" s="228"/>
      <c r="AH227" s="228"/>
      <c r="AI227" s="228"/>
      <c r="AJ227" s="228"/>
      <c r="AK227" s="228"/>
      <c r="AL227" s="228"/>
      <c r="AM227" s="228"/>
      <c r="AN227" s="1348"/>
      <c r="AO227" s="228"/>
      <c r="AP227" s="228"/>
      <c r="AQ227" s="228"/>
      <c r="AR227" s="228"/>
      <c r="AS227" s="228"/>
      <c r="AT227" s="228"/>
      <c r="AU227" s="228"/>
      <c r="AV227" s="228"/>
      <c r="AW227" s="228"/>
      <c r="AX227" s="228"/>
      <c r="AY227" s="228"/>
      <c r="AZ227" s="228"/>
      <c r="BA227" s="228"/>
      <c r="BB227" s="228"/>
      <c r="BC227" s="228"/>
      <c r="BD227" s="228"/>
      <c r="BE227" s="228"/>
      <c r="BF227" s="228"/>
      <c r="BG227" s="228"/>
      <c r="BH227" s="228"/>
      <c r="BI227" s="228"/>
      <c r="BJ227" s="228"/>
      <c r="BK227" s="228"/>
      <c r="BL227" s="228"/>
      <c r="BM227" s="228"/>
      <c r="BN227" s="228"/>
      <c r="BO227" s="228"/>
      <c r="BP227" s="228"/>
      <c r="BQ227" s="228"/>
      <c r="BR227" s="228"/>
      <c r="BS227" s="228"/>
      <c r="BT227" s="228"/>
      <c r="BU227" s="228"/>
      <c r="BV227" s="228"/>
      <c r="BW227" s="228"/>
      <c r="BX227" s="228"/>
      <c r="BY227" s="228"/>
      <c r="BZ227" s="228"/>
      <c r="CA227" s="228"/>
      <c r="CB227" s="228"/>
      <c r="CC227" s="228"/>
      <c r="CD227" s="228"/>
      <c r="CE227" s="228"/>
      <c r="CF227" s="228"/>
      <c r="CG227" s="228"/>
      <c r="CH227" s="228"/>
      <c r="CI227" s="228"/>
      <c r="CJ227" s="228"/>
      <c r="CK227" s="228"/>
      <c r="CL227" s="228"/>
      <c r="CM227" s="228"/>
      <c r="CN227" s="228"/>
      <c r="CO227" s="228"/>
      <c r="CP227" s="228"/>
      <c r="CQ227" s="228"/>
      <c r="CR227" s="228"/>
      <c r="CS227" s="228"/>
      <c r="CT227" s="228"/>
      <c r="CU227" s="1063"/>
      <c r="CV227" s="1063"/>
      <c r="CW227" s="1063"/>
      <c r="CX227" s="1063"/>
      <c r="CY227" s="1063"/>
      <c r="CZ227" s="1063"/>
      <c r="DA227" s="1063"/>
      <c r="DB227" s="1063"/>
      <c r="DC227" s="1063"/>
      <c r="DD227" s="1063"/>
      <c r="DE227" s="1063"/>
      <c r="DF227" s="1063"/>
      <c r="DG227" s="1063"/>
      <c r="DH227" s="1063"/>
      <c r="DI227" s="1063"/>
      <c r="DJ227" s="1063"/>
      <c r="DK227" s="1063"/>
      <c r="DL227" s="1063"/>
      <c r="DM227" s="1063"/>
      <c r="DN227" s="1063"/>
      <c r="DO227" s="1063"/>
      <c r="DP227" s="1063"/>
      <c r="DQ227" s="1063"/>
      <c r="DR227" s="1063"/>
      <c r="DS227" s="1063"/>
      <c r="DT227" s="1063"/>
    </row>
    <row r="228" spans="1:124">
      <c r="A228" s="1064" t="s">
        <v>236</v>
      </c>
      <c r="B228" s="1065"/>
      <c r="C228" s="1066"/>
      <c r="D228" s="1067"/>
      <c r="E228" s="1067"/>
      <c r="F228" s="1067"/>
      <c r="G228" s="1068"/>
      <c r="H228" s="1067"/>
      <c r="I228" s="1066"/>
      <c r="J228" s="1067"/>
      <c r="K228" s="1067"/>
      <c r="L228" s="1067"/>
      <c r="M228" s="1068"/>
      <c r="N228" s="1067"/>
      <c r="O228" s="1069"/>
      <c r="P228" s="1070"/>
      <c r="Q228" s="1070"/>
      <c r="R228" s="1071"/>
      <c r="S228" s="1068"/>
      <c r="T228" s="1067"/>
      <c r="U228" s="1069"/>
      <c r="V228" s="1070"/>
      <c r="W228" s="1070"/>
      <c r="X228" s="1072"/>
      <c r="Y228" s="1073"/>
      <c r="Z228" s="1074"/>
      <c r="AA228" s="1075"/>
      <c r="AB228" s="1076"/>
      <c r="AC228" s="1076"/>
      <c r="AD228" s="1076"/>
      <c r="AE228" s="1073"/>
      <c r="AF228" s="1074"/>
      <c r="AG228" s="1077"/>
      <c r="AH228" s="1074"/>
      <c r="AI228" s="1074"/>
      <c r="AJ228" s="1078"/>
      <c r="AK228" s="1079"/>
      <c r="AL228" s="1074"/>
      <c r="AM228" s="1077"/>
      <c r="AN228" s="1074"/>
      <c r="AO228" s="1074"/>
      <c r="AP228" s="1074"/>
      <c r="AQ228" s="1073"/>
      <c r="AR228" s="1074"/>
      <c r="AS228" s="1443"/>
      <c r="AT228" s="1074"/>
      <c r="AU228" s="1074"/>
      <c r="AV228" s="1713"/>
      <c r="AW228" s="1080"/>
      <c r="AX228" s="1713"/>
      <c r="AY228" s="1443"/>
      <c r="AZ228" s="1713"/>
      <c r="BA228" s="1713"/>
      <c r="BB228" s="1713"/>
      <c r="BC228" s="1080"/>
      <c r="BD228" s="1713"/>
      <c r="BE228" s="1443"/>
      <c r="BF228" s="1713"/>
      <c r="BG228" s="1713"/>
      <c r="BH228" s="1714"/>
      <c r="BI228" s="1080"/>
      <c r="BJ228" s="1713"/>
      <c r="BK228" s="1443"/>
      <c r="BL228" s="1713"/>
      <c r="BM228" s="1713"/>
      <c r="BN228" s="1714"/>
      <c r="BO228" s="1080"/>
      <c r="BP228" s="1713"/>
      <c r="BQ228" s="1443"/>
      <c r="BR228" s="1713"/>
      <c r="BS228" s="1713"/>
      <c r="BT228" s="1714"/>
      <c r="BU228" s="1080"/>
      <c r="BV228" s="1713"/>
      <c r="BW228" s="1443"/>
      <c r="BX228" s="1713"/>
      <c r="BY228" s="1713"/>
      <c r="BZ228" s="1714"/>
      <c r="CA228" s="1080"/>
      <c r="CB228" s="1713"/>
      <c r="CC228" s="1443"/>
      <c r="CD228" s="1713"/>
      <c r="CE228" s="1713"/>
      <c r="CF228" s="1714"/>
      <c r="CG228" s="1080"/>
      <c r="CH228" s="1713"/>
      <c r="CI228" s="1443"/>
      <c r="CJ228" s="1713"/>
      <c r="CK228" s="1713"/>
      <c r="CL228" s="1714"/>
      <c r="CM228" s="1080"/>
      <c r="CN228" s="1713"/>
      <c r="CO228" s="1443"/>
      <c r="CP228" s="1713"/>
      <c r="CQ228" s="1713"/>
      <c r="CR228" s="1714"/>
      <c r="CS228" s="1080"/>
      <c r="CT228" s="229"/>
      <c r="CU228" s="60"/>
      <c r="CV228" s="60"/>
      <c r="CW228" s="60"/>
      <c r="CX228" s="60"/>
      <c r="CY228" s="60"/>
      <c r="CZ228" s="60"/>
      <c r="DA228" s="60"/>
      <c r="DB228" s="60"/>
      <c r="DC228" s="60"/>
      <c r="DD228" s="60"/>
      <c r="DE228" s="60"/>
      <c r="DF228" s="60"/>
      <c r="DG228" s="60"/>
      <c r="DH228" s="60"/>
      <c r="DI228" s="68"/>
      <c r="DJ228" s="68"/>
      <c r="DK228" s="68"/>
      <c r="DL228" s="68"/>
      <c r="DM228" s="68"/>
      <c r="DN228" s="68"/>
      <c r="DO228" s="68"/>
      <c r="DP228" s="68"/>
      <c r="DQ228" s="68"/>
      <c r="DR228" s="68"/>
      <c r="DS228" s="68"/>
      <c r="DT228" s="68"/>
    </row>
    <row r="229" spans="1:124">
      <c r="A229" s="831" t="s">
        <v>211</v>
      </c>
      <c r="B229" s="1081"/>
      <c r="C229" s="819">
        <f>C14/C16</f>
        <v>0.84914760914760901</v>
      </c>
      <c r="D229" s="820">
        <f>D14/D16</f>
        <v>0.87889040042585909</v>
      </c>
      <c r="E229" s="820">
        <f>E14/E16</f>
        <v>0.92319762075684542</v>
      </c>
      <c r="F229" s="820">
        <f>F14/F16</f>
        <v>0.89796987673617279</v>
      </c>
      <c r="G229" s="821">
        <f>G14/G16</f>
        <v>0.89067581972688037</v>
      </c>
      <c r="H229" s="820"/>
      <c r="I229" s="819">
        <f>I14/I16</f>
        <v>0.9082725400251106</v>
      </c>
      <c r="J229" s="820">
        <f>J14/J16</f>
        <v>0.91706913402341328</v>
      </c>
      <c r="K229" s="820">
        <f>K14/K16</f>
        <v>0.933841341674431</v>
      </c>
      <c r="L229" s="820">
        <f>L14/L16</f>
        <v>0.94972254500487796</v>
      </c>
      <c r="M229" s="821">
        <f>M14/M16</f>
        <v>0.92876270225478641</v>
      </c>
      <c r="N229" s="820"/>
      <c r="O229" s="819">
        <f>O14/O16</f>
        <v>0.94233727685708601</v>
      </c>
      <c r="P229" s="820">
        <f>P14/P16</f>
        <v>0.94779235723167721</v>
      </c>
      <c r="Q229" s="820">
        <f>Q14/Q16</f>
        <v>0.94914119727203838</v>
      </c>
      <c r="R229" s="820">
        <f>R14/R16</f>
        <v>0.92782060654394005</v>
      </c>
      <c r="S229" s="821">
        <f>S14/S16</f>
        <v>0.94134385073927995</v>
      </c>
      <c r="T229" s="820"/>
      <c r="U229" s="819">
        <f>U14/U16</f>
        <v>0.90396135969728986</v>
      </c>
      <c r="V229" s="820">
        <f>V14/V16</f>
        <v>0.93648674782904018</v>
      </c>
      <c r="W229" s="820">
        <f>W14/W16</f>
        <v>0.94673189807381941</v>
      </c>
      <c r="X229" s="820">
        <f>X14/X16</f>
        <v>0.94001867599445843</v>
      </c>
      <c r="Y229" s="821">
        <f>Y14/Y16</f>
        <v>0.93327986653979378</v>
      </c>
      <c r="Z229" s="820"/>
      <c r="AA229" s="819">
        <f>AA14/AA16</f>
        <v>0.94408084526485314</v>
      </c>
      <c r="AB229" s="820">
        <f>AB14/AB16</f>
        <v>0.93884501652461294</v>
      </c>
      <c r="AC229" s="820">
        <f>AC14/AC16</f>
        <v>0.93544346260493672</v>
      </c>
      <c r="AD229" s="820">
        <f>AD14/AD16</f>
        <v>0.92132234445417494</v>
      </c>
      <c r="AE229" s="821">
        <f>AE14/AE16</f>
        <v>0.93533610917686305</v>
      </c>
      <c r="AF229" s="820"/>
      <c r="AG229" s="819">
        <f>AG14/AG16</f>
        <v>0.93718517432268944</v>
      </c>
      <c r="AH229" s="820">
        <f>AH14/AH16</f>
        <v>0.92242531369495429</v>
      </c>
      <c r="AI229" s="820">
        <f>AI14/AI16</f>
        <v>0.91794986602489204</v>
      </c>
      <c r="AJ229" s="822">
        <f>AJ14/AJ16</f>
        <v>0.90192229964593473</v>
      </c>
      <c r="AK229" s="821">
        <f>AK14/AK16</f>
        <v>0.91929585656621238</v>
      </c>
      <c r="AL229" s="820"/>
      <c r="AM229" s="819">
        <f>AM14/AM16</f>
        <v>0.89488696450909178</v>
      </c>
      <c r="AN229" s="820">
        <f>AN14/AN16</f>
        <v>0.90581460528064639</v>
      </c>
      <c r="AO229" s="820">
        <f>AO14/AO16</f>
        <v>0.8929456278026906</v>
      </c>
      <c r="AP229" s="820">
        <f>AP14/AP16</f>
        <v>0.86848288005452767</v>
      </c>
      <c r="AQ229" s="821">
        <f>AQ14/AQ16</f>
        <v>0.88986460527815658</v>
      </c>
      <c r="AR229" s="820"/>
      <c r="AS229" s="819">
        <f>AS14/AS16</f>
        <v>0.86080645276283863</v>
      </c>
      <c r="AT229" s="820">
        <f>AT14/AT16</f>
        <v>0.87318128195045219</v>
      </c>
      <c r="AU229" s="820">
        <f>AU14/AU16</f>
        <v>0.86586979589289059</v>
      </c>
      <c r="AV229" s="1715">
        <f>AV14/AV16</f>
        <v>0.87889823743752182</v>
      </c>
      <c r="AW229" s="1716">
        <f>AW14/AW16</f>
        <v>0.87006959434993159</v>
      </c>
      <c r="AX229" s="1715"/>
      <c r="AY229" s="1717">
        <f>AY14/AY16</f>
        <v>0.85250062666530491</v>
      </c>
      <c r="AZ229" s="1715">
        <f>AZ14/AZ16</f>
        <v>0.8580233049853998</v>
      </c>
      <c r="BA229" s="1715">
        <f>BA14/BA16</f>
        <v>0.85684127769851204</v>
      </c>
      <c r="BB229" s="1715">
        <f>BB14/BB16</f>
        <v>0.84172712949752182</v>
      </c>
      <c r="BC229" s="1716">
        <f>BC14/BC16</f>
        <v>0.85204574862303117</v>
      </c>
      <c r="BD229" s="1715"/>
      <c r="BE229" s="1717">
        <f>BE14/BE16</f>
        <v>0.84431836267824256</v>
      </c>
      <c r="BF229" s="1715">
        <f>BF14/BF16</f>
        <v>0.84976346438804184</v>
      </c>
      <c r="BG229" s="1715">
        <f>BG14/BG16</f>
        <v>0.84687778363680699</v>
      </c>
      <c r="BH229" s="1718">
        <f>BH14/BH16</f>
        <v>0.84866094143752469</v>
      </c>
      <c r="BI229" s="1716">
        <f>BI14/BI16</f>
        <v>0.8474502154287894</v>
      </c>
      <c r="BJ229" s="1715"/>
      <c r="BK229" s="1717">
        <f>BK14/BK16</f>
        <v>0.82107023411371238</v>
      </c>
      <c r="BL229" s="1715">
        <f>BL14/BL16</f>
        <v>0.82035024154589375</v>
      </c>
      <c r="BM229" s="1715">
        <f>BM14/BM16</f>
        <v>0.83461207059628428</v>
      </c>
      <c r="BN229" s="1718">
        <f>BN14/BN16</f>
        <v>0.84716318969866589</v>
      </c>
      <c r="BO229" s="1716">
        <f>BO14/BO16</f>
        <v>0.83178285881046055</v>
      </c>
      <c r="BP229" s="1715"/>
      <c r="BQ229" s="1717">
        <f>BQ14/BQ16</f>
        <v>0.80306905370843995</v>
      </c>
      <c r="BR229" s="1715">
        <f>BR14/BR16</f>
        <v>0.80676393770692933</v>
      </c>
      <c r="BS229" s="1715">
        <f>BS14/BS16</f>
        <v>0.80947691572113478</v>
      </c>
      <c r="BT229" s="1718">
        <f>BT14/BT16</f>
        <v>0.8041099023364976</v>
      </c>
      <c r="BU229" s="1716">
        <f>BU14/BU16</f>
        <v>0.80585235874783123</v>
      </c>
      <c r="BV229" s="1715"/>
      <c r="BW229" s="1717">
        <f>BW14/BW16</f>
        <v>0.77265700621452171</v>
      </c>
      <c r="BX229" s="1715">
        <f>BX14/BX16</f>
        <v>0.77362251280191352</v>
      </c>
      <c r="BY229" s="1715">
        <f>BY14/BY16</f>
        <v>0.77636245415541028</v>
      </c>
      <c r="BZ229" s="1718">
        <f>BZ14/BZ16</f>
        <v>0.76981033416062805</v>
      </c>
      <c r="CA229" s="1716">
        <f>CA14/CA16</f>
        <v>0.7730792480248192</v>
      </c>
      <c r="CB229" s="1715"/>
      <c r="CC229" s="1717">
        <f>CC14/CC16</f>
        <v>0.74257906831222631</v>
      </c>
      <c r="CD229" s="1715">
        <f>CD14/CD16</f>
        <v>0.74374366538613279</v>
      </c>
      <c r="CE229" s="1715">
        <f>CE14/CE16</f>
        <v>0.74726174038959514</v>
      </c>
      <c r="CF229" s="1718">
        <f>CF14/CF16</f>
        <v>0.74038985396426504</v>
      </c>
      <c r="CG229" s="1716">
        <f>CG14/CG16</f>
        <v>0.74346290112321778</v>
      </c>
      <c r="CH229" s="1715"/>
      <c r="CI229" s="1717">
        <f>CI14/CI16</f>
        <v>0.72017533655741539</v>
      </c>
      <c r="CJ229" s="1715">
        <f>CJ14/CJ16</f>
        <v>0.72139296223012273</v>
      </c>
      <c r="CK229" s="1715">
        <f>CK14/CK16</f>
        <v>0.72505900581388505</v>
      </c>
      <c r="CL229" s="1718">
        <f>CL14/CL16</f>
        <v>0.71827438460422266</v>
      </c>
      <c r="CM229" s="1716">
        <f>CM14/CM16</f>
        <v>0.72119496684883277</v>
      </c>
      <c r="CN229" s="1715"/>
      <c r="CO229" s="1717">
        <f>CO14/CO16</f>
        <v>0.70682821007634666</v>
      </c>
      <c r="CP229" s="1715">
        <f>CP14/CP16</f>
        <v>0.70957659151882679</v>
      </c>
      <c r="CQ229" s="1715">
        <f>CQ14/CQ16</f>
        <v>0.71382512607001825</v>
      </c>
      <c r="CR229" s="1718">
        <f>CR14/CR16</f>
        <v>0.70688701455583713</v>
      </c>
      <c r="CS229" s="1716">
        <f>CS14/CS16</f>
        <v>0.7092620072889394</v>
      </c>
      <c r="CT229" s="231"/>
      <c r="CU229" s="60"/>
      <c r="CV229" s="60"/>
      <c r="CW229" s="60"/>
      <c r="CX229" s="60"/>
      <c r="CY229" s="60"/>
      <c r="CZ229" s="60"/>
      <c r="DA229" s="60"/>
      <c r="DB229" s="60"/>
      <c r="DC229" s="60"/>
      <c r="DD229" s="60"/>
      <c r="DE229" s="60"/>
      <c r="DF229" s="60"/>
      <c r="DG229" s="60"/>
      <c r="DH229" s="60"/>
      <c r="DI229" s="60"/>
      <c r="DJ229" s="60"/>
      <c r="DK229" s="60"/>
      <c r="DL229" s="60"/>
      <c r="DM229" s="60"/>
      <c r="DN229" s="60"/>
      <c r="DO229" s="60"/>
      <c r="DP229" s="60"/>
      <c r="DQ229" s="60"/>
      <c r="DR229" s="60"/>
      <c r="DS229" s="60"/>
      <c r="DT229" s="60"/>
    </row>
    <row r="230" spans="1:124">
      <c r="A230" s="832" t="s">
        <v>203</v>
      </c>
      <c r="B230" s="1081"/>
      <c r="C230" s="823">
        <f>C9/C14</f>
        <v>0.32</v>
      </c>
      <c r="D230" s="824">
        <f>D9/D14</f>
        <v>0.34187113880775805</v>
      </c>
      <c r="E230" s="824">
        <f>E9/E14</f>
        <v>0.37880050210506439</v>
      </c>
      <c r="F230" s="824">
        <f>F9/F14</f>
        <v>0.41339069376452547</v>
      </c>
      <c r="G230" s="825">
        <f>G9/G14</f>
        <v>0.37008108381109217</v>
      </c>
      <c r="H230" s="824"/>
      <c r="I230" s="823">
        <f>I9/I14</f>
        <v>0.4</v>
      </c>
      <c r="J230" s="824">
        <f>J9/J14</f>
        <v>0.33605078100690777</v>
      </c>
      <c r="K230" s="824">
        <f>K9/K14</f>
        <v>0.33352575203643126</v>
      </c>
      <c r="L230" s="824">
        <f>L9/L14</f>
        <v>0.33648355099583854</v>
      </c>
      <c r="M230" s="825">
        <f>M9/M14</f>
        <v>0.34880444786716502</v>
      </c>
      <c r="N230" s="824"/>
      <c r="O230" s="823">
        <f>O9/O14</f>
        <v>0.32266531795978204</v>
      </c>
      <c r="P230" s="824">
        <f>P9/P14</f>
        <v>0.35116576590689536</v>
      </c>
      <c r="Q230" s="824">
        <f>Q9/Q14</f>
        <v>0.40384282729897675</v>
      </c>
      <c r="R230" s="824">
        <f>R9/R14</f>
        <v>0.36291790773050975</v>
      </c>
      <c r="S230" s="825">
        <f>S9/S14</f>
        <v>0.35983036796122692</v>
      </c>
      <c r="T230" s="824"/>
      <c r="U230" s="823">
        <f>U9/U14</f>
        <v>0.32934321362974223</v>
      </c>
      <c r="V230" s="824">
        <f>V9/V14</f>
        <v>0.35207365844321997</v>
      </c>
      <c r="W230" s="824">
        <f>W9/W14</f>
        <v>0.39079886766250643</v>
      </c>
      <c r="X230" s="824">
        <f>X9/X14</f>
        <v>0.446615776081425</v>
      </c>
      <c r="Y230" s="825">
        <f>Y9/Y14</f>
        <v>0.38527732608515036</v>
      </c>
      <c r="Z230" s="824"/>
      <c r="AA230" s="823">
        <f>AA9/AA14</f>
        <v>0.42854411229880363</v>
      </c>
      <c r="AB230" s="824">
        <f>AB9/AB14</f>
        <v>0.3953740861374509</v>
      </c>
      <c r="AC230" s="824">
        <f>AC9/AC14</f>
        <v>0.32592511893089299</v>
      </c>
      <c r="AD230" s="824">
        <f>AD9/AD14</f>
        <v>0.34853035642979924</v>
      </c>
      <c r="AE230" s="825">
        <f>AE9/AE14</f>
        <v>0.37790697674418611</v>
      </c>
      <c r="AF230" s="824"/>
      <c r="AG230" s="823">
        <f>AG9/AG14</f>
        <v>0.31138024378413054</v>
      </c>
      <c r="AH230" s="824">
        <f>AH9/AH14</f>
        <v>0.2789378725771619</v>
      </c>
      <c r="AI230" s="824">
        <f>AI9/AI14</f>
        <v>0.31400285041422465</v>
      </c>
      <c r="AJ230" s="824">
        <f>AJ9/AJ14</f>
        <v>0.28680722610806181</v>
      </c>
      <c r="AK230" s="825">
        <f>AK9/AK14</f>
        <v>0.29758691299513368</v>
      </c>
      <c r="AL230" s="824"/>
      <c r="AM230" s="823">
        <f>AM9/AM14</f>
        <v>0.29746429415538372</v>
      </c>
      <c r="AN230" s="824">
        <f>AN9/AN14</f>
        <v>0.30239523823194481</v>
      </c>
      <c r="AO230" s="824">
        <f>AO9/AO14</f>
        <v>0.31294118385577036</v>
      </c>
      <c r="AP230" s="824">
        <f>AP9/AP14</f>
        <v>0.26457700379920684</v>
      </c>
      <c r="AQ230" s="825">
        <f>AQ9/AQ14</f>
        <v>0.29383800812236682</v>
      </c>
      <c r="AR230" s="824"/>
      <c r="AS230" s="823">
        <f>AS9/AS14</f>
        <v>0.31970315644748504</v>
      </c>
      <c r="AT230" s="824">
        <f>AT9/AT14</f>
        <v>0.35874393564103085</v>
      </c>
      <c r="AU230" s="824">
        <f>AU9/AU14</f>
        <v>0.3604356946677143</v>
      </c>
      <c r="AV230" s="1719">
        <f>AV9/AV14</f>
        <v>0.34641339998090287</v>
      </c>
      <c r="AW230" s="1720">
        <f>AW9/AW14</f>
        <v>0.34701832837195917</v>
      </c>
      <c r="AX230" s="1719"/>
      <c r="AY230" s="1721">
        <f>AY9/AY14</f>
        <v>0.31799480318081924</v>
      </c>
      <c r="AZ230" s="1719">
        <f>AZ9/AZ14</f>
        <v>0.33494684069496067</v>
      </c>
      <c r="BA230" s="1719">
        <f>BA9/BA14</f>
        <v>0.30797070667595533</v>
      </c>
      <c r="BB230" s="1719">
        <f>BB9/BB14</f>
        <v>0.29723530994814445</v>
      </c>
      <c r="BC230" s="1720">
        <f>BC9/BC14</f>
        <v>0.31418048875694016</v>
      </c>
      <c r="BD230" s="1719"/>
      <c r="BE230" s="1721">
        <f>BE9/BE14</f>
        <v>0.24443293630243398</v>
      </c>
      <c r="BF230" s="1719">
        <f>BF9/BF14</f>
        <v>0.24709661477637754</v>
      </c>
      <c r="BG230" s="1719">
        <f>BG9/BG14</f>
        <v>0.21800741225201656</v>
      </c>
      <c r="BH230" s="1719">
        <f>BH9/BH14</f>
        <v>0.21690281802424363</v>
      </c>
      <c r="BI230" s="1720">
        <f>BI9/BI14</f>
        <v>0.23129955408398731</v>
      </c>
      <c r="BJ230" s="1719"/>
      <c r="BK230" s="1721">
        <f>BK9/BK14</f>
        <v>0.20366598778004075</v>
      </c>
      <c r="BL230" s="1719">
        <f>BL9/BL14</f>
        <v>0.25027603974972396</v>
      </c>
      <c r="BM230" s="1719">
        <f>BM9/BM14</f>
        <v>0.2348993288590604</v>
      </c>
      <c r="BN230" s="1719">
        <f>BN9/BN14</f>
        <v>0.21102170942766052</v>
      </c>
      <c r="BO230" s="1720">
        <f>BO9/BO14</f>
        <v>0.22497924948669784</v>
      </c>
      <c r="BP230" s="1719"/>
      <c r="BQ230" s="1721">
        <f>BQ9/BQ14</f>
        <v>0.18789808917197454</v>
      </c>
      <c r="BR230" s="1719">
        <f>BR9/BR14</f>
        <v>0.19944419270801195</v>
      </c>
      <c r="BS230" s="1719">
        <f>BS9/BS14</f>
        <v>0.20037630955421956</v>
      </c>
      <c r="BT230" s="1719">
        <f>BT9/BT14</f>
        <v>0.19339822142892224</v>
      </c>
      <c r="BU230" s="1720">
        <f>BU9/BU14</f>
        <v>0.19530768149763178</v>
      </c>
      <c r="BV230" s="1719"/>
      <c r="BW230" s="1721">
        <f>BW9/BW14</f>
        <v>0.16874081987299422</v>
      </c>
      <c r="BX230" s="1719">
        <f>BX9/BX14</f>
        <v>0.16900264525384681</v>
      </c>
      <c r="BY230" s="1719">
        <f>BY9/BY14</f>
        <v>0.16614472599323346</v>
      </c>
      <c r="BZ230" s="1719">
        <f>BZ9/BZ14</f>
        <v>0.16103063128051148</v>
      </c>
      <c r="CA230" s="1720">
        <f>CA9/CA14</f>
        <v>0.16616703707446573</v>
      </c>
      <c r="CB230" s="1719"/>
      <c r="CC230" s="1721">
        <f>CC9/CC14</f>
        <v>0.15020461296328622</v>
      </c>
      <c r="CD230" s="1719">
        <f>CD9/CD14</f>
        <v>0.15025567921461569</v>
      </c>
      <c r="CE230" s="1719">
        <f>CE9/CE14</f>
        <v>0.14758029381337112</v>
      </c>
      <c r="CF230" s="1719">
        <f>CF9/CF14</f>
        <v>0.14294957442980766</v>
      </c>
      <c r="CG230" s="1720">
        <f>CG9/CG14</f>
        <v>0.14768674290129619</v>
      </c>
      <c r="CH230" s="1719"/>
      <c r="CI230" s="1721">
        <f>CI9/CI14</f>
        <v>0.13972231983267697</v>
      </c>
      <c r="CJ230" s="1719">
        <f>CJ9/CJ14</f>
        <v>0.13977776391006275</v>
      </c>
      <c r="CK230" s="1719">
        <f>CK9/CK14</f>
        <v>0.13731787027548872</v>
      </c>
      <c r="CL230" s="1719">
        <f>CL9/CL14</f>
        <v>0.13270453362994974</v>
      </c>
      <c r="CM230" s="1720">
        <f>CM9/CM14</f>
        <v>0.13731936037199952</v>
      </c>
      <c r="CN230" s="1719"/>
      <c r="CO230" s="1721">
        <f>CO9/CO14</f>
        <v>0.12897955302328865</v>
      </c>
      <c r="CP230" s="1719">
        <f>CP9/CP14</f>
        <v>0.12818635539756831</v>
      </c>
      <c r="CQ230" s="1719">
        <f>CQ9/CQ14</f>
        <v>0.12536129342580732</v>
      </c>
      <c r="CR230" s="1719">
        <f>CR9/CR14</f>
        <v>0.12105229954551411</v>
      </c>
      <c r="CS230" s="1720">
        <f>CS9/CS14</f>
        <v>0.12581724085579848</v>
      </c>
      <c r="CT230" s="83"/>
      <c r="CU230" s="60"/>
      <c r="CV230" s="60"/>
      <c r="CW230" s="60"/>
      <c r="CX230" s="60"/>
      <c r="CY230" s="60"/>
      <c r="CZ230" s="60"/>
      <c r="DA230" s="60"/>
      <c r="DB230" s="60"/>
      <c r="DC230" s="60"/>
      <c r="DD230" s="60"/>
      <c r="DE230" s="60"/>
      <c r="DF230" s="60"/>
      <c r="DG230" s="60"/>
      <c r="DH230" s="60"/>
      <c r="DI230" s="60"/>
      <c r="DJ230" s="60"/>
      <c r="DK230" s="60"/>
      <c r="DL230" s="60"/>
      <c r="DM230" s="60"/>
      <c r="DN230" s="60"/>
      <c r="DO230" s="60"/>
      <c r="DP230" s="60"/>
      <c r="DQ230" s="60"/>
      <c r="DR230" s="60"/>
      <c r="DS230" s="60"/>
      <c r="DT230" s="60"/>
    </row>
    <row r="231" spans="1:124">
      <c r="A231" s="832" t="s">
        <v>394</v>
      </c>
      <c r="B231" s="1081"/>
      <c r="C231" s="823">
        <f>1-C230</f>
        <v>0.67999999999999994</v>
      </c>
      <c r="D231" s="824">
        <f>1-D230</f>
        <v>0.65812886119224201</v>
      </c>
      <c r="E231" s="824">
        <f>1-E230</f>
        <v>0.62119949789493556</v>
      </c>
      <c r="F231" s="824">
        <f>1-F230</f>
        <v>0.58660930623547447</v>
      </c>
      <c r="G231" s="825">
        <f>1-G230</f>
        <v>0.62991891618890783</v>
      </c>
      <c r="H231" s="824"/>
      <c r="I231" s="823">
        <f>1-I230</f>
        <v>0.6</v>
      </c>
      <c r="J231" s="824">
        <f>1-J230</f>
        <v>0.66394921899309223</v>
      </c>
      <c r="K231" s="824">
        <f>1-K230</f>
        <v>0.6664742479635688</v>
      </c>
      <c r="L231" s="824">
        <f>1-L230</f>
        <v>0.6635164490041614</v>
      </c>
      <c r="M231" s="825">
        <f>1-M230</f>
        <v>0.65119555213283498</v>
      </c>
      <c r="N231" s="824"/>
      <c r="O231" s="823">
        <f>1-O230</f>
        <v>0.67733468204021796</v>
      </c>
      <c r="P231" s="824">
        <f>1-P230</f>
        <v>0.64883423409310459</v>
      </c>
      <c r="Q231" s="824">
        <f>1-Q230</f>
        <v>0.59615717270102331</v>
      </c>
      <c r="R231" s="824">
        <f>1-R230</f>
        <v>0.6370820922694902</v>
      </c>
      <c r="S231" s="825">
        <f>1-S230</f>
        <v>0.64016963203877308</v>
      </c>
      <c r="T231" s="824"/>
      <c r="U231" s="823">
        <f>1-U230</f>
        <v>0.67065678637025772</v>
      </c>
      <c r="V231" s="824">
        <f>1-V230</f>
        <v>0.64792634155677997</v>
      </c>
      <c r="W231" s="824">
        <f>1-W230</f>
        <v>0.60920113233749351</v>
      </c>
      <c r="X231" s="824">
        <f>1-X230</f>
        <v>0.553384223918575</v>
      </c>
      <c r="Y231" s="825">
        <f>1-Y230</f>
        <v>0.61472267391484969</v>
      </c>
      <c r="Z231" s="824"/>
      <c r="AA231" s="823">
        <f>1-AA230</f>
        <v>0.57145588770119637</v>
      </c>
      <c r="AB231" s="824">
        <f>1-AB230</f>
        <v>0.60462591386254916</v>
      </c>
      <c r="AC231" s="824">
        <f>1-AC230</f>
        <v>0.67407488106910707</v>
      </c>
      <c r="AD231" s="824">
        <f>1-AD230</f>
        <v>0.65146964357020076</v>
      </c>
      <c r="AE231" s="825">
        <f>1-AE230</f>
        <v>0.62209302325581395</v>
      </c>
      <c r="AF231" s="824"/>
      <c r="AG231" s="823">
        <f>1-AG230</f>
        <v>0.68861975621586946</v>
      </c>
      <c r="AH231" s="824">
        <f>1-AH230</f>
        <v>0.72106212742283815</v>
      </c>
      <c r="AI231" s="824">
        <f>1-AI230</f>
        <v>0.68599714958577529</v>
      </c>
      <c r="AJ231" s="824">
        <f>1-AJ230</f>
        <v>0.71319277389193814</v>
      </c>
      <c r="AK231" s="825">
        <f>1-AK230</f>
        <v>0.70241308700486638</v>
      </c>
      <c r="AL231" s="824"/>
      <c r="AM231" s="823">
        <f>1-AM230</f>
        <v>0.70253570584461622</v>
      </c>
      <c r="AN231" s="824">
        <f>1-AN230</f>
        <v>0.69760476176805519</v>
      </c>
      <c r="AO231" s="824">
        <f>1-AO230</f>
        <v>0.6870588161442297</v>
      </c>
      <c r="AP231" s="824">
        <f>1-AP230</f>
        <v>0.73542299620079321</v>
      </c>
      <c r="AQ231" s="825">
        <f>1-AQ230</f>
        <v>0.70616199187763318</v>
      </c>
      <c r="AR231" s="824"/>
      <c r="AS231" s="823">
        <f>1-AS230</f>
        <v>0.68029684355251496</v>
      </c>
      <c r="AT231" s="824">
        <f>1-AT230</f>
        <v>0.64125606435896909</v>
      </c>
      <c r="AU231" s="824">
        <f>1-AU230</f>
        <v>0.6395643053322857</v>
      </c>
      <c r="AV231" s="1719">
        <f>1-AV230</f>
        <v>0.65358660001909707</v>
      </c>
      <c r="AW231" s="1720">
        <f>1-AW230</f>
        <v>0.65298167162804077</v>
      </c>
      <c r="AX231" s="1719"/>
      <c r="AY231" s="1721">
        <f>1-AY230</f>
        <v>0.6820051968191807</v>
      </c>
      <c r="AZ231" s="1719">
        <f>1-AZ230</f>
        <v>0.66505315930503928</v>
      </c>
      <c r="BA231" s="1719">
        <f>1-BA230</f>
        <v>0.69202929332404461</v>
      </c>
      <c r="BB231" s="1719">
        <f>1-BB230</f>
        <v>0.7027646900518556</v>
      </c>
      <c r="BC231" s="1720">
        <f>1-BC230</f>
        <v>0.68581951124305984</v>
      </c>
      <c r="BD231" s="1719"/>
      <c r="BE231" s="1721">
        <f>1-BE230</f>
        <v>0.75556706369756599</v>
      </c>
      <c r="BF231" s="1719">
        <f>1-BF230</f>
        <v>0.75290338522362243</v>
      </c>
      <c r="BG231" s="1719">
        <f>1-BG230</f>
        <v>0.78199258774798341</v>
      </c>
      <c r="BH231" s="1719">
        <f>1-BH230</f>
        <v>0.7830971819757564</v>
      </c>
      <c r="BI231" s="1720">
        <f>1-BI230</f>
        <v>0.76870044591601272</v>
      </c>
      <c r="BJ231" s="1719"/>
      <c r="BK231" s="1721">
        <f>1-BK230</f>
        <v>0.79633401221995925</v>
      </c>
      <c r="BL231" s="1719">
        <f>1-BL230</f>
        <v>0.7497239602502761</v>
      </c>
      <c r="BM231" s="1719">
        <f>1-BM230</f>
        <v>0.7651006711409396</v>
      </c>
      <c r="BN231" s="1719">
        <f>1-BN230</f>
        <v>0.78897829057233948</v>
      </c>
      <c r="BO231" s="1720">
        <f>1-BO230</f>
        <v>0.77502075051330221</v>
      </c>
      <c r="BP231" s="1719"/>
      <c r="BQ231" s="1721">
        <f>1-BQ230</f>
        <v>0.81210191082802541</v>
      </c>
      <c r="BR231" s="1719">
        <f>1-BR230</f>
        <v>0.80055580729198805</v>
      </c>
      <c r="BS231" s="1719">
        <f>1-BS230</f>
        <v>0.79962369044578041</v>
      </c>
      <c r="BT231" s="1719">
        <f>1-BT230</f>
        <v>0.80660177857107773</v>
      </c>
      <c r="BU231" s="1720">
        <f>1-BU230</f>
        <v>0.80469231850236822</v>
      </c>
      <c r="BV231" s="1719"/>
      <c r="BW231" s="1721">
        <f>1-BW230</f>
        <v>0.83125918012700573</v>
      </c>
      <c r="BX231" s="1719">
        <f>1-BX230</f>
        <v>0.83099735474615322</v>
      </c>
      <c r="BY231" s="1719">
        <f>1-BY230</f>
        <v>0.83385527400676651</v>
      </c>
      <c r="BZ231" s="1719">
        <f>1-BZ230</f>
        <v>0.83896936871948857</v>
      </c>
      <c r="CA231" s="1720">
        <f>1-CA230</f>
        <v>0.83383296292553433</v>
      </c>
      <c r="CB231" s="1719"/>
      <c r="CC231" s="1721">
        <f>1-CC230</f>
        <v>0.84979538703671376</v>
      </c>
      <c r="CD231" s="1719">
        <f>1-CD230</f>
        <v>0.84974432078538431</v>
      </c>
      <c r="CE231" s="1719">
        <f>1-CE230</f>
        <v>0.85241970618662888</v>
      </c>
      <c r="CF231" s="1719">
        <f>1-CF230</f>
        <v>0.85705042557019229</v>
      </c>
      <c r="CG231" s="1720">
        <f>1-CG230</f>
        <v>0.85231325709870376</v>
      </c>
      <c r="CH231" s="1719"/>
      <c r="CI231" s="1721">
        <f>1-CI230</f>
        <v>0.86027768016732309</v>
      </c>
      <c r="CJ231" s="1719">
        <f>1-CJ230</f>
        <v>0.8602222360899372</v>
      </c>
      <c r="CK231" s="1719">
        <f>1-CK230</f>
        <v>0.8626821297245113</v>
      </c>
      <c r="CL231" s="1719">
        <f>1-CL230</f>
        <v>0.86729546637005028</v>
      </c>
      <c r="CM231" s="1720">
        <f>1-CM230</f>
        <v>0.86268063962800046</v>
      </c>
      <c r="CN231" s="1719"/>
      <c r="CO231" s="1721">
        <f>1-CO230</f>
        <v>0.87102044697671133</v>
      </c>
      <c r="CP231" s="1719">
        <f>1-CP230</f>
        <v>0.87181364460243171</v>
      </c>
      <c r="CQ231" s="1719">
        <f>1-CQ230</f>
        <v>0.87463870657419274</v>
      </c>
      <c r="CR231" s="1719">
        <f>1-CR230</f>
        <v>0.87894770045448589</v>
      </c>
      <c r="CS231" s="1720">
        <f>1-CS230</f>
        <v>0.87418275914420152</v>
      </c>
      <c r="CT231" s="83"/>
      <c r="CU231" s="60"/>
      <c r="CV231" s="60"/>
      <c r="CW231" s="60"/>
      <c r="CX231" s="60"/>
      <c r="CY231" s="60"/>
      <c r="CZ231" s="60"/>
      <c r="DA231" s="60"/>
      <c r="DB231" s="60"/>
      <c r="DC231" s="60"/>
      <c r="DD231" s="60"/>
      <c r="DE231" s="60"/>
      <c r="DF231" s="60"/>
      <c r="DG231" s="60"/>
      <c r="DH231" s="60"/>
      <c r="DI231" s="60"/>
      <c r="DJ231" s="60"/>
      <c r="DK231" s="60"/>
      <c r="DL231" s="60"/>
      <c r="DM231" s="60"/>
      <c r="DN231" s="60"/>
      <c r="DO231" s="60"/>
      <c r="DP231" s="60"/>
      <c r="DQ231" s="60"/>
      <c r="DR231" s="60"/>
      <c r="DS231" s="60"/>
      <c r="DT231" s="60"/>
    </row>
    <row r="232" spans="1:124">
      <c r="A232" s="833" t="s">
        <v>42</v>
      </c>
      <c r="B232" s="826"/>
      <c r="C232" s="827">
        <f>C15/C16</f>
        <v>0.15085239085239086</v>
      </c>
      <c r="D232" s="828">
        <f>D15/D16</f>
        <v>0.12110959957414089</v>
      </c>
      <c r="E232" s="828">
        <f>E15/E16</f>
        <v>7.6802379243154542E-2</v>
      </c>
      <c r="F232" s="828">
        <f>F15/F16</f>
        <v>0.10203012326382721</v>
      </c>
      <c r="G232" s="829">
        <f>G15/G16</f>
        <v>0.1093241802731196</v>
      </c>
      <c r="H232" s="828"/>
      <c r="I232" s="827">
        <f>I15/I16</f>
        <v>9.172745997488943E-2</v>
      </c>
      <c r="J232" s="828">
        <f>J15/J16</f>
        <v>8.2930865976586748E-2</v>
      </c>
      <c r="K232" s="828">
        <f>K15/K16</f>
        <v>6.6158658325569025E-2</v>
      </c>
      <c r="L232" s="828">
        <f>L15/L16</f>
        <v>5.0277454995122012E-2</v>
      </c>
      <c r="M232" s="829">
        <f>M15/M16</f>
        <v>7.1237297745213479E-2</v>
      </c>
      <c r="N232" s="828"/>
      <c r="O232" s="827">
        <f>O15/O16</f>
        <v>5.766272314291402E-2</v>
      </c>
      <c r="P232" s="828">
        <f>P15/P16</f>
        <v>5.2207642768322786E-2</v>
      </c>
      <c r="Q232" s="828">
        <f>Q15/Q16</f>
        <v>5.0858802727961602E-2</v>
      </c>
      <c r="R232" s="828">
        <f>R15/R16</f>
        <v>7.217939345605992E-2</v>
      </c>
      <c r="S232" s="829">
        <f>S15/S16</f>
        <v>5.8656149260720006E-2</v>
      </c>
      <c r="T232" s="828"/>
      <c r="U232" s="827">
        <f>U15/U16</f>
        <v>9.6038640302710143E-2</v>
      </c>
      <c r="V232" s="828">
        <f>V15/V16</f>
        <v>6.3513252170959836E-2</v>
      </c>
      <c r="W232" s="828">
        <f>W15/W16</f>
        <v>5.3268101926180637E-2</v>
      </c>
      <c r="X232" s="828">
        <f>X15/X16</f>
        <v>5.998132400554157E-2</v>
      </c>
      <c r="Y232" s="829">
        <f>Y15/Y16</f>
        <v>6.6720133460206194E-2</v>
      </c>
      <c r="Z232" s="828"/>
      <c r="AA232" s="827">
        <f>AA15/AA16</f>
        <v>5.591915473514681E-2</v>
      </c>
      <c r="AB232" s="828">
        <f>AB15/AB16</f>
        <v>6.1154983475387031E-2</v>
      </c>
      <c r="AC232" s="828">
        <f>AC15/AC16</f>
        <v>6.4556537395063243E-2</v>
      </c>
      <c r="AD232" s="828">
        <f>AD15/AD16</f>
        <v>7.8677655545824982E-2</v>
      </c>
      <c r="AE232" s="829">
        <f>AE15/AE16</f>
        <v>6.4663890823137088E-2</v>
      </c>
      <c r="AF232" s="828"/>
      <c r="AG232" s="827">
        <f>AG15/AG16</f>
        <v>6.281482567731056E-2</v>
      </c>
      <c r="AH232" s="828">
        <f>AH15/AH16</f>
        <v>7.7574686305045853E-2</v>
      </c>
      <c r="AI232" s="828">
        <f>AI15/AI16</f>
        <v>8.2050133975107908E-2</v>
      </c>
      <c r="AJ232" s="830">
        <f>AJ15/AJ16</f>
        <v>9.8077700354065295E-2</v>
      </c>
      <c r="AK232" s="829">
        <f>AK15/AK16</f>
        <v>8.0704143433787595E-2</v>
      </c>
      <c r="AL232" s="828"/>
      <c r="AM232" s="827">
        <f>AM15/AM16</f>
        <v>0.1051130354909082</v>
      </c>
      <c r="AN232" s="828">
        <f>AN15/AN16</f>
        <v>9.4185394719353707E-2</v>
      </c>
      <c r="AO232" s="828">
        <f>AO15/AO16</f>
        <v>0.10705437219730943</v>
      </c>
      <c r="AP232" s="828">
        <f>AP15/AP16</f>
        <v>0.13151711994547227</v>
      </c>
      <c r="AQ232" s="829">
        <f>AQ15/AQ16</f>
        <v>0.11013539472184342</v>
      </c>
      <c r="AR232" s="828"/>
      <c r="AS232" s="827">
        <f>AS15/AS16</f>
        <v>0.13919354723716137</v>
      </c>
      <c r="AT232" s="828">
        <f>AT15/AT16</f>
        <v>0.12681871804954778</v>
      </c>
      <c r="AU232" s="828">
        <f>AU15/AU16</f>
        <v>0.13413020410710941</v>
      </c>
      <c r="AV232" s="1722">
        <f>AV15/AV16</f>
        <v>0.12110176256247815</v>
      </c>
      <c r="AW232" s="1723">
        <f>AW15/AW16</f>
        <v>0.12993040565006839</v>
      </c>
      <c r="AX232" s="1722"/>
      <c r="AY232" s="1724">
        <f>AY15/AY16</f>
        <v>0.14749937333469496</v>
      </c>
      <c r="AZ232" s="1722">
        <f>AZ15/AZ16</f>
        <v>0.14197669501460017</v>
      </c>
      <c r="BA232" s="1722">
        <f>BA15/BA16</f>
        <v>0.14315872230148791</v>
      </c>
      <c r="BB232" s="1722">
        <f>BB15/BB16</f>
        <v>0.15827287050247826</v>
      </c>
      <c r="BC232" s="1723">
        <f>BC15/BC16</f>
        <v>0.14795425137696883</v>
      </c>
      <c r="BD232" s="1722"/>
      <c r="BE232" s="1724">
        <f>BE15/BE16</f>
        <v>0.15568163732175744</v>
      </c>
      <c r="BF232" s="1722">
        <f>BF15/BF16</f>
        <v>0.15023653561195821</v>
      </c>
      <c r="BG232" s="1722">
        <f>BG15/BG16</f>
        <v>0.15312221636319306</v>
      </c>
      <c r="BH232" s="1725">
        <f>BH15/BH16</f>
        <v>0.15133905856247534</v>
      </c>
      <c r="BI232" s="1723">
        <f>BI15/BI16</f>
        <v>0.15254978457121054</v>
      </c>
      <c r="BJ232" s="1722"/>
      <c r="BK232" s="1724">
        <f>BK15/BK16</f>
        <v>0.17892976588628762</v>
      </c>
      <c r="BL232" s="1722">
        <f>BL15/BL16</f>
        <v>0.17964975845410627</v>
      </c>
      <c r="BM232" s="1722">
        <f>BM15/BM16</f>
        <v>0.16538792940371569</v>
      </c>
      <c r="BN232" s="1725">
        <f>BN15/BN16</f>
        <v>0.15283681030133411</v>
      </c>
      <c r="BO232" s="1723">
        <f>BO15/BO16</f>
        <v>0.16821714118953937</v>
      </c>
      <c r="BP232" s="1722"/>
      <c r="BQ232" s="1724">
        <f>BQ15/BQ16</f>
        <v>0.1969309462915601</v>
      </c>
      <c r="BR232" s="1722">
        <f>BR15/BR16</f>
        <v>0.19323606229307067</v>
      </c>
      <c r="BS232" s="1722">
        <f>BS15/BS16</f>
        <v>0.19052308427886522</v>
      </c>
      <c r="BT232" s="1725">
        <f>BT15/BT16</f>
        <v>0.19589009766350243</v>
      </c>
      <c r="BU232" s="1723">
        <f>BU15/BU16</f>
        <v>0.19414764125216885</v>
      </c>
      <c r="BV232" s="1722"/>
      <c r="BW232" s="1724">
        <f>BW15/BW16</f>
        <v>0.22734299378547826</v>
      </c>
      <c r="BX232" s="1722">
        <f>BX15/BX16</f>
        <v>0.22637748719808651</v>
      </c>
      <c r="BY232" s="1722">
        <f>BY15/BY16</f>
        <v>0.22363754584458981</v>
      </c>
      <c r="BZ232" s="1725">
        <f>BZ15/BZ16</f>
        <v>0.23018966583937195</v>
      </c>
      <c r="CA232" s="1723">
        <f>CA15/CA16</f>
        <v>0.22692075197518072</v>
      </c>
      <c r="CB232" s="1722"/>
      <c r="CC232" s="1724">
        <f>CC15/CC16</f>
        <v>0.25742093168777369</v>
      </c>
      <c r="CD232" s="1722">
        <f>CD15/CD16</f>
        <v>0.25625633461386721</v>
      </c>
      <c r="CE232" s="1722">
        <f>CE15/CE16</f>
        <v>0.25273825961040486</v>
      </c>
      <c r="CF232" s="1725">
        <f>CF15/CF16</f>
        <v>0.2596101460357349</v>
      </c>
      <c r="CG232" s="1723">
        <f>CG15/CG16</f>
        <v>0.25653709887678222</v>
      </c>
      <c r="CH232" s="1722"/>
      <c r="CI232" s="1724">
        <f>CI15/CI16</f>
        <v>0.27982466344258466</v>
      </c>
      <c r="CJ232" s="1722">
        <f>CJ15/CJ16</f>
        <v>0.27860703776987739</v>
      </c>
      <c r="CK232" s="1722">
        <f>CK15/CK16</f>
        <v>0.27494099418611495</v>
      </c>
      <c r="CL232" s="1725">
        <f>CL15/CL16</f>
        <v>0.2817256153957774</v>
      </c>
      <c r="CM232" s="1723">
        <f>CM15/CM16</f>
        <v>0.27880503315116706</v>
      </c>
      <c r="CN232" s="1722"/>
      <c r="CO232" s="1724">
        <f>CO15/CO16</f>
        <v>0.29317178992365323</v>
      </c>
      <c r="CP232" s="1722">
        <f>CP15/CP16</f>
        <v>0.29042340848117321</v>
      </c>
      <c r="CQ232" s="1722">
        <f>CQ15/CQ16</f>
        <v>0.28617487392998159</v>
      </c>
      <c r="CR232" s="1725">
        <f>CR15/CR16</f>
        <v>0.29311298544416292</v>
      </c>
      <c r="CS232" s="1723">
        <f>CS15/CS16</f>
        <v>0.29073799271106066</v>
      </c>
      <c r="CT232" s="231"/>
      <c r="CU232" s="60"/>
      <c r="CV232" s="60"/>
      <c r="CW232" s="60"/>
      <c r="CX232" s="60"/>
      <c r="CY232" s="60"/>
      <c r="CZ232" s="60"/>
      <c r="DA232" s="60"/>
      <c r="DB232" s="60"/>
      <c r="DC232" s="60"/>
      <c r="DD232" s="60"/>
      <c r="DE232" s="60"/>
      <c r="DF232" s="60"/>
      <c r="DG232" s="60"/>
      <c r="DH232" s="60"/>
      <c r="DI232" s="60"/>
      <c r="DJ232" s="60"/>
      <c r="DK232" s="60"/>
      <c r="DL232" s="60"/>
      <c r="DM232" s="60"/>
      <c r="DN232" s="60"/>
      <c r="DO232" s="60"/>
      <c r="DP232" s="60"/>
      <c r="DQ232" s="60"/>
      <c r="DR232" s="60"/>
      <c r="DS232" s="60"/>
      <c r="DT232" s="60"/>
    </row>
    <row r="233" spans="1:124">
      <c r="A233" s="1082"/>
      <c r="B233" s="62"/>
      <c r="C233" s="187"/>
      <c r="D233" s="187"/>
      <c r="E233" s="187"/>
      <c r="F233" s="187"/>
      <c r="G233" s="235"/>
      <c r="H233" s="187"/>
      <c r="I233" s="187"/>
      <c r="J233" s="187"/>
      <c r="K233" s="187"/>
      <c r="L233" s="187"/>
      <c r="M233" s="235"/>
      <c r="N233" s="187"/>
      <c r="O233" s="236"/>
      <c r="P233" s="236"/>
      <c r="Q233" s="236"/>
      <c r="R233" s="1083"/>
      <c r="S233" s="237"/>
      <c r="T233" s="989"/>
      <c r="U233" s="238"/>
      <c r="V233" s="238"/>
      <c r="W233" s="238"/>
      <c r="X233" s="239"/>
      <c r="Y233" s="239"/>
      <c r="Z233" s="1084"/>
      <c r="AA233" s="1085"/>
      <c r="AB233" s="1085"/>
      <c r="AC233" s="1085"/>
      <c r="AD233" s="1085"/>
      <c r="AE233" s="239"/>
      <c r="AF233" s="1084"/>
      <c r="AG233" s="1084"/>
      <c r="AH233" s="1084"/>
      <c r="AI233" s="1084"/>
      <c r="AJ233" s="1084"/>
      <c r="AK233" s="240"/>
      <c r="AL233" s="1084"/>
      <c r="AM233" s="1084"/>
      <c r="AN233" s="1084"/>
      <c r="AO233" s="1084"/>
      <c r="AP233" s="1084"/>
      <c r="AQ233" s="239"/>
      <c r="AR233" s="1084"/>
      <c r="AS233" s="182"/>
      <c r="AT233" s="1084"/>
      <c r="AU233" s="1084"/>
      <c r="AV233" s="182"/>
      <c r="AW233" s="241"/>
      <c r="AX233" s="182"/>
      <c r="AY233" s="182"/>
      <c r="AZ233" s="182"/>
      <c r="BA233" s="182"/>
      <c r="BB233" s="182"/>
      <c r="BC233" s="241"/>
      <c r="BD233" s="182"/>
      <c r="BE233" s="182"/>
      <c r="BF233" s="182"/>
      <c r="BG233" s="182"/>
      <c r="BH233" s="182"/>
      <c r="BI233" s="241"/>
      <c r="BJ233" s="182"/>
      <c r="BK233" s="182"/>
      <c r="BL233" s="182"/>
      <c r="BM233" s="182"/>
      <c r="BN233" s="182"/>
      <c r="BO233" s="241"/>
      <c r="BP233" s="182"/>
      <c r="BQ233" s="182"/>
      <c r="BR233" s="182"/>
      <c r="BS233" s="182"/>
      <c r="BT233" s="182"/>
      <c r="BU233" s="241"/>
      <c r="BV233" s="182"/>
      <c r="BW233" s="182"/>
      <c r="BX233" s="182"/>
      <c r="BY233" s="182"/>
      <c r="BZ233" s="182"/>
      <c r="CA233" s="241"/>
      <c r="CB233" s="182"/>
      <c r="CC233" s="182"/>
      <c r="CD233" s="182"/>
      <c r="CE233" s="182"/>
      <c r="CF233" s="182"/>
      <c r="CG233" s="241"/>
      <c r="CH233" s="182"/>
      <c r="CI233" s="182"/>
      <c r="CJ233" s="182"/>
      <c r="CK233" s="182"/>
      <c r="CL233" s="182"/>
      <c r="CM233" s="241"/>
      <c r="CN233" s="182"/>
      <c r="CO233" s="182"/>
      <c r="CP233" s="182"/>
      <c r="CQ233" s="182"/>
      <c r="CR233" s="182"/>
      <c r="CS233" s="241"/>
      <c r="CT233" s="241"/>
      <c r="CU233" s="60"/>
      <c r="CV233" s="60"/>
      <c r="CW233" s="60"/>
      <c r="CX233" s="60"/>
      <c r="CY233" s="60"/>
      <c r="CZ233" s="60"/>
      <c r="DA233" s="60"/>
      <c r="DB233" s="60"/>
      <c r="DC233" s="60"/>
      <c r="DD233" s="60"/>
      <c r="DE233" s="60"/>
      <c r="DF233" s="60"/>
      <c r="DG233" s="60"/>
      <c r="DH233" s="60"/>
      <c r="DI233" s="60"/>
      <c r="DJ233" s="60"/>
      <c r="DK233" s="60"/>
      <c r="DL233" s="60"/>
      <c r="DM233" s="60"/>
      <c r="DN233" s="60"/>
      <c r="DO233" s="60"/>
      <c r="DP233" s="60"/>
      <c r="DQ233" s="60"/>
      <c r="DR233" s="60"/>
      <c r="DS233" s="60"/>
      <c r="DT233" s="60"/>
    </row>
    <row r="234" spans="1:124">
      <c r="A234" s="1042" t="s">
        <v>36</v>
      </c>
      <c r="B234" s="1065"/>
      <c r="C234" s="1066"/>
      <c r="D234" s="1067"/>
      <c r="E234" s="1067"/>
      <c r="F234" s="1067"/>
      <c r="G234" s="1068"/>
      <c r="H234" s="1067"/>
      <c r="I234" s="1066"/>
      <c r="J234" s="1067"/>
      <c r="K234" s="1067"/>
      <c r="L234" s="1067"/>
      <c r="M234" s="1068"/>
      <c r="N234" s="1067"/>
      <c r="O234" s="1069"/>
      <c r="P234" s="1070"/>
      <c r="Q234" s="1070"/>
      <c r="R234" s="1086"/>
      <c r="S234" s="1087"/>
      <c r="T234" s="1088"/>
      <c r="U234" s="1089"/>
      <c r="V234" s="1090"/>
      <c r="W234" s="1090"/>
      <c r="X234" s="1091"/>
      <c r="Y234" s="1092"/>
      <c r="Z234" s="1093"/>
      <c r="AA234" s="1094"/>
      <c r="AB234" s="1095"/>
      <c r="AC234" s="1095"/>
      <c r="AD234" s="1095"/>
      <c r="AE234" s="1092"/>
      <c r="AF234" s="1093"/>
      <c r="AG234" s="1096"/>
      <c r="AH234" s="1093"/>
      <c r="AI234" s="1093"/>
      <c r="AJ234" s="1097"/>
      <c r="AK234" s="1098"/>
      <c r="AL234" s="1093"/>
      <c r="AM234" s="1096"/>
      <c r="AN234" s="1093"/>
      <c r="AO234" s="1093"/>
      <c r="AP234" s="1093"/>
      <c r="AQ234" s="1092"/>
      <c r="AR234" s="1093"/>
      <c r="AS234" s="1444"/>
      <c r="AT234" s="1093"/>
      <c r="AU234" s="1093"/>
      <c r="AV234" s="1726"/>
      <c r="AW234" s="1099"/>
      <c r="AX234" s="1726"/>
      <c r="AY234" s="1444"/>
      <c r="AZ234" s="1726"/>
      <c r="BA234" s="1726"/>
      <c r="BB234" s="1726"/>
      <c r="BC234" s="1099"/>
      <c r="BD234" s="1726"/>
      <c r="BE234" s="1444"/>
      <c r="BF234" s="1726"/>
      <c r="BG234" s="1726"/>
      <c r="BH234" s="1727"/>
      <c r="BI234" s="1099"/>
      <c r="BJ234" s="1726"/>
      <c r="BK234" s="1444"/>
      <c r="BL234" s="1726"/>
      <c r="BM234" s="1726"/>
      <c r="BN234" s="1727"/>
      <c r="BO234" s="1099"/>
      <c r="BP234" s="1726"/>
      <c r="BQ234" s="1444"/>
      <c r="BR234" s="1726"/>
      <c r="BS234" s="1726"/>
      <c r="BT234" s="1727"/>
      <c r="BU234" s="1099"/>
      <c r="BV234" s="1726"/>
      <c r="BW234" s="1444"/>
      <c r="BX234" s="1726"/>
      <c r="BY234" s="1726"/>
      <c r="BZ234" s="1727"/>
      <c r="CA234" s="1099"/>
      <c r="CB234" s="1726"/>
      <c r="CC234" s="1444"/>
      <c r="CD234" s="1726"/>
      <c r="CE234" s="1726"/>
      <c r="CF234" s="1727"/>
      <c r="CG234" s="1099"/>
      <c r="CH234" s="1726"/>
      <c r="CI234" s="1444"/>
      <c r="CJ234" s="1726"/>
      <c r="CK234" s="1726"/>
      <c r="CL234" s="1727"/>
      <c r="CM234" s="1099"/>
      <c r="CN234" s="1726"/>
      <c r="CO234" s="1444"/>
      <c r="CP234" s="1726"/>
      <c r="CQ234" s="1726"/>
      <c r="CR234" s="1727"/>
      <c r="CS234" s="1099"/>
      <c r="CT234" s="241"/>
      <c r="CU234" s="68"/>
      <c r="CV234" s="68"/>
      <c r="CW234" s="68"/>
      <c r="CX234" s="68"/>
      <c r="CY234" s="68"/>
      <c r="CZ234" s="68"/>
      <c r="DA234" s="68"/>
      <c r="DB234" s="68"/>
      <c r="DC234" s="68"/>
      <c r="DD234" s="68"/>
      <c r="DE234" s="68"/>
      <c r="DF234" s="68"/>
      <c r="DG234" s="68"/>
      <c r="DH234" s="68"/>
      <c r="DI234" s="68"/>
      <c r="DJ234" s="68"/>
      <c r="DK234" s="68"/>
      <c r="DL234" s="68"/>
      <c r="DM234" s="68"/>
      <c r="DN234" s="68"/>
      <c r="DO234" s="68"/>
      <c r="DP234" s="68"/>
      <c r="DQ234" s="68"/>
      <c r="DR234" s="68"/>
      <c r="DS234" s="68"/>
      <c r="DT234" s="68"/>
    </row>
    <row r="235" spans="1:124">
      <c r="A235" s="230" t="s">
        <v>221</v>
      </c>
      <c r="B235" s="62"/>
      <c r="C235" s="834">
        <v>1.5247826696578799</v>
      </c>
      <c r="D235" s="835">
        <v>1.0482304966260498</v>
      </c>
      <c r="E235" s="835">
        <v>0.82509042523285681</v>
      </c>
      <c r="F235" s="835">
        <v>0.87014216435262037</v>
      </c>
      <c r="G235" s="836">
        <v>1.0012439575308534</v>
      </c>
      <c r="H235" s="824"/>
      <c r="I235" s="823">
        <f>I16/C16-1</f>
        <v>0.68899514899514891</v>
      </c>
      <c r="J235" s="824">
        <f>J16/D16-1</f>
        <v>0.65821257467321215</v>
      </c>
      <c r="K235" s="824">
        <f>K16/E16-1</f>
        <v>0.5409701569069838</v>
      </c>
      <c r="L235" s="824">
        <f>L16/F16-1</f>
        <v>0.42914106070832303</v>
      </c>
      <c r="M235" s="825">
        <f>M16/G16-1</f>
        <v>0.56277688870471287</v>
      </c>
      <c r="N235" s="824"/>
      <c r="O235" s="823">
        <f>O16/I16-1</f>
        <v>0.36021368608496562</v>
      </c>
      <c r="P235" s="824">
        <f>P16/J16-1</f>
        <v>0.15313496507986346</v>
      </c>
      <c r="Q235" s="824">
        <f>Q16/K16-1</f>
        <v>5.3906561959270682E-2</v>
      </c>
      <c r="R235" s="837">
        <f>R16/L16-1</f>
        <v>0.12202427187482479</v>
      </c>
      <c r="S235" s="825">
        <f>S16/M16-1</f>
        <v>0.16241266518382846</v>
      </c>
      <c r="T235" s="824"/>
      <c r="U235" s="823">
        <f>U16/O16-1</f>
        <v>0.1591124356739082</v>
      </c>
      <c r="V235" s="824">
        <f>V16/P16-1</f>
        <v>0.31155076310140251</v>
      </c>
      <c r="W235" s="824">
        <f>W16/Q16-1</f>
        <v>0.49854129830765337</v>
      </c>
      <c r="X235" s="824">
        <f>X16/R16-1</f>
        <v>0.44712124232958983</v>
      </c>
      <c r="Y235" s="825">
        <f>Y16/S16-1</f>
        <v>0.35480787124582025</v>
      </c>
      <c r="Z235" s="824"/>
      <c r="AA235" s="823">
        <f>AA16/U16-1</f>
        <v>0.47042903019294124</v>
      </c>
      <c r="AB235" s="824">
        <f>AB16/V16-1</f>
        <v>0.35587703947585636</v>
      </c>
      <c r="AC235" s="824">
        <f>AC16/W16-1</f>
        <v>-7.6271864952446311E-3</v>
      </c>
      <c r="AD235" s="824">
        <f>AD16/X16-1</f>
        <v>-4.2966268398533569E-2</v>
      </c>
      <c r="AE235" s="825">
        <f>AE16/Y16-1</f>
        <v>0.16925563367566099</v>
      </c>
      <c r="AF235" s="824"/>
      <c r="AG235" s="823">
        <f>AG16/AA16-1</f>
        <v>-3.4493743695025114E-2</v>
      </c>
      <c r="AH235" s="824">
        <f>AH16/AB16-1</f>
        <v>-2.3805879283353648E-2</v>
      </c>
      <c r="AI235" s="824">
        <f>AI16/AC16-1</f>
        <v>0.21390749005303644</v>
      </c>
      <c r="AJ235" s="837">
        <f>AJ16/AD16-1</f>
        <v>0.23670877470798302</v>
      </c>
      <c r="AK235" s="825">
        <f>AK16/AE16-1</f>
        <v>8.8088978574846211E-2</v>
      </c>
      <c r="AL235" s="824"/>
      <c r="AM235" s="823">
        <f>AM16/AG16-1</f>
        <v>0.21332257946255107</v>
      </c>
      <c r="AN235" s="824">
        <f>AN16/AH16-1</f>
        <v>0.23337621655910223</v>
      </c>
      <c r="AO235" s="824">
        <f>AO16/AI16-1</f>
        <v>0.24810231080825806</v>
      </c>
      <c r="AP235" s="824">
        <f>AP16/AJ16-1</f>
        <v>0.25240812895089992</v>
      </c>
      <c r="AQ235" s="825">
        <f>AQ16/AK16-1</f>
        <v>0.23740374535487541</v>
      </c>
      <c r="AR235" s="824"/>
      <c r="AS235" s="823">
        <f>AS16/AM16-1</f>
        <v>0.27140301790559529</v>
      </c>
      <c r="AT235" s="824">
        <f>AT16/AN16-1</f>
        <v>0.29319780175328081</v>
      </c>
      <c r="AU235" s="824">
        <f>AU16/AO16-1</f>
        <v>0.34705717488789234</v>
      </c>
      <c r="AV235" s="1719">
        <f>AV16/AP16-1</f>
        <v>0.32286239498510305</v>
      </c>
      <c r="AW235" s="1720">
        <f>AW16/AQ16-1</f>
        <v>0.30972897131815991</v>
      </c>
      <c r="AX235" s="1719"/>
      <c r="AY235" s="1721">
        <f>AY16/AS16-1</f>
        <v>0.27991758182997817</v>
      </c>
      <c r="AZ235" s="1719">
        <f>AZ16/AT16-1</f>
        <v>0.20502955975404857</v>
      </c>
      <c r="BA235" s="1719">
        <f>BA16/AU16-1</f>
        <v>0.14326612987121079</v>
      </c>
      <c r="BB235" s="1719">
        <f>BB16/AV16-1</f>
        <v>0.15451257760368775</v>
      </c>
      <c r="BC235" s="1720">
        <f>BC16/AW16-1</f>
        <v>0.19210472676400769</v>
      </c>
      <c r="BD235" s="1719"/>
      <c r="BE235" s="1721">
        <f>BE16/AY16-1</f>
        <v>6.1641584581248354E-2</v>
      </c>
      <c r="BF235" s="1719">
        <f>BF16/AZ16-1</f>
        <v>0.11262539044993969</v>
      </c>
      <c r="BG235" s="1719">
        <f>BG16/BA16-1</f>
        <v>0.10399678896860753</v>
      </c>
      <c r="BH235" s="1728">
        <f>BH16/BB16-1</f>
        <v>4.6924713378444727E-2</v>
      </c>
      <c r="BI235" s="1720">
        <f>BI16/BC16-1</f>
        <v>8.0598966470022182E-2</v>
      </c>
      <c r="BJ235" s="1719"/>
      <c r="BK235" s="1721">
        <f>BK16/BE16-1</f>
        <v>4.5887894109972072E-2</v>
      </c>
      <c r="BL235" s="1719">
        <f>BL16/BF16-1</f>
        <v>0.10386160787461396</v>
      </c>
      <c r="BM235" s="1719">
        <f>BM16/BG16-1</f>
        <v>0.17716021485198641</v>
      </c>
      <c r="BN235" s="1728">
        <f>BN16/BH16-1</f>
        <v>0.25549545381578542</v>
      </c>
      <c r="BO235" s="1720">
        <f>BO16/BI16-1</f>
        <v>0.14774637845528815</v>
      </c>
      <c r="BP235" s="1719"/>
      <c r="BQ235" s="1721">
        <f>BQ16/BK16-1</f>
        <v>0.30769230769230771</v>
      </c>
      <c r="BR235" s="1719">
        <f>BR16/BL16-1</f>
        <v>0.19328528048017057</v>
      </c>
      <c r="BS235" s="1719">
        <f>BS16/BM16-1</f>
        <v>0.12823398627440041</v>
      </c>
      <c r="BT235" s="1728">
        <f>BT16/BN16-1</f>
        <v>8.0744777555880942E-2</v>
      </c>
      <c r="BU235" s="1720">
        <f>BU16/BO16-1</f>
        <v>0.16946938340501538</v>
      </c>
      <c r="BV235" s="1719"/>
      <c r="BW235" s="1721">
        <f>BW16/BQ16-1</f>
        <v>0.11593749296979827</v>
      </c>
      <c r="BX235" s="1719">
        <f>BX16/BR16-1</f>
        <v>0.10094675333792047</v>
      </c>
      <c r="BY235" s="1719">
        <f>BY16/BS16-1</f>
        <v>9.4817331089390722E-2</v>
      </c>
      <c r="BZ235" s="1728">
        <f>BZ16/BT16-1</f>
        <v>9.2238698163539912E-2</v>
      </c>
      <c r="CA235" s="1720">
        <f>CA16/BU16-1</f>
        <v>0.10078111011945801</v>
      </c>
      <c r="CB235" s="1719"/>
      <c r="CC235" s="1721">
        <f>CC16/BW16-1</f>
        <v>0.10155258029485448</v>
      </c>
      <c r="CD235" s="1719">
        <f>CD16/BX16-1</f>
        <v>0.10253587567138434</v>
      </c>
      <c r="CE235" s="1719">
        <f>CE16/BY16-1</f>
        <v>0.10223518531267528</v>
      </c>
      <c r="CF235" s="1728">
        <f>CF16/BZ16-1</f>
        <v>0.10375633930032224</v>
      </c>
      <c r="CG235" s="1720">
        <f>CG16/CA16-1</f>
        <v>0.10253498949869622</v>
      </c>
      <c r="CH235" s="1719"/>
      <c r="CI235" s="1721">
        <f>CI16/CC16-1</f>
        <v>0.10432961840451704</v>
      </c>
      <c r="CJ235" s="1719">
        <f>CJ16/CD16-1</f>
        <v>0.10413191769477126</v>
      </c>
      <c r="CK235" s="1719">
        <f>CK16/CE16-1</f>
        <v>0.103513081112514</v>
      </c>
      <c r="CL235" s="1728">
        <f>CL16/CF16-1</f>
        <v>0.10622626336955343</v>
      </c>
      <c r="CM235" s="1720">
        <f>CM16/CG16-1</f>
        <v>0.10456972113995433</v>
      </c>
      <c r="CN235" s="1719"/>
      <c r="CO235" s="1721">
        <f>CO16/CI16-1</f>
        <v>9.9613286547998392E-2</v>
      </c>
      <c r="CP235" s="1719">
        <f>CP16/CJ16-1</f>
        <v>0.10443356914375679</v>
      </c>
      <c r="CQ235" s="1719">
        <f>CQ16/CK16-1</f>
        <v>0.10844922449372163</v>
      </c>
      <c r="CR235" s="1728">
        <f>CR16/CL16-1</f>
        <v>0.10974648917586527</v>
      </c>
      <c r="CS235" s="1720">
        <f>CS16/CM16-1</f>
        <v>0.10562612917549363</v>
      </c>
      <c r="CT235" s="83"/>
      <c r="CU235" s="60"/>
      <c r="CV235" s="60"/>
      <c r="CW235" s="60"/>
      <c r="CX235" s="60"/>
      <c r="CY235" s="60"/>
      <c r="CZ235" s="60"/>
      <c r="DA235" s="60"/>
      <c r="DB235" s="60"/>
      <c r="DC235" s="60"/>
      <c r="DD235" s="60"/>
      <c r="DE235" s="60"/>
      <c r="DF235" s="60"/>
      <c r="DG235" s="60"/>
      <c r="DH235" s="60"/>
      <c r="DI235" s="60"/>
      <c r="DJ235" s="60"/>
      <c r="DK235" s="60"/>
      <c r="DL235" s="60"/>
      <c r="DM235" s="60"/>
      <c r="DN235" s="60"/>
      <c r="DO235" s="60"/>
      <c r="DP235" s="60"/>
      <c r="DQ235" s="60"/>
      <c r="DR235" s="60"/>
      <c r="DS235" s="60"/>
      <c r="DT235" s="60"/>
    </row>
    <row r="236" spans="1:124">
      <c r="A236" s="230" t="s">
        <v>211</v>
      </c>
      <c r="B236" s="62"/>
      <c r="C236" s="834">
        <v>1.6338506513047593</v>
      </c>
      <c r="D236" s="835">
        <v>1.0409581627887809</v>
      </c>
      <c r="E236" s="835">
        <v>0.91868792361140739</v>
      </c>
      <c r="F236" s="835">
        <v>1.053992565357817</v>
      </c>
      <c r="G236" s="836">
        <v>1.0969191270860077</v>
      </c>
      <c r="H236" s="824"/>
      <c r="I236" s="823">
        <f>I14/C14-1</f>
        <v>0.80659746025528034</v>
      </c>
      <c r="J236" s="824">
        <f>J14/D14-1</f>
        <v>0.73024482818956349</v>
      </c>
      <c r="K236" s="824">
        <f>K14/E14-1</f>
        <v>0.55873629486453136</v>
      </c>
      <c r="L236" s="824">
        <f>L14/F14-1</f>
        <v>0.51150670029174705</v>
      </c>
      <c r="M236" s="825">
        <f>M14/G14-1</f>
        <v>0.62960400858282384</v>
      </c>
      <c r="N236" s="824"/>
      <c r="O236" s="823">
        <f>O14/I14-1</f>
        <v>0.41122846326897533</v>
      </c>
      <c r="P236" s="824">
        <f>P14/J14-1</f>
        <v>0.19176675586533087</v>
      </c>
      <c r="Q236" s="824">
        <f>Q14/K14-1</f>
        <v>7.1173540290338622E-2</v>
      </c>
      <c r="R236" s="837">
        <f>R14/L14-1</f>
        <v>9.6148813106859299E-2</v>
      </c>
      <c r="S236" s="825">
        <f>S14/M14-1</f>
        <v>0.17815886849865703</v>
      </c>
      <c r="T236" s="824"/>
      <c r="U236" s="823">
        <f>U14/O14-1</f>
        <v>0.11190852694319409</v>
      </c>
      <c r="V236" s="824">
        <f>V14/P14-1</f>
        <v>0.29590611211195528</v>
      </c>
      <c r="W236" s="824">
        <f>W14/Q14-1</f>
        <v>0.49473740236584018</v>
      </c>
      <c r="X236" s="824">
        <f>X14/R14-1</f>
        <v>0.46614656391951392</v>
      </c>
      <c r="Y236" s="825">
        <f>Y14/S14-1</f>
        <v>0.3432019641604489</v>
      </c>
      <c r="Z236" s="824"/>
      <c r="AA236" s="823">
        <f>AA14/U14-1</f>
        <v>0.53568940401545362</v>
      </c>
      <c r="AB236" s="824">
        <f>AB14/V14-1</f>
        <v>0.35929142028226324</v>
      </c>
      <c r="AC236" s="824">
        <f>AC14/W14-1</f>
        <v>-1.9459825164242384E-2</v>
      </c>
      <c r="AD236" s="824">
        <f>AD14/X14-1</f>
        <v>-6.2001017811704973E-2</v>
      </c>
      <c r="AE236" s="825">
        <f>AE14/Y14-1</f>
        <v>0.17183178834672574</v>
      </c>
      <c r="AF236" s="824"/>
      <c r="AG236" s="823">
        <f>AG14/AA14-1</f>
        <v>-4.15459082098254E-2</v>
      </c>
      <c r="AH236" s="824">
        <f>AH14/AB14-1</f>
        <v>-4.0878790236816842E-2</v>
      </c>
      <c r="AI236" s="824">
        <f>AI14/AC14-1</f>
        <v>0.19120637687475051</v>
      </c>
      <c r="AJ236" s="837">
        <f>AJ14/AD14-1</f>
        <v>0.21066771992569344</v>
      </c>
      <c r="AK236" s="825">
        <f>AK14/AE14-1</f>
        <v>6.942913864354594E-2</v>
      </c>
      <c r="AL236" s="824"/>
      <c r="AM236" s="823">
        <f>AM14/AG14-1</f>
        <v>0.15856139197922059</v>
      </c>
      <c r="AN236" s="824">
        <f>AN14/AH14-1</f>
        <v>0.21116601439504867</v>
      </c>
      <c r="AO236" s="824">
        <f>AO14/AI14-1</f>
        <v>0.21410497755489333</v>
      </c>
      <c r="AP236" s="824">
        <f>AP14/AJ14-1</f>
        <v>0.20597419451983101</v>
      </c>
      <c r="AQ236" s="825">
        <f>AQ14/AK14-1</f>
        <v>0.19778827193117055</v>
      </c>
      <c r="AR236" s="824"/>
      <c r="AS236" s="823">
        <f>AS14/AM14-1</f>
        <v>0.2229834216834925</v>
      </c>
      <c r="AT236" s="824">
        <f>AT14/AN14-1</f>
        <v>0.24660842049525189</v>
      </c>
      <c r="AU236" s="824">
        <f>AU14/AO14-1</f>
        <v>0.30621180591519859</v>
      </c>
      <c r="AV236" s="1719">
        <f>AV14/AP14-1</f>
        <v>0.33872693869542725</v>
      </c>
      <c r="AW236" s="1720">
        <f>AW14/AQ14-1</f>
        <v>0.28059409040877492</v>
      </c>
      <c r="AX236" s="1719"/>
      <c r="AY236" s="1721">
        <f>AY14/AS14-1</f>
        <v>0.26756779887965854</v>
      </c>
      <c r="AZ236" s="1719">
        <f>AZ14/AT14-1</f>
        <v>0.18411086774068086</v>
      </c>
      <c r="BA236" s="1719">
        <f>BA14/AU14-1</f>
        <v>0.13134517004154622</v>
      </c>
      <c r="BB236" s="1719">
        <f>BB14/AV14-1</f>
        <v>0.10568495477750717</v>
      </c>
      <c r="BC236" s="1720">
        <f>BC14/AW14-1</f>
        <v>0.16740979221505747</v>
      </c>
      <c r="BD236" s="1719"/>
      <c r="BE236" s="1721">
        <f>BE14/AY14-1</f>
        <v>5.1451994763975994E-2</v>
      </c>
      <c r="BF236" s="1719">
        <f>BF14/AZ14-1</f>
        <v>0.10191459936035963</v>
      </c>
      <c r="BG236" s="1719">
        <f>BG14/BA14-1</f>
        <v>9.1159329176082826E-2</v>
      </c>
      <c r="BH236" s="1728">
        <f>BH14/BB14-1</f>
        <v>5.5548861066592847E-2</v>
      </c>
      <c r="BI236" s="1720">
        <f>BI14/BC14-1</f>
        <v>7.477072493709791E-2</v>
      </c>
      <c r="BJ236" s="1719"/>
      <c r="BK236" s="1721">
        <f>BK14/BE14-1</f>
        <v>1.7089590885551509E-2</v>
      </c>
      <c r="BL236" s="1719">
        <f>BL14/BF14-1</f>
        <v>6.5653178329234674E-2</v>
      </c>
      <c r="BM236" s="1719">
        <f>BM14/BG14-1</f>
        <v>0.16011087234108801</v>
      </c>
      <c r="BN236" s="1728">
        <f>BN14/BH14-1</f>
        <v>0.2532797037944674</v>
      </c>
      <c r="BO236" s="1720">
        <f>BO14/BI14-1</f>
        <v>0.12652725373118168</v>
      </c>
      <c r="BP236" s="1719"/>
      <c r="BQ236" s="1721">
        <f>BQ14/BK14-1</f>
        <v>0.2790224032586559</v>
      </c>
      <c r="BR236" s="1719">
        <f>BR14/BL14-1</f>
        <v>0.17352257966519136</v>
      </c>
      <c r="BS236" s="1719">
        <f>BS14/BM14-1</f>
        <v>9.425612161189445E-2</v>
      </c>
      <c r="BT236" s="1728">
        <f>BT14/BN14-1</f>
        <v>2.5820748703982321E-2</v>
      </c>
      <c r="BU236" s="1720">
        <f>BU14/BO14-1</f>
        <v>0.13301164013894851</v>
      </c>
      <c r="BV236" s="1719"/>
      <c r="BW236" s="1721">
        <f>BW14/BQ14-1</f>
        <v>7.3677186860725996E-2</v>
      </c>
      <c r="BX236" s="1719">
        <f>BX14/BR14-1</f>
        <v>5.5720457956055958E-2</v>
      </c>
      <c r="BY236" s="1719">
        <f>BY14/BS14-1</f>
        <v>5.0030029898039174E-2</v>
      </c>
      <c r="BZ236" s="1728">
        <f>BZ14/BT14-1</f>
        <v>4.5648902933899782E-2</v>
      </c>
      <c r="CA236" s="1720">
        <f>CA14/BU14-1</f>
        <v>5.6013578186187463E-2</v>
      </c>
      <c r="CB236" s="1719"/>
      <c r="CC236" s="1721">
        <f>CC14/BW14-1</f>
        <v>5.8671418486010651E-2</v>
      </c>
      <c r="CD236" s="1719">
        <f>CD14/BX14-1</f>
        <v>5.9953736896366072E-2</v>
      </c>
      <c r="CE236" s="1719">
        <f>CE14/BY14-1</f>
        <v>6.0919649690478028E-2</v>
      </c>
      <c r="CF236" s="1728">
        <f>CF14/BZ14-1</f>
        <v>6.1573167574779486E-2</v>
      </c>
      <c r="CG236" s="1720">
        <f>CG14/CA14-1</f>
        <v>6.029732912484187E-2</v>
      </c>
      <c r="CH236" s="1719"/>
      <c r="CI236" s="1721">
        <f>CI14/CC14-1</f>
        <v>7.1011813479231023E-2</v>
      </c>
      <c r="CJ236" s="1719">
        <f>CJ14/CD14-1</f>
        <v>7.0950963172409454E-2</v>
      </c>
      <c r="CK236" s="1719">
        <f>CK14/CE14-1</f>
        <v>7.0725362008908776E-2</v>
      </c>
      <c r="CL236" s="1728">
        <f>CL14/CF14-1</f>
        <v>7.3183248393278166E-2</v>
      </c>
      <c r="CM236" s="1720">
        <f>CM14/CG14-1</f>
        <v>7.1486044853403818E-2</v>
      </c>
      <c r="CN236" s="1719"/>
      <c r="CO236" s="1721">
        <f>CO14/CI14-1</f>
        <v>7.9233974912616301E-2</v>
      </c>
      <c r="CP236" s="1719">
        <f>CP14/CJ14-1</f>
        <v>8.6343017721327797E-2</v>
      </c>
      <c r="CQ236" s="1719">
        <f>CQ14/CK14-1</f>
        <v>9.1275194255772796E-2</v>
      </c>
      <c r="CR236" s="1728">
        <f>CR14/CL14-1</f>
        <v>9.2152803248856552E-2</v>
      </c>
      <c r="CS236" s="1720">
        <f>CS14/CM14-1</f>
        <v>8.7332335549257678E-2</v>
      </c>
      <c r="CT236" s="83"/>
      <c r="CU236" s="60"/>
      <c r="CV236" s="60"/>
      <c r="CW236" s="60"/>
      <c r="CX236" s="60"/>
      <c r="CY236" s="60"/>
      <c r="CZ236" s="60"/>
      <c r="DA236" s="60"/>
      <c r="DB236" s="60"/>
      <c r="DC236" s="60"/>
      <c r="DD236" s="60"/>
      <c r="DE236" s="60"/>
      <c r="DF236" s="60"/>
      <c r="DG236" s="60"/>
      <c r="DH236" s="60"/>
      <c r="DI236" s="60"/>
      <c r="DJ236" s="60"/>
      <c r="DK236" s="60"/>
      <c r="DL236" s="60"/>
      <c r="DM236" s="60"/>
      <c r="DN236" s="60"/>
      <c r="DO236" s="60"/>
      <c r="DP236" s="60"/>
      <c r="DQ236" s="60"/>
      <c r="DR236" s="60"/>
      <c r="DS236" s="60"/>
      <c r="DT236" s="60"/>
    </row>
    <row r="237" spans="1:124">
      <c r="A237" s="232" t="s">
        <v>17</v>
      </c>
      <c r="B237" s="62"/>
      <c r="C237" s="834">
        <v>1.2710155842651067</v>
      </c>
      <c r="D237" s="835">
        <v>1.0073830600578977</v>
      </c>
      <c r="E237" s="835">
        <v>3.0088311847095417</v>
      </c>
      <c r="F237" s="835">
        <v>2.5699065418964357</v>
      </c>
      <c r="G237" s="836">
        <v>1.9133232126075317</v>
      </c>
      <c r="H237" s="824"/>
      <c r="I237" s="823">
        <f>I9/C9-1</f>
        <v>1.2582468253191004</v>
      </c>
      <c r="J237" s="824">
        <f>J9/D9-1</f>
        <v>0.70078740157480346</v>
      </c>
      <c r="K237" s="824">
        <f>K9/E9-1</f>
        <v>0.37243401759530781</v>
      </c>
      <c r="L237" s="824">
        <f>L9/F9-1</f>
        <v>0.23030622009569357</v>
      </c>
      <c r="M237" s="825">
        <f>M9/G9-1</f>
        <v>0.53591510433966727</v>
      </c>
      <c r="N237" s="824"/>
      <c r="O237" s="823">
        <f>O9/I9-1</f>
        <v>0.13838620203644636</v>
      </c>
      <c r="P237" s="824">
        <f>P9/J9-1</f>
        <v>0.24537037037037024</v>
      </c>
      <c r="Q237" s="824">
        <f>Q9/K9-1</f>
        <v>0.29700854700854706</v>
      </c>
      <c r="R237" s="837">
        <f>R9/L9-1</f>
        <v>0.18226294461253723</v>
      </c>
      <c r="S237" s="825">
        <f>S9/M9-1</f>
        <v>0.21540118470651581</v>
      </c>
      <c r="T237" s="824"/>
      <c r="U237" s="823">
        <f>U9/O9-1</f>
        <v>0.13492063492063511</v>
      </c>
      <c r="V237" s="824">
        <f>V9/P9-1</f>
        <v>0.29925650557620842</v>
      </c>
      <c r="W237" s="824">
        <f>W9/Q9-1</f>
        <v>0.44645799011532117</v>
      </c>
      <c r="X237" s="824">
        <f>X9/R9-1</f>
        <v>0.80427631578947367</v>
      </c>
      <c r="Y237" s="825">
        <f>Y9/S9-1</f>
        <v>0.43819229065130716</v>
      </c>
      <c r="Z237" s="824"/>
      <c r="AA237" s="823">
        <f>AA9/U9-1</f>
        <v>0.99825174825174812</v>
      </c>
      <c r="AB237" s="824">
        <f>AB9/V9-1</f>
        <v>0.52646638054363359</v>
      </c>
      <c r="AC237" s="824">
        <f>AC9/W9-1</f>
        <v>-0.1822323462414579</v>
      </c>
      <c r="AD237" s="824">
        <f>AD9/X9-1</f>
        <v>-0.26800364630811302</v>
      </c>
      <c r="AE237" s="825">
        <f>AE9/Y9-1</f>
        <v>0.14941466420209482</v>
      </c>
      <c r="AF237" s="824"/>
      <c r="AG237" s="823">
        <f>AG9/AA9-1</f>
        <v>-0.30358705161854771</v>
      </c>
      <c r="AH237" s="824">
        <f>AH9/AB9-1</f>
        <v>-0.32333645735707595</v>
      </c>
      <c r="AI237" s="824">
        <f>AI9/AC9-1</f>
        <v>0.14763231197771609</v>
      </c>
      <c r="AJ237" s="837">
        <f>AJ9/AD9-1</f>
        <v>-3.7359900373600263E-3</v>
      </c>
      <c r="AK237" s="825">
        <f>AK9/AE9-1</f>
        <v>-0.15786652372018217</v>
      </c>
      <c r="AL237" s="824"/>
      <c r="AM237" s="823">
        <f>AM9/AG9-1</f>
        <v>0.10678391959799005</v>
      </c>
      <c r="AN237" s="824">
        <f>AN9/AH9-1</f>
        <v>0.31301939058171735</v>
      </c>
      <c r="AO237" s="824">
        <f>AO9/AI9-1</f>
        <v>0.20999999999999996</v>
      </c>
      <c r="AP237" s="824">
        <f>AP9/AJ9-1</f>
        <v>0.11250000000000004</v>
      </c>
      <c r="AQ237" s="825">
        <f>AQ9/AK9-1</f>
        <v>0.18269891788669623</v>
      </c>
      <c r="AR237" s="824"/>
      <c r="AS237" s="823">
        <f>AS9/AM9-1</f>
        <v>0.31441543700340535</v>
      </c>
      <c r="AT237" s="824">
        <f>AT9/AN9-1</f>
        <v>0.4789029535864977</v>
      </c>
      <c r="AU237" s="824">
        <f>AU9/AO9-1</f>
        <v>0.50445318141699413</v>
      </c>
      <c r="AV237" s="1719">
        <f>AV9/AP9-1</f>
        <v>0.75280898876404501</v>
      </c>
      <c r="AW237" s="1720">
        <f>AW9/AQ9-1</f>
        <v>0.51236262257672149</v>
      </c>
      <c r="AX237" s="1719"/>
      <c r="AY237" s="1721">
        <f>AY9/AS9-1</f>
        <v>0.2607944732297065</v>
      </c>
      <c r="AZ237" s="1719">
        <f>AZ9/AT9-1</f>
        <v>0.10556348074179756</v>
      </c>
      <c r="BA237" s="1719">
        <f>BA9/AU9-1</f>
        <v>-3.3333333333333326E-2</v>
      </c>
      <c r="BB237" s="1719">
        <f>BB9/AV9-1</f>
        <v>-5.1282051282051322E-2</v>
      </c>
      <c r="BC237" s="1720">
        <f>BC9/AW9-1</f>
        <v>5.6939501779359469E-2</v>
      </c>
      <c r="BD237" s="1719"/>
      <c r="BE237" s="1721">
        <f>BE9/AY9-1</f>
        <v>-0.19178082191780821</v>
      </c>
      <c r="BF237" s="1719">
        <f>BF9/AZ9-1</f>
        <v>-0.18709677419354842</v>
      </c>
      <c r="BG237" s="1719">
        <f>BG9/BA9-1</f>
        <v>-0.22758620689655173</v>
      </c>
      <c r="BH237" s="1728">
        <f>BH9/BB9-1</f>
        <v>-0.22972972972972971</v>
      </c>
      <c r="BI237" s="1720">
        <f>BI9/BC9-1</f>
        <v>-0.2087542087542088</v>
      </c>
      <c r="BJ237" s="1719"/>
      <c r="BK237" s="1721">
        <f>BK9/BE9-1</f>
        <v>-0.15254237288135597</v>
      </c>
      <c r="BL237" s="1719">
        <f>BL9/BF9-1</f>
        <v>7.9365079365079305E-2</v>
      </c>
      <c r="BM237" s="1719">
        <f>BM9/BG9-1</f>
        <v>0.25</v>
      </c>
      <c r="BN237" s="1728">
        <f>BN9/BH9-1</f>
        <v>0.2192982456140351</v>
      </c>
      <c r="BO237" s="1720">
        <f>BO9/BI9-1</f>
        <v>9.5744680851063801E-2</v>
      </c>
      <c r="BP237" s="1719"/>
      <c r="BQ237" s="1721">
        <f>BQ9/BK9-1</f>
        <v>0.17999999999999994</v>
      </c>
      <c r="BR237" s="1719">
        <f>BR9/BL9-1</f>
        <v>-6.4823529411764724E-2</v>
      </c>
      <c r="BS237" s="1719">
        <f>BS9/BM9-1</f>
        <v>-6.6566071428571516E-2</v>
      </c>
      <c r="BT237" s="1728">
        <f>BT9/BN9-1</f>
        <v>-5.9850719424460519E-2</v>
      </c>
      <c r="BU237" s="1720">
        <f>BU9/BO9-1</f>
        <v>-1.6416504854369074E-2</v>
      </c>
      <c r="BV237" s="1719"/>
      <c r="BW237" s="1721">
        <f>BW9/BQ9-1</f>
        <v>-3.5790254237288099E-2</v>
      </c>
      <c r="BX237" s="1719">
        <f>BX9/BR9-1</f>
        <v>-0.10541616870046544</v>
      </c>
      <c r="BY237" s="1719">
        <f>BY9/BS9-1</f>
        <v>-0.12935340514957239</v>
      </c>
      <c r="BZ237" s="1728">
        <f>BZ9/BT9-1</f>
        <v>-0.12935340514957239</v>
      </c>
      <c r="CA237" s="1720">
        <f>CA9/BU9-1</f>
        <v>-0.10154763984676585</v>
      </c>
      <c r="CB237" s="1719"/>
      <c r="CC237" s="1721">
        <f>CC9/BW9-1</f>
        <v>-5.7623811543219605E-2</v>
      </c>
      <c r="CD237" s="1719">
        <f>CD9/BX9-1</f>
        <v>-5.7623811543219605E-2</v>
      </c>
      <c r="CE237" s="1719">
        <f>CE9/BY9-1</f>
        <v>-5.7623811543219605E-2</v>
      </c>
      <c r="CF237" s="1728">
        <f>CF9/BZ9-1</f>
        <v>-5.7623811543219605E-2</v>
      </c>
      <c r="CG237" s="1720">
        <f>CG9/CA9-1</f>
        <v>-5.7623811543219605E-2</v>
      </c>
      <c r="CH237" s="1719"/>
      <c r="CI237" s="1721">
        <f>CI9/CC9-1</f>
        <v>-3.7306298702206586E-3</v>
      </c>
      <c r="CJ237" s="1719">
        <f>CJ9/CD9-1</f>
        <v>-3.7306298702206586E-3</v>
      </c>
      <c r="CK237" s="1719">
        <f>CK9/CE9-1</f>
        <v>-3.7306298702206586E-3</v>
      </c>
      <c r="CL237" s="1728">
        <f>CL9/CF9-1</f>
        <v>-3.7306298702206586E-3</v>
      </c>
      <c r="CM237" s="1720">
        <f>CM9/CG9-1</f>
        <v>-3.7306298702206586E-3</v>
      </c>
      <c r="CN237" s="1719"/>
      <c r="CO237" s="1721">
        <f>CO9/CI9-1</f>
        <v>-3.7445995852856129E-3</v>
      </c>
      <c r="CP237" s="1719">
        <f>CP9/CJ9-1</f>
        <v>-3.7445995852856129E-3</v>
      </c>
      <c r="CQ237" s="1719">
        <f>CQ9/CK9-1</f>
        <v>-3.7445995852856129E-3</v>
      </c>
      <c r="CR237" s="1728">
        <f>CR9/CL9-1</f>
        <v>-3.7445995852856129E-3</v>
      </c>
      <c r="CS237" s="1720">
        <f>CS9/CM9-1</f>
        <v>-3.7445995852856129E-3</v>
      </c>
      <c r="CT237" s="83"/>
      <c r="CU237" s="60"/>
      <c r="CV237" s="60"/>
      <c r="CW237" s="60"/>
      <c r="CX237" s="60"/>
      <c r="CY237" s="60"/>
      <c r="CZ237" s="60"/>
      <c r="DA237" s="60"/>
      <c r="DB237" s="60"/>
      <c r="DC237" s="60"/>
      <c r="DD237" s="60"/>
      <c r="DE237" s="60"/>
      <c r="DF237" s="60"/>
      <c r="DG237" s="60"/>
      <c r="DH237" s="60"/>
      <c r="DI237" s="60"/>
      <c r="DJ237" s="60"/>
      <c r="DK237" s="60"/>
      <c r="DL237" s="60"/>
      <c r="DM237" s="60"/>
      <c r="DN237" s="60"/>
      <c r="DO237" s="60"/>
      <c r="DP237" s="60"/>
      <c r="DQ237" s="60"/>
      <c r="DR237" s="60"/>
      <c r="DS237" s="60"/>
      <c r="DT237" s="60"/>
    </row>
    <row r="238" spans="1:124">
      <c r="A238" s="232" t="s">
        <v>210</v>
      </c>
      <c r="B238" s="62"/>
      <c r="C238" s="834">
        <v>2.3360560594987319</v>
      </c>
      <c r="D238" s="835">
        <v>1.2072597641123659</v>
      </c>
      <c r="E238" s="835">
        <v>58.202289999999998</v>
      </c>
      <c r="F238" s="835">
        <v>0.65196894415962858</v>
      </c>
      <c r="G238" s="836">
        <v>0.94058889602053908</v>
      </c>
      <c r="H238" s="824"/>
      <c r="I238" s="823">
        <f>I11/C11-1</f>
        <v>0.63454055927858688</v>
      </c>
      <c r="J238" s="824">
        <f>J11/D11-1</f>
        <v>0.78384279475982543</v>
      </c>
      <c r="K238" s="824">
        <f>K11/E11-1</f>
        <v>0.71157495256166969</v>
      </c>
      <c r="L238" s="824">
        <f>L11/F11-1</f>
        <v>0.75641797153024903</v>
      </c>
      <c r="M238" s="825">
        <f>M11/G11-1</f>
        <v>0.72635373914148338</v>
      </c>
      <c r="N238" s="824"/>
      <c r="O238" s="823">
        <f>O11/I11-1</f>
        <v>0.63419127582787005</v>
      </c>
      <c r="P238" s="824">
        <f>P11/J11-1</f>
        <v>0.1811505507955935</v>
      </c>
      <c r="Q238" s="824">
        <f>Q11/K11-1</f>
        <v>-3.5476718403547713E-2</v>
      </c>
      <c r="R238" s="837">
        <f>R11/L11-1</f>
        <v>6.067539392136756E-2</v>
      </c>
      <c r="S238" s="825">
        <f>S11/M11-1</f>
        <v>0.172610128858256</v>
      </c>
      <c r="T238" s="824"/>
      <c r="U238" s="823">
        <f>U11/O11-1</f>
        <v>0.10572259941804085</v>
      </c>
      <c r="V238" s="824">
        <f>V11/P11-1</f>
        <v>0.30259067357512959</v>
      </c>
      <c r="W238" s="824">
        <f>W11/Q11-1</f>
        <v>0.52873563218390807</v>
      </c>
      <c r="X238" s="824">
        <f>X11/R11-1</f>
        <v>0.26361031518624656</v>
      </c>
      <c r="Y238" s="825">
        <f>Y11/S11-1</f>
        <v>0.29056989522105803</v>
      </c>
      <c r="Z238" s="824"/>
      <c r="AA238" s="823">
        <f>AA11/U11-1</f>
        <v>0.29912280701754379</v>
      </c>
      <c r="AB238" s="824">
        <f>AB11/V11-1</f>
        <v>0.26491646778042965</v>
      </c>
      <c r="AC238" s="824">
        <f>AC11/W11-1</f>
        <v>8.9473684210526372E-2</v>
      </c>
      <c r="AD238" s="824">
        <f>AD11/X11-1</f>
        <v>8.6923658352229261E-2</v>
      </c>
      <c r="AE238" s="825">
        <f>AE11/Y11-1</f>
        <v>0.17980198019801974</v>
      </c>
      <c r="AF238" s="824"/>
      <c r="AG238" s="823">
        <f>AG11/AA11-1</f>
        <v>0.16745442268737354</v>
      </c>
      <c r="AH238" s="824">
        <f>AH11/AB11-1</f>
        <v>0.15534591194968539</v>
      </c>
      <c r="AI238" s="824">
        <f>AI11/AC11-1</f>
        <v>0.21946169772256718</v>
      </c>
      <c r="AJ238" s="837">
        <f>AJ11/AD11-1</f>
        <v>0.3625382475660639</v>
      </c>
      <c r="AK238" s="825">
        <f>AK11/AE11-1</f>
        <v>0.22395602551191685</v>
      </c>
      <c r="AL238" s="824"/>
      <c r="AM238" s="823">
        <f>AM11/AG11-1</f>
        <v>0.18507807981492186</v>
      </c>
      <c r="AN238" s="824">
        <f>AN11/AH11-1</f>
        <v>0.17256396298312482</v>
      </c>
      <c r="AO238" s="824">
        <f>AO11/AI11-1</f>
        <v>0.2218392756083758</v>
      </c>
      <c r="AP238" s="824">
        <f>AP11/AJ11-1</f>
        <v>0.24532365655606814</v>
      </c>
      <c r="AQ238" s="825">
        <f>AQ11/AK11-1</f>
        <v>0.20702025278614666</v>
      </c>
      <c r="AR238" s="824"/>
      <c r="AS238" s="823">
        <f>AS11/AM11-1</f>
        <v>0.18350414836505613</v>
      </c>
      <c r="AT238" s="824">
        <f>AT11/AN11-1</f>
        <v>0.14531104921077054</v>
      </c>
      <c r="AU238" s="824">
        <f>AU11/AO11-1</f>
        <v>0.20889860536639815</v>
      </c>
      <c r="AV238" s="1719">
        <f>AV11/AP11-1</f>
        <v>0.18852459016393452</v>
      </c>
      <c r="AW238" s="1720">
        <f>AW11/AQ11-1</f>
        <v>0.18177821151807705</v>
      </c>
      <c r="AX238" s="1719"/>
      <c r="AY238" s="1721">
        <f>AY11/AS11-1</f>
        <v>0.27422680412371125</v>
      </c>
      <c r="AZ238" s="1719">
        <f>AZ11/AT11-1</f>
        <v>0.22821240372922591</v>
      </c>
      <c r="BA238" s="1719">
        <f>BA11/AU11-1</f>
        <v>0.22999999999999998</v>
      </c>
      <c r="BB238" s="1719">
        <f>BB11/AV11-1</f>
        <v>0.19310344827586201</v>
      </c>
      <c r="BC238" s="1720">
        <f>BC11/AW11-1</f>
        <v>0.22960007690828688</v>
      </c>
      <c r="BD238" s="1719"/>
      <c r="BE238" s="1721">
        <f>BE11/AY11-1</f>
        <v>0.16828478964401294</v>
      </c>
      <c r="BF238" s="1719">
        <f>BF11/AZ11-1</f>
        <v>0.2507534851485147</v>
      </c>
      <c r="BG238" s="1719">
        <f>BG11/BA11-1</f>
        <v>0.23352957667507712</v>
      </c>
      <c r="BH238" s="1728">
        <f>BH11/BB11-1</f>
        <v>0.17630057803468202</v>
      </c>
      <c r="BI238" s="1720">
        <f>BI11/BC11-1</f>
        <v>0.20636600079747924</v>
      </c>
      <c r="BJ238" s="1719"/>
      <c r="BK238" s="1721">
        <f>BK11/BE11-1</f>
        <v>7.2022160664819923E-2</v>
      </c>
      <c r="BL238" s="1719">
        <f>BL11/BF11-1</f>
        <v>6.0746733086088689E-2</v>
      </c>
      <c r="BM238" s="1719">
        <f>BM11/BG11-1</f>
        <v>0.13888888888888884</v>
      </c>
      <c r="BN238" s="1728">
        <f>BN11/BH11-1</f>
        <v>0.2628992628992628</v>
      </c>
      <c r="BO238" s="1720">
        <f>BO11/BI11-1</f>
        <v>0.13676257999184083</v>
      </c>
      <c r="BP238" s="1719"/>
      <c r="BQ238" s="1721">
        <f>BQ11/BK11-1</f>
        <v>0.30232558139534893</v>
      </c>
      <c r="BR238" s="1719">
        <f>BR11/BL11-1</f>
        <v>0.25748300942802227</v>
      </c>
      <c r="BS238" s="1719">
        <f>BS11/BM11-1</f>
        <v>0.14522372168667208</v>
      </c>
      <c r="BT238" s="1728">
        <f>BT11/BN11-1</f>
        <v>5.0636920566757171E-2</v>
      </c>
      <c r="BU238" s="1720">
        <f>BU11/BO11-1</f>
        <v>0.17789706125545446</v>
      </c>
      <c r="BV238" s="1719"/>
      <c r="BW238" s="1721">
        <f>BW11/BQ11-1</f>
        <v>0.10216770505661898</v>
      </c>
      <c r="BX238" s="1719">
        <f>BX11/BR11-1</f>
        <v>9.681297486451701E-2</v>
      </c>
      <c r="BY238" s="1719">
        <f>BY11/BS11-1</f>
        <v>9.5900891697291657E-2</v>
      </c>
      <c r="BZ238" s="1728">
        <f>BZ11/BT11-1</f>
        <v>8.8420211136338356E-2</v>
      </c>
      <c r="CA238" s="1720">
        <f>CA11/BU11-1</f>
        <v>9.5697490689986786E-2</v>
      </c>
      <c r="CB238" s="1719"/>
      <c r="CC238" s="1721">
        <f>CC11/BW11-1</f>
        <v>8.3019271674256157E-2</v>
      </c>
      <c r="CD238" s="1719">
        <f>CD11/BX11-1</f>
        <v>8.4622167486932964E-2</v>
      </c>
      <c r="CE238" s="1719">
        <f>CE11/BY11-1</f>
        <v>8.5286077338614819E-2</v>
      </c>
      <c r="CF238" s="1728">
        <f>CF11/BZ11-1</f>
        <v>8.5170071724606444E-2</v>
      </c>
      <c r="CG238" s="1720">
        <f>CG11/CA11-1</f>
        <v>8.4537105135272572E-2</v>
      </c>
      <c r="CH238" s="1719"/>
      <c r="CI238" s="1721">
        <f>CI11/CC11-1</f>
        <v>8.4922808346926892E-2</v>
      </c>
      <c r="CJ238" s="1719">
        <f>CJ11/CD11-1</f>
        <v>8.4856214801499963E-2</v>
      </c>
      <c r="CK238" s="1719">
        <f>CK11/CE11-1</f>
        <v>8.4296580498249618E-2</v>
      </c>
      <c r="CL238" s="1728">
        <f>CL11/CF11-1</f>
        <v>8.6686151674747691E-2</v>
      </c>
      <c r="CM238" s="1720">
        <f>CM11/CG11-1</f>
        <v>8.5207921678963849E-2</v>
      </c>
      <c r="CN238" s="1719"/>
      <c r="CO238" s="1721">
        <f>CO11/CI11-1</f>
        <v>9.3421182808147041E-2</v>
      </c>
      <c r="CP238" s="1719">
        <f>CP11/CJ11-1</f>
        <v>0.10175530794474374</v>
      </c>
      <c r="CQ238" s="1719">
        <f>CQ11/CK11-1</f>
        <v>0.10719871414312676</v>
      </c>
      <c r="CR238" s="1728">
        <f>CR11/CL11-1</f>
        <v>0.10759663330539659</v>
      </c>
      <c r="CS238" s="1720">
        <f>CS11/CM11-1</f>
        <v>0.10259413393497696</v>
      </c>
      <c r="CT238" s="83"/>
      <c r="CU238" s="60"/>
      <c r="CV238" s="60"/>
      <c r="CW238" s="60"/>
      <c r="CX238" s="60"/>
      <c r="CY238" s="60"/>
      <c r="CZ238" s="60"/>
      <c r="DA238" s="60"/>
      <c r="DB238" s="60"/>
      <c r="DC238" s="60"/>
      <c r="DD238" s="60"/>
      <c r="DE238" s="60"/>
      <c r="DF238" s="60"/>
      <c r="DG238" s="60"/>
      <c r="DH238" s="60"/>
      <c r="DI238" s="60"/>
      <c r="DJ238" s="60"/>
      <c r="DK238" s="60"/>
      <c r="DL238" s="60"/>
      <c r="DM238" s="60"/>
      <c r="DN238" s="60"/>
      <c r="DO238" s="60"/>
      <c r="DP238" s="60"/>
      <c r="DQ238" s="60"/>
      <c r="DR238" s="60"/>
      <c r="DS238" s="60"/>
      <c r="DT238" s="60"/>
    </row>
    <row r="239" spans="1:124" ht="12.75" hidden="1" customHeight="1" outlineLevel="1">
      <c r="A239" s="3007" t="s">
        <v>880</v>
      </c>
      <c r="B239" s="62"/>
      <c r="C239" s="834">
        <v>1.4454864024480529</v>
      </c>
      <c r="D239" s="835">
        <v>0.67589737448732179</v>
      </c>
      <c r="E239" s="835">
        <v>0.50193372117506452</v>
      </c>
      <c r="F239" s="835">
        <v>0.5602653677097682</v>
      </c>
      <c r="G239" s="836">
        <v>0.70393971358316532</v>
      </c>
      <c r="H239" s="824"/>
      <c r="I239" s="823">
        <f>I39/C39-1</f>
        <v>0.47072732820371233</v>
      </c>
      <c r="J239" s="824">
        <f>J39/D39-1</f>
        <v>0.51993728646978998</v>
      </c>
      <c r="K239" s="824">
        <f>K39/E39-1</f>
        <v>0.35466966850399806</v>
      </c>
      <c r="L239" s="824">
        <f>L39/F39-1</f>
        <v>0.36042085688783088</v>
      </c>
      <c r="M239" s="825">
        <f>M39/G39-1</f>
        <v>0.41815545994729453</v>
      </c>
      <c r="N239" s="824"/>
      <c r="O239" s="823">
        <f>O39/I39-1</f>
        <v>0.2410688907373888</v>
      </c>
      <c r="P239" s="824">
        <f>P39/J39-1</f>
        <v>-6.7648915369574847E-2</v>
      </c>
      <c r="Q239" s="824">
        <f>Q39/K39-1</f>
        <v>-0.28748674747127467</v>
      </c>
      <c r="R239" s="837">
        <f>R39/L39-1</f>
        <v>-0.20000538013673197</v>
      </c>
      <c r="S239" s="825">
        <f>S39/M39-1</f>
        <v>-9.6098173050031543E-2</v>
      </c>
      <c r="T239" s="824"/>
      <c r="U239" s="823">
        <f>U39/O39-1</f>
        <v>-0.10701018715944099</v>
      </c>
      <c r="V239" s="824">
        <f>V39/P39-1</f>
        <v>0.1779021009814119</v>
      </c>
      <c r="W239" s="824">
        <f>W39/Q39-1</f>
        <v>0.40904211909166555</v>
      </c>
      <c r="X239" s="824">
        <f>X39/R39-1</f>
        <v>0.16509665220016245</v>
      </c>
      <c r="Y239" s="825">
        <f>Y39/S39-1</f>
        <v>0.13902560135804709</v>
      </c>
      <c r="Z239" s="824"/>
      <c r="AA239" s="823">
        <f>AA39/U39-1</f>
        <v>4.1168723188063749E-2</v>
      </c>
      <c r="AB239" s="824">
        <f>AB39/V39-1</f>
        <v>6.3373716318099405E-2</v>
      </c>
      <c r="AC239" s="824">
        <f>AC39/W39-1</f>
        <v>-0.12934916375265637</v>
      </c>
      <c r="AD239" s="824">
        <f>AD39/X39-1</f>
        <v>-0.14713174773400106</v>
      </c>
      <c r="AE239" s="825">
        <f>AE39/Y39-1</f>
        <v>-4.4012823520648947E-2</v>
      </c>
      <c r="AF239" s="824"/>
      <c r="AG239" s="823">
        <f>AG39/AA39-1</f>
        <v>3.446489096890204E-2</v>
      </c>
      <c r="AH239" s="824">
        <f>AH39/AB39-1</f>
        <v>-0.17622932836269267</v>
      </c>
      <c r="AI239" s="824">
        <f>AI39/AC39-1</f>
        <v>-2.0729024170940469E-2</v>
      </c>
      <c r="AJ239" s="837">
        <f>AJ39/AD39-1</f>
        <v>0.1316247433816875</v>
      </c>
      <c r="AK239" s="825">
        <f>AK39/AE39-1</f>
        <v>-1.8136414178532734E-2</v>
      </c>
      <c r="AL239" s="824"/>
      <c r="AM239" s="823">
        <f>AM39/AG39-1</f>
        <v>3.4089575135551886E-3</v>
      </c>
      <c r="AN239" s="824">
        <f>AN39/AH39-1</f>
        <v>3.8761183355634721E-2</v>
      </c>
      <c r="AO239" s="824">
        <f>AO39/AI39-1</f>
        <v>1.5601238971188813E-2</v>
      </c>
      <c r="AP239" s="824">
        <f>AP39/AJ39-1</f>
        <v>2.3348096194967249E-2</v>
      </c>
      <c r="AQ239" s="825">
        <f>AQ39/AK39-1</f>
        <v>2.0028341738985711E-2</v>
      </c>
      <c r="AR239" s="824"/>
      <c r="AS239" s="823">
        <f>AS39/AM39-1</f>
        <v>4.4569829647594705E-2</v>
      </c>
      <c r="AT239" s="824">
        <f>AT39/AN39-1</f>
        <v>-4.2329980852694349E-2</v>
      </c>
      <c r="AU239" s="824">
        <f>AU39/AO39-1</f>
        <v>-0.15749389711180817</v>
      </c>
      <c r="AV239" s="1719">
        <f>AV39/AP39-1</f>
        <v>-0.12947857722575518</v>
      </c>
      <c r="AW239" s="1720">
        <f>AW39/AQ39-1</f>
        <v>-6.9003751830970739E-2</v>
      </c>
      <c r="AX239" s="1719"/>
      <c r="AY239" s="1721">
        <f>AY39/AS39-1</f>
        <v>-0.19908687855261109</v>
      </c>
      <c r="AZ239" s="1719">
        <f>AZ39/AT39-1</f>
        <v>-0.24260102831211683</v>
      </c>
      <c r="BA239" s="1719">
        <f>BA39/AU39-1</f>
        <v>-0.14243417914335588</v>
      </c>
      <c r="BB239" s="1719">
        <f>BB39/AV39-1</f>
        <v>8.4082632406015101E-3</v>
      </c>
      <c r="BC239" s="1720">
        <f>BC39/AW39-1</f>
        <v>-0.14820242898095637</v>
      </c>
      <c r="BD239" s="1719"/>
      <c r="BE239" s="3009">
        <f>+(BE214+BE31+BE24)/(AY24+AY31+AY214)-1</f>
        <v>4.9645390070921946E-2</v>
      </c>
      <c r="BF239" s="3010">
        <f t="shared" ref="BF239:BI239" si="812">+(BF214+BF31+BF24)/(AZ24+AZ31+AZ214)-1</f>
        <v>0.30088495575221219</v>
      </c>
      <c r="BG239" s="3010">
        <f t="shared" si="812"/>
        <v>0.3808139534883721</v>
      </c>
      <c r="BH239" s="3011">
        <f t="shared" si="812"/>
        <v>0.13626251390433808</v>
      </c>
      <c r="BI239" s="3012">
        <f t="shared" si="812"/>
        <v>0.20441988950276246</v>
      </c>
      <c r="BJ239" s="1719"/>
      <c r="BK239" s="3009">
        <f t="shared" ref="BK239" si="813">+(BK214+BK31+BK24)/(BE24+BE31+BE214)-1</f>
        <v>0.15878378378378377</v>
      </c>
      <c r="BL239" s="3010">
        <f t="shared" ref="BL239" si="814">+(BL214+BL31+BL24)/(BF24+BF31+BF214)-1</f>
        <v>0.17163788592360008</v>
      </c>
      <c r="BM239" s="3010">
        <f t="shared" ref="BM239" si="815">+(BM214+BM31+BM24)/(BG24+BG31+BG214)-1</f>
        <v>0.27263157894736856</v>
      </c>
      <c r="BN239" s="3011">
        <f t="shared" ref="BN239" si="816">+(BN214+BN31+BN24)/(BH24+BH31+BH214)-1</f>
        <v>0.19481155163974528</v>
      </c>
      <c r="BO239" s="3012">
        <f t="shared" ref="BO239" si="817">+(BO214+BO31+BO24)/(BI24+BI31+BI214)-1</f>
        <v>0.19999999999999996</v>
      </c>
      <c r="BP239" s="1719"/>
      <c r="BQ239" s="3009">
        <f t="shared" ref="BQ239" si="818">+(BQ214+BQ31+BQ24)/(BK24+BK31+BK214)-1</f>
        <v>0.46695821185617081</v>
      </c>
      <c r="BR239" s="3010">
        <f t="shared" ref="BR239" si="819">+(BR214+BR31+BR24)/(BL24+BL31+BL214)-1</f>
        <v>0.26440375167485475</v>
      </c>
      <c r="BS239" s="3010">
        <f t="shared" ref="BS239" si="820">+(BS214+BS31+BS24)/(BM24+BM31+BM214)-1</f>
        <v>0.15095119933829615</v>
      </c>
      <c r="BT239" s="3011">
        <f t="shared" ref="BT239" si="821">+(BT214+BT31+BT24)/(BN24+BN31+BN214)-1</f>
        <v>0.24629250307251116</v>
      </c>
      <c r="BU239" s="3012">
        <f t="shared" ref="BU239" si="822">+(BU214+BU31+BU24)/(BO24+BO31+BO214)-1</f>
        <v>0.27514198339886398</v>
      </c>
      <c r="BV239" s="1719"/>
      <c r="BW239" s="3009">
        <f t="shared" ref="BW239" si="823">+(BW214+BW31+BW24)/(BQ24+BQ31+BQ214)-1</f>
        <v>0.17754223252732704</v>
      </c>
      <c r="BX239" s="3010">
        <f t="shared" ref="BX239" si="824">+(BX214+BX31+BX24)/(BR24+BR31+BR214)-1</f>
        <v>0.1879901095019425</v>
      </c>
      <c r="BY239" s="3010">
        <f t="shared" ref="BY239" si="825">+(BY214+BY31+BY24)/(BS24+BS31+BS214)-1</f>
        <v>0.18106360043118941</v>
      </c>
      <c r="BZ239" s="3011">
        <f t="shared" ref="BZ239" si="826">+(BZ214+BZ31+BZ24)/(BT24+BT31+BT214)-1</f>
        <v>0.17564920123594741</v>
      </c>
      <c r="CA239" s="3012">
        <f t="shared" ref="CA239" si="827">+(CA214+CA31+CA24)/(BU24+BU31+BU214)-1</f>
        <v>0.1804217486638342</v>
      </c>
      <c r="CB239" s="1719"/>
      <c r="CC239" s="3009">
        <f t="shared" ref="CC239" si="828">+(CC214+CC31+CC24)/(BW24+BW31+BW214)-1</f>
        <v>0.16049226441631514</v>
      </c>
      <c r="CD239" s="3010">
        <f t="shared" ref="CD239" si="829">+(CD214+CD31+CD24)/(BX24+BX31+BX214)-1</f>
        <v>0.16845861084681268</v>
      </c>
      <c r="CE239" s="3010">
        <f t="shared" ref="CE239" si="830">+(CE214+CE31+CE24)/(BY24+BY31+BY214)-1</f>
        <v>0.16332866835011717</v>
      </c>
      <c r="CF239" s="3011">
        <f t="shared" ref="CF239" si="831">+(CF214+CF31+CF24)/(BZ24+BZ31+BZ214)-1</f>
        <v>0.15904332654841524</v>
      </c>
      <c r="CG239" s="3012">
        <f t="shared" ref="CG239" si="832">+(CG214+CG31+CG24)/(CA24+CA31+CA214)-1</f>
        <v>0.16273678207124553</v>
      </c>
      <c r="CH239" s="1719"/>
      <c r="CI239" s="3009">
        <f t="shared" ref="CI239" si="833">+(CI214+CI31+CI24)/(CC24+CC31+CC214)-1</f>
        <v>0.12365805771351712</v>
      </c>
      <c r="CJ239" s="3010">
        <f t="shared" ref="CJ239" si="834">+(CJ214+CJ31+CJ24)/(CD24+CD31+CD214)-1</f>
        <v>0.1284393957900738</v>
      </c>
      <c r="CK239" s="3010">
        <f t="shared" ref="CK239" si="835">+(CK214+CK31+CK24)/(CE24+CE31+CE214)-1</f>
        <v>0.12533086019072925</v>
      </c>
      <c r="CL239" s="3011">
        <f t="shared" ref="CL239" si="836">+(CL214+CL31+CL24)/(CF24+CF31+CF214)-1</f>
        <v>0.12277871214950209</v>
      </c>
      <c r="CM239" s="3012">
        <f t="shared" ref="CM239" si="837">+(CM214+CM31+CM24)/(CG24+CG31+CG214)-1</f>
        <v>0.12500229493156167</v>
      </c>
      <c r="CN239" s="1719"/>
      <c r="CO239" s="3009">
        <f t="shared" ref="CO239" si="838">+(CO214+CO31+CO24)/(CI24+CI31+CI214)-1</f>
        <v>7.4650390474377382E-2</v>
      </c>
      <c r="CP239" s="3010">
        <f t="shared" ref="CP239" si="839">+(CP214+CP31+CP24)/(CJ24+CJ31+CJ214)-1</f>
        <v>7.6162882997301118E-2</v>
      </c>
      <c r="CQ239" s="3010">
        <f t="shared" ref="CQ239" si="840">+(CQ214+CQ31+CQ24)/(CK24+CK31+CK214)-1</f>
        <v>7.5084579500256599E-2</v>
      </c>
      <c r="CR239" s="3011">
        <f t="shared" ref="CR239" si="841">+(CR214+CR31+CR24)/(CL24+CL31+CL214)-1</f>
        <v>7.4363942798155502E-2</v>
      </c>
      <c r="CS239" s="3012">
        <f t="shared" ref="CS239" si="842">+(CS214+CS31+CS24)/(CM24+CM31+CM214)-1</f>
        <v>7.5052121448782927E-2</v>
      </c>
      <c r="CT239" s="83"/>
      <c r="CU239" s="60"/>
      <c r="CV239" s="60"/>
      <c r="CW239" s="60"/>
      <c r="CX239" s="60"/>
      <c r="CY239" s="60"/>
      <c r="CZ239" s="60"/>
      <c r="DA239" s="60"/>
      <c r="DB239" s="60"/>
      <c r="DC239" s="60"/>
      <c r="DD239" s="60"/>
      <c r="DE239" s="60"/>
      <c r="DF239" s="60"/>
      <c r="DG239" s="60"/>
      <c r="DH239" s="60"/>
      <c r="DI239" s="60"/>
      <c r="DJ239" s="60"/>
      <c r="DK239" s="60"/>
      <c r="DL239" s="60"/>
      <c r="DM239" s="60"/>
      <c r="DN239" s="60"/>
      <c r="DO239" s="60"/>
      <c r="DP239" s="60"/>
      <c r="DQ239" s="60"/>
      <c r="DR239" s="60"/>
      <c r="DS239" s="60"/>
      <c r="DT239" s="60"/>
    </row>
    <row r="240" spans="1:124" ht="12.75" hidden="1" customHeight="1" outlineLevel="1">
      <c r="A240" s="232" t="s">
        <v>38</v>
      </c>
      <c r="B240" s="62"/>
      <c r="C240" s="834">
        <v>0.19610683042697419</v>
      </c>
      <c r="D240" s="835">
        <v>2.7795932915470889E-2</v>
      </c>
      <c r="E240" s="835">
        <v>0.68589786856140034</v>
      </c>
      <c r="F240" s="835">
        <v>0.26920087627928901</v>
      </c>
      <c r="G240" s="836">
        <v>0.2662657635945298</v>
      </c>
      <c r="H240" s="824"/>
      <c r="I240" s="823">
        <f>I24/C24-1</f>
        <v>0.53061778999177145</v>
      </c>
      <c r="J240" s="824">
        <f>J24/D24-1</f>
        <v>8.0808080808081328E-2</v>
      </c>
      <c r="K240" s="824">
        <f>K24/E24-1</f>
        <v>-0.23870967741935489</v>
      </c>
      <c r="L240" s="824">
        <f>L24/F24-1</f>
        <v>-0.32783529411764778</v>
      </c>
      <c r="M240" s="825">
        <f>M24/G24-1</f>
        <v>-5.7017610433293897E-2</v>
      </c>
      <c r="N240" s="824"/>
      <c r="O240" s="823">
        <f>O24/I24-1</f>
        <v>-0.43575178150280225</v>
      </c>
      <c r="P240" s="824">
        <f>P24/J24-1</f>
        <v>-0.13084112149532756</v>
      </c>
      <c r="Q240" s="824">
        <f>Q24/K24-1</f>
        <v>-9.3220338983053819E-2</v>
      </c>
      <c r="R240" s="837">
        <f>R24/L24-1</f>
        <v>-0.14236706689536782</v>
      </c>
      <c r="S240" s="825">
        <f>S24/M24-1</f>
        <v>-0.22132796780684161</v>
      </c>
      <c r="T240" s="824"/>
      <c r="U240" s="823">
        <f>U24/O24-1</f>
        <v>0.13958333333333295</v>
      </c>
      <c r="V240" s="824">
        <f>V24/P24-1</f>
        <v>-0.21610573476702588</v>
      </c>
      <c r="W240" s="824">
        <f>W24/Q24-1</f>
        <v>-0.53343987538940607</v>
      </c>
      <c r="X240" s="824">
        <f>X24/R24-1</f>
        <v>0.1705799319727912</v>
      </c>
      <c r="Y240" s="825">
        <f>Y24/S24-1</f>
        <v>-0.12412441860464996</v>
      </c>
      <c r="Z240" s="824"/>
      <c r="AA240" s="823">
        <f>AA24/U24-1</f>
        <v>-0.33820085039952341</v>
      </c>
      <c r="AB240" s="824">
        <f>AB24/V24-1</f>
        <v>-0.10557226236988648</v>
      </c>
      <c r="AC240" s="824">
        <f>AC24/W24-1</f>
        <v>-8.8368906652925849E-2</v>
      </c>
      <c r="AD240" s="824">
        <f>AD24/X24-1</f>
        <v>-0.34174205761723431</v>
      </c>
      <c r="AE240" s="825">
        <f>AE24/Y24-1</f>
        <v>-0.2525722924927446</v>
      </c>
      <c r="AF240" s="824"/>
      <c r="AG240" s="823">
        <f>AG24/AA24-1</f>
        <v>0.16765169483444864</v>
      </c>
      <c r="AH240" s="824">
        <f>AH24/AB24-1</f>
        <v>-0.14117963884150142</v>
      </c>
      <c r="AI240" s="824">
        <f>AI24/AC24-1</f>
        <v>0.89022667060034011</v>
      </c>
      <c r="AJ240" s="837">
        <f>AJ24/AD24-1</f>
        <v>0.31102790767891331</v>
      </c>
      <c r="AK240" s="825">
        <f>AK24/AE24-1</f>
        <v>0.26070009704061259</v>
      </c>
      <c r="AL240" s="824"/>
      <c r="AM240" s="823">
        <f>AM24/AG24-1</f>
        <v>9.0913962614188382E-2</v>
      </c>
      <c r="AN240" s="824">
        <f>AN24/AH24-1</f>
        <v>-0.14285714285714279</v>
      </c>
      <c r="AO240" s="824">
        <f>AO24/AI24-1</f>
        <v>-0.21534389016767708</v>
      </c>
      <c r="AP240" s="824">
        <f>AP24/AJ24-1</f>
        <v>-0.57575757575757569</v>
      </c>
      <c r="AQ240" s="825">
        <f>AQ24/AK24-1</f>
        <v>-0.23919753645274444</v>
      </c>
      <c r="AR240" s="824"/>
      <c r="AS240" s="823">
        <f>AS24/AM24-1</f>
        <v>-5.8479532163743242E-3</v>
      </c>
      <c r="AT240" s="824">
        <f>AT24/AN24-1</f>
        <v>-5.4483357638607233E-3</v>
      </c>
      <c r="AU240" s="824">
        <f>AU24/AO24-1</f>
        <v>-0.58518518518518525</v>
      </c>
      <c r="AV240" s="1719">
        <f>AV24/AP24-1</f>
        <v>-0.58333333333333337</v>
      </c>
      <c r="AW240" s="1720">
        <f>AW24/AQ24-1</f>
        <v>-0.26650831323730584</v>
      </c>
      <c r="AX240" s="1719"/>
      <c r="AY240" s="1721">
        <f>AY24/AS24-1</f>
        <v>-0.76470588235294112</v>
      </c>
      <c r="AZ240" s="1719">
        <f>AZ24/AT24-1</f>
        <v>-0.19352270759169687</v>
      </c>
      <c r="BA240" s="1719">
        <f>BA24/AU24-1</f>
        <v>0</v>
      </c>
      <c r="BB240" s="1719">
        <f>BB24/AV24-1</f>
        <v>1.8000000000000003</v>
      </c>
      <c r="BC240" s="1720">
        <f>BC24/AW24-1</f>
        <v>-0.23978256497311357</v>
      </c>
      <c r="BD240" s="1719"/>
      <c r="BE240" s="1721">
        <f>BE24/AY24-1</f>
        <v>1.1000000000000001</v>
      </c>
      <c r="BF240" s="1719">
        <f>BF24/AZ24-1</f>
        <v>0.54545454545454541</v>
      </c>
      <c r="BG240" s="1719">
        <f>BG24/BA24-1</f>
        <v>1.5</v>
      </c>
      <c r="BH240" s="1728">
        <f>BH24/BB24-1</f>
        <v>-0.35714285714285721</v>
      </c>
      <c r="BI240" s="1720">
        <f>BI24/BC24-1</f>
        <v>0.49815498154981541</v>
      </c>
      <c r="BJ240" s="1719"/>
      <c r="BK240" s="1721">
        <f>BK24/BE24-1</f>
        <v>0.16666666666666674</v>
      </c>
      <c r="BL240" s="1719">
        <f>BL24/BF24-1</f>
        <v>0</v>
      </c>
      <c r="BM240" s="1719">
        <f>BM24/BG24-1</f>
        <v>0.7</v>
      </c>
      <c r="BN240" s="1728">
        <f>BN24/BH24-1</f>
        <v>1.5555555555555558</v>
      </c>
      <c r="BO240" s="1720">
        <f>BO24/BI24-1</f>
        <v>0.51724137931034497</v>
      </c>
      <c r="BP240" s="1719"/>
      <c r="BQ240" s="1721">
        <f>BQ24/BK24-1</f>
        <v>0.21428571428571419</v>
      </c>
      <c r="BR240" s="1719">
        <f>BR24/BL24-1</f>
        <v>0</v>
      </c>
      <c r="BS240" s="1719">
        <f>BS24/BM24-1</f>
        <v>-0.5</v>
      </c>
      <c r="BT240" s="1728">
        <f>BT24/BN24-1</f>
        <v>-0.26086956521739135</v>
      </c>
      <c r="BU240" s="1720">
        <f>BU24/BO24-1</f>
        <v>-0.22727272727272729</v>
      </c>
      <c r="BV240" s="1719"/>
      <c r="BW240" s="1721">
        <f>BW24/BQ24-1</f>
        <v>-0.12605042016806722</v>
      </c>
      <c r="BX240" s="1719">
        <f>BX24/BR24-1</f>
        <v>-0.12605042016806722</v>
      </c>
      <c r="BY240" s="1719">
        <f>BY24/BS24-1</f>
        <v>-0.12605042016806722</v>
      </c>
      <c r="BZ240" s="1728">
        <f>BZ24/BT24-1</f>
        <v>-0.12605042016806722</v>
      </c>
      <c r="CA240" s="1720">
        <f>CA24/BU24-1</f>
        <v>-0.12605042016806722</v>
      </c>
      <c r="CB240" s="1719"/>
      <c r="CC240" s="1721">
        <f>CC24/BW24-1</f>
        <v>-7.6923076923076983E-2</v>
      </c>
      <c r="CD240" s="1719">
        <f>CD24/BX24-1</f>
        <v>-7.6923076923076983E-2</v>
      </c>
      <c r="CE240" s="1719">
        <f>CE24/BY24-1</f>
        <v>-7.6923076923076983E-2</v>
      </c>
      <c r="CF240" s="1728">
        <f>CF24/BZ24-1</f>
        <v>-7.6923076923076983E-2</v>
      </c>
      <c r="CG240" s="1720">
        <f>CG24/CA24-1</f>
        <v>-7.6923076923076983E-2</v>
      </c>
      <c r="CH240" s="1719"/>
      <c r="CI240" s="1721">
        <f>CI24/CC24-1</f>
        <v>-8.3333333333333259E-2</v>
      </c>
      <c r="CJ240" s="1719">
        <f>CJ24/CD24-1</f>
        <v>-8.3333333333333259E-2</v>
      </c>
      <c r="CK240" s="1719">
        <f>CK24/CE24-1</f>
        <v>-8.3333333333333259E-2</v>
      </c>
      <c r="CL240" s="1728">
        <f>CL24/CF24-1</f>
        <v>-8.3333333333333259E-2</v>
      </c>
      <c r="CM240" s="1720">
        <f>CM24/CG24-1</f>
        <v>-8.3333333333333259E-2</v>
      </c>
      <c r="CN240" s="1719"/>
      <c r="CO240" s="1721">
        <f>CO24/CI24-1</f>
        <v>-9.0909090909090939E-2</v>
      </c>
      <c r="CP240" s="1719">
        <f>CP24/CJ24-1</f>
        <v>-9.0909090909090939E-2</v>
      </c>
      <c r="CQ240" s="1719">
        <f>CQ24/CK24-1</f>
        <v>-9.0909090909090939E-2</v>
      </c>
      <c r="CR240" s="1728">
        <f>CR24/CL24-1</f>
        <v>-9.0909090909090939E-2</v>
      </c>
      <c r="CS240" s="1720">
        <f>CS24/CM24-1</f>
        <v>-9.0909090909090939E-2</v>
      </c>
      <c r="CT240" s="83"/>
      <c r="CU240" s="60"/>
      <c r="CV240" s="60"/>
      <c r="CW240" s="60"/>
      <c r="CX240" s="60"/>
      <c r="CY240" s="60"/>
      <c r="CZ240" s="60"/>
      <c r="DA240" s="60"/>
      <c r="DB240" s="60"/>
      <c r="DC240" s="60"/>
      <c r="DD240" s="60"/>
      <c r="DE240" s="60"/>
      <c r="DF240" s="60"/>
      <c r="DG240" s="60"/>
      <c r="DH240" s="60"/>
      <c r="DI240" s="60"/>
      <c r="DJ240" s="60"/>
      <c r="DK240" s="60"/>
      <c r="DL240" s="60"/>
      <c r="DM240" s="60"/>
      <c r="DN240" s="60"/>
      <c r="DO240" s="60"/>
      <c r="DP240" s="60"/>
      <c r="DQ240" s="60"/>
      <c r="DR240" s="60"/>
      <c r="DS240" s="60"/>
      <c r="DT240" s="60"/>
    </row>
    <row r="241" spans="1:124" ht="12.75" hidden="1" customHeight="1" outlineLevel="1">
      <c r="A241" s="232" t="s">
        <v>39</v>
      </c>
      <c r="B241" s="62"/>
      <c r="C241" s="834">
        <v>2.3725979106659216</v>
      </c>
      <c r="D241" s="835">
        <v>1.0711132830290162</v>
      </c>
      <c r="E241" s="835">
        <v>0.4548659088842899</v>
      </c>
      <c r="F241" s="835">
        <v>0.66170681083834548</v>
      </c>
      <c r="G241" s="836">
        <v>0.87713427170250324</v>
      </c>
      <c r="H241" s="824"/>
      <c r="I241" s="823">
        <f>I31/C31-1</f>
        <v>0.45443114781195248</v>
      </c>
      <c r="J241" s="824">
        <f>J31/D31-1</f>
        <v>0.61983684724536103</v>
      </c>
      <c r="K241" s="824">
        <f>K31/E31-1</f>
        <v>0.54273591657294773</v>
      </c>
      <c r="L241" s="824">
        <f>L31/F31-1</f>
        <v>0.59340282755874152</v>
      </c>
      <c r="M241" s="825">
        <f>M31/G31-1</f>
        <v>0.55689208901549958</v>
      </c>
      <c r="N241" s="824"/>
      <c r="O241" s="823">
        <f>O31/I31-1</f>
        <v>0.43487852708255503</v>
      </c>
      <c r="P241" s="824">
        <f>P31/J31-1</f>
        <v>-5.8056851027609602E-2</v>
      </c>
      <c r="Q241" s="824">
        <f>Q31/K31-1</f>
        <v>-0.31787004208224257</v>
      </c>
      <c r="R241" s="837">
        <f>R31/L31-1</f>
        <v>-0.20823601995933805</v>
      </c>
      <c r="S241" s="825">
        <f>S31/M31-1</f>
        <v>-7.3952338169494092E-2</v>
      </c>
      <c r="T241" s="824"/>
      <c r="U241" s="823">
        <f>U31/O31-1</f>
        <v>-0.13477779535030843</v>
      </c>
      <c r="V241" s="824">
        <f>V31/P31-1</f>
        <v>0.23308797228863454</v>
      </c>
      <c r="W241" s="824">
        <f>W31/Q31-1</f>
        <v>0.60499193626736614</v>
      </c>
      <c r="X241" s="824">
        <f>X31/R31-1</f>
        <v>0.16424851043680744</v>
      </c>
      <c r="Y241" s="825">
        <f>Y31/S31-1</f>
        <v>0.17815552791212608</v>
      </c>
      <c r="Z241" s="824"/>
      <c r="AA241" s="823">
        <f>AA31/U31-1</f>
        <v>9.7433647729765482E-2</v>
      </c>
      <c r="AB241" s="824">
        <f>AB31/V31-1</f>
        <v>7.8416711959011343E-2</v>
      </c>
      <c r="AC241" s="824">
        <f>AC31/W31-1</f>
        <v>-0.13182590845548781</v>
      </c>
      <c r="AD241" s="824">
        <f>AD31/X31-1</f>
        <v>-0.11686614891096847</v>
      </c>
      <c r="AE241" s="825">
        <f>AE31/Y31-1</f>
        <v>-2.0957281784507842E-2</v>
      </c>
      <c r="AF241" s="824"/>
      <c r="AG241" s="823">
        <f>AG31/AA31-1</f>
        <v>2.2552899477667587E-2</v>
      </c>
      <c r="AH241" s="824">
        <f>AH31/AB31-1</f>
        <v>-0.17881771587205231</v>
      </c>
      <c r="AI241" s="824">
        <f>AI31/AC31-1</f>
        <v>-7.85407756891916E-2</v>
      </c>
      <c r="AJ241" s="837">
        <f>AJ31/AD31-1</f>
        <v>0.1108285856965503</v>
      </c>
      <c r="AK241" s="825">
        <f>AK31/AE31-1</f>
        <v>-4.1668618516130573E-2</v>
      </c>
      <c r="AL241" s="824"/>
      <c r="AM241" s="823">
        <f>AM31/AG31-1</f>
        <v>-5.5278746410362123E-3</v>
      </c>
      <c r="AN241" s="824">
        <f>AN31/AH31-1</f>
        <v>5.2788272269028491E-2</v>
      </c>
      <c r="AO241" s="824">
        <f>AO31/AI31-1</f>
        <v>4.5666532201429355E-2</v>
      </c>
      <c r="AP241" s="824">
        <f>AP31/AJ31-1</f>
        <v>0.10531175249815061</v>
      </c>
      <c r="AQ241" s="825">
        <f>AQ31/AK31-1</f>
        <v>4.8808117217971292E-2</v>
      </c>
      <c r="AR241" s="824"/>
      <c r="AS241" s="823">
        <f>AS31/AM31-1</f>
        <v>5.021831928397269E-2</v>
      </c>
      <c r="AT241" s="824">
        <f>AT31/AN31-1</f>
        <v>-4.4649138852157932E-2</v>
      </c>
      <c r="AU241" s="824">
        <f>AU31/AO31-1</f>
        <v>-0.11571343939201062</v>
      </c>
      <c r="AV241" s="1719">
        <f>AV31/AP31-1</f>
        <v>-0.10564637961740053</v>
      </c>
      <c r="AW241" s="1720">
        <f>AW31/AQ31-1</f>
        <v>-5.3097712660938767E-2</v>
      </c>
      <c r="AX241" s="1719"/>
      <c r="AY241" s="1721">
        <f>AY31/AS31-1</f>
        <v>-0.13910144436419247</v>
      </c>
      <c r="AZ241" s="1719">
        <f>AZ31/AT31-1</f>
        <v>-0.24581375807262829</v>
      </c>
      <c r="BA241" s="1719">
        <f>BA31/AU31-1</f>
        <v>-0.14896124869511806</v>
      </c>
      <c r="BB241" s="1719">
        <f>BB31/AV31-1</f>
        <v>-3.5421158405678832E-2</v>
      </c>
      <c r="BC241" s="1720">
        <f>BC31/AW31-1</f>
        <v>-0.14248927101985431</v>
      </c>
      <c r="BD241" s="1719"/>
      <c r="BE241" s="1721">
        <f>BE31/AY31-1</f>
        <v>-5.7971014492753659E-2</v>
      </c>
      <c r="BF241" s="1719">
        <f>BF31/AZ31-1</f>
        <v>0.23636363636363633</v>
      </c>
      <c r="BG241" s="1719">
        <f>BG31/BA31-1</f>
        <v>0.21153846153846145</v>
      </c>
      <c r="BH241" s="1728">
        <f>BH31/BB31-1</f>
        <v>0.10144927536231885</v>
      </c>
      <c r="BI241" s="1720">
        <f>BI31/BC31-1</f>
        <v>0.11020408163265305</v>
      </c>
      <c r="BJ241" s="1719"/>
      <c r="BK241" s="1721">
        <f>BK31/BE31-1</f>
        <v>6.1538461538461542E-2</v>
      </c>
      <c r="BL241" s="1719">
        <f>BL31/BF31-1</f>
        <v>-5.8823529411764719E-2</v>
      </c>
      <c r="BM241" s="1719">
        <f>BM31/BG31-1</f>
        <v>0.12698412698412698</v>
      </c>
      <c r="BN241" s="1728">
        <f>BN31/BH31-1</f>
        <v>7.8947368421052655E-2</v>
      </c>
      <c r="BO241" s="1720">
        <f>BO31/BI31-1</f>
        <v>5.1470588235294157E-2</v>
      </c>
      <c r="BP241" s="1719"/>
      <c r="BQ241" s="1721">
        <f>BQ31/BK31-1</f>
        <v>0.26086956521739135</v>
      </c>
      <c r="BR241" s="1719">
        <f>BR31/BL31-1</f>
        <v>0.19999999999999996</v>
      </c>
      <c r="BS241" s="1719">
        <f>BS31/BM31-1</f>
        <v>0.10000000000000009</v>
      </c>
      <c r="BT241" s="1728">
        <f>BT31/BN31-1</f>
        <v>8.0000000000000071E-2</v>
      </c>
      <c r="BU241" s="1720">
        <f>BU31/BO31-1</f>
        <v>0.15545454545454551</v>
      </c>
      <c r="BV241" s="1719"/>
      <c r="BW241" s="1721">
        <f>BW31/BQ31-1</f>
        <v>5.0000000000000044E-2</v>
      </c>
      <c r="BX241" s="1719">
        <f>BX31/BR31-1</f>
        <v>5.0000000000000044E-2</v>
      </c>
      <c r="BY241" s="1719">
        <f>BY31/BS31-1</f>
        <v>5.0000000000000044E-2</v>
      </c>
      <c r="BZ241" s="1728">
        <f>BZ31/BT31-1</f>
        <v>5.0000000000000044E-2</v>
      </c>
      <c r="CA241" s="1720">
        <f>CA31/BU31-1</f>
        <v>4.9999999999999822E-2</v>
      </c>
      <c r="CB241" s="1719"/>
      <c r="CC241" s="1721">
        <f>CC31/BW31-1</f>
        <v>5.0000000000000044E-2</v>
      </c>
      <c r="CD241" s="1719">
        <f>CD31/BX31-1</f>
        <v>5.0000000000000044E-2</v>
      </c>
      <c r="CE241" s="1719">
        <f>CE31/BY31-1</f>
        <v>5.0000000000000044E-2</v>
      </c>
      <c r="CF241" s="1728">
        <f>CF31/BZ31-1</f>
        <v>5.0000000000000044E-2</v>
      </c>
      <c r="CG241" s="1720">
        <f>CG31/CA31-1</f>
        <v>5.0000000000000266E-2</v>
      </c>
      <c r="CH241" s="1719"/>
      <c r="CI241" s="1721">
        <f>CI31/CC31-1</f>
        <v>5.0000000000000044E-2</v>
      </c>
      <c r="CJ241" s="1719">
        <f>CJ31/CD31-1</f>
        <v>5.0000000000000044E-2</v>
      </c>
      <c r="CK241" s="1719">
        <f>CK31/CE31-1</f>
        <v>5.0000000000000044E-2</v>
      </c>
      <c r="CL241" s="1728">
        <f>CL31/CF31-1</f>
        <v>5.0000000000000044E-2</v>
      </c>
      <c r="CM241" s="1720">
        <f>CM31/CG31-1</f>
        <v>5.0000000000000044E-2</v>
      </c>
      <c r="CN241" s="1719"/>
      <c r="CO241" s="1721">
        <f>CO31/CI31-1</f>
        <v>5.0000000000000044E-2</v>
      </c>
      <c r="CP241" s="1719">
        <f>CP31/CJ31-1</f>
        <v>5.0000000000000044E-2</v>
      </c>
      <c r="CQ241" s="1719">
        <f>CQ31/CK31-1</f>
        <v>5.0000000000000044E-2</v>
      </c>
      <c r="CR241" s="1728">
        <f>CR31/CL31-1</f>
        <v>5.0000000000000044E-2</v>
      </c>
      <c r="CS241" s="1720">
        <f>CS31/CM31-1</f>
        <v>5.0000000000000044E-2</v>
      </c>
      <c r="CT241" s="83"/>
      <c r="CU241" s="60"/>
      <c r="CV241" s="60"/>
      <c r="CW241" s="60"/>
      <c r="CX241" s="60"/>
      <c r="CY241" s="60"/>
      <c r="CZ241" s="60"/>
      <c r="DA241" s="60"/>
      <c r="DB241" s="60"/>
      <c r="DC241" s="60"/>
      <c r="DD241" s="60"/>
      <c r="DE241" s="60"/>
      <c r="DF241" s="60"/>
      <c r="DG241" s="60"/>
      <c r="DH241" s="60"/>
      <c r="DI241" s="60"/>
      <c r="DJ241" s="60"/>
      <c r="DK241" s="60"/>
      <c r="DL241" s="60"/>
      <c r="DM241" s="60"/>
      <c r="DN241" s="60"/>
      <c r="DO241" s="60"/>
      <c r="DP241" s="60"/>
      <c r="DQ241" s="60"/>
      <c r="DR241" s="60"/>
      <c r="DS241" s="60"/>
      <c r="DT241" s="60"/>
    </row>
    <row r="242" spans="1:124" ht="12.75" hidden="1" customHeight="1" outlineLevel="1">
      <c r="A242" s="3006" t="s">
        <v>878</v>
      </c>
      <c r="B242" s="62"/>
      <c r="C242" s="3001"/>
      <c r="D242" s="835"/>
      <c r="E242" s="835"/>
      <c r="F242" s="835"/>
      <c r="G242" s="3002"/>
      <c r="H242" s="824"/>
      <c r="I242" s="2919"/>
      <c r="J242" s="824"/>
      <c r="K242" s="824"/>
      <c r="L242" s="824"/>
      <c r="M242" s="3003"/>
      <c r="N242" s="824"/>
      <c r="O242" s="2919"/>
      <c r="P242" s="824"/>
      <c r="Q242" s="824"/>
      <c r="R242" s="837"/>
      <c r="S242" s="3003"/>
      <c r="T242" s="824"/>
      <c r="U242" s="2919"/>
      <c r="V242" s="824"/>
      <c r="W242" s="824"/>
      <c r="X242" s="824"/>
      <c r="Y242" s="3003"/>
      <c r="Z242" s="824"/>
      <c r="AA242" s="2919"/>
      <c r="AB242" s="824"/>
      <c r="AC242" s="824"/>
      <c r="AD242" s="824"/>
      <c r="AE242" s="3003"/>
      <c r="AF242" s="824"/>
      <c r="AG242" s="2919"/>
      <c r="AH242" s="824"/>
      <c r="AI242" s="824"/>
      <c r="AJ242" s="837"/>
      <c r="AK242" s="3003"/>
      <c r="AL242" s="824"/>
      <c r="AM242" s="2919"/>
      <c r="AN242" s="824"/>
      <c r="AO242" s="824"/>
      <c r="AP242" s="824"/>
      <c r="AQ242" s="3003"/>
      <c r="AR242" s="824"/>
      <c r="AS242" s="2919"/>
      <c r="AT242" s="824"/>
      <c r="AU242" s="824"/>
      <c r="AV242" s="1719"/>
      <c r="AW242" s="3004"/>
      <c r="AX242" s="1719"/>
      <c r="AY242" s="3005"/>
      <c r="AZ242" s="1719"/>
      <c r="BA242" s="1719"/>
      <c r="BB242" s="1719"/>
      <c r="BC242" s="3004"/>
      <c r="BD242" s="1719"/>
      <c r="BE242" s="3005">
        <f>+BE214/AY214-1</f>
        <v>0.4411764705882355</v>
      </c>
      <c r="BF242" s="1719">
        <f t="shared" ref="BF242" si="843">+BF214/AZ214-1</f>
        <v>0.47945205479452069</v>
      </c>
      <c r="BG242" s="1719">
        <f t="shared" ref="BG242" si="844">+BG214/BA214-1</f>
        <v>0.78571428571428581</v>
      </c>
      <c r="BH242" s="1728">
        <f t="shared" ref="BH242" si="845">+BH214/BB214-1</f>
        <v>0.4375</v>
      </c>
      <c r="BI242" s="3004">
        <f t="shared" ref="BI242" si="846">+BI214/BC214-1</f>
        <v>0.53264604810996552</v>
      </c>
      <c r="BJ242" s="1719"/>
      <c r="BK242" s="3005">
        <f t="shared" ref="BK242" si="847">+BK214/BE214-1</f>
        <v>0.47959183673469385</v>
      </c>
      <c r="BL242" s="1719">
        <f t="shared" ref="BL242" si="848">+BL214/BF214-1</f>
        <v>0.94444444444444442</v>
      </c>
      <c r="BM242" s="1719">
        <f t="shared" ref="BM242" si="849">+BM214/BG214-1</f>
        <v>0.52</v>
      </c>
      <c r="BN242" s="1728">
        <f t="shared" ref="BN242" si="850">+BN214/BH214-1</f>
        <v>0.39130434782608692</v>
      </c>
      <c r="BO242" s="3004">
        <f t="shared" ref="BO242" si="851">+BO214/BI214-1</f>
        <v>0.58071748878923768</v>
      </c>
      <c r="BP242" s="1719"/>
      <c r="BQ242" s="3005">
        <f t="shared" ref="BQ242" si="852">+BQ214/BK214-1</f>
        <v>1</v>
      </c>
      <c r="BR242" s="1719">
        <f t="shared" ref="BR242" si="853">+BR214/BL214-1</f>
        <v>0.39999999999999991</v>
      </c>
      <c r="BS242" s="1719">
        <f t="shared" ref="BS242" si="854">+BS214/BM214-1</f>
        <v>0.44999999999999996</v>
      </c>
      <c r="BT242" s="1728">
        <f t="shared" ref="BT242" si="855">+BT214/BN214-1</f>
        <v>0.8</v>
      </c>
      <c r="BU242" s="3004">
        <f t="shared" ref="BU242" si="856">+BU214/BO214-1</f>
        <v>0.62765957446808507</v>
      </c>
      <c r="BV242" s="1719"/>
      <c r="BW242" s="3005">
        <f t="shared" ref="BW242" si="857">+BW214/BQ214-1</f>
        <v>0.39999999999999991</v>
      </c>
      <c r="BX242" s="1719">
        <f t="shared" ref="BX242" si="858">+BX214/BR214-1</f>
        <v>0.39999999999999991</v>
      </c>
      <c r="BY242" s="1719">
        <f t="shared" ref="BY242" si="859">+BY214/BS214-1</f>
        <v>0.39999999999999991</v>
      </c>
      <c r="BZ242" s="1728">
        <f t="shared" ref="BZ242" si="860">+BZ214/BT214-1</f>
        <v>0.39999999999999991</v>
      </c>
      <c r="CA242" s="3004">
        <f t="shared" ref="CA242" si="861">+CA214/BU214-1</f>
        <v>0.39999999999999991</v>
      </c>
      <c r="CB242" s="1719"/>
      <c r="CC242" s="3005">
        <f t="shared" ref="CC242" si="862">+CC214/BW214-1</f>
        <v>0.30000000000000004</v>
      </c>
      <c r="CD242" s="1719">
        <f t="shared" ref="CD242" si="863">+CD214/BX214-1</f>
        <v>0.30000000000000004</v>
      </c>
      <c r="CE242" s="1719">
        <f t="shared" ref="CE242" si="864">+CE214/BY214-1</f>
        <v>0.30000000000000004</v>
      </c>
      <c r="CF242" s="1728">
        <f t="shared" ref="CF242" si="865">+CF214/BZ214-1</f>
        <v>0.30000000000000004</v>
      </c>
      <c r="CG242" s="3004">
        <f t="shared" ref="CG242" si="866">+CG214/CA214-1</f>
        <v>0.30000000000000004</v>
      </c>
      <c r="CH242" s="1719"/>
      <c r="CI242" s="3005">
        <f t="shared" ref="CI242" si="867">+CI214/CC214-1</f>
        <v>0.19999999999999996</v>
      </c>
      <c r="CJ242" s="1719">
        <f t="shared" ref="CJ242" si="868">+CJ214/CD214-1</f>
        <v>0.19999999999999996</v>
      </c>
      <c r="CK242" s="1719">
        <f t="shared" ref="CK242" si="869">+CK214/CE214-1</f>
        <v>0.19999999999999996</v>
      </c>
      <c r="CL242" s="1728">
        <f t="shared" ref="CL242" si="870">+CL214/CF214-1</f>
        <v>0.19999999999999996</v>
      </c>
      <c r="CM242" s="3004">
        <f t="shared" ref="CM242" si="871">+CM214/CG214-1</f>
        <v>0.19999999999999996</v>
      </c>
      <c r="CN242" s="1719"/>
      <c r="CO242" s="3005">
        <f t="shared" ref="CO242" si="872">+CO214/CI214-1</f>
        <v>0.10000000000000009</v>
      </c>
      <c r="CP242" s="1719">
        <f t="shared" ref="CP242" si="873">+CP214/CJ214-1</f>
        <v>0.10000000000000009</v>
      </c>
      <c r="CQ242" s="1719">
        <f t="shared" ref="CQ242" si="874">+CQ214/CK214-1</f>
        <v>9.9999999999999867E-2</v>
      </c>
      <c r="CR242" s="1728">
        <f t="shared" ref="CR242" si="875">+CR214/CL214-1</f>
        <v>0.10000000000000009</v>
      </c>
      <c r="CS242" s="3004">
        <f t="shared" ref="CS242" si="876">+CS214/CM214-1</f>
        <v>0.10000000000000031</v>
      </c>
      <c r="CT242" s="83"/>
      <c r="CU242" s="60"/>
      <c r="CV242" s="60"/>
      <c r="CW242" s="60"/>
      <c r="CX242" s="60"/>
      <c r="CY242" s="60"/>
      <c r="CZ242" s="60"/>
      <c r="DA242" s="60"/>
      <c r="DB242" s="60"/>
      <c r="DC242" s="60"/>
      <c r="DD242" s="60"/>
      <c r="DE242" s="60"/>
      <c r="DF242" s="60"/>
      <c r="DG242" s="60"/>
      <c r="DH242" s="60"/>
      <c r="DI242" s="60"/>
      <c r="DJ242" s="60"/>
      <c r="DK242" s="60"/>
      <c r="DL242" s="60"/>
      <c r="DM242" s="60"/>
      <c r="DN242" s="60"/>
      <c r="DO242" s="60"/>
      <c r="DP242" s="60"/>
      <c r="DQ242" s="60"/>
      <c r="DR242" s="60"/>
      <c r="DS242" s="60"/>
      <c r="DT242" s="60"/>
    </row>
    <row r="243" spans="1:124" s="2498" customFormat="1" ht="12.75" hidden="1" customHeight="1" outlineLevel="1">
      <c r="A243" s="3007" t="s">
        <v>879</v>
      </c>
      <c r="B243" s="3008"/>
      <c r="C243" s="2426" t="s">
        <v>10</v>
      </c>
      <c r="D243" s="2427" t="s">
        <v>10</v>
      </c>
      <c r="E243" s="2427" t="s">
        <v>10</v>
      </c>
      <c r="F243" s="2427" t="s">
        <v>10</v>
      </c>
      <c r="G243" s="2428" t="s">
        <v>10</v>
      </c>
      <c r="H243" s="820"/>
      <c r="I243" s="819">
        <f>I201/C201-1</f>
        <v>2.6415211970074814</v>
      </c>
      <c r="J243" s="820">
        <f>J201/D201-1</f>
        <v>1.4579642907352737</v>
      </c>
      <c r="K243" s="820">
        <f>K201/E201-1</f>
        <v>1.2215896405447642</v>
      </c>
      <c r="L243" s="820">
        <f>L201/F201-1</f>
        <v>0.90675763482781013</v>
      </c>
      <c r="M243" s="821">
        <f>M201/G201-1</f>
        <v>1.3296082486957057</v>
      </c>
      <c r="N243" s="820"/>
      <c r="O243" s="819">
        <f>O201/I201-1</f>
        <v>0.79592535524738905</v>
      </c>
      <c r="P243" s="820">
        <f>P201/J201-1</f>
        <v>0.70678067892584417</v>
      </c>
      <c r="Q243" s="820">
        <f>Q201/K201-1</f>
        <v>0.71921008994522895</v>
      </c>
      <c r="R243" s="822">
        <f>R201/L201-1</f>
        <v>0.57339410461748175</v>
      </c>
      <c r="S243" s="821">
        <f>S201/M201-1</f>
        <v>0.68581291493844665</v>
      </c>
      <c r="T243" s="820"/>
      <c r="U243" s="819">
        <f>U201/O201-1</f>
        <v>0.41350174769621861</v>
      </c>
      <c r="V243" s="820">
        <f>V201/P201-1</f>
        <v>0.42670911457024285</v>
      </c>
      <c r="W243" s="820">
        <f>W201/Q201-1</f>
        <v>0.55733789287036495</v>
      </c>
      <c r="X243" s="820">
        <f>X201/R201-1</f>
        <v>0.69764129914900108</v>
      </c>
      <c r="Y243" s="821">
        <f>Y201/S201-1</f>
        <v>0.537782693282711</v>
      </c>
      <c r="Z243" s="820"/>
      <c r="AA243" s="819">
        <f>AA201/U201-1</f>
        <v>0.9492237061882205</v>
      </c>
      <c r="AB243" s="820">
        <f>AB201/V201-1</f>
        <v>0.60553080406266346</v>
      </c>
      <c r="AC243" s="820">
        <f>AC201/W201-1</f>
        <v>5.427717969257273E-2</v>
      </c>
      <c r="AD243" s="820">
        <f>AD201/X201-1</f>
        <v>-3.4185962558579752E-2</v>
      </c>
      <c r="AE243" s="821">
        <f>AE201/Y201-1</f>
        <v>0.31546545962620476</v>
      </c>
      <c r="AF243" s="820"/>
      <c r="AG243" s="819">
        <f>AG201/AA201-1</f>
        <v>-7.2622296388216379E-2</v>
      </c>
      <c r="AH243" s="820">
        <f>AH201/AB201-1</f>
        <v>4.2993631832782153E-2</v>
      </c>
      <c r="AI243" s="820">
        <f>AI201/AC201-1</f>
        <v>0.31303127354570193</v>
      </c>
      <c r="AJ243" s="822">
        <f>AJ201/AD201-1</f>
        <v>0.27524910813612125</v>
      </c>
      <c r="AK243" s="825">
        <f>AK201/AE201-1</f>
        <v>0.12413433438560317</v>
      </c>
      <c r="AL243" s="824"/>
      <c r="AM243" s="823">
        <f>AM201/AG201-1</f>
        <v>0.23882894694742185</v>
      </c>
      <c r="AN243" s="824">
        <f>AN201/AH201-1</f>
        <v>0.28485744907550581</v>
      </c>
      <c r="AO243" s="824">
        <f>AO201/AI201-1</f>
        <v>0.30049465499165073</v>
      </c>
      <c r="AP243" s="824">
        <f>AP201/AJ201-1</f>
        <v>0.29024383984877589</v>
      </c>
      <c r="AQ243" s="825">
        <f>AQ201/AK201-1</f>
        <v>0.27962082058841342</v>
      </c>
      <c r="AR243" s="824"/>
      <c r="AS243" s="823">
        <f>AS201/AM201-1</f>
        <v>0.29746060966995125</v>
      </c>
      <c r="AT243" s="824">
        <f>AT201/AN201-1</f>
        <v>0.34946809914012156</v>
      </c>
      <c r="AU243" s="824">
        <f>AU201/AO201-1</f>
        <v>0.44688170724228859</v>
      </c>
      <c r="AV243" s="1719">
        <f>AV201/AP201-1</f>
        <v>0.49896210217136128</v>
      </c>
      <c r="AW243" s="1720">
        <f>AW201/AQ201-1</f>
        <v>0.40328936601036558</v>
      </c>
      <c r="AX243" s="1719"/>
      <c r="AY243" s="1721">
        <f>AY201/AS201-1</f>
        <v>0.42535138240989778</v>
      </c>
      <c r="AZ243" s="1719">
        <f>AZ201/AT201-1</f>
        <v>0.29010925305999202</v>
      </c>
      <c r="BA243" s="1719">
        <f>BA201/AU201-1</f>
        <v>0.18525754761642932</v>
      </c>
      <c r="BB243" s="1719">
        <f>BB201/AV201-1</f>
        <v>0.12459387309427861</v>
      </c>
      <c r="BC243" s="1720">
        <f>BC201/AW201-1</f>
        <v>0.24254415507335203</v>
      </c>
      <c r="BD243" s="1715"/>
      <c r="BE243" s="3009">
        <f>+(BE211+BE174+BE43)/(AY43+AY174+AY211)-1</f>
        <v>6.7762156201270463E-2</v>
      </c>
      <c r="BF243" s="3010">
        <f t="shared" ref="BF243:BI243" si="877">+(BF211+BF174+BF43)/(AZ43+AZ174+AZ211)-1</f>
        <v>8.2316877427278001E-2</v>
      </c>
      <c r="BG243" s="3010">
        <f t="shared" si="877"/>
        <v>6.267909642895142E-2</v>
      </c>
      <c r="BH243" s="3011">
        <f t="shared" si="877"/>
        <v>3.030468625150684E-2</v>
      </c>
      <c r="BI243" s="3012">
        <f t="shared" si="877"/>
        <v>6.0141074868739652E-2</v>
      </c>
      <c r="BJ243" s="3010"/>
      <c r="BK243" s="3009">
        <f t="shared" ref="BK243" si="878">+(BK211+BK174+BK43)/(BE43+BE174+BE211)-1</f>
        <v>2.3382076207449254E-2</v>
      </c>
      <c r="BL243" s="3010">
        <f t="shared" ref="BL243" si="879">+(BL211+BL174+BL43)/(BF43+BF174+BF211)-1</f>
        <v>9.2711077767384742E-2</v>
      </c>
      <c r="BM243" s="3010">
        <f t="shared" ref="BM243" si="880">+(BM211+BM174+BM43)/(BG43+BG174+BG211)-1</f>
        <v>0.16200720435901528</v>
      </c>
      <c r="BN243" s="3011">
        <f t="shared" ref="BN243" si="881">+(BN211+BN174+BN43)/(BH43+BH174+BH211)-1</f>
        <v>0.26720522606607044</v>
      </c>
      <c r="BO243" s="3012">
        <f t="shared" ref="BO243" si="882">+(BO211+BO174+BO43)/(BI43+BI174+BI211)-1</f>
        <v>0.13843148392302451</v>
      </c>
      <c r="BP243" s="3010"/>
      <c r="BQ243" s="3009">
        <f t="shared" ref="BQ243" si="883">+(BQ211+BQ174+BQ43)/(BK43+BK174+BK211)-1</f>
        <v>0.27437167451922462</v>
      </c>
      <c r="BR243" s="3010">
        <f t="shared" ref="BR243" si="884">+(BR211+BR174+BR43)/(BL43+BL174+BL211)-1</f>
        <v>0.18078026138335668</v>
      </c>
      <c r="BS243" s="3010">
        <f t="shared" ref="BS243" si="885">+(BS211+BS174+BS43)/(BM43+BM174+BM211)-1</f>
        <v>0.12485638110424535</v>
      </c>
      <c r="BT243" s="3011">
        <f t="shared" ref="BT243" si="886">+(BT211+BT174+BT43)/(BN43+BN174+BN211)-1</f>
        <v>5.0890484664359636E-2</v>
      </c>
      <c r="BU243" s="3012">
        <f t="shared" ref="BU243" si="887">+(BU211+BU174+BU43)/(BO43+BO174+BO211)-1</f>
        <v>0.14938956952963278</v>
      </c>
      <c r="BV243" s="3010"/>
      <c r="BW243" s="3009">
        <f t="shared" ref="BW243" si="888">+(BW211+BW174+BW43)/(BQ43+BQ174+BQ211)-1</f>
        <v>0.10294146255452397</v>
      </c>
      <c r="BX243" s="3010">
        <f t="shared" ref="BX243" si="889">+(BX211+BX174+BX43)/(BR43+BR174+BR211)-1</f>
        <v>8.2595176212900245E-2</v>
      </c>
      <c r="BY243" s="3010">
        <f t="shared" ref="BY243" si="890">+(BY211+BY174+BY43)/(BS43+BS174+BS211)-1</f>
        <v>7.7392361513428432E-2</v>
      </c>
      <c r="BZ243" s="3011">
        <f t="shared" ref="BZ243" si="891">+(BZ211+BZ174+BZ43)/(BT43+BT174+BT211)-1</f>
        <v>7.4343158509837082E-2</v>
      </c>
      <c r="CA243" s="3012">
        <f t="shared" ref="CA243" si="892">+(CA211+CA174+CA43)/(BU43+BU174+BU211)-1</f>
        <v>8.3990429476642481E-2</v>
      </c>
      <c r="CB243" s="3010"/>
      <c r="CC243" s="3009">
        <f t="shared" ref="CC243" si="893">+(CC211+CC174+CC43)/(BW43+BW174+BW211)-1</f>
        <v>8.7103274042632961E-2</v>
      </c>
      <c r="CD243" s="3010">
        <f t="shared" ref="CD243" si="894">+(CD211+CD174+CD43)/(BX43+BX174+BX211)-1</f>
        <v>8.7368126586804928E-2</v>
      </c>
      <c r="CE243" s="3010">
        <f t="shared" ref="CE243" si="895">+(CE211+CE174+CE43)/(BY43+BY174+BY211)-1</f>
        <v>8.8865022699010199E-2</v>
      </c>
      <c r="CF243" s="3011">
        <f t="shared" ref="CF243" si="896">+(CF211+CF174+CF43)/(BZ43+BZ174+BZ211)-1</f>
        <v>9.0993287598318595E-2</v>
      </c>
      <c r="CG243" s="3012">
        <f t="shared" ref="CG243" si="897">+(CG211+CG174+CG43)/(CA43+CA174+CA211)-1</f>
        <v>8.8619146647014757E-2</v>
      </c>
      <c r="CH243" s="3010"/>
      <c r="CI243" s="3009">
        <f t="shared" ref="CI243" si="898">+(CI211+CI174+CI43)/(CC43+CC174+CC211)-1</f>
        <v>9.9709161634470744E-2</v>
      </c>
      <c r="CJ243" s="3010">
        <f t="shared" ref="CJ243" si="899">+(CJ211+CJ174+CJ43)/(CD43+CD174+CD211)-1</f>
        <v>9.8517583494144745E-2</v>
      </c>
      <c r="CK243" s="3010">
        <f t="shared" ref="CK243" si="900">+(CK211+CK174+CK43)/(CE43+CE174+CE211)-1</f>
        <v>9.8805048338883594E-2</v>
      </c>
      <c r="CL243" s="3011">
        <f t="shared" ref="CL243" si="901">+(CL211+CL174+CL43)/(CF43+CF174+CF211)-1</f>
        <v>0.10260522882058831</v>
      </c>
      <c r="CM243" s="3012">
        <f t="shared" ref="CM243" si="902">+(CM211+CM174+CM43)/(CG43+CG174+CG211)-1</f>
        <v>9.9940720751849454E-2</v>
      </c>
      <c r="CN243" s="3010"/>
      <c r="CO243" s="3009">
        <f t="shared" ref="CO243" si="903">+(CO211+CO174+CO43)/(CI43+CI174+CI211)-1</f>
        <v>0.10723232354657064</v>
      </c>
      <c r="CP243" s="3010">
        <f t="shared" ref="CP243" si="904">+(CP211+CP174+CP43)/(CJ43+CJ174+CJ211)-1</f>
        <v>0.11258895251516909</v>
      </c>
      <c r="CQ243" s="3010">
        <f t="shared" ref="CQ243" si="905">+(CQ211+CQ174+CQ43)/(CK43+CK174+CK211)-1</f>
        <v>0.11750312809680175</v>
      </c>
      <c r="CR243" s="3011">
        <f t="shared" ref="CR243" si="906">+(CR211+CR174+CR43)/(CL43+CL174+CL211)-1</f>
        <v>0.11969363737316852</v>
      </c>
      <c r="CS243" s="3012">
        <f t="shared" ref="CS243" si="907">+(CS211+CS174+CS43)/(CM43+CM174+CM211)-1</f>
        <v>0.11437065434384608</v>
      </c>
      <c r="CT243" s="231"/>
      <c r="CU243" s="3008"/>
      <c r="CV243" s="3008"/>
      <c r="CW243" s="3008"/>
      <c r="CX243" s="3008"/>
      <c r="CY243" s="3008"/>
      <c r="CZ243" s="3008"/>
      <c r="DA243" s="3008"/>
      <c r="DB243" s="3008"/>
      <c r="DC243" s="3008"/>
      <c r="DD243" s="3008"/>
      <c r="DE243" s="3008"/>
      <c r="DF243" s="3008"/>
      <c r="DG243" s="3008"/>
      <c r="DH243" s="3008"/>
      <c r="DI243" s="3008"/>
      <c r="DJ243" s="3008"/>
      <c r="DK243" s="3008"/>
      <c r="DL243" s="3008"/>
      <c r="DM243" s="3008"/>
      <c r="DN243" s="3008"/>
      <c r="DO243" s="3008"/>
      <c r="DP243" s="3008"/>
      <c r="DQ243" s="3008"/>
      <c r="DR243" s="3008"/>
      <c r="DS243" s="3008"/>
      <c r="DT243" s="3008"/>
    </row>
    <row r="244" spans="1:124" ht="12.75" hidden="1" customHeight="1" outlineLevel="1">
      <c r="A244" s="156" t="s">
        <v>616</v>
      </c>
      <c r="B244" s="62"/>
      <c r="C244" s="834" t="s">
        <v>10</v>
      </c>
      <c r="D244" s="835" t="s">
        <v>10</v>
      </c>
      <c r="E244" s="835" t="s">
        <v>10</v>
      </c>
      <c r="F244" s="835" t="s">
        <v>10</v>
      </c>
      <c r="G244" s="836" t="s">
        <v>10</v>
      </c>
      <c r="H244" s="824"/>
      <c r="I244" s="834" t="s">
        <v>10</v>
      </c>
      <c r="J244" s="835" t="s">
        <v>10</v>
      </c>
      <c r="K244" s="835" t="s">
        <v>10</v>
      </c>
      <c r="L244" s="835" t="s">
        <v>10</v>
      </c>
      <c r="M244" s="836" t="s">
        <v>10</v>
      </c>
      <c r="N244" s="824"/>
      <c r="O244" s="834" t="s">
        <v>10</v>
      </c>
      <c r="P244" s="835" t="s">
        <v>10</v>
      </c>
      <c r="Q244" s="835" t="s">
        <v>10</v>
      </c>
      <c r="R244" s="835" t="s">
        <v>10</v>
      </c>
      <c r="S244" s="836" t="s">
        <v>10</v>
      </c>
      <c r="T244" s="824"/>
      <c r="U244" s="834" t="s">
        <v>10</v>
      </c>
      <c r="V244" s="835" t="s">
        <v>10</v>
      </c>
      <c r="W244" s="835" t="s">
        <v>10</v>
      </c>
      <c r="X244" s="835" t="s">
        <v>10</v>
      </c>
      <c r="Y244" s="836" t="s">
        <v>10</v>
      </c>
      <c r="Z244" s="824"/>
      <c r="AA244" s="834" t="s">
        <v>10</v>
      </c>
      <c r="AB244" s="835" t="s">
        <v>10</v>
      </c>
      <c r="AC244" s="835" t="s">
        <v>10</v>
      </c>
      <c r="AD244" s="835" t="s">
        <v>10</v>
      </c>
      <c r="AE244" s="836" t="s">
        <v>10</v>
      </c>
      <c r="AF244" s="824"/>
      <c r="AG244" s="834" t="s">
        <v>10</v>
      </c>
      <c r="AH244" s="835" t="s">
        <v>10</v>
      </c>
      <c r="AI244" s="835" t="s">
        <v>10</v>
      </c>
      <c r="AJ244" s="835" t="s">
        <v>10</v>
      </c>
      <c r="AK244" s="836" t="s">
        <v>10</v>
      </c>
      <c r="AL244" s="824"/>
      <c r="AM244" s="834" t="s">
        <v>10</v>
      </c>
      <c r="AN244" s="835" t="s">
        <v>10</v>
      </c>
      <c r="AO244" s="835" t="s">
        <v>10</v>
      </c>
      <c r="AP244" s="835" t="s">
        <v>10</v>
      </c>
      <c r="AQ244" s="836" t="s">
        <v>10</v>
      </c>
      <c r="AR244" s="824"/>
      <c r="AS244" s="834" t="s">
        <v>10</v>
      </c>
      <c r="AT244" s="835" t="s">
        <v>10</v>
      </c>
      <c r="AU244" s="835" t="s">
        <v>10</v>
      </c>
      <c r="AV244" s="835" t="s">
        <v>10</v>
      </c>
      <c r="AW244" s="836" t="s">
        <v>10</v>
      </c>
      <c r="AX244" s="1719"/>
      <c r="AY244" s="834" t="s">
        <v>10</v>
      </c>
      <c r="AZ244" s="835" t="s">
        <v>10</v>
      </c>
      <c r="BA244" s="835" t="s">
        <v>10</v>
      </c>
      <c r="BB244" s="835" t="s">
        <v>10</v>
      </c>
      <c r="BC244" s="836" t="s">
        <v>10</v>
      </c>
      <c r="BD244" s="1719"/>
      <c r="BE244" s="834" t="s">
        <v>10</v>
      </c>
      <c r="BF244" s="835" t="s">
        <v>10</v>
      </c>
      <c r="BG244" s="835" t="s">
        <v>10</v>
      </c>
      <c r="BH244" s="835" t="s">
        <v>10</v>
      </c>
      <c r="BI244" s="836" t="s">
        <v>10</v>
      </c>
      <c r="BJ244" s="1719"/>
      <c r="BK244" s="1721">
        <f>BK47/BE47-1</f>
        <v>1.1904761904761862E-2</v>
      </c>
      <c r="BL244" s="1719">
        <f>BL47/BF47-1</f>
        <v>0.56321839080459779</v>
      </c>
      <c r="BM244" s="1719">
        <f>BM47/BG47-1</f>
        <v>7.0000000000000062E-2</v>
      </c>
      <c r="BN244" s="1728">
        <f>BN47/BH47-1</f>
        <v>-0.28067226890756303</v>
      </c>
      <c r="BO244" s="1720">
        <f>BO47/BI47-1</f>
        <v>1.1337532419414709E-2</v>
      </c>
      <c r="BP244" s="1719"/>
      <c r="BQ244" s="1721">
        <f>BQ47/BK47-1</f>
        <v>7.058823529411784E-3</v>
      </c>
      <c r="BR244" s="1719">
        <f>BR47/BL47-1</f>
        <v>0.10776470588235298</v>
      </c>
      <c r="BS244" s="1719">
        <f>BS47/BM47-1</f>
        <v>0.10000000000000009</v>
      </c>
      <c r="BT244" s="1728">
        <f>BT47/BN47-1</f>
        <v>0.10000000000000009</v>
      </c>
      <c r="BU244" s="1720">
        <f>BU47/BO47-1</f>
        <v>7.8780773739741905E-2</v>
      </c>
      <c r="BV244" s="1719"/>
      <c r="BW244" s="1721">
        <f>BW47/BQ47-1</f>
        <v>0.10000000000000009</v>
      </c>
      <c r="BX244" s="1719">
        <f>BX47/BR47-1</f>
        <v>0</v>
      </c>
      <c r="BY244" s="1719">
        <f>BY47/BS47-1</f>
        <v>0</v>
      </c>
      <c r="BZ244" s="1728">
        <f>BZ47/BT47-1</f>
        <v>0</v>
      </c>
      <c r="CA244" s="1720">
        <f>CA47/BU47-1</f>
        <v>2.3255813953488413E-2</v>
      </c>
      <c r="CB244" s="1719"/>
      <c r="CC244" s="1721">
        <f>CC47/BW47-1</f>
        <v>0</v>
      </c>
      <c r="CD244" s="1719">
        <f>CD47/BX47-1</f>
        <v>0</v>
      </c>
      <c r="CE244" s="1719">
        <f>CE47/BY47-1</f>
        <v>0</v>
      </c>
      <c r="CF244" s="1728">
        <f>CF47/BZ47-1</f>
        <v>0</v>
      </c>
      <c r="CG244" s="1720">
        <f>CG47/CA47-1</f>
        <v>0</v>
      </c>
      <c r="CH244" s="1719"/>
      <c r="CI244" s="1721">
        <f>CI47/CC47-1</f>
        <v>0</v>
      </c>
      <c r="CJ244" s="1719">
        <f>CJ47/CD47-1</f>
        <v>0</v>
      </c>
      <c r="CK244" s="1719">
        <f>CK47/CE47-1</f>
        <v>0</v>
      </c>
      <c r="CL244" s="1728">
        <f>CL47/CF47-1</f>
        <v>0</v>
      </c>
      <c r="CM244" s="1720">
        <f>CM47/CG47-1</f>
        <v>0</v>
      </c>
      <c r="CN244" s="1719"/>
      <c r="CO244" s="1721">
        <f>CO47/CI47-1</f>
        <v>0</v>
      </c>
      <c r="CP244" s="1719">
        <f>CP47/CJ47-1</f>
        <v>0</v>
      </c>
      <c r="CQ244" s="1719">
        <f>CQ47/CK47-1</f>
        <v>0</v>
      </c>
      <c r="CR244" s="1728">
        <f>CR47/CL47-1</f>
        <v>0</v>
      </c>
      <c r="CS244" s="1720">
        <f>CS47/CM47-1</f>
        <v>0</v>
      </c>
      <c r="CT244" s="242"/>
      <c r="CU244" s="60"/>
      <c r="CV244" s="60"/>
      <c r="CW244" s="60"/>
      <c r="CX244" s="60"/>
      <c r="CY244" s="60"/>
      <c r="CZ244" s="60"/>
      <c r="DA244" s="60"/>
      <c r="DB244" s="60"/>
      <c r="DC244" s="60"/>
      <c r="DD244" s="60"/>
      <c r="DE244" s="60"/>
      <c r="DF244" s="60"/>
      <c r="DG244" s="60"/>
      <c r="DH244" s="60"/>
      <c r="DI244" s="60"/>
      <c r="DJ244" s="60"/>
      <c r="DK244" s="60"/>
      <c r="DL244" s="60"/>
      <c r="DM244" s="60"/>
      <c r="DN244" s="60"/>
      <c r="DO244" s="60"/>
      <c r="DP244" s="60"/>
      <c r="DQ244" s="60"/>
      <c r="DR244" s="60"/>
      <c r="DS244" s="60"/>
      <c r="DT244" s="60"/>
    </row>
    <row r="245" spans="1:124" ht="12.75" hidden="1" customHeight="1" outlineLevel="1">
      <c r="A245" s="156" t="s">
        <v>586</v>
      </c>
      <c r="B245" s="62"/>
      <c r="C245" s="834" t="s">
        <v>10</v>
      </c>
      <c r="D245" s="835" t="s">
        <v>10</v>
      </c>
      <c r="E245" s="835" t="s">
        <v>10</v>
      </c>
      <c r="F245" s="835" t="s">
        <v>10</v>
      </c>
      <c r="G245" s="836" t="s">
        <v>10</v>
      </c>
      <c r="H245" s="824"/>
      <c r="I245" s="823" t="s">
        <v>10</v>
      </c>
      <c r="J245" s="824" t="s">
        <v>10</v>
      </c>
      <c r="K245" s="824" t="s">
        <v>10</v>
      </c>
      <c r="L245" s="824" t="s">
        <v>10</v>
      </c>
      <c r="M245" s="825" t="s">
        <v>10</v>
      </c>
      <c r="N245" s="824"/>
      <c r="O245" s="823" t="s">
        <v>10</v>
      </c>
      <c r="P245" s="824" t="s">
        <v>10</v>
      </c>
      <c r="Q245" s="824" t="s">
        <v>10</v>
      </c>
      <c r="R245" s="837" t="s">
        <v>10</v>
      </c>
      <c r="S245" s="825" t="s">
        <v>10</v>
      </c>
      <c r="T245" s="824"/>
      <c r="U245" s="823" t="s">
        <v>10</v>
      </c>
      <c r="V245" s="824" t="s">
        <v>10</v>
      </c>
      <c r="W245" s="824" t="s">
        <v>10</v>
      </c>
      <c r="X245" s="824" t="s">
        <v>10</v>
      </c>
      <c r="Y245" s="825" t="s">
        <v>10</v>
      </c>
      <c r="Z245" s="824"/>
      <c r="AA245" s="823" t="s">
        <v>10</v>
      </c>
      <c r="AB245" s="824" t="s">
        <v>10</v>
      </c>
      <c r="AC245" s="824" t="s">
        <v>10</v>
      </c>
      <c r="AD245" s="824" t="s">
        <v>10</v>
      </c>
      <c r="AE245" s="825" t="s">
        <v>10</v>
      </c>
      <c r="AF245" s="824"/>
      <c r="AG245" s="823" t="s">
        <v>10</v>
      </c>
      <c r="AH245" s="824" t="s">
        <v>10</v>
      </c>
      <c r="AI245" s="824">
        <f>AI50/AC50-1</f>
        <v>4.7777777777777777</v>
      </c>
      <c r="AJ245" s="837">
        <f>AJ50/AD50-1</f>
        <v>0.96153846153846168</v>
      </c>
      <c r="AK245" s="825">
        <f>AK50/AE50-1</f>
        <v>4.6873809523809529</v>
      </c>
      <c r="AL245" s="824"/>
      <c r="AM245" s="823">
        <f>AM50/AG50-1</f>
        <v>-3.1578947368421151E-2</v>
      </c>
      <c r="AN245" s="824">
        <f>AN50/AH50-1</f>
        <v>0.11733931240657691</v>
      </c>
      <c r="AO245" s="824">
        <f>AO50/AI50-1</f>
        <v>-4.1666666666666741E-2</v>
      </c>
      <c r="AP245" s="824">
        <f>AP50/AJ50-1</f>
        <v>5.2287581699346442E-2</v>
      </c>
      <c r="AQ245" s="825">
        <f>AQ50/AK50-1</f>
        <v>2.0638841210700365E-2</v>
      </c>
      <c r="AR245" s="824"/>
      <c r="AS245" s="823">
        <f>AS50/AM50-1</f>
        <v>-4.6822742474916357E-2</v>
      </c>
      <c r="AT245" s="824">
        <f>AT50/AN50-1</f>
        <v>-0.11036789297658856</v>
      </c>
      <c r="AU245" s="824">
        <f>AU50/AO50-1</f>
        <v>-0.15802675585284276</v>
      </c>
      <c r="AV245" s="1719">
        <f>AV50/AP50-1</f>
        <v>-0.10015527950310565</v>
      </c>
      <c r="AW245" s="1720">
        <f>AW50/AQ50-1</f>
        <v>-0.10377358490566035</v>
      </c>
      <c r="AX245" s="1719"/>
      <c r="AY245" s="1721">
        <f>AY50/AS50-1</f>
        <v>-0.16491228070175434</v>
      </c>
      <c r="AZ245" s="1719">
        <f>AZ50/AT50-1</f>
        <v>-0.20112781954887227</v>
      </c>
      <c r="BA245" s="1719">
        <f>BA50/AU50-1</f>
        <v>-0.2909632571996027</v>
      </c>
      <c r="BB245" s="1719">
        <f>BB50/AV50-1</f>
        <v>-8.4728213977566913E-2</v>
      </c>
      <c r="BC245" s="1720">
        <f>BC50/AW50-1</f>
        <v>-0.18151029748283753</v>
      </c>
      <c r="BD245" s="1719"/>
      <c r="BE245" s="1721">
        <f>BE50/AY50-1</f>
        <v>-5.4621848739495826E-2</v>
      </c>
      <c r="BF245" s="1719">
        <f>BF50/AZ50-1</f>
        <v>5.8823529411764719E-2</v>
      </c>
      <c r="BG245" s="1719">
        <f>BG50/BA50-1</f>
        <v>0.26050420168067223</v>
      </c>
      <c r="BH245" s="1728">
        <f>BH50/BB50-1</f>
        <v>-0.21945701357466063</v>
      </c>
      <c r="BI245" s="1720">
        <f>BI50/BC50-1</f>
        <v>-1.3643480205770553E-2</v>
      </c>
      <c r="BJ245" s="1719"/>
      <c r="BK245" s="1721">
        <f>BK50/BE50-1</f>
        <v>0</v>
      </c>
      <c r="BL245" s="1719">
        <f>BL50/BF50-1</f>
        <v>-0.21999999999999997</v>
      </c>
      <c r="BM245" s="1719">
        <f>BM50/BG50-1</f>
        <v>-0.21999999999999997</v>
      </c>
      <c r="BN245" s="1728">
        <f>BN50/BH50-1</f>
        <v>-0.19565217391304357</v>
      </c>
      <c r="BO245" s="1720">
        <f>BO50/BI50-1</f>
        <v>-0.15816326530612246</v>
      </c>
      <c r="BP245" s="1719"/>
      <c r="BQ245" s="1721">
        <f>BQ50/BK50-1</f>
        <v>-0.24</v>
      </c>
      <c r="BR245" s="1719">
        <f>BR50/BL50-1</f>
        <v>2.564102564102555E-2</v>
      </c>
      <c r="BS245" s="1719">
        <f>BS50/BM50-1</f>
        <v>2.564102564102555E-2</v>
      </c>
      <c r="BT245" s="1728">
        <f>BT50/BN50-1</f>
        <v>8.1081081081081141E-2</v>
      </c>
      <c r="BU245" s="1720">
        <f>BU50/BO50-1</f>
        <v>-4.2424242424242475E-2</v>
      </c>
      <c r="BV245" s="1719"/>
      <c r="BW245" s="1721">
        <f>BW50/BQ50-1</f>
        <v>5.2631578947368363E-2</v>
      </c>
      <c r="BX245" s="1719">
        <f>BX50/BR50-1</f>
        <v>0</v>
      </c>
      <c r="BY245" s="1719">
        <f>BY50/BS50-1</f>
        <v>0</v>
      </c>
      <c r="BZ245" s="1728">
        <f>BZ50/BT50-1</f>
        <v>0</v>
      </c>
      <c r="CA245" s="1720">
        <f>CA50/BU50-1</f>
        <v>1.2658227848101333E-2</v>
      </c>
      <c r="CB245" s="1719"/>
      <c r="CC245" s="1721">
        <f>CC50/BW50-1</f>
        <v>0</v>
      </c>
      <c r="CD245" s="1719">
        <f>CD50/BX50-1</f>
        <v>0</v>
      </c>
      <c r="CE245" s="1719">
        <f>CE50/BY50-1</f>
        <v>0</v>
      </c>
      <c r="CF245" s="1728">
        <f>CF50/BZ50-1</f>
        <v>0</v>
      </c>
      <c r="CG245" s="1720">
        <f>CG50/CA50-1</f>
        <v>0</v>
      </c>
      <c r="CH245" s="1719"/>
      <c r="CI245" s="1721">
        <f>CI50/CC50-1</f>
        <v>0</v>
      </c>
      <c r="CJ245" s="1719">
        <f>CJ50/CD50-1</f>
        <v>0</v>
      </c>
      <c r="CK245" s="1719">
        <f>CK50/CE50-1</f>
        <v>0</v>
      </c>
      <c r="CL245" s="1728">
        <f>CL50/CF50-1</f>
        <v>0</v>
      </c>
      <c r="CM245" s="1720">
        <f>CM50/CG50-1</f>
        <v>0</v>
      </c>
      <c r="CN245" s="1719"/>
      <c r="CO245" s="1721">
        <f>CO50/CI50-1</f>
        <v>0</v>
      </c>
      <c r="CP245" s="1719">
        <f>CP50/CJ50-1</f>
        <v>0</v>
      </c>
      <c r="CQ245" s="1719">
        <f>CQ50/CK50-1</f>
        <v>0</v>
      </c>
      <c r="CR245" s="1728">
        <f>CR50/CL50-1</f>
        <v>0</v>
      </c>
      <c r="CS245" s="1720">
        <f>CS50/CM50-1</f>
        <v>0</v>
      </c>
      <c r="CT245" s="83"/>
      <c r="CU245" s="60"/>
      <c r="CV245" s="60"/>
      <c r="CW245" s="60"/>
      <c r="CX245" s="60"/>
      <c r="CY245" s="60"/>
      <c r="CZ245" s="60"/>
      <c r="DA245" s="60"/>
      <c r="DB245" s="60"/>
      <c r="DC245" s="60"/>
      <c r="DD245" s="60"/>
      <c r="DE245" s="60"/>
      <c r="DF245" s="60"/>
      <c r="DG245" s="60"/>
      <c r="DH245" s="60"/>
      <c r="DI245" s="60"/>
      <c r="DJ245" s="60"/>
      <c r="DK245" s="60"/>
      <c r="DL245" s="60"/>
      <c r="DM245" s="60"/>
      <c r="DN245" s="60"/>
      <c r="DO245" s="60"/>
      <c r="DP245" s="60"/>
      <c r="DQ245" s="60"/>
      <c r="DR245" s="60"/>
      <c r="DS245" s="60"/>
      <c r="DT245" s="60"/>
    </row>
    <row r="246" spans="1:124" ht="12.75" hidden="1" customHeight="1" outlineLevel="1">
      <c r="A246" s="156" t="s">
        <v>527</v>
      </c>
      <c r="B246" s="62"/>
      <c r="C246" s="834" t="s">
        <v>10</v>
      </c>
      <c r="D246" s="835" t="s">
        <v>10</v>
      </c>
      <c r="E246" s="835" t="s">
        <v>10</v>
      </c>
      <c r="F246" s="835" t="s">
        <v>10</v>
      </c>
      <c r="G246" s="836" t="s">
        <v>10</v>
      </c>
      <c r="H246" s="838"/>
      <c r="I246" s="834" t="s">
        <v>10</v>
      </c>
      <c r="J246" s="835" t="s">
        <v>10</v>
      </c>
      <c r="K246" s="835" t="s">
        <v>10</v>
      </c>
      <c r="L246" s="835" t="s">
        <v>10</v>
      </c>
      <c r="M246" s="836" t="s">
        <v>10</v>
      </c>
      <c r="N246" s="838"/>
      <c r="O246" s="834" t="s">
        <v>10</v>
      </c>
      <c r="P246" s="835" t="s">
        <v>10</v>
      </c>
      <c r="Q246" s="835" t="s">
        <v>10</v>
      </c>
      <c r="R246" s="835" t="s">
        <v>10</v>
      </c>
      <c r="S246" s="836" t="s">
        <v>10</v>
      </c>
      <c r="T246" s="838"/>
      <c r="U246" s="834" t="s">
        <v>10</v>
      </c>
      <c r="V246" s="835" t="s">
        <v>10</v>
      </c>
      <c r="W246" s="835" t="s">
        <v>10</v>
      </c>
      <c r="X246" s="835" t="s">
        <v>10</v>
      </c>
      <c r="Y246" s="836" t="s">
        <v>10</v>
      </c>
      <c r="Z246" s="838"/>
      <c r="AA246" s="834" t="s">
        <v>10</v>
      </c>
      <c r="AB246" s="835" t="s">
        <v>10</v>
      </c>
      <c r="AC246" s="835" t="s">
        <v>10</v>
      </c>
      <c r="AD246" s="835" t="s">
        <v>10</v>
      </c>
      <c r="AE246" s="836" t="s">
        <v>10</v>
      </c>
      <c r="AF246" s="838"/>
      <c r="AG246" s="834" t="s">
        <v>10</v>
      </c>
      <c r="AH246" s="835" t="s">
        <v>10</v>
      </c>
      <c r="AI246" s="835" t="s">
        <v>10</v>
      </c>
      <c r="AJ246" s="835" t="s">
        <v>10</v>
      </c>
      <c r="AK246" s="836" t="s">
        <v>10</v>
      </c>
      <c r="AL246" s="838"/>
      <c r="AM246" s="834" t="s">
        <v>10</v>
      </c>
      <c r="AN246" s="835" t="s">
        <v>10</v>
      </c>
      <c r="AO246" s="835" t="s">
        <v>10</v>
      </c>
      <c r="AP246" s="835" t="s">
        <v>10</v>
      </c>
      <c r="AQ246" s="836" t="s">
        <v>10</v>
      </c>
      <c r="AR246" s="824"/>
      <c r="AS246" s="823" t="s">
        <v>10</v>
      </c>
      <c r="AT246" s="824" t="s">
        <v>10</v>
      </c>
      <c r="AU246" s="824" t="s">
        <v>10</v>
      </c>
      <c r="AV246" s="1719" t="s">
        <v>10</v>
      </c>
      <c r="AW246" s="1720" t="s">
        <v>10</v>
      </c>
      <c r="AX246" s="1719"/>
      <c r="AY246" s="1721">
        <f>AY53/AS53-1</f>
        <v>0.73076923076923084</v>
      </c>
      <c r="AZ246" s="1719">
        <f>AZ53/AT53-1</f>
        <v>-4.3209876543209846E-2</v>
      </c>
      <c r="BA246" s="1719">
        <f>BA53/AU53-1</f>
        <v>-0.19713261648745517</v>
      </c>
      <c r="BB246" s="1719">
        <f>BB53/AV53-1</f>
        <v>2.1450459652706977E-2</v>
      </c>
      <c r="BC246" s="1720">
        <f>BC53/AW53-1</f>
        <v>3.2490678903593251E-2</v>
      </c>
      <c r="BD246" s="1719"/>
      <c r="BE246" s="1721">
        <f>BE53/AY53-1</f>
        <v>0.11111111111111116</v>
      </c>
      <c r="BF246" s="1719">
        <f>BF53/AZ53-1</f>
        <v>3.2258064516129004E-2</v>
      </c>
      <c r="BG246" s="1719">
        <f>BG53/BA53-1</f>
        <v>0.1785714285714286</v>
      </c>
      <c r="BH246" s="1728">
        <f>BH53/BB53-1</f>
        <v>-0.25</v>
      </c>
      <c r="BI246" s="1720">
        <f>BI53/BC53-1</f>
        <v>-7.9365079365079083E-3</v>
      </c>
      <c r="BJ246" s="1719"/>
      <c r="BK246" s="1721">
        <f>BK53/BE53-1</f>
        <v>0.10000000000000009</v>
      </c>
      <c r="BL246" s="1719">
        <f>BL53/BF53-1</f>
        <v>-0.15625</v>
      </c>
      <c r="BM246" s="1719">
        <f>BM53/BG53-1</f>
        <v>-0.21212121212121215</v>
      </c>
      <c r="BN246" s="1728">
        <f>BN53/BH53-1</f>
        <v>-3.3333333333333326E-2</v>
      </c>
      <c r="BO246" s="1720">
        <f>BO53/BI53-1</f>
        <v>-7.999999999999996E-2</v>
      </c>
      <c r="BP246" s="1719"/>
      <c r="BQ246" s="1721">
        <f>BQ53/BK53-1</f>
        <v>-0.15151515151515149</v>
      </c>
      <c r="BR246" s="1719">
        <f>BR53/BL53-1</f>
        <v>3.7037037037036979E-2</v>
      </c>
      <c r="BS246" s="1719">
        <f>BS53/BM53-1</f>
        <v>7.6923076923076872E-2</v>
      </c>
      <c r="BT246" s="1728">
        <f>BT53/BN53-1</f>
        <v>-3.4482758620689613E-2</v>
      </c>
      <c r="BU246" s="1720">
        <f>BU53/BO53-1</f>
        <v>-2.6086956521739091E-2</v>
      </c>
      <c r="BV246" s="1719"/>
      <c r="BW246" s="1721">
        <f>BW53/BQ53-1</f>
        <v>0</v>
      </c>
      <c r="BX246" s="1719">
        <f>BX53/BR53-1</f>
        <v>0</v>
      </c>
      <c r="BY246" s="1719">
        <f>BY53/BS53-1</f>
        <v>0</v>
      </c>
      <c r="BZ246" s="1728">
        <f>BZ53/BT53-1</f>
        <v>0</v>
      </c>
      <c r="CA246" s="1720">
        <f>CA53/BU53-1</f>
        <v>0</v>
      </c>
      <c r="CB246" s="1719"/>
      <c r="CC246" s="1721">
        <f>CC53/BW53-1</f>
        <v>0</v>
      </c>
      <c r="CD246" s="1719">
        <f>CD53/BX53-1</f>
        <v>0</v>
      </c>
      <c r="CE246" s="1719">
        <f>CE53/BY53-1</f>
        <v>0</v>
      </c>
      <c r="CF246" s="1728">
        <f>CF53/BZ53-1</f>
        <v>0</v>
      </c>
      <c r="CG246" s="1720">
        <f>CG53/CA53-1</f>
        <v>0</v>
      </c>
      <c r="CH246" s="1719"/>
      <c r="CI246" s="1721">
        <f>CI53/CC53-1</f>
        <v>0</v>
      </c>
      <c r="CJ246" s="1719">
        <f>CJ53/CD53-1</f>
        <v>0</v>
      </c>
      <c r="CK246" s="1719">
        <f>CK53/CE53-1</f>
        <v>0</v>
      </c>
      <c r="CL246" s="1728">
        <f>CL53/CF53-1</f>
        <v>0</v>
      </c>
      <c r="CM246" s="1720">
        <f>CM53/CG53-1</f>
        <v>0</v>
      </c>
      <c r="CN246" s="1719"/>
      <c r="CO246" s="1721">
        <f>CO53/CI53-1</f>
        <v>0</v>
      </c>
      <c r="CP246" s="1719">
        <f>CP53/CJ53-1</f>
        <v>0</v>
      </c>
      <c r="CQ246" s="1719">
        <f>CQ53/CK53-1</f>
        <v>0</v>
      </c>
      <c r="CR246" s="1728">
        <f>CR53/CL53-1</f>
        <v>0</v>
      </c>
      <c r="CS246" s="1720">
        <f>CS53/CM53-1</f>
        <v>0</v>
      </c>
      <c r="CT246" s="242"/>
      <c r="CU246" s="60"/>
      <c r="CV246" s="60"/>
      <c r="CW246" s="60"/>
      <c r="CX246" s="60"/>
      <c r="CY246" s="60"/>
      <c r="CZ246" s="60"/>
      <c r="DA246" s="60"/>
      <c r="DB246" s="60"/>
      <c r="DC246" s="60"/>
      <c r="DD246" s="60"/>
      <c r="DE246" s="60"/>
      <c r="DF246" s="60"/>
      <c r="DG246" s="60"/>
      <c r="DH246" s="60"/>
      <c r="DI246" s="60"/>
      <c r="DJ246" s="60"/>
      <c r="DK246" s="60"/>
      <c r="DL246" s="60"/>
      <c r="DM246" s="60"/>
      <c r="DN246" s="60"/>
      <c r="DO246" s="60"/>
      <c r="DP246" s="60"/>
      <c r="DQ246" s="60"/>
      <c r="DR246" s="60"/>
      <c r="DS246" s="60"/>
      <c r="DT246" s="60"/>
    </row>
    <row r="247" spans="1:124" ht="12.75" hidden="1" customHeight="1" outlineLevel="1">
      <c r="A247" s="232" t="s">
        <v>40</v>
      </c>
      <c r="B247" s="62"/>
      <c r="C247" s="834" t="s">
        <v>10</v>
      </c>
      <c r="D247" s="835" t="s">
        <v>10</v>
      </c>
      <c r="E247" s="835" t="s">
        <v>10</v>
      </c>
      <c r="F247" s="835" t="s">
        <v>10</v>
      </c>
      <c r="G247" s="836" t="s">
        <v>10</v>
      </c>
      <c r="H247" s="824"/>
      <c r="I247" s="823" t="s">
        <v>10</v>
      </c>
      <c r="J247" s="824" t="s">
        <v>10</v>
      </c>
      <c r="K247" s="824" t="s">
        <v>10</v>
      </c>
      <c r="L247" s="824" t="s">
        <v>10</v>
      </c>
      <c r="M247" s="825" t="s">
        <v>10</v>
      </c>
      <c r="N247" s="824"/>
      <c r="O247" s="823" t="s">
        <v>10</v>
      </c>
      <c r="P247" s="824" t="s">
        <v>10</v>
      </c>
      <c r="Q247" s="824" t="s">
        <v>10</v>
      </c>
      <c r="R247" s="837" t="s">
        <v>10</v>
      </c>
      <c r="S247" s="825" t="s">
        <v>10</v>
      </c>
      <c r="T247" s="824"/>
      <c r="U247" s="823" t="s">
        <v>10</v>
      </c>
      <c r="V247" s="824" t="s">
        <v>10</v>
      </c>
      <c r="W247" s="824" t="s">
        <v>10</v>
      </c>
      <c r="X247" s="824" t="s">
        <v>10</v>
      </c>
      <c r="Y247" s="825" t="s">
        <v>10</v>
      </c>
      <c r="Z247" s="824"/>
      <c r="AA247" s="823">
        <f>AA62/U62-1</f>
        <v>28.689994340821158</v>
      </c>
      <c r="AB247" s="824">
        <f>AB62/V62-1</f>
        <v>1.4541089189006331</v>
      </c>
      <c r="AC247" s="824">
        <f>AC62/W62-1</f>
        <v>-0.17176190035419547</v>
      </c>
      <c r="AD247" s="824">
        <f>AD62/X62-1</f>
        <v>-0.2979703321779491</v>
      </c>
      <c r="AE247" s="825">
        <f>AE62/Y62-1</f>
        <v>0.63730328812706905</v>
      </c>
      <c r="AF247" s="824"/>
      <c r="AG247" s="823">
        <f>AG62/AA62-1</f>
        <v>-0.62168368423430831</v>
      </c>
      <c r="AH247" s="824">
        <f>AH62/AB62-1</f>
        <v>-0.58582584429997198</v>
      </c>
      <c r="AI247" s="824">
        <f>AI62/AC62-1</f>
        <v>-0.30864693705397706</v>
      </c>
      <c r="AJ247" s="837">
        <f>AJ62/AD62-1</f>
        <v>-0.93117762733102061</v>
      </c>
      <c r="AK247" s="825">
        <f>AK62/AE62-1</f>
        <v>-0.60743682311940717</v>
      </c>
      <c r="AL247" s="824"/>
      <c r="AM247" s="823">
        <f>AM62/AG62-1</f>
        <v>-0.73570261584079089</v>
      </c>
      <c r="AN247" s="824">
        <f>AN62/AH62-1</f>
        <v>-0.73431789460103947</v>
      </c>
      <c r="AO247" s="824">
        <f>AO62/AI62-1</f>
        <v>-0.77017088163811753</v>
      </c>
      <c r="AP247" s="824">
        <f>AP62/AJ62-1</f>
        <v>-0.35391518000213651</v>
      </c>
      <c r="AQ247" s="825">
        <f>AQ62/AK62-1</f>
        <v>-0.73468792280884299</v>
      </c>
      <c r="AR247" s="824"/>
      <c r="AS247" s="823">
        <f>AS62/AM62-1</f>
        <v>-0.76470588235294112</v>
      </c>
      <c r="AT247" s="824">
        <f>AT62/AN62-1</f>
        <v>-1</v>
      </c>
      <c r="AU247" s="824">
        <f>AU62/AO62-1</f>
        <v>-1</v>
      </c>
      <c r="AV247" s="1719">
        <f>AV62/AP62-1</f>
        <v>-1</v>
      </c>
      <c r="AW247" s="1720">
        <f>AW62/AQ62-1</f>
        <v>-0.92452830188679247</v>
      </c>
      <c r="AX247" s="1719"/>
      <c r="AY247" s="1721">
        <f>IF(ISERROR(AY62/AS62-1),"nm",AY62/AS62-1)</f>
        <v>-1</v>
      </c>
      <c r="AZ247" s="1719" t="str">
        <f>IF(ISERROR(AZ62/AT62-1),"nm",AZ62/AT62-1)</f>
        <v>nm</v>
      </c>
      <c r="BA247" s="1719" t="str">
        <f>IF(ISERROR(BA62/AU62-1),"nm",BA62/AU62-1)</f>
        <v>nm</v>
      </c>
      <c r="BB247" s="1728" t="str">
        <f>IF(ISERROR(BB62/AV62-1),"nm",BB62/AV62-1)</f>
        <v>nm</v>
      </c>
      <c r="BC247" s="1720">
        <f>IF(ISERROR(BC62/AW62-1),"nm",BC62/AW62-1)</f>
        <v>-1</v>
      </c>
      <c r="BD247" s="1719"/>
      <c r="BE247" s="1721" t="str">
        <f>IF(ISERROR(BE62/AY62-1),"nm",BE62/AY62-1)</f>
        <v>nm</v>
      </c>
      <c r="BF247" s="1719" t="str">
        <f>IF(ISERROR(BF62/AZ62-1),"nm",BF62/AZ62-1)</f>
        <v>nm</v>
      </c>
      <c r="BG247" s="1719" t="str">
        <f>IF(ISERROR(BG62/BA62-1),"nm",BG62/BA62-1)</f>
        <v>nm</v>
      </c>
      <c r="BH247" s="1728" t="str">
        <f>IF(ISERROR(BH62/BB62-1),"nm",BH62/BB62-1)</f>
        <v>nm</v>
      </c>
      <c r="BI247" s="1720" t="str">
        <f>IF(ISERROR(BI62/BC62-1),"nm",BI62/BC62-1)</f>
        <v>nm</v>
      </c>
      <c r="BJ247" s="1719"/>
      <c r="BK247" s="1721" t="str">
        <f>IF(ISERROR(BK62/BE62-1),"nm",BK62/BE62-1)</f>
        <v>nm</v>
      </c>
      <c r="BL247" s="1719" t="str">
        <f>IF(ISERROR(BL62/BF62-1),"nm",BL62/BF62-1)</f>
        <v>nm</v>
      </c>
      <c r="BM247" s="1719" t="str">
        <f>IF(ISERROR(BM62/BG62-1),"nm",BM62/BG62-1)</f>
        <v>nm</v>
      </c>
      <c r="BN247" s="1728" t="str">
        <f>IF(ISERROR(BN62/BH62-1),"nm",BN62/BH62-1)</f>
        <v>nm</v>
      </c>
      <c r="BO247" s="1720" t="str">
        <f>IF(ISERROR(BO62/BI62-1),"nm",BO62/BI62-1)</f>
        <v>nm</v>
      </c>
      <c r="BP247" s="1719"/>
      <c r="BQ247" s="1721" t="str">
        <f>IF(ISERROR(BQ62/BK62-1),"nm",BQ62/BK62-1)</f>
        <v>nm</v>
      </c>
      <c r="BR247" s="1719" t="str">
        <f>IF(ISERROR(BR62/BL62-1),"nm",BR62/BL62-1)</f>
        <v>nm</v>
      </c>
      <c r="BS247" s="1719" t="str">
        <f>IF(ISERROR(BS62/BM62-1),"nm",BS62/BM62-1)</f>
        <v>nm</v>
      </c>
      <c r="BT247" s="1728" t="str">
        <f>IF(ISERROR(BT62/BN62-1),"nm",BT62/BN62-1)</f>
        <v>nm</v>
      </c>
      <c r="BU247" s="1720" t="str">
        <f>IF(ISERROR(BU62/BO62-1),"nm",BU62/BO62-1)</f>
        <v>nm</v>
      </c>
      <c r="BV247" s="1719"/>
      <c r="BW247" s="1721" t="str">
        <f>IF(ISERROR(BW62/BQ62-1),"nm",BW62/BQ62-1)</f>
        <v>nm</v>
      </c>
      <c r="BX247" s="1719" t="str">
        <f>IF(ISERROR(BX62/BR62-1),"nm",BX62/BR62-1)</f>
        <v>nm</v>
      </c>
      <c r="BY247" s="1719" t="str">
        <f>IF(ISERROR(BY62/BS62-1),"nm",BY62/BS62-1)</f>
        <v>nm</v>
      </c>
      <c r="BZ247" s="1728" t="str">
        <f>IF(ISERROR(BZ62/BT62-1),"nm",BZ62/BT62-1)</f>
        <v>nm</v>
      </c>
      <c r="CA247" s="1720" t="str">
        <f>IF(ISERROR(CA62/BU62-1),"nm",CA62/BU62-1)</f>
        <v>nm</v>
      </c>
      <c r="CB247" s="1719"/>
      <c r="CC247" s="1721" t="str">
        <f>IF(ISERROR(CC62/BW62-1),"nm",CC62/BW62-1)</f>
        <v>nm</v>
      </c>
      <c r="CD247" s="1719" t="str">
        <f>IF(ISERROR(CD62/BX62-1),"nm",CD62/BX62-1)</f>
        <v>nm</v>
      </c>
      <c r="CE247" s="1719" t="str">
        <f>IF(ISERROR(CE62/BY62-1),"nm",CE62/BY62-1)</f>
        <v>nm</v>
      </c>
      <c r="CF247" s="1728" t="str">
        <f>IF(ISERROR(CF62/BZ62-1),"nm",CF62/BZ62-1)</f>
        <v>nm</v>
      </c>
      <c r="CG247" s="1720" t="str">
        <f>IF(ISERROR(CG62/CA62-1),"nm",CG62/CA62-1)</f>
        <v>nm</v>
      </c>
      <c r="CH247" s="1719"/>
      <c r="CI247" s="1721" t="str">
        <f>IF(ISERROR(CI62/CC62-1),"nm",CI62/CC62-1)</f>
        <v>nm</v>
      </c>
      <c r="CJ247" s="1719" t="str">
        <f>IF(ISERROR(CJ62/CD62-1),"nm",CJ62/CD62-1)</f>
        <v>nm</v>
      </c>
      <c r="CK247" s="1719" t="str">
        <f>IF(ISERROR(CK62/CE62-1),"nm",CK62/CE62-1)</f>
        <v>nm</v>
      </c>
      <c r="CL247" s="1728" t="str">
        <f>IF(ISERROR(CL62/CF62-1),"nm",CL62/CF62-1)</f>
        <v>nm</v>
      </c>
      <c r="CM247" s="1720" t="str">
        <f>IF(ISERROR(CM62/CG62-1),"nm",CM62/CG62-1)</f>
        <v>nm</v>
      </c>
      <c r="CN247" s="1719"/>
      <c r="CO247" s="1721" t="str">
        <f>IF(ISERROR(CO62/CI62-1),"nm",CO62/CI62-1)</f>
        <v>nm</v>
      </c>
      <c r="CP247" s="1719" t="str">
        <f>IF(ISERROR(CP62/CJ62-1),"nm",CP62/CJ62-1)</f>
        <v>nm</v>
      </c>
      <c r="CQ247" s="1719" t="str">
        <f>IF(ISERROR(CQ62/CK62-1),"nm",CQ62/CK62-1)</f>
        <v>nm</v>
      </c>
      <c r="CR247" s="1728" t="str">
        <f>IF(ISERROR(CR62/CL62-1),"nm",CR62/CL62-1)</f>
        <v>nm</v>
      </c>
      <c r="CS247" s="1720" t="str">
        <f>IF(ISERROR(CS62/CM62-1),"nm",CS62/CM62-1)</f>
        <v>nm</v>
      </c>
      <c r="CT247" s="83"/>
      <c r="CU247" s="60"/>
      <c r="CV247" s="60"/>
      <c r="CW247" s="60"/>
      <c r="CX247" s="60"/>
      <c r="CY247" s="60"/>
      <c r="CZ247" s="60"/>
      <c r="DA247" s="60"/>
      <c r="DB247" s="60"/>
      <c r="DC247" s="60"/>
      <c r="DD247" s="60"/>
      <c r="DE247" s="60"/>
      <c r="DF247" s="60"/>
      <c r="DG247" s="60"/>
      <c r="DH247" s="60"/>
      <c r="DI247" s="60"/>
      <c r="DJ247" s="60"/>
      <c r="DK247" s="60"/>
      <c r="DL247" s="60"/>
      <c r="DM247" s="60"/>
      <c r="DN247" s="60"/>
      <c r="DO247" s="60"/>
      <c r="DP247" s="60"/>
      <c r="DQ247" s="60"/>
      <c r="DR247" s="60"/>
      <c r="DS247" s="60"/>
      <c r="DT247" s="60"/>
    </row>
    <row r="248" spans="1:124" ht="12.75" hidden="1" customHeight="1" outlineLevel="1">
      <c r="A248" s="232" t="s">
        <v>28</v>
      </c>
      <c r="B248" s="62"/>
      <c r="C248" s="834"/>
      <c r="D248" s="835"/>
      <c r="E248" s="835"/>
      <c r="F248" s="835"/>
      <c r="G248" s="836"/>
      <c r="H248" s="824"/>
      <c r="I248" s="823"/>
      <c r="J248" s="824"/>
      <c r="K248" s="824"/>
      <c r="L248" s="824"/>
      <c r="M248" s="825"/>
      <c r="N248" s="824"/>
      <c r="O248" s="823"/>
      <c r="P248" s="824"/>
      <c r="Q248" s="824"/>
      <c r="R248" s="837"/>
      <c r="S248" s="825"/>
      <c r="T248" s="824"/>
      <c r="U248" s="823"/>
      <c r="V248" s="824"/>
      <c r="W248" s="824"/>
      <c r="X248" s="824"/>
      <c r="Y248" s="825"/>
      <c r="Z248" s="824"/>
      <c r="AA248" s="823"/>
      <c r="AB248" s="824"/>
      <c r="AC248" s="824"/>
      <c r="AD248" s="824"/>
      <c r="AE248" s="825"/>
      <c r="AF248" s="824"/>
      <c r="AG248" s="823"/>
      <c r="AH248" s="824"/>
      <c r="AI248" s="824"/>
      <c r="AJ248" s="824"/>
      <c r="AK248" s="825"/>
      <c r="AL248" s="824"/>
      <c r="AM248" s="823"/>
      <c r="AN248" s="824"/>
      <c r="AO248" s="824">
        <f>AO69/AI69-1</f>
        <v>35.081081081081081</v>
      </c>
      <c r="AP248" s="837">
        <f>AP69/AJ69-1</f>
        <v>0.43019296254256512</v>
      </c>
      <c r="AQ248" s="825">
        <f>AQ69/AK69-1</f>
        <v>4.2287581699346406</v>
      </c>
      <c r="AR248" s="824"/>
      <c r="AS248" s="823">
        <f>AS69/AM69-1</f>
        <v>0.24819027921406422</v>
      </c>
      <c r="AT248" s="824">
        <f>AT69/AN69-1</f>
        <v>-0.1389337641357028</v>
      </c>
      <c r="AU248" s="824">
        <f>AU69/AO69-1</f>
        <v>-0.2148876404494382</v>
      </c>
      <c r="AV248" s="1719">
        <f>AV69/AP69-1</f>
        <v>-0.13650793650793647</v>
      </c>
      <c r="AW248" s="1720">
        <f>AW69/AQ69-1</f>
        <v>-8.1432291666666656E-2</v>
      </c>
      <c r="AX248" s="1719"/>
      <c r="AY248" s="1721">
        <f>AY69/AS69-1</f>
        <v>-0.82912178956089477</v>
      </c>
      <c r="AZ248" s="1719">
        <f>AZ69/AT69-1</f>
        <v>-0.87101313320825513</v>
      </c>
      <c r="BA248" s="1719">
        <f>BA69/AU69-1</f>
        <v>-1</v>
      </c>
      <c r="BB248" s="1719">
        <f>BB69/AV69-1</f>
        <v>-0.89659926470588236</v>
      </c>
      <c r="BC248" s="1720">
        <f>BC69/AW69-1</f>
        <v>-0.89652141864882484</v>
      </c>
      <c r="BD248" s="1719"/>
      <c r="BE248" s="1721">
        <f>BE69/AY69-1</f>
        <v>-0.51515151515151514</v>
      </c>
      <c r="BF248" s="1719">
        <f>BF69/AZ69-1</f>
        <v>-0.72727272727272729</v>
      </c>
      <c r="BG248" s="1719">
        <v>0</v>
      </c>
      <c r="BH248" s="1728"/>
      <c r="BI248" s="1720">
        <f>BI69/BC69-1</f>
        <v>-0.64383561643835618</v>
      </c>
      <c r="BJ248" s="1719"/>
      <c r="BK248" s="1721"/>
      <c r="BL248" s="1719"/>
      <c r="BM248" s="1719"/>
      <c r="BN248" s="1728"/>
      <c r="BO248" s="1720" t="s">
        <v>10</v>
      </c>
      <c r="BP248" s="1719"/>
      <c r="BQ248" s="1721"/>
      <c r="BR248" s="1719"/>
      <c r="BS248" s="1719"/>
      <c r="BT248" s="1728"/>
      <c r="BU248" s="1720" t="s">
        <v>10</v>
      </c>
      <c r="BV248" s="1719"/>
      <c r="BW248" s="1721"/>
      <c r="BX248" s="1719"/>
      <c r="BY248" s="1719"/>
      <c r="BZ248" s="1728"/>
      <c r="CA248" s="1720" t="s">
        <v>10</v>
      </c>
      <c r="CB248" s="1719"/>
      <c r="CC248" s="1721"/>
      <c r="CD248" s="1719"/>
      <c r="CE248" s="1719"/>
      <c r="CF248" s="1728"/>
      <c r="CG248" s="1720" t="s">
        <v>10</v>
      </c>
      <c r="CH248" s="1719"/>
      <c r="CI248" s="1721"/>
      <c r="CJ248" s="1719"/>
      <c r="CK248" s="1719"/>
      <c r="CL248" s="1728"/>
      <c r="CM248" s="1720" t="s">
        <v>10</v>
      </c>
      <c r="CN248" s="1719"/>
      <c r="CO248" s="1721"/>
      <c r="CP248" s="1719"/>
      <c r="CQ248" s="1719"/>
      <c r="CR248" s="1728"/>
      <c r="CS248" s="1720" t="s">
        <v>10</v>
      </c>
      <c r="CT248" s="83"/>
      <c r="CU248" s="60"/>
      <c r="CV248" s="60"/>
      <c r="CW248" s="60"/>
      <c r="CX248" s="60"/>
      <c r="CY248" s="60"/>
      <c r="CZ248" s="60"/>
      <c r="DA248" s="60"/>
      <c r="DB248" s="60"/>
      <c r="DC248" s="60"/>
      <c r="DD248" s="60"/>
      <c r="DE248" s="60"/>
      <c r="DF248" s="60"/>
      <c r="DG248" s="60"/>
      <c r="DH248" s="60"/>
      <c r="DI248" s="60"/>
      <c r="DJ248" s="60"/>
      <c r="DK248" s="60"/>
      <c r="DL248" s="60"/>
      <c r="DM248" s="60"/>
      <c r="DN248" s="60"/>
      <c r="DO248" s="60"/>
      <c r="DP248" s="60"/>
      <c r="DQ248" s="60"/>
      <c r="DR248" s="60"/>
      <c r="DS248" s="60"/>
      <c r="DT248" s="60"/>
    </row>
    <row r="249" spans="1:124" ht="12.75" hidden="1" customHeight="1" outlineLevel="1">
      <c r="A249" s="156" t="s">
        <v>523</v>
      </c>
      <c r="B249" s="62"/>
      <c r="C249" s="834"/>
      <c r="D249" s="835"/>
      <c r="E249" s="835"/>
      <c r="F249" s="835"/>
      <c r="G249" s="836"/>
      <c r="H249" s="824"/>
      <c r="I249" s="823"/>
      <c r="J249" s="824"/>
      <c r="K249" s="824"/>
      <c r="L249" s="824"/>
      <c r="M249" s="825"/>
      <c r="N249" s="824"/>
      <c r="O249" s="823"/>
      <c r="P249" s="824"/>
      <c r="Q249" s="824"/>
      <c r="R249" s="837"/>
      <c r="S249" s="825"/>
      <c r="T249" s="824"/>
      <c r="U249" s="823"/>
      <c r="V249" s="824"/>
      <c r="W249" s="824"/>
      <c r="X249" s="824"/>
      <c r="Y249" s="825"/>
      <c r="Z249" s="824"/>
      <c r="AA249" s="823"/>
      <c r="AB249" s="824"/>
      <c r="AC249" s="824"/>
      <c r="AD249" s="824"/>
      <c r="AE249" s="825"/>
      <c r="AF249" s="824"/>
      <c r="AG249" s="823"/>
      <c r="AH249" s="824"/>
      <c r="AI249" s="824"/>
      <c r="AJ249" s="824"/>
      <c r="AK249" s="825"/>
      <c r="AL249" s="824"/>
      <c r="AM249" s="823"/>
      <c r="AN249" s="824"/>
      <c r="AO249" s="824"/>
      <c r="AP249" s="837"/>
      <c r="AQ249" s="825"/>
      <c r="AR249" s="824"/>
      <c r="AS249" s="823" t="s">
        <v>10</v>
      </c>
      <c r="AT249" s="824" t="s">
        <v>10</v>
      </c>
      <c r="AU249" s="824" t="s">
        <v>10</v>
      </c>
      <c r="AV249" s="1719" t="s">
        <v>10</v>
      </c>
      <c r="AW249" s="1720" t="s">
        <v>10</v>
      </c>
      <c r="AX249" s="1719"/>
      <c r="AY249" s="823" t="s">
        <v>10</v>
      </c>
      <c r="AZ249" s="824" t="s">
        <v>10</v>
      </c>
      <c r="BA249" s="824" t="s">
        <v>10</v>
      </c>
      <c r="BB249" s="1719" t="s">
        <v>10</v>
      </c>
      <c r="BC249" s="1720" t="s">
        <v>10</v>
      </c>
      <c r="BD249" s="1719"/>
      <c r="BE249" s="1721">
        <f>BE78/AY78-1</f>
        <v>-0.11377932268452606</v>
      </c>
      <c r="BF249" s="1719">
        <f>BF78/AZ78-1</f>
        <v>-0.66627674099194367</v>
      </c>
      <c r="BG249" s="1719">
        <f>BG78/BA78-1</f>
        <v>-0.84881879091013801</v>
      </c>
      <c r="BH249" s="1719">
        <f>BH78/BB78-1</f>
        <v>-0.92169806390169684</v>
      </c>
      <c r="BI249" s="1720">
        <f>BI78/BC78-1</f>
        <v>-0.64875197516449723</v>
      </c>
      <c r="BJ249" s="1719"/>
      <c r="BK249" s="1721">
        <f>IF(ISERROR(BK78/BE78-1),"nm",BK78/BE78-1)</f>
        <v>-1</v>
      </c>
      <c r="BL249" s="1719">
        <f>IF(ISERROR(BL78/BF78-1),"nm",BL78/BF78-1)</f>
        <v>-1</v>
      </c>
      <c r="BM249" s="1719">
        <f>IF(ISERROR(BM78/BG78-1),"nm",BM78/BG78-1)</f>
        <v>-1</v>
      </c>
      <c r="BN249" s="1719">
        <f>IF(ISERROR(BN78/BH78-1),"nm",BN78/BH78-1)</f>
        <v>-1</v>
      </c>
      <c r="BO249" s="1720">
        <f>IF(ISERROR(BO78/BI78-1),"nm",BO78/BI78-1)</f>
        <v>-1</v>
      </c>
      <c r="BP249" s="1719"/>
      <c r="BQ249" s="1721" t="str">
        <f>IF(ISERROR(BQ78/BK78-1),"nm",BQ78/BK78-1)</f>
        <v>nm</v>
      </c>
      <c r="BR249" s="1719" t="str">
        <f>IF(ISERROR(BR78/BL78-1),"nm",BR78/BL78-1)</f>
        <v>nm</v>
      </c>
      <c r="BS249" s="1719" t="str">
        <f>IF(ISERROR(BS78/BM78-1),"nm",BS78/BM78-1)</f>
        <v>nm</v>
      </c>
      <c r="BT249" s="1719" t="str">
        <f>IF(ISERROR(BT78/BN78-1),"nm",BT78/BN78-1)</f>
        <v>nm</v>
      </c>
      <c r="BU249" s="1720" t="str">
        <f>IF(ISERROR(BU78/BO78-1),"nm",BU78/BO78-1)</f>
        <v>nm</v>
      </c>
      <c r="BV249" s="1719"/>
      <c r="BW249" s="1721" t="str">
        <f>IF(ISERROR(BW78/BQ78-1),"nm",BW78/BQ78-1)</f>
        <v>nm</v>
      </c>
      <c r="BX249" s="1719" t="str">
        <f>IF(ISERROR(BX78/BR78-1),"nm",BX78/BR78-1)</f>
        <v>nm</v>
      </c>
      <c r="BY249" s="1719" t="str">
        <f>IF(ISERROR(BY78/BS78-1),"nm",BY78/BS78-1)</f>
        <v>nm</v>
      </c>
      <c r="BZ249" s="1719" t="str">
        <f>IF(ISERROR(BZ78/BT78-1),"nm",BZ78/BT78-1)</f>
        <v>nm</v>
      </c>
      <c r="CA249" s="1720" t="str">
        <f>IF(ISERROR(CA78/BU78-1),"nm",CA78/BU78-1)</f>
        <v>nm</v>
      </c>
      <c r="CB249" s="1719"/>
      <c r="CC249" s="1721" t="str">
        <f>IF(ISERROR(CC78/BW78-1),"nm",CC78/BW78-1)</f>
        <v>nm</v>
      </c>
      <c r="CD249" s="1719" t="str">
        <f>IF(ISERROR(CD78/BX78-1),"nm",CD78/BX78-1)</f>
        <v>nm</v>
      </c>
      <c r="CE249" s="1719" t="str">
        <f>IF(ISERROR(CE78/BY78-1),"nm",CE78/BY78-1)</f>
        <v>nm</v>
      </c>
      <c r="CF249" s="1719" t="str">
        <f>IF(ISERROR(CF78/BZ78-1),"nm",CF78/BZ78-1)</f>
        <v>nm</v>
      </c>
      <c r="CG249" s="1720" t="str">
        <f>IF(ISERROR(CG78/CA78-1),"nm",CG78/CA78-1)</f>
        <v>nm</v>
      </c>
      <c r="CH249" s="1719"/>
      <c r="CI249" s="1721" t="str">
        <f>IF(ISERROR(CI78/CC78-1),"nm",CI78/CC78-1)</f>
        <v>nm</v>
      </c>
      <c r="CJ249" s="1719" t="str">
        <f>IF(ISERROR(CJ78/CD78-1),"nm",CJ78/CD78-1)</f>
        <v>nm</v>
      </c>
      <c r="CK249" s="1719" t="str">
        <f>IF(ISERROR(CK78/CE78-1),"nm",CK78/CE78-1)</f>
        <v>nm</v>
      </c>
      <c r="CL249" s="1719" t="str">
        <f>IF(ISERROR(CL78/CF78-1),"nm",CL78/CF78-1)</f>
        <v>nm</v>
      </c>
      <c r="CM249" s="1720" t="str">
        <f>IF(ISERROR(CM78/CG78-1),"nm",CM78/CG78-1)</f>
        <v>nm</v>
      </c>
      <c r="CN249" s="1719"/>
      <c r="CO249" s="1721" t="str">
        <f>IF(ISERROR(CO78/CI78-1),"nm",CO78/CI78-1)</f>
        <v>nm</v>
      </c>
      <c r="CP249" s="1719" t="str">
        <f>IF(ISERROR(CP78/CJ78-1),"nm",CP78/CJ78-1)</f>
        <v>nm</v>
      </c>
      <c r="CQ249" s="1719" t="str">
        <f>IF(ISERROR(CQ78/CK78-1),"nm",CQ78/CK78-1)</f>
        <v>nm</v>
      </c>
      <c r="CR249" s="1719" t="str">
        <f>IF(ISERROR(CR78/CL78-1),"nm",CR78/CL78-1)</f>
        <v>nm</v>
      </c>
      <c r="CS249" s="1720" t="str">
        <f>IF(ISERROR(CS78/CM78-1),"nm",CS78/CM78-1)</f>
        <v>nm</v>
      </c>
      <c r="CT249" s="83"/>
      <c r="CU249" s="60"/>
      <c r="CV249" s="60"/>
      <c r="CW249" s="60"/>
      <c r="CX249" s="60"/>
      <c r="CY249" s="60"/>
      <c r="CZ249" s="60"/>
      <c r="DA249" s="60"/>
      <c r="DB249" s="60"/>
      <c r="DC249" s="60"/>
      <c r="DD249" s="60"/>
      <c r="DE249" s="60"/>
      <c r="DF249" s="60"/>
      <c r="DG249" s="60"/>
      <c r="DH249" s="60"/>
      <c r="DI249" s="60"/>
      <c r="DJ249" s="60"/>
      <c r="DK249" s="60"/>
      <c r="DL249" s="60"/>
      <c r="DM249" s="60"/>
      <c r="DN249" s="60"/>
      <c r="DO249" s="60"/>
      <c r="DP249" s="60"/>
      <c r="DQ249" s="60"/>
      <c r="DR249" s="60"/>
      <c r="DS249" s="60"/>
      <c r="DT249" s="60"/>
    </row>
    <row r="250" spans="1:124" ht="12.75" hidden="1" customHeight="1" outlineLevel="1">
      <c r="A250" s="156" t="s">
        <v>524</v>
      </c>
      <c r="B250" s="62"/>
      <c r="C250" s="834"/>
      <c r="D250" s="835"/>
      <c r="E250" s="835"/>
      <c r="F250" s="835"/>
      <c r="G250" s="836"/>
      <c r="H250" s="824"/>
      <c r="I250" s="823"/>
      <c r="J250" s="824"/>
      <c r="K250" s="824"/>
      <c r="L250" s="824"/>
      <c r="M250" s="825"/>
      <c r="N250" s="824"/>
      <c r="O250" s="823"/>
      <c r="P250" s="824"/>
      <c r="Q250" s="824"/>
      <c r="R250" s="837"/>
      <c r="S250" s="825"/>
      <c r="T250" s="824"/>
      <c r="U250" s="823"/>
      <c r="V250" s="824"/>
      <c r="W250" s="824"/>
      <c r="X250" s="824"/>
      <c r="Y250" s="825"/>
      <c r="Z250" s="824"/>
      <c r="AA250" s="823"/>
      <c r="AB250" s="824"/>
      <c r="AC250" s="824"/>
      <c r="AD250" s="824"/>
      <c r="AE250" s="825"/>
      <c r="AF250" s="824"/>
      <c r="AG250" s="823"/>
      <c r="AH250" s="824"/>
      <c r="AI250" s="824"/>
      <c r="AJ250" s="824"/>
      <c r="AK250" s="825"/>
      <c r="AL250" s="824"/>
      <c r="AM250" s="823"/>
      <c r="AN250" s="824"/>
      <c r="AO250" s="824"/>
      <c r="AP250" s="837"/>
      <c r="AQ250" s="825"/>
      <c r="AR250" s="824"/>
      <c r="AS250" s="823" t="s">
        <v>10</v>
      </c>
      <c r="AT250" s="824" t="s">
        <v>10</v>
      </c>
      <c r="AU250" s="824" t="s">
        <v>10</v>
      </c>
      <c r="AV250" s="1719" t="s">
        <v>10</v>
      </c>
      <c r="AW250" s="1720" t="s">
        <v>10</v>
      </c>
      <c r="AX250" s="1719"/>
      <c r="AY250" s="823" t="s">
        <v>10</v>
      </c>
      <c r="AZ250" s="824" t="s">
        <v>10</v>
      </c>
      <c r="BA250" s="824" t="s">
        <v>10</v>
      </c>
      <c r="BB250" s="1719" t="s">
        <v>10</v>
      </c>
      <c r="BC250" s="1720" t="s">
        <v>10</v>
      </c>
      <c r="BD250" s="1719"/>
      <c r="BE250" s="1721">
        <f>BE88/AY88-1</f>
        <v>-0.26553915759991387</v>
      </c>
      <c r="BF250" s="1719">
        <f>BF88/AZ88-1</f>
        <v>-0.47605822206677739</v>
      </c>
      <c r="BG250" s="1719">
        <f>BG88/BA88-1</f>
        <v>-0.59628991535736064</v>
      </c>
      <c r="BH250" s="1719">
        <f>BH88/BB88-1</f>
        <v>-0.34112626886837738</v>
      </c>
      <c r="BI250" s="1720">
        <f>BI88/BC88-1</f>
        <v>-0.43344721203356729</v>
      </c>
      <c r="BJ250" s="1719"/>
      <c r="BK250" s="1721">
        <f>BK88/BE88-1</f>
        <v>-0.76188595798452063</v>
      </c>
      <c r="BL250" s="1719">
        <f>BL88/BF88-1</f>
        <v>-1</v>
      </c>
      <c r="BM250" s="1719">
        <f>BM88/BG88-1</f>
        <v>-1</v>
      </c>
      <c r="BN250" s="1719">
        <f>BN88/BH88-1</f>
        <v>-0.94572100597068931</v>
      </c>
      <c r="BO250" s="1720">
        <f>BO88/BI88-1</f>
        <v>-0.91868400807986283</v>
      </c>
      <c r="BP250" s="1719"/>
      <c r="BQ250" s="1721">
        <f>IF(ISERROR(BQ88/BK88-1),"nm",BQ88/BK88-1)</f>
        <v>-1</v>
      </c>
      <c r="BR250" s="1719" t="str">
        <f>IF(ISERROR(BR88/BL88-1),"nm",BR88/BL88-1)</f>
        <v>nm</v>
      </c>
      <c r="BS250" s="1719" t="str">
        <f>IF(ISERROR(BS88/BM88-1),"nm",BS88/BM88-1)</f>
        <v>nm</v>
      </c>
      <c r="BT250" s="1719">
        <f>IF(ISERROR(BT88/BN88-1),"nm",BT88/BN88-1)</f>
        <v>-1</v>
      </c>
      <c r="BU250" s="1720">
        <f>IF(ISERROR(BU88/BO88-1),"nm",BU88/BO88-1)</f>
        <v>-1</v>
      </c>
      <c r="BV250" s="1719"/>
      <c r="BW250" s="1721" t="str">
        <f>IF(ISERROR(BW88/BQ88-1),"nm",BW88/BQ88-1)</f>
        <v>nm</v>
      </c>
      <c r="BX250" s="1719" t="str">
        <f>IF(ISERROR(BX88/BR88-1),"nm",BX88/BR88-1)</f>
        <v>nm</v>
      </c>
      <c r="BY250" s="1719" t="str">
        <f>IF(ISERROR(BY88/BS88-1),"nm",BY88/BS88-1)</f>
        <v>nm</v>
      </c>
      <c r="BZ250" s="1719" t="str">
        <f>IF(ISERROR(BZ88/BT88-1),"nm",BZ88/BT88-1)</f>
        <v>nm</v>
      </c>
      <c r="CA250" s="1720" t="str">
        <f>IF(ISERROR(CA88/BU88-1),"nm",CA88/BU88-1)</f>
        <v>nm</v>
      </c>
      <c r="CB250" s="1719"/>
      <c r="CC250" s="1721" t="str">
        <f>IF(ISERROR(CC88/BW88-1),"nm",CC88/BW88-1)</f>
        <v>nm</v>
      </c>
      <c r="CD250" s="1719" t="str">
        <f>IF(ISERROR(CD88/BX88-1),"nm",CD88/BX88-1)</f>
        <v>nm</v>
      </c>
      <c r="CE250" s="1719" t="str">
        <f>IF(ISERROR(CE88/BY88-1),"nm",CE88/BY88-1)</f>
        <v>nm</v>
      </c>
      <c r="CF250" s="1719" t="str">
        <f>IF(ISERROR(CF88/BZ88-1),"nm",CF88/BZ88-1)</f>
        <v>nm</v>
      </c>
      <c r="CG250" s="1720" t="str">
        <f>IF(ISERROR(CG88/CA88-1),"nm",CG88/CA88-1)</f>
        <v>nm</v>
      </c>
      <c r="CH250" s="1719"/>
      <c r="CI250" s="1721" t="str">
        <f>IF(ISERROR(CI88/CC88-1),"nm",CI88/CC88-1)</f>
        <v>nm</v>
      </c>
      <c r="CJ250" s="1719" t="str">
        <f>IF(ISERROR(CJ88/CD88-1),"nm",CJ88/CD88-1)</f>
        <v>nm</v>
      </c>
      <c r="CK250" s="1719" t="str">
        <f>IF(ISERROR(CK88/CE88-1),"nm",CK88/CE88-1)</f>
        <v>nm</v>
      </c>
      <c r="CL250" s="1719" t="str">
        <f>IF(ISERROR(CL88/CF88-1),"nm",CL88/CF88-1)</f>
        <v>nm</v>
      </c>
      <c r="CM250" s="1720" t="str">
        <f>IF(ISERROR(CM88/CG88-1),"nm",CM88/CG88-1)</f>
        <v>nm</v>
      </c>
      <c r="CN250" s="1719"/>
      <c r="CO250" s="1721" t="str">
        <f>IF(ISERROR(CO88/CI88-1),"nm",CO88/CI88-1)</f>
        <v>nm</v>
      </c>
      <c r="CP250" s="1719" t="str">
        <f>IF(ISERROR(CP88/CJ88-1),"nm",CP88/CJ88-1)</f>
        <v>nm</v>
      </c>
      <c r="CQ250" s="1719" t="str">
        <f>IF(ISERROR(CQ88/CK88-1),"nm",CQ88/CK88-1)</f>
        <v>nm</v>
      </c>
      <c r="CR250" s="1719" t="str">
        <f>IF(ISERROR(CR88/CL88-1),"nm",CR88/CL88-1)</f>
        <v>nm</v>
      </c>
      <c r="CS250" s="1720" t="str">
        <f>IF(ISERROR(CS88/CM88-1),"nm",CS88/CM88-1)</f>
        <v>nm</v>
      </c>
      <c r="CT250" s="83"/>
      <c r="CU250" s="60"/>
      <c r="CV250" s="60"/>
      <c r="CW250" s="60"/>
      <c r="CX250" s="60"/>
      <c r="CY250" s="60"/>
      <c r="CZ250" s="60"/>
      <c r="DA250" s="60"/>
      <c r="DB250" s="60"/>
      <c r="DC250" s="60"/>
      <c r="DD250" s="60"/>
      <c r="DE250" s="60"/>
      <c r="DF250" s="60"/>
      <c r="DG250" s="60"/>
      <c r="DH250" s="60"/>
      <c r="DI250" s="60"/>
      <c r="DJ250" s="60"/>
      <c r="DK250" s="60"/>
      <c r="DL250" s="60"/>
      <c r="DM250" s="60"/>
      <c r="DN250" s="60"/>
      <c r="DO250" s="60"/>
      <c r="DP250" s="60"/>
      <c r="DQ250" s="60"/>
      <c r="DR250" s="60"/>
      <c r="DS250" s="60"/>
      <c r="DT250" s="60"/>
    </row>
    <row r="251" spans="1:124" ht="12.75" hidden="1" customHeight="1" outlineLevel="1">
      <c r="A251" s="156" t="s">
        <v>528</v>
      </c>
      <c r="B251" s="62"/>
      <c r="C251" s="834"/>
      <c r="D251" s="835"/>
      <c r="E251" s="835"/>
      <c r="F251" s="835"/>
      <c r="G251" s="836"/>
      <c r="H251" s="824"/>
      <c r="I251" s="823"/>
      <c r="J251" s="824"/>
      <c r="K251" s="824"/>
      <c r="L251" s="824"/>
      <c r="M251" s="825"/>
      <c r="N251" s="824"/>
      <c r="O251" s="823"/>
      <c r="P251" s="824"/>
      <c r="Q251" s="824"/>
      <c r="R251" s="837"/>
      <c r="S251" s="825"/>
      <c r="T251" s="824"/>
      <c r="U251" s="823"/>
      <c r="V251" s="824"/>
      <c r="W251" s="824"/>
      <c r="X251" s="824"/>
      <c r="Y251" s="825"/>
      <c r="Z251" s="824"/>
      <c r="AA251" s="823"/>
      <c r="AB251" s="824"/>
      <c r="AC251" s="824"/>
      <c r="AD251" s="824"/>
      <c r="AE251" s="825"/>
      <c r="AF251" s="824"/>
      <c r="AG251" s="823"/>
      <c r="AH251" s="824"/>
      <c r="AI251" s="824"/>
      <c r="AJ251" s="824"/>
      <c r="AK251" s="825"/>
      <c r="AL251" s="824"/>
      <c r="AM251" s="823"/>
      <c r="AN251" s="824"/>
      <c r="AO251" s="824"/>
      <c r="AP251" s="837"/>
      <c r="AQ251" s="825"/>
      <c r="AR251" s="824"/>
      <c r="AS251" s="823" t="s">
        <v>10</v>
      </c>
      <c r="AT251" s="824" t="s">
        <v>10</v>
      </c>
      <c r="AU251" s="824" t="s">
        <v>10</v>
      </c>
      <c r="AV251" s="1719" t="s">
        <v>10</v>
      </c>
      <c r="AW251" s="1720" t="s">
        <v>10</v>
      </c>
      <c r="AX251" s="1719"/>
      <c r="AY251" s="823" t="s">
        <v>10</v>
      </c>
      <c r="AZ251" s="824" t="s">
        <v>10</v>
      </c>
      <c r="BA251" s="824" t="s">
        <v>10</v>
      </c>
      <c r="BB251" s="1719" t="s">
        <v>10</v>
      </c>
      <c r="BC251" s="1720" t="s">
        <v>10</v>
      </c>
      <c r="BD251" s="1719"/>
      <c r="BE251" s="1721"/>
      <c r="BF251" s="1719">
        <f>BF99/AZ99-1</f>
        <v>1.1143333333333332</v>
      </c>
      <c r="BG251" s="1719">
        <f>BG99/BA99-1</f>
        <v>0.58441904761904739</v>
      </c>
      <c r="BH251" s="1719">
        <f>BH99/BB99-1</f>
        <v>0.41099299435028258</v>
      </c>
      <c r="BI251" s="1720">
        <f>BI99/BC99-1</f>
        <v>1.213914881320949</v>
      </c>
      <c r="BJ251" s="1719"/>
      <c r="BK251" s="1721">
        <f>BK99/BE99-1</f>
        <v>-0.7666879329471219</v>
      </c>
      <c r="BL251" s="1719">
        <f>BL99/BF99-1</f>
        <v>-1</v>
      </c>
      <c r="BM251" s="1719">
        <f>BM99/BG99-1</f>
        <v>-1</v>
      </c>
      <c r="BN251" s="1719">
        <f>BN99/BH99-1</f>
        <v>-1</v>
      </c>
      <c r="BO251" s="1720">
        <f>BO99/BI99-1</f>
        <v>-0.94427351814183758</v>
      </c>
      <c r="BP251" s="1719"/>
      <c r="BQ251" s="1721">
        <f>BQ99/BK99-1</f>
        <v>-1</v>
      </c>
      <c r="BR251" s="1754" t="s">
        <v>10</v>
      </c>
      <c r="BS251" s="1754" t="s">
        <v>10</v>
      </c>
      <c r="BT251" s="1755" t="s">
        <v>10</v>
      </c>
      <c r="BU251" s="1720">
        <f>BU99/BO99-1</f>
        <v>-1</v>
      </c>
      <c r="BV251" s="1719"/>
      <c r="BW251" s="1721"/>
      <c r="BX251" s="1719"/>
      <c r="BY251" s="1719"/>
      <c r="BZ251" s="1719"/>
      <c r="CA251" s="1720"/>
      <c r="CB251" s="1719"/>
      <c r="CC251" s="1721"/>
      <c r="CD251" s="1719"/>
      <c r="CE251" s="1719"/>
      <c r="CF251" s="1719"/>
      <c r="CG251" s="1720"/>
      <c r="CH251" s="1719"/>
      <c r="CI251" s="1721"/>
      <c r="CJ251" s="1719"/>
      <c r="CK251" s="1719"/>
      <c r="CL251" s="1719"/>
      <c r="CM251" s="1720"/>
      <c r="CN251" s="1719"/>
      <c r="CO251" s="1721"/>
      <c r="CP251" s="1719"/>
      <c r="CQ251" s="1719"/>
      <c r="CR251" s="1719"/>
      <c r="CS251" s="1720"/>
      <c r="CT251" s="83"/>
      <c r="CU251" s="60"/>
      <c r="CV251" s="60"/>
      <c r="CW251" s="60"/>
      <c r="CX251" s="60"/>
      <c r="CY251" s="60"/>
      <c r="CZ251" s="60"/>
      <c r="DA251" s="60"/>
      <c r="DB251" s="60"/>
      <c r="DC251" s="60"/>
      <c r="DD251" s="60"/>
      <c r="DE251" s="60"/>
      <c r="DF251" s="60"/>
      <c r="DG251" s="60"/>
      <c r="DH251" s="60"/>
      <c r="DI251" s="60"/>
      <c r="DJ251" s="60"/>
      <c r="DK251" s="60"/>
      <c r="DL251" s="60"/>
      <c r="DM251" s="60"/>
      <c r="DN251" s="60"/>
      <c r="DO251" s="60"/>
      <c r="DP251" s="60"/>
      <c r="DQ251" s="60"/>
      <c r="DR251" s="60"/>
      <c r="DS251" s="60"/>
      <c r="DT251" s="60"/>
    </row>
    <row r="252" spans="1:124" ht="12.75" hidden="1" customHeight="1" outlineLevel="1">
      <c r="A252" s="156" t="s">
        <v>529</v>
      </c>
      <c r="B252" s="62"/>
      <c r="C252" s="834"/>
      <c r="D252" s="835"/>
      <c r="E252" s="835"/>
      <c r="F252" s="835"/>
      <c r="G252" s="836"/>
      <c r="H252" s="824"/>
      <c r="I252" s="823"/>
      <c r="J252" s="824"/>
      <c r="K252" s="824"/>
      <c r="L252" s="824"/>
      <c r="M252" s="825"/>
      <c r="N252" s="824"/>
      <c r="O252" s="823"/>
      <c r="P252" s="824"/>
      <c r="Q252" s="824"/>
      <c r="R252" s="837"/>
      <c r="S252" s="825"/>
      <c r="T252" s="824"/>
      <c r="U252" s="823"/>
      <c r="V252" s="824"/>
      <c r="W252" s="824"/>
      <c r="X252" s="824"/>
      <c r="Y252" s="825"/>
      <c r="Z252" s="824"/>
      <c r="AA252" s="823"/>
      <c r="AB252" s="824"/>
      <c r="AC252" s="824"/>
      <c r="AD252" s="824"/>
      <c r="AE252" s="825"/>
      <c r="AF252" s="824"/>
      <c r="AG252" s="823"/>
      <c r="AH252" s="824"/>
      <c r="AI252" s="824"/>
      <c r="AJ252" s="824"/>
      <c r="AK252" s="825"/>
      <c r="AL252" s="824"/>
      <c r="AM252" s="823"/>
      <c r="AN252" s="824"/>
      <c r="AO252" s="824"/>
      <c r="AP252" s="837"/>
      <c r="AQ252" s="825"/>
      <c r="AR252" s="824"/>
      <c r="AS252" s="823" t="s">
        <v>10</v>
      </c>
      <c r="AT252" s="824" t="s">
        <v>10</v>
      </c>
      <c r="AU252" s="824" t="s">
        <v>10</v>
      </c>
      <c r="AV252" s="1719" t="s">
        <v>10</v>
      </c>
      <c r="AW252" s="1720" t="s">
        <v>10</v>
      </c>
      <c r="AX252" s="1719"/>
      <c r="AY252" s="1721">
        <f>AY105/AS105-1</f>
        <v>2.7129166666666666</v>
      </c>
      <c r="AZ252" s="1719">
        <f>AZ105/AT105-1</f>
        <v>-4.8099999999999921E-2</v>
      </c>
      <c r="BA252" s="1719">
        <f>BA105/AU105-1</f>
        <v>-0.19777777777777772</v>
      </c>
      <c r="BB252" s="1719">
        <f>BB105/AV105-1</f>
        <v>-0.41183069767441871</v>
      </c>
      <c r="BC252" s="1720">
        <f>BC105/AW105-1</f>
        <v>3.217074626865668E-2</v>
      </c>
      <c r="BD252" s="1719"/>
      <c r="BE252" s="1721">
        <f>BE105/AY105-1</f>
        <v>-0.77926652452025591</v>
      </c>
      <c r="BF252" s="1719">
        <f>BF105/AZ105-1</f>
        <v>-0.37350440295878851</v>
      </c>
      <c r="BG252" s="1719">
        <f>BG105/BA105-1</f>
        <v>-0.58947764631578947</v>
      </c>
      <c r="BH252" s="1719">
        <f>BH105/BB105-1</f>
        <v>-9.6792196646432904E-2</v>
      </c>
      <c r="BI252" s="1720">
        <f>BI105/BC105-1</f>
        <v>-0.50998650416510982</v>
      </c>
      <c r="BJ252" s="1719"/>
      <c r="BK252" s="1721">
        <f>BK105/BE105-1</f>
        <v>-0.45840250438545638</v>
      </c>
      <c r="BL252" s="1719">
        <f>BL105/BF105-1</f>
        <v>-0.76357383415578695</v>
      </c>
      <c r="BM252" s="1719">
        <f>BM105/BG105-1</f>
        <v>-1</v>
      </c>
      <c r="BN252" s="1719">
        <f>BN105/BH105-1</f>
        <v>-1</v>
      </c>
      <c r="BO252" s="1720">
        <f>BO105/BI105-1</f>
        <v>-0.85067569164290346</v>
      </c>
      <c r="BP252" s="1719"/>
      <c r="BQ252" s="1721">
        <f>BQ105/BK105-1</f>
        <v>-1</v>
      </c>
      <c r="BR252" s="1754" t="s">
        <v>10</v>
      </c>
      <c r="BS252" s="1754" t="s">
        <v>10</v>
      </c>
      <c r="BT252" s="1755" t="s">
        <v>10</v>
      </c>
      <c r="BU252" s="1720">
        <f>BU105/BO105-1</f>
        <v>-1</v>
      </c>
      <c r="BV252" s="1719"/>
      <c r="BW252" s="1721"/>
      <c r="BX252" s="1719"/>
      <c r="BY252" s="1719"/>
      <c r="BZ252" s="1719"/>
      <c r="CA252" s="1720"/>
      <c r="CB252" s="1719"/>
      <c r="CC252" s="1721"/>
      <c r="CD252" s="1719"/>
      <c r="CE252" s="1719"/>
      <c r="CF252" s="1719"/>
      <c r="CG252" s="1720"/>
      <c r="CH252" s="1719"/>
      <c r="CI252" s="1721"/>
      <c r="CJ252" s="1719"/>
      <c r="CK252" s="1719"/>
      <c r="CL252" s="1719"/>
      <c r="CM252" s="1720"/>
      <c r="CN252" s="1719"/>
      <c r="CO252" s="1721"/>
      <c r="CP252" s="1719"/>
      <c r="CQ252" s="1719"/>
      <c r="CR252" s="1719"/>
      <c r="CS252" s="1720"/>
      <c r="CT252" s="83"/>
      <c r="CU252" s="60"/>
      <c r="CV252" s="60"/>
      <c r="CW252" s="60"/>
      <c r="CX252" s="60"/>
      <c r="CY252" s="60"/>
      <c r="CZ252" s="60"/>
      <c r="DA252" s="60"/>
      <c r="DB252" s="60"/>
      <c r="DC252" s="60"/>
      <c r="DD252" s="60"/>
      <c r="DE252" s="60"/>
      <c r="DF252" s="60"/>
      <c r="DG252" s="60"/>
      <c r="DH252" s="60"/>
      <c r="DI252" s="60"/>
      <c r="DJ252" s="60"/>
      <c r="DK252" s="60"/>
      <c r="DL252" s="60"/>
      <c r="DM252" s="60"/>
      <c r="DN252" s="60"/>
      <c r="DO252" s="60"/>
      <c r="DP252" s="60"/>
      <c r="DQ252" s="60"/>
      <c r="DR252" s="60"/>
      <c r="DS252" s="60"/>
      <c r="DT252" s="60"/>
    </row>
    <row r="253" spans="1:124" ht="12.75" hidden="1" customHeight="1" outlineLevel="1">
      <c r="A253" s="156" t="s">
        <v>525</v>
      </c>
      <c r="B253" s="62"/>
      <c r="C253" s="834"/>
      <c r="D253" s="835"/>
      <c r="E253" s="835"/>
      <c r="F253" s="835"/>
      <c r="G253" s="836"/>
      <c r="H253" s="824"/>
      <c r="I253" s="823"/>
      <c r="J253" s="3016"/>
      <c r="K253" s="824"/>
      <c r="L253" s="824"/>
      <c r="M253" s="825"/>
      <c r="N253" s="824"/>
      <c r="O253" s="823"/>
      <c r="P253" s="824"/>
      <c r="Q253" s="824"/>
      <c r="R253" s="837"/>
      <c r="S253" s="825"/>
      <c r="T253" s="824"/>
      <c r="U253" s="823"/>
      <c r="V253" s="824"/>
      <c r="W253" s="824"/>
      <c r="X253" s="824"/>
      <c r="Y253" s="825"/>
      <c r="Z253" s="824"/>
      <c r="AA253" s="823">
        <f>(AA59/U59)-1</f>
        <v>28.689994340821158</v>
      </c>
      <c r="AB253" s="824">
        <f>(AB59/V59)-1</f>
        <v>1.4541089189006331</v>
      </c>
      <c r="AC253" s="824">
        <f>(AC59/W59)-1</f>
        <v>-0.17176190035419547</v>
      </c>
      <c r="AD253" s="824">
        <f>(AD59/X59)-1</f>
        <v>-0.2979703321779491</v>
      </c>
      <c r="AE253" s="825">
        <f>(AE59/Y59)-1</f>
        <v>0.63730328812706905</v>
      </c>
      <c r="AF253" s="824"/>
      <c r="AG253" s="823">
        <f>(AG59/AA59)-1</f>
        <v>-0.62168368423430831</v>
      </c>
      <c r="AH253" s="824">
        <f>(AH59/AB59)-1</f>
        <v>-0.58582584429997198</v>
      </c>
      <c r="AI253" s="824">
        <f>(AI59/AC59)-1</f>
        <v>-0.28376209725484125</v>
      </c>
      <c r="AJ253" s="824">
        <f>(AJ59/AD59)-1</f>
        <v>-0.30937215880718738</v>
      </c>
      <c r="AK253" s="825">
        <f>(AK59/AE59)-1</f>
        <v>-0.49289796929224972</v>
      </c>
      <c r="AL253" s="824"/>
      <c r="AM253" s="823">
        <f>(AM59/AG59)-1</f>
        <v>0.21882799286865917</v>
      </c>
      <c r="AN253" s="824">
        <f>(AN59/AH59)-1</f>
        <v>0.49412074772916847</v>
      </c>
      <c r="AO253" s="824">
        <f>(AO59/AI59)-1</f>
        <v>0.47543851472491538</v>
      </c>
      <c r="AP253" s="837">
        <f>(AP59/AJ59)-1</f>
        <v>0.35205510075901936</v>
      </c>
      <c r="AQ253" s="825">
        <f>(AQ59/AK59)-1</f>
        <v>0.38640288746117246</v>
      </c>
      <c r="AR253" s="824"/>
      <c r="AS253" s="823">
        <f>(AS59/AM59)-1</f>
        <v>0.27151245191334294</v>
      </c>
      <c r="AT253" s="824">
        <f>(AT59/AN59)-1</f>
        <v>0.27245558691681881</v>
      </c>
      <c r="AU253" s="824">
        <f>(AU59/AO59)-1</f>
        <v>0.38305489260143211</v>
      </c>
      <c r="AV253" s="1728">
        <f>(AV59/AP59)-1</f>
        <v>0.63492063492063511</v>
      </c>
      <c r="AW253" s="1720">
        <f>(AW59/AQ59)-1</f>
        <v>0.38819379741780913</v>
      </c>
      <c r="AX253" s="1719"/>
      <c r="AY253" s="1721">
        <f>(AY59/AS59)-1</f>
        <v>0.47577149681528641</v>
      </c>
      <c r="AZ253" s="1719">
        <f>(AZ59/AT59)-1</f>
        <v>0.27941545211868402</v>
      </c>
      <c r="BA253" s="1719">
        <f>(BA59/AU59)-1</f>
        <v>8.7535235085124397E-2</v>
      </c>
      <c r="BB253" s="1728">
        <f>(BB59/AV59)-1</f>
        <v>-0.15897699607027294</v>
      </c>
      <c r="BC253" s="1720">
        <f>(BC59/AW59)-1</f>
        <v>0.14429314559710549</v>
      </c>
      <c r="BD253" s="1719"/>
      <c r="BE253" s="1721">
        <f>(BE59/AY59)-1</f>
        <v>-0.41379576820214237</v>
      </c>
      <c r="BF253" s="1719">
        <f>(BF59/AZ59)-1</f>
        <v>-0.39063714801277283</v>
      </c>
      <c r="BG253" s="1719">
        <f>(BG59/BA59)-1</f>
        <v>-0.54933822933128285</v>
      </c>
      <c r="BH253" s="1728">
        <f>(BH59/BB59)-1</f>
        <v>-0.2823851074431547</v>
      </c>
      <c r="BI253" s="1720">
        <f>(BI59/BC59)-1</f>
        <v>-0.41653415053032117</v>
      </c>
      <c r="BJ253" s="1719"/>
      <c r="BK253" s="1721">
        <f>(BK59/BE59)-1</f>
        <v>-0.76303090871430768</v>
      </c>
      <c r="BL253" s="1719">
        <f>(BL59/BF59)-1</f>
        <v>-0.91976927006483167</v>
      </c>
      <c r="BM253" s="1719">
        <f>(BM59/BG59)-1</f>
        <v>-1</v>
      </c>
      <c r="BN253" s="1728">
        <f>(BN59/BH59)-1</f>
        <v>-0.97989178730206605</v>
      </c>
      <c r="BO253" s="1720">
        <f>(BO59/BI59)-1</f>
        <v>-0.91039703450297249</v>
      </c>
      <c r="BP253" s="1719"/>
      <c r="BQ253" s="1721">
        <f>(BQ59/BK59)-1</f>
        <v>-1</v>
      </c>
      <c r="BR253" s="1754" t="s">
        <v>10</v>
      </c>
      <c r="BS253" s="1754" t="s">
        <v>10</v>
      </c>
      <c r="BT253" s="1755" t="s">
        <v>10</v>
      </c>
      <c r="BU253" s="1720">
        <f>(BU59/BO59)-1</f>
        <v>-1</v>
      </c>
      <c r="BV253" s="1719"/>
      <c r="BW253" s="1721"/>
      <c r="BX253" s="1719"/>
      <c r="BY253" s="1719"/>
      <c r="BZ253" s="1728"/>
      <c r="CA253" s="1720"/>
      <c r="CB253" s="1719"/>
      <c r="CC253" s="1721"/>
      <c r="CD253" s="1719"/>
      <c r="CE253" s="1719"/>
      <c r="CF253" s="1728"/>
      <c r="CG253" s="1720"/>
      <c r="CH253" s="1719"/>
      <c r="CI253" s="1721"/>
      <c r="CJ253" s="1719"/>
      <c r="CK253" s="1719"/>
      <c r="CL253" s="1728"/>
      <c r="CM253" s="1720"/>
      <c r="CN253" s="1719"/>
      <c r="CO253" s="1721"/>
      <c r="CP253" s="1719"/>
      <c r="CQ253" s="1719"/>
      <c r="CR253" s="1728"/>
      <c r="CS253" s="1720"/>
      <c r="CT253" s="83"/>
      <c r="CU253" s="60"/>
      <c r="CV253" s="60"/>
      <c r="CW253" s="60"/>
      <c r="CX253" s="60"/>
      <c r="CY253" s="60"/>
      <c r="CZ253" s="60"/>
      <c r="DA253" s="60"/>
      <c r="DB253" s="60"/>
      <c r="DC253" s="60"/>
      <c r="DD253" s="60"/>
      <c r="DE253" s="60"/>
      <c r="DF253" s="60"/>
      <c r="DG253" s="60"/>
      <c r="DH253" s="60"/>
      <c r="DI253" s="60"/>
      <c r="DJ253" s="60"/>
      <c r="DK253" s="60"/>
      <c r="DL253" s="60"/>
      <c r="DM253" s="60"/>
      <c r="DN253" s="60"/>
      <c r="DO253" s="60"/>
      <c r="DP253" s="60"/>
      <c r="DQ253" s="60"/>
      <c r="DR253" s="60"/>
      <c r="DS253" s="60"/>
      <c r="DT253" s="60"/>
    </row>
    <row r="254" spans="1:124" ht="12.75" hidden="1" customHeight="1" outlineLevel="1">
      <c r="A254" s="1590" t="s">
        <v>757</v>
      </c>
      <c r="B254" s="62"/>
      <c r="C254" s="834"/>
      <c r="D254" s="835"/>
      <c r="E254" s="835"/>
      <c r="F254" s="835"/>
      <c r="G254" s="836"/>
      <c r="H254" s="824"/>
      <c r="I254" s="823"/>
      <c r="J254" s="824"/>
      <c r="K254" s="824"/>
      <c r="L254" s="824"/>
      <c r="M254" s="825"/>
      <c r="N254" s="824"/>
      <c r="O254" s="823"/>
      <c r="P254" s="824"/>
      <c r="Q254" s="824"/>
      <c r="R254" s="837"/>
      <c r="S254" s="825"/>
      <c r="T254" s="824"/>
      <c r="U254" s="823"/>
      <c r="V254" s="824"/>
      <c r="W254" s="824"/>
      <c r="X254" s="824"/>
      <c r="Y254" s="825"/>
      <c r="Z254" s="824"/>
      <c r="AA254" s="823"/>
      <c r="AB254" s="824"/>
      <c r="AC254" s="824"/>
      <c r="AD254" s="824"/>
      <c r="AE254" s="825"/>
      <c r="AF254" s="824"/>
      <c r="AG254" s="823"/>
      <c r="AH254" s="824"/>
      <c r="AI254" s="824"/>
      <c r="AJ254" s="824"/>
      <c r="AK254" s="825"/>
      <c r="AL254" s="824"/>
      <c r="AM254" s="823"/>
      <c r="AN254" s="824"/>
      <c r="AO254" s="824"/>
      <c r="AP254" s="837"/>
      <c r="AQ254" s="825"/>
      <c r="AR254" s="824"/>
      <c r="AS254" s="823"/>
      <c r="AT254" s="824"/>
      <c r="AU254" s="824"/>
      <c r="AV254" s="1728"/>
      <c r="AW254" s="1720"/>
      <c r="AX254" s="1719"/>
      <c r="AY254" s="1721"/>
      <c r="AZ254" s="1719"/>
      <c r="BA254" s="1719"/>
      <c r="BB254" s="1728"/>
      <c r="BC254" s="1720"/>
      <c r="BD254" s="1719"/>
      <c r="BE254" s="1721"/>
      <c r="BF254" s="1719"/>
      <c r="BG254" s="1719"/>
      <c r="BH254" s="1728"/>
      <c r="BI254" s="1720"/>
      <c r="BJ254" s="1719"/>
      <c r="BK254" s="1721"/>
      <c r="BL254" s="1719"/>
      <c r="BM254" s="1719"/>
      <c r="BN254" s="1728"/>
      <c r="BO254" s="1720"/>
      <c r="BP254" s="1719"/>
      <c r="BQ254" s="1753" t="s">
        <v>10</v>
      </c>
      <c r="BR254" s="1754" t="s">
        <v>10</v>
      </c>
      <c r="BS254" s="1754" t="s">
        <v>10</v>
      </c>
      <c r="BT254" s="1755" t="s">
        <v>10</v>
      </c>
      <c r="BU254" s="2425"/>
      <c r="BV254" s="1737"/>
      <c r="BW254" s="1753"/>
      <c r="BX254" s="1754"/>
      <c r="BY254" s="1754"/>
      <c r="BZ254" s="1755"/>
      <c r="CA254" s="2425"/>
      <c r="CB254" s="1737"/>
      <c r="CC254" s="1753"/>
      <c r="CD254" s="1754"/>
      <c r="CE254" s="1754"/>
      <c r="CF254" s="1755"/>
      <c r="CG254" s="2425"/>
      <c r="CH254" s="1737"/>
      <c r="CI254" s="1753"/>
      <c r="CJ254" s="1754"/>
      <c r="CK254" s="1754"/>
      <c r="CL254" s="1755"/>
      <c r="CM254" s="2425"/>
      <c r="CN254" s="1737"/>
      <c r="CO254" s="1753"/>
      <c r="CP254" s="1754"/>
      <c r="CQ254" s="1754"/>
      <c r="CR254" s="1755"/>
      <c r="CS254" s="2425"/>
      <c r="CT254" s="83"/>
      <c r="CU254" s="60"/>
      <c r="CV254" s="60"/>
      <c r="CW254" s="60"/>
      <c r="CX254" s="60"/>
      <c r="CY254" s="60"/>
      <c r="CZ254" s="60"/>
      <c r="DA254" s="60"/>
      <c r="DB254" s="60"/>
      <c r="DC254" s="60"/>
      <c r="DD254" s="60"/>
      <c r="DE254" s="60"/>
      <c r="DF254" s="60"/>
      <c r="DG254" s="60"/>
      <c r="DH254" s="60"/>
      <c r="DI254" s="60"/>
      <c r="DJ254" s="60"/>
      <c r="DK254" s="60"/>
      <c r="DL254" s="60"/>
      <c r="DM254" s="60"/>
      <c r="DN254" s="60"/>
      <c r="DO254" s="60"/>
      <c r="DP254" s="60"/>
      <c r="DQ254" s="60"/>
      <c r="DR254" s="60"/>
      <c r="DS254" s="60"/>
      <c r="DT254" s="60"/>
    </row>
    <row r="255" spans="1:124" ht="12.75" hidden="1" customHeight="1" outlineLevel="1">
      <c r="A255" s="1590" t="s">
        <v>758</v>
      </c>
      <c r="B255" s="62"/>
      <c r="C255" s="834"/>
      <c r="D255" s="835"/>
      <c r="E255" s="835"/>
      <c r="F255" s="835"/>
      <c r="G255" s="836"/>
      <c r="H255" s="824"/>
      <c r="I255" s="823"/>
      <c r="J255" s="824"/>
      <c r="K255" s="824"/>
      <c r="L255" s="824"/>
      <c r="M255" s="825"/>
      <c r="N255" s="824"/>
      <c r="O255" s="823"/>
      <c r="P255" s="824"/>
      <c r="Q255" s="824"/>
      <c r="R255" s="837"/>
      <c r="S255" s="825"/>
      <c r="T255" s="824"/>
      <c r="U255" s="823"/>
      <c r="V255" s="824"/>
      <c r="W255" s="824"/>
      <c r="X255" s="824"/>
      <c r="Y255" s="825"/>
      <c r="Z255" s="824"/>
      <c r="AA255" s="823"/>
      <c r="AB255" s="824"/>
      <c r="AC255" s="824"/>
      <c r="AD255" s="824"/>
      <c r="AE255" s="825"/>
      <c r="AF255" s="824"/>
      <c r="AG255" s="823"/>
      <c r="AH255" s="824"/>
      <c r="AI255" s="824"/>
      <c r="AJ255" s="824"/>
      <c r="AK255" s="825"/>
      <c r="AL255" s="824"/>
      <c r="AM255" s="823"/>
      <c r="AN255" s="824"/>
      <c r="AO255" s="824"/>
      <c r="AP255" s="837"/>
      <c r="AQ255" s="825"/>
      <c r="AR255" s="824"/>
      <c r="AS255" s="823"/>
      <c r="AT255" s="824"/>
      <c r="AU255" s="824"/>
      <c r="AV255" s="1728"/>
      <c r="AW255" s="1720"/>
      <c r="AX255" s="1719"/>
      <c r="AY255" s="1721"/>
      <c r="AZ255" s="1719"/>
      <c r="BA255" s="1719"/>
      <c r="BB255" s="1728"/>
      <c r="BC255" s="1720"/>
      <c r="BD255" s="1719"/>
      <c r="BE255" s="1721"/>
      <c r="BF255" s="1719"/>
      <c r="BG255" s="1719"/>
      <c r="BH255" s="1728"/>
      <c r="BI255" s="1720"/>
      <c r="BJ255" s="1719"/>
      <c r="BK255" s="1721"/>
      <c r="BL255" s="1719"/>
      <c r="BM255" s="1719"/>
      <c r="BN255" s="1728"/>
      <c r="BO255" s="1720"/>
      <c r="BP255" s="1719"/>
      <c r="BQ255" s="1753">
        <f>+BQ126/BK126-1</f>
        <v>1.8083700440528636</v>
      </c>
      <c r="BR255" s="1754">
        <f>+BR126/BL126-1</f>
        <v>-8.2639333760409994E-2</v>
      </c>
      <c r="BS255" s="1754">
        <f>+BS126/BM126-1</f>
        <v>-7.4051256776737295E-2</v>
      </c>
      <c r="BT255" s="1755">
        <f>+BT126/BN126-1</f>
        <v>-7.564575645756455E-2</v>
      </c>
      <c r="BU255" s="2425">
        <f>+BU126/BO126-1</f>
        <v>8.525511948634179E-2</v>
      </c>
      <c r="BV255" s="1737"/>
      <c r="BW255" s="1753">
        <f>+BW126/BQ126-1</f>
        <v>-7.8431372549019662E-2</v>
      </c>
      <c r="BX255" s="1754">
        <f>+BX126/BR126-1</f>
        <v>-0.17946927374301669</v>
      </c>
      <c r="BY255" s="1754">
        <f>+BY126/BS126-1</f>
        <v>-0.21823020625415834</v>
      </c>
      <c r="BZ255" s="1755">
        <f>+BZ126/BT126-1</f>
        <v>-0.21823020625415834</v>
      </c>
      <c r="CA255" s="2425">
        <f>+CA126/BU126-1</f>
        <v>-0.17731489585156668</v>
      </c>
      <c r="CB255" s="1737"/>
      <c r="CC255" s="1753">
        <f>+CC126/BW126-1</f>
        <v>-0.1063829787234043</v>
      </c>
      <c r="CD255" s="1754">
        <f>+CD126/BX126-1</f>
        <v>-0.1063829787234043</v>
      </c>
      <c r="CE255" s="1754">
        <f>+CE126/BY126-1</f>
        <v>-0.1063829787234043</v>
      </c>
      <c r="CF255" s="1755">
        <f>+CF126/BZ126-1</f>
        <v>-0.1063829787234043</v>
      </c>
      <c r="CG255" s="2425">
        <f>+CG126/CA126-1</f>
        <v>-0.1063829787234043</v>
      </c>
      <c r="CH255" s="1737"/>
      <c r="CI255" s="1753">
        <f>+CI126/CC126-1</f>
        <v>0</v>
      </c>
      <c r="CJ255" s="1754">
        <f>+CJ126/CD126-1</f>
        <v>0</v>
      </c>
      <c r="CK255" s="1754">
        <f>+CK126/CE126-1</f>
        <v>0</v>
      </c>
      <c r="CL255" s="1755">
        <f>+CL126/CF126-1</f>
        <v>0</v>
      </c>
      <c r="CM255" s="2425">
        <f>+CM126/CG126-1</f>
        <v>0</v>
      </c>
      <c r="CN255" s="1737"/>
      <c r="CO255" s="1753">
        <f>+CO126/CI126-1</f>
        <v>0</v>
      </c>
      <c r="CP255" s="1754">
        <f>+CP126/CJ126-1</f>
        <v>0</v>
      </c>
      <c r="CQ255" s="1754">
        <f>+CQ126/CK126-1</f>
        <v>0</v>
      </c>
      <c r="CR255" s="1755">
        <f>+CR126/CL126-1</f>
        <v>0</v>
      </c>
      <c r="CS255" s="2425">
        <f>+CS126/CM126-1</f>
        <v>0</v>
      </c>
      <c r="CT255" s="83"/>
      <c r="CU255" s="60"/>
      <c r="CV255" s="60"/>
      <c r="CW255" s="60"/>
      <c r="CX255" s="60"/>
      <c r="CY255" s="60"/>
      <c r="CZ255" s="60"/>
      <c r="DA255" s="60"/>
      <c r="DB255" s="60"/>
      <c r="DC255" s="60"/>
      <c r="DD255" s="60"/>
      <c r="DE255" s="60"/>
      <c r="DF255" s="60"/>
      <c r="DG255" s="60"/>
      <c r="DH255" s="60"/>
      <c r="DI255" s="60"/>
      <c r="DJ255" s="60"/>
      <c r="DK255" s="60"/>
      <c r="DL255" s="60"/>
      <c r="DM255" s="60"/>
      <c r="DN255" s="60"/>
      <c r="DO255" s="60"/>
      <c r="DP255" s="60"/>
      <c r="DQ255" s="60"/>
      <c r="DR255" s="60"/>
      <c r="DS255" s="60"/>
      <c r="DT255" s="60"/>
    </row>
    <row r="256" spans="1:124" ht="12.75" customHeight="1" collapsed="1">
      <c r="A256" s="1663" t="s">
        <v>392</v>
      </c>
      <c r="B256" s="1383"/>
      <c r="C256" s="2426"/>
      <c r="D256" s="2427"/>
      <c r="E256" s="2427"/>
      <c r="F256" s="2427"/>
      <c r="G256" s="2428"/>
      <c r="H256" s="820"/>
      <c r="I256" s="819">
        <f>I43/C43-1</f>
        <v>2.064516129032258</v>
      </c>
      <c r="J256" s="820">
        <f>J43/D43-1</f>
        <v>1.096774193548387</v>
      </c>
      <c r="K256" s="820">
        <f>K43/E43-1</f>
        <v>0.88172043010752676</v>
      </c>
      <c r="L256" s="822">
        <f>L43/F43-1</f>
        <v>0.61290322580645151</v>
      </c>
      <c r="M256" s="821">
        <f>M43/G43-1</f>
        <v>0.99413489736070382</v>
      </c>
      <c r="N256" s="820"/>
      <c r="O256" s="819">
        <f>O43/I43-1</f>
        <v>0.45614035087719307</v>
      </c>
      <c r="P256" s="820">
        <f>P43/J43-1</f>
        <v>0.36923076923076925</v>
      </c>
      <c r="Q256" s="820">
        <f>Q43/K43-1</f>
        <v>0.4285714285714286</v>
      </c>
      <c r="R256" s="822">
        <f>R43/L43-1</f>
        <v>0.27499999999999991</v>
      </c>
      <c r="S256" s="821">
        <f>S43/M43-1</f>
        <v>0.375</v>
      </c>
      <c r="T256" s="820"/>
      <c r="U256" s="819">
        <f>U43/O43-1</f>
        <v>0.13392068273092383</v>
      </c>
      <c r="V256" s="820">
        <f>V43/P43-1</f>
        <v>0.40696142322097351</v>
      </c>
      <c r="W256" s="820">
        <f>W43/Q43-1</f>
        <v>0.65615613333333322</v>
      </c>
      <c r="X256" s="822">
        <f>X43/R43-1</f>
        <v>0.92604542483660102</v>
      </c>
      <c r="Y256" s="821">
        <f>Y43/S43-1</f>
        <v>0.55456478609625681</v>
      </c>
      <c r="Z256" s="820"/>
      <c r="AA256" s="819">
        <f>AA43/U43-1</f>
        <v>1.28629578044688</v>
      </c>
      <c r="AB256" s="820">
        <f>AB43/V43-1</f>
        <v>0.60006028876743733</v>
      </c>
      <c r="AC256" s="820">
        <f>AC43/W43-1</f>
        <v>-0.18789104505525289</v>
      </c>
      <c r="AD256" s="822">
        <f>AD43/X43-1</f>
        <v>-0.25939203885369777</v>
      </c>
      <c r="AE256" s="821">
        <f>AE43/Y43-1</f>
        <v>0.19628681833442863</v>
      </c>
      <c r="AF256" s="820"/>
      <c r="AG256" s="819">
        <f>AG43/AA43-1</f>
        <v>-0.33637913912947781</v>
      </c>
      <c r="AH256" s="820">
        <f>AH43/AB43-1</f>
        <v>-0.33048795540470965</v>
      </c>
      <c r="AI256" s="820">
        <f>AI43/AC43-1</f>
        <v>9.7377622942617759E-2</v>
      </c>
      <c r="AJ256" s="822">
        <f>AJ43/AD43-1</f>
        <v>-4.1351361184043367E-2</v>
      </c>
      <c r="AK256" s="821">
        <f>AK43/AE43-1</f>
        <v>-0.18908783346383073</v>
      </c>
      <c r="AL256" s="820"/>
      <c r="AM256" s="819">
        <f>AM43/AG43-1</f>
        <v>0.11054254183985468</v>
      </c>
      <c r="AN256" s="820">
        <f>AN43/AH43-1</f>
        <v>0.34379316874674126</v>
      </c>
      <c r="AO256" s="820">
        <f>AO43/AI43-1</f>
        <v>0.25681755204408074</v>
      </c>
      <c r="AP256" s="822">
        <f>AP43/AJ43-1</f>
        <v>0.22052611768642039</v>
      </c>
      <c r="AQ256" s="821">
        <f>AQ43/AK43-1</f>
        <v>0.23149516782558033</v>
      </c>
      <c r="AR256" s="820"/>
      <c r="AS256" s="819">
        <f>AS43/AM43-1</f>
        <v>0.34821541177954374</v>
      </c>
      <c r="AT256" s="820">
        <f>AT43/AN43-1</f>
        <v>0.50493731277044263</v>
      </c>
      <c r="AU256" s="820">
        <f>AU43/AO43-1</f>
        <v>0.5846361185983826</v>
      </c>
      <c r="AV256" s="1718">
        <f>AV43/AP43-1</f>
        <v>0.81690554511278179</v>
      </c>
      <c r="AW256" s="1716">
        <f>AW43/AQ43-1</f>
        <v>0.56690374038987601</v>
      </c>
      <c r="AX256" s="1715"/>
      <c r="AY256" s="1717">
        <f>AY43/AS43-1</f>
        <v>0.34629045837231054</v>
      </c>
      <c r="AZ256" s="1715">
        <f>AZ43/AT43-1</f>
        <v>0.11253612688274806</v>
      </c>
      <c r="BA256" s="1715">
        <f>BA43/AU43-1</f>
        <v>-3.123660275710527E-2</v>
      </c>
      <c r="BB256" s="1718">
        <f>BB43/AV43-1</f>
        <v>-7.6102872199411697E-2</v>
      </c>
      <c r="BC256" s="1716">
        <f>BC43/AW43-1</f>
        <v>6.6012754948178598E-2</v>
      </c>
      <c r="BD256" s="1715"/>
      <c r="BE256" s="1717">
        <f>BE43/AY43-1</f>
        <v>-0.20907639300960956</v>
      </c>
      <c r="BF256" s="1715">
        <f>BF43/AZ43-1</f>
        <v>-0.20632228889450299</v>
      </c>
      <c r="BG256" s="1715">
        <f>BG43/BA43-1</f>
        <v>-0.26323983214567281</v>
      </c>
      <c r="BH256" s="1718">
        <f>BH43/BB43-1</f>
        <v>-0.22128124928178827</v>
      </c>
      <c r="BI256" s="1716">
        <f>BI43/BC43-1</f>
        <v>-0.22466063287801741</v>
      </c>
      <c r="BJ256" s="1715"/>
      <c r="BK256" s="1717">
        <f>BK43/BE43-1</f>
        <v>-0.16555453578856416</v>
      </c>
      <c r="BL256" s="1715">
        <f>BL43/BF43-1</f>
        <v>8.9368642893104644E-2</v>
      </c>
      <c r="BM256" s="1715">
        <f>BM43/BG43-1</f>
        <v>0.21800873721628067</v>
      </c>
      <c r="BN256" s="1718">
        <f>BN43/BH43-1</f>
        <v>0.177886938635337</v>
      </c>
      <c r="BO256" s="1716">
        <f>BO43/BI43-1</f>
        <v>7.6754142420225824E-2</v>
      </c>
      <c r="BP256" s="1715"/>
      <c r="BQ256" s="1717">
        <f>BQ43/BK43-1</f>
        <v>0.18097925553923022</v>
      </c>
      <c r="BR256" s="1715">
        <f>BR43/BL43-1</f>
        <v>-7.0812247828003883E-2</v>
      </c>
      <c r="BS256" s="1715">
        <f>BS43/BM43-1</f>
        <v>-2.3806747299499276E-2</v>
      </c>
      <c r="BT256" s="1718">
        <f>BT43/BN43-1</f>
        <v>-4.8296397465292684E-2</v>
      </c>
      <c r="BU256" s="1716">
        <f>BU43/BO43-1</f>
        <v>-2.9334046970758143E-3</v>
      </c>
      <c r="BV256" s="1715"/>
      <c r="BW256" s="1717">
        <f>BW43/BQ43-1</f>
        <v>-3.206632567779899E-2</v>
      </c>
      <c r="BX256" s="1715">
        <f>BX43/BR43-1</f>
        <v>-0.1044034676740847</v>
      </c>
      <c r="BY256" s="1715">
        <f>BY43/BS43-1</f>
        <v>-0.12951096662210393</v>
      </c>
      <c r="BZ256" s="1718">
        <f>BZ43/BT43-1</f>
        <v>-0.12951096662210393</v>
      </c>
      <c r="CA256" s="1716">
        <f>CA43/BU43-1</f>
        <v>-0.1005701854073332</v>
      </c>
      <c r="CB256" s="1715"/>
      <c r="CC256" s="1717">
        <f>CC43/BW43-1</f>
        <v>-5.6699523608875757E-2</v>
      </c>
      <c r="CD256" s="1715">
        <f>CD43/BX43-1</f>
        <v>-5.6699523608875757E-2</v>
      </c>
      <c r="CE256" s="1715">
        <f>CE43/BY43-1</f>
        <v>-5.6699523608875757E-2</v>
      </c>
      <c r="CF256" s="1718">
        <f>CF43/BZ43-1</f>
        <v>-5.6699523608875757E-2</v>
      </c>
      <c r="CG256" s="1716">
        <f>CG43/CA43-1</f>
        <v>-5.6699523608875757E-2</v>
      </c>
      <c r="CH256" s="1715"/>
      <c r="CI256" s="1717">
        <f>CI43/CC43-1</f>
        <v>0</v>
      </c>
      <c r="CJ256" s="1715">
        <f>CJ43/CD43-1</f>
        <v>0</v>
      </c>
      <c r="CK256" s="1715">
        <f>CK43/CE43-1</f>
        <v>0</v>
      </c>
      <c r="CL256" s="1718">
        <f>CL43/CF43-1</f>
        <v>0</v>
      </c>
      <c r="CM256" s="1716">
        <f>CM43/CG43-1</f>
        <v>0</v>
      </c>
      <c r="CN256" s="1715"/>
      <c r="CO256" s="1717">
        <f>CO43/CI43-1</f>
        <v>0</v>
      </c>
      <c r="CP256" s="1715">
        <f>CP43/CJ43-1</f>
        <v>0</v>
      </c>
      <c r="CQ256" s="1715">
        <f>CQ43/CK43-1</f>
        <v>0</v>
      </c>
      <c r="CR256" s="1718">
        <f>CR43/CL43-1</f>
        <v>0</v>
      </c>
      <c r="CS256" s="1716">
        <f>CS43/CM43-1</f>
        <v>0</v>
      </c>
      <c r="CT256" s="83"/>
      <c r="CU256" s="60"/>
      <c r="CV256" s="60"/>
      <c r="CW256" s="60"/>
      <c r="CX256" s="60"/>
      <c r="CY256" s="60"/>
      <c r="CZ256" s="60"/>
      <c r="DA256" s="60"/>
      <c r="DB256" s="60"/>
      <c r="DC256" s="60"/>
      <c r="DD256" s="60"/>
      <c r="DE256" s="60"/>
      <c r="DF256" s="60"/>
      <c r="DG256" s="60"/>
      <c r="DH256" s="60"/>
      <c r="DI256" s="60"/>
      <c r="DJ256" s="60"/>
      <c r="DK256" s="60"/>
      <c r="DL256" s="60"/>
      <c r="DM256" s="60"/>
      <c r="DN256" s="60"/>
      <c r="DO256" s="60"/>
      <c r="DP256" s="60"/>
      <c r="DQ256" s="60"/>
      <c r="DR256" s="60"/>
      <c r="DS256" s="60"/>
      <c r="DT256" s="60"/>
    </row>
    <row r="257" spans="1:124" ht="12.75" customHeight="1">
      <c r="A257" s="1760" t="s">
        <v>530</v>
      </c>
      <c r="B257" s="1376"/>
      <c r="C257" s="1377"/>
      <c r="D257" s="1378"/>
      <c r="E257" s="1378"/>
      <c r="F257" s="1378"/>
      <c r="G257" s="1373"/>
      <c r="H257" s="1374"/>
      <c r="I257" s="1379"/>
      <c r="J257" s="1374"/>
      <c r="K257" s="1374"/>
      <c r="L257" s="1374"/>
      <c r="M257" s="1381"/>
      <c r="N257" s="1374"/>
      <c r="O257" s="1379"/>
      <c r="P257" s="1374"/>
      <c r="Q257" s="1374"/>
      <c r="R257" s="1380"/>
      <c r="S257" s="1381"/>
      <c r="T257" s="1374"/>
      <c r="U257" s="1379"/>
      <c r="V257" s="1374"/>
      <c r="W257" s="1374"/>
      <c r="X257" s="1374"/>
      <c r="Y257" s="1381"/>
      <c r="Z257" s="1374"/>
      <c r="AA257" s="1379"/>
      <c r="AB257" s="1374"/>
      <c r="AC257" s="1374"/>
      <c r="AD257" s="1374"/>
      <c r="AE257" s="1381"/>
      <c r="AF257" s="1374"/>
      <c r="AG257" s="1379"/>
      <c r="AH257" s="1374"/>
      <c r="AI257" s="1374"/>
      <c r="AJ257" s="1380"/>
      <c r="AK257" s="1381"/>
      <c r="AL257" s="1374"/>
      <c r="AM257" s="1379">
        <f>+((AM43-AM105-AM99)/(AG43-AG105-AG99))-1</f>
        <v>0.11054254183985468</v>
      </c>
      <c r="AN257" s="1374">
        <f>+((AN43-AN105-AN99)/(AH43-AH105-AH99))-1</f>
        <v>0.34379316874674126</v>
      </c>
      <c r="AO257" s="1374">
        <f>+((AO43-AO105-AO99)/(AI43-AI105-AI99))-1</f>
        <v>0.25681755204408074</v>
      </c>
      <c r="AP257" s="1731">
        <f>+((AP43-AP105-AP99)/(AJ43-AJ105-AJ99))-1</f>
        <v>0.22052611768642039</v>
      </c>
      <c r="AQ257" s="1730">
        <f>+((AQ43-AQ105-AQ99)/(AK43-AK105-AK99))-1</f>
        <v>0.23149516782558033</v>
      </c>
      <c r="AR257" s="1374"/>
      <c r="AS257" s="1379">
        <f>+((AS43-AS105-AS99)/(AM43-AM105-AM99))-1</f>
        <v>0.1968722411401187</v>
      </c>
      <c r="AT257" s="1374">
        <f>+((AT43-AT105-AT99)/(AN43-AN105-AN99))-1</f>
        <v>0.12770442693886608</v>
      </c>
      <c r="AU257" s="1374">
        <f>+((AU43-AU105-AU99)/(AO43-AO105-AO99))-1</f>
        <v>9.9460916442048353E-2</v>
      </c>
      <c r="AV257" s="1731">
        <f>+((AV43-AV105-AV99)/(AP43-AP105-AP99))-1</f>
        <v>0.31173637218045114</v>
      </c>
      <c r="AW257" s="1730">
        <f>+((AW43-AW105-AW99)/(AQ43-AQ105-AQ99))-1</f>
        <v>0.18105905727202054</v>
      </c>
      <c r="AX257" s="1374"/>
      <c r="AY257" s="1379">
        <f>+((AY43-AY105-AY99)/(AS43-AS105-AS99))-1</f>
        <v>4.7033192834562643E-2</v>
      </c>
      <c r="AZ257" s="1374">
        <f>+((AZ43-AZ105-AZ99)/(AT43-AT105-AT99))-1</f>
        <v>0.11019087219968471</v>
      </c>
      <c r="BA257" s="1374">
        <f>+((BA43-BA105-BA99)/(AU43-AU105-AU99))-1</f>
        <v>-1.6435397795788509E-2</v>
      </c>
      <c r="BB257" s="1731">
        <f>+((BB43-BB105-BB99)/(AV43-AV105-AV99))-1</f>
        <v>-7.0482262325916034E-3</v>
      </c>
      <c r="BC257" s="1730">
        <f>+((BC43-BC105-BC99)/(AW43-AW105-AW99))-1</f>
        <v>3.2182463027891739E-2</v>
      </c>
      <c r="BD257" s="1374"/>
      <c r="BE257" s="1379">
        <f>+((BE43-BE105-BE99)/(AY43-AY105-AY99))-1</f>
        <v>-5.1380365854183152E-2</v>
      </c>
      <c r="BF257" s="1374">
        <f>+((BF43-BF105-BF99)/(AZ43-AZ105-AZ99))-1</f>
        <v>-0.2250829991506047</v>
      </c>
      <c r="BG257" s="1374">
        <f>+((BG43-BG105-BG99)/(BA43-BA105-BA99))-1</f>
        <v>-0.19640021584397338</v>
      </c>
      <c r="BH257" s="1731">
        <f>+((BH43-BH105-BH99)/(BB43-BB105-BB99))-1</f>
        <v>-0.28803777079459825</v>
      </c>
      <c r="BI257" s="1730">
        <f>+((BI43-BI105-BI99)/(BC43-BC105-BC99))-1</f>
        <v>-0.19400647707331586</v>
      </c>
      <c r="BJ257" s="1374"/>
      <c r="BK257" s="1379">
        <f>+((BK43-BK105-BK99)/(BE43-BE105-BE99))-1</f>
        <v>-7.2910107019076742E-2</v>
      </c>
      <c r="BL257" s="1374">
        <f>+((BL43-BL105-BL99)/(BF43-BF105-BF99))-1</f>
        <v>0.43729555577479173</v>
      </c>
      <c r="BM257" s="1374">
        <f>+((BM43-BM105-BM99)/(BG43-BG105-BG99))-1</f>
        <v>0.5852629746642859</v>
      </c>
      <c r="BN257" s="1731">
        <f>+((BN43-BN105-BN99)/(BH43-BH105-BH99))-1</f>
        <v>0.66038397975013208</v>
      </c>
      <c r="BO257" s="1730">
        <f>+((BO43-BO105-BO99)/(BI43-BI105-BI99))-1</f>
        <v>0.38291761402574953</v>
      </c>
      <c r="BP257" s="1374"/>
      <c r="BQ257" s="1379">
        <f>+((BQ43-BQ105-BQ99)/(BK43-BK105-BK99))-1</f>
        <v>0.28366180984886014</v>
      </c>
      <c r="BR257" s="1374">
        <f>+((BR43-BR105-BR99)/(BL43-BL105-BL99))-1</f>
        <v>-3.5369800504060911E-2</v>
      </c>
      <c r="BS257" s="1374">
        <f>+((BS43-BS105-BS99)/(BM43-BM105-BM99))-1</f>
        <v>-2.3806747299499276E-2</v>
      </c>
      <c r="BT257" s="1731">
        <f>+((BT43-BT105-BT99)/(BN43-BN105-BN99))-1</f>
        <v>-4.8296397465292684E-2</v>
      </c>
      <c r="BU257" s="1730">
        <f>+((BU43-BU105-BU99)/(BO43-BO105-BO99))-1</f>
        <v>2.3248981082992337E-2</v>
      </c>
      <c r="BV257" s="1374"/>
      <c r="BW257" s="1379">
        <f>+((BW43-BW105-BW99)/(BQ43-BQ105-BQ99))-1</f>
        <v>-3.206632567779899E-2</v>
      </c>
      <c r="BX257" s="1374">
        <f>+((BX43-BX105-BX99)/(BR43-BR105-BR99))-1</f>
        <v>-0.1044034676740847</v>
      </c>
      <c r="BY257" s="1374">
        <f>+((BY43-BY105-BY99)/(BS43-BS105-BS99))-1</f>
        <v>-0.12951096662210393</v>
      </c>
      <c r="BZ257" s="1731">
        <f>+((BZ43-BZ105-BZ99)/(BT43-BT105-BT99))-1</f>
        <v>-0.12951096662210393</v>
      </c>
      <c r="CA257" s="1730">
        <f>+((CA43-CA105-CA99)/(BU43-BU105-BU99))-1</f>
        <v>-0.1005701854073332</v>
      </c>
      <c r="CB257" s="1374"/>
      <c r="CC257" s="1379">
        <f>+((CC43-CC105-CC99)/(BW43-BW105-BW99))-1</f>
        <v>-5.6699523608875757E-2</v>
      </c>
      <c r="CD257" s="1374">
        <f>+((CD43-CD105-CD99)/(BX43-BX105-BX99))-1</f>
        <v>-5.6699523608875757E-2</v>
      </c>
      <c r="CE257" s="1374">
        <f>+((CE43-CE105-CE99)/(BY43-BY105-BY99))-1</f>
        <v>-5.6699523608875757E-2</v>
      </c>
      <c r="CF257" s="1731">
        <f>+((CF43-CF105-CF99)/(BZ43-BZ105-BZ99))-1</f>
        <v>-5.6699523608875757E-2</v>
      </c>
      <c r="CG257" s="1730">
        <f>+((CG43-CG105-CG99)/(CA43-CA105-CA99))-1</f>
        <v>-5.6699523608875757E-2</v>
      </c>
      <c r="CH257" s="1374"/>
      <c r="CI257" s="1379">
        <f>+((CI43-CI105-CI99)/(CC43-CC105-CC99))-1</f>
        <v>0</v>
      </c>
      <c r="CJ257" s="1374">
        <f>+((CJ43-CJ105-CJ99)/(CD43-CD105-CD99))-1</f>
        <v>0</v>
      </c>
      <c r="CK257" s="1374">
        <f>+((CK43-CK105-CK99)/(CE43-CE105-CE99))-1</f>
        <v>0</v>
      </c>
      <c r="CL257" s="1731">
        <f>+((CL43-CL105-CL99)/(CF43-CF105-CF99))-1</f>
        <v>0</v>
      </c>
      <c r="CM257" s="1730">
        <f>+((CM43-CM105-CM99)/(CG43-CG105-CG99))-1</f>
        <v>0</v>
      </c>
      <c r="CN257" s="1374"/>
      <c r="CO257" s="1379">
        <f>+((CO43-CO105-CO99)/(CI43-CI105-CI99))-1</f>
        <v>0</v>
      </c>
      <c r="CP257" s="1374">
        <f>+((CP43-CP105-CP99)/(CJ43-CJ105-CJ99))-1</f>
        <v>0</v>
      </c>
      <c r="CQ257" s="1374">
        <f>+((CQ43-CQ105-CQ99)/(CK43-CK105-CK99))-1</f>
        <v>0</v>
      </c>
      <c r="CR257" s="1731">
        <f>+((CR43-CR105-CR99)/(CL43-CL105-CL99))-1</f>
        <v>0</v>
      </c>
      <c r="CS257" s="1730">
        <f>+((CS43-CS105-CS99)/(CM43-CM105-CM99))-1</f>
        <v>0</v>
      </c>
      <c r="CT257" s="83"/>
      <c r="CU257" s="60"/>
      <c r="CV257" s="60"/>
      <c r="CW257" s="60"/>
      <c r="CX257" s="60"/>
      <c r="CY257" s="60"/>
      <c r="CZ257" s="60"/>
      <c r="DA257" s="60"/>
      <c r="DB257" s="60"/>
      <c r="DC257" s="60"/>
      <c r="DD257" s="60"/>
      <c r="DE257" s="60"/>
      <c r="DF257" s="60"/>
      <c r="DG257" s="60"/>
      <c r="DH257" s="60"/>
      <c r="DI257" s="60"/>
      <c r="DJ257" s="60"/>
      <c r="DK257" s="60"/>
      <c r="DL257" s="60"/>
      <c r="DM257" s="60"/>
      <c r="DN257" s="60"/>
      <c r="DO257" s="60"/>
      <c r="DP257" s="60"/>
      <c r="DQ257" s="60"/>
      <c r="DR257" s="60"/>
      <c r="DS257" s="60"/>
      <c r="DT257" s="60"/>
    </row>
    <row r="258" spans="1:124" ht="12.75" customHeight="1">
      <c r="A258" s="208" t="s">
        <v>390</v>
      </c>
      <c r="B258" s="62"/>
      <c r="C258" s="834"/>
      <c r="D258" s="835"/>
      <c r="E258" s="835"/>
      <c r="F258" s="835"/>
      <c r="G258" s="836"/>
      <c r="H258" s="824"/>
      <c r="I258" s="823"/>
      <c r="J258" s="824"/>
      <c r="K258" s="824"/>
      <c r="L258" s="824"/>
      <c r="M258" s="825"/>
      <c r="N258" s="824"/>
      <c r="O258" s="823"/>
      <c r="P258" s="824"/>
      <c r="Q258" s="824"/>
      <c r="R258" s="837"/>
      <c r="S258" s="825"/>
      <c r="T258" s="824"/>
      <c r="U258" s="823"/>
      <c r="V258" s="824"/>
      <c r="W258" s="824"/>
      <c r="X258" s="824"/>
      <c r="Y258" s="1761"/>
      <c r="Z258" s="824"/>
      <c r="AA258" s="823"/>
      <c r="AB258" s="824"/>
      <c r="AC258" s="824"/>
      <c r="AD258" s="824"/>
      <c r="AE258" s="1761">
        <f>(AE52+AE68+AE77+AE55+AE140+(AE109*10))/(Y52+Y55+Y68+Y77+Y140+(Y109*10))-1</f>
        <v>1.1111111111111112</v>
      </c>
      <c r="AF258" s="824"/>
      <c r="AG258" s="823"/>
      <c r="AH258" s="824"/>
      <c r="AI258" s="824"/>
      <c r="AJ258" s="837"/>
      <c r="AK258" s="1761">
        <f>(AK52+AK68+AK77+AK55+AK140+(AK109*10))/(AE52+AE55+AE68+AE77+AE140+(AE109*10))-1</f>
        <v>1.2884990253411308</v>
      </c>
      <c r="AL258" s="824"/>
      <c r="AM258" s="823"/>
      <c r="AN258" s="824"/>
      <c r="AO258" s="824"/>
      <c r="AP258" s="824"/>
      <c r="AQ258" s="1761">
        <f>(AQ52+AQ68+AQ77+AQ55+AQ140+(AQ109*10))/(AK52+AK55+AK68+AK77+AK140+(AK109*10))-1</f>
        <v>0.15247018739352636</v>
      </c>
      <c r="AR258" s="824"/>
      <c r="AS258" s="823"/>
      <c r="AT258" s="824"/>
      <c r="AU258" s="824"/>
      <c r="AV258" s="1719"/>
      <c r="AW258" s="1762">
        <f>(AW52+AW68+AW77+AW55+AW140+(AW109*10))/(AQ52+AQ55+AQ68+AQ77+AQ140+(AQ109*10))-1</f>
        <v>1.4360679970436068</v>
      </c>
      <c r="AX258" s="1719"/>
      <c r="AY258" s="1721"/>
      <c r="AZ258" s="1719"/>
      <c r="BA258" s="1719"/>
      <c r="BB258" s="1719"/>
      <c r="BC258" s="1762">
        <f>(BC52+BC68+BC77+BC55+BC140+(BC109*10))/(AW52+AW55+AW68+AW77+AW140+(AW109*10))-1</f>
        <v>-3.7347087378640786E-2</v>
      </c>
      <c r="BD258" s="1719"/>
      <c r="BE258" s="1721"/>
      <c r="BF258" s="1719"/>
      <c r="BG258" s="1719"/>
      <c r="BH258" s="1728"/>
      <c r="BI258" s="1762">
        <f>(BI52+BI68+BI77+BI55+BI140+(BI109*10))/(BC52+BC55+BC68+BC77+BC140+(BC109*10))-1</f>
        <v>-0.26521174021023008</v>
      </c>
      <c r="BJ258" s="1719"/>
      <c r="BK258" s="1721"/>
      <c r="BL258" s="1719"/>
      <c r="BM258" s="1719"/>
      <c r="BN258" s="1728"/>
      <c r="BO258" s="1762">
        <f>(BO52+BO68+BO77+BO55+BO140+BO120+BO131+(BO109*10))/(BI52+BI55+BI68+BI77+BI120+BI131+BI140+(BI109*10))-1</f>
        <v>-0.23114002312784543</v>
      </c>
      <c r="BP258" s="1719"/>
      <c r="BQ258" s="1721"/>
      <c r="BR258" s="1719"/>
      <c r="BS258" s="1719"/>
      <c r="BT258" s="1728"/>
      <c r="BU258" s="1762">
        <f>(BU52+BU68+BU77+BU55+BU140+BU120+BU131+(BU109*10))/(BO52+BO55+BO68+BO77+BO120+BO131+BO140+(BO109*10))-1</f>
        <v>-6.5566464473827191E-2</v>
      </c>
      <c r="BV258" s="1719"/>
      <c r="BW258" s="1721"/>
      <c r="BX258" s="1719"/>
      <c r="BY258" s="1719"/>
      <c r="BZ258" s="1728"/>
      <c r="CA258" s="1762">
        <f>(CA52+CA68+CA77+CA55+CA140+CA120+CA131+(CA109*10))/(BU52+BU55+BU68+BU77+BU120+BU131+BU140+(BU109*10))-1</f>
        <v>-2.8059701492537337E-2</v>
      </c>
      <c r="CB258" s="1719"/>
      <c r="CC258" s="1721"/>
      <c r="CD258" s="1719"/>
      <c r="CE258" s="1719"/>
      <c r="CF258" s="1728"/>
      <c r="CG258" s="1762">
        <f>(CG52+CG68+CG77+CG55+CG140+CG120+CG131+(CG109*10))/(CA52+CA55+CA68+CA77+CA120+CA131+CA140+(CA109*10))-1</f>
        <v>-1.7199017199017175E-2</v>
      </c>
      <c r="CH258" s="1719"/>
      <c r="CI258" s="1721"/>
      <c r="CJ258" s="1719"/>
      <c r="CK258" s="1719"/>
      <c r="CL258" s="1728"/>
      <c r="CM258" s="1762">
        <f>(CM52+CM68+CM77+CM55+CM140+CM120+CM131+(CM109*10))/(CG52+CG55+CG68+CG77+CG120+CG131+CG140+(CG109*10))-1</f>
        <v>0</v>
      </c>
      <c r="CN258" s="1719"/>
      <c r="CO258" s="1721"/>
      <c r="CP258" s="1719"/>
      <c r="CQ258" s="1719"/>
      <c r="CR258" s="1728"/>
      <c r="CS258" s="1762">
        <f>(CS52+CS68+CS77+CS55+CS140+CS120+CS131+(CS109*10))/(CM52+CM55+CM68+CM77+CM120+CM131+CM140+(CM109*10))-1</f>
        <v>0</v>
      </c>
      <c r="CT258" s="83"/>
      <c r="CU258" s="60"/>
      <c r="CV258" s="60"/>
      <c r="CW258" s="60"/>
      <c r="CX258" s="60"/>
      <c r="CY258" s="60"/>
      <c r="CZ258" s="60"/>
      <c r="DA258" s="60"/>
      <c r="DB258" s="60"/>
      <c r="DC258" s="60"/>
      <c r="DD258" s="60"/>
      <c r="DE258" s="60"/>
      <c r="DF258" s="60"/>
      <c r="DG258" s="60"/>
      <c r="DH258" s="60"/>
      <c r="DI258" s="60"/>
      <c r="DJ258" s="60"/>
      <c r="DK258" s="60"/>
      <c r="DL258" s="60"/>
      <c r="DM258" s="60"/>
      <c r="DN258" s="60"/>
      <c r="DO258" s="60"/>
      <c r="DP258" s="60"/>
      <c r="DQ258" s="60"/>
      <c r="DR258" s="60"/>
      <c r="DS258" s="60"/>
      <c r="DT258" s="60"/>
    </row>
    <row r="259" spans="1:124" ht="12.75" customHeight="1">
      <c r="A259" s="208" t="s">
        <v>391</v>
      </c>
      <c r="B259" s="62"/>
      <c r="C259" s="834"/>
      <c r="D259" s="835"/>
      <c r="E259" s="835"/>
      <c r="F259" s="835"/>
      <c r="G259" s="836"/>
      <c r="H259" s="824"/>
      <c r="I259" s="823"/>
      <c r="J259" s="824"/>
      <c r="K259" s="824"/>
      <c r="L259" s="824"/>
      <c r="M259" s="825"/>
      <c r="N259" s="824"/>
      <c r="O259" s="823"/>
      <c r="P259" s="824"/>
      <c r="Q259" s="824"/>
      <c r="R259" s="837"/>
      <c r="S259" s="825"/>
      <c r="T259" s="824"/>
      <c r="U259" s="823"/>
      <c r="V259" s="824"/>
      <c r="W259" s="824"/>
      <c r="X259" s="824"/>
      <c r="Y259" s="1761"/>
      <c r="Z259" s="824"/>
      <c r="AA259" s="823"/>
      <c r="AB259" s="824"/>
      <c r="AC259" s="824"/>
      <c r="AD259" s="824"/>
      <c r="AE259" s="1761">
        <f>(AE52+AE66+AE68+AE74+AE77+AE55+AE140+(AE109*10))/(Y52+Y55+Y66+Y68+Y74+Y77+Y140+(Y109*10))-1</f>
        <v>0.61932070774428749</v>
      </c>
      <c r="AF259" s="824"/>
      <c r="AG259" s="823"/>
      <c r="AH259" s="824"/>
      <c r="AI259" s="824"/>
      <c r="AJ259" s="837"/>
      <c r="AK259" s="1761">
        <f>(AK52+AK66+AK68+AK74+AK77+AK55+AK140+(AK109*10))/(AE52+AE55+AE66+AE68+AE74+AE77+AE140+(AE109*10))-1</f>
        <v>0.87304049416609475</v>
      </c>
      <c r="AL259" s="824"/>
      <c r="AM259" s="823"/>
      <c r="AN259" s="824"/>
      <c r="AO259" s="824"/>
      <c r="AP259" s="824"/>
      <c r="AQ259" s="1761">
        <f>(AQ52+AQ66+AQ68+AQ74+AQ77+AQ55+AQ140+(AQ109*10))/(AK52+AK55+AK66+AK68+AK74+AK77+AK140+(AK109*10))-1</f>
        <v>0.20043092392140771</v>
      </c>
      <c r="AR259" s="824"/>
      <c r="AS259" s="823"/>
      <c r="AT259" s="824"/>
      <c r="AU259" s="824"/>
      <c r="AV259" s="1719"/>
      <c r="AW259" s="1762">
        <f>(AW52+AW66+AW68+AW74+AW77+AW55+AW140+(AW109*10))/(AQ52+AQ55+AQ66+AQ68+AQ74+AQ77+AQ140+(AQ109*10))-1</f>
        <v>1.0122100122100122</v>
      </c>
      <c r="AX259" s="1719"/>
      <c r="AY259" s="1721"/>
      <c r="AZ259" s="1719"/>
      <c r="BA259" s="1719"/>
      <c r="BB259" s="1719"/>
      <c r="BC259" s="1762">
        <f>(BC52+BC66+BC68+BC74+BC77+BC55+BC140+(BC109*10))/(AW52+AW55+AW66+AW68+AW74+AW77+AW140+(AW109*10))-1</f>
        <v>-3.7347087378640786E-2</v>
      </c>
      <c r="BD259" s="1719"/>
      <c r="BE259" s="1721"/>
      <c r="BF259" s="1719"/>
      <c r="BG259" s="1719"/>
      <c r="BH259" s="1728"/>
      <c r="BI259" s="1762">
        <f>(BI52+BI66+BI68+BI74+BI77+BI55+BI140+(BI109*10))/(BC52+BC55+BC66+BC68+BC74+BC77+BC140+(BC109*10))-1</f>
        <v>-0.26521174021023008</v>
      </c>
      <c r="BJ259" s="1719"/>
      <c r="BK259" s="1721"/>
      <c r="BL259" s="1719"/>
      <c r="BM259" s="1719"/>
      <c r="BN259" s="1728"/>
      <c r="BO259" s="1762">
        <f>(BO52+BO66+BO68+BO74+BO77+BO55+BO131+BO120+BO140+(BO109*10))/(BI52+BI55+BI66+BI120+BI131+BI68+BI74+BI77+BI140+(BI109*10))-1</f>
        <v>-0.23114002312784543</v>
      </c>
      <c r="BP259" s="1719"/>
      <c r="BQ259" s="1721"/>
      <c r="BR259" s="1719"/>
      <c r="BS259" s="1719"/>
      <c r="BT259" s="1728"/>
      <c r="BU259" s="1762">
        <f>(BU52+BU66+BU68+BU74+BU77+BU55+BU131+BU120+BU140+(BU109*10))/(BO52+BO55+BO66+BO120+BO131+BO68+BO74+BO77+BO140+(BO109*10))-1</f>
        <v>-6.5566464473827191E-2</v>
      </c>
      <c r="BV259" s="1719"/>
      <c r="BW259" s="1721"/>
      <c r="BX259" s="1719"/>
      <c r="BY259" s="1719"/>
      <c r="BZ259" s="1728"/>
      <c r="CA259" s="1762">
        <f>(CA52+CA66+CA68+CA74+CA77+CA55+CA131+CA120+CA140+(CA109*10))/(BU52+BU55+BU66+BU120+BU131+BU68+BU74+BU77+BU140+(BU109*10))-1</f>
        <v>-2.8059701492537337E-2</v>
      </c>
      <c r="CB259" s="1719"/>
      <c r="CC259" s="1721"/>
      <c r="CD259" s="1719"/>
      <c r="CE259" s="1719"/>
      <c r="CF259" s="1728"/>
      <c r="CG259" s="1762">
        <f>(CG52+CG66+CG68+CG74+CG77+CG55+CG131+CG120+CG140+(CG109*10))/(CA52+CA55+CA66+CA120+CA131+CA68+CA74+CA77+CA140+(CA109*10))-1</f>
        <v>-1.7199017199017175E-2</v>
      </c>
      <c r="CH259" s="1719"/>
      <c r="CI259" s="1721"/>
      <c r="CJ259" s="1719"/>
      <c r="CK259" s="1719"/>
      <c r="CL259" s="1728"/>
      <c r="CM259" s="1762">
        <f>(CM52+CM66+CM68+CM74+CM77+CM55+CM131+CM120+CM140+(CM109*10))/(CG52+CG55+CG66+CG120+CG131+CG68+CG74+CG77+CG140+(CG109*10))-1</f>
        <v>0</v>
      </c>
      <c r="CN259" s="1719"/>
      <c r="CO259" s="1721"/>
      <c r="CP259" s="1719"/>
      <c r="CQ259" s="1719"/>
      <c r="CR259" s="1728"/>
      <c r="CS259" s="1762">
        <f>(CS52+CS66+CS68+CS74+CS77+CS55+CS131+CS120+CS140+(CS109*10))/(CM52+CM55+CM66+CM120+CM131+CM68+CM74+CM77+CM140+(CM109*10))-1</f>
        <v>0</v>
      </c>
      <c r="CT259" s="83"/>
      <c r="CU259" s="60"/>
      <c r="CV259" s="60"/>
      <c r="CW259" s="60"/>
      <c r="CX259" s="60"/>
      <c r="CY259" s="60"/>
      <c r="CZ259" s="60"/>
      <c r="DA259" s="60"/>
      <c r="DB259" s="60"/>
      <c r="DC259" s="60"/>
      <c r="DD259" s="60"/>
      <c r="DE259" s="60"/>
      <c r="DF259" s="60"/>
      <c r="DG259" s="60"/>
      <c r="DH259" s="60"/>
      <c r="DI259" s="60"/>
      <c r="DJ259" s="60"/>
      <c r="DK259" s="60"/>
      <c r="DL259" s="60"/>
      <c r="DM259" s="60"/>
      <c r="DN259" s="60"/>
      <c r="DO259" s="60"/>
      <c r="DP259" s="60"/>
      <c r="DQ259" s="60"/>
      <c r="DR259" s="60"/>
      <c r="DS259" s="60"/>
      <c r="DT259" s="60"/>
    </row>
    <row r="260" spans="1:124" ht="12.75" customHeight="1">
      <c r="A260" s="1663" t="s">
        <v>442</v>
      </c>
      <c r="B260" s="1383"/>
      <c r="C260" s="2426" t="s">
        <v>10</v>
      </c>
      <c r="D260" s="2427" t="s">
        <v>10</v>
      </c>
      <c r="E260" s="2427" t="s">
        <v>10</v>
      </c>
      <c r="F260" s="2427" t="s">
        <v>10</v>
      </c>
      <c r="G260" s="2428" t="s">
        <v>10</v>
      </c>
      <c r="H260" s="820"/>
      <c r="I260" s="819">
        <f>I174/C174-1</f>
        <v>10.043103448275861</v>
      </c>
      <c r="J260" s="820">
        <f>J174/D174-1</f>
        <v>3.9107338444687842</v>
      </c>
      <c r="K260" s="820">
        <f>K174/E174-1</f>
        <v>2.8873517786561265</v>
      </c>
      <c r="L260" s="820">
        <f>L174/F174-1</f>
        <v>2.1254180602006687</v>
      </c>
      <c r="M260" s="821">
        <f>M174/G174-1</f>
        <v>3.1194993154703692</v>
      </c>
      <c r="N260" s="820"/>
      <c r="O260" s="819">
        <f>O174/I174-1</f>
        <v>2.0054644808743172</v>
      </c>
      <c r="P260" s="820">
        <f>P174/J174-1</f>
        <v>1.685513549682168</v>
      </c>
      <c r="Q260" s="820">
        <f>Q174/K174-1</f>
        <v>1.4087442806304016</v>
      </c>
      <c r="R260" s="822">
        <f>R174/L174-1</f>
        <v>1.2120117710005349</v>
      </c>
      <c r="S260" s="821">
        <f>S174/M174-1</f>
        <v>1.488558135118454</v>
      </c>
      <c r="T260" s="820"/>
      <c r="U260" s="819">
        <f>U174/O174-1</f>
        <v>0.89568831168831187</v>
      </c>
      <c r="V260" s="820">
        <f>V174/P174-1</f>
        <v>0.45590299406170831</v>
      </c>
      <c r="W260" s="820">
        <f>W174/Q174-1</f>
        <v>0.41829435767553114</v>
      </c>
      <c r="X260" s="820">
        <f>X174/R174-1</f>
        <v>0.4158825663663297</v>
      </c>
      <c r="Y260" s="821">
        <f>Y174/S174-1</f>
        <v>0.51383411711960925</v>
      </c>
      <c r="Z260" s="820"/>
      <c r="AA260" s="819">
        <f>AA174/U174-1</f>
        <v>0.60149073769593309</v>
      </c>
      <c r="AB260" s="820">
        <f>AB174/V174-1</f>
        <v>0.61334624468048693</v>
      </c>
      <c r="AC260" s="820">
        <f>AC174/W174-1</f>
        <v>0.45216967211114345</v>
      </c>
      <c r="AD260" s="820">
        <f>AD174/X174-1</f>
        <v>0.34372791161013816</v>
      </c>
      <c r="AE260" s="821">
        <f>AE174/Y174-1</f>
        <v>0.49011302927391753</v>
      </c>
      <c r="AF260" s="820"/>
      <c r="AG260" s="819">
        <f>AG174/AA174-1</f>
        <v>0.31582742430049859</v>
      </c>
      <c r="AH260" s="820">
        <f>AH174/AB174-1</f>
        <v>0.57217335050301354</v>
      </c>
      <c r="AI260" s="820">
        <f>AI174/AC174-1</f>
        <v>0.51118504282735877</v>
      </c>
      <c r="AJ260" s="822">
        <f>AJ174/AD174-1</f>
        <v>0.56806950463486072</v>
      </c>
      <c r="AK260" s="821">
        <f>AK174/AE174-1</f>
        <v>0.49263027912336343</v>
      </c>
      <c r="AL260" s="820"/>
      <c r="AM260" s="819">
        <f>AM174/AG174-1</f>
        <v>0.33411576162309364</v>
      </c>
      <c r="AN260" s="820">
        <f>AN174/AH174-1</f>
        <v>0.24929672867958907</v>
      </c>
      <c r="AO260" s="820">
        <f>AO174/AI174-1</f>
        <v>0.32963789289823264</v>
      </c>
      <c r="AP260" s="820">
        <f>AP174/AJ174-1</f>
        <v>0.32966479205773846</v>
      </c>
      <c r="AQ260" s="821">
        <f>AQ174/AK174-1</f>
        <v>0.31038026055578971</v>
      </c>
      <c r="AR260" s="820"/>
      <c r="AS260" s="819">
        <f>AS174/AM174-1</f>
        <v>0.26607930484255693</v>
      </c>
      <c r="AT260" s="820">
        <f>AT174/AN174-1</f>
        <v>0.24856530621270245</v>
      </c>
      <c r="AU260" s="820">
        <f>AU174/AO174-1</f>
        <v>0.35999999999999988</v>
      </c>
      <c r="AV260" s="1715">
        <f>AV174/AP174-1</f>
        <v>0.33394129698932051</v>
      </c>
      <c r="AW260" s="1716">
        <f>AW174/AQ174-1</f>
        <v>0.30501084397557299</v>
      </c>
      <c r="AX260" s="1715"/>
      <c r="AY260" s="1717">
        <f>AY174/AS174-1</f>
        <v>0.47740538412166189</v>
      </c>
      <c r="AZ260" s="1715">
        <f>AZ174/AT174-1</f>
        <v>0.42902234341203327</v>
      </c>
      <c r="BA260" s="1715">
        <f>BA174/AU174-1</f>
        <v>0.34435368637218056</v>
      </c>
      <c r="BB260" s="1715">
        <f>BB174/AV174-1</f>
        <v>0.26647505285904094</v>
      </c>
      <c r="BC260" s="1716">
        <f>BC174/AW174-1</f>
        <v>0.36986142669171618</v>
      </c>
      <c r="BD260" s="1715"/>
      <c r="BE260" s="1717">
        <f>BE174/AY174-1</f>
        <v>0.23565712314602449</v>
      </c>
      <c r="BF260" s="1715">
        <f>BF174/AZ174-1</f>
        <v>0.25462304578688078</v>
      </c>
      <c r="BG260" s="1715">
        <f>BG174/BA174-1</f>
        <v>0.2392687192950127</v>
      </c>
      <c r="BH260" s="1718">
        <f>BH174/BB174-1</f>
        <v>0.19384853461388718</v>
      </c>
      <c r="BI260" s="1716">
        <f>BI174/BC174-1</f>
        <v>0.22993608130232213</v>
      </c>
      <c r="BJ260" s="1715"/>
      <c r="BK260" s="1717">
        <f>BK174/BE174-1</f>
        <v>7.2400033060775026E-2</v>
      </c>
      <c r="BL260" s="1715">
        <f>BL174/BF174-1</f>
        <v>8.673346426746309E-2</v>
      </c>
      <c r="BM260" s="1715">
        <f>BM174/BG174-1</f>
        <v>0.14142446913985363</v>
      </c>
      <c r="BN260" s="1718">
        <f>BN174/BH174-1</f>
        <v>0.30623480227769662</v>
      </c>
      <c r="BO260" s="1716">
        <f>BO174/BI174-1</f>
        <v>0.1548393262233172</v>
      </c>
      <c r="BP260" s="1715"/>
      <c r="BQ260" s="1717">
        <f>BQ174/BK174-1</f>
        <v>0.31297870587917664</v>
      </c>
      <c r="BR260" s="1715">
        <f>BR174/BL174-1</f>
        <v>0.26900867397766914</v>
      </c>
      <c r="BS260" s="1715">
        <f>BS174/BM174-1</f>
        <v>0.15268403511231043</v>
      </c>
      <c r="BT260" s="1718">
        <f>BT174/BN174-1</f>
        <v>4.4912078370003217E-2</v>
      </c>
      <c r="BU260" s="1716">
        <f>BU174/BO174-1</f>
        <v>0.18244082390038563</v>
      </c>
      <c r="BV260" s="1715"/>
      <c r="BW260" s="1717">
        <f>BW174/BQ174-1</f>
        <v>0.11212533408971392</v>
      </c>
      <c r="BX260" s="1715">
        <f>BX174/BR174-1</f>
        <v>0.10519918423243135</v>
      </c>
      <c r="BY260" s="1715">
        <f>BY174/BS174-1</f>
        <v>0.10407811154351343</v>
      </c>
      <c r="BZ260" s="1718">
        <f>BZ174/BT174-1</f>
        <v>9.5956733308886877E-2</v>
      </c>
      <c r="CA260" s="1716">
        <f>CA174/BU174-1</f>
        <v>0.10417751851208812</v>
      </c>
      <c r="CB260" s="1715"/>
      <c r="CC260" s="1717">
        <f>CC174/BW174-1</f>
        <v>8.9517944637212077E-2</v>
      </c>
      <c r="CD260" s="1715">
        <f>CD174/BX174-1</f>
        <v>9.0514706364165809E-2</v>
      </c>
      <c r="CE260" s="1715">
        <f>CE174/BY174-1</f>
        <v>9.1264373586493752E-2</v>
      </c>
      <c r="CF260" s="1718">
        <f>CF174/BZ174-1</f>
        <v>9.1779750868458132E-2</v>
      </c>
      <c r="CG260" s="1716">
        <f>CG174/CA174-1</f>
        <v>9.0789203940343732E-2</v>
      </c>
      <c r="CH260" s="1715"/>
      <c r="CI260" s="1717">
        <f>CI174/CC174-1</f>
        <v>9.1546822699239305E-2</v>
      </c>
      <c r="CJ260" s="1715">
        <f>CJ174/CD174-1</f>
        <v>9.0568188502563762E-2</v>
      </c>
      <c r="CK260" s="1715">
        <f>CK174/CE174-1</f>
        <v>8.9887512289364535E-2</v>
      </c>
      <c r="CL260" s="1718">
        <f>CL174/CF174-1</f>
        <v>9.3316915278812473E-2</v>
      </c>
      <c r="CM260" s="1716">
        <f>CM174/CG174-1</f>
        <v>9.1343122145561173E-2</v>
      </c>
      <c r="CN260" s="1715"/>
      <c r="CO260" s="1717">
        <f>CO174/CI174-1</f>
        <v>0.1013436542622228</v>
      </c>
      <c r="CP260" s="1715">
        <f>CP174/CJ174-1</f>
        <v>0.10992108176921356</v>
      </c>
      <c r="CQ260" s="1715">
        <f>CQ174/CK174-1</f>
        <v>0.11618183537663374</v>
      </c>
      <c r="CR260" s="1718">
        <f>CR174/CL174-1</f>
        <v>0.11759437052997446</v>
      </c>
      <c r="CS260" s="1716">
        <f>CS174/CM174-1</f>
        <v>0.11141180024451924</v>
      </c>
      <c r="CT260" s="83"/>
      <c r="CU260" s="60"/>
      <c r="CV260" s="60"/>
      <c r="CW260" s="60"/>
      <c r="CX260" s="60"/>
      <c r="CY260" s="60"/>
      <c r="CZ260" s="60"/>
      <c r="DA260" s="60"/>
      <c r="DB260" s="60"/>
      <c r="DC260" s="60"/>
      <c r="DD260" s="60"/>
      <c r="DE260" s="60"/>
      <c r="DF260" s="60"/>
      <c r="DG260" s="60"/>
      <c r="DH260" s="60"/>
      <c r="DI260" s="60"/>
      <c r="DJ260" s="60"/>
      <c r="DK260" s="60"/>
      <c r="DL260" s="60"/>
      <c r="DM260" s="60"/>
      <c r="DN260" s="60"/>
      <c r="DO260" s="60"/>
      <c r="DP260" s="60"/>
      <c r="DQ260" s="60"/>
      <c r="DR260" s="60"/>
      <c r="DS260" s="60"/>
      <c r="DT260" s="60"/>
    </row>
    <row r="261" spans="1:124" ht="12.75" customHeight="1">
      <c r="A261" s="1760" t="s">
        <v>530</v>
      </c>
      <c r="B261" s="1376"/>
      <c r="C261" s="1377"/>
      <c r="D261" s="1378"/>
      <c r="E261" s="1378"/>
      <c r="F261" s="1378"/>
      <c r="G261" s="1373"/>
      <c r="H261" s="1374"/>
      <c r="I261" s="1379"/>
      <c r="J261" s="1374"/>
      <c r="K261" s="1374"/>
      <c r="L261" s="1374"/>
      <c r="M261" s="1381"/>
      <c r="N261" s="1374"/>
      <c r="O261" s="1379"/>
      <c r="P261" s="1374"/>
      <c r="Q261" s="1374"/>
      <c r="R261" s="1380"/>
      <c r="S261" s="1381"/>
      <c r="T261" s="1374"/>
      <c r="U261" s="1379"/>
      <c r="V261" s="1374"/>
      <c r="W261" s="1374"/>
      <c r="X261" s="1374"/>
      <c r="Y261" s="1730"/>
      <c r="Z261" s="1374"/>
      <c r="AA261" s="1379"/>
      <c r="AB261" s="1374"/>
      <c r="AC261" s="1374"/>
      <c r="AD261" s="1374"/>
      <c r="AE261" s="1730"/>
      <c r="AF261" s="1374"/>
      <c r="AG261" s="1379">
        <f>+((AG174-AG184-AG185)/(AA174-AA184-AA185))-1</f>
        <v>0.31582742430049859</v>
      </c>
      <c r="AH261" s="1374">
        <f>+((AH174-AH184-AH185)/(AB174-AB184-AB185))-1</f>
        <v>0.57217335050301354</v>
      </c>
      <c r="AI261" s="1374">
        <f>+((AI174-AI184-AI185)/(AC174-AC184-AC185))-1</f>
        <v>0.51118504282735877</v>
      </c>
      <c r="AJ261" s="1731">
        <f>+((AJ174-AJ184-AJ185)/(AD174-AD184-AD185))-1</f>
        <v>0.56806950463486072</v>
      </c>
      <c r="AK261" s="1730">
        <f>+((AK174-AK184-AK185)/(AE174-AE184-AE185))-1</f>
        <v>0.49263027912336343</v>
      </c>
      <c r="AL261" s="1730"/>
      <c r="AM261" s="1379">
        <f>+((AM174-AM184-AM185)/(AG174-AG184-AG185))-1</f>
        <v>0.33411576162309364</v>
      </c>
      <c r="AN261" s="1374">
        <f>+((AN174-AN184-AN185)/(AH174-AH184-AH185))-1</f>
        <v>0.24929672867958907</v>
      </c>
      <c r="AO261" s="1374">
        <f>+((AO174-AO184-AO185)/(AI174-AI184-AI185))-1</f>
        <v>0.32963789289823264</v>
      </c>
      <c r="AP261" s="1731">
        <f>+((AP174-AP184-AP185)/(AJ174-AJ184-AJ185))-1</f>
        <v>0.32966479205773846</v>
      </c>
      <c r="AQ261" s="1730">
        <f>+((AQ174-AQ184-AQ185)/(AK174-AK184-AK185))-1</f>
        <v>0.31038026055578971</v>
      </c>
      <c r="AR261" s="1374"/>
      <c r="AS261" s="1379">
        <f>+((AS174-AS184-AS185)/(AM174-AM184-AM185))-1</f>
        <v>0.25906123072841925</v>
      </c>
      <c r="AT261" s="1374">
        <f>+((AT174-AT184-AT185)/(AN174-AN184-AN185))-1</f>
        <v>0.21724120118873924</v>
      </c>
      <c r="AU261" s="1374">
        <f>+((AU174-AU184-AU185)/(AO174-AO184-AO185))-1</f>
        <v>0.22257028274436075</v>
      </c>
      <c r="AV261" s="1731">
        <f>+((AV174-AV184-AV185)/(AP174-AP184-AP185))-1</f>
        <v>0.2121803284771866</v>
      </c>
      <c r="AW261" s="1730">
        <f>+((AW174-AW184-AW185)/(AQ174-AQ184-AQ185))-1</f>
        <v>0.22643698487795083</v>
      </c>
      <c r="AX261" s="1374"/>
      <c r="AY261" s="1379">
        <f>+((AY174-AY184-AY185)/(AS174-AS184-AS185))-1</f>
        <v>0.32474083332290093</v>
      </c>
      <c r="AZ261" s="1374">
        <f>+((AZ174-AZ184-AZ185)/(AT174-AT184-AT185))-1</f>
        <v>0.26975233293179524</v>
      </c>
      <c r="BA261" s="1374">
        <f>+((BA174-BA184-BA185)/(AU174-AU184-AU185))-1</f>
        <v>0.26221258707695627</v>
      </c>
      <c r="BB261" s="1731">
        <f>+((BB174-BB184-BB185)/(AV174-AV184-AV185))-1</f>
        <v>0.17372443712989094</v>
      </c>
      <c r="BC261" s="1730">
        <f>+((BC174-BC184-BC185)/(AW174-AW184-AW185))-1</f>
        <v>0.2534397542880642</v>
      </c>
      <c r="BD261" s="1374"/>
      <c r="BE261" s="1379">
        <f>+((BE174-BE184-BE185)/(AY174-AY184-AY185))-1</f>
        <v>0.14716450034370032</v>
      </c>
      <c r="BF261" s="1374">
        <f>+((BF174-BF184-BF185)/(AZ174-AZ184-AZ185))-1</f>
        <v>0.19742626177546874</v>
      </c>
      <c r="BG261" s="1374">
        <f>+((BG174-BG184-BG185)/(BA174-BA184-BA185))-1</f>
        <v>0.15547300426648958</v>
      </c>
      <c r="BH261" s="1731">
        <f>+((BH174-BH184-BH185)/(BB174-BB184-BB185))-1</f>
        <v>0.14166018610960651</v>
      </c>
      <c r="BI261" s="1730">
        <f>+((BI174-BI184-BI185)/(BC174-BC184-BC185))-1</f>
        <v>0.15997864907692971</v>
      </c>
      <c r="BJ261" s="1374"/>
      <c r="BK261" s="1379">
        <f>+((BK174-BK184-BK185)/(BE174-BE184-BE185))-1</f>
        <v>3.1910549968219293E-2</v>
      </c>
      <c r="BL261" s="1374">
        <f>+((BL174-BL184-BL185)/(BF174-BF184-BF185))-1</f>
        <v>5.4846588882499159E-2</v>
      </c>
      <c r="BM261" s="1374">
        <f>+((BM174-BM184-BM185)/(BG174-BG184-BG185))-1</f>
        <v>0.18837985159661952</v>
      </c>
      <c r="BN261" s="1731">
        <f>+((BN174-BN184-BN185)/(BH174-BH184-BH185))-1</f>
        <v>0.35398428801623139</v>
      </c>
      <c r="BO261" s="1730">
        <f>+((BO174-BO184-BO185)/(BI174-BI184-BI185))-1</f>
        <v>0.16064107011715434</v>
      </c>
      <c r="BP261" s="1374"/>
      <c r="BQ261" s="1379">
        <f>+((BQ174-BQ184-BQ185)/(BK174-BK184-BK185))-1</f>
        <v>0.40843947434792893</v>
      </c>
      <c r="BR261" s="1374">
        <f>+((BR174-BR184-BR185)/(BL174-BL184-BL185))-1</f>
        <v>0.37697163336149875</v>
      </c>
      <c r="BS261" s="1374">
        <f>+((BS174-BS184-BS185)/(BM174-BM184-BM185))-1</f>
        <v>0.24618348613857277</v>
      </c>
      <c r="BT261" s="1731">
        <f>+((BT174-BT184-BT185)/(BN174-BN184-BN185))-1</f>
        <v>0.12764278707899401</v>
      </c>
      <c r="BU261" s="1730">
        <f>+((BU174-BU184-BU185)/(BO174-BO184-BO185))-1</f>
        <v>0.27441829428698905</v>
      </c>
      <c r="BV261" s="1374"/>
      <c r="BW261" s="1379">
        <f>+((BW174-BW184-BW185)/(BQ174-BQ184-BQ185))-1</f>
        <v>0.179015473711158</v>
      </c>
      <c r="BX261" s="1374">
        <f>+((BX174-BX184-BX185)/(BR174-BR184-BR185))-1</f>
        <v>0.15505623242882938</v>
      </c>
      <c r="BY261" s="1374">
        <f>+((BY174-BY184-BY185)/(BS174-BS184-BS185))-1</f>
        <v>0.1394459737443019</v>
      </c>
      <c r="BZ261" s="1731">
        <f>+((BZ174-BZ184-BZ185)/(BT174-BT184-BT185))-1</f>
        <v>0.11699070729716543</v>
      </c>
      <c r="CA261" s="1730">
        <f>+((CA174-CA184-CA185)/(BU174-BU184-BU185))-1</f>
        <v>0.14653181649545322</v>
      </c>
      <c r="CB261" s="1374"/>
      <c r="CC261" s="1379">
        <f>+((CC174-CC184-CC185)/(BW174-BW184-BW185))-1</f>
        <v>0.10895251862142619</v>
      </c>
      <c r="CD261" s="1374">
        <f>+((CD174-CD184-CD185)/(BX174-BX184-BX185))-1</f>
        <v>0.10934296422293865</v>
      </c>
      <c r="CE261" s="1374">
        <f>+((CE174-CE184-CE185)/(BY174-BY184-BY185))-1</f>
        <v>0.1094650713656371</v>
      </c>
      <c r="CF261" s="1731">
        <f>+((CF174-CF184-CF185)/(BZ174-BZ184-BZ185))-1</f>
        <v>0.10933838572051457</v>
      </c>
      <c r="CG261" s="1730">
        <f>+((CG174-CG184-CG185)/(CA174-CA184-CA185))-1</f>
        <v>0.10927878192676022</v>
      </c>
      <c r="CH261" s="1374"/>
      <c r="CI261" s="1379">
        <f>+((CI174-CI184-CI185)/(CC174-CC184-CC185))-1</f>
        <v>0.10842537238424588</v>
      </c>
      <c r="CJ261" s="1374">
        <f>+((CJ174-CJ184-CJ185)/(CD174-CD184-CD185))-1</f>
        <v>0.10673854640542135</v>
      </c>
      <c r="CK261" s="1374">
        <f>+((CK174-CK184-CK185)/(CE174-CE184-CE185))-1</f>
        <v>0.10539562869145813</v>
      </c>
      <c r="CL261" s="1731">
        <f>+((CL174-CL184-CL185)/(CF174-CF184-CF185))-1</f>
        <v>0.10847936993123963</v>
      </c>
      <c r="CM261" s="1730">
        <f>+((CM174-CM184-CM185)/(CG174-CG184-CG185))-1</f>
        <v>0.10725651799547853</v>
      </c>
      <c r="CN261" s="1374"/>
      <c r="CO261" s="1379">
        <f>+((CO174-CO184-CO185)/(CI174-CI184-CI185))-1</f>
        <v>0.11648274223233224</v>
      </c>
      <c r="CP261" s="1374">
        <f>+((CP174-CP184-CP185)/(CJ174-CJ184-CJ185))-1</f>
        <v>0.12504912445652838</v>
      </c>
      <c r="CQ261" s="1374">
        <f>+((CQ174-CQ184-CQ185)/(CK174-CK184-CK185))-1</f>
        <v>0.131105710072148</v>
      </c>
      <c r="CR261" s="1731">
        <f>+((CR174-CR184-CR185)/(CL174-CL184-CL185))-1</f>
        <v>0.13195007642634304</v>
      </c>
      <c r="CS261" s="1730">
        <f>+((CS174-CS184-CS185)/(CM174-CM184-CM185))-1</f>
        <v>0.12631311740934814</v>
      </c>
      <c r="CT261" s="83"/>
      <c r="CU261" s="60"/>
      <c r="CV261" s="60"/>
      <c r="CW261" s="60"/>
      <c r="CX261" s="60"/>
      <c r="CY261" s="60"/>
      <c r="CZ261" s="60"/>
      <c r="DA261" s="60"/>
      <c r="DB261" s="60"/>
      <c r="DC261" s="60"/>
      <c r="DD261" s="60"/>
      <c r="DE261" s="60"/>
      <c r="DF261" s="60"/>
      <c r="DG261" s="60"/>
      <c r="DH261" s="60"/>
      <c r="DI261" s="60"/>
      <c r="DJ261" s="60"/>
      <c r="DK261" s="60"/>
      <c r="DL261" s="60"/>
      <c r="DM261" s="60"/>
      <c r="DN261" s="60"/>
      <c r="DO261" s="60"/>
      <c r="DP261" s="60"/>
      <c r="DQ261" s="60"/>
      <c r="DR261" s="60"/>
      <c r="DS261" s="60"/>
      <c r="DT261" s="60"/>
    </row>
    <row r="262" spans="1:124" s="1389" customFormat="1" ht="12.75" customHeight="1">
      <c r="A262" s="3000" t="s">
        <v>877</v>
      </c>
      <c r="B262" s="62"/>
      <c r="C262" s="3001"/>
      <c r="D262" s="835"/>
      <c r="E262" s="835"/>
      <c r="F262" s="835"/>
      <c r="G262" s="3002"/>
      <c r="H262" s="824"/>
      <c r="I262" s="2919"/>
      <c r="J262" s="824"/>
      <c r="K262" s="824"/>
      <c r="L262" s="824"/>
      <c r="M262" s="3003"/>
      <c r="N262" s="824"/>
      <c r="O262" s="2919"/>
      <c r="P262" s="824"/>
      <c r="Q262" s="824"/>
      <c r="R262" s="837"/>
      <c r="S262" s="3003"/>
      <c r="T262" s="824"/>
      <c r="U262" s="2919"/>
      <c r="V262" s="824"/>
      <c r="W262" s="824"/>
      <c r="X262" s="824"/>
      <c r="Y262" s="3004"/>
      <c r="Z262" s="824"/>
      <c r="AA262" s="2919"/>
      <c r="AB262" s="824"/>
      <c r="AC262" s="824"/>
      <c r="AD262" s="824"/>
      <c r="AE262" s="3004"/>
      <c r="AF262" s="824"/>
      <c r="AG262" s="2919"/>
      <c r="AH262" s="824"/>
      <c r="AI262" s="824"/>
      <c r="AJ262" s="1719"/>
      <c r="AK262" s="3004"/>
      <c r="AL262" s="1719"/>
      <c r="AM262" s="2919"/>
      <c r="AN262" s="824"/>
      <c r="AO262" s="824"/>
      <c r="AP262" s="1719"/>
      <c r="AQ262" s="3004"/>
      <c r="AR262" s="824"/>
      <c r="AS262" s="2919"/>
      <c r="AT262" s="824"/>
      <c r="AU262" s="824"/>
      <c r="AV262" s="1719"/>
      <c r="AW262" s="3004"/>
      <c r="AX262" s="824"/>
      <c r="AY262" s="2919"/>
      <c r="AZ262" s="824"/>
      <c r="BA262" s="824"/>
      <c r="BB262" s="1719"/>
      <c r="BC262" s="3004"/>
      <c r="BD262" s="824"/>
      <c r="BE262" s="3005">
        <f>+BE211/AY211-1</f>
        <v>6.1162079510703293E-2</v>
      </c>
      <c r="BF262" s="1719">
        <f t="shared" ref="BF262" si="908">+BF211/AZ211-1</f>
        <v>9.6153846153846256E-2</v>
      </c>
      <c r="BG262" s="1719">
        <f t="shared" ref="BG262" si="909">+BG211/BA211-1</f>
        <v>4.6153846153846212E-2</v>
      </c>
      <c r="BH262" s="1728">
        <f t="shared" ref="BH262" si="910">+BH211/BB211-1</f>
        <v>-8.9743589743589758E-2</v>
      </c>
      <c r="BI262" s="3004">
        <f t="shared" ref="BI262" si="911">+BI211/BC211-1</f>
        <v>2.215657311669128E-2</v>
      </c>
      <c r="BJ262" s="824"/>
      <c r="BK262" s="3005">
        <f>+BK211/BE211-1</f>
        <v>0.12391930835734866</v>
      </c>
      <c r="BL262" s="1719">
        <f t="shared" ref="BL262:BO262" si="912">+BL211/BF211-1</f>
        <v>0.12573099415204658</v>
      </c>
      <c r="BM262" s="1719">
        <f t="shared" si="912"/>
        <v>0.17647058823529416</v>
      </c>
      <c r="BN262" s="1728">
        <f t="shared" si="912"/>
        <v>0.22535211267605626</v>
      </c>
      <c r="BO262" s="3004">
        <f t="shared" si="912"/>
        <v>0.16329479768786115</v>
      </c>
      <c r="BP262" s="824"/>
      <c r="BQ262" s="3005">
        <f t="shared" ref="BQ262" si="913">+BQ211/BK211-1</f>
        <v>0.23076923076923084</v>
      </c>
      <c r="BR262" s="1719">
        <f t="shared" ref="BR262" si="914">+BR211/BL211-1</f>
        <v>0.21999999999999997</v>
      </c>
      <c r="BS262" s="1719">
        <f t="shared" ref="BS262" si="915">+BS211/BM211-1</f>
        <v>0.22999999999999998</v>
      </c>
      <c r="BT262" s="1728">
        <f t="shared" ref="BT262" si="916">+BT211/BN211-1</f>
        <v>0.22999999999999998</v>
      </c>
      <c r="BU262" s="3004">
        <f t="shared" ref="BU262" si="917">+BU211/BO211-1</f>
        <v>0.22779503105590071</v>
      </c>
      <c r="BV262" s="824"/>
      <c r="BW262" s="3005">
        <f t="shared" ref="BW262" si="918">+BW211/BQ211-1</f>
        <v>0.22076923076923083</v>
      </c>
      <c r="BX262" s="1719">
        <f t="shared" ref="BX262" si="919">+BX211/BR211-1</f>
        <v>0.22076923076923083</v>
      </c>
      <c r="BY262" s="1719">
        <f t="shared" ref="BY262" si="920">+BY211/BS211-1</f>
        <v>0.22076923076923083</v>
      </c>
      <c r="BZ262" s="1728">
        <f t="shared" ref="BZ262" si="921">+BZ211/BT211-1</f>
        <v>0.22076923076923061</v>
      </c>
      <c r="CA262" s="3004">
        <f t="shared" ref="CA262" si="922">+CA211/BU211-1</f>
        <v>0.22076923076923083</v>
      </c>
      <c r="CB262" s="824"/>
      <c r="CC262" s="3005">
        <f t="shared" ref="CC262" si="923">+CC211/BW211-1</f>
        <v>0.21076923076923082</v>
      </c>
      <c r="CD262" s="1719">
        <f t="shared" ref="CD262" si="924">+CD211/BX211-1</f>
        <v>0.21076923076923082</v>
      </c>
      <c r="CE262" s="1719">
        <f t="shared" ref="CE262" si="925">+CE211/BY211-1</f>
        <v>0.21076923076923082</v>
      </c>
      <c r="CF262" s="1728">
        <f t="shared" ref="CF262" si="926">+CF211/BZ211-1</f>
        <v>0.21076923076923082</v>
      </c>
      <c r="CG262" s="3004">
        <f t="shared" ref="CG262" si="927">+CG211/CA211-1</f>
        <v>0.21076923076923082</v>
      </c>
      <c r="CH262" s="824"/>
      <c r="CI262" s="3005">
        <f t="shared" ref="CI262" si="928">+CI211/CC211-1</f>
        <v>0.20076923076923081</v>
      </c>
      <c r="CJ262" s="1719">
        <f t="shared" ref="CJ262" si="929">+CJ211/CD211-1</f>
        <v>0.20076923076923081</v>
      </c>
      <c r="CK262" s="1719">
        <f t="shared" ref="CK262" si="930">+CK211/CE211-1</f>
        <v>0.20076923076923081</v>
      </c>
      <c r="CL262" s="1728">
        <f t="shared" ref="CL262" si="931">+CL211/CF211-1</f>
        <v>0.20076923076923081</v>
      </c>
      <c r="CM262" s="3004">
        <f t="shared" ref="CM262" si="932">+CM211/CG211-1</f>
        <v>0.20076923076923081</v>
      </c>
      <c r="CN262" s="824"/>
      <c r="CO262" s="3005">
        <f t="shared" ref="CO262" si="933">+CO211/CI211-1</f>
        <v>0.1907692307692308</v>
      </c>
      <c r="CP262" s="1719">
        <f t="shared" ref="CP262" si="934">+CP211/CJ211-1</f>
        <v>0.1907692307692308</v>
      </c>
      <c r="CQ262" s="1719">
        <f t="shared" ref="CQ262" si="935">+CQ211/CK211-1</f>
        <v>0.1907692307692308</v>
      </c>
      <c r="CR262" s="1728">
        <f t="shared" ref="CR262" si="936">+CR211/CL211-1</f>
        <v>0.1907692307692308</v>
      </c>
      <c r="CS262" s="3004">
        <f t="shared" ref="CS262" si="937">+CS211/CM211-1</f>
        <v>0.19076923076923102</v>
      </c>
      <c r="CT262" s="83"/>
      <c r="CU262" s="60"/>
      <c r="CV262" s="60"/>
      <c r="CW262" s="60"/>
      <c r="CX262" s="60"/>
      <c r="CY262" s="60"/>
      <c r="CZ262" s="60"/>
      <c r="DA262" s="60"/>
      <c r="DB262" s="60"/>
      <c r="DC262" s="60"/>
      <c r="DD262" s="60"/>
      <c r="DE262" s="60"/>
      <c r="DF262" s="60"/>
      <c r="DG262" s="60"/>
      <c r="DH262" s="60"/>
      <c r="DI262" s="60"/>
      <c r="DJ262" s="60"/>
      <c r="DK262" s="60"/>
      <c r="DL262" s="60"/>
      <c r="DM262" s="60"/>
      <c r="DN262" s="60"/>
      <c r="DO262" s="60"/>
      <c r="DP262" s="60"/>
      <c r="DQ262" s="60"/>
      <c r="DR262" s="60"/>
      <c r="DS262" s="60"/>
      <c r="DT262" s="60"/>
    </row>
    <row r="263" spans="1:124">
      <c r="A263" s="230" t="s">
        <v>41</v>
      </c>
      <c r="B263" s="62"/>
      <c r="C263" s="834">
        <v>1.0430985380672109</v>
      </c>
      <c r="D263" s="835">
        <v>1.1034410844629825</v>
      </c>
      <c r="E263" s="835">
        <v>0.14330072970035701</v>
      </c>
      <c r="F263" s="835">
        <v>4.6071200946917967E-2</v>
      </c>
      <c r="G263" s="836">
        <v>0.45892454340391464</v>
      </c>
      <c r="H263" s="824"/>
      <c r="I263" s="823">
        <f>I15/C15-1</f>
        <v>2.7012127894156635E-2</v>
      </c>
      <c r="J263" s="824">
        <f>J15/D15-1</f>
        <v>0.13547567884352407</v>
      </c>
      <c r="K263" s="824">
        <f>K15/E15-1</f>
        <v>0.32741353985845922</v>
      </c>
      <c r="L263" s="824">
        <f>L15/F15-1</f>
        <v>-0.29576116285142307</v>
      </c>
      <c r="M263" s="825">
        <f>M15/G15-1</f>
        <v>1.8329177057356594E-2</v>
      </c>
      <c r="N263" s="824"/>
      <c r="O263" s="823">
        <f>O15/I15-1</f>
        <v>-0.14492753623188415</v>
      </c>
      <c r="P263" s="824">
        <f>P15/J15-1</f>
        <v>-0.27406451612903227</v>
      </c>
      <c r="Q263" s="824">
        <f>Q15/K15-1</f>
        <v>-0.18981993763202898</v>
      </c>
      <c r="R263" s="837">
        <f>R15/L15-1</f>
        <v>0.61080212581881099</v>
      </c>
      <c r="S263" s="825">
        <f>S15/M15-1</f>
        <v>-4.2879882453777385E-2</v>
      </c>
      <c r="T263" s="824"/>
      <c r="U263" s="823">
        <f>U15/O15-1</f>
        <v>0.93052939945595337</v>
      </c>
      <c r="V263" s="824">
        <f>V15/P15-1</f>
        <v>0.59556819528380145</v>
      </c>
      <c r="W263" s="824">
        <f>W15/Q15-1</f>
        <v>0.56953066799106034</v>
      </c>
      <c r="X263" s="824">
        <f>X15/R15-1</f>
        <v>0.20256272538939624</v>
      </c>
      <c r="Y263" s="825">
        <f>Y15/S15-1</f>
        <v>0.54106539760515804</v>
      </c>
      <c r="Z263" s="824"/>
      <c r="AA263" s="823">
        <f>AA15/U15-1</f>
        <v>-0.14383264686754826</v>
      </c>
      <c r="AB263" s="824">
        <f>AB15/V15-1</f>
        <v>0.30553286297809135</v>
      </c>
      <c r="AC263" s="824">
        <f>AC15/W15-1</f>
        <v>0.20267383909500825</v>
      </c>
      <c r="AD263" s="824">
        <f>AD15/X15-1</f>
        <v>0.25534358450839001</v>
      </c>
      <c r="AE263" s="825">
        <f>AE15/Y15-1</f>
        <v>0.13322043465989264</v>
      </c>
      <c r="AF263" s="824"/>
      <c r="AG263" s="823">
        <f>AG15/AA15-1</f>
        <v>8.4567666793264884E-2</v>
      </c>
      <c r="AH263" s="824">
        <f>AH15/AB15-1</f>
        <v>0.23829569372546788</v>
      </c>
      <c r="AI263" s="824">
        <f>AI15/AC15-1</f>
        <v>0.54285338420048679</v>
      </c>
      <c r="AJ263" s="837">
        <f>AJ15/AD15-1</f>
        <v>0.54165184243964437</v>
      </c>
      <c r="AK263" s="825">
        <f>AK15/AE15-1</f>
        <v>0.35799575122701643</v>
      </c>
      <c r="AL263" s="824"/>
      <c r="AM263" s="823">
        <f>AM15/AG15-1</f>
        <v>1.0303490136570561</v>
      </c>
      <c r="AN263" s="824">
        <f>AN15/AH15-1</f>
        <v>0.49747335538405002</v>
      </c>
      <c r="AO263" s="824">
        <f>AO15/AI15-1</f>
        <v>0.62845327421555264</v>
      </c>
      <c r="AP263" s="824">
        <f>AP15/AJ15-1</f>
        <v>0.67941447975735181</v>
      </c>
      <c r="AQ263" s="825">
        <f>AQ15/AK15-1</f>
        <v>0.68866112849282546</v>
      </c>
      <c r="AR263" s="824"/>
      <c r="AS263" s="823">
        <f>AS15/AM15-1</f>
        <v>0.68362653788662775</v>
      </c>
      <c r="AT263" s="824">
        <f>AT15/AN15-1</f>
        <v>0.74126453354603172</v>
      </c>
      <c r="AU263" s="824">
        <f>AU15/AO15-1</f>
        <v>0.68775034688588099</v>
      </c>
      <c r="AV263" s="1719">
        <f>AV15/AP15-1</f>
        <v>0.21809972516686305</v>
      </c>
      <c r="AW263" s="1720">
        <f>(AW15/AQ15-1)-(AS223/AQ207)</f>
        <v>0.38251037135963406</v>
      </c>
      <c r="AX263" s="1719"/>
      <c r="AY263" s="1721">
        <f>AY15/AS15-1</f>
        <v>0.35629161686870425</v>
      </c>
      <c r="AZ263" s="1719">
        <f>AZ15/AT15-1</f>
        <v>0.34906042988019736</v>
      </c>
      <c r="BA263" s="1719">
        <f>BA15/AU15-1</f>
        <v>0.22022119844261412</v>
      </c>
      <c r="BB263" s="1719">
        <f>BB15/AV15-1</f>
        <v>0.50887993553585842</v>
      </c>
      <c r="BC263" s="1720">
        <f>BC15/AW15-1</f>
        <v>0.35747257563666279</v>
      </c>
      <c r="BD263" s="1719"/>
      <c r="BE263" s="1721">
        <f>BE15/AY15-1</f>
        <v>0.12053425312822585</v>
      </c>
      <c r="BF263" s="1719">
        <f>BF15/AZ15-1</f>
        <v>0.1773550868888143</v>
      </c>
      <c r="BG263" s="1719">
        <f>BG15/BA15-1</f>
        <v>0.18083224317072943</v>
      </c>
      <c r="BH263" s="1728">
        <f>BH15/BB15-1</f>
        <v>1.0597520944202188E-3</v>
      </c>
      <c r="BI263" s="1720">
        <f>BI15/BC15-1</f>
        <v>0.11416291190491012</v>
      </c>
      <c r="BJ263" s="1719"/>
      <c r="BK263" s="1721">
        <f>BK15/BE15-1</f>
        <v>0.2020716075180029</v>
      </c>
      <c r="BL263" s="1719">
        <f>BL15/BF15-1</f>
        <v>0.31997500084560837</v>
      </c>
      <c r="BM263" s="1719">
        <f>BM15/BG15-1</f>
        <v>0.27145554142854955</v>
      </c>
      <c r="BN263" s="1728">
        <f>BN15/BH15-1</f>
        <v>0.26792066986340335</v>
      </c>
      <c r="BO263" s="1720">
        <f>BO15/BI15-1</f>
        <v>0.26562364632032609</v>
      </c>
      <c r="BP263" s="1719"/>
      <c r="BQ263" s="1721">
        <f>BQ15/BK15-1</f>
        <v>0.43925233644859807</v>
      </c>
      <c r="BR263" s="1719">
        <f>BR15/BL15-1</f>
        <v>0.28352941176470603</v>
      </c>
      <c r="BS263" s="1719">
        <f>BS15/BM15-1</f>
        <v>0.29969955865720133</v>
      </c>
      <c r="BT263" s="1728">
        <f>BT15/BN15-1</f>
        <v>0.38518462670961506</v>
      </c>
      <c r="BU263" s="1720">
        <f>BU15/BO15-1</f>
        <v>0.3497418913384267</v>
      </c>
      <c r="BV263" s="1719"/>
      <c r="BW263" s="1721">
        <f>BW15/BQ15-1</f>
        <v>0.2882717282717282</v>
      </c>
      <c r="BX263" s="1719">
        <f>BX15/BR15-1</f>
        <v>0.2897673270817176</v>
      </c>
      <c r="BY263" s="1719">
        <f>BY15/BS15-1</f>
        <v>0.28510548734652996</v>
      </c>
      <c r="BZ263" s="1728">
        <f>BZ15/BT15-1</f>
        <v>0.28348530092105806</v>
      </c>
      <c r="CA263" s="1720">
        <f>CA15/BU15-1</f>
        <v>0.28659856827176977</v>
      </c>
      <c r="CB263" s="1719"/>
      <c r="CC263" s="1721">
        <f>CC15/BW15-1</f>
        <v>0.24729021467071677</v>
      </c>
      <c r="CD263" s="1719">
        <f>CD15/BX15-1</f>
        <v>0.24805609328376521</v>
      </c>
      <c r="CE263" s="1719">
        <f>CE15/BY15-1</f>
        <v>0.24566293805990136</v>
      </c>
      <c r="CF263" s="1728">
        <f>CF15/BZ15-1</f>
        <v>0.24482714455817067</v>
      </c>
      <c r="CG263" s="1720">
        <f>CG15/CA15-1</f>
        <v>0.24643129883103243</v>
      </c>
      <c r="CH263" s="1719"/>
      <c r="CI263" s="1721">
        <f>CI15/CC15-1</f>
        <v>0.20044108990535081</v>
      </c>
      <c r="CJ263" s="1719">
        <f>CJ15/CD15-1</f>
        <v>0.20043441407854901</v>
      </c>
      <c r="CK263" s="1719">
        <f>CK15/CE15-1</f>
        <v>0.20045530141004009</v>
      </c>
      <c r="CL263" s="1728">
        <f>CL15/CF15-1</f>
        <v>0.20046261509309549</v>
      </c>
      <c r="CM263" s="1720">
        <f>CM15/CG15-1</f>
        <v>0.20044858645617158</v>
      </c>
      <c r="CN263" s="1719"/>
      <c r="CO263" s="1721">
        <f>CO15/CI15-1</f>
        <v>0.15206283633127216</v>
      </c>
      <c r="CP263" s="1719">
        <f>CP15/CJ15-1</f>
        <v>0.15127515858623686</v>
      </c>
      <c r="CQ263" s="1719">
        <f>CQ15/CK15-1</f>
        <v>0.15373961608121789</v>
      </c>
      <c r="CR263" s="1728">
        <f>CR15/CL15-1</f>
        <v>0.15460252370573668</v>
      </c>
      <c r="CS263" s="1720">
        <f>CS15/CM15-1</f>
        <v>0.15294734048468617</v>
      </c>
      <c r="CT263" s="83"/>
      <c r="CU263" s="60"/>
      <c r="CV263" s="60"/>
      <c r="CW263" s="60"/>
      <c r="CX263" s="60"/>
      <c r="CY263" s="60"/>
      <c r="CZ263" s="60"/>
      <c r="DA263" s="60"/>
      <c r="DB263" s="60"/>
      <c r="DC263" s="60"/>
      <c r="DD263" s="60"/>
      <c r="DE263" s="60"/>
      <c r="DF263" s="60"/>
      <c r="DG263" s="60"/>
      <c r="DH263" s="60"/>
      <c r="DI263" s="60"/>
      <c r="DJ263" s="60"/>
      <c r="DK263" s="60"/>
      <c r="DL263" s="60"/>
      <c r="DM263" s="60"/>
      <c r="DN263" s="60"/>
      <c r="DO263" s="60"/>
      <c r="DP263" s="60"/>
      <c r="DQ263" s="60"/>
      <c r="DR263" s="60"/>
      <c r="DS263" s="60"/>
      <c r="DT263" s="60"/>
    </row>
    <row r="264" spans="1:124">
      <c r="A264" s="1042" t="s">
        <v>37</v>
      </c>
      <c r="B264" s="1100"/>
      <c r="C264" s="1101"/>
      <c r="D264" s="1102"/>
      <c r="E264" s="1102"/>
      <c r="F264" s="1102"/>
      <c r="G264" s="1068"/>
      <c r="H264" s="1102"/>
      <c r="I264" s="1101"/>
      <c r="J264" s="1102"/>
      <c r="K264" s="1102"/>
      <c r="L264" s="1102"/>
      <c r="M264" s="1068"/>
      <c r="N264" s="1102"/>
      <c r="O264" s="1103"/>
      <c r="P264" s="1104"/>
      <c r="Q264" s="1104"/>
      <c r="R264" s="1105"/>
      <c r="S264" s="1106"/>
      <c r="T264" s="1102"/>
      <c r="U264" s="1069"/>
      <c r="V264" s="1070"/>
      <c r="W264" s="1070"/>
      <c r="X264" s="1072"/>
      <c r="Y264" s="1073"/>
      <c r="Z264" s="1107"/>
      <c r="AA264" s="1108"/>
      <c r="AB264" s="1109"/>
      <c r="AC264" s="1109"/>
      <c r="AD264" s="1109"/>
      <c r="AE264" s="1110"/>
      <c r="AF264" s="1107"/>
      <c r="AG264" s="1111"/>
      <c r="AH264" s="1107"/>
      <c r="AI264" s="1107"/>
      <c r="AJ264" s="1112"/>
      <c r="AK264" s="1113"/>
      <c r="AL264" s="1107"/>
      <c r="AM264" s="1111"/>
      <c r="AN264" s="1107"/>
      <c r="AO264" s="1107"/>
      <c r="AP264" s="1107"/>
      <c r="AQ264" s="1110"/>
      <c r="AR264" s="1107"/>
      <c r="AS264" s="1445"/>
      <c r="AT264" s="1107"/>
      <c r="AU264" s="1107"/>
      <c r="AV264" s="1733"/>
      <c r="AW264" s="1114"/>
      <c r="AX264" s="1733"/>
      <c r="AY264" s="1445"/>
      <c r="AZ264" s="1733"/>
      <c r="BA264" s="1733"/>
      <c r="BB264" s="1733"/>
      <c r="BC264" s="1114"/>
      <c r="BD264" s="1733"/>
      <c r="BE264" s="1445"/>
      <c r="BF264" s="1733"/>
      <c r="BG264" s="1733"/>
      <c r="BH264" s="1734"/>
      <c r="BI264" s="1114"/>
      <c r="BJ264" s="1733"/>
      <c r="BK264" s="1445"/>
      <c r="BL264" s="1733"/>
      <c r="BM264" s="1733"/>
      <c r="BN264" s="1734"/>
      <c r="BO264" s="1114"/>
      <c r="BP264" s="1733"/>
      <c r="BQ264" s="1445"/>
      <c r="BR264" s="1733"/>
      <c r="BS264" s="1733"/>
      <c r="BT264" s="1734"/>
      <c r="BU264" s="1114"/>
      <c r="BV264" s="1733"/>
      <c r="BW264" s="1445"/>
      <c r="BX264" s="1733"/>
      <c r="BY264" s="1733"/>
      <c r="BZ264" s="1734"/>
      <c r="CA264" s="1114"/>
      <c r="CB264" s="1733"/>
      <c r="CC264" s="1445"/>
      <c r="CD264" s="1733"/>
      <c r="CE264" s="1733"/>
      <c r="CF264" s="1734"/>
      <c r="CG264" s="1114"/>
      <c r="CH264" s="1733"/>
      <c r="CI264" s="1445"/>
      <c r="CJ264" s="1733"/>
      <c r="CK264" s="1733"/>
      <c r="CL264" s="1734"/>
      <c r="CM264" s="1114"/>
      <c r="CN264" s="1733"/>
      <c r="CO264" s="1445"/>
      <c r="CP264" s="1733"/>
      <c r="CQ264" s="1733"/>
      <c r="CR264" s="1734"/>
      <c r="CS264" s="1114"/>
      <c r="CT264" s="229"/>
      <c r="CU264" s="68"/>
      <c r="CV264" s="68"/>
      <c r="CW264" s="68"/>
      <c r="CX264" s="68"/>
      <c r="CY264" s="68"/>
      <c r="CZ264" s="68"/>
      <c r="DA264" s="68"/>
      <c r="DB264" s="68"/>
      <c r="DC264" s="68"/>
      <c r="DD264" s="68"/>
      <c r="DE264" s="68"/>
      <c r="DF264" s="68"/>
      <c r="DG264" s="68"/>
      <c r="DH264" s="68"/>
      <c r="DI264" s="68"/>
      <c r="DJ264" s="68"/>
      <c r="DK264" s="68"/>
      <c r="DL264" s="68"/>
      <c r="DM264" s="68"/>
      <c r="DN264" s="68"/>
      <c r="DO264" s="68"/>
      <c r="DP264" s="68"/>
      <c r="DQ264" s="68"/>
      <c r="DR264" s="68"/>
      <c r="DS264" s="68"/>
      <c r="DT264" s="68"/>
    </row>
    <row r="265" spans="1:124" ht="12.75" hidden="1" customHeight="1" outlineLevel="2">
      <c r="A265" s="230" t="s">
        <v>221</v>
      </c>
      <c r="B265" s="62"/>
      <c r="C265" s="839">
        <v>0.21811266857104861</v>
      </c>
      <c r="D265" s="840">
        <f>IF(ISERROR(D225/C225-1),"nm",D225/C225-1)</f>
        <v>0.17165627165627151</v>
      </c>
      <c r="E265" s="840">
        <f>IF(ISERROR(E225/D225-1),"nm",E225/D225-1)</f>
        <v>0.15348672147631182</v>
      </c>
      <c r="F265" s="840">
        <f>IF(ISERROR(F225/E225-1),"nm",F225/E225-1)</f>
        <v>0.15479438006358315</v>
      </c>
      <c r="G265" s="841"/>
      <c r="H265" s="1115"/>
      <c r="I265" s="842">
        <f>IF(ISERROR(I225/F225-1),"nm",I225/F225-1)</f>
        <v>8.2208447302049459E-2</v>
      </c>
      <c r="J265" s="840">
        <f>IF(ISERROR(J225/I225-1),"nm",J225/I225-1)</f>
        <v>0.1503023937108674</v>
      </c>
      <c r="K265" s="840">
        <f>IF(ISERROR(K225/J225-1),"nm",K225/J225-1)</f>
        <v>7.1930487883176353E-2</v>
      </c>
      <c r="L265" s="840">
        <f>IF(ISERROR(L225/K225-1),"nm",L225/K225-1)</f>
        <v>7.0990283508585383E-2</v>
      </c>
      <c r="M265" s="841"/>
      <c r="N265" s="1115"/>
      <c r="O265" s="842">
        <f>IF(ISERROR(O225/L225-1),"nm",O225/L225-1)</f>
        <v>3.0013608654855917E-2</v>
      </c>
      <c r="P265" s="840">
        <f>IF(ISERROR(P225/O225-1),"nm",P225/O225-1)</f>
        <v>-2.4819464637994226E-2</v>
      </c>
      <c r="Q265" s="840">
        <f>IF(ISERROR(Q225/P225-1),"nm",Q225/P225-1)</f>
        <v>-2.031018973911658E-2</v>
      </c>
      <c r="R265" s="843">
        <f>IF(ISERROR(R225/Q225-1),"nm",R225/Q225-1)</f>
        <v>0.14021217479161385</v>
      </c>
      <c r="S265" s="844"/>
      <c r="T265" s="1116"/>
      <c r="U265" s="845">
        <f>IF(ISERROR(U225/R225-1),"nm",U225/R225-1)</f>
        <v>6.4060388560288839E-2</v>
      </c>
      <c r="V265" s="846">
        <f>IF(ISERROR(V225/U225-1),"nm",V225/U225-1)</f>
        <v>0.10342943096116697</v>
      </c>
      <c r="W265" s="846">
        <f>IF(ISERROR(W225/V225-1),"nm",W225/V225-1)</f>
        <v>0.11936623538346169</v>
      </c>
      <c r="X265" s="846">
        <f>IF(ISERROR(X225/W225-1),"nm",X225/W225-1)</f>
        <v>0.10108761151073065</v>
      </c>
      <c r="Y265" s="844"/>
      <c r="Z265" s="1116"/>
      <c r="AA265" s="845">
        <f>IF(ISERROR(AA225/X225-1),"nm",AA225/X225-1)</f>
        <v>8.119847836569738E-2</v>
      </c>
      <c r="AB265" s="846">
        <f>IF(ISERROR(AB225/AA225-1),"nm",AB225/AA225-1)</f>
        <v>1.7468099038989271E-2</v>
      </c>
      <c r="AC265" s="846">
        <f>IF(ISERROR(AC225/AB225-1),"nm",AC225/AB225-1)</f>
        <v>-0.18073056183684155</v>
      </c>
      <c r="AD265" s="846">
        <f>IF(ISERROR(AD225/AC225-1),"nm",AD225/AC225-1)</f>
        <v>6.1877120497327187E-2</v>
      </c>
      <c r="AE265" s="844"/>
      <c r="AF265" s="1116"/>
      <c r="AG265" s="845">
        <f>IF(ISERROR(AG225/AD225-1),"nm",AG225/AD225-1)</f>
        <v>8.9168176237948593E-2</v>
      </c>
      <c r="AH265" s="846">
        <f>IF(ISERROR(AH225/AG225-1),"nm",AH225/AG225-1)</f>
        <v>3.1850437174394619E-2</v>
      </c>
      <c r="AI265" s="846">
        <f>IF(ISERROR(AI225/AH225-1),"nm",AI225/AH225-1)</f>
        <v>1.711420981631262E-2</v>
      </c>
      <c r="AJ265" s="847">
        <f>IF(ISERROR(AJ225/AI225-1),"nm",AJ225/AI225-1)</f>
        <v>7.9831862901899253E-2</v>
      </c>
      <c r="AK265" s="844"/>
      <c r="AL265" s="1116"/>
      <c r="AM265" s="845">
        <f>IF(ISERROR(AM225/AJ225-1),"nm",AM225/AJ225-1)</f>
        <v>6.9944379741739615E-2</v>
      </c>
      <c r="AN265" s="846">
        <f>IF(ISERROR(AN225/AM225-1),"nm",AN225/AM225-1)</f>
        <v>4.5613709620181409E-2</v>
      </c>
      <c r="AO265" s="846">
        <f>IF(ISERROR(AO225/AN225-1),"nm",AO225/AN225-1)</f>
        <v>3.0764451957517203E-2</v>
      </c>
      <c r="AP265" s="846">
        <f>IF(ISERROR(AP225/AO225-1),"nm",AP225/AO225-1)</f>
        <v>8.5899799967218637E-2</v>
      </c>
      <c r="AQ265" s="844"/>
      <c r="AR265" s="1116"/>
      <c r="AS265" s="845">
        <f>IF(ISERROR(AS225/AP225-1),"nm",AS225/AP225-1)</f>
        <v>8.9935742088062653E-2</v>
      </c>
      <c r="AT265" s="846">
        <f>IF(ISERROR(AT225/AS225-1),"nm",AT225/AS225-1)</f>
        <v>5.7454267306023876E-2</v>
      </c>
      <c r="AU265" s="846">
        <f>IF(ISERROR(AU225/AT225-1),"nm",AU225/AT225-1)</f>
        <v>6.812779066820096E-2</v>
      </c>
      <c r="AV265" s="1735">
        <f>IF(ISERROR(AV225/AU225-1),"nm",AV225/AU225-1)</f>
        <v>6.8681526490337763E-2</v>
      </c>
      <c r="AW265" s="1736"/>
      <c r="AX265" s="1737"/>
      <c r="AY265" s="1738">
        <f>IF(ISERROR(AY225/AV225-1),"nm",AY225/AV225-1)</f>
        <v>5.7387125179683141E-2</v>
      </c>
      <c r="AZ265" s="1735">
        <f>IF(ISERROR(AZ225/AY225-1),"nm",AZ225/AY225-1)</f>
        <v>2.1404775133189169E-3</v>
      </c>
      <c r="BA265" s="1735">
        <f>IF(ISERROR(BA225/AZ225-1),"nm",BA225/AZ225-1)</f>
        <v>1.9698360297742523E-2</v>
      </c>
      <c r="BB265" s="1735">
        <f>IF(ISERROR(BB225/BA225-1),"nm",BB225/BA225-1)</f>
        <v>7.7808376632336973E-2</v>
      </c>
      <c r="BC265" s="1736"/>
      <c r="BD265" s="1737"/>
      <c r="BE265" s="1738">
        <f>IF(ISERROR(BE225/BB225-1),"nm",BE225/BB225-1)</f>
        <v>-3.380536338827822E-2</v>
      </c>
      <c r="BF265" s="1735">
        <f>IF(ISERROR(BF225/BE225-1),"nm",BF225/BE225-1)</f>
        <v>4.8008209978375849E-2</v>
      </c>
      <c r="BG265" s="1735">
        <f>IF(ISERROR(BG225/BF225-1),"nm",BG225/BF225-1)</f>
        <v>1.1766081865473232E-2</v>
      </c>
      <c r="BH265" s="1739">
        <f>IF(ISERROR(BH225/BG225-1),"nm",BH225/BG225-1)</f>
        <v>2.2937683544351772E-2</v>
      </c>
      <c r="BI265" s="1736"/>
      <c r="BJ265" s="1737"/>
      <c r="BK265" s="1738">
        <f>IF(ISERROR(BK225/BH225-1),"nm",BK225/BH225-1)</f>
        <v>-3.6697702916355435E-2</v>
      </c>
      <c r="BL265" s="1735">
        <f>IF(ISERROR(BL225/BK225-1),"nm",BL225/BK225-1)</f>
        <v>0.10734407974980065</v>
      </c>
      <c r="BM265" s="1735">
        <f>IF(ISERROR(BM225/BL225-1),"nm",BM225/BL225-1)</f>
        <v>7.8610430532299214E-2</v>
      </c>
      <c r="BN265" s="1739">
        <f>IF(ISERROR(BN225/BM225-1),"nm",BN225/BM225-1)</f>
        <v>8.9491589880366984E-2</v>
      </c>
      <c r="BO265" s="1736"/>
      <c r="BP265" s="1737"/>
      <c r="BQ265" s="1738">
        <f>IF(ISERROR(BQ225/BN225-1),"nm",BQ225/BN225-1)</f>
        <v>5.7349860407809317E-3</v>
      </c>
      <c r="BR265" s="1735">
        <f>IF(ISERROR(BR225/BQ225-1),"nm",BR225/BQ225-1)</f>
        <v>1.0174310636570594E-2</v>
      </c>
      <c r="BS265" s="1735">
        <f>IF(ISERROR(BS225/BR225-1),"nm",BS225/BR225-1)</f>
        <v>1.9286257914670646E-2</v>
      </c>
      <c r="BT265" s="1739">
        <f>IF(ISERROR(BT225/BS225-1),"nm",BT225/BS225-1)</f>
        <v>4.2996751557774049E-2</v>
      </c>
      <c r="BU265" s="1736"/>
      <c r="BV265" s="1737"/>
      <c r="BW265" s="1738">
        <f>IF(ISERROR(BW225/BT225-1),"nm",BW225/BT225-1)</f>
        <v>3.8491365692596702E-2</v>
      </c>
      <c r="BX265" s="1735">
        <f>IF(ISERROR(BX225/BW225-1),"nm",BX225/BW225-1)</f>
        <v>-2.7953380676304374E-3</v>
      </c>
      <c r="BY265" s="1735">
        <f>IF(ISERROR(BY225/BX225-1),"nm",BY225/BX225-1)</f>
        <v>1.3611473146069919E-2</v>
      </c>
      <c r="BZ265" s="1739">
        <f>IF(ISERROR(BZ225/BY225-1),"nm",BZ225/BY225-1)</f>
        <v>4.0540172100407501E-2</v>
      </c>
      <c r="CA265" s="1736"/>
      <c r="CB265" s="1737"/>
      <c r="CC265" s="1738">
        <f>IF(ISERROR(CC225/BZ225-1),"nm",CC225/BZ225-1)</f>
        <v>4.7346926469477912E-2</v>
      </c>
      <c r="CD265" s="1735">
        <f>IF(ISERROR(CD225/CC225-1),"nm",CD225/CC225-1)</f>
        <v>-1.9051883361763666E-3</v>
      </c>
      <c r="CE265" s="1735">
        <f>IF(ISERROR(CE225/CD225-1),"nm",CE225/CD225-1)</f>
        <v>1.3335034796826406E-2</v>
      </c>
      <c r="CF265" s="1739">
        <f>IF(ISERROR(CF225/CE225-1),"nm",CF225/CE225-1)</f>
        <v>4.1976183083534568E-2</v>
      </c>
      <c r="CG265" s="1736"/>
      <c r="CH265" s="1737"/>
      <c r="CI265" s="1738">
        <f>IF(ISERROR(CI225/CF225-1),"nm",CI225/CF225-1)</f>
        <v>4.7890907134783278E-2</v>
      </c>
      <c r="CJ265" s="1735">
        <f>IF(ISERROR(CJ225/CI225-1),"nm",CJ225/CI225-1)</f>
        <v>-2.0838705424406356E-3</v>
      </c>
      <c r="CK265" s="1735">
        <f>IF(ISERROR(CK225/CJ225-1),"nm",CK225/CJ225-1)</f>
        <v>1.2767087453247505E-2</v>
      </c>
      <c r="CL265" s="1739">
        <f>IF(ISERROR(CL225/CK225-1),"nm",CL225/CK225-1)</f>
        <v>4.4538065983327657E-2</v>
      </c>
      <c r="CM265" s="1736"/>
      <c r="CN265" s="1737"/>
      <c r="CO265" s="1738">
        <f>IF(ISERROR(CO225/CL225-1),"nm",CO225/CL225-1)</f>
        <v>4.1626656764074399E-2</v>
      </c>
      <c r="CP265" s="1735">
        <f>IF(ISERROR(CP225/CO225-1),"nm",CP225/CO225-1)</f>
        <v>2.2906107499338635E-3</v>
      </c>
      <c r="CQ265" s="1735">
        <f>IF(ISERROR(CQ225/CP225-1),"nm",CQ225/CP225-1)</f>
        <v>1.6449448879615192E-2</v>
      </c>
      <c r="CR265" s="1739">
        <f>IF(ISERROR(CR225/CQ225-1),"nm",CR225/CQ225-1)</f>
        <v>4.5760532752406435E-2</v>
      </c>
      <c r="CS265" s="1736"/>
      <c r="CT265" s="231"/>
      <c r="CU265" s="60"/>
      <c r="CV265" s="60"/>
      <c r="CW265" s="60"/>
      <c r="CX265" s="60"/>
      <c r="CY265" s="60"/>
      <c r="CZ265" s="60"/>
      <c r="DA265" s="60"/>
      <c r="DB265" s="60"/>
      <c r="DC265" s="60"/>
      <c r="DD265" s="60"/>
      <c r="DE265" s="60"/>
      <c r="DF265" s="60"/>
      <c r="DG265" s="60"/>
      <c r="DH265" s="60"/>
      <c r="DI265" s="68"/>
      <c r="DJ265" s="68"/>
      <c r="DK265" s="68"/>
      <c r="DL265" s="68"/>
      <c r="DM265" s="68"/>
      <c r="DN265" s="68"/>
      <c r="DO265" s="68"/>
      <c r="DP265" s="68"/>
      <c r="DQ265" s="68"/>
      <c r="DR265" s="68"/>
      <c r="DS265" s="68"/>
      <c r="DT265" s="68"/>
    </row>
    <row r="266" spans="1:124" ht="12.75" hidden="1" customHeight="1" outlineLevel="2">
      <c r="A266" s="230" t="s">
        <v>18</v>
      </c>
      <c r="B266" s="62"/>
      <c r="C266" s="839"/>
      <c r="D266" s="840"/>
      <c r="E266" s="840"/>
      <c r="F266" s="840"/>
      <c r="G266" s="841"/>
      <c r="H266" s="1115"/>
      <c r="I266" s="842"/>
      <c r="J266" s="840"/>
      <c r="K266" s="840"/>
      <c r="L266" s="840"/>
      <c r="M266" s="841"/>
      <c r="N266" s="1115"/>
      <c r="O266" s="842"/>
      <c r="P266" s="840"/>
      <c r="Q266" s="840"/>
      <c r="R266" s="843"/>
      <c r="S266" s="844"/>
      <c r="T266" s="1116"/>
      <c r="U266" s="845"/>
      <c r="V266" s="846"/>
      <c r="W266" s="846"/>
      <c r="X266" s="846"/>
      <c r="Y266" s="844"/>
      <c r="Z266" s="1116"/>
      <c r="AA266" s="845"/>
      <c r="AB266" s="846"/>
      <c r="AC266" s="846"/>
      <c r="AD266" s="846"/>
      <c r="AE266" s="844"/>
      <c r="AF266" s="1116"/>
      <c r="AG266" s="845"/>
      <c r="AH266" s="846"/>
      <c r="AI266" s="846"/>
      <c r="AJ266" s="847"/>
      <c r="AK266" s="844"/>
      <c r="AL266" s="1116"/>
      <c r="AM266" s="845"/>
      <c r="AN266" s="846"/>
      <c r="AO266" s="846"/>
      <c r="AP266" s="846"/>
      <c r="AQ266" s="844"/>
      <c r="AR266" s="1116"/>
      <c r="AS266" s="845"/>
      <c r="AT266" s="846"/>
      <c r="AU266" s="846"/>
      <c r="AV266" s="1735"/>
      <c r="AW266" s="1736"/>
      <c r="AX266" s="1737"/>
      <c r="AY266" s="1738"/>
      <c r="AZ266" s="1735"/>
      <c r="BA266" s="1735"/>
      <c r="BB266" s="1735"/>
      <c r="BC266" s="1736"/>
      <c r="BD266" s="1737"/>
      <c r="BE266" s="1738"/>
      <c r="BF266" s="1735"/>
      <c r="BG266" s="1735"/>
      <c r="BH266" s="1739"/>
      <c r="BI266" s="1736"/>
      <c r="BJ266" s="1737"/>
      <c r="BK266" s="1738"/>
      <c r="BL266" s="1735"/>
      <c r="BM266" s="1735"/>
      <c r="BN266" s="1739"/>
      <c r="BO266" s="1736"/>
      <c r="BP266" s="1737"/>
      <c r="BQ266" s="1738"/>
      <c r="BR266" s="1735"/>
      <c r="BS266" s="1735"/>
      <c r="BT266" s="1739"/>
      <c r="BU266" s="1736"/>
      <c r="BV266" s="1737"/>
      <c r="BW266" s="1738"/>
      <c r="BX266" s="1735"/>
      <c r="BY266" s="1735"/>
      <c r="BZ266" s="1739"/>
      <c r="CA266" s="1736"/>
      <c r="CB266" s="1737"/>
      <c r="CC266" s="1738"/>
      <c r="CD266" s="1735"/>
      <c r="CE266" s="1735"/>
      <c r="CF266" s="1739"/>
      <c r="CG266" s="1736"/>
      <c r="CH266" s="1737"/>
      <c r="CI266" s="1738"/>
      <c r="CJ266" s="1735"/>
      <c r="CK266" s="1735"/>
      <c r="CL266" s="1739"/>
      <c r="CM266" s="1736"/>
      <c r="CN266" s="1737"/>
      <c r="CO266" s="1738"/>
      <c r="CP266" s="1735"/>
      <c r="CQ266" s="1735"/>
      <c r="CR266" s="1739"/>
      <c r="CS266" s="1736"/>
      <c r="CT266" s="231"/>
      <c r="CU266" s="60"/>
      <c r="CV266" s="60"/>
      <c r="CW266" s="60"/>
      <c r="CX266" s="60"/>
      <c r="CY266" s="60"/>
      <c r="CZ266" s="60"/>
      <c r="DA266" s="60"/>
      <c r="DB266" s="60"/>
      <c r="DC266" s="60"/>
      <c r="DD266" s="60"/>
      <c r="DE266" s="60"/>
      <c r="DF266" s="60"/>
      <c r="DG266" s="60"/>
      <c r="DH266" s="60"/>
      <c r="DI266" s="68"/>
      <c r="DJ266" s="68"/>
      <c r="DK266" s="68"/>
      <c r="DL266" s="68"/>
      <c r="DM266" s="68"/>
      <c r="DN266" s="68"/>
      <c r="DO266" s="68"/>
      <c r="DP266" s="68"/>
      <c r="DQ266" s="68"/>
      <c r="DR266" s="68"/>
      <c r="DS266" s="68"/>
      <c r="DT266" s="68"/>
    </row>
    <row r="267" spans="1:124" ht="12.75" hidden="1" customHeight="1" outlineLevel="2">
      <c r="A267" s="232" t="s">
        <v>17</v>
      </c>
      <c r="B267" s="62"/>
      <c r="C267" s="839">
        <v>0.67392746940598447</v>
      </c>
      <c r="D267" s="840">
        <f>IF(ISERROR(D9/C9-1),"nm",D9/C9-1)</f>
        <v>0.29557993014069783</v>
      </c>
      <c r="E267" s="840">
        <f>IF(ISERROR(E9/D9-1),"nm",E9/D9-1)</f>
        <v>0.34251968503937014</v>
      </c>
      <c r="F267" s="840">
        <f>IF(ISERROR(F9/E9-1),"nm",F9/E9-1)</f>
        <v>0.22580645161290303</v>
      </c>
      <c r="G267" s="841"/>
      <c r="H267" s="1115"/>
      <c r="I267" s="842">
        <f>IF(ISERROR(I9/F9-1),"nm",I9/F9-1)</f>
        <v>5.9167464114832757E-2</v>
      </c>
      <c r="J267" s="840">
        <f>IF(ISERROR(J9/I9-1),"nm",J9/I9-1)</f>
        <v>-2.4240398254474438E-2</v>
      </c>
      <c r="K267" s="840">
        <f>IF(ISERROR(K9/J9-1),"nm",K9/J9-1)</f>
        <v>8.3333333333333259E-2</v>
      </c>
      <c r="L267" s="840">
        <f>IF(ISERROR(L9/K9-1),"nm",L9/K9-1)</f>
        <v>9.8863247863247627E-2</v>
      </c>
      <c r="M267" s="841"/>
      <c r="N267" s="1115"/>
      <c r="O267" s="842">
        <f>IF(ISERROR(O9/L9-1),"nm",O9/L9-1)</f>
        <v>-1.9966243281712814E-2</v>
      </c>
      <c r="P267" s="840">
        <f>IF(ISERROR(P9/O9-1),"nm",P9/O9-1)</f>
        <v>6.7460317460317443E-2</v>
      </c>
      <c r="Q267" s="840">
        <f>IF(ISERROR(Q9/P9-1),"nm",Q9/P9-1)</f>
        <v>0.12825278810408935</v>
      </c>
      <c r="R267" s="843">
        <f>IF(ISERROR(R9/Q9-1),"nm",R9/Q9-1)</f>
        <v>1.6474464579903092E-3</v>
      </c>
      <c r="S267" s="844"/>
      <c r="T267" s="1116"/>
      <c r="U267" s="845">
        <f>IF(ISERROR(U9/R9-1),"nm",U9/R9-1)</f>
        <v>-5.9210526315789602E-2</v>
      </c>
      <c r="V267" s="846">
        <f>IF(ISERROR(V9/U9-1),"nm",V9/U9-1)</f>
        <v>0.22202797202797209</v>
      </c>
      <c r="W267" s="846">
        <f>IF(ISERROR(W9/V9-1),"nm",W9/V9-1)</f>
        <v>0.25608011444921308</v>
      </c>
      <c r="X267" s="846">
        <f>IF(ISERROR(X9/W9-1),"nm",X9/W9-1)</f>
        <v>0.24943052391799569</v>
      </c>
      <c r="Y267" s="844"/>
      <c r="Z267" s="1116"/>
      <c r="AA267" s="845">
        <f>IF(ISERROR(AA9/X9-1),"nm",AA9/X9-1)</f>
        <v>4.1932543299908698E-2</v>
      </c>
      <c r="AB267" s="846">
        <f>IF(ISERROR(AB9/AA9-1),"nm",AB9/AA9-1)</f>
        <v>-6.6491688538932614E-2</v>
      </c>
      <c r="AC267" s="846">
        <f>IF(ISERROR(AC9/AB9-1),"nm",AC9/AB9-1)</f>
        <v>-0.32708528584817254</v>
      </c>
      <c r="AD267" s="846">
        <f>IF(ISERROR(AD9/AC9-1),"nm",AD9/AC9-1)</f>
        <v>0.11838440111420634</v>
      </c>
      <c r="AE267" s="844"/>
      <c r="AF267" s="1116"/>
      <c r="AG267" s="845">
        <f>IF(ISERROR(AG9/AD9-1),"nm",AG9/AD9-1)</f>
        <v>-8.7173100871733578E-3</v>
      </c>
      <c r="AH267" s="846">
        <f>IF(ISERROR(AH9/AG9-1),"nm",AH9/AG9-1)</f>
        <v>-9.2964824120602918E-2</v>
      </c>
      <c r="AI267" s="846">
        <f>IF(ISERROR(AI9/AH9-1),"nm",AI9/AH9-1)</f>
        <v>0.1412742382271468</v>
      </c>
      <c r="AJ267" s="847">
        <f>IF(ISERROR(AJ9/AI9-1),"nm",AJ9/AI9-1)</f>
        <v>-2.9126213592233108E-2</v>
      </c>
      <c r="AK267" s="844"/>
      <c r="AL267" s="1116"/>
      <c r="AM267" s="845">
        <f>IF(ISERROR(AM9/AJ9-1),"nm",AM9/AJ9-1)</f>
        <v>0.10124999999999984</v>
      </c>
      <c r="AN267" s="846">
        <f>IF(ISERROR(AN9/AM9-1),"nm",AN9/AM9-1)</f>
        <v>7.6049943246311091E-2</v>
      </c>
      <c r="AO267" s="846">
        <f>IF(ISERROR(AO9/AN9-1),"nm",AO9/AN9-1)</f>
        <v>5.1729957805907389E-2</v>
      </c>
      <c r="AP267" s="846">
        <f>IF(ISERROR(AP9/AO9-1),"nm",AP9/AO9-1)</f>
        <v>-0.10735777902591681</v>
      </c>
      <c r="AQ267" s="844"/>
      <c r="AR267" s="1116"/>
      <c r="AS267" s="845">
        <f>IF(ISERROR(AS9/AP9-1),"nm",AS9/AP9-1)</f>
        <v>0.30112359550561796</v>
      </c>
      <c r="AT267" s="846">
        <f>IF(ISERROR(AT9/AS9-1),"nm",AT9/AS9-1)</f>
        <v>0.21070811744386875</v>
      </c>
      <c r="AU267" s="846">
        <f>IF(ISERROR(AU9/AT9-1),"nm",AU9/AT9-1)</f>
        <v>6.9900142653352537E-2</v>
      </c>
      <c r="AV267" s="1735">
        <f>IF(ISERROR(AV9/AU9-1),"nm",AV9/AU9-1)</f>
        <v>4.0000000000000036E-2</v>
      </c>
      <c r="AW267" s="1736"/>
      <c r="AX267" s="1737"/>
      <c r="AY267" s="1738">
        <f>IF(ISERROR(AY9/AV9-1),"nm",AY9/AV9-1)</f>
        <v>-6.4102564102564097E-2</v>
      </c>
      <c r="AZ267" s="1735">
        <f>IF(ISERROR(AZ9/AY9-1),"nm",AZ9/AY9-1)</f>
        <v>6.164383561643838E-2</v>
      </c>
      <c r="BA267" s="1735">
        <f>IF(ISERROR(BA9/AZ9-1),"nm",BA9/AZ9-1)</f>
        <v>-6.4516129032258118E-2</v>
      </c>
      <c r="BB267" s="1735">
        <f>IF(ISERROR(BB9/BA9-1),"nm",BB9/BA9-1)</f>
        <v>2.0689655172413834E-2</v>
      </c>
      <c r="BC267" s="1736"/>
      <c r="BD267" s="1737"/>
      <c r="BE267" s="1738">
        <f>IF(ISERROR(BE9/BB9-1),"nm",BE9/BB9-1)</f>
        <v>-0.20270270270270274</v>
      </c>
      <c r="BF267" s="1735">
        <f>IF(ISERROR(BF9/BE9-1),"nm",BF9/BE9-1)</f>
        <v>6.7796610169491567E-2</v>
      </c>
      <c r="BG267" s="1735">
        <f>IF(ISERROR(BG9/BF9-1),"nm",BG9/BF9-1)</f>
        <v>-0.11111111111111116</v>
      </c>
      <c r="BH267" s="1739">
        <f>IF(ISERROR(BH9/BG9-1),"nm",BH9/BG9-1)</f>
        <v>1.7857142857142794E-2</v>
      </c>
      <c r="BI267" s="1736"/>
      <c r="BJ267" s="1737"/>
      <c r="BK267" s="1738">
        <f>IF(ISERROR(BK9/BH9-1),"nm",BK9/BH9-1)</f>
        <v>-0.1228070175438597</v>
      </c>
      <c r="BL267" s="1735">
        <f>IF(ISERROR(BL9/BK9-1),"nm",BL9/BK9-1)</f>
        <v>0.3600000000000001</v>
      </c>
      <c r="BM267" s="1735">
        <f>IF(ISERROR(BM9/BL9-1),"nm",BM9/BL9-1)</f>
        <v>2.9411764705882248E-2</v>
      </c>
      <c r="BN267" s="1739">
        <f>IF(ISERROR(BN9/BM9-1),"nm",BN9/BM9-1)</f>
        <v>-7.1428571428571175E-3</v>
      </c>
      <c r="BO267" s="1736"/>
      <c r="BP267" s="1737"/>
      <c r="BQ267" s="1738">
        <f>IF(ISERROR(BQ9/BN9-1),"nm",BQ9/BN9-1)</f>
        <v>-0.15107913669064743</v>
      </c>
      <c r="BR267" s="1735">
        <f>IF(ISERROR(BR9/BQ9-1),"nm",BR9/BQ9-1)</f>
        <v>7.7830508474576288E-2</v>
      </c>
      <c r="BS267" s="1735">
        <f>IF(ISERROR(BS9/BR9-1),"nm",BS9/BR9-1)</f>
        <v>2.7493631274374097E-2</v>
      </c>
      <c r="BT267" s="1739">
        <f>IF(ISERROR(BT9/BS9-1),"nm",BT9/BS9-1)</f>
        <v>0</v>
      </c>
      <c r="BU267" s="1736"/>
      <c r="BV267" s="1737"/>
      <c r="BW267" s="1738">
        <f>IF(ISERROR(BW9/BT9-1),"nm",BW9/BT9-1)</f>
        <v>-0.12935340514957239</v>
      </c>
      <c r="BX267" s="1735">
        <f>IF(ISERROR(BX9/BW9-1),"nm",BX9/BW9-1)</f>
        <v>0</v>
      </c>
      <c r="BY267" s="1735">
        <f>IF(ISERROR(BY9/BX9-1),"nm",BY9/BX9-1)</f>
        <v>0</v>
      </c>
      <c r="BZ267" s="1739">
        <f>IF(ISERROR(BZ9/BY9-1),"nm",BZ9/BY9-1)</f>
        <v>0</v>
      </c>
      <c r="CA267" s="1736"/>
      <c r="CB267" s="1737"/>
      <c r="CC267" s="1738">
        <f>IF(ISERROR(CC9/BZ9-1),"nm",CC9/BZ9-1)</f>
        <v>-5.7623811543219605E-2</v>
      </c>
      <c r="CD267" s="1735">
        <f>IF(ISERROR(CD9/CC9-1),"nm",CD9/CC9-1)</f>
        <v>0</v>
      </c>
      <c r="CE267" s="1735">
        <f>IF(ISERROR(CE9/CD9-1),"nm",CE9/CD9-1)</f>
        <v>0</v>
      </c>
      <c r="CF267" s="1739">
        <f>IF(ISERROR(CF9/CE9-1),"nm",CF9/CE9-1)</f>
        <v>0</v>
      </c>
      <c r="CG267" s="1736"/>
      <c r="CH267" s="1737"/>
      <c r="CI267" s="1738">
        <f>IF(ISERROR(CI9/CF9-1),"nm",CI9/CF9-1)</f>
        <v>-3.7306298702206586E-3</v>
      </c>
      <c r="CJ267" s="1735">
        <f>IF(ISERROR(CJ9/CI9-1),"nm",CJ9/CI9-1)</f>
        <v>0</v>
      </c>
      <c r="CK267" s="1735">
        <f>IF(ISERROR(CK9/CJ9-1),"nm",CK9/CJ9-1)</f>
        <v>0</v>
      </c>
      <c r="CL267" s="1739">
        <f>IF(ISERROR(CL9/CK9-1),"nm",CL9/CK9-1)</f>
        <v>0</v>
      </c>
      <c r="CM267" s="1736"/>
      <c r="CN267" s="1737"/>
      <c r="CO267" s="1738">
        <f>IF(ISERROR(CO9/CL9-1),"nm",CO9/CL9-1)</f>
        <v>-3.7445995852856129E-3</v>
      </c>
      <c r="CP267" s="1735">
        <f>IF(ISERROR(CP9/CO9-1),"nm",CP9/CO9-1)</f>
        <v>0</v>
      </c>
      <c r="CQ267" s="1735">
        <f>IF(ISERROR(CQ9/CP9-1),"nm",CQ9/CP9-1)</f>
        <v>0</v>
      </c>
      <c r="CR267" s="1739">
        <f>IF(ISERROR(CR9/CQ9-1),"nm",CR9/CQ9-1)</f>
        <v>0</v>
      </c>
      <c r="CS267" s="1736"/>
      <c r="CT267" s="231"/>
      <c r="CU267" s="60"/>
      <c r="CV267" s="60"/>
      <c r="CW267" s="60"/>
      <c r="CX267" s="60"/>
      <c r="CY267" s="60"/>
      <c r="CZ267" s="60"/>
      <c r="DA267" s="60"/>
      <c r="DB267" s="60"/>
      <c r="DC267" s="60"/>
      <c r="DD267" s="60"/>
      <c r="DE267" s="60"/>
      <c r="DF267" s="60"/>
      <c r="DG267" s="60"/>
      <c r="DH267" s="60"/>
      <c r="DI267" s="68"/>
      <c r="DJ267" s="68"/>
      <c r="DK267" s="68"/>
      <c r="DL267" s="68"/>
      <c r="DM267" s="68"/>
      <c r="DN267" s="68"/>
      <c r="DO267" s="68"/>
      <c r="DP267" s="68"/>
      <c r="DQ267" s="68"/>
      <c r="DR267" s="68"/>
      <c r="DS267" s="68"/>
      <c r="DT267" s="68"/>
    </row>
    <row r="268" spans="1:124" ht="12.75" hidden="1" customHeight="1" outlineLevel="2">
      <c r="A268" s="232" t="s">
        <v>213</v>
      </c>
      <c r="B268" s="62"/>
      <c r="C268" s="839">
        <v>0.14050524970451206</v>
      </c>
      <c r="D268" s="840">
        <f>IF(ISERROR(D11/C11-1),"nm",D11/C11-1)</f>
        <v>0.18660289064754831</v>
      </c>
      <c r="E268" s="840">
        <f>IF(ISERROR(E11/D11-1),"nm",E11/D11-1)</f>
        <v>0.15065502183406121</v>
      </c>
      <c r="F268" s="840">
        <f>IF(ISERROR(F11/E11-1),"nm",F11/E11-1)</f>
        <v>6.6413662239089177E-2</v>
      </c>
      <c r="G268" s="841"/>
      <c r="H268" s="1115"/>
      <c r="I268" s="842">
        <f>IF(ISERROR(I11/F11-1),"nm",I11/F11-1)</f>
        <v>0.1225855871886119</v>
      </c>
      <c r="J268" s="840">
        <f>IF(ISERROR(J11/I11-1),"nm",J11/I11-1)</f>
        <v>0.29498959490918519</v>
      </c>
      <c r="K268" s="840">
        <f>IF(ISERROR(K11/J11-1),"nm",K11/J11-1)</f>
        <v>0.10403916768665855</v>
      </c>
      <c r="L268" s="840">
        <f>IF(ISERROR(L11/K11-1),"nm",L11/K11-1)</f>
        <v>9.4353547671840232E-2</v>
      </c>
      <c r="M268" s="841"/>
      <c r="N268" s="1115"/>
      <c r="O268" s="842">
        <f>IF(ISERROR(O11/L11-1),"nm",O11/L11-1)</f>
        <v>4.4466409869083012E-2</v>
      </c>
      <c r="P268" s="840">
        <f>IF(ISERROR(P11/O11-1),"nm",P11/O11-1)</f>
        <v>-6.4015518913675962E-2</v>
      </c>
      <c r="Q268" s="840">
        <f>IF(ISERROR(Q11/P11-1),"nm",Q11/P11-1)</f>
        <v>-9.8445595854922296E-2</v>
      </c>
      <c r="R268" s="843">
        <f>IF(ISERROR(R11/Q11-1),"nm",R11/Q11-1)</f>
        <v>0.20344827586206882</v>
      </c>
      <c r="S268" s="844"/>
      <c r="T268" s="1116"/>
      <c r="U268" s="845">
        <f>IF(ISERROR(U11/R11-1),"nm",U11/R11-1)</f>
        <v>8.8825214899713512E-2</v>
      </c>
      <c r="V268" s="846">
        <f>IF(ISERROR(V11/U11-1),"nm",V11/U11-1)</f>
        <v>0.10263157894736841</v>
      </c>
      <c r="W268" s="846">
        <f>IF(ISERROR(W11/V11-1),"nm",W11/V11-1)</f>
        <v>5.8074781225139205E-2</v>
      </c>
      <c r="X268" s="846">
        <f>IF(ISERROR(X11/W11-1),"nm",X11/W11-1)</f>
        <v>-5.2631578947367474E-3</v>
      </c>
      <c r="Y268" s="844"/>
      <c r="Z268" s="1116"/>
      <c r="AA268" s="845">
        <f>IF(ISERROR(AA11/X11-1),"nm",AA11/X11-1)</f>
        <v>0.11942554799697636</v>
      </c>
      <c r="AB268" s="846">
        <f>IF(ISERROR(AB11/AA11-1),"nm",AB11/AA11-1)</f>
        <v>7.3598919648885985E-2</v>
      </c>
      <c r="AC268" s="846">
        <f>IF(ISERROR(AC11/AB11-1),"nm",AC11/AB11-1)</f>
        <v>-8.8679245283018848E-2</v>
      </c>
      <c r="AD268" s="846">
        <f>IF(ISERROR(AD11/AC11-1),"nm",AD11/AC11-1)</f>
        <v>-7.5914423740514048E-3</v>
      </c>
      <c r="AE268" s="844"/>
      <c r="AF268" s="1116"/>
      <c r="AG268" s="845">
        <f>IF(ISERROR(AG11/AD11-1),"nm",AG11/AD11-1)</f>
        <v>0.20236439499304626</v>
      </c>
      <c r="AH268" s="846">
        <f>IF(ISERROR(AH11/AG11-1),"nm",AH11/AG11-1)</f>
        <v>6.2463851937536008E-2</v>
      </c>
      <c r="AI268" s="846">
        <f>IF(ISERROR(AI11/AH11-1),"nm",AI11/AH11-1)</f>
        <v>-3.8105606967882455E-2</v>
      </c>
      <c r="AJ268" s="847">
        <f>IF(ISERROR(AJ11/AI11-1),"nm",AJ11/AI11-1)</f>
        <v>0.10884550084889622</v>
      </c>
      <c r="AK268" s="844"/>
      <c r="AL268" s="1116"/>
      <c r="AM268" s="845">
        <f>IF(ISERROR(AM11/AJ11-1),"nm",AM11/AJ11-1)</f>
        <v>4.5765644378435777E-2</v>
      </c>
      <c r="AN268" s="846">
        <f>IF(ISERROR(AN11/AM11-1),"nm",AN11/AM11-1)</f>
        <v>5.1244509516837455E-2</v>
      </c>
      <c r="AO268" s="846">
        <f>IF(ISERROR(AO11/AN11-1),"nm",AO11/AN11-1)</f>
        <v>2.3166202414113268E-3</v>
      </c>
      <c r="AP268" s="846">
        <f>IF(ISERROR(AP11/AO11-1),"nm",AP11/AO11-1)</f>
        <v>0.13015808317778221</v>
      </c>
      <c r="AQ268" s="844"/>
      <c r="AR268" s="1116"/>
      <c r="AS268" s="845">
        <f>IF(ISERROR(AS11/AP11-1),"nm",AS11/AP11-1)</f>
        <v>-6.147540983606592E-3</v>
      </c>
      <c r="AT268" s="846">
        <f>IF(ISERROR(AT11/AS11-1),"nm",AT11/AS11-1)</f>
        <v>1.7319587628865873E-2</v>
      </c>
      <c r="AU268" s="846">
        <f>IF(ISERROR(AU11/AT11-1),"nm",AU11/AT11-1)</f>
        <v>5.7965139845966851E-2</v>
      </c>
      <c r="AV268" s="1735">
        <f>IF(ISERROR(AV11/AU11-1),"nm",AV11/AU11-1)</f>
        <v>0.11111111111111116</v>
      </c>
      <c r="AW268" s="1736"/>
      <c r="AX268" s="1737"/>
      <c r="AY268" s="1738">
        <f>IF(ISERROR(AY11/AV11-1),"nm",AY11/AV11-1)</f>
        <v>6.5517241379310365E-2</v>
      </c>
      <c r="AZ268" s="1735">
        <f>IF(ISERROR(AZ11/AY11-1),"nm",AZ11/AY11-1)</f>
        <v>-1.9417475728155331E-2</v>
      </c>
      <c r="BA268" s="1735">
        <f>IF(ISERROR(BA11/AZ11-1),"nm",BA11/AZ11-1)</f>
        <v>5.9504950495049336E-2</v>
      </c>
      <c r="BB268" s="1735">
        <f>IF(ISERROR(BB11/BA11-1),"nm",BB11/BA11-1)</f>
        <v>7.7780892751456276E-2</v>
      </c>
      <c r="BC268" s="1736"/>
      <c r="BD268" s="1737"/>
      <c r="BE268" s="1738">
        <f>IF(ISERROR(BE11/BB11-1),"nm",BE11/BB11-1)</f>
        <v>4.3352601156069426E-2</v>
      </c>
      <c r="BF268" s="1735">
        <f>IF(ISERROR(BF11/BE11-1),"nm",BF11/BE11-1)</f>
        <v>4.9801401662049827E-2</v>
      </c>
      <c r="BG268" s="1735">
        <f>IF(ISERROR(BG11/BF11-1),"nm",BG11/BF11-1)</f>
        <v>4.4914692293758884E-2</v>
      </c>
      <c r="BH268" s="1739">
        <f>IF(ISERROR(BH11/BG11-1),"nm",BH11/BG11-1)</f>
        <v>2.7777777777777679E-2</v>
      </c>
      <c r="BI268" s="1736"/>
      <c r="BJ268" s="1737"/>
      <c r="BK268" s="1738">
        <f>IF(ISERROR(BK11/BH11-1),"nm",BK11/BH11-1)</f>
        <v>-4.9140049140049102E-2</v>
      </c>
      <c r="BL268" s="1735">
        <f>IF(ISERROR(BL11/BK11-1),"nm",BL11/BK11-1)</f>
        <v>3.8759689922480689E-2</v>
      </c>
      <c r="BM268" s="1735">
        <f>IF(ISERROR(BM11/BL11-1),"nm",BM11/BL11-1)</f>
        <v>0.12189054726368154</v>
      </c>
      <c r="BN268" s="1739">
        <f>IF(ISERROR(BN11/BM11-1),"nm",BN11/BM11-1)</f>
        <v>0.13968957871396892</v>
      </c>
      <c r="BO268" s="1736"/>
      <c r="BP268" s="1737"/>
      <c r="BQ268" s="1738">
        <f>IF(ISERROR(BQ11/BN11-1),"nm",BQ11/BN11-1)</f>
        <v>-1.945525291828798E-2</v>
      </c>
      <c r="BR268" s="1735">
        <f>IF(ISERROR(BR11/BQ11-1),"nm",BR11/BQ11-1)</f>
        <v>2.9924003771131247E-3</v>
      </c>
      <c r="BS268" s="1735">
        <f>IF(ISERROR(BS11/BR11-1),"nm",BS11/BR11-1)</f>
        <v>2.1736006156314547E-2</v>
      </c>
      <c r="BT268" s="1739">
        <f>IF(ISERROR(BT11/BS11-1),"nm",BT11/BS11-1)</f>
        <v>4.5559855866897925E-2</v>
      </c>
      <c r="BU268" s="1736"/>
      <c r="BV268" s="1737"/>
      <c r="BW268" s="1738">
        <f>IF(ISERROR(BW11/BT11-1),"nm",BW11/BT11-1)</f>
        <v>2.863770769961671E-2</v>
      </c>
      <c r="BX268" s="1735">
        <f>IF(ISERROR(BX11/BW11-1),"nm",BX11/BW11-1)</f>
        <v>-1.8805002387440872E-3</v>
      </c>
      <c r="BY268" s="1735">
        <f>IF(ISERROR(BY11/BX11-1),"nm",BY11/BX11-1)</f>
        <v>2.0886355182156091E-2</v>
      </c>
      <c r="BZ268" s="1739">
        <f>IF(ISERROR(BZ11/BY11-1),"nm",BZ11/BY11-1)</f>
        <v>3.8422806022013534E-2</v>
      </c>
      <c r="CA268" s="1736"/>
      <c r="CB268" s="1737"/>
      <c r="CC268" s="1738">
        <f>IF(ISERROR(CC11/BZ11-1),"nm",CC11/BZ11-1)</f>
        <v>2.3533419915489295E-2</v>
      </c>
      <c r="CD268" s="1735">
        <f>IF(ISERROR(CD11/CC11-1),"nm",CD11/CC11-1)</f>
        <v>-4.0325822785614029E-4</v>
      </c>
      <c r="CE268" s="1735">
        <f>IF(ISERROR(CE11/CD11-1),"nm",CE11/CD11-1)</f>
        <v>2.1511251601361137E-2</v>
      </c>
      <c r="CF268" s="1739">
        <f>IF(ISERROR(CF11/CE11-1),"nm",CF11/CE11-1)</f>
        <v>3.8311809596528912E-2</v>
      </c>
      <c r="CG268" s="1736"/>
      <c r="CH268" s="1737"/>
      <c r="CI268" s="1738">
        <f>IF(ISERROR(CI11/CF11-1),"nm",CI11/CF11-1)</f>
        <v>2.3300200867922172E-2</v>
      </c>
      <c r="CJ268" s="1735">
        <f>IF(ISERROR(CJ11/CI11-1),"nm",CJ11/CI11-1)</f>
        <v>-4.6461438197120675E-4</v>
      </c>
      <c r="CK268" s="1735">
        <f>IF(ISERROR(CK11/CJ11-1),"nm",CK11/CJ11-1)</f>
        <v>2.098429445279848E-2</v>
      </c>
      <c r="CL268" s="1739">
        <f>IF(ISERROR(CL11/CK11-1),"nm",CL11/CK11-1)</f>
        <v>4.0600039603940097E-2</v>
      </c>
      <c r="CM268" s="1736"/>
      <c r="CN268" s="1737"/>
      <c r="CO268" s="1738">
        <f>IF(ISERROR(CO11/CL11-1),"nm",CO11/CL11-1)</f>
        <v>2.9642380439307559E-2</v>
      </c>
      <c r="CP268" s="1735">
        <f>IF(ISERROR(CP11/CO11-1),"nm",CP11/CO11-1)</f>
        <v>7.1539072940065562E-3</v>
      </c>
      <c r="CQ268" s="1735">
        <f>IF(ISERROR(CQ11/CP11-1),"nm",CQ11/CP11-1)</f>
        <v>2.6028637962469015E-2</v>
      </c>
      <c r="CR268" s="1739">
        <f>IF(ISERROR(CR11/CQ11-1),"nm",CR11/CQ11-1)</f>
        <v>4.0974023687129435E-2</v>
      </c>
      <c r="CS268" s="1736"/>
      <c r="CT268" s="231"/>
      <c r="CU268" s="60"/>
      <c r="CV268" s="60"/>
      <c r="CW268" s="60"/>
      <c r="CX268" s="60"/>
      <c r="CY268" s="60"/>
      <c r="CZ268" s="60"/>
      <c r="DA268" s="60"/>
      <c r="DB268" s="60"/>
      <c r="DC268" s="60"/>
      <c r="DD268" s="60"/>
      <c r="DE268" s="60"/>
      <c r="DF268" s="60"/>
      <c r="DG268" s="60"/>
      <c r="DH268" s="60"/>
      <c r="DI268" s="68"/>
      <c r="DJ268" s="68"/>
      <c r="DK268" s="68"/>
      <c r="DL268" s="68"/>
      <c r="DM268" s="68"/>
      <c r="DN268" s="68"/>
      <c r="DO268" s="68"/>
      <c r="DP268" s="68"/>
      <c r="DQ268" s="68"/>
      <c r="DR268" s="68"/>
      <c r="DS268" s="68"/>
      <c r="DT268" s="68"/>
    </row>
    <row r="269" spans="1:124" ht="12.75" hidden="1" customHeight="1" outlineLevel="2">
      <c r="A269" s="230" t="s">
        <v>217</v>
      </c>
      <c r="B269" s="62"/>
      <c r="C269" s="839">
        <v>8.3513744013645308E-2</v>
      </c>
      <c r="D269" s="840">
        <f>IF(ISERROR(D39/C39-1),"nm",D39/C39-1)</f>
        <v>0.10875986192782139</v>
      </c>
      <c r="E269" s="840">
        <f>IF(ISERROR(E39/D39-1),"nm",E39/D39-1)</f>
        <v>0.20569101886086028</v>
      </c>
      <c r="F269" s="840">
        <f>IF(ISERROR(F39/E39-1),"nm",F39/E39-1)</f>
        <v>4.3707786662526171E-2</v>
      </c>
      <c r="G269" s="841"/>
      <c r="H269" s="1115"/>
      <c r="I269" s="842">
        <f>IF(ISERROR(I39/F39-1),"nm",I39/F39-1)</f>
        <v>5.4094912228503267E-2</v>
      </c>
      <c r="J269" s="840">
        <f>IF(ISERROR(J39/I39-1),"nm",J39/I39-1)</f>
        <v>0.14585853105992341</v>
      </c>
      <c r="K269" s="840">
        <f>IF(ISERROR(K39/J39-1),"nm",K39/J39-1)</f>
        <v>7.4592397579788638E-2</v>
      </c>
      <c r="L269" s="840">
        <f>IF(ISERROR(L39/K39-1),"nm",L39/K39-1)</f>
        <v>4.8138800538697124E-2</v>
      </c>
      <c r="M269" s="841"/>
      <c r="N269" s="1115"/>
      <c r="O269" s="842">
        <f>IF(ISERROR(O39/L39-1),"nm",O39/L39-1)</f>
        <v>-3.8382573430938205E-2</v>
      </c>
      <c r="P269" s="840">
        <f>IF(ISERROR(P39/O39-1),"nm",P39/O39-1)</f>
        <v>-0.13917555081734179</v>
      </c>
      <c r="Q269" s="840">
        <f>IF(ISERROR(Q39/P39-1),"nm",Q39/P39-1)</f>
        <v>-0.17878432602916217</v>
      </c>
      <c r="R269" s="843">
        <f>IF(ISERROR(R39/Q39-1),"nm",R39/Q39-1)</f>
        <v>0.17682779699187723</v>
      </c>
      <c r="S269" s="844"/>
      <c r="T269" s="1116"/>
      <c r="U269" s="845">
        <f>IF(ISERROR(U39/R39-1),"nm",U39/R39-1)</f>
        <v>7.3400426021483112E-2</v>
      </c>
      <c r="V269" s="846">
        <f>IF(ISERROR(V39/U39-1),"nm",V39/U39-1)</f>
        <v>0.13547423799050762</v>
      </c>
      <c r="W269" s="846">
        <f>IF(ISERROR(W39/V39-1),"nm",W39/V39-1)</f>
        <v>-1.7636972954665042E-2</v>
      </c>
      <c r="X269" s="846">
        <f>IF(ISERROR(X39/W39-1),"nm",X39/W39-1)</f>
        <v>-2.6914733127200274E-2</v>
      </c>
      <c r="Y269" s="844"/>
      <c r="Z269" s="1116"/>
      <c r="AA269" s="845">
        <f>IF(ISERROR(AA39/X39-1),"nm",AA39/X39-1)</f>
        <v>-4.0774043149245709E-2</v>
      </c>
      <c r="AB269" s="846">
        <f>IF(ISERROR(AB39/AA39-1),"nm",AB39/AA39-1)</f>
        <v>0.15969048372703787</v>
      </c>
      <c r="AC269" s="846">
        <f>IF(ISERROR(AC39/AB39-1),"nm",AC39/AB39-1)</f>
        <v>-0.19567770213756308</v>
      </c>
      <c r="AD269" s="846">
        <f>IF(ISERROR(AD39/AC39-1),"nm",AD39/AC39-1)</f>
        <v>-4.6789486310414241E-2</v>
      </c>
      <c r="AE269" s="844"/>
      <c r="AF269" s="1116"/>
      <c r="AG269" s="845">
        <f>IF(ISERROR(AG39/AD39-1),"nm",AG39/AD39-1)</f>
        <v>0.16346876816171463</v>
      </c>
      <c r="AH269" s="846">
        <f>IF(ISERROR(AH39/AG39-1),"nm",AH39/AG39-1)</f>
        <v>-7.6509007689527841E-2</v>
      </c>
      <c r="AI269" s="846">
        <f>IF(ISERROR(AI39/AH39-1),"nm",AI39/AH39-1)</f>
        <v>-4.3848599339781913E-2</v>
      </c>
      <c r="AJ269" s="847">
        <f>IF(ISERROR(AJ39/AI39-1),"nm",AJ39/AI39-1)</f>
        <v>0.10150982676627041</v>
      </c>
      <c r="AK269" s="844"/>
      <c r="AL269" s="1116"/>
      <c r="AM269" s="845">
        <f>IF(ISERROR(AM39/AJ39-1),"nm",AM39/AJ39-1)</f>
        <v>3.1644978239010024E-2</v>
      </c>
      <c r="AN269" s="846">
        <f>IF(ISERROR(AN39/AM39-1),"nm",AN39/AM39-1)</f>
        <v>-4.397246127062171E-2</v>
      </c>
      <c r="AO269" s="846">
        <f>IF(ISERROR(AO39/AN39-1),"nm",AO39/AN39-1)</f>
        <v>-6.5166697876025803E-2</v>
      </c>
      <c r="AP269" s="846">
        <f>IF(ISERROR(AP39/AO39-1),"nm",AP39/AO39-1)</f>
        <v>0.10991198209171249</v>
      </c>
      <c r="AQ269" s="844"/>
      <c r="AR269" s="1116"/>
      <c r="AS269" s="845">
        <f>IF(ISERROR(AS39/AP39-1),"nm",AS39/AP39-1)</f>
        <v>5.303876870711588E-2</v>
      </c>
      <c r="AT269" s="846">
        <f>IF(ISERROR(AT39/AS39-1),"nm",AT39/AS39-1)</f>
        <v>-0.12350626513002372</v>
      </c>
      <c r="AU269" s="846">
        <f>IF(ISERROR(AU39/AT39-1),"nm",AU39/AT39-1)</f>
        <v>-0.17758440122847508</v>
      </c>
      <c r="AV269" s="1735">
        <f>IF(ISERROR(AV39/AU39-1),"nm",AV39/AU39-1)</f>
        <v>0.14681917969783931</v>
      </c>
      <c r="AW269" s="1736"/>
      <c r="AX269" s="1737"/>
      <c r="AY269" s="1738">
        <f>IF(ISERROR(AY39/AV39-1),"nm",AY39/AV39-1)</f>
        <v>-3.11639148838605E-2</v>
      </c>
      <c r="AZ269" s="1735">
        <f>IF(ISERROR(AZ39/AY39-1),"nm",AZ39/AY39-1)</f>
        <v>-0.17112676056338028</v>
      </c>
      <c r="BA269" s="1735">
        <f>IF(ISERROR(BA39/AZ39-1),"nm",BA39/AZ39-1)</f>
        <v>-6.8819031435853883E-2</v>
      </c>
      <c r="BB269" s="1735">
        <f>IF(ISERROR(BB39/BA39-1),"nm",BB39/BA39-1)</f>
        <v>0.34854014598540162</v>
      </c>
      <c r="BC269" s="1736"/>
      <c r="BD269" s="1737"/>
      <c r="BE269" s="1738">
        <f>IF(ISERROR(BE39/BB39-1),"nm",BE39/BB39-1)</f>
        <v>-6.3599458728010871E-2</v>
      </c>
      <c r="BF269" s="1735">
        <f>IF(ISERROR(BF39/BE39-1),"nm",BF39/BE39-1)</f>
        <v>6.8641618497109924E-2</v>
      </c>
      <c r="BG269" s="1735">
        <f>IF(ISERROR(BG39/BF39-1),"nm",BG39/BF39-1)</f>
        <v>-5.3414469235970263E-2</v>
      </c>
      <c r="BH269" s="1739">
        <f>IF(ISERROR(BH39/BG39-1),"nm",BH39/BG39-1)</f>
        <v>0.13071428571428578</v>
      </c>
      <c r="BI269" s="1736"/>
      <c r="BJ269" s="1737"/>
      <c r="BK269" s="1738">
        <f>IF(ISERROR(BK39/BH39-1),"nm",BK39/BH39-1)</f>
        <v>-6.6329753632343613E-2</v>
      </c>
      <c r="BL269" s="1735">
        <f>IF(ISERROR(BL39/BK39-1),"nm",BL39/BK39-1)</f>
        <v>-5.3450608930987853E-2</v>
      </c>
      <c r="BM269" s="1735">
        <f>IF(ISERROR(BM39/BL39-1),"nm",BM39/BL39-1)</f>
        <v>0.18513223731236605</v>
      </c>
      <c r="BN269" s="1739">
        <f>IF(ISERROR(BN39/BM39-1),"nm",BN39/BM39-1)</f>
        <v>8.6248492159227919E-2</v>
      </c>
      <c r="BO269" s="1736"/>
      <c r="BP269" s="1737"/>
      <c r="BQ269" s="1738">
        <f>IF(ISERROR(BQ39/BN39-1),"nm",BQ39/BN39-1)</f>
        <v>3.2204330927262603E-2</v>
      </c>
      <c r="BR269" s="1735">
        <f>IF(ISERROR(BR39/BQ39-1),"nm",BR39/BQ39-1)</f>
        <v>-0.1097364174287252</v>
      </c>
      <c r="BS269" s="1735">
        <f>IF(ISERROR(BS39/BR39-1),"nm",BS39/BR39-1)</f>
        <v>1.5709969788519684E-2</v>
      </c>
      <c r="BT269" s="1739">
        <f>IF(ISERROR(BT39/BS39-1),"nm",BT39/BS39-1)</f>
        <v>0.12444973230220091</v>
      </c>
      <c r="BU269" s="1736"/>
      <c r="BV269" s="1737"/>
      <c r="BW269" s="1738">
        <f>IF(ISERROR(BW39/BT39-1),"nm",BW39/BT39-1)</f>
        <v>2.1585017458469968E-2</v>
      </c>
      <c r="BX269" s="1735">
        <f>IF(ISERROR(BX39/BW39-1),"nm",BX39/BW39-1)</f>
        <v>-0.11092698083894359</v>
      </c>
      <c r="BY269" s="1735">
        <f>IF(ISERROR(BY39/BX39-1),"nm",BY39/BX39-1)</f>
        <v>1.5901677539608583E-2</v>
      </c>
      <c r="BZ269" s="1739">
        <f>IF(ISERROR(BZ39/BY39-1),"nm",BZ39/BY39-1)</f>
        <v>0.12594461326758766</v>
      </c>
      <c r="CA269" s="1736"/>
      <c r="CB269" s="1737"/>
      <c r="CC269" s="1738">
        <f>IF(ISERROR(CC39/BZ39-1),"nm",CC39/BZ39-1)</f>
        <v>2.5761803886422019E-2</v>
      </c>
      <c r="CD269" s="1735">
        <f>IF(ISERROR(CD39/CC39-1),"nm",CD39/CC39-1)</f>
        <v>-0.11165388338670046</v>
      </c>
      <c r="CE269" s="1735">
        <f>IF(ISERROR(CE39/CD39-1),"nm",CE39/CD39-1)</f>
        <v>1.6018978004291862E-2</v>
      </c>
      <c r="CF269" s="1739">
        <f>IF(ISERROR(CF39/CE39-1),"nm",CF39/CE39-1)</f>
        <v>0.12685900979316367</v>
      </c>
      <c r="CG269" s="1736"/>
      <c r="CH269" s="1737"/>
      <c r="CI269" s="1738">
        <f>IF(ISERROR(CI39/CF39-1),"nm",CI39/CF39-1)</f>
        <v>2.6123027331814708E-2</v>
      </c>
      <c r="CJ269" s="1735">
        <f>IF(ISERROR(CJ39/CI39-1),"nm",CJ39/CI39-1)</f>
        <v>-0.11233370634326989</v>
      </c>
      <c r="CK269" s="1735">
        <f>IF(ISERROR(CK39/CJ39-1),"nm",CK39/CJ39-1)</f>
        <v>1.6128855074079018E-2</v>
      </c>
      <c r="CL269" s="1739">
        <f>IF(ISERROR(CL39/CK39-1),"nm",CL39/CK39-1)</f>
        <v>0.12771534696640297</v>
      </c>
      <c r="CM269" s="1736"/>
      <c r="CN269" s="1737"/>
      <c r="CO269" s="1738">
        <f>IF(ISERROR(CO39/CL39-1),"nm",CO39/CL39-1)</f>
        <v>2.6466452212028813E-2</v>
      </c>
      <c r="CP269" s="1735">
        <f>IF(ISERROR(CP39/CO39-1),"nm",CP39/CO39-1)</f>
        <v>-0.11296830775347866</v>
      </c>
      <c r="CQ269" s="1735">
        <f>IF(ISERROR(CQ39/CP39-1),"nm",CQ39/CP39-1)</f>
        <v>1.6231575153711875E-2</v>
      </c>
      <c r="CR269" s="1739">
        <f>IF(ISERROR(CR39/CQ39-1),"nm",CR39/CQ39-1)</f>
        <v>0.12851573799251481</v>
      </c>
      <c r="CS269" s="1736"/>
      <c r="CT269" s="231"/>
      <c r="CU269" s="60"/>
      <c r="CV269" s="60"/>
      <c r="CW269" s="60"/>
      <c r="CX269" s="60"/>
      <c r="CY269" s="60"/>
      <c r="CZ269" s="60"/>
      <c r="DA269" s="60"/>
      <c r="DB269" s="60"/>
      <c r="DC269" s="60"/>
      <c r="DD269" s="60"/>
      <c r="DE269" s="60"/>
      <c r="DF269" s="60"/>
      <c r="DG269" s="60"/>
      <c r="DH269" s="60"/>
      <c r="DI269" s="68"/>
      <c r="DJ269" s="68"/>
      <c r="DK269" s="68"/>
      <c r="DL269" s="68"/>
      <c r="DM269" s="68"/>
      <c r="DN269" s="68"/>
      <c r="DO269" s="68"/>
      <c r="DP269" s="68"/>
      <c r="DQ269" s="68"/>
      <c r="DR269" s="68"/>
      <c r="DS269" s="68"/>
      <c r="DT269" s="68"/>
    </row>
    <row r="270" spans="1:124" ht="12.75" hidden="1" customHeight="1" outlineLevel="2">
      <c r="A270" s="232" t="s">
        <v>38</v>
      </c>
      <c r="B270" s="62"/>
      <c r="C270" s="839"/>
      <c r="D270" s="840"/>
      <c r="E270" s="840"/>
      <c r="F270" s="840"/>
      <c r="G270" s="841"/>
      <c r="H270" s="1115"/>
      <c r="I270" s="842"/>
      <c r="J270" s="840"/>
      <c r="K270" s="840"/>
      <c r="L270" s="840"/>
      <c r="M270" s="841"/>
      <c r="N270" s="1115"/>
      <c r="O270" s="842">
        <f>IF(ISERROR(O24/L24-1),"nm",O24/L24-1)</f>
        <v>-0.22112927503762991</v>
      </c>
      <c r="P270" s="840">
        <f>IF(ISERROR(P24/O24-1),"nm",P24/O24-1)</f>
        <v>4.4943820224719211E-2</v>
      </c>
      <c r="Q270" s="840">
        <f>IF(ISERROR(Q24/P24-1),"nm",Q24/P24-1)</f>
        <v>0.15053763440859824</v>
      </c>
      <c r="R270" s="843">
        <f>IF(ISERROR(R24/Q24-1),"nm",R24/Q24-1)</f>
        <v>-8.411214953270707E-2</v>
      </c>
      <c r="S270" s="844"/>
      <c r="T270" s="1116"/>
      <c r="U270" s="845">
        <f>IF(ISERROR(U24/R24-1),"nm",U24/R24-1)</f>
        <v>3.4927721088434893E-2</v>
      </c>
      <c r="V270" s="846">
        <f>IF(ISERROR(V24/U24-1),"nm",V24/U24-1)</f>
        <v>-0.2812061705318083</v>
      </c>
      <c r="W270" s="846">
        <f>IF(ISERROR(W24/V24-1),"nm",W24/V24-1)</f>
        <v>-0.31522016949656151</v>
      </c>
      <c r="X270" s="846">
        <f>IF(ISERROR(X24/W24-1),"nm",X24/W24-1)</f>
        <v>1.2979244927747211</v>
      </c>
      <c r="Y270" s="844"/>
      <c r="Z270" s="1116"/>
      <c r="AA270" s="845">
        <f>IF(ISERROR(AA24/X24-1),"nm",AA24/X24-1)</f>
        <v>-0.41489319353015741</v>
      </c>
      <c r="AB270" s="846">
        <f>IF(ISERROR(AB24/AA24-1),"nm",AB24/AA24-1)</f>
        <v>-2.8543419703938921E-2</v>
      </c>
      <c r="AC270" s="846">
        <f>IF(ISERROR(AC24/AB24-1),"nm",AC24/AB24-1)</f>
        <v>-0.30204916582983221</v>
      </c>
      <c r="AD270" s="846">
        <f>IF(ISERROR(AD24/AC24-1),"nm",AD24/AC24-1)</f>
        <v>0.65925346272602914</v>
      </c>
      <c r="AE270" s="844"/>
      <c r="AF270" s="1116"/>
      <c r="AG270" s="845">
        <f>IF(ISERROR(AG24/AD24-1),"nm",AG24/AD24-1)</f>
        <v>3.7892458631989978E-2</v>
      </c>
      <c r="AH270" s="846">
        <f>IF(ISERROR(AH24/AG24-1),"nm",AH24/AG24-1)</f>
        <v>-0.28548325255678897</v>
      </c>
      <c r="AI270" s="846">
        <f>IF(ISERROR(AI24/AH24-1),"nm",AI24/AH24-1)</f>
        <v>0.53615976190476844</v>
      </c>
      <c r="AJ270" s="847">
        <f>IF(ISERROR(AJ24/AI24-1),"nm",AJ24/AI24-1)</f>
        <v>0.15082896108740695</v>
      </c>
      <c r="AK270" s="844"/>
      <c r="AL270" s="1116"/>
      <c r="AM270" s="845">
        <f>IF(ISERROR(AM24/AJ24-1),"nm",AM24/AJ24-1)</f>
        <v>-0.13636363636363635</v>
      </c>
      <c r="AN270" s="846">
        <f>IF(ISERROR(AN24/AM24-1),"nm",AN24/AM24-1)</f>
        <v>-0.43859649122807021</v>
      </c>
      <c r="AO270" s="846">
        <f>IF(ISERROR(AO24/AN24-1),"nm",AO24/AN24-1)</f>
        <v>0.40625</v>
      </c>
      <c r="AP270" s="846">
        <f>IF(ISERROR(AP24/AO24-1),"nm",AP24/AO24-1)</f>
        <v>-0.37777777777777777</v>
      </c>
      <c r="AQ270" s="844"/>
      <c r="AR270" s="1116"/>
      <c r="AS270" s="845">
        <f>IF(ISERROR(AS24/AP24-1),"nm",AS24/AP24-1)</f>
        <v>1.0238095238095237</v>
      </c>
      <c r="AT270" s="846">
        <f>IF(ISERROR(AT24/AS24-1),"nm",AT24/AS24-1)</f>
        <v>-0.4383708249019449</v>
      </c>
      <c r="AU270" s="846">
        <f>IF(ISERROR(AU24/AT24-1),"nm",AU24/AT24-1)</f>
        <v>-0.41347106006668866</v>
      </c>
      <c r="AV270" s="1735">
        <f>IF(ISERROR(AV24/AU24-1),"nm",AV24/AU24-1)</f>
        <v>-0.375</v>
      </c>
      <c r="AW270" s="1736"/>
      <c r="AX270" s="1737"/>
      <c r="AY270" s="1738">
        <f>IF(ISERROR(AY24/AV24-1),"nm",AY24/AV24-1)</f>
        <v>0.14285714285714279</v>
      </c>
      <c r="AZ270" s="1735">
        <f>IF(ISERROR(AZ24/AY24-1),"nm",AZ24/AY24-1)</f>
        <v>0.92500000000000004</v>
      </c>
      <c r="BA270" s="1735">
        <f>IF(ISERROR(BA24/AZ24-1),"nm",BA24/AZ24-1)</f>
        <v>-0.27272727272727282</v>
      </c>
      <c r="BB270" s="1735">
        <f>IF(ISERROR(BB24/BA24-1),"nm",BB24/BA24-1)</f>
        <v>0.75000000000000022</v>
      </c>
      <c r="BC270" s="1736"/>
      <c r="BD270" s="1737"/>
      <c r="BE270" s="1738">
        <f>IF(ISERROR(BE24/BB24-1),"nm",BE24/BB24-1)</f>
        <v>-0.1428571428571429</v>
      </c>
      <c r="BF270" s="1735">
        <f>IF(ISERROR(BF24/BE24-1),"nm",BF24/BE24-1)</f>
        <v>0.41666666666666674</v>
      </c>
      <c r="BG270" s="1735">
        <f>IF(ISERROR(BG24/BF24-1),"nm",BG24/BF24-1)</f>
        <v>0.17647058823529416</v>
      </c>
      <c r="BH270" s="1739">
        <f>IF(ISERROR(BH24/BG24-1),"nm",BH24/BG24-1)</f>
        <v>-0.55000000000000004</v>
      </c>
      <c r="BI270" s="1736"/>
      <c r="BJ270" s="1737"/>
      <c r="BK270" s="1738">
        <f>IF(ISERROR(BK24/BH24-1),"nm",BK24/BH24-1)</f>
        <v>0.5555555555555558</v>
      </c>
      <c r="BL270" s="1735">
        <f>IF(ISERROR(BL24/BK24-1),"nm",BL24/BK24-1)</f>
        <v>0.21428571428571419</v>
      </c>
      <c r="BM270" s="1735">
        <f>IF(ISERROR(BM24/BL24-1),"nm",BM24/BL24-1)</f>
        <v>1</v>
      </c>
      <c r="BN270" s="1739">
        <f>IF(ISERROR(BN24/BM24-1),"nm",BN24/BM24-1)</f>
        <v>-0.32352941176470584</v>
      </c>
      <c r="BO270" s="1736"/>
      <c r="BP270" s="1737"/>
      <c r="BQ270" s="1738">
        <f>IF(ISERROR(BQ24/BN24-1),"nm",BQ24/BN24-1)</f>
        <v>-0.26086956521739135</v>
      </c>
      <c r="BR270" s="1735">
        <f>IF(ISERROR(BR24/BQ24-1),"nm",BR24/BQ24-1)</f>
        <v>0</v>
      </c>
      <c r="BS270" s="1735">
        <f>IF(ISERROR(BS24/BR24-1),"nm",BS24/BR24-1)</f>
        <v>0</v>
      </c>
      <c r="BT270" s="1739">
        <f>IF(ISERROR(BT24/BS24-1),"nm",BT24/BS24-1)</f>
        <v>0</v>
      </c>
      <c r="BU270" s="1736"/>
      <c r="BV270" s="1737"/>
      <c r="BW270" s="1738">
        <f>IF(ISERROR(BW24/BT24-1),"nm",BW24/BT24-1)</f>
        <v>-0.12605042016806722</v>
      </c>
      <c r="BX270" s="1735">
        <f>IF(ISERROR(BX24/BW24-1),"nm",BX24/BW24-1)</f>
        <v>0</v>
      </c>
      <c r="BY270" s="1735">
        <f>IF(ISERROR(BY24/BX24-1),"nm",BY24/BX24-1)</f>
        <v>0</v>
      </c>
      <c r="BZ270" s="1739">
        <f>IF(ISERROR(BZ24/BY24-1),"nm",BZ24/BY24-1)</f>
        <v>0</v>
      </c>
      <c r="CA270" s="1736"/>
      <c r="CB270" s="1737"/>
      <c r="CC270" s="1738">
        <f>IF(ISERROR(CC24/BZ24-1),"nm",CC24/BZ24-1)</f>
        <v>-7.6923076923076983E-2</v>
      </c>
      <c r="CD270" s="1735">
        <f>IF(ISERROR(CD24/CC24-1),"nm",CD24/CC24-1)</f>
        <v>0</v>
      </c>
      <c r="CE270" s="1735">
        <f>IF(ISERROR(CE24/CD24-1),"nm",CE24/CD24-1)</f>
        <v>0</v>
      </c>
      <c r="CF270" s="1739">
        <f>IF(ISERROR(CF24/CE24-1),"nm",CF24/CE24-1)</f>
        <v>0</v>
      </c>
      <c r="CG270" s="1736"/>
      <c r="CH270" s="1737"/>
      <c r="CI270" s="1738">
        <f>IF(ISERROR(CI24/CF24-1),"nm",CI24/CF24-1)</f>
        <v>-8.3333333333333259E-2</v>
      </c>
      <c r="CJ270" s="1735">
        <f>IF(ISERROR(CJ24/CI24-1),"nm",CJ24/CI24-1)</f>
        <v>0</v>
      </c>
      <c r="CK270" s="1735">
        <f>IF(ISERROR(CK24/CJ24-1),"nm",CK24/CJ24-1)</f>
        <v>0</v>
      </c>
      <c r="CL270" s="1739">
        <f>IF(ISERROR(CL24/CK24-1),"nm",CL24/CK24-1)</f>
        <v>0</v>
      </c>
      <c r="CM270" s="1736"/>
      <c r="CN270" s="1737"/>
      <c r="CO270" s="1738">
        <f>IF(ISERROR(CO24/CL24-1),"nm",CO24/CL24-1)</f>
        <v>-9.0909090909090939E-2</v>
      </c>
      <c r="CP270" s="1735">
        <f>IF(ISERROR(CP24/CO24-1),"nm",CP24/CO24-1)</f>
        <v>0</v>
      </c>
      <c r="CQ270" s="1735">
        <f>IF(ISERROR(CQ24/CP24-1),"nm",CQ24/CP24-1)</f>
        <v>0</v>
      </c>
      <c r="CR270" s="1739">
        <f>IF(ISERROR(CR24/CQ24-1),"nm",CR24/CQ24-1)</f>
        <v>0</v>
      </c>
      <c r="CS270" s="1736"/>
      <c r="CT270" s="231"/>
      <c r="CU270" s="60"/>
      <c r="CV270" s="60"/>
      <c r="CW270" s="60"/>
      <c r="CX270" s="60"/>
      <c r="CY270" s="60"/>
      <c r="CZ270" s="60"/>
      <c r="DA270" s="60"/>
      <c r="DB270" s="60"/>
      <c r="DC270" s="60"/>
      <c r="DD270" s="60"/>
      <c r="DE270" s="60"/>
      <c r="DF270" s="60"/>
      <c r="DG270" s="60"/>
      <c r="DH270" s="60"/>
      <c r="DI270" s="68"/>
      <c r="DJ270" s="68"/>
      <c r="DK270" s="68"/>
      <c r="DL270" s="68"/>
      <c r="DM270" s="68"/>
      <c r="DN270" s="68"/>
      <c r="DO270" s="68"/>
      <c r="DP270" s="68"/>
      <c r="DQ270" s="68"/>
      <c r="DR270" s="68"/>
      <c r="DS270" s="68"/>
      <c r="DT270" s="68"/>
    </row>
    <row r="271" spans="1:124" ht="12.75" hidden="1" customHeight="1" outlineLevel="2">
      <c r="A271" s="232" t="s">
        <v>39</v>
      </c>
      <c r="B271" s="62"/>
      <c r="C271" s="839"/>
      <c r="D271" s="840"/>
      <c r="E271" s="840"/>
      <c r="F271" s="840"/>
      <c r="G271" s="841"/>
      <c r="H271" s="1115"/>
      <c r="I271" s="842"/>
      <c r="J271" s="840"/>
      <c r="K271" s="840"/>
      <c r="L271" s="840"/>
      <c r="M271" s="841"/>
      <c r="N271" s="1115"/>
      <c r="O271" s="842">
        <f>IF(ISERROR(O31/L31-1),"nm",O31/L31-1)</f>
        <v>-1.2286697352897225E-2</v>
      </c>
      <c r="P271" s="840">
        <f>IF(ISERROR(P31/O31-1),"nm",P31/O31-1)</f>
        <v>-0.15990827139016273</v>
      </c>
      <c r="Q271" s="840">
        <f>IF(ISERROR(Q31/P31-1),"nm",Q31/P31-1)</f>
        <v>-0.22491010749449347</v>
      </c>
      <c r="R271" s="843">
        <f>IF(ISERROR(R31/Q31-1),"nm",R31/Q31-1)</f>
        <v>0.23107937433207026</v>
      </c>
      <c r="S271" s="844"/>
      <c r="T271" s="1116"/>
      <c r="U271" s="845">
        <f>IF(ISERROR(U31/R31-1),"nm",U31/R31-1)</f>
        <v>7.9351300161780269E-2</v>
      </c>
      <c r="V271" s="846">
        <f>IF(ISERROR(V31/U31-1),"nm",V31/U31-1)</f>
        <v>0.19727279374131745</v>
      </c>
      <c r="W271" s="846">
        <f>IF(ISERROR(W31/V31-1),"nm",W31/V31-1)</f>
        <v>8.8599153592956448E-3</v>
      </c>
      <c r="X271" s="846">
        <f>IF(ISERROR(X31/W31-1),"nm",X31/W31-1)</f>
        <v>-0.10698471723858693</v>
      </c>
      <c r="Y271" s="844"/>
      <c r="Z271" s="1116"/>
      <c r="AA271" s="845">
        <f>IF(ISERROR(AA31/X31-1),"nm",AA31/X31-1)</f>
        <v>1.7408589231517002E-2</v>
      </c>
      <c r="AB271" s="846">
        <f>IF(ISERROR(AB31/AA31-1),"nm",AB31/AA31-1)</f>
        <v>0.17652579016096381</v>
      </c>
      <c r="AC271" s="846">
        <f>IF(ISERROR(AC31/AB31-1),"nm",AC31/AB31-1)</f>
        <v>-0.18782226684741876</v>
      </c>
      <c r="AD271" s="846">
        <f>IF(ISERROR(AD31/AC31-1),"nm",AD31/AC31-1)</f>
        <v>-9.1596911924188396E-2</v>
      </c>
      <c r="AE271" s="844"/>
      <c r="AF271" s="1116"/>
      <c r="AG271" s="845">
        <f>IF(ISERROR(AG31/AD31-1),"nm",AG31/AD31-1)</f>
        <v>0.17802539398672601</v>
      </c>
      <c r="AH271" s="846">
        <f>IF(ISERROR(AH31/AG31-1),"nm",AH31/AG31-1)</f>
        <v>-5.51665970598334E-2</v>
      </c>
      <c r="AI271" s="846">
        <f>IF(ISERROR(AI31/AH31-1),"nm",AI31/AH31-1)</f>
        <v>-8.8644898388136162E-2</v>
      </c>
      <c r="AJ271" s="847">
        <f>IF(ISERROR(AJ31/AI31-1),"nm",AJ31/AI31-1)</f>
        <v>9.5089278990460935E-2</v>
      </c>
      <c r="AK271" s="844"/>
      <c r="AL271" s="1116"/>
      <c r="AM271" s="845">
        <f>IF(ISERROR(AM31/AJ31-1),"nm",AM31/AJ31-1)</f>
        <v>5.4630239417368998E-2</v>
      </c>
      <c r="AN271" s="846">
        <f>IF(ISERROR(AN31/AM31-1),"nm",AN31/AM31-1)</f>
        <v>2.3872011937520199E-4</v>
      </c>
      <c r="AO271" s="846">
        <f>IF(ISERROR(AO31/AN31-1),"nm",AO31/AN31-1)</f>
        <v>-9.4809893111122201E-2</v>
      </c>
      <c r="AP271" s="846">
        <f>IF(ISERROR(AP31/AO31-1),"nm",AP31/AO31-1)</f>
        <v>0.1575535917312092</v>
      </c>
      <c r="AQ271" s="844"/>
      <c r="AR271" s="1116"/>
      <c r="AS271" s="845">
        <f>IF(ISERROR(AS31/AP31-1),"nm",AS31/AP31-1)</f>
        <v>2.0629881150351359E-3</v>
      </c>
      <c r="AT271" s="846">
        <f>IF(ISERROR(AT31/AS31-1),"nm",AT31/AS31-1)</f>
        <v>-9.011402193882545E-2</v>
      </c>
      <c r="AU271" s="846">
        <f>IF(ISERROR(AU31/AT31-1),"nm",AU31/AT31-1)</f>
        <v>-0.16214295828925462</v>
      </c>
      <c r="AV271" s="1735">
        <f>IF(ISERROR(AV31/AU31-1),"nm",AV31/AU31-1)</f>
        <v>0.17073162894152327</v>
      </c>
      <c r="AW271" s="1736"/>
      <c r="AX271" s="1737"/>
      <c r="AY271" s="1738">
        <f>IF(ISERROR(AY31/AV31-1),"nm",AY31/AV31-1)</f>
        <v>-3.5421158405678832E-2</v>
      </c>
      <c r="AZ271" s="1735">
        <f>IF(ISERROR(AZ31/AY31-1),"nm",AZ31/AY31-1)</f>
        <v>-0.20289855072463769</v>
      </c>
      <c r="BA271" s="1735">
        <f>IF(ISERROR(BA31/AZ31-1),"nm",BA31/AZ31-1)</f>
        <v>-5.4545454545454564E-2</v>
      </c>
      <c r="BB271" s="1735">
        <f>IF(ISERROR(BB31/BA31-1),"nm",BB31/BA31-1)</f>
        <v>0.32692307692307687</v>
      </c>
      <c r="BC271" s="1736"/>
      <c r="BD271" s="1737"/>
      <c r="BE271" s="1738">
        <f>IF(ISERROR(BE31/BB31-1),"nm",BE31/BB31-1)</f>
        <v>-5.7971014492753659E-2</v>
      </c>
      <c r="BF271" s="1735">
        <f>IF(ISERROR(BF31/BE31-1),"nm",BF31/BE31-1)</f>
        <v>4.6153846153846212E-2</v>
      </c>
      <c r="BG271" s="1735">
        <f>IF(ISERROR(BG31/BF31-1),"nm",BG31/BF31-1)</f>
        <v>-7.3529411764705843E-2</v>
      </c>
      <c r="BH271" s="1739">
        <f>IF(ISERROR(BH31/BG31-1),"nm",BH31/BG31-1)</f>
        <v>0.20634920634920628</v>
      </c>
      <c r="BI271" s="1736"/>
      <c r="BJ271" s="1737"/>
      <c r="BK271" s="1738">
        <f>IF(ISERROR(BK31/BH31-1),"nm",BK31/BH31-1)</f>
        <v>-9.210526315789469E-2</v>
      </c>
      <c r="BL271" s="1735">
        <f>IF(ISERROR(BL31/BK31-1),"nm",BL31/BK31-1)</f>
        <v>-7.2463768115942018E-2</v>
      </c>
      <c r="BM271" s="1735">
        <f>IF(ISERROR(BM31/BL31-1),"nm",BM31/BL31-1)</f>
        <v>0.109375</v>
      </c>
      <c r="BN271" s="1739">
        <f>IF(ISERROR(BN31/BM31-1),"nm",BN31/BM31-1)</f>
        <v>0.15492957746478875</v>
      </c>
      <c r="BO271" s="1736"/>
      <c r="BP271" s="1737"/>
      <c r="BQ271" s="1738">
        <f>IF(ISERROR(BQ31/BN31-1),"nm",BQ31/BN31-1)</f>
        <v>6.0975609756097615E-2</v>
      </c>
      <c r="BR271" s="1735">
        <f>IF(ISERROR(BR31/BQ31-1),"nm",BR31/BQ31-1)</f>
        <v>-0.11724137931034484</v>
      </c>
      <c r="BS271" s="1735">
        <f>IF(ISERROR(BS31/BR31-1),"nm",BS31/BR31-1)</f>
        <v>1.6927083333333481E-2</v>
      </c>
      <c r="BT271" s="1739">
        <f>IF(ISERROR(BT31/BS31-1),"nm",BT31/BS31-1)</f>
        <v>0.13393085787451975</v>
      </c>
      <c r="BU271" s="1736"/>
      <c r="BV271" s="1737"/>
      <c r="BW271" s="1738">
        <f>IF(ISERROR(BW31/BT31-1),"nm",BW31/BT31-1)</f>
        <v>3.1504065040650397E-2</v>
      </c>
      <c r="BX271" s="1735">
        <f>IF(ISERROR(BX31/BW31-1),"nm",BX31/BW31-1)</f>
        <v>-0.11724137931034495</v>
      </c>
      <c r="BY271" s="1735">
        <f>IF(ISERROR(BY31/BX31-1),"nm",BY31/BX31-1)</f>
        <v>1.6927083333333481E-2</v>
      </c>
      <c r="BZ271" s="1739">
        <f>IF(ISERROR(BZ31/BY31-1),"nm",BZ31/BY31-1)</f>
        <v>0.13393085787451975</v>
      </c>
      <c r="CA271" s="1736"/>
      <c r="CB271" s="1737"/>
      <c r="CC271" s="1738">
        <f>IF(ISERROR(CC31/BZ31-1),"nm",CC31/BZ31-1)</f>
        <v>3.150406504065062E-2</v>
      </c>
      <c r="CD271" s="1735">
        <f>IF(ISERROR(CD31/CC31-1),"nm",CD31/CC31-1)</f>
        <v>-0.11724137931034484</v>
      </c>
      <c r="CE271" s="1735">
        <f>IF(ISERROR(CE31/CD31-1),"nm",CE31/CD31-1)</f>
        <v>1.6927083333333259E-2</v>
      </c>
      <c r="CF271" s="1739">
        <f>IF(ISERROR(CF31/CE31-1),"nm",CF31/CE31-1)</f>
        <v>0.13393085787451975</v>
      </c>
      <c r="CG271" s="1736"/>
      <c r="CH271" s="1737"/>
      <c r="CI271" s="1738">
        <f>IF(ISERROR(CI31/CF31-1),"nm",CI31/CF31-1)</f>
        <v>3.150406504065062E-2</v>
      </c>
      <c r="CJ271" s="1735">
        <f>IF(ISERROR(CJ31/CI31-1),"nm",CJ31/CI31-1)</f>
        <v>-0.11724137931034484</v>
      </c>
      <c r="CK271" s="1735">
        <f>IF(ISERROR(CK31/CJ31-1),"nm",CK31/CJ31-1)</f>
        <v>1.6927083333333259E-2</v>
      </c>
      <c r="CL271" s="1739">
        <f>IF(ISERROR(CL31/CK31-1),"nm",CL31/CK31-1)</f>
        <v>0.13393085787451975</v>
      </c>
      <c r="CM271" s="1736"/>
      <c r="CN271" s="1737"/>
      <c r="CO271" s="1738">
        <f>IF(ISERROR(CO31/CL31-1),"nm",CO31/CL31-1)</f>
        <v>3.150406504065062E-2</v>
      </c>
      <c r="CP271" s="1735">
        <f>IF(ISERROR(CP31/CO31-1),"nm",CP31/CO31-1)</f>
        <v>-0.11724137931034473</v>
      </c>
      <c r="CQ271" s="1735">
        <f>IF(ISERROR(CQ31/CP31-1),"nm",CQ31/CP31-1)</f>
        <v>1.6927083333333037E-2</v>
      </c>
      <c r="CR271" s="1739">
        <f>IF(ISERROR(CR31/CQ31-1),"nm",CR31/CQ31-1)</f>
        <v>0.13393085787451975</v>
      </c>
      <c r="CS271" s="1736"/>
      <c r="CT271" s="231"/>
      <c r="CU271" s="60"/>
      <c r="CV271" s="60"/>
      <c r="CW271" s="60"/>
      <c r="CX271" s="60"/>
      <c r="CY271" s="60"/>
      <c r="CZ271" s="60"/>
      <c r="DA271" s="60"/>
      <c r="DB271" s="60"/>
      <c r="DC271" s="60"/>
      <c r="DD271" s="60"/>
      <c r="DE271" s="60"/>
      <c r="DF271" s="60"/>
      <c r="DG271" s="60"/>
      <c r="DH271" s="60"/>
      <c r="DI271" s="68"/>
      <c r="DJ271" s="68"/>
      <c r="DK271" s="68"/>
      <c r="DL271" s="68"/>
      <c r="DM271" s="68"/>
      <c r="DN271" s="68"/>
      <c r="DO271" s="68"/>
      <c r="DP271" s="68"/>
      <c r="DQ271" s="68"/>
      <c r="DR271" s="68"/>
      <c r="DS271" s="68"/>
      <c r="DT271" s="68"/>
    </row>
    <row r="272" spans="1:124" ht="12.75" hidden="1" customHeight="1" outlineLevel="2">
      <c r="A272" s="2941" t="s">
        <v>174</v>
      </c>
      <c r="B272" s="62"/>
      <c r="C272" s="2988"/>
      <c r="D272" s="840"/>
      <c r="E272" s="840"/>
      <c r="F272" s="840"/>
      <c r="G272" s="2989"/>
      <c r="H272" s="1115"/>
      <c r="I272" s="2990"/>
      <c r="J272" s="840"/>
      <c r="K272" s="840"/>
      <c r="L272" s="840"/>
      <c r="M272" s="2989"/>
      <c r="N272" s="1115"/>
      <c r="O272" s="2990"/>
      <c r="P272" s="840"/>
      <c r="Q272" s="840"/>
      <c r="R272" s="843"/>
      <c r="S272" s="2991"/>
      <c r="T272" s="1116"/>
      <c r="U272" s="2992"/>
      <c r="V272" s="846"/>
      <c r="W272" s="846"/>
      <c r="X272" s="846"/>
      <c r="Y272" s="2991"/>
      <c r="Z272" s="1116"/>
      <c r="AA272" s="2992"/>
      <c r="AB272" s="846"/>
      <c r="AC272" s="846"/>
      <c r="AD272" s="846"/>
      <c r="AE272" s="2991"/>
      <c r="AF272" s="1116"/>
      <c r="AG272" s="2992"/>
      <c r="AH272" s="846"/>
      <c r="AI272" s="846"/>
      <c r="AJ272" s="847"/>
      <c r="AK272" s="2991"/>
      <c r="AL272" s="1116"/>
      <c r="AM272" s="2992"/>
      <c r="AN272" s="846"/>
      <c r="AO272" s="846"/>
      <c r="AP272" s="846"/>
      <c r="AQ272" s="2991"/>
      <c r="AR272" s="1116"/>
      <c r="AS272" s="2992"/>
      <c r="AT272" s="846"/>
      <c r="AU272" s="846"/>
      <c r="AV272" s="1735"/>
      <c r="AW272" s="2993"/>
      <c r="AX272" s="1737"/>
      <c r="AY272" s="2994"/>
      <c r="AZ272" s="1735"/>
      <c r="BA272" s="1735"/>
      <c r="BB272" s="1735"/>
      <c r="BC272" s="2993"/>
      <c r="BD272" s="1737"/>
      <c r="BE272" s="2994"/>
      <c r="BF272" s="1735"/>
      <c r="BG272" s="1735"/>
      <c r="BH272" s="1739"/>
      <c r="BI272" s="2993"/>
      <c r="BJ272" s="1737"/>
      <c r="BK272" s="1738">
        <f>IF(ISERROR(BK214/BH214-1),"nm",BK214/BH214-1)</f>
        <v>0.26086956521739135</v>
      </c>
      <c r="BL272" s="1735">
        <f>IF(ISERROR(BL214/BK214-1),"nm",BL214/BK214-1)</f>
        <v>0.44827586206896552</v>
      </c>
      <c r="BM272" s="1735">
        <f>IF(ISERROR(BM214/BL214-1),"nm",BM214/BL214-1)</f>
        <v>-9.5238095238095233E-2</v>
      </c>
      <c r="BN272" s="1739">
        <f>IF(ISERROR(BN214/BM214-1),"nm",BN214/BM214-1)</f>
        <v>-0.15789473684210531</v>
      </c>
      <c r="BO272" s="2993"/>
      <c r="BP272" s="1737"/>
      <c r="BQ272" s="1738">
        <f>IF(ISERROR(BQ214/BN214-1),"nm",BQ214/BN214-1)</f>
        <v>0.8125</v>
      </c>
      <c r="BR272" s="1735">
        <f>IF(ISERROR(BR214/BQ214-1),"nm",BR214/BQ214-1)</f>
        <v>1.379310344827589E-2</v>
      </c>
      <c r="BS272" s="1735">
        <f>IF(ISERROR(BS214/BR214-1),"nm",BS214/BR214-1)</f>
        <v>-6.2925170068027114E-2</v>
      </c>
      <c r="BT272" s="1739">
        <f>IF(ISERROR(BT214/BS214-1),"nm",BT214/BS214-1)</f>
        <v>4.5372050816696818E-2</v>
      </c>
      <c r="BU272" s="2993"/>
      <c r="BV272" s="1737"/>
      <c r="BW272" s="2994"/>
      <c r="BX272" s="1735"/>
      <c r="BY272" s="1735"/>
      <c r="BZ272" s="1739"/>
      <c r="CA272" s="2993"/>
      <c r="CB272" s="1737"/>
      <c r="CC272" s="2994"/>
      <c r="CD272" s="1735"/>
      <c r="CE272" s="1735"/>
      <c r="CF272" s="1739"/>
      <c r="CG272" s="2993"/>
      <c r="CH272" s="1737"/>
      <c r="CI272" s="2994"/>
      <c r="CJ272" s="1735"/>
      <c r="CK272" s="1735"/>
      <c r="CL272" s="1739"/>
      <c r="CM272" s="2993"/>
      <c r="CN272" s="1737"/>
      <c r="CO272" s="2994"/>
      <c r="CP272" s="1735"/>
      <c r="CQ272" s="1735"/>
      <c r="CR272" s="1739"/>
      <c r="CS272" s="2993"/>
      <c r="CT272" s="231"/>
      <c r="CU272" s="60"/>
      <c r="CV272" s="60"/>
      <c r="CW272" s="60"/>
      <c r="CX272" s="60"/>
      <c r="CY272" s="60"/>
      <c r="CZ272" s="60"/>
      <c r="DA272" s="60"/>
      <c r="DB272" s="60"/>
      <c r="DC272" s="60"/>
      <c r="DD272" s="60"/>
      <c r="DE272" s="60"/>
      <c r="DF272" s="60"/>
      <c r="DG272" s="60"/>
      <c r="DH272" s="60"/>
      <c r="DI272" s="68"/>
      <c r="DJ272" s="68"/>
      <c r="DK272" s="68"/>
      <c r="DL272" s="68"/>
      <c r="DM272" s="68"/>
      <c r="DN272" s="68"/>
      <c r="DO272" s="68"/>
      <c r="DP272" s="68"/>
      <c r="DQ272" s="68"/>
      <c r="DR272" s="68"/>
      <c r="DS272" s="68"/>
      <c r="DT272" s="68"/>
    </row>
    <row r="273" spans="1:124" ht="12.75" hidden="1" customHeight="1" outlineLevel="2">
      <c r="A273" s="230" t="s">
        <v>222</v>
      </c>
      <c r="B273" s="62"/>
      <c r="C273" s="839"/>
      <c r="D273" s="840"/>
      <c r="E273" s="840"/>
      <c r="F273" s="840"/>
      <c r="G273" s="841"/>
      <c r="H273" s="1115"/>
      <c r="I273" s="842"/>
      <c r="J273" s="840"/>
      <c r="K273" s="840"/>
      <c r="L273" s="840"/>
      <c r="M273" s="841"/>
      <c r="N273" s="1115"/>
      <c r="O273" s="842"/>
      <c r="P273" s="840"/>
      <c r="Q273" s="840"/>
      <c r="R273" s="843"/>
      <c r="S273" s="844"/>
      <c r="T273" s="1116"/>
      <c r="U273" s="845"/>
      <c r="V273" s="846"/>
      <c r="W273" s="846"/>
      <c r="X273" s="846"/>
      <c r="Y273" s="844"/>
      <c r="Z273" s="1116"/>
      <c r="AA273" s="845"/>
      <c r="AB273" s="846"/>
      <c r="AC273" s="846"/>
      <c r="AD273" s="846"/>
      <c r="AE273" s="844"/>
      <c r="AF273" s="1116"/>
      <c r="AG273" s="845"/>
      <c r="AH273" s="846"/>
      <c r="AI273" s="846"/>
      <c r="AJ273" s="847"/>
      <c r="AK273" s="844"/>
      <c r="AL273" s="1116"/>
      <c r="AM273" s="845"/>
      <c r="AN273" s="846"/>
      <c r="AO273" s="846"/>
      <c r="AP273" s="846"/>
      <c r="AQ273" s="844"/>
      <c r="AR273" s="1116"/>
      <c r="AS273" s="845"/>
      <c r="AT273" s="846"/>
      <c r="AU273" s="846"/>
      <c r="AV273" s="1735"/>
      <c r="AW273" s="1736"/>
      <c r="AX273" s="1737"/>
      <c r="AY273" s="1738"/>
      <c r="AZ273" s="1735"/>
      <c r="BA273" s="1735"/>
      <c r="BB273" s="1735"/>
      <c r="BC273" s="1736"/>
      <c r="BD273" s="1737"/>
      <c r="BE273" s="1738"/>
      <c r="BF273" s="1735"/>
      <c r="BG273" s="1735"/>
      <c r="BH273" s="1739"/>
      <c r="BI273" s="1736"/>
      <c r="BJ273" s="1737"/>
      <c r="BK273" s="1738"/>
      <c r="BL273" s="1735"/>
      <c r="BM273" s="1735"/>
      <c r="BN273" s="1739"/>
      <c r="BO273" s="1736"/>
      <c r="BP273" s="1737"/>
      <c r="BQ273" s="1738"/>
      <c r="BR273" s="1735"/>
      <c r="BS273" s="1735"/>
      <c r="BT273" s="1739"/>
      <c r="BU273" s="1736"/>
      <c r="BV273" s="1737"/>
      <c r="BW273" s="1738"/>
      <c r="BX273" s="1735"/>
      <c r="BY273" s="1735"/>
      <c r="BZ273" s="1739"/>
      <c r="CA273" s="1736"/>
      <c r="CB273" s="1737"/>
      <c r="CC273" s="1738"/>
      <c r="CD273" s="1735"/>
      <c r="CE273" s="1735"/>
      <c r="CF273" s="1739"/>
      <c r="CG273" s="1736"/>
      <c r="CH273" s="1737"/>
      <c r="CI273" s="1738"/>
      <c r="CJ273" s="1735"/>
      <c r="CK273" s="1735"/>
      <c r="CL273" s="1739"/>
      <c r="CM273" s="1736"/>
      <c r="CN273" s="1737"/>
      <c r="CO273" s="1738"/>
      <c r="CP273" s="1735"/>
      <c r="CQ273" s="1735"/>
      <c r="CR273" s="1739"/>
      <c r="CS273" s="1736"/>
      <c r="CT273" s="231"/>
      <c r="CU273" s="60"/>
      <c r="CV273" s="60"/>
      <c r="CW273" s="60"/>
      <c r="CX273" s="60"/>
      <c r="CY273" s="60"/>
      <c r="CZ273" s="60"/>
      <c r="DA273" s="60"/>
      <c r="DB273" s="60"/>
      <c r="DC273" s="60"/>
      <c r="DD273" s="60"/>
      <c r="DE273" s="60"/>
      <c r="DF273" s="60"/>
      <c r="DG273" s="60"/>
      <c r="DH273" s="60"/>
      <c r="DI273" s="68"/>
      <c r="DJ273" s="68"/>
      <c r="DK273" s="68"/>
      <c r="DL273" s="68"/>
      <c r="DM273" s="68"/>
      <c r="DN273" s="68"/>
      <c r="DO273" s="68"/>
      <c r="DP273" s="68"/>
      <c r="DQ273" s="68"/>
      <c r="DR273" s="68"/>
      <c r="DS273" s="68"/>
      <c r="DT273" s="68"/>
    </row>
    <row r="274" spans="1:124" ht="12.75" hidden="1" customHeight="1" outlineLevel="2">
      <c r="A274" s="156" t="s">
        <v>616</v>
      </c>
      <c r="B274" s="62"/>
      <c r="C274" s="834" t="s">
        <v>10</v>
      </c>
      <c r="D274" s="835" t="s">
        <v>10</v>
      </c>
      <c r="E274" s="835" t="s">
        <v>10</v>
      </c>
      <c r="F274" s="835" t="s">
        <v>10</v>
      </c>
      <c r="G274" s="836" t="s">
        <v>10</v>
      </c>
      <c r="H274" s="824"/>
      <c r="I274" s="834" t="s">
        <v>10</v>
      </c>
      <c r="J274" s="835" t="s">
        <v>10</v>
      </c>
      <c r="K274" s="835" t="s">
        <v>10</v>
      </c>
      <c r="L274" s="835" t="s">
        <v>10</v>
      </c>
      <c r="M274" s="836" t="s">
        <v>10</v>
      </c>
      <c r="N274" s="824"/>
      <c r="O274" s="834" t="s">
        <v>10</v>
      </c>
      <c r="P274" s="835" t="s">
        <v>10</v>
      </c>
      <c r="Q274" s="835" t="s">
        <v>10</v>
      </c>
      <c r="R274" s="835" t="s">
        <v>10</v>
      </c>
      <c r="S274" s="836" t="s">
        <v>10</v>
      </c>
      <c r="T274" s="824"/>
      <c r="U274" s="834" t="s">
        <v>10</v>
      </c>
      <c r="V274" s="835" t="s">
        <v>10</v>
      </c>
      <c r="W274" s="835" t="s">
        <v>10</v>
      </c>
      <c r="X274" s="835" t="s">
        <v>10</v>
      </c>
      <c r="Y274" s="836" t="s">
        <v>10</v>
      </c>
      <c r="Z274" s="824"/>
      <c r="AA274" s="834" t="s">
        <v>10</v>
      </c>
      <c r="AB274" s="835" t="s">
        <v>10</v>
      </c>
      <c r="AC274" s="835" t="s">
        <v>10</v>
      </c>
      <c r="AD274" s="835" t="s">
        <v>10</v>
      </c>
      <c r="AE274" s="836" t="s">
        <v>10</v>
      </c>
      <c r="AF274" s="824"/>
      <c r="AG274" s="834" t="s">
        <v>10</v>
      </c>
      <c r="AH274" s="835" t="s">
        <v>10</v>
      </c>
      <c r="AI274" s="835" t="s">
        <v>10</v>
      </c>
      <c r="AJ274" s="835" t="s">
        <v>10</v>
      </c>
      <c r="AK274" s="836" t="s">
        <v>10</v>
      </c>
      <c r="AL274" s="824"/>
      <c r="AM274" s="834" t="s">
        <v>10</v>
      </c>
      <c r="AN274" s="835" t="s">
        <v>10</v>
      </c>
      <c r="AO274" s="835" t="s">
        <v>10</v>
      </c>
      <c r="AP274" s="835" t="s">
        <v>10</v>
      </c>
      <c r="AQ274" s="836" t="s">
        <v>10</v>
      </c>
      <c r="AR274" s="824"/>
      <c r="AS274" s="834" t="s">
        <v>10</v>
      </c>
      <c r="AT274" s="835" t="s">
        <v>10</v>
      </c>
      <c r="AU274" s="835" t="s">
        <v>10</v>
      </c>
      <c r="AV274" s="835" t="s">
        <v>10</v>
      </c>
      <c r="AW274" s="836" t="s">
        <v>10</v>
      </c>
      <c r="AX274" s="1719"/>
      <c r="AY274" s="834" t="s">
        <v>10</v>
      </c>
      <c r="AZ274" s="835" t="s">
        <v>10</v>
      </c>
      <c r="BA274" s="835" t="s">
        <v>10</v>
      </c>
      <c r="BB274" s="835" t="s">
        <v>10</v>
      </c>
      <c r="BC274" s="836" t="s">
        <v>10</v>
      </c>
      <c r="BD274" s="1719"/>
      <c r="BE274" s="834" t="s">
        <v>10</v>
      </c>
      <c r="BF274" s="835" t="s">
        <v>10</v>
      </c>
      <c r="BG274" s="835" t="s">
        <v>10</v>
      </c>
      <c r="BH274" s="835" t="s">
        <v>10</v>
      </c>
      <c r="BI274" s="836" t="s">
        <v>10</v>
      </c>
      <c r="BJ274" s="1719"/>
      <c r="BK274" s="1721">
        <f>BK47/BE47-1</f>
        <v>1.1904761904761862E-2</v>
      </c>
      <c r="BL274" s="1719">
        <f>BL47/BF47-1</f>
        <v>0.56321839080459779</v>
      </c>
      <c r="BM274" s="1719">
        <f>BM47/BG47-1</f>
        <v>7.0000000000000062E-2</v>
      </c>
      <c r="BN274" s="1728">
        <f>BN47/BH47-1</f>
        <v>-0.28067226890756303</v>
      </c>
      <c r="BO274" s="1720">
        <f>BO47/BI47-1</f>
        <v>1.1337532419414709E-2</v>
      </c>
      <c r="BP274" s="1719"/>
      <c r="BQ274" s="1721">
        <f>BQ47/BK47-1</f>
        <v>7.058823529411784E-3</v>
      </c>
      <c r="BR274" s="1719">
        <f>BR47/BL47-1</f>
        <v>0.10776470588235298</v>
      </c>
      <c r="BS274" s="1719">
        <f>BS47/BM47-1</f>
        <v>0.10000000000000009</v>
      </c>
      <c r="BT274" s="1728">
        <f>BT47/BN47-1</f>
        <v>0.10000000000000009</v>
      </c>
      <c r="BU274" s="1720">
        <f>BU47/BO47-1</f>
        <v>7.8780773739741905E-2</v>
      </c>
      <c r="BV274" s="1719"/>
      <c r="BW274" s="1721">
        <f>BW47/BQ47-1</f>
        <v>0.10000000000000009</v>
      </c>
      <c r="BX274" s="1719">
        <f>BX47/BR47-1</f>
        <v>0</v>
      </c>
      <c r="BY274" s="1719">
        <f>BY47/BS47-1</f>
        <v>0</v>
      </c>
      <c r="BZ274" s="1728">
        <f>BZ47/BT47-1</f>
        <v>0</v>
      </c>
      <c r="CA274" s="1720">
        <f>CA47/BU47-1</f>
        <v>2.3255813953488413E-2</v>
      </c>
      <c r="CB274" s="1719"/>
      <c r="CC274" s="1721">
        <f>CC47/BW47-1</f>
        <v>0</v>
      </c>
      <c r="CD274" s="1719">
        <f>CD47/BX47-1</f>
        <v>0</v>
      </c>
      <c r="CE274" s="1719">
        <f>CE47/BY47-1</f>
        <v>0</v>
      </c>
      <c r="CF274" s="1728">
        <f>CF47/BZ47-1</f>
        <v>0</v>
      </c>
      <c r="CG274" s="1720">
        <f>CG47/CA47-1</f>
        <v>0</v>
      </c>
      <c r="CH274" s="1719"/>
      <c r="CI274" s="1721">
        <f>CI47/CC47-1</f>
        <v>0</v>
      </c>
      <c r="CJ274" s="1719">
        <f>CJ47/CD47-1</f>
        <v>0</v>
      </c>
      <c r="CK274" s="1719">
        <f>CK47/CE47-1</f>
        <v>0</v>
      </c>
      <c r="CL274" s="1728">
        <f>CL47/CF47-1</f>
        <v>0</v>
      </c>
      <c r="CM274" s="1720">
        <f>CM47/CG47-1</f>
        <v>0</v>
      </c>
      <c r="CN274" s="1719"/>
      <c r="CO274" s="1721">
        <f>CO47/CI47-1</f>
        <v>0</v>
      </c>
      <c r="CP274" s="1719">
        <f>CP47/CJ47-1</f>
        <v>0</v>
      </c>
      <c r="CQ274" s="1719">
        <f>CQ47/CK47-1</f>
        <v>0</v>
      </c>
      <c r="CR274" s="1728">
        <f>CR47/CL47-1</f>
        <v>0</v>
      </c>
      <c r="CS274" s="1720">
        <f>CS47/CM47-1</f>
        <v>0</v>
      </c>
      <c r="CT274" s="231"/>
      <c r="CU274" s="60"/>
      <c r="CV274" s="60"/>
      <c r="CW274" s="60"/>
      <c r="CX274" s="60"/>
      <c r="CY274" s="60"/>
      <c r="CZ274" s="60"/>
      <c r="DA274" s="60"/>
      <c r="DB274" s="60"/>
      <c r="DC274" s="60"/>
      <c r="DD274" s="60"/>
      <c r="DE274" s="60"/>
      <c r="DF274" s="60"/>
      <c r="DG274" s="60"/>
      <c r="DH274" s="60"/>
      <c r="DI274" s="68"/>
      <c r="DJ274" s="68"/>
      <c r="DK274" s="68"/>
      <c r="DL274" s="68"/>
      <c r="DM274" s="68"/>
      <c r="DN274" s="68"/>
      <c r="DO274" s="68"/>
      <c r="DP274" s="68"/>
      <c r="DQ274" s="68"/>
      <c r="DR274" s="68"/>
      <c r="DS274" s="68"/>
      <c r="DT274" s="68"/>
    </row>
    <row r="275" spans="1:124" ht="12.75" hidden="1" customHeight="1" outlineLevel="2">
      <c r="A275" s="156" t="s">
        <v>526</v>
      </c>
      <c r="B275" s="62"/>
      <c r="C275" s="839"/>
      <c r="D275" s="840"/>
      <c r="E275" s="840"/>
      <c r="F275" s="840"/>
      <c r="G275" s="841"/>
      <c r="H275" s="1115"/>
      <c r="I275" s="842"/>
      <c r="J275" s="840"/>
      <c r="K275" s="840"/>
      <c r="L275" s="840"/>
      <c r="M275" s="841"/>
      <c r="N275" s="1115"/>
      <c r="O275" s="842"/>
      <c r="P275" s="840"/>
      <c r="Q275" s="840"/>
      <c r="R275" s="843"/>
      <c r="S275" s="844"/>
      <c r="T275" s="1116"/>
      <c r="U275" s="845"/>
      <c r="V275" s="846"/>
      <c r="W275" s="846"/>
      <c r="X275" s="846"/>
      <c r="Y275" s="844"/>
      <c r="Z275" s="1116"/>
      <c r="AA275" s="845"/>
      <c r="AB275" s="846"/>
      <c r="AC275" s="846"/>
      <c r="AD275" s="846"/>
      <c r="AE275" s="844"/>
      <c r="AF275" s="1737"/>
      <c r="AG275" s="1753">
        <f>AG50/AD50-1</f>
        <v>0.97916666666666674</v>
      </c>
      <c r="AH275" s="1754">
        <f>AH50/AG50-1</f>
        <v>-0.1332793522267206</v>
      </c>
      <c r="AI275" s="1754">
        <f>AI50/AH50-1</f>
        <v>0.16591928251121058</v>
      </c>
      <c r="AJ275" s="1755">
        <f>AJ50/AI50-1</f>
        <v>-1.9230769230769162E-2</v>
      </c>
      <c r="AK275" s="1736"/>
      <c r="AL275" s="1737"/>
      <c r="AM275" s="1753">
        <f>AM50/AJ50-1</f>
        <v>-2.2875816993464193E-2</v>
      </c>
      <c r="AN275" s="1754">
        <f>AN50/AM50-1</f>
        <v>0</v>
      </c>
      <c r="AO275" s="1754">
        <f>AO50/AN50-1</f>
        <v>0</v>
      </c>
      <c r="AP275" s="1755">
        <f>AP50/AO50-1</f>
        <v>7.6923076923077094E-2</v>
      </c>
      <c r="AQ275" s="1736"/>
      <c r="AR275" s="1737"/>
      <c r="AS275" s="1753">
        <f>AS50/AP50-1</f>
        <v>-0.1149068322981367</v>
      </c>
      <c r="AT275" s="1754">
        <f>AT50/AS50-1</f>
        <v>-6.6666666666666652E-2</v>
      </c>
      <c r="AU275" s="1754">
        <f>AU50/AT50-1</f>
        <v>-5.3571428571428603E-2</v>
      </c>
      <c r="AV275" s="1755">
        <f>AV50/AU50-1</f>
        <v>0.15094339622641506</v>
      </c>
      <c r="AW275" s="1736"/>
      <c r="AX275" s="1737"/>
      <c r="AY275" s="1753">
        <f>AY50/AV50-1</f>
        <v>-0.17860224331320107</v>
      </c>
      <c r="AZ275" s="1754">
        <f>AZ50/AY50-1</f>
        <v>-0.10714285714285721</v>
      </c>
      <c r="BA275" s="1754">
        <f>BA50/AZ50-1</f>
        <v>-0.15999999999999992</v>
      </c>
      <c r="BB275" s="1755">
        <f>BB50/BA50-1</f>
        <v>0.48571428571428554</v>
      </c>
      <c r="BC275" s="1736"/>
      <c r="BD275" s="1737"/>
      <c r="BE275" s="1753">
        <f>BE50/BB50-1</f>
        <v>-0.15158371040723984</v>
      </c>
      <c r="BF275" s="1754">
        <f>BF50/BE50-1</f>
        <v>0</v>
      </c>
      <c r="BG275" s="1754">
        <f>BG50/BF50-1</f>
        <v>0</v>
      </c>
      <c r="BH275" s="1755">
        <f>BH50/BG50-1</f>
        <v>-8.0000000000000071E-2</v>
      </c>
      <c r="BI275" s="1736"/>
      <c r="BJ275" s="1737"/>
      <c r="BK275" s="1753">
        <f>BK50/BH50-1</f>
        <v>8.6956521739130377E-2</v>
      </c>
      <c r="BL275" s="1754">
        <f>BL50/BK50-1</f>
        <v>-0.21999999999999997</v>
      </c>
      <c r="BM275" s="1754">
        <f>BM50/BL50-1</f>
        <v>0</v>
      </c>
      <c r="BN275" s="1755">
        <f>BN50/BM50-1</f>
        <v>-5.1282051282051433E-2</v>
      </c>
      <c r="BO275" s="1736"/>
      <c r="BP275" s="1737"/>
      <c r="BQ275" s="1753">
        <f>BQ50/BN50-1</f>
        <v>2.7027027027027195E-2</v>
      </c>
      <c r="BR275" s="1754">
        <f>BR50/BQ50-1</f>
        <v>5.2631578947368363E-2</v>
      </c>
      <c r="BS275" s="1754">
        <f>BS50/BR50-1</f>
        <v>0</v>
      </c>
      <c r="BT275" s="1755">
        <f>BT50/BS50-1</f>
        <v>0</v>
      </c>
      <c r="BU275" s="1736"/>
      <c r="BV275" s="1737"/>
      <c r="BW275" s="1753">
        <f>BW50/BT50-1</f>
        <v>0</v>
      </c>
      <c r="BX275" s="1754">
        <f>BX50/BW50-1</f>
        <v>0</v>
      </c>
      <c r="BY275" s="1754">
        <f>BY50/BX50-1</f>
        <v>0</v>
      </c>
      <c r="BZ275" s="1755">
        <f>BZ50/BY50-1</f>
        <v>0</v>
      </c>
      <c r="CA275" s="1736"/>
      <c r="CB275" s="1737"/>
      <c r="CC275" s="1753">
        <f>CC50/BZ50-1</f>
        <v>0</v>
      </c>
      <c r="CD275" s="1754">
        <f>CD50/CC50-1</f>
        <v>0</v>
      </c>
      <c r="CE275" s="1754">
        <f>CE50/CD50-1</f>
        <v>0</v>
      </c>
      <c r="CF275" s="1755">
        <f>CF50/CE50-1</f>
        <v>0</v>
      </c>
      <c r="CG275" s="1736"/>
      <c r="CH275" s="1737"/>
      <c r="CI275" s="1753">
        <f>CI50/CF50-1</f>
        <v>0</v>
      </c>
      <c r="CJ275" s="1754">
        <f>CJ50/CI50-1</f>
        <v>0</v>
      </c>
      <c r="CK275" s="1754">
        <f>CK50/CJ50-1</f>
        <v>0</v>
      </c>
      <c r="CL275" s="1755">
        <f>CL50/CK50-1</f>
        <v>0</v>
      </c>
      <c r="CM275" s="1736"/>
      <c r="CN275" s="1737"/>
      <c r="CO275" s="1753">
        <f>CO50/CL50-1</f>
        <v>0</v>
      </c>
      <c r="CP275" s="1754">
        <f>CP50/CO50-1</f>
        <v>0</v>
      </c>
      <c r="CQ275" s="1754">
        <f>CQ50/CP50-1</f>
        <v>0</v>
      </c>
      <c r="CR275" s="1755">
        <f>CR50/CQ50-1</f>
        <v>0</v>
      </c>
      <c r="CS275" s="1736"/>
      <c r="CT275" s="231"/>
      <c r="CU275" s="60"/>
      <c r="CV275" s="60"/>
      <c r="CW275" s="60"/>
      <c r="CX275" s="60"/>
      <c r="CY275" s="60"/>
      <c r="CZ275" s="60"/>
      <c r="DA275" s="60"/>
      <c r="DB275" s="60"/>
      <c r="DC275" s="60"/>
      <c r="DD275" s="60"/>
      <c r="DE275" s="60"/>
      <c r="DF275" s="60"/>
      <c r="DG275" s="60"/>
      <c r="DH275" s="60"/>
      <c r="DI275" s="68"/>
      <c r="DJ275" s="68"/>
      <c r="DK275" s="68"/>
      <c r="DL275" s="68"/>
      <c r="DM275" s="68"/>
      <c r="DN275" s="68"/>
      <c r="DO275" s="68"/>
      <c r="DP275" s="68"/>
      <c r="DQ275" s="68"/>
      <c r="DR275" s="68"/>
      <c r="DS275" s="68"/>
      <c r="DT275" s="68"/>
    </row>
    <row r="276" spans="1:124" ht="12.75" hidden="1" customHeight="1" outlineLevel="2">
      <c r="A276" s="156" t="s">
        <v>527</v>
      </c>
      <c r="B276" s="62"/>
      <c r="C276" s="839"/>
      <c r="D276" s="840"/>
      <c r="E276" s="840"/>
      <c r="F276" s="840"/>
      <c r="G276" s="841"/>
      <c r="H276" s="1115"/>
      <c r="I276" s="842"/>
      <c r="J276" s="840"/>
      <c r="K276" s="840"/>
      <c r="L276" s="840"/>
      <c r="M276" s="841"/>
      <c r="N276" s="1115"/>
      <c r="O276" s="842"/>
      <c r="P276" s="840"/>
      <c r="Q276" s="840"/>
      <c r="R276" s="843"/>
      <c r="S276" s="844"/>
      <c r="T276" s="1116"/>
      <c r="U276" s="845"/>
      <c r="V276" s="846"/>
      <c r="W276" s="846"/>
      <c r="X276" s="846"/>
      <c r="Y276" s="844"/>
      <c r="Z276" s="1116"/>
      <c r="AA276" s="845"/>
      <c r="AB276" s="846"/>
      <c r="AC276" s="846"/>
      <c r="AD276" s="846"/>
      <c r="AE276" s="844"/>
      <c r="AF276" s="1737"/>
      <c r="AG276" s="1753"/>
      <c r="AH276" s="1754"/>
      <c r="AI276" s="1754"/>
      <c r="AJ276" s="1755"/>
      <c r="AK276" s="1736"/>
      <c r="AL276" s="1737"/>
      <c r="AM276" s="1753"/>
      <c r="AN276" s="1754"/>
      <c r="AO276" s="1754"/>
      <c r="AP276" s="1755"/>
      <c r="AQ276" s="1736"/>
      <c r="AR276" s="1737"/>
      <c r="AS276" s="1753"/>
      <c r="AT276" s="1754">
        <f>AT53/AS53-1</f>
        <v>1.0769230769230771</v>
      </c>
      <c r="AU276" s="1754">
        <f>AU53/AT53-1</f>
        <v>7.638888888888884E-2</v>
      </c>
      <c r="AV276" s="1755">
        <f>AV53/AU53-1</f>
        <v>0.12286738351254467</v>
      </c>
      <c r="AW276" s="1736"/>
      <c r="AX276" s="1737"/>
      <c r="AY276" s="1753">
        <f>AY53/AV53-1</f>
        <v>-0.31052093973442285</v>
      </c>
      <c r="AZ276" s="1754">
        <f>AZ53/AY53-1</f>
        <v>0.14814814814814814</v>
      </c>
      <c r="BA276" s="1754">
        <f>BA53/AZ53-1</f>
        <v>-9.6774193548387122E-2</v>
      </c>
      <c r="BB276" s="1755">
        <f>BB53/BA53-1</f>
        <v>0.4285714285714286</v>
      </c>
      <c r="BC276" s="1736"/>
      <c r="BD276" s="1737"/>
      <c r="BE276" s="1753">
        <f>BE53/BB53-1</f>
        <v>-0.25</v>
      </c>
      <c r="BF276" s="1754">
        <f>BF53/BE53-1</f>
        <v>6.6666666666666652E-2</v>
      </c>
      <c r="BG276" s="1754">
        <f>BG53/BF53-1</f>
        <v>3.125E-2</v>
      </c>
      <c r="BH276" s="1755">
        <f>BH53/BG53-1</f>
        <v>-9.0909090909090939E-2</v>
      </c>
      <c r="BI276" s="1736"/>
      <c r="BJ276" s="1737"/>
      <c r="BK276" s="1753">
        <f>BK53/BH53-1</f>
        <v>0.10000000000000009</v>
      </c>
      <c r="BL276" s="1754">
        <f>BL53/BK53-1</f>
        <v>-0.18181818181818177</v>
      </c>
      <c r="BM276" s="1754">
        <f>BM53/BL53-1</f>
        <v>-3.703703703703709E-2</v>
      </c>
      <c r="BN276" s="1755">
        <f>BN53/BM53-1</f>
        <v>0.11538461538461542</v>
      </c>
      <c r="BO276" s="1736"/>
      <c r="BP276" s="1737"/>
      <c r="BQ276" s="1753">
        <f>BQ53/BN53-1</f>
        <v>-3.4482758620689613E-2</v>
      </c>
      <c r="BR276" s="1754">
        <f>BR53/BQ53-1</f>
        <v>0</v>
      </c>
      <c r="BS276" s="1754">
        <f>BS53/BR53-1</f>
        <v>0</v>
      </c>
      <c r="BT276" s="1755">
        <f>BT53/BS53-1</f>
        <v>0</v>
      </c>
      <c r="BU276" s="1736"/>
      <c r="BV276" s="1737"/>
      <c r="BW276" s="1753">
        <f>BW53/BT53-1</f>
        <v>0</v>
      </c>
      <c r="BX276" s="1754">
        <f>BX53/BW53-1</f>
        <v>0</v>
      </c>
      <c r="BY276" s="1754">
        <f>BY53/BX53-1</f>
        <v>0</v>
      </c>
      <c r="BZ276" s="1755">
        <f>BZ53/BY53-1</f>
        <v>0</v>
      </c>
      <c r="CA276" s="1736"/>
      <c r="CB276" s="1737"/>
      <c r="CC276" s="1753">
        <f>CC53/BZ53-1</f>
        <v>0</v>
      </c>
      <c r="CD276" s="1754">
        <f>CD53/CC53-1</f>
        <v>0</v>
      </c>
      <c r="CE276" s="1754">
        <f>CE53/CD53-1</f>
        <v>0</v>
      </c>
      <c r="CF276" s="1755">
        <f>CF53/CE53-1</f>
        <v>0</v>
      </c>
      <c r="CG276" s="1736"/>
      <c r="CH276" s="1737"/>
      <c r="CI276" s="1753">
        <f>CI53/CF53-1</f>
        <v>0</v>
      </c>
      <c r="CJ276" s="1754">
        <f>CJ53/CI53-1</f>
        <v>0</v>
      </c>
      <c r="CK276" s="1754">
        <f>CK53/CJ53-1</f>
        <v>0</v>
      </c>
      <c r="CL276" s="1755">
        <f>CL53/CK53-1</f>
        <v>0</v>
      </c>
      <c r="CM276" s="1736"/>
      <c r="CN276" s="1737"/>
      <c r="CO276" s="1753">
        <f>CO53/CL53-1</f>
        <v>0</v>
      </c>
      <c r="CP276" s="1754">
        <f>CP53/CO53-1</f>
        <v>0</v>
      </c>
      <c r="CQ276" s="1754">
        <f>CQ53/CP53-1</f>
        <v>0</v>
      </c>
      <c r="CR276" s="1755">
        <f>CR53/CQ53-1</f>
        <v>0</v>
      </c>
      <c r="CS276" s="1736"/>
      <c r="CT276" s="231"/>
      <c r="CU276" s="60"/>
      <c r="CV276" s="60"/>
      <c r="CW276" s="60"/>
      <c r="CX276" s="60"/>
      <c r="CY276" s="60"/>
      <c r="CZ276" s="60"/>
      <c r="DA276" s="60"/>
      <c r="DB276" s="60"/>
      <c r="DC276" s="60"/>
      <c r="DD276" s="60"/>
      <c r="DE276" s="60"/>
      <c r="DF276" s="60"/>
      <c r="DG276" s="60"/>
      <c r="DH276" s="60"/>
      <c r="DI276" s="68"/>
      <c r="DJ276" s="68"/>
      <c r="DK276" s="68"/>
      <c r="DL276" s="68"/>
      <c r="DM276" s="68"/>
      <c r="DN276" s="68"/>
      <c r="DO276" s="68"/>
      <c r="DP276" s="68"/>
      <c r="DQ276" s="68"/>
      <c r="DR276" s="68"/>
      <c r="DS276" s="68"/>
      <c r="DT276" s="68"/>
    </row>
    <row r="277" spans="1:124" ht="12.75" hidden="1" customHeight="1" outlineLevel="2">
      <c r="A277" s="232" t="s">
        <v>40</v>
      </c>
      <c r="B277" s="62"/>
      <c r="C277" s="839"/>
      <c r="D277" s="840"/>
      <c r="E277" s="840"/>
      <c r="F277" s="840"/>
      <c r="G277" s="841"/>
      <c r="H277" s="1115"/>
      <c r="I277" s="842"/>
      <c r="J277" s="840"/>
      <c r="K277" s="840"/>
      <c r="L277" s="840"/>
      <c r="M277" s="841"/>
      <c r="N277" s="1115"/>
      <c r="O277" s="842"/>
      <c r="P277" s="840"/>
      <c r="Q277" s="840"/>
      <c r="R277" s="843"/>
      <c r="S277" s="844"/>
      <c r="T277" s="1116"/>
      <c r="U277" s="845"/>
      <c r="V277" s="846"/>
      <c r="W277" s="846"/>
      <c r="X277" s="846"/>
      <c r="Y277" s="844"/>
      <c r="Z277" s="1116"/>
      <c r="AA277" s="845"/>
      <c r="AB277" s="846"/>
      <c r="AC277" s="846"/>
      <c r="AD277" s="846"/>
      <c r="AE277" s="844"/>
      <c r="AF277" s="1737"/>
      <c r="AG277" s="1753">
        <f>AG62/AD62-1</f>
        <v>-0.28498485069669599</v>
      </c>
      <c r="AH277" s="1754">
        <f>AH62/AG62-1</f>
        <v>-5.2119477059698882E-3</v>
      </c>
      <c r="AI277" s="1754">
        <f>AI62/AH62-1</f>
        <v>1.9998635454060443E-2</v>
      </c>
      <c r="AJ277" s="1755">
        <f>AJ62/AI62-1</f>
        <v>-0.90513975410116487</v>
      </c>
      <c r="AK277" s="1736"/>
      <c r="AL277" s="1737"/>
      <c r="AM277" s="1753">
        <f>AM62/AJ62-1</f>
        <v>1.7458604849909198</v>
      </c>
      <c r="AN277" s="1754">
        <f>AN62/AM62-1</f>
        <v>0</v>
      </c>
      <c r="AO277" s="1754">
        <f>AO62/AN62-1</f>
        <v>-0.11764705882352955</v>
      </c>
      <c r="AP277" s="1755">
        <f>AP62/AO62-1</f>
        <v>-0.73333333333333339</v>
      </c>
      <c r="AQ277" s="1736"/>
      <c r="AR277" s="1737"/>
      <c r="AS277" s="823" t="s">
        <v>10</v>
      </c>
      <c r="AT277" s="824" t="s">
        <v>10</v>
      </c>
      <c r="AU277" s="824" t="s">
        <v>10</v>
      </c>
      <c r="AV277" s="1719" t="s">
        <v>10</v>
      </c>
      <c r="AW277" s="1720"/>
      <c r="AX277" s="1737"/>
      <c r="AY277" s="823" t="s">
        <v>10</v>
      </c>
      <c r="AZ277" s="824" t="s">
        <v>10</v>
      </c>
      <c r="BA277" s="824" t="s">
        <v>10</v>
      </c>
      <c r="BB277" s="1719" t="s">
        <v>10</v>
      </c>
      <c r="BC277" s="1736"/>
      <c r="BD277" s="1737"/>
      <c r="BE277" s="823" t="s">
        <v>10</v>
      </c>
      <c r="BF277" s="824" t="s">
        <v>10</v>
      </c>
      <c r="BG277" s="824" t="s">
        <v>10</v>
      </c>
      <c r="BH277" s="1719" t="s">
        <v>10</v>
      </c>
      <c r="BI277" s="1736"/>
      <c r="BJ277" s="1737"/>
      <c r="BK277" s="823" t="s">
        <v>10</v>
      </c>
      <c r="BL277" s="824" t="s">
        <v>10</v>
      </c>
      <c r="BM277" s="824" t="s">
        <v>10</v>
      </c>
      <c r="BN277" s="1719" t="s">
        <v>10</v>
      </c>
      <c r="BO277" s="1736"/>
      <c r="BP277" s="1737"/>
      <c r="BQ277" s="823" t="s">
        <v>10</v>
      </c>
      <c r="BR277" s="824" t="s">
        <v>10</v>
      </c>
      <c r="BS277" s="824" t="s">
        <v>10</v>
      </c>
      <c r="BT277" s="1719" t="s">
        <v>10</v>
      </c>
      <c r="BU277" s="1736"/>
      <c r="BV277" s="1737"/>
      <c r="BW277" s="823" t="s">
        <v>10</v>
      </c>
      <c r="BX277" s="824" t="s">
        <v>10</v>
      </c>
      <c r="BY277" s="824" t="s">
        <v>10</v>
      </c>
      <c r="BZ277" s="1719" t="s">
        <v>10</v>
      </c>
      <c r="CA277" s="1736"/>
      <c r="CB277" s="1737"/>
      <c r="CC277" s="823" t="s">
        <v>10</v>
      </c>
      <c r="CD277" s="824" t="s">
        <v>10</v>
      </c>
      <c r="CE277" s="824" t="s">
        <v>10</v>
      </c>
      <c r="CF277" s="1719" t="s">
        <v>10</v>
      </c>
      <c r="CG277" s="1736"/>
      <c r="CH277" s="1737"/>
      <c r="CI277" s="823" t="s">
        <v>10</v>
      </c>
      <c r="CJ277" s="824" t="s">
        <v>10</v>
      </c>
      <c r="CK277" s="824" t="s">
        <v>10</v>
      </c>
      <c r="CL277" s="1719" t="s">
        <v>10</v>
      </c>
      <c r="CM277" s="1736"/>
      <c r="CN277" s="1737"/>
      <c r="CO277" s="823" t="s">
        <v>10</v>
      </c>
      <c r="CP277" s="824" t="s">
        <v>10</v>
      </c>
      <c r="CQ277" s="824" t="s">
        <v>10</v>
      </c>
      <c r="CR277" s="1719" t="s">
        <v>10</v>
      </c>
      <c r="CS277" s="1736"/>
      <c r="CT277" s="231"/>
      <c r="CU277" s="60"/>
      <c r="CV277" s="60"/>
      <c r="CW277" s="60"/>
      <c r="CX277" s="60"/>
      <c r="CY277" s="60"/>
      <c r="CZ277" s="60"/>
      <c r="DA277" s="60"/>
      <c r="DB277" s="60"/>
      <c r="DC277" s="60"/>
      <c r="DD277" s="60"/>
      <c r="DE277" s="60"/>
      <c r="DF277" s="60"/>
      <c r="DG277" s="60"/>
      <c r="DH277" s="60"/>
      <c r="DI277" s="68"/>
      <c r="DJ277" s="68"/>
      <c r="DK277" s="68"/>
      <c r="DL277" s="68"/>
      <c r="DM277" s="68"/>
      <c r="DN277" s="68"/>
      <c r="DO277" s="68"/>
      <c r="DP277" s="68"/>
      <c r="DQ277" s="68"/>
      <c r="DR277" s="68"/>
      <c r="DS277" s="68"/>
      <c r="DT277" s="68"/>
    </row>
    <row r="278" spans="1:124" ht="12.75" hidden="1" customHeight="1" outlineLevel="2">
      <c r="A278" s="232" t="s">
        <v>28</v>
      </c>
      <c r="B278" s="62"/>
      <c r="C278" s="839"/>
      <c r="D278" s="840"/>
      <c r="E278" s="840"/>
      <c r="F278" s="840"/>
      <c r="G278" s="841"/>
      <c r="H278" s="1115"/>
      <c r="I278" s="842"/>
      <c r="J278" s="840"/>
      <c r="K278" s="840"/>
      <c r="L278" s="840"/>
      <c r="M278" s="841"/>
      <c r="N278" s="1115"/>
      <c r="O278" s="842"/>
      <c r="P278" s="840"/>
      <c r="Q278" s="840"/>
      <c r="R278" s="843"/>
      <c r="S278" s="844"/>
      <c r="T278" s="1116"/>
      <c r="U278" s="845"/>
      <c r="V278" s="846"/>
      <c r="W278" s="846"/>
      <c r="X278" s="846"/>
      <c r="Y278" s="844"/>
      <c r="Z278" s="1116"/>
      <c r="AA278" s="845"/>
      <c r="AB278" s="846"/>
      <c r="AC278" s="846"/>
      <c r="AD278" s="846"/>
      <c r="AE278" s="844"/>
      <c r="AF278" s="1737"/>
      <c r="AG278" s="1753"/>
      <c r="AH278" s="1754"/>
      <c r="AI278" s="1754"/>
      <c r="AJ278" s="1755">
        <f>AJ69/AI69-1</f>
        <v>22.810810810810814</v>
      </c>
      <c r="AK278" s="1736"/>
      <c r="AL278" s="1737"/>
      <c r="AM278" s="1753">
        <f>AM69/AJ69-1</f>
        <v>9.7616345062429E-2</v>
      </c>
      <c r="AN278" s="1754">
        <f>AN69/AM69-1</f>
        <v>0.28024819027921422</v>
      </c>
      <c r="AO278" s="1754">
        <f>AO69/AN69-1</f>
        <v>7.8352180936995142E-2</v>
      </c>
      <c r="AP278" s="1755">
        <f>AP69/AO69-1</f>
        <v>-5.6179775280898903E-2</v>
      </c>
      <c r="AQ278" s="1736"/>
      <c r="AR278" s="1737"/>
      <c r="AS278" s="1753">
        <f>AS69/AP69-1</f>
        <v>-4.2063492063492025E-2</v>
      </c>
      <c r="AT278" s="1754">
        <f>AT69/AS69-1</f>
        <v>-0.11681855840927924</v>
      </c>
      <c r="AU278" s="1754">
        <f>AU69/AT69-1</f>
        <v>-1.67682926829269E-2</v>
      </c>
      <c r="AV278" s="1755">
        <f>AV69/AU69-1</f>
        <v>3.8044126416219681E-2</v>
      </c>
      <c r="AW278" s="1736"/>
      <c r="AX278" s="1737"/>
      <c r="AY278" s="1753">
        <f>AY69/AV69-1</f>
        <v>-0.81043198529411764</v>
      </c>
      <c r="AZ278" s="1754">
        <f>AZ69/AY69-1</f>
        <v>-0.33333333333333337</v>
      </c>
      <c r="BA278" s="1754">
        <f>BA69/AZ69-1</f>
        <v>-1</v>
      </c>
      <c r="BB278" s="837" t="s">
        <v>10</v>
      </c>
      <c r="BC278" s="1736"/>
      <c r="BD278" s="1737"/>
      <c r="BE278" s="823" t="s">
        <v>10</v>
      </c>
      <c r="BF278" s="824" t="s">
        <v>10</v>
      </c>
      <c r="BG278" s="824" t="s">
        <v>10</v>
      </c>
      <c r="BH278" s="1719" t="s">
        <v>10</v>
      </c>
      <c r="BI278" s="1736"/>
      <c r="BJ278" s="1737"/>
      <c r="BK278" s="823" t="s">
        <v>10</v>
      </c>
      <c r="BL278" s="824" t="s">
        <v>10</v>
      </c>
      <c r="BM278" s="824" t="s">
        <v>10</v>
      </c>
      <c r="BN278" s="1719" t="s">
        <v>10</v>
      </c>
      <c r="BO278" s="1736"/>
      <c r="BP278" s="1737"/>
      <c r="BQ278" s="823" t="s">
        <v>10</v>
      </c>
      <c r="BR278" s="824" t="s">
        <v>10</v>
      </c>
      <c r="BS278" s="824" t="s">
        <v>10</v>
      </c>
      <c r="BT278" s="1719" t="s">
        <v>10</v>
      </c>
      <c r="BU278" s="1736"/>
      <c r="BV278" s="1737"/>
      <c r="BW278" s="823" t="s">
        <v>10</v>
      </c>
      <c r="BX278" s="824" t="s">
        <v>10</v>
      </c>
      <c r="BY278" s="824" t="s">
        <v>10</v>
      </c>
      <c r="BZ278" s="1719" t="s">
        <v>10</v>
      </c>
      <c r="CA278" s="1736"/>
      <c r="CB278" s="1737"/>
      <c r="CC278" s="823" t="s">
        <v>10</v>
      </c>
      <c r="CD278" s="824" t="s">
        <v>10</v>
      </c>
      <c r="CE278" s="824" t="s">
        <v>10</v>
      </c>
      <c r="CF278" s="1719" t="s">
        <v>10</v>
      </c>
      <c r="CG278" s="1736"/>
      <c r="CH278" s="1737"/>
      <c r="CI278" s="823" t="s">
        <v>10</v>
      </c>
      <c r="CJ278" s="824" t="s">
        <v>10</v>
      </c>
      <c r="CK278" s="824" t="s">
        <v>10</v>
      </c>
      <c r="CL278" s="1719" t="s">
        <v>10</v>
      </c>
      <c r="CM278" s="1736"/>
      <c r="CN278" s="1737"/>
      <c r="CO278" s="823" t="s">
        <v>10</v>
      </c>
      <c r="CP278" s="824" t="s">
        <v>10</v>
      </c>
      <c r="CQ278" s="824" t="s">
        <v>10</v>
      </c>
      <c r="CR278" s="1719" t="s">
        <v>10</v>
      </c>
      <c r="CS278" s="1736"/>
      <c r="CT278" s="231"/>
      <c r="CU278" s="60"/>
      <c r="CV278" s="60"/>
      <c r="CW278" s="60"/>
      <c r="CX278" s="60"/>
      <c r="CY278" s="60"/>
      <c r="CZ278" s="60"/>
      <c r="DA278" s="60"/>
      <c r="DB278" s="60"/>
      <c r="DC278" s="60"/>
      <c r="DD278" s="60"/>
      <c r="DE278" s="60"/>
      <c r="DF278" s="60"/>
      <c r="DG278" s="60"/>
      <c r="DH278" s="60"/>
      <c r="DI278" s="68"/>
      <c r="DJ278" s="68"/>
      <c r="DK278" s="68"/>
      <c r="DL278" s="68"/>
      <c r="DM278" s="68"/>
      <c r="DN278" s="68"/>
      <c r="DO278" s="68"/>
      <c r="DP278" s="68"/>
      <c r="DQ278" s="68"/>
      <c r="DR278" s="68"/>
      <c r="DS278" s="68"/>
      <c r="DT278" s="68"/>
    </row>
    <row r="279" spans="1:124" ht="12.75" hidden="1" customHeight="1" outlineLevel="2">
      <c r="A279" s="156" t="s">
        <v>523</v>
      </c>
      <c r="B279" s="62"/>
      <c r="C279" s="839"/>
      <c r="D279" s="840"/>
      <c r="E279" s="840"/>
      <c r="F279" s="840"/>
      <c r="G279" s="841"/>
      <c r="H279" s="1115"/>
      <c r="I279" s="842"/>
      <c r="J279" s="840"/>
      <c r="K279" s="840"/>
      <c r="L279" s="840"/>
      <c r="M279" s="841"/>
      <c r="N279" s="1115"/>
      <c r="O279" s="842"/>
      <c r="P279" s="840"/>
      <c r="Q279" s="840"/>
      <c r="R279" s="843"/>
      <c r="S279" s="844"/>
      <c r="T279" s="1116"/>
      <c r="U279" s="845"/>
      <c r="V279" s="846"/>
      <c r="W279" s="846"/>
      <c r="X279" s="846"/>
      <c r="Y279" s="844"/>
      <c r="Z279" s="1116"/>
      <c r="AA279" s="845"/>
      <c r="AB279" s="846"/>
      <c r="AC279" s="846"/>
      <c r="AD279" s="846"/>
      <c r="AE279" s="844"/>
      <c r="AF279" s="1737"/>
      <c r="AG279" s="1753"/>
      <c r="AH279" s="1754"/>
      <c r="AI279" s="1754"/>
      <c r="AJ279" s="1755"/>
      <c r="AK279" s="1736"/>
      <c r="AL279" s="1737"/>
      <c r="AM279" s="1753"/>
      <c r="AN279" s="1754"/>
      <c r="AO279" s="1754"/>
      <c r="AP279" s="1755"/>
      <c r="AQ279" s="1736"/>
      <c r="AR279" s="1737"/>
      <c r="AS279" s="823" t="s">
        <v>10</v>
      </c>
      <c r="AT279" s="824" t="s">
        <v>10</v>
      </c>
      <c r="AU279" s="824" t="s">
        <v>10</v>
      </c>
      <c r="AV279" s="1719" t="s">
        <v>10</v>
      </c>
      <c r="AW279" s="1720"/>
      <c r="AX279" s="1737"/>
      <c r="AY279" s="823" t="s">
        <v>10</v>
      </c>
      <c r="AZ279" s="1754">
        <f>AZ78/AY78-1</f>
        <v>0.42307935636674032</v>
      </c>
      <c r="BA279" s="1754">
        <f>BA78/AZ78-1</f>
        <v>0.11089968652792881</v>
      </c>
      <c r="BB279" s="1755">
        <f>BB78/BA78-1</f>
        <v>-0.55098912657238297</v>
      </c>
      <c r="BC279" s="1736"/>
      <c r="BD279" s="1737"/>
      <c r="BE279" s="1753">
        <f>BE78/BB78-1</f>
        <v>0.24847847099135989</v>
      </c>
      <c r="BF279" s="1754">
        <f>BF78/BE78-1</f>
        <v>-0.46411239007376792</v>
      </c>
      <c r="BG279" s="1754">
        <f>BG78/BF78-1</f>
        <v>-0.49674722017866124</v>
      </c>
      <c r="BH279" s="1755">
        <f>BH78/BG78-1</f>
        <v>-0.76744186046511631</v>
      </c>
      <c r="BI279" s="1736"/>
      <c r="BJ279" s="1737"/>
      <c r="BK279" s="1753">
        <f>BK78/BH78-1</f>
        <v>-1</v>
      </c>
      <c r="BL279" s="1719" t="str">
        <f>IF(ISERROR(BL78/BK78-1),"nm",BL78/BK78-1)</f>
        <v>nm</v>
      </c>
      <c r="BM279" s="1794" t="str">
        <f>IF(ISERROR(BM78/BL78-1),"nm",BM78/BL78-1)</f>
        <v>nm</v>
      </c>
      <c r="BN279" s="2421" t="str">
        <f>IF(ISERROR(BN78/BM78-1),"nm",BN78/BM78-1)</f>
        <v>nm</v>
      </c>
      <c r="BO279" s="1736"/>
      <c r="BP279" s="1737"/>
      <c r="BQ279" s="2422" t="str">
        <f>IF(ISERROR(BQ78/BN78-1),"nm",BQ78/BN78-1)</f>
        <v>nm</v>
      </c>
      <c r="BR279" s="1719" t="str">
        <f>IF(ISERROR(BR78/BQ78-1),"nm",BR78/BQ78-1)</f>
        <v>nm</v>
      </c>
      <c r="BS279" s="1794" t="str">
        <f>IF(ISERROR(BS78/BR78-1),"nm",BS78/BR78-1)</f>
        <v>nm</v>
      </c>
      <c r="BT279" s="2421" t="str">
        <f>IF(ISERROR(BT78/BS78-1),"nm",BT78/BS78-1)</f>
        <v>nm</v>
      </c>
      <c r="BU279" s="1736"/>
      <c r="BV279" s="1737"/>
      <c r="BW279" s="2422" t="str">
        <f>IF(ISERROR(BW78/BT78-1),"nm",BW78/BT78-1)</f>
        <v>nm</v>
      </c>
      <c r="BX279" s="1719" t="str">
        <f>IF(ISERROR(BX78/BW78-1),"nm",BX78/BW78-1)</f>
        <v>nm</v>
      </c>
      <c r="BY279" s="1794" t="str">
        <f>IF(ISERROR(BY78/BX78-1),"nm",BY78/BX78-1)</f>
        <v>nm</v>
      </c>
      <c r="BZ279" s="2421" t="str">
        <f>IF(ISERROR(BZ78/BY78-1),"nm",BZ78/BY78-1)</f>
        <v>nm</v>
      </c>
      <c r="CA279" s="1736"/>
      <c r="CB279" s="1737"/>
      <c r="CC279" s="2422" t="str">
        <f>IF(ISERROR(CC78/BZ78-1),"nm",CC78/BZ78-1)</f>
        <v>nm</v>
      </c>
      <c r="CD279" s="1719" t="str">
        <f>IF(ISERROR(CD78/CC78-1),"nm",CD78/CC78-1)</f>
        <v>nm</v>
      </c>
      <c r="CE279" s="1794" t="str">
        <f>IF(ISERROR(CE78/CD78-1),"nm",CE78/CD78-1)</f>
        <v>nm</v>
      </c>
      <c r="CF279" s="2421" t="str">
        <f>IF(ISERROR(CF78/CE78-1),"nm",CF78/CE78-1)</f>
        <v>nm</v>
      </c>
      <c r="CG279" s="1736"/>
      <c r="CH279" s="1737"/>
      <c r="CI279" s="2422" t="str">
        <f>IF(ISERROR(CI78/CF78-1),"nm",CI78/CF78-1)</f>
        <v>nm</v>
      </c>
      <c r="CJ279" s="1719" t="str">
        <f>IF(ISERROR(CJ78/CI78-1),"nm",CJ78/CI78-1)</f>
        <v>nm</v>
      </c>
      <c r="CK279" s="1794" t="str">
        <f>IF(ISERROR(CK78/CJ78-1),"nm",CK78/CJ78-1)</f>
        <v>nm</v>
      </c>
      <c r="CL279" s="2421" t="str">
        <f>IF(ISERROR(CL78/CK78-1),"nm",CL78/CK78-1)</f>
        <v>nm</v>
      </c>
      <c r="CM279" s="1736"/>
      <c r="CN279" s="1737"/>
      <c r="CO279" s="2422" t="str">
        <f>IF(ISERROR(CO78/CL78-1),"nm",CO78/CL78-1)</f>
        <v>nm</v>
      </c>
      <c r="CP279" s="1719" t="str">
        <f>IF(ISERROR(CP78/CO78-1),"nm",CP78/CO78-1)</f>
        <v>nm</v>
      </c>
      <c r="CQ279" s="1794" t="str">
        <f>IF(ISERROR(CQ78/CP78-1),"nm",CQ78/CP78-1)</f>
        <v>nm</v>
      </c>
      <c r="CR279" s="2421" t="str">
        <f>IF(ISERROR(CR78/CQ78-1),"nm",CR78/CQ78-1)</f>
        <v>nm</v>
      </c>
      <c r="CS279" s="1736"/>
      <c r="CT279" s="231"/>
      <c r="CU279" s="60"/>
      <c r="CV279" s="60"/>
      <c r="CW279" s="60"/>
      <c r="CX279" s="60"/>
      <c r="CY279" s="60"/>
      <c r="CZ279" s="60"/>
      <c r="DA279" s="60"/>
      <c r="DB279" s="60"/>
      <c r="DC279" s="60"/>
      <c r="DD279" s="60"/>
      <c r="DE279" s="60"/>
      <c r="DF279" s="60"/>
      <c r="DG279" s="60"/>
      <c r="DH279" s="60"/>
      <c r="DI279" s="68"/>
      <c r="DJ279" s="68"/>
      <c r="DK279" s="68"/>
      <c r="DL279" s="68"/>
      <c r="DM279" s="68"/>
      <c r="DN279" s="68"/>
      <c r="DO279" s="68"/>
      <c r="DP279" s="68"/>
      <c r="DQ279" s="68"/>
      <c r="DR279" s="68"/>
      <c r="DS279" s="68"/>
      <c r="DT279" s="68"/>
    </row>
    <row r="280" spans="1:124" ht="12.75" hidden="1" customHeight="1" outlineLevel="2">
      <c r="A280" s="156" t="s">
        <v>524</v>
      </c>
      <c r="B280" s="62"/>
      <c r="C280" s="839"/>
      <c r="D280" s="840"/>
      <c r="E280" s="840"/>
      <c r="F280" s="840"/>
      <c r="G280" s="841"/>
      <c r="H280" s="1115"/>
      <c r="I280" s="842"/>
      <c r="J280" s="840"/>
      <c r="K280" s="840"/>
      <c r="L280" s="840"/>
      <c r="M280" s="841"/>
      <c r="N280" s="1115"/>
      <c r="O280" s="842"/>
      <c r="P280" s="840"/>
      <c r="Q280" s="840"/>
      <c r="R280" s="843"/>
      <c r="S280" s="844"/>
      <c r="T280" s="1116"/>
      <c r="U280" s="845"/>
      <c r="V280" s="846"/>
      <c r="W280" s="846"/>
      <c r="X280" s="846"/>
      <c r="Y280" s="844"/>
      <c r="Z280" s="1116"/>
      <c r="AA280" s="845"/>
      <c r="AB280" s="846"/>
      <c r="AC280" s="846"/>
      <c r="AD280" s="846"/>
      <c r="AE280" s="844"/>
      <c r="AF280" s="1737"/>
      <c r="AG280" s="1753"/>
      <c r="AH280" s="1754"/>
      <c r="AI280" s="1754"/>
      <c r="AJ280" s="1755"/>
      <c r="AK280" s="1736"/>
      <c r="AL280" s="1737"/>
      <c r="AM280" s="1753"/>
      <c r="AN280" s="1754"/>
      <c r="AO280" s="1754"/>
      <c r="AP280" s="1755"/>
      <c r="AQ280" s="1736"/>
      <c r="AR280" s="1737"/>
      <c r="AS280" s="823" t="s">
        <v>10</v>
      </c>
      <c r="AT280" s="824" t="s">
        <v>10</v>
      </c>
      <c r="AU280" s="824" t="s">
        <v>10</v>
      </c>
      <c r="AV280" s="1719" t="s">
        <v>10</v>
      </c>
      <c r="AW280" s="1720"/>
      <c r="AX280" s="1737"/>
      <c r="AY280" s="823" t="s">
        <v>10</v>
      </c>
      <c r="AZ280" s="1754">
        <f>AZ88/AY88-1</f>
        <v>0.34839251568209884</v>
      </c>
      <c r="BA280" s="1754">
        <f>BA88/AZ88-1</f>
        <v>-8.7811462551530273E-2</v>
      </c>
      <c r="BB280" s="1755">
        <f>BB88/BA88-1</f>
        <v>-0.20880659094544884</v>
      </c>
      <c r="BC280" s="1736"/>
      <c r="BD280" s="1737"/>
      <c r="BE280" s="1753">
        <f>BE88/BB88-1</f>
        <v>-0.24528141997570063</v>
      </c>
      <c r="BF280" s="1754">
        <f>BF88/BE88-1</f>
        <v>-3.8098246722476747E-2</v>
      </c>
      <c r="BG280" s="1754">
        <f>BG88/BF88-1</f>
        <v>-0.29713619494893095</v>
      </c>
      <c r="BH280" s="1755">
        <f>BH88/BG88-1</f>
        <v>0.29126463098380961</v>
      </c>
      <c r="BI280" s="1736"/>
      <c r="BJ280" s="1737"/>
      <c r="BK280" s="1753">
        <f>BK88/BH88-1</f>
        <v>-0.72724805500271394</v>
      </c>
      <c r="BL280" s="1719">
        <f>IF(ISERROR(BL88/BK88-1),"nm",BL88/BK88-1)</f>
        <v>-1</v>
      </c>
      <c r="BM280" s="1794" t="str">
        <f>IF(ISERROR(BM88/BL88-1),"nm",BM88/BL88-1)</f>
        <v>nm</v>
      </c>
      <c r="BN280" s="2421" t="str">
        <f>IF(ISERROR(BN88/BM88-1),"nm",BN88/BM88-1)</f>
        <v>nm</v>
      </c>
      <c r="BO280" s="1736"/>
      <c r="BP280" s="1737"/>
      <c r="BQ280" s="2422">
        <f>IF(ISERROR(BQ88/BN88-1),"nm",BQ88/BN88-1)</f>
        <v>-1</v>
      </c>
      <c r="BR280" s="1719" t="str">
        <f>IF(ISERROR(BR88/BQ88-1),"nm",BR88/BQ88-1)</f>
        <v>nm</v>
      </c>
      <c r="BS280" s="1794" t="str">
        <f>IF(ISERROR(BS88/BR88-1),"nm",BS88/BR88-1)</f>
        <v>nm</v>
      </c>
      <c r="BT280" s="2421" t="str">
        <f>IF(ISERROR(BT88/BS88-1),"nm",BT88/BS88-1)</f>
        <v>nm</v>
      </c>
      <c r="BU280" s="1736"/>
      <c r="BV280" s="1737"/>
      <c r="BW280" s="2422" t="str">
        <f>IF(ISERROR(BW88/BT88-1),"nm",BW88/BT88-1)</f>
        <v>nm</v>
      </c>
      <c r="BX280" s="1719" t="str">
        <f>IF(ISERROR(BX88/BW88-1),"nm",BX88/BW88-1)</f>
        <v>nm</v>
      </c>
      <c r="BY280" s="1794" t="str">
        <f>IF(ISERROR(BY88/BX88-1),"nm",BY88/BX88-1)</f>
        <v>nm</v>
      </c>
      <c r="BZ280" s="2421" t="str">
        <f>IF(ISERROR(BZ88/BY88-1),"nm",BZ88/BY88-1)</f>
        <v>nm</v>
      </c>
      <c r="CA280" s="1736"/>
      <c r="CB280" s="1737"/>
      <c r="CC280" s="2422" t="str">
        <f>IF(ISERROR(CC88/BZ88-1),"nm",CC88/BZ88-1)</f>
        <v>nm</v>
      </c>
      <c r="CD280" s="1719" t="str">
        <f>IF(ISERROR(CD88/CC88-1),"nm",CD88/CC88-1)</f>
        <v>nm</v>
      </c>
      <c r="CE280" s="1794" t="str">
        <f>IF(ISERROR(CE88/CD88-1),"nm",CE88/CD88-1)</f>
        <v>nm</v>
      </c>
      <c r="CF280" s="2421" t="str">
        <f>IF(ISERROR(CF88/CE88-1),"nm",CF88/CE88-1)</f>
        <v>nm</v>
      </c>
      <c r="CG280" s="1736"/>
      <c r="CH280" s="1737"/>
      <c r="CI280" s="2422" t="str">
        <f>IF(ISERROR(CI88/CF88-1),"nm",CI88/CF88-1)</f>
        <v>nm</v>
      </c>
      <c r="CJ280" s="1719" t="str">
        <f>IF(ISERROR(CJ88/CI88-1),"nm",CJ88/CI88-1)</f>
        <v>nm</v>
      </c>
      <c r="CK280" s="1794" t="str">
        <f>IF(ISERROR(CK88/CJ88-1),"nm",CK88/CJ88-1)</f>
        <v>nm</v>
      </c>
      <c r="CL280" s="2421" t="str">
        <f>IF(ISERROR(CL88/CK88-1),"nm",CL88/CK88-1)</f>
        <v>nm</v>
      </c>
      <c r="CM280" s="1736"/>
      <c r="CN280" s="1737"/>
      <c r="CO280" s="2422" t="str">
        <f>IF(ISERROR(CO88/CL88-1),"nm",CO88/CL88-1)</f>
        <v>nm</v>
      </c>
      <c r="CP280" s="1719" t="str">
        <f>IF(ISERROR(CP88/CO88-1),"nm",CP88/CO88-1)</f>
        <v>nm</v>
      </c>
      <c r="CQ280" s="1794" t="str">
        <f>IF(ISERROR(CQ88/CP88-1),"nm",CQ88/CP88-1)</f>
        <v>nm</v>
      </c>
      <c r="CR280" s="2421" t="str">
        <f>IF(ISERROR(CR88/CQ88-1),"nm",CR88/CQ88-1)</f>
        <v>nm</v>
      </c>
      <c r="CS280" s="1736"/>
      <c r="CT280" s="231"/>
      <c r="CU280" s="60"/>
      <c r="CV280" s="60"/>
      <c r="CW280" s="60"/>
      <c r="CX280" s="60"/>
      <c r="CY280" s="60"/>
      <c r="CZ280" s="60"/>
      <c r="DA280" s="60"/>
      <c r="DB280" s="60"/>
      <c r="DC280" s="60"/>
      <c r="DD280" s="60"/>
      <c r="DE280" s="60"/>
      <c r="DF280" s="60"/>
      <c r="DG280" s="60"/>
      <c r="DH280" s="60"/>
      <c r="DI280" s="68"/>
      <c r="DJ280" s="68"/>
      <c r="DK280" s="68"/>
      <c r="DL280" s="68"/>
      <c r="DM280" s="68"/>
      <c r="DN280" s="68"/>
      <c r="DO280" s="68"/>
      <c r="DP280" s="68"/>
      <c r="DQ280" s="68"/>
      <c r="DR280" s="68"/>
      <c r="DS280" s="68"/>
      <c r="DT280" s="68"/>
    </row>
    <row r="281" spans="1:124" ht="12.75" hidden="1" customHeight="1" outlineLevel="2">
      <c r="A281" s="156" t="s">
        <v>528</v>
      </c>
      <c r="B281" s="62"/>
      <c r="C281" s="839"/>
      <c r="D281" s="840"/>
      <c r="E281" s="840"/>
      <c r="F281" s="840"/>
      <c r="G281" s="841"/>
      <c r="H281" s="1115"/>
      <c r="I281" s="842"/>
      <c r="J281" s="840"/>
      <c r="K281" s="840"/>
      <c r="L281" s="840"/>
      <c r="M281" s="841"/>
      <c r="N281" s="1115"/>
      <c r="O281" s="842"/>
      <c r="P281" s="840"/>
      <c r="Q281" s="840"/>
      <c r="R281" s="843"/>
      <c r="S281" s="844"/>
      <c r="T281" s="1116"/>
      <c r="U281" s="845"/>
      <c r="V281" s="846"/>
      <c r="W281" s="846"/>
      <c r="X281" s="846"/>
      <c r="Y281" s="844"/>
      <c r="Z281" s="1116"/>
      <c r="AA281" s="845"/>
      <c r="AB281" s="846"/>
      <c r="AC281" s="846"/>
      <c r="AD281" s="846"/>
      <c r="AE281" s="844"/>
      <c r="AF281" s="1737"/>
      <c r="AG281" s="1753"/>
      <c r="AH281" s="1754"/>
      <c r="AI281" s="1754"/>
      <c r="AJ281" s="1755"/>
      <c r="AK281" s="1736"/>
      <c r="AL281" s="1737"/>
      <c r="AM281" s="1753"/>
      <c r="AN281" s="1754"/>
      <c r="AO281" s="1754"/>
      <c r="AP281" s="1755"/>
      <c r="AQ281" s="1736"/>
      <c r="AR281" s="1737"/>
      <c r="AS281" s="823" t="s">
        <v>10</v>
      </c>
      <c r="AT281" s="824" t="s">
        <v>10</v>
      </c>
      <c r="AU281" s="824" t="s">
        <v>10</v>
      </c>
      <c r="AV281" s="1719" t="s">
        <v>10</v>
      </c>
      <c r="AW281" s="1720"/>
      <c r="AX281" s="1737"/>
      <c r="AY281" s="823" t="s">
        <v>10</v>
      </c>
      <c r="AZ281" s="824" t="s">
        <v>10</v>
      </c>
      <c r="BA281" s="1754">
        <f>BA99/AZ99-1</f>
        <v>5.0000000000000044E-2</v>
      </c>
      <c r="BB281" s="1755">
        <f>BB99/BA99-1</f>
        <v>0.12380952380952381</v>
      </c>
      <c r="BC281" s="1736"/>
      <c r="BD281" s="1737"/>
      <c r="BE281" s="1753">
        <f>BE99/BB99-1</f>
        <v>0.44745762711864367</v>
      </c>
      <c r="BF281" s="1754">
        <f>BF99/BE99-1</f>
        <v>0.23790007806401281</v>
      </c>
      <c r="BG281" s="1754">
        <f>BG99/BF99-1</f>
        <v>-0.21316096484313429</v>
      </c>
      <c r="BH281" s="1755">
        <f>BH99/BG99-1</f>
        <v>8.004936965531062E-4</v>
      </c>
      <c r="BI281" s="1736"/>
      <c r="BJ281" s="1737"/>
      <c r="BK281" s="1753">
        <f>BK99/BH99-1</f>
        <v>-0.76065839284339654</v>
      </c>
      <c r="BL281" s="1754">
        <f>BL99/BK99-1</f>
        <v>-1</v>
      </c>
      <c r="BM281" s="1754"/>
      <c r="BN281" s="1755"/>
      <c r="BO281" s="1736"/>
      <c r="BP281" s="1737"/>
      <c r="BQ281" s="1753"/>
      <c r="BR281" s="1754"/>
      <c r="BS281" s="1754"/>
      <c r="BT281" s="1755"/>
      <c r="BU281" s="1736"/>
      <c r="BV281" s="1737"/>
      <c r="BW281" s="1753"/>
      <c r="BX281" s="1754"/>
      <c r="BY281" s="1754"/>
      <c r="BZ281" s="1755"/>
      <c r="CA281" s="1736"/>
      <c r="CB281" s="1737"/>
      <c r="CC281" s="1753"/>
      <c r="CD281" s="1754"/>
      <c r="CE281" s="1754"/>
      <c r="CF281" s="1755"/>
      <c r="CG281" s="1736"/>
      <c r="CH281" s="1737"/>
      <c r="CI281" s="1753"/>
      <c r="CJ281" s="1754"/>
      <c r="CK281" s="1754"/>
      <c r="CL281" s="1755"/>
      <c r="CM281" s="1736"/>
      <c r="CN281" s="1737"/>
      <c r="CO281" s="1753"/>
      <c r="CP281" s="1754"/>
      <c r="CQ281" s="1754"/>
      <c r="CR281" s="1755"/>
      <c r="CS281" s="1736"/>
      <c r="CT281" s="231"/>
      <c r="CU281" s="60"/>
      <c r="CV281" s="60"/>
      <c r="CW281" s="60"/>
      <c r="CX281" s="60"/>
      <c r="CY281" s="60"/>
      <c r="CZ281" s="60"/>
      <c r="DA281" s="60"/>
      <c r="DB281" s="60"/>
      <c r="DC281" s="60"/>
      <c r="DD281" s="60"/>
      <c r="DE281" s="60"/>
      <c r="DF281" s="60"/>
      <c r="DG281" s="60"/>
      <c r="DH281" s="60"/>
      <c r="DI281" s="68"/>
      <c r="DJ281" s="68"/>
      <c r="DK281" s="68"/>
      <c r="DL281" s="68"/>
      <c r="DM281" s="68"/>
      <c r="DN281" s="68"/>
      <c r="DO281" s="68"/>
      <c r="DP281" s="68"/>
      <c r="DQ281" s="68"/>
      <c r="DR281" s="68"/>
      <c r="DS281" s="68"/>
      <c r="DT281" s="68"/>
    </row>
    <row r="282" spans="1:124" ht="12.75" hidden="1" customHeight="1" outlineLevel="2">
      <c r="A282" s="156" t="s">
        <v>529</v>
      </c>
      <c r="B282" s="62"/>
      <c r="C282" s="839"/>
      <c r="D282" s="840"/>
      <c r="E282" s="840"/>
      <c r="F282" s="840"/>
      <c r="G282" s="841"/>
      <c r="H282" s="1115"/>
      <c r="I282" s="842"/>
      <c r="J282" s="840"/>
      <c r="K282" s="840"/>
      <c r="L282" s="840"/>
      <c r="M282" s="841"/>
      <c r="N282" s="1115"/>
      <c r="O282" s="842"/>
      <c r="P282" s="840"/>
      <c r="Q282" s="840"/>
      <c r="R282" s="843"/>
      <c r="S282" s="844"/>
      <c r="T282" s="1116"/>
      <c r="U282" s="845"/>
      <c r="V282" s="846"/>
      <c r="W282" s="846"/>
      <c r="X282" s="846"/>
      <c r="Y282" s="844"/>
      <c r="Z282" s="1116"/>
      <c r="AA282" s="845"/>
      <c r="AB282" s="846"/>
      <c r="AC282" s="846"/>
      <c r="AD282" s="846"/>
      <c r="AE282" s="844"/>
      <c r="AF282" s="1737"/>
      <c r="AG282" s="1753"/>
      <c r="AH282" s="1754"/>
      <c r="AI282" s="1754"/>
      <c r="AJ282" s="1755"/>
      <c r="AK282" s="1736"/>
      <c r="AL282" s="1737"/>
      <c r="AM282" s="1753"/>
      <c r="AN282" s="1754"/>
      <c r="AO282" s="1754"/>
      <c r="AP282" s="1755"/>
      <c r="AQ282" s="1736"/>
      <c r="AR282" s="1737"/>
      <c r="AS282" s="1753"/>
      <c r="AT282" s="1754">
        <f>AT105/AS105-1</f>
        <v>1.8333333333333335</v>
      </c>
      <c r="AU282" s="1754">
        <f>AU105/AT105-1</f>
        <v>0.32352941176470584</v>
      </c>
      <c r="AV282" s="1755">
        <f>AV105/AU105-1</f>
        <v>-4.4444444444444398E-2</v>
      </c>
      <c r="AW282" s="1736"/>
      <c r="AX282" s="1737"/>
      <c r="AY282" s="1753">
        <f>AY105/AV105-1</f>
        <v>3.6162790697674474E-2</v>
      </c>
      <c r="AZ282" s="1754">
        <f>AZ105/AY105-1</f>
        <v>-0.27360341151385925</v>
      </c>
      <c r="BA282" s="1754">
        <f>BA105/AZ105-1</f>
        <v>0.11541622637078786</v>
      </c>
      <c r="BB282" s="1755">
        <f>BB105/BA105-1</f>
        <v>-0.29941052631578957</v>
      </c>
      <c r="BC282" s="1736"/>
      <c r="BD282" s="1737"/>
      <c r="BE282" s="1753">
        <f>BE105/BB105-1</f>
        <v>-0.61113949155598291</v>
      </c>
      <c r="BF282" s="1754">
        <f>BF105/BE105-1</f>
        <v>1.0616912020401066</v>
      </c>
      <c r="BG282" s="1754">
        <f>BG105/BF105-1</f>
        <v>-0.26910373073671479</v>
      </c>
      <c r="BH282" s="1755">
        <f>BH105/BG105-1</f>
        <v>0.54139689081512077</v>
      </c>
      <c r="BI282" s="1736"/>
      <c r="BJ282" s="1737"/>
      <c r="BK282" s="1753">
        <f>BK105/BH105-1</f>
        <v>-0.76682455938189609</v>
      </c>
      <c r="BL282" s="1754">
        <f>BL105/BK105-1</f>
        <v>-9.9999999999999978E-2</v>
      </c>
      <c r="BM282" s="1754"/>
      <c r="BN282" s="1755"/>
      <c r="BO282" s="1736"/>
      <c r="BP282" s="1737"/>
      <c r="BQ282" s="1753"/>
      <c r="BR282" s="1754"/>
      <c r="BS282" s="1754"/>
      <c r="BT282" s="1755"/>
      <c r="BU282" s="1736"/>
      <c r="BV282" s="1737"/>
      <c r="BW282" s="1753"/>
      <c r="BX282" s="1754"/>
      <c r="BY282" s="1754"/>
      <c r="BZ282" s="1755"/>
      <c r="CA282" s="1736"/>
      <c r="CB282" s="1737"/>
      <c r="CC282" s="1753"/>
      <c r="CD282" s="1754"/>
      <c r="CE282" s="1754"/>
      <c r="CF282" s="1755"/>
      <c r="CG282" s="1736"/>
      <c r="CH282" s="1737"/>
      <c r="CI282" s="1753"/>
      <c r="CJ282" s="1754"/>
      <c r="CK282" s="1754"/>
      <c r="CL282" s="1755"/>
      <c r="CM282" s="1736"/>
      <c r="CN282" s="1737"/>
      <c r="CO282" s="1753"/>
      <c r="CP282" s="1754"/>
      <c r="CQ282" s="1754"/>
      <c r="CR282" s="1755"/>
      <c r="CS282" s="1736"/>
      <c r="CT282" s="231"/>
      <c r="CU282" s="60"/>
      <c r="CV282" s="60"/>
      <c r="CW282" s="60"/>
      <c r="CX282" s="60"/>
      <c r="CY282" s="60"/>
      <c r="CZ282" s="60"/>
      <c r="DA282" s="60"/>
      <c r="DB282" s="60"/>
      <c r="DC282" s="60"/>
      <c r="DD282" s="60"/>
      <c r="DE282" s="60"/>
      <c r="DF282" s="60"/>
      <c r="DG282" s="60"/>
      <c r="DH282" s="60"/>
      <c r="DI282" s="68"/>
      <c r="DJ282" s="68"/>
      <c r="DK282" s="68"/>
      <c r="DL282" s="68"/>
      <c r="DM282" s="68"/>
      <c r="DN282" s="68"/>
      <c r="DO282" s="68"/>
      <c r="DP282" s="68"/>
      <c r="DQ282" s="68"/>
      <c r="DR282" s="68"/>
      <c r="DS282" s="68"/>
      <c r="DT282" s="68"/>
    </row>
    <row r="283" spans="1:124" ht="12.75" hidden="1" customHeight="1" outlineLevel="2">
      <c r="A283" s="156" t="s">
        <v>525</v>
      </c>
      <c r="B283" s="62"/>
      <c r="C283" s="839"/>
      <c r="D283" s="840"/>
      <c r="E283" s="840"/>
      <c r="F283" s="840"/>
      <c r="G283" s="841"/>
      <c r="H283" s="1115"/>
      <c r="I283" s="842"/>
      <c r="J283" s="840"/>
      <c r="K283" s="840"/>
      <c r="L283" s="840"/>
      <c r="M283" s="841"/>
      <c r="N283" s="1115"/>
      <c r="O283" s="842"/>
      <c r="P283" s="840"/>
      <c r="Q283" s="840"/>
      <c r="R283" s="843"/>
      <c r="S283" s="844"/>
      <c r="T283" s="1116"/>
      <c r="U283" s="845"/>
      <c r="V283" s="846"/>
      <c r="W283" s="846"/>
      <c r="X283" s="846"/>
      <c r="Y283" s="844"/>
      <c r="Z283" s="1116"/>
      <c r="AA283" s="845"/>
      <c r="AB283" s="846"/>
      <c r="AC283" s="846"/>
      <c r="AD283" s="846"/>
      <c r="AE283" s="844"/>
      <c r="AF283" s="1737"/>
      <c r="AG283" s="1753">
        <f>AG59/AD59-1</f>
        <v>-0.28498485069669599</v>
      </c>
      <c r="AH283" s="1754">
        <f>AH59/AG59-1</f>
        <v>-5.2119477059698882E-3</v>
      </c>
      <c r="AI283" s="1754">
        <f>AI59/AH59-1</f>
        <v>5.6712875976045574E-2</v>
      </c>
      <c r="AJ283" s="1755">
        <f>AJ59/AI59-1</f>
        <v>-8.1157068697199741E-2</v>
      </c>
      <c r="AK283" s="1736"/>
      <c r="AL283" s="1737"/>
      <c r="AM283" s="1753">
        <f>AM59/AJ59-1</f>
        <v>0.26186699596538099</v>
      </c>
      <c r="AN283" s="1754">
        <f>AN59/AM59-1</f>
        <v>0.21947762705001028</v>
      </c>
      <c r="AO283" s="1754">
        <f>AO59/AN59-1</f>
        <v>4.3499916984891085E-2</v>
      </c>
      <c r="AP283" s="1755">
        <f>AP59/AO59-1</f>
        <v>-0.15799522673031019</v>
      </c>
      <c r="AQ283" s="1736"/>
      <c r="AR283" s="1737"/>
      <c r="AS283" s="1753">
        <f>AS59/AP59-1</f>
        <v>0.18669690098261538</v>
      </c>
      <c r="AT283" s="1754">
        <f>AT59/AS59-1</f>
        <v>0.22038216560509549</v>
      </c>
      <c r="AU283" s="1754">
        <f>AU59/AT59-1</f>
        <v>0.13419885177453028</v>
      </c>
      <c r="AV283" s="1755">
        <f>AV59/AU59-1</f>
        <v>-4.6591889559963739E-3</v>
      </c>
      <c r="AW283" s="1736"/>
      <c r="AX283" s="1737"/>
      <c r="AY283" s="1753">
        <f>AY59/AV59-1</f>
        <v>7.1179496070272519E-2</v>
      </c>
      <c r="AZ283" s="1754">
        <f>AZ59/AY59-1</f>
        <v>5.800647561947736E-2</v>
      </c>
      <c r="BA283" s="1754">
        <f>BA59/AZ59-1</f>
        <v>-3.5902518720346888E-2</v>
      </c>
      <c r="BB283" s="1755">
        <f>BB59/BA59-1</f>
        <v>-0.2302736575035601</v>
      </c>
      <c r="BC283" s="1736"/>
      <c r="BD283" s="1737"/>
      <c r="BE283" s="1753">
        <f>BE59/BB59-1</f>
        <v>-0.25337362869094837</v>
      </c>
      <c r="BF283" s="1754">
        <f>BF59/BE59-1</f>
        <v>9.9804144073044609E-2</v>
      </c>
      <c r="BG283" s="1754">
        <f>BG59/BF59-1</f>
        <v>-0.28698988362381161</v>
      </c>
      <c r="BH283" s="1755">
        <f>BH59/BG59-1</f>
        <v>0.22567992787389768</v>
      </c>
      <c r="BI283" s="1736"/>
      <c r="BJ283" s="1737"/>
      <c r="BK283" s="1753">
        <f>BK59/BH59-1</f>
        <v>-0.75345080686849775</v>
      </c>
      <c r="BL283" s="1754">
        <f>BL59/BK59-1</f>
        <v>-0.6276388250216034</v>
      </c>
      <c r="BM283" s="1754"/>
      <c r="BN283" s="1755"/>
      <c r="BO283" s="1736"/>
      <c r="BP283" s="1737"/>
      <c r="BQ283" s="1753"/>
      <c r="BR283" s="1754"/>
      <c r="BS283" s="1754"/>
      <c r="BT283" s="1755"/>
      <c r="BU283" s="1736"/>
      <c r="BV283" s="1737"/>
      <c r="BW283" s="1753"/>
      <c r="BX283" s="1754"/>
      <c r="BY283" s="1754"/>
      <c r="BZ283" s="1755"/>
      <c r="CA283" s="1736"/>
      <c r="CB283" s="1737"/>
      <c r="CC283" s="1753"/>
      <c r="CD283" s="1754"/>
      <c r="CE283" s="1754"/>
      <c r="CF283" s="1755"/>
      <c r="CG283" s="1736"/>
      <c r="CH283" s="1737"/>
      <c r="CI283" s="1753"/>
      <c r="CJ283" s="1754"/>
      <c r="CK283" s="1754"/>
      <c r="CL283" s="1755"/>
      <c r="CM283" s="1736"/>
      <c r="CN283" s="1737"/>
      <c r="CO283" s="1753"/>
      <c r="CP283" s="1754"/>
      <c r="CQ283" s="1754"/>
      <c r="CR283" s="1755"/>
      <c r="CS283" s="1736"/>
      <c r="CT283" s="231"/>
      <c r="CU283" s="60"/>
      <c r="CV283" s="60"/>
      <c r="CW283" s="60"/>
      <c r="CX283" s="60"/>
      <c r="CY283" s="60"/>
      <c r="CZ283" s="60"/>
      <c r="DA283" s="60"/>
      <c r="DB283" s="60"/>
      <c r="DC283" s="60"/>
      <c r="DD283" s="60"/>
      <c r="DE283" s="60"/>
      <c r="DF283" s="60"/>
      <c r="DG283" s="60"/>
      <c r="DH283" s="60"/>
      <c r="DI283" s="68"/>
      <c r="DJ283" s="68"/>
      <c r="DK283" s="68"/>
      <c r="DL283" s="68"/>
      <c r="DM283" s="68"/>
      <c r="DN283" s="68"/>
      <c r="DO283" s="68"/>
      <c r="DP283" s="68"/>
      <c r="DQ283" s="68"/>
      <c r="DR283" s="68"/>
      <c r="DS283" s="68"/>
      <c r="DT283" s="68"/>
    </row>
    <row r="284" spans="1:124" ht="12.75" hidden="1" customHeight="1" outlineLevel="2">
      <c r="A284" s="1590" t="s">
        <v>757</v>
      </c>
      <c r="B284" s="62"/>
      <c r="C284" s="839"/>
      <c r="D284" s="840"/>
      <c r="E284" s="840"/>
      <c r="F284" s="840"/>
      <c r="G284" s="2423"/>
      <c r="H284" s="1115"/>
      <c r="I284" s="842"/>
      <c r="J284" s="840"/>
      <c r="K284" s="840"/>
      <c r="L284" s="840"/>
      <c r="M284" s="2423"/>
      <c r="N284" s="1115"/>
      <c r="O284" s="842"/>
      <c r="P284" s="840"/>
      <c r="Q284" s="840"/>
      <c r="R284" s="840"/>
      <c r="S284" s="2424"/>
      <c r="T284" s="1116"/>
      <c r="U284" s="845"/>
      <c r="V284" s="846"/>
      <c r="W284" s="846"/>
      <c r="X284" s="846"/>
      <c r="Y284" s="2424"/>
      <c r="Z284" s="1116"/>
      <c r="AA284" s="845"/>
      <c r="AB284" s="846"/>
      <c r="AC284" s="846"/>
      <c r="AD284" s="846"/>
      <c r="AE284" s="2424"/>
      <c r="AF284" s="1737"/>
      <c r="AG284" s="1753"/>
      <c r="AH284" s="1754"/>
      <c r="AI284" s="1754"/>
      <c r="AJ284" s="1754"/>
      <c r="AK284" s="1736"/>
      <c r="AL284" s="1737"/>
      <c r="AM284" s="1753"/>
      <c r="AN284" s="1754"/>
      <c r="AO284" s="1754"/>
      <c r="AP284" s="1754"/>
      <c r="AQ284" s="1736"/>
      <c r="AR284" s="1737"/>
      <c r="AS284" s="1753"/>
      <c r="AT284" s="1754"/>
      <c r="AU284" s="1754"/>
      <c r="AV284" s="1755"/>
      <c r="AW284" s="1736"/>
      <c r="AX284" s="1737"/>
      <c r="AY284" s="1753"/>
      <c r="AZ284" s="1754"/>
      <c r="BA284" s="1754"/>
      <c r="BB284" s="1755"/>
      <c r="BC284" s="1736"/>
      <c r="BD284" s="1737"/>
      <c r="BE284" s="1753"/>
      <c r="BF284" s="1754"/>
      <c r="BG284" s="1754"/>
      <c r="BH284" s="1755"/>
      <c r="BI284" s="1736"/>
      <c r="BJ284" s="1737"/>
      <c r="BK284" s="2422" t="str">
        <f>IF(ISERROR(BK116/BH116-1),"nm",BK116/BH116-1)</f>
        <v>nm</v>
      </c>
      <c r="BL284" s="1754">
        <f>IF(ISERROR(BL116/BK116-1),"nm",BL116/BK116-1)</f>
        <v>0</v>
      </c>
      <c r="BM284" s="1754">
        <f>IF(ISERROR(BM116/BL116-1),"nm",BM116/BL116-1)</f>
        <v>0</v>
      </c>
      <c r="BN284" s="1755">
        <f>IF(ISERROR(BN116/BM116-1),"nm",BN116/BM116-1)</f>
        <v>0</v>
      </c>
      <c r="BO284" s="1736"/>
      <c r="BP284" s="1737"/>
      <c r="BQ284" s="2422">
        <f>IF(ISERROR(BQ116/BN116-1),"nm",BQ116/BN116-1)</f>
        <v>0</v>
      </c>
      <c r="BR284" s="1754">
        <f>IF(ISERROR(BR116/BQ116-1),"nm",BR116/BQ116-1)</f>
        <v>0</v>
      </c>
      <c r="BS284" s="1754">
        <f>IF(ISERROR(BS116/BR116-1),"nm",BS116/BR116-1)</f>
        <v>0</v>
      </c>
      <c r="BT284" s="1755">
        <f>IF(ISERROR(BT116/BS116-1),"nm",BT116/BS116-1)</f>
        <v>0</v>
      </c>
      <c r="BU284" s="1736"/>
      <c r="BW284" s="2422">
        <f>IF(ISERROR(BW116/BT116-1),"nm",BW116/BT116-1)</f>
        <v>0</v>
      </c>
      <c r="BX284" s="1754">
        <f>IF(ISERROR(BX116/BW116-1),"nm",BX116/BW116-1)</f>
        <v>0</v>
      </c>
      <c r="BY284" s="1754">
        <f>IF(ISERROR(BY116/BX116-1),"nm",BY116/BX116-1)</f>
        <v>0</v>
      </c>
      <c r="BZ284" s="1755">
        <f>IF(ISERROR(BZ116/BY116-1),"nm",BZ116/BY116-1)</f>
        <v>0</v>
      </c>
      <c r="CA284" s="1736"/>
      <c r="CC284" s="2422">
        <f>IF(ISERROR(CC116/BZ116-1),"nm",CC116/BZ116-1)</f>
        <v>0</v>
      </c>
      <c r="CD284" s="1754">
        <f>IF(ISERROR(CD116/CC116-1),"nm",CD116/CC116-1)</f>
        <v>0</v>
      </c>
      <c r="CE284" s="1754">
        <f>IF(ISERROR(CE116/CD116-1),"nm",CE116/CD116-1)</f>
        <v>0</v>
      </c>
      <c r="CF284" s="1755">
        <f>IF(ISERROR(CF116/CE116-1),"nm",CF116/CE116-1)</f>
        <v>0</v>
      </c>
      <c r="CG284" s="1736"/>
      <c r="CI284" s="2422">
        <f>IF(ISERROR(CI116/CF116-1),"nm",CI116/CF116-1)</f>
        <v>0</v>
      </c>
      <c r="CJ284" s="1754">
        <f>IF(ISERROR(CJ116/CI116-1),"nm",CJ116/CI116-1)</f>
        <v>0</v>
      </c>
      <c r="CK284" s="1754">
        <f>IF(ISERROR(CK116/CJ116-1),"nm",CK116/CJ116-1)</f>
        <v>0</v>
      </c>
      <c r="CL284" s="1755">
        <f>IF(ISERROR(CL116/CK116-1),"nm",CL116/CK116-1)</f>
        <v>0</v>
      </c>
      <c r="CM284" s="1736"/>
      <c r="CO284" s="2422">
        <f>IF(ISERROR(CO116/CL116-1),"nm",CO116/CL116-1)</f>
        <v>0</v>
      </c>
      <c r="CP284" s="1754">
        <f>IF(ISERROR(CP116/CO116-1),"nm",CP116/CO116-1)</f>
        <v>0</v>
      </c>
      <c r="CQ284" s="1754">
        <f>IF(ISERROR(CQ116/CP116-1),"nm",CQ116/CP116-1)</f>
        <v>0</v>
      </c>
      <c r="CR284" s="1755">
        <f>IF(ISERROR(CR116/CQ116-1),"nm",CR116/CQ116-1)</f>
        <v>0</v>
      </c>
      <c r="CS284" s="1736"/>
      <c r="CT284" s="231"/>
      <c r="CU284" s="60"/>
      <c r="CV284" s="60"/>
      <c r="CW284" s="60"/>
      <c r="CX284" s="60"/>
      <c r="CY284" s="60"/>
      <c r="CZ284" s="60"/>
      <c r="DA284" s="60"/>
      <c r="DB284" s="60"/>
      <c r="DC284" s="60"/>
      <c r="DD284" s="60"/>
      <c r="DE284" s="60"/>
      <c r="DF284" s="60"/>
      <c r="DG284" s="60"/>
      <c r="DH284" s="60"/>
      <c r="DI284" s="68"/>
      <c r="DJ284" s="68"/>
      <c r="DK284" s="68"/>
      <c r="DL284" s="68"/>
      <c r="DM284" s="68"/>
      <c r="DN284" s="68"/>
      <c r="DO284" s="68"/>
      <c r="DP284" s="68"/>
      <c r="DQ284" s="68"/>
      <c r="DR284" s="68"/>
      <c r="DS284" s="68"/>
      <c r="DT284" s="68"/>
    </row>
    <row r="285" spans="1:124" ht="12.75" hidden="1" customHeight="1" outlineLevel="2">
      <c r="A285" s="1590" t="s">
        <v>758</v>
      </c>
      <c r="B285" s="62"/>
      <c r="C285" s="839"/>
      <c r="D285" s="840"/>
      <c r="E285" s="840"/>
      <c r="F285" s="840"/>
      <c r="G285" s="2423"/>
      <c r="H285" s="1115"/>
      <c r="I285" s="842"/>
      <c r="J285" s="840"/>
      <c r="K285" s="840"/>
      <c r="L285" s="840"/>
      <c r="M285" s="2423"/>
      <c r="N285" s="1115"/>
      <c r="O285" s="842"/>
      <c r="P285" s="840"/>
      <c r="Q285" s="840"/>
      <c r="R285" s="840"/>
      <c r="S285" s="2424"/>
      <c r="T285" s="1116"/>
      <c r="U285" s="845"/>
      <c r="V285" s="846"/>
      <c r="W285" s="846"/>
      <c r="X285" s="846"/>
      <c r="Y285" s="2424"/>
      <c r="Z285" s="1116"/>
      <c r="AA285" s="845"/>
      <c r="AB285" s="846"/>
      <c r="AC285" s="846"/>
      <c r="AD285" s="846"/>
      <c r="AE285" s="2424"/>
      <c r="AF285" s="1737"/>
      <c r="AG285" s="1753"/>
      <c r="AH285" s="1754"/>
      <c r="AI285" s="1754"/>
      <c r="AJ285" s="1754"/>
      <c r="AK285" s="1736"/>
      <c r="AL285" s="1737"/>
      <c r="AM285" s="1753"/>
      <c r="AN285" s="1754"/>
      <c r="AO285" s="1754"/>
      <c r="AP285" s="1754"/>
      <c r="AQ285" s="1736"/>
      <c r="AR285" s="1737"/>
      <c r="AS285" s="1753"/>
      <c r="AT285" s="1754"/>
      <c r="AU285" s="1754"/>
      <c r="AV285" s="1755"/>
      <c r="AW285" s="1736"/>
      <c r="AX285" s="1737"/>
      <c r="AY285" s="1753"/>
      <c r="AZ285" s="1754"/>
      <c r="BA285" s="1754"/>
      <c r="BB285" s="1755"/>
      <c r="BC285" s="1736"/>
      <c r="BD285" s="1737"/>
      <c r="BE285" s="1753"/>
      <c r="BF285" s="1754"/>
      <c r="BG285" s="1754"/>
      <c r="BH285" s="1755"/>
      <c r="BI285" s="1736"/>
      <c r="BJ285" s="1737"/>
      <c r="BK285" s="2422" t="str">
        <f>IF(ISERROR(BK126/BH126-1),"nm",BK126/BH126-1)</f>
        <v>nm</v>
      </c>
      <c r="BL285" s="1754">
        <f>IF(ISERROR(BL126/BK126-1),"nm",BL126/BK126-1)</f>
        <v>2.4383259911894273</v>
      </c>
      <c r="BM285" s="1754">
        <f>IF(ISERROR(BM126/BL126-1),"nm",BM126/BL126-1)</f>
        <v>3.9846252402306215E-2</v>
      </c>
      <c r="BN285" s="1755">
        <f>IF(ISERROR(BN126/BM126-1),"nm",BN126/BM126-1)</f>
        <v>1.7249876786593621E-3</v>
      </c>
      <c r="BO285" s="1736"/>
      <c r="BP285" s="1737"/>
      <c r="BQ285" s="2422">
        <f>IF(ISERROR(BQ126/BN126-1),"nm",BQ126/BN126-1)</f>
        <v>-0.21586715867158668</v>
      </c>
      <c r="BR285" s="1754">
        <f>IF(ISERROR(BR126/BQ126-1),"nm",BR126/BQ126-1)</f>
        <v>0.1231372549019607</v>
      </c>
      <c r="BS285" s="1754">
        <f>IF(ISERROR(BS126/BR126-1),"nm",BS126/BR126-1)</f>
        <v>4.9581005586592175E-2</v>
      </c>
      <c r="BT285" s="1755">
        <f>IF(ISERROR(BT126/BS126-1),"nm",BT126/BS126-1)</f>
        <v>0</v>
      </c>
      <c r="BU285" s="1736"/>
      <c r="BW285" s="2422">
        <f>IF(ISERROR(BW126/BT126-1),"nm",BW126/BT126-1)</f>
        <v>-0.21823020625415834</v>
      </c>
      <c r="BX285" s="1754">
        <f>IF(ISERROR(BX126/BW126-1),"nm",BX126/BW126-1)</f>
        <v>0</v>
      </c>
      <c r="BY285" s="1754">
        <f>IF(ISERROR(BY126/BX126-1),"nm",BY126/BX126-1)</f>
        <v>0</v>
      </c>
      <c r="BZ285" s="1755">
        <f>IF(ISERROR(BZ126/BY126-1),"nm",BZ126/BY126-1)</f>
        <v>0</v>
      </c>
      <c r="CA285" s="1736"/>
      <c r="CC285" s="2422">
        <f>IF(ISERROR(CC126/BZ126-1),"nm",CC126/BZ126-1)</f>
        <v>-0.1063829787234043</v>
      </c>
      <c r="CD285" s="1754">
        <f>IF(ISERROR(CD126/CC126-1),"nm",CD126/CC126-1)</f>
        <v>0</v>
      </c>
      <c r="CE285" s="1754">
        <f>IF(ISERROR(CE126/CD126-1),"nm",CE126/CD126-1)</f>
        <v>0</v>
      </c>
      <c r="CF285" s="1755">
        <f>IF(ISERROR(CF126/CE126-1),"nm",CF126/CE126-1)</f>
        <v>0</v>
      </c>
      <c r="CG285" s="1736"/>
      <c r="CI285" s="2422">
        <f>IF(ISERROR(CI126/CF126-1),"nm",CI126/CF126-1)</f>
        <v>0</v>
      </c>
      <c r="CJ285" s="1754">
        <f>IF(ISERROR(CJ126/CI126-1),"nm",CJ126/CI126-1)</f>
        <v>0</v>
      </c>
      <c r="CK285" s="1754">
        <f>IF(ISERROR(CK126/CJ126-1),"nm",CK126/CJ126-1)</f>
        <v>0</v>
      </c>
      <c r="CL285" s="1755">
        <f>IF(ISERROR(CL126/CK126-1),"nm",CL126/CK126-1)</f>
        <v>0</v>
      </c>
      <c r="CM285" s="1736"/>
      <c r="CO285" s="2422">
        <f>IF(ISERROR(CO126/CL126-1),"nm",CO126/CL126-1)</f>
        <v>0</v>
      </c>
      <c r="CP285" s="1754">
        <f>IF(ISERROR(CP126/CO126-1),"nm",CP126/CO126-1)</f>
        <v>0</v>
      </c>
      <c r="CQ285" s="1754">
        <f>IF(ISERROR(CQ126/CP126-1),"nm",CQ126/CP126-1)</f>
        <v>0</v>
      </c>
      <c r="CR285" s="1755">
        <f>IF(ISERROR(CR126/CQ126-1),"nm",CR126/CQ126-1)</f>
        <v>0</v>
      </c>
      <c r="CS285" s="1736"/>
      <c r="CT285" s="231"/>
      <c r="CU285" s="60"/>
      <c r="CV285" s="60"/>
      <c r="CW285" s="60"/>
      <c r="CX285" s="60"/>
      <c r="CY285" s="60"/>
      <c r="CZ285" s="60"/>
      <c r="DA285" s="60"/>
      <c r="DB285" s="60"/>
      <c r="DC285" s="60"/>
      <c r="DD285" s="60"/>
      <c r="DE285" s="60"/>
      <c r="DF285" s="60"/>
      <c r="DG285" s="60"/>
      <c r="DH285" s="60"/>
      <c r="DI285" s="68"/>
      <c r="DJ285" s="68"/>
      <c r="DK285" s="68"/>
      <c r="DL285" s="68"/>
      <c r="DM285" s="68"/>
      <c r="DN285" s="68"/>
      <c r="DO285" s="68"/>
      <c r="DP285" s="68"/>
      <c r="DQ285" s="68"/>
      <c r="DR285" s="68"/>
      <c r="DS285" s="68"/>
      <c r="DT285" s="68"/>
    </row>
    <row r="286" spans="1:124" ht="12.75" hidden="1" customHeight="1" outlineLevel="2">
      <c r="A286" s="2941" t="s">
        <v>174</v>
      </c>
      <c r="B286" s="62"/>
      <c r="C286" s="2988"/>
      <c r="D286" s="840"/>
      <c r="E286" s="840"/>
      <c r="F286" s="840"/>
      <c r="G286" s="2995"/>
      <c r="H286" s="1115"/>
      <c r="I286" s="2990"/>
      <c r="J286" s="840"/>
      <c r="K286" s="840"/>
      <c r="L286" s="840"/>
      <c r="M286" s="2995"/>
      <c r="N286" s="1115"/>
      <c r="O286" s="2990"/>
      <c r="P286" s="840"/>
      <c r="Q286" s="840"/>
      <c r="R286" s="840"/>
      <c r="S286" s="2996"/>
      <c r="T286" s="1116"/>
      <c r="U286" s="2992"/>
      <c r="V286" s="846"/>
      <c r="W286" s="846"/>
      <c r="X286" s="846"/>
      <c r="Y286" s="2996"/>
      <c r="Z286" s="1116"/>
      <c r="AA286" s="2992"/>
      <c r="AB286" s="846"/>
      <c r="AC286" s="846"/>
      <c r="AD286" s="846"/>
      <c r="AE286" s="2996"/>
      <c r="AF286" s="1737"/>
      <c r="AG286" s="2997"/>
      <c r="AH286" s="1754"/>
      <c r="AI286" s="1754"/>
      <c r="AJ286" s="1754"/>
      <c r="AK286" s="2998"/>
      <c r="AL286" s="1737"/>
      <c r="AM286" s="2997"/>
      <c r="AN286" s="1754"/>
      <c r="AO286" s="1754"/>
      <c r="AP286" s="1754"/>
      <c r="AQ286" s="2998"/>
      <c r="AR286" s="1737"/>
      <c r="AS286" s="2997"/>
      <c r="AT286" s="1754"/>
      <c r="AU286" s="1754"/>
      <c r="AV286" s="1755"/>
      <c r="AW286" s="2993"/>
      <c r="AX286" s="1737"/>
      <c r="AY286" s="2997"/>
      <c r="AZ286" s="1754"/>
      <c r="BA286" s="1754"/>
      <c r="BB286" s="1755"/>
      <c r="BC286" s="2993"/>
      <c r="BD286" s="1737"/>
      <c r="BE286" s="2997"/>
      <c r="BF286" s="1754"/>
      <c r="BG286" s="1754"/>
      <c r="BH286" s="1755"/>
      <c r="BI286" s="2993"/>
      <c r="BJ286" s="1737"/>
      <c r="BK286" s="2999"/>
      <c r="BL286" s="1754"/>
      <c r="BM286" s="1754"/>
      <c r="BN286" s="1755"/>
      <c r="BO286" s="2993"/>
      <c r="BP286" s="1737"/>
      <c r="BQ286" s="2999"/>
      <c r="BR286" s="1754"/>
      <c r="BS286" s="1754"/>
      <c r="BT286" s="1755"/>
      <c r="BU286" s="2993"/>
      <c r="BW286" s="2999"/>
      <c r="BX286" s="1754"/>
      <c r="BY286" s="1754"/>
      <c r="BZ286" s="1755"/>
      <c r="CA286" s="2993"/>
      <c r="CC286" s="2999"/>
      <c r="CD286" s="1754"/>
      <c r="CE286" s="1754"/>
      <c r="CF286" s="1755"/>
      <c r="CG286" s="2993"/>
      <c r="CI286" s="2999"/>
      <c r="CJ286" s="1754"/>
      <c r="CK286" s="1754"/>
      <c r="CL286" s="1755"/>
      <c r="CM286" s="2993"/>
      <c r="CO286" s="2999"/>
      <c r="CP286" s="1754"/>
      <c r="CQ286" s="1754"/>
      <c r="CR286" s="1755"/>
      <c r="CS286" s="2993"/>
      <c r="CT286" s="231"/>
      <c r="CU286" s="60"/>
      <c r="CV286" s="60"/>
      <c r="CW286" s="60"/>
      <c r="CX286" s="60"/>
      <c r="CY286" s="60"/>
      <c r="CZ286" s="60"/>
      <c r="DA286" s="60"/>
      <c r="DB286" s="60"/>
      <c r="DC286" s="60"/>
      <c r="DD286" s="60"/>
      <c r="DE286" s="60"/>
      <c r="DF286" s="60"/>
      <c r="DG286" s="60"/>
      <c r="DH286" s="60"/>
      <c r="DI286" s="68"/>
      <c r="DJ286" s="68"/>
      <c r="DK286" s="68"/>
      <c r="DL286" s="68"/>
      <c r="DM286" s="68"/>
      <c r="DN286" s="68"/>
      <c r="DO286" s="68"/>
      <c r="DP286" s="68"/>
      <c r="DQ286" s="68"/>
      <c r="DR286" s="68"/>
      <c r="DS286" s="68"/>
      <c r="DT286" s="68"/>
    </row>
    <row r="287" spans="1:124" ht="12.75" hidden="1" customHeight="1" outlineLevel="2">
      <c r="A287" s="1382" t="s">
        <v>392</v>
      </c>
      <c r="B287" s="1770"/>
      <c r="C287" s="1770"/>
      <c r="D287" s="1757"/>
      <c r="E287" s="1757"/>
      <c r="F287" s="1757"/>
      <c r="G287" s="1770"/>
      <c r="H287" s="1770"/>
      <c r="I287" s="1770"/>
      <c r="J287" s="1757"/>
      <c r="K287" s="1757"/>
      <c r="L287" s="1757"/>
      <c r="M287" s="1770"/>
      <c r="N287" s="1770"/>
      <c r="O287" s="1770"/>
      <c r="P287" s="1757"/>
      <c r="Q287" s="1757"/>
      <c r="R287" s="1757"/>
      <c r="S287" s="1770"/>
      <c r="T287" s="1770"/>
      <c r="U287" s="1770"/>
      <c r="V287" s="1757"/>
      <c r="W287" s="1757"/>
      <c r="X287" s="1757"/>
      <c r="Y287" s="1770"/>
      <c r="Z287" s="1770"/>
      <c r="AA287" s="1770"/>
      <c r="AB287" s="1757"/>
      <c r="AC287" s="1757"/>
      <c r="AD287" s="1757"/>
      <c r="AE287" s="1770"/>
      <c r="AF287" s="1770"/>
      <c r="AG287" s="1770"/>
      <c r="AH287" s="1757"/>
      <c r="AI287" s="1757"/>
      <c r="AJ287" s="1757"/>
      <c r="AK287" s="1770"/>
      <c r="AL287" s="1770"/>
      <c r="AM287" s="1770"/>
      <c r="AN287" s="1757"/>
      <c r="AO287" s="1757"/>
      <c r="AP287" s="1757"/>
      <c r="AQ287" s="1770"/>
      <c r="AR287" s="1759"/>
      <c r="AS287" s="1770">
        <f>AS43/AP43-1</f>
        <v>0.25587406015037595</v>
      </c>
      <c r="AT287" s="1757">
        <f>AT43/AS43-1</f>
        <v>0.26884939195509805</v>
      </c>
      <c r="AU287" s="1757">
        <f>AU43/AT43-1</f>
        <v>8.3566794455912863E-2</v>
      </c>
      <c r="AV287" s="1758">
        <f>AV43/AU43-1</f>
        <v>5.2253784657254609E-2</v>
      </c>
      <c r="AW287" s="1759"/>
      <c r="AX287" s="1759"/>
      <c r="AY287" s="1770">
        <f>AY43/AV43-1</f>
        <v>-6.9422585755390953E-2</v>
      </c>
      <c r="AZ287" s="1757">
        <f>AZ43/AY43-1</f>
        <v>4.8541033136306977E-2</v>
      </c>
      <c r="BA287" s="1757">
        <f>BA43/AZ43-1</f>
        <v>-5.6462236531636623E-2</v>
      </c>
      <c r="BB287" s="1758">
        <f>BB43/BA43-1</f>
        <v>3.5208309159378004E-3</v>
      </c>
      <c r="BC287" s="1759"/>
      <c r="BD287" s="1759"/>
      <c r="BE287" s="1756" t="s">
        <v>10</v>
      </c>
      <c r="BF287" s="1757" t="s">
        <v>10</v>
      </c>
      <c r="BG287" s="1757" t="s">
        <v>10</v>
      </c>
      <c r="BH287" s="1758" t="s">
        <v>10</v>
      </c>
      <c r="BI287" s="1759"/>
      <c r="BJ287" s="1759"/>
      <c r="BK287" s="1756" t="s">
        <v>10</v>
      </c>
      <c r="BL287" s="1757" t="s">
        <v>10</v>
      </c>
      <c r="BM287" s="1757" t="s">
        <v>10</v>
      </c>
      <c r="BN287" s="1758" t="s">
        <v>10</v>
      </c>
      <c r="BO287" s="1759"/>
      <c r="BP287" s="1759"/>
      <c r="BQ287" s="1756" t="s">
        <v>10</v>
      </c>
      <c r="BR287" s="1757" t="s">
        <v>10</v>
      </c>
      <c r="BS287" s="1757" t="s">
        <v>10</v>
      </c>
      <c r="BT287" s="1758" t="s">
        <v>10</v>
      </c>
      <c r="BU287" s="1759"/>
      <c r="BV287" s="1759"/>
      <c r="BW287" s="1756" t="s">
        <v>10</v>
      </c>
      <c r="BX287" s="1757" t="s">
        <v>10</v>
      </c>
      <c r="BY287" s="1757" t="s">
        <v>10</v>
      </c>
      <c r="BZ287" s="1758" t="s">
        <v>10</v>
      </c>
      <c r="CA287" s="1759"/>
      <c r="CB287" s="1759"/>
      <c r="CC287" s="1756" t="s">
        <v>10</v>
      </c>
      <c r="CD287" s="1757" t="s">
        <v>10</v>
      </c>
      <c r="CE287" s="1757" t="s">
        <v>10</v>
      </c>
      <c r="CF287" s="1758" t="s">
        <v>10</v>
      </c>
      <c r="CG287" s="1759"/>
      <c r="CH287" s="1759"/>
      <c r="CI287" s="1756" t="s">
        <v>10</v>
      </c>
      <c r="CJ287" s="1757" t="s">
        <v>10</v>
      </c>
      <c r="CK287" s="1757" t="s">
        <v>10</v>
      </c>
      <c r="CL287" s="1758" t="s">
        <v>10</v>
      </c>
      <c r="CM287" s="1759"/>
      <c r="CN287" s="1759"/>
      <c r="CO287" s="1756" t="s">
        <v>10</v>
      </c>
      <c r="CP287" s="1757" t="s">
        <v>10</v>
      </c>
      <c r="CQ287" s="1757" t="s">
        <v>10</v>
      </c>
      <c r="CR287" s="1758" t="s">
        <v>10</v>
      </c>
      <c r="CS287" s="1759"/>
      <c r="CT287" s="231"/>
      <c r="CU287" s="60"/>
      <c r="CV287" s="60"/>
      <c r="CW287" s="60"/>
      <c r="CX287" s="60"/>
      <c r="CY287" s="60"/>
      <c r="CZ287" s="60"/>
      <c r="DA287" s="60"/>
      <c r="DB287" s="60"/>
      <c r="DC287" s="60"/>
      <c r="DD287" s="60"/>
      <c r="DE287" s="60"/>
      <c r="DF287" s="60"/>
      <c r="DG287" s="60"/>
      <c r="DH287" s="60"/>
      <c r="DI287" s="68"/>
      <c r="DJ287" s="68"/>
      <c r="DK287" s="68"/>
      <c r="DL287" s="68"/>
      <c r="DM287" s="68"/>
      <c r="DN287" s="68"/>
      <c r="DO287" s="68"/>
      <c r="DP287" s="68"/>
      <c r="DQ287" s="68"/>
      <c r="DR287" s="68"/>
      <c r="DS287" s="68"/>
      <c r="DT287" s="68"/>
    </row>
    <row r="288" spans="1:124" ht="12.75" hidden="1" customHeight="1" outlineLevel="2">
      <c r="A288" s="1662" t="s">
        <v>505</v>
      </c>
      <c r="B288" s="1732"/>
      <c r="C288" s="1732"/>
      <c r="D288" s="1731"/>
      <c r="E288" s="1731"/>
      <c r="F288" s="1731"/>
      <c r="G288" s="1732"/>
      <c r="H288" s="1732"/>
      <c r="I288" s="1732"/>
      <c r="J288" s="1731"/>
      <c r="K288" s="1731"/>
      <c r="L288" s="1731"/>
      <c r="M288" s="1732"/>
      <c r="N288" s="1732"/>
      <c r="O288" s="1732"/>
      <c r="P288" s="1731"/>
      <c r="Q288" s="1731"/>
      <c r="R288" s="1731"/>
      <c r="S288" s="1732"/>
      <c r="T288" s="1732"/>
      <c r="U288" s="1732"/>
      <c r="V288" s="1731"/>
      <c r="W288" s="1731"/>
      <c r="X288" s="1731"/>
      <c r="Y288" s="1732"/>
      <c r="Z288" s="1732"/>
      <c r="AA288" s="1732"/>
      <c r="AB288" s="1731"/>
      <c r="AC288" s="1731"/>
      <c r="AD288" s="1731"/>
      <c r="AE288" s="1732"/>
      <c r="AF288" s="1732"/>
      <c r="AG288" s="1732"/>
      <c r="AH288" s="1731"/>
      <c r="AI288" s="1731"/>
      <c r="AJ288" s="1731"/>
      <c r="AK288" s="1732"/>
      <c r="AL288" s="1732"/>
      <c r="AM288" s="1732"/>
      <c r="AN288" s="1731"/>
      <c r="AO288" s="1731"/>
      <c r="AP288" s="1731"/>
      <c r="AQ288" s="1732"/>
      <c r="AR288" s="1730"/>
      <c r="AS288" s="1732">
        <f>AP43/AP43-1-AS107/AP43</f>
        <v>-1.2218045112781954</v>
      </c>
      <c r="AT288" s="1731">
        <f>AS43/AS43-1-AT107/AS43</f>
        <v>-0.37418147801683815</v>
      </c>
      <c r="AU288" s="1731">
        <f>AT43/AT43-1-AU107/AT43</f>
        <v>-0.14744913005013272</v>
      </c>
      <c r="AV288" s="1729">
        <f>AU43/AU43-1-AV107/AU43</f>
        <v>-0.25174349379146116</v>
      </c>
      <c r="AW288" s="1730"/>
      <c r="AX288" s="1730"/>
      <c r="AY288" s="1732">
        <f>AV43/AV43-1-AY107/AV43</f>
        <v>-0.193980149364715</v>
      </c>
      <c r="AZ288" s="1731">
        <f>AY43/AY43-1-AZ107/AY43</f>
        <v>-0.2084513834049769</v>
      </c>
      <c r="BA288" s="1731">
        <f>AZ43/AZ43-1-BA107/AZ43</f>
        <v>-0.19880136000159651</v>
      </c>
      <c r="BB288" s="1729">
        <f>BA43/BA43-1-BB107/BA43</f>
        <v>-0.21069783075859083</v>
      </c>
      <c r="BC288" s="1730"/>
      <c r="BD288" s="1730"/>
      <c r="BE288" s="1732">
        <f>BB43/BB43-1-BE107/BB43</f>
        <v>-0.14697102141506846</v>
      </c>
      <c r="BF288" s="1731">
        <f>BE43/BE43-1-BF107/BE43</f>
        <v>-0.21962865267331011</v>
      </c>
      <c r="BG288" s="1731">
        <f>BF43/BF43-1-BG107/BF43</f>
        <v>-0.16698747885518947</v>
      </c>
      <c r="BH288" s="1729">
        <f>BG43/BG43-1-BH107/BG43</f>
        <v>-0.19065257139891975</v>
      </c>
      <c r="BI288" s="1730"/>
      <c r="BJ288" s="1730"/>
      <c r="BK288" s="1732">
        <f>BH43/BH43-1-BK107/BH43</f>
        <v>0</v>
      </c>
      <c r="BL288" s="1731">
        <f>BK43/BK43-1-BL107/BK43</f>
        <v>0</v>
      </c>
      <c r="BM288" s="1731">
        <f>BL43/BL43-1-BM107/BL43</f>
        <v>0</v>
      </c>
      <c r="BN288" s="1729">
        <f>BM43/BM43-1-BN107/BM43</f>
        <v>0</v>
      </c>
      <c r="BO288" s="1730"/>
      <c r="BP288" s="1730"/>
      <c r="BQ288" s="1732">
        <f>BN43/BN43-1-BQ107/BN43</f>
        <v>0</v>
      </c>
      <c r="BR288" s="1731">
        <f>BQ43/BQ43-1-BR107/BQ43</f>
        <v>0</v>
      </c>
      <c r="BS288" s="1731">
        <f>BR43/BR43-1-BS107/BR43</f>
        <v>0</v>
      </c>
      <c r="BT288" s="1729">
        <f>BS43/BS43-1-BT107/BS43</f>
        <v>0</v>
      </c>
      <c r="BU288" s="1730"/>
      <c r="BV288" s="1730"/>
      <c r="BW288" s="1732">
        <f>BT43/BT43-1-BW107/BT43</f>
        <v>0</v>
      </c>
      <c r="BX288" s="1731">
        <f>BW43/BW43-1-BX107/BW43</f>
        <v>0</v>
      </c>
      <c r="BY288" s="1731">
        <f>BX43/BX43-1-BY107/BX43</f>
        <v>0</v>
      </c>
      <c r="BZ288" s="1729">
        <f>BY43/BY43-1-BZ107/BY43</f>
        <v>0</v>
      </c>
      <c r="CA288" s="1730"/>
      <c r="CB288" s="1730"/>
      <c r="CC288" s="1732">
        <f>BZ43/BZ43-1-CC107/BZ43</f>
        <v>0</v>
      </c>
      <c r="CD288" s="1731">
        <f>CC43/CC43-1-CD107/CC43</f>
        <v>0</v>
      </c>
      <c r="CE288" s="1731">
        <f>CD43/CD43-1-CE107/CD43</f>
        <v>0</v>
      </c>
      <c r="CF288" s="1729">
        <f>CE43/CE43-1-CF107/CE43</f>
        <v>0</v>
      </c>
      <c r="CG288" s="1730"/>
      <c r="CH288" s="1730"/>
      <c r="CI288" s="1732">
        <f>CF43/CF43-1-CI107/CF43</f>
        <v>0</v>
      </c>
      <c r="CJ288" s="1731">
        <f>CI43/CI43-1-CJ107/CI43</f>
        <v>0</v>
      </c>
      <c r="CK288" s="1731">
        <f>CJ43/CJ43-1-CK107/CJ43</f>
        <v>0</v>
      </c>
      <c r="CL288" s="1729">
        <f>CK43/CK43-1-CL107/CK43</f>
        <v>0</v>
      </c>
      <c r="CM288" s="1730"/>
      <c r="CN288" s="1730"/>
      <c r="CO288" s="1732">
        <f>CL43/CL43-1-CO107/CL43</f>
        <v>0</v>
      </c>
      <c r="CP288" s="1731">
        <f>CO43/CO43-1-CP107/CO43</f>
        <v>0</v>
      </c>
      <c r="CQ288" s="1731">
        <f>CP43/CP43-1-CQ107/CP43</f>
        <v>0</v>
      </c>
      <c r="CR288" s="1729">
        <f>CQ43/CQ43-1-CR107/CQ43</f>
        <v>0</v>
      </c>
      <c r="CS288" s="1730"/>
      <c r="CT288" s="231"/>
      <c r="CU288" s="60"/>
      <c r="CV288" s="60"/>
      <c r="CW288" s="60"/>
      <c r="CX288" s="60"/>
      <c r="CY288" s="60"/>
      <c r="CZ288" s="60"/>
      <c r="DA288" s="60"/>
      <c r="DB288" s="60"/>
      <c r="DC288" s="60"/>
      <c r="DD288" s="60"/>
      <c r="DE288" s="60"/>
      <c r="DF288" s="60"/>
      <c r="DG288" s="60"/>
      <c r="DH288" s="60"/>
      <c r="DI288" s="68"/>
      <c r="DJ288" s="68"/>
      <c r="DK288" s="68"/>
      <c r="DL288" s="68"/>
      <c r="DM288" s="68"/>
      <c r="DN288" s="68"/>
      <c r="DO288" s="68"/>
      <c r="DP288" s="68"/>
      <c r="DQ288" s="68"/>
      <c r="DR288" s="68"/>
      <c r="DS288" s="68"/>
      <c r="DT288" s="68"/>
    </row>
    <row r="289" spans="1:124" ht="12.75" hidden="1" customHeight="1" outlineLevel="2">
      <c r="A289" s="1375" t="s">
        <v>390</v>
      </c>
      <c r="B289" s="62"/>
      <c r="C289" s="839"/>
      <c r="D289" s="840"/>
      <c r="E289" s="840"/>
      <c r="F289" s="840"/>
      <c r="G289" s="841"/>
      <c r="H289" s="1115"/>
      <c r="I289" s="842"/>
      <c r="J289" s="840"/>
      <c r="K289" s="840"/>
      <c r="L289" s="840"/>
      <c r="M289" s="841"/>
      <c r="N289" s="1115"/>
      <c r="O289" s="842"/>
      <c r="P289" s="840"/>
      <c r="Q289" s="840"/>
      <c r="R289" s="843"/>
      <c r="S289" s="844"/>
      <c r="T289" s="1116"/>
      <c r="U289" s="845"/>
      <c r="V289" s="846"/>
      <c r="W289" s="846"/>
      <c r="X289" s="846"/>
      <c r="Y289" s="844"/>
      <c r="Z289" s="1116"/>
      <c r="AA289" s="845"/>
      <c r="AB289" s="846"/>
      <c r="AC289" s="846"/>
      <c r="AD289" s="846"/>
      <c r="AE289" s="844"/>
      <c r="AF289" s="1116"/>
      <c r="AG289" s="845"/>
      <c r="AH289" s="846"/>
      <c r="AI289" s="846"/>
      <c r="AJ289" s="847"/>
      <c r="AK289" s="844"/>
      <c r="AL289" s="1116"/>
      <c r="AM289" s="845"/>
      <c r="AN289" s="846"/>
      <c r="AO289" s="846"/>
      <c r="AP289" s="846"/>
      <c r="AQ289" s="844"/>
      <c r="AR289" s="1116"/>
      <c r="AS289" s="845"/>
      <c r="AT289" s="846"/>
      <c r="AU289" s="846"/>
      <c r="AV289" s="1735"/>
      <c r="AW289" s="1736"/>
      <c r="AX289" s="1737"/>
      <c r="AY289" s="1738"/>
      <c r="AZ289" s="1735"/>
      <c r="BA289" s="1735"/>
      <c r="BB289" s="1735"/>
      <c r="BC289" s="1736"/>
      <c r="BD289" s="1737"/>
      <c r="BE289" s="1738"/>
      <c r="BF289" s="1735"/>
      <c r="BG289" s="1735"/>
      <c r="BH289" s="1739"/>
      <c r="BI289" s="1736"/>
      <c r="BJ289" s="1737"/>
      <c r="BK289" s="1738"/>
      <c r="BL289" s="1735"/>
      <c r="BM289" s="1735"/>
      <c r="BN289" s="1739"/>
      <c r="BO289" s="1736"/>
      <c r="BP289" s="1737"/>
      <c r="BQ289" s="1738"/>
      <c r="BR289" s="1735"/>
      <c r="BS289" s="1735"/>
      <c r="BT289" s="1739"/>
      <c r="BU289" s="1736"/>
      <c r="BV289" s="1737"/>
      <c r="BW289" s="1738"/>
      <c r="BX289" s="1735"/>
      <c r="BY289" s="1735"/>
      <c r="BZ289" s="1739"/>
      <c r="CA289" s="1736"/>
      <c r="CB289" s="1737"/>
      <c r="CC289" s="1738"/>
      <c r="CD289" s="1735"/>
      <c r="CE289" s="1735"/>
      <c r="CF289" s="1739"/>
      <c r="CG289" s="1736"/>
      <c r="CH289" s="1737"/>
      <c r="CI289" s="1738"/>
      <c r="CJ289" s="1735"/>
      <c r="CK289" s="1735"/>
      <c r="CL289" s="1739"/>
      <c r="CM289" s="1736"/>
      <c r="CN289" s="1737"/>
      <c r="CO289" s="1738"/>
      <c r="CP289" s="1735"/>
      <c r="CQ289" s="1735"/>
      <c r="CR289" s="1739"/>
      <c r="CS289" s="1736"/>
      <c r="CT289" s="231"/>
      <c r="CU289" s="60"/>
      <c r="CV289" s="60"/>
      <c r="CW289" s="60"/>
      <c r="CX289" s="60"/>
      <c r="CY289" s="60"/>
      <c r="CZ289" s="60"/>
      <c r="DA289" s="60"/>
      <c r="DB289" s="60"/>
      <c r="DC289" s="60"/>
      <c r="DD289" s="60"/>
      <c r="DE289" s="60"/>
      <c r="DF289" s="60"/>
      <c r="DG289" s="60"/>
      <c r="DH289" s="60"/>
      <c r="DI289" s="68"/>
      <c r="DJ289" s="68"/>
      <c r="DK289" s="68"/>
      <c r="DL289" s="68"/>
      <c r="DM289" s="68"/>
      <c r="DN289" s="68"/>
      <c r="DO289" s="68"/>
      <c r="DP289" s="68"/>
      <c r="DQ289" s="68"/>
      <c r="DR289" s="68"/>
      <c r="DS289" s="68"/>
      <c r="DT289" s="68"/>
    </row>
    <row r="290" spans="1:124" ht="12.75" hidden="1" customHeight="1" outlineLevel="2">
      <c r="A290" s="1375" t="s">
        <v>391</v>
      </c>
      <c r="B290" s="62"/>
      <c r="C290" s="839"/>
      <c r="D290" s="840"/>
      <c r="E290" s="840"/>
      <c r="F290" s="840"/>
      <c r="G290" s="841"/>
      <c r="H290" s="1115"/>
      <c r="I290" s="842"/>
      <c r="J290" s="840"/>
      <c r="K290" s="840"/>
      <c r="L290" s="840"/>
      <c r="M290" s="841"/>
      <c r="N290" s="1115"/>
      <c r="O290" s="842"/>
      <c r="P290" s="840"/>
      <c r="Q290" s="840"/>
      <c r="R290" s="843"/>
      <c r="S290" s="844"/>
      <c r="T290" s="1116"/>
      <c r="U290" s="845"/>
      <c r="V290" s="846"/>
      <c r="W290" s="846"/>
      <c r="X290" s="846"/>
      <c r="Y290" s="844"/>
      <c r="Z290" s="1116"/>
      <c r="AA290" s="845"/>
      <c r="AB290" s="846"/>
      <c r="AC290" s="846"/>
      <c r="AD290" s="846"/>
      <c r="AE290" s="844"/>
      <c r="AF290" s="1116"/>
      <c r="AG290" s="845"/>
      <c r="AH290" s="846"/>
      <c r="AI290" s="846"/>
      <c r="AJ290" s="847"/>
      <c r="AK290" s="844"/>
      <c r="AL290" s="1116"/>
      <c r="AM290" s="845"/>
      <c r="AN290" s="846"/>
      <c r="AO290" s="846"/>
      <c r="AP290" s="846"/>
      <c r="AQ290" s="844"/>
      <c r="AR290" s="1116"/>
      <c r="AS290" s="845"/>
      <c r="AT290" s="846"/>
      <c r="AU290" s="846"/>
      <c r="AV290" s="1735"/>
      <c r="AW290" s="1736"/>
      <c r="AX290" s="1737"/>
      <c r="AY290" s="1738"/>
      <c r="AZ290" s="1735"/>
      <c r="BA290" s="1735"/>
      <c r="BB290" s="1735"/>
      <c r="BC290" s="1736"/>
      <c r="BD290" s="1737"/>
      <c r="BE290" s="1738"/>
      <c r="BF290" s="1735"/>
      <c r="BG290" s="1735"/>
      <c r="BH290" s="1739"/>
      <c r="BI290" s="1736"/>
      <c r="BJ290" s="1737"/>
      <c r="BK290" s="1738"/>
      <c r="BL290" s="1735"/>
      <c r="BM290" s="1735"/>
      <c r="BN290" s="1739"/>
      <c r="BO290" s="1736"/>
      <c r="BP290" s="1737"/>
      <c r="BQ290" s="1738"/>
      <c r="BR290" s="1735"/>
      <c r="BS290" s="1735"/>
      <c r="BT290" s="1739"/>
      <c r="BU290" s="1736"/>
      <c r="BV290" s="1737"/>
      <c r="BW290" s="1738"/>
      <c r="BX290" s="1735"/>
      <c r="BY290" s="1735"/>
      <c r="BZ290" s="1739"/>
      <c r="CA290" s="1736"/>
      <c r="CB290" s="1737"/>
      <c r="CC290" s="1738"/>
      <c r="CD290" s="1735"/>
      <c r="CE290" s="1735"/>
      <c r="CF290" s="1739"/>
      <c r="CG290" s="1736"/>
      <c r="CH290" s="1737"/>
      <c r="CI290" s="1738"/>
      <c r="CJ290" s="1735"/>
      <c r="CK290" s="1735"/>
      <c r="CL290" s="1739"/>
      <c r="CM290" s="1736"/>
      <c r="CN290" s="1737"/>
      <c r="CO290" s="1738"/>
      <c r="CP290" s="1735"/>
      <c r="CQ290" s="1735"/>
      <c r="CR290" s="1739"/>
      <c r="CS290" s="1736"/>
      <c r="CT290" s="231"/>
      <c r="CU290" s="60"/>
      <c r="CV290" s="60"/>
      <c r="CW290" s="60"/>
      <c r="CX290" s="60"/>
      <c r="CY290" s="60"/>
      <c r="CZ290" s="60"/>
      <c r="DA290" s="60"/>
      <c r="DB290" s="60"/>
      <c r="DC290" s="60"/>
      <c r="DD290" s="60"/>
      <c r="DE290" s="60"/>
      <c r="DF290" s="60"/>
      <c r="DG290" s="60"/>
      <c r="DH290" s="60"/>
      <c r="DI290" s="68"/>
      <c r="DJ290" s="68"/>
      <c r="DK290" s="68"/>
      <c r="DL290" s="68"/>
      <c r="DM290" s="68"/>
      <c r="DN290" s="68"/>
      <c r="DO290" s="68"/>
      <c r="DP290" s="68"/>
      <c r="DQ290" s="68"/>
      <c r="DR290" s="68"/>
      <c r="DS290" s="68"/>
      <c r="DT290" s="68"/>
    </row>
    <row r="291" spans="1:124" ht="12.75" hidden="1" customHeight="1" outlineLevel="2">
      <c r="A291" s="1347" t="s">
        <v>442</v>
      </c>
      <c r="B291" s="62"/>
      <c r="C291" s="839"/>
      <c r="D291" s="840"/>
      <c r="E291" s="840"/>
      <c r="F291" s="840"/>
      <c r="G291" s="841"/>
      <c r="H291" s="1115"/>
      <c r="I291" s="842"/>
      <c r="J291" s="840"/>
      <c r="K291" s="840"/>
      <c r="L291" s="840"/>
      <c r="M291" s="841"/>
      <c r="N291" s="1115"/>
      <c r="O291" s="842"/>
      <c r="P291" s="840"/>
      <c r="Q291" s="840"/>
      <c r="R291" s="843"/>
      <c r="S291" s="844"/>
      <c r="T291" s="1116"/>
      <c r="U291" s="845"/>
      <c r="V291" s="846"/>
      <c r="W291" s="846"/>
      <c r="X291" s="846"/>
      <c r="Y291" s="844"/>
      <c r="Z291" s="1116"/>
      <c r="AA291" s="1753">
        <f>AA174/X174-1</f>
        <v>0.24798148152102661</v>
      </c>
      <c r="AB291" s="1754">
        <f>AB174/AA174-1</f>
        <v>-3.214022203361977E-2</v>
      </c>
      <c r="AC291" s="1754">
        <f>AC174/AB174-1</f>
        <v>3.5131452963631515E-2</v>
      </c>
      <c r="AD291" s="1755">
        <f>AD174/AC174-1</f>
        <v>7.4719800491965582E-2</v>
      </c>
      <c r="AE291" s="1716"/>
      <c r="AF291" s="1116"/>
      <c r="AG291" s="1753">
        <f>AG174/AD174-1</f>
        <v>0.22206902470071688</v>
      </c>
      <c r="AH291" s="1754">
        <f>AH174/AG174-1</f>
        <v>0.15641559207615785</v>
      </c>
      <c r="AI291" s="1754">
        <f>AI174/AH174-1</f>
        <v>-5.0237344512263915E-3</v>
      </c>
      <c r="AJ291" s="1755">
        <f>AJ174/AI174-1</f>
        <v>0.11517471217536257</v>
      </c>
      <c r="AK291" s="1716"/>
      <c r="AL291" s="1116"/>
      <c r="AM291" s="1753">
        <f>AM174/AJ174-1</f>
        <v>3.9738061881534614E-2</v>
      </c>
      <c r="AN291" s="1754">
        <f>AN174/AM174-1</f>
        <v>8.2894196840291645E-2</v>
      </c>
      <c r="AO291" s="1754">
        <f>AO174/AN174-1</f>
        <v>5.8962306422021271E-2</v>
      </c>
      <c r="AP291" s="1755">
        <f>AP174/AO174-1</f>
        <v>0.11519727265037605</v>
      </c>
      <c r="AQ291" s="1716"/>
      <c r="AR291" s="1116"/>
      <c r="AS291" s="1753">
        <f>AS174/AP174-1</f>
        <v>-9.9829291801246667E-3</v>
      </c>
      <c r="AT291" s="1754">
        <f>AT174/AS174-1</f>
        <v>6.791424463098128E-2</v>
      </c>
      <c r="AU291" s="1754">
        <f>AU174/AT174-1</f>
        <v>0.15347489600083608</v>
      </c>
      <c r="AV291" s="1755">
        <f>AV174/AU174-1</f>
        <v>9.3829188439849442E-2</v>
      </c>
      <c r="AW291" s="1716"/>
      <c r="AX291" s="1740"/>
      <c r="AY291" s="1753">
        <f>AY174/AV174-1</f>
        <v>9.6492442435681225E-2</v>
      </c>
      <c r="AZ291" s="1754">
        <f>AZ174/AY174-1</f>
        <v>3.2941488387040252E-2</v>
      </c>
      <c r="BA291" s="1754">
        <f>BA174/AZ174-1</f>
        <v>8.5132248439156122E-2</v>
      </c>
      <c r="BB291" s="1755">
        <f>BB174/BA174-1</f>
        <v>3.0463480921048225E-2</v>
      </c>
      <c r="BC291" s="1736"/>
      <c r="BD291" s="1116"/>
      <c r="BE291" s="1753">
        <f>BE174/BB174-1</f>
        <v>6.9810805915835994E-2</v>
      </c>
      <c r="BF291" s="1754">
        <f>BF174/BE174-1</f>
        <v>4.879595804072645E-2</v>
      </c>
      <c r="BG291" s="1754">
        <f>BG174/BF174-1</f>
        <v>7.1852184052215273E-2</v>
      </c>
      <c r="BH291" s="1755">
        <f>BH174/BG174-1</f>
        <v>-7.3038256218095343E-3</v>
      </c>
      <c r="BI291" s="1716"/>
      <c r="BJ291" s="1116"/>
      <c r="BK291" s="1753">
        <f>BK174/BH174-1</f>
        <v>-3.9019515148155937E-2</v>
      </c>
      <c r="BL291" s="1754">
        <f>BL174/BK174-1</f>
        <v>6.2813903071484489E-2</v>
      </c>
      <c r="BM291" s="1754">
        <f>BM174/BL174-1</f>
        <v>0.12579427284212552</v>
      </c>
      <c r="BN291" s="1755">
        <f>BN174/BM174-1</f>
        <v>0.13603162199411645</v>
      </c>
      <c r="BO291" s="1716"/>
      <c r="BP291" s="1116"/>
      <c r="BQ291" s="1753">
        <f>BQ174/BN174-1</f>
        <v>-3.4058110244960971E-2</v>
      </c>
      <c r="BR291" s="1754">
        <f>BR174/BQ174-1</f>
        <v>2.7221580809009494E-2</v>
      </c>
      <c r="BS291" s="1754">
        <f>BS174/BR174-1</f>
        <v>2.2597490258625452E-2</v>
      </c>
      <c r="BT291" s="1755">
        <f>BT174/BS174-1</f>
        <v>2.9816608083982787E-2</v>
      </c>
      <c r="BU291" s="1716"/>
      <c r="BV291" s="1116"/>
      <c r="BW291" s="1753">
        <f>BW174/BT174-1</f>
        <v>2.8075442032244657E-2</v>
      </c>
      <c r="BX291" s="1754">
        <f>BX174/BW174-1</f>
        <v>2.0824198798877314E-2</v>
      </c>
      <c r="BY291" s="1754">
        <f>BY174/BX174-1</f>
        <v>2.1560205636594887E-2</v>
      </c>
      <c r="BZ291" s="1755">
        <f>BZ174/BY174-1</f>
        <v>2.2241482647560762E-2</v>
      </c>
      <c r="CA291" s="1716"/>
      <c r="CB291" s="1116"/>
      <c r="CC291" s="1753">
        <f>CC174/BZ174-1</f>
        <v>2.2035458601695534E-2</v>
      </c>
      <c r="CD291" s="1754">
        <f>CD174/CC174-1</f>
        <v>2.1758115028820413E-2</v>
      </c>
      <c r="CE291" s="1754">
        <f>CE174/CD174-1</f>
        <v>2.2262470537133261E-2</v>
      </c>
      <c r="CF291" s="1755">
        <f>CF174/CE174-1</f>
        <v>2.2724262118411165E-2</v>
      </c>
      <c r="CG291" s="1716"/>
      <c r="CH291" s="1116"/>
      <c r="CI291" s="1753">
        <f>CI174/CF174-1</f>
        <v>2.1817410182992658E-2</v>
      </c>
      <c r="CJ291" s="1754">
        <f>CJ174/CI174-1</f>
        <v>2.0842050402636758E-2</v>
      </c>
      <c r="CK291" s="1754">
        <f>CK174/CJ174-1</f>
        <v>2.1624427217442621E-2</v>
      </c>
      <c r="CL291" s="1755">
        <f>CL174/CK174-1</f>
        <v>2.5942331508455485E-2</v>
      </c>
      <c r="CM291" s="1716"/>
      <c r="CN291" s="1116"/>
      <c r="CO291" s="1753">
        <f>CO174/CL174-1</f>
        <v>2.931922555383748E-2</v>
      </c>
      <c r="CP291" s="1754">
        <f>CP174/CO174-1</f>
        <v>2.8792519495121738E-2</v>
      </c>
      <c r="CQ291" s="1754">
        <f>CQ174/CP174-1</f>
        <v>2.7387124154358844E-2</v>
      </c>
      <c r="CR291" s="1755">
        <f>CR174/CQ174-1</f>
        <v>2.7240668000436674E-2</v>
      </c>
      <c r="CS291" s="1716"/>
      <c r="CT291" s="231"/>
      <c r="CU291" s="60"/>
      <c r="CV291" s="60"/>
      <c r="CW291" s="60"/>
      <c r="CX291" s="60"/>
      <c r="CY291" s="60"/>
      <c r="CZ291" s="60"/>
      <c r="DA291" s="60"/>
      <c r="DB291" s="60"/>
      <c r="DC291" s="60"/>
      <c r="DD291" s="60"/>
      <c r="DE291" s="60"/>
      <c r="DF291" s="60"/>
      <c r="DG291" s="60"/>
      <c r="DH291" s="60"/>
      <c r="DI291" s="68"/>
      <c r="DJ291" s="68"/>
      <c r="DK291" s="68"/>
      <c r="DL291" s="68"/>
      <c r="DM291" s="68"/>
      <c r="DN291" s="68"/>
      <c r="DO291" s="68"/>
      <c r="DP291" s="68"/>
      <c r="DQ291" s="68"/>
      <c r="DR291" s="68"/>
      <c r="DS291" s="68"/>
      <c r="DT291" s="68"/>
    </row>
    <row r="292" spans="1:124" ht="12.75" hidden="1" customHeight="1" outlineLevel="2">
      <c r="A292" s="233" t="s">
        <v>41</v>
      </c>
      <c r="B292" s="234"/>
      <c r="C292" s="848">
        <v>-2.0213056541928509E-2</v>
      </c>
      <c r="D292" s="849">
        <f>IF(ISERROR(D15/C15-1),"nm",D15/C15-1)</f>
        <v>-5.9353178978316823E-2</v>
      </c>
      <c r="E292" s="849">
        <f>IF(ISERROR(E15/D15-1),"nm",E15/D15-1)</f>
        <v>-0.26850947450673956</v>
      </c>
      <c r="F292" s="849">
        <f>IF(ISERROR(F15/E15-1),"nm",F15/E15-1)</f>
        <v>0.53411670449993331</v>
      </c>
      <c r="G292" s="850"/>
      <c r="H292" s="1117"/>
      <c r="I292" s="851">
        <f>IF(ISERROR(I15/F15-1),"nm",I15/F15-1)</f>
        <v>-2.7069370702411E-2</v>
      </c>
      <c r="J292" s="849">
        <f>IF(ISERROR(J15/I15-1),"nm",J15/I15-1)</f>
        <v>3.9989264626945742E-2</v>
      </c>
      <c r="K292" s="849">
        <f>IF(ISERROR(K15/J15-1),"nm",K15/J15-1)</f>
        <v>-0.14486021505376334</v>
      </c>
      <c r="L292" s="849">
        <f>IF(ISERROR(L15/K15-1),"nm",L15/K15-1)</f>
        <v>-0.18609797807061657</v>
      </c>
      <c r="M292" s="850"/>
      <c r="N292" s="1117"/>
      <c r="O292" s="851">
        <f>IF(ISERROR(O15/L15-1),"nm",O15/L15-1)</f>
        <v>0.18131256952169061</v>
      </c>
      <c r="P292" s="849">
        <f>IF(ISERROR(P15/O15-1),"nm",P15/O15-1)</f>
        <v>-0.11707470182046453</v>
      </c>
      <c r="Q292" s="849">
        <f>IF(ISERROR(Q15/P15-1),"nm",Q15/P15-1)</f>
        <v>-4.5621519137338473E-2</v>
      </c>
      <c r="R292" s="852">
        <f>IF(ISERROR(R15/Q15-1),"nm",R15/Q15-1)</f>
        <v>0.61820213558480264</v>
      </c>
      <c r="S292" s="853"/>
      <c r="T292" s="1118"/>
      <c r="U292" s="854">
        <f>IF(ISERROR(U15/R15-1),"nm",U15/R15-1)</f>
        <v>0.41579068518376427</v>
      </c>
      <c r="V292" s="855">
        <f>IF(ISERROR(V15/U15-1),"nm",V15/U15-1)</f>
        <v>-0.27026880554953403</v>
      </c>
      <c r="W292" s="855">
        <f>IF(ISERROR(W15/V15-1),"nm",W15/V15-1)</f>
        <v>-6.1195692536204938E-2</v>
      </c>
      <c r="X292" s="855">
        <f>IF(ISERROR(X15/W15-1),"nm",X15/W15-1)</f>
        <v>0.23985444189541982</v>
      </c>
      <c r="Y292" s="853"/>
      <c r="Z292" s="1118"/>
      <c r="AA292" s="854">
        <f>IF(ISERROR(AA15/X15-1),"nm",AA15/X15-1)</f>
        <v>7.9754992662539603E-3</v>
      </c>
      <c r="AB292" s="855">
        <f>IF(ISERROR(AB15/AA15-1),"nm",AB15/AA15-1)</f>
        <v>0.11273578934042283</v>
      </c>
      <c r="AC292" s="855">
        <f>IF(ISERROR(AC15/AB15-1),"nm",AC15/AB15-1)</f>
        <v>-0.1351612719722397</v>
      </c>
      <c r="AD292" s="855">
        <f>IF(ISERROR(AD15/AC15-1),"nm",AD15/AC15-1)</f>
        <v>0.29415246990725508</v>
      </c>
      <c r="AE292" s="853"/>
      <c r="AF292" s="1118"/>
      <c r="AG292" s="854">
        <f>IF(ISERROR(AG15/AD15-1),"nm",AG15/AD15-1)</f>
        <v>-0.12914866581956785</v>
      </c>
      <c r="AH292" s="855">
        <f>IF(ISERROR(AH15/AG15-1),"nm",AH15/AG15-1)</f>
        <v>0.27045640247461189</v>
      </c>
      <c r="AI292" s="855">
        <f>IF(ISERROR(AI15/AH15-1),"nm",AI15/AH15-1)</f>
        <v>7.7545020213156901E-2</v>
      </c>
      <c r="AJ292" s="856">
        <f>IF(ISERROR(AJ15/AI15-1),"nm",AJ15/AI15-1)</f>
        <v>0.29314461118690316</v>
      </c>
      <c r="AK292" s="853"/>
      <c r="AL292" s="1118"/>
      <c r="AM292" s="854">
        <f>IF(ISERROR(AM15/AJ15-1),"nm",AM15/AJ15-1)</f>
        <v>0.1469075563761042</v>
      </c>
      <c r="AN292" s="855">
        <f>IF(ISERROR(AN15/AM15-1),"nm",AN15/AM15-1)</f>
        <v>-6.2981487869380071E-2</v>
      </c>
      <c r="AO292" s="855">
        <f>IF(ISERROR(AO15/AN15-1),"nm",AO15/AN15-1)</f>
        <v>0.17179495045556337</v>
      </c>
      <c r="AP292" s="855">
        <f>IF(ISERROR(AP15/AO15-1),"nm",AP15/AO15-1)</f>
        <v>0.33361258737597188</v>
      </c>
      <c r="AQ292" s="853"/>
      <c r="AR292" s="1118"/>
      <c r="AS292" s="854">
        <f>IF(ISERROR(AS15/AP15-1),"nm",AS15/AP15-1)</f>
        <v>0.14978405967805264</v>
      </c>
      <c r="AT292" s="855">
        <f>IF(ISERROR(AT15/AS15-1),"nm",AT15/AS15-1)</f>
        <v>-3.0903192760799114E-2</v>
      </c>
      <c r="AU292" s="855">
        <f>IF(ISERROR(AU15/AT15-1),"nm",AU15/AT15-1)</f>
        <v>0.13578224101479908</v>
      </c>
      <c r="AV292" s="1741">
        <f>IF(ISERROR(AV15/AU15-1),"nm",AV15/AU15-1)</f>
        <v>-3.749205019622448E-2</v>
      </c>
      <c r="AW292" s="1742"/>
      <c r="AX292" s="1743"/>
      <c r="AY292" s="1744">
        <f>IF(ISERROR(AY15/AV15-1),"nm",AY15/AV15-1)</f>
        <v>0.28022562449637389</v>
      </c>
      <c r="AZ292" s="1741">
        <f>IF(ISERROR(AZ15/AY15-1),"nm",AZ15/AY15-1)</f>
        <v>-3.6070016868501198E-2</v>
      </c>
      <c r="BA292" s="1741">
        <f>IF(ISERROR(BA15/AZ15-1),"nm",BA15/AZ15-1)</f>
        <v>2.7311702726312115E-2</v>
      </c>
      <c r="BB292" s="1741">
        <f>IF(ISERROR(BB15/BA15-1),"nm",BB15/BA15-1)</f>
        <v>0.19020136275805966</v>
      </c>
      <c r="BC292" s="1742"/>
      <c r="BD292" s="1743"/>
      <c r="BE292" s="1744">
        <f>IF(ISERROR(BE15/BB15-1),"nm",BE15/BB15-1)</f>
        <v>-4.9270501783692522E-2</v>
      </c>
      <c r="BF292" s="1741">
        <f>IF(ISERROR(BF15/BE15-1),"nm",BF15/BE15-1)</f>
        <v>1.2809618158678981E-2</v>
      </c>
      <c r="BG292" s="1741">
        <f>IF(ISERROR(BG15/BF15-1),"nm",BG15/BF15-1)</f>
        <v>3.0345726514377169E-2</v>
      </c>
      <c r="BH292" s="1741">
        <f>IF(ISERROR(BH15/BG15-1),"nm",BH15/BG15-1)</f>
        <v>9.0024963628621002E-3</v>
      </c>
      <c r="BI292" s="1742"/>
      <c r="BJ292" s="1743"/>
      <c r="BK292" s="1744">
        <f>IF(ISERROR(BK15/BH15-1),"nm",BK15/BH15-1)</f>
        <v>0.14163508606214292</v>
      </c>
      <c r="BL292" s="1741">
        <f>IF(ISERROR(BL15/BK15-1),"nm",BL15/BK15-1)</f>
        <v>0.11214953271028039</v>
      </c>
      <c r="BM292" s="1741">
        <f>IF(ISERROR(BM15/BL15-1),"nm",BM15/BL15-1)</f>
        <v>-7.5275798975839026E-3</v>
      </c>
      <c r="BN292" s="1741">
        <f>IF(ISERROR(BN15/BM15-1),"nm",BN15/BM15-1)</f>
        <v>6.197290740377559E-3</v>
      </c>
      <c r="BO292" s="1742"/>
      <c r="BP292" s="1743"/>
      <c r="BQ292" s="1744">
        <f>IF(ISERROR(BQ15/BN15-1),"nm",BQ15/BN15-1)</f>
        <v>0.29590202608153038</v>
      </c>
      <c r="BR292" s="1741">
        <f>IF(ISERROR(BR15/BQ15-1),"nm",BR15/BQ15-1)</f>
        <v>-8.181818181818068E-3</v>
      </c>
      <c r="BS292" s="1741">
        <f>IF(ISERROR(BS15/BR15-1),"nm",BS15/BR15-1)</f>
        <v>4.9757758282047426E-3</v>
      </c>
      <c r="BT292" s="1741">
        <f>IF(ISERROR(BT15/BS15-1),"nm",BT15/BS15-1)</f>
        <v>7.2377850162866464E-2</v>
      </c>
      <c r="BU292" s="1742"/>
      <c r="BV292" s="1743"/>
      <c r="BW292" s="1744">
        <f>IF(ISERROR(BW15/BT15-1),"nm",BW15/BT15-1)</f>
        <v>0.20523568527942482</v>
      </c>
      <c r="BX292" s="1741">
        <f>IF(ISERROR(BX15/BW15-1),"nm",BX15/BW15-1)</f>
        <v>-7.030382456031381E-3</v>
      </c>
      <c r="BY292" s="1741">
        <f>IF(ISERROR(BY15/BX15-1),"nm",BY15/BX15-1)</f>
        <v>1.343309796321579E-3</v>
      </c>
      <c r="BZ292" s="1741">
        <f>IF(ISERROR(BZ15/BY15-1),"nm",BZ15/BY15-1)</f>
        <v>7.1025858398051867E-2</v>
      </c>
      <c r="CA292" s="1742"/>
      <c r="CB292" s="1743"/>
      <c r="CC292" s="1744">
        <f>IF(ISERROR(CC15/BZ15-1),"nm",CC15/BZ15-1)</f>
        <v>0.17124728700998415</v>
      </c>
      <c r="CD292" s="1741">
        <f>IF(ISERROR(CD15/CC15-1),"nm",CD15/CC15-1)</f>
        <v>-6.4206653392459012E-3</v>
      </c>
      <c r="CE292" s="1741">
        <f>IF(ISERROR(CE15/CD15-1),"nm",CE15/CD15-1)</f>
        <v>-5.7677215000728754E-4</v>
      </c>
      <c r="CF292" s="1741">
        <f>IF(ISERROR(CF15/CE15-1),"nm",CF15/CE15-1)</f>
        <v>7.0307239881530093E-2</v>
      </c>
      <c r="CG292" s="1742"/>
      <c r="CH292" s="1743"/>
      <c r="CI292" s="1744">
        <f>IF(ISERROR(CI15/CF15-1),"nm",CI15/CF15-1)</f>
        <v>0.12948482519313154</v>
      </c>
      <c r="CJ292" s="1741">
        <f>IF(ISERROR(CJ15/CI15-1),"nm",CJ15/CI15-1)</f>
        <v>-6.4261907778601079E-3</v>
      </c>
      <c r="CK292" s="1741">
        <f>IF(ISERROR(CK15/CJ15-1),"nm",CK15/CJ15-1)</f>
        <v>-5.5938237509323141E-4</v>
      </c>
      <c r="CL292" s="1741">
        <f>IF(ISERROR(CL15/CK15-1),"nm",CL15/CK15-1)</f>
        <v>7.031376064737227E-2</v>
      </c>
      <c r="CM292" s="1742"/>
      <c r="CN292" s="1743"/>
      <c r="CO292" s="1744">
        <f>IF(ISERROR(CO15/CL15-1),"nm",CO15/CL15-1)</f>
        <v>8.39467010009467E-2</v>
      </c>
      <c r="CP292" s="1741">
        <f>IF(ISERROR(CP15/CO15-1),"nm",CP15/CO15-1)</f>
        <v>-7.10550787141917E-3</v>
      </c>
      <c r="CQ292" s="1741">
        <f>IF(ISERROR(CQ15/CP15-1),"nm",CQ15/CP15-1)</f>
        <v>1.5800531043614896E-3</v>
      </c>
      <c r="CR292" s="1741">
        <f>IF(ISERROR(CR15/CQ15-1),"nm",CR15/CQ15-1)</f>
        <v>7.1114272211521445E-2</v>
      </c>
      <c r="CS292" s="1742"/>
      <c r="CT292" s="231"/>
      <c r="CU292" s="60"/>
      <c r="CV292" s="60"/>
      <c r="CW292" s="60"/>
      <c r="CX292" s="60"/>
      <c r="CY292" s="60"/>
      <c r="CZ292" s="60"/>
      <c r="DA292" s="60"/>
      <c r="DB292" s="60"/>
      <c r="DC292" s="60"/>
      <c r="DD292" s="60"/>
      <c r="DE292" s="60"/>
      <c r="DF292" s="60"/>
      <c r="DG292" s="60"/>
      <c r="DH292" s="60"/>
      <c r="DI292" s="68"/>
      <c r="DJ292" s="68"/>
      <c r="DK292" s="68"/>
      <c r="DL292" s="68"/>
      <c r="DM292" s="68"/>
      <c r="DN292" s="68"/>
      <c r="DO292" s="68"/>
      <c r="DP292" s="68"/>
      <c r="DQ292" s="68"/>
      <c r="DR292" s="68"/>
      <c r="DS292" s="68"/>
      <c r="DT292" s="68"/>
    </row>
    <row r="293" spans="1:124" collapsed="1">
      <c r="A293" s="1082"/>
      <c r="B293" s="62"/>
      <c r="C293" s="187"/>
      <c r="D293" s="187"/>
      <c r="E293" s="187"/>
      <c r="F293" s="187"/>
      <c r="G293" s="235"/>
      <c r="H293" s="187"/>
      <c r="I293" s="187"/>
      <c r="J293" s="187"/>
      <c r="K293" s="187"/>
      <c r="L293" s="187"/>
      <c r="M293" s="235"/>
      <c r="N293" s="187"/>
      <c r="O293" s="236"/>
      <c r="P293" s="236"/>
      <c r="Q293" s="236"/>
      <c r="R293" s="1083"/>
      <c r="S293" s="231"/>
      <c r="T293" s="1119"/>
      <c r="U293" s="231"/>
      <c r="V293" s="231"/>
      <c r="W293" s="231"/>
      <c r="X293" s="231"/>
      <c r="Y293" s="231"/>
      <c r="Z293" s="1119"/>
      <c r="AA293" s="1119"/>
      <c r="AB293" s="1119"/>
      <c r="AC293" s="1119"/>
      <c r="AD293" s="1119"/>
      <c r="AE293" s="231"/>
      <c r="AF293" s="1119"/>
      <c r="AG293" s="1119"/>
      <c r="AH293" s="1119"/>
      <c r="AI293" s="1119"/>
      <c r="AJ293" s="1119"/>
      <c r="AK293" s="231"/>
      <c r="AL293" s="1119"/>
      <c r="AM293" s="1119"/>
      <c r="AN293" s="1119"/>
      <c r="AO293" s="1119"/>
      <c r="AP293" s="1119"/>
      <c r="AQ293" s="231"/>
      <c r="AR293" s="1119"/>
      <c r="AS293" s="1119"/>
      <c r="AT293" s="1119"/>
      <c r="AU293" s="1119"/>
      <c r="AV293" s="1745"/>
      <c r="AW293" s="1746"/>
      <c r="AX293" s="1745"/>
      <c r="AY293" s="1745"/>
      <c r="AZ293" s="1745"/>
      <c r="BA293" s="1745"/>
      <c r="BB293" s="1745"/>
      <c r="BC293" s="1746"/>
      <c r="BD293" s="1745"/>
      <c r="BE293" s="1745"/>
      <c r="BF293" s="1745"/>
      <c r="BG293" s="1745"/>
      <c r="BH293" s="1745"/>
      <c r="BI293" s="1746"/>
      <c r="BJ293" s="1745"/>
      <c r="BK293" s="1745"/>
      <c r="BL293" s="1745"/>
      <c r="BM293" s="1745"/>
      <c r="BN293" s="1745"/>
      <c r="BO293" s="1746"/>
      <c r="BP293" s="1745"/>
      <c r="BQ293" s="1745"/>
      <c r="BR293" s="1745"/>
      <c r="BS293" s="1745"/>
      <c r="BT293" s="1745"/>
      <c r="BU293" s="1746"/>
      <c r="BV293" s="1745"/>
      <c r="BW293" s="1745"/>
      <c r="BX293" s="1745"/>
      <c r="BY293" s="1745"/>
      <c r="BZ293" s="1745"/>
      <c r="CA293" s="1746"/>
      <c r="CB293" s="1745"/>
      <c r="CC293" s="1745"/>
      <c r="CD293" s="1745"/>
      <c r="CE293" s="1745"/>
      <c r="CF293" s="1745"/>
      <c r="CG293" s="1746"/>
      <c r="CH293" s="1745"/>
      <c r="CI293" s="1745"/>
      <c r="CJ293" s="1745"/>
      <c r="CK293" s="1745"/>
      <c r="CL293" s="1745"/>
      <c r="CM293" s="1746"/>
      <c r="CN293" s="1745"/>
      <c r="CO293" s="1745"/>
      <c r="CP293" s="1745"/>
      <c r="CQ293" s="1745"/>
      <c r="CR293" s="1745"/>
      <c r="CS293" s="1746"/>
      <c r="CT293" s="231"/>
      <c r="CU293" s="60"/>
      <c r="CV293" s="60"/>
      <c r="CW293" s="60"/>
      <c r="CX293" s="60"/>
      <c r="CY293" s="60"/>
      <c r="CZ293" s="60"/>
      <c r="DA293" s="60"/>
      <c r="DB293" s="60"/>
      <c r="DC293" s="60"/>
      <c r="DD293" s="60"/>
      <c r="DE293" s="60"/>
      <c r="DF293" s="60"/>
      <c r="DG293" s="60"/>
      <c r="DH293" s="60"/>
      <c r="DI293" s="68"/>
      <c r="DJ293" s="68"/>
      <c r="DK293" s="68"/>
      <c r="DL293" s="68"/>
      <c r="DM293" s="68"/>
      <c r="DN293" s="68"/>
      <c r="DO293" s="68"/>
      <c r="DP293" s="68"/>
      <c r="DQ293" s="68"/>
      <c r="DR293" s="68"/>
      <c r="DS293" s="68"/>
      <c r="DT293" s="68"/>
    </row>
    <row r="294" spans="1:124">
      <c r="A294" s="1042" t="s">
        <v>441</v>
      </c>
      <c r="B294" s="1100"/>
      <c r="C294" s="1075"/>
      <c r="D294" s="1076"/>
      <c r="E294" s="1076"/>
      <c r="F294" s="1076"/>
      <c r="G294" s="1073"/>
      <c r="H294" s="1102"/>
      <c r="I294" s="1075"/>
      <c r="J294" s="1076"/>
      <c r="K294" s="1076"/>
      <c r="L294" s="1076"/>
      <c r="M294" s="1073"/>
      <c r="N294" s="1102"/>
      <c r="O294" s="1075"/>
      <c r="P294" s="1076"/>
      <c r="Q294" s="1076"/>
      <c r="R294" s="1076"/>
      <c r="S294" s="1073"/>
      <c r="T294" s="1102"/>
      <c r="U294" s="1075"/>
      <c r="V294" s="1076"/>
      <c r="W294" s="1076"/>
      <c r="X294" s="1076"/>
      <c r="Y294" s="1073"/>
      <c r="Z294" s="1107"/>
      <c r="AA294" s="1075"/>
      <c r="AB294" s="1076"/>
      <c r="AC294" s="1076"/>
      <c r="AD294" s="1076"/>
      <c r="AE294" s="1073"/>
      <c r="AF294" s="1107"/>
      <c r="AG294" s="1077"/>
      <c r="AH294" s="1074"/>
      <c r="AI294" s="1074"/>
      <c r="AJ294" s="1078"/>
      <c r="AK294" s="1079"/>
      <c r="AL294" s="1107"/>
      <c r="AM294" s="1077"/>
      <c r="AN294" s="1074"/>
      <c r="AO294" s="1074"/>
      <c r="AP294" s="1078"/>
      <c r="AQ294" s="1073"/>
      <c r="AR294" s="1107"/>
      <c r="AS294" s="1443"/>
      <c r="AT294" s="1074"/>
      <c r="AU294" s="1074"/>
      <c r="AV294" s="1714"/>
      <c r="AW294" s="1080"/>
      <c r="AX294" s="1733"/>
      <c r="AY294" s="1443"/>
      <c r="AZ294" s="1713"/>
      <c r="BA294" s="1713"/>
      <c r="BB294" s="1713"/>
      <c r="BC294" s="1080"/>
      <c r="BD294" s="1733"/>
      <c r="BE294" s="1443"/>
      <c r="BF294" s="1713"/>
      <c r="BG294" s="1713"/>
      <c r="BH294" s="1713"/>
      <c r="BI294" s="1080"/>
      <c r="BJ294" s="1733"/>
      <c r="BK294" s="1443"/>
      <c r="BL294" s="1713"/>
      <c r="BM294" s="1713"/>
      <c r="BN294" s="1713"/>
      <c r="BO294" s="1080"/>
      <c r="BP294" s="1733"/>
      <c r="BQ294" s="1443"/>
      <c r="BR294" s="1713"/>
      <c r="BS294" s="1713"/>
      <c r="BT294" s="1713"/>
      <c r="BU294" s="1080"/>
      <c r="BV294" s="1733"/>
      <c r="BW294" s="1443"/>
      <c r="BX294" s="1713"/>
      <c r="BY294" s="1713"/>
      <c r="BZ294" s="1713"/>
      <c r="CA294" s="1080"/>
      <c r="CB294" s="1733"/>
      <c r="CC294" s="1443"/>
      <c r="CD294" s="1713"/>
      <c r="CE294" s="1713"/>
      <c r="CF294" s="1713"/>
      <c r="CG294" s="1080"/>
      <c r="CH294" s="1733"/>
      <c r="CI294" s="1443"/>
      <c r="CJ294" s="1713"/>
      <c r="CK294" s="1713"/>
      <c r="CL294" s="1713"/>
      <c r="CM294" s="1080"/>
      <c r="CN294" s="1733"/>
      <c r="CO294" s="1443"/>
      <c r="CP294" s="1713"/>
      <c r="CQ294" s="1713"/>
      <c r="CR294" s="1713"/>
      <c r="CS294" s="1080"/>
      <c r="CT294" s="229"/>
      <c r="CU294" s="68"/>
      <c r="CV294" s="68"/>
      <c r="CW294" s="68"/>
      <c r="CX294" s="68"/>
      <c r="CY294" s="68"/>
      <c r="CZ294" s="68"/>
      <c r="DA294" s="68"/>
      <c r="DB294" s="68"/>
      <c r="DC294" s="68"/>
      <c r="DD294" s="68"/>
      <c r="DE294" s="68"/>
      <c r="DF294" s="68"/>
      <c r="DG294" s="68"/>
      <c r="DH294" s="68"/>
      <c r="DI294" s="68"/>
      <c r="DJ294" s="68"/>
      <c r="DK294" s="68"/>
      <c r="DL294" s="68"/>
      <c r="DM294" s="68"/>
      <c r="DN294" s="68"/>
      <c r="DO294" s="68"/>
      <c r="DP294" s="68"/>
      <c r="DQ294" s="68"/>
      <c r="DR294" s="68"/>
      <c r="DS294" s="68"/>
      <c r="DT294" s="68"/>
    </row>
    <row r="295" spans="1:124">
      <c r="A295" s="63" t="s">
        <v>433</v>
      </c>
      <c r="B295" s="63"/>
      <c r="C295" s="1850"/>
      <c r="D295" s="1855"/>
      <c r="E295" s="1855"/>
      <c r="F295" s="1855"/>
      <c r="G295" s="1856"/>
      <c r="H295" s="1120"/>
      <c r="I295" s="1850"/>
      <c r="M295" s="1856"/>
      <c r="N295" s="1120"/>
      <c r="O295" s="1850"/>
      <c r="P295" s="1855"/>
      <c r="Q295" s="1855"/>
      <c r="R295" s="1855"/>
      <c r="S295" s="1856"/>
      <c r="T295" s="1120"/>
      <c r="U295" s="1850"/>
      <c r="V295" s="1855"/>
      <c r="W295" s="1855"/>
      <c r="X295" s="1855"/>
      <c r="Y295" s="1856"/>
      <c r="Z295" s="1120"/>
      <c r="AA295" s="1850"/>
      <c r="AB295" s="1855"/>
      <c r="AC295" s="1855"/>
      <c r="AD295" s="1855"/>
      <c r="AE295" s="1856"/>
      <c r="AF295" s="1120"/>
      <c r="AG295" s="1850"/>
      <c r="AH295" s="952">
        <v>0.18</v>
      </c>
      <c r="AI295" s="952">
        <v>0.19</v>
      </c>
      <c r="AJ295" s="1851">
        <v>0.22500000000000001</v>
      </c>
      <c r="AK295" s="736"/>
      <c r="AL295" s="63"/>
      <c r="AM295" s="1842">
        <v>0.28000000000000003</v>
      </c>
      <c r="AN295" s="215">
        <v>0.22</v>
      </c>
      <c r="AO295" s="215">
        <v>0.25</v>
      </c>
      <c r="AP295" s="1846">
        <v>0.31</v>
      </c>
      <c r="AQ295" s="736"/>
      <c r="AR295" s="63"/>
      <c r="AS295" s="1842">
        <v>0.24</v>
      </c>
      <c r="AT295" s="215">
        <v>0.19</v>
      </c>
      <c r="AU295" s="215">
        <v>0.37</v>
      </c>
      <c r="AV295" s="1846">
        <v>0.34</v>
      </c>
      <c r="AW295" s="1841"/>
      <c r="AX295" s="1"/>
      <c r="AY295" s="1842">
        <v>0.32</v>
      </c>
      <c r="AZ295" s="215">
        <v>0.32</v>
      </c>
      <c r="BA295" s="215">
        <v>0.22</v>
      </c>
      <c r="BB295" s="215">
        <v>0.25</v>
      </c>
      <c r="BC295" s="1841"/>
      <c r="BD295" s="1"/>
      <c r="BE295" s="2693">
        <v>0.14000000000000001</v>
      </c>
      <c r="BF295" s="2694">
        <v>0.13</v>
      </c>
      <c r="BG295" s="2694">
        <v>0.02</v>
      </c>
      <c r="BH295" s="2694">
        <v>-0.04</v>
      </c>
      <c r="BI295" s="2695"/>
      <c r="BJ295" s="2696"/>
      <c r="BK295" s="2693">
        <v>0.04</v>
      </c>
      <c r="BL295" s="2694">
        <v>0.08</v>
      </c>
      <c r="BM295" s="2694">
        <v>0.2</v>
      </c>
      <c r="BN295" s="2694">
        <v>0.32</v>
      </c>
      <c r="BO295" s="1841"/>
      <c r="BP295" s="1"/>
      <c r="BQ295" s="2693">
        <v>0.27</v>
      </c>
      <c r="BR295" s="4"/>
      <c r="BS295" s="4"/>
      <c r="BT295" s="4"/>
      <c r="BU295" s="1841"/>
      <c r="BV295" s="1"/>
      <c r="BW295" s="140"/>
      <c r="BX295" s="4"/>
      <c r="BY295" s="4"/>
      <c r="BZ295" s="4"/>
      <c r="CA295" s="1841"/>
      <c r="CB295" s="1"/>
      <c r="CC295" s="140"/>
      <c r="CD295" s="4"/>
      <c r="CE295" s="4"/>
      <c r="CF295" s="4"/>
      <c r="CG295" s="1841"/>
      <c r="CH295" s="1"/>
      <c r="CI295" s="140"/>
      <c r="CJ295" s="4"/>
      <c r="CK295" s="4"/>
      <c r="CL295" s="4"/>
      <c r="CM295" s="1841"/>
      <c r="CN295" s="1"/>
      <c r="CO295" s="140"/>
      <c r="CP295" s="4"/>
      <c r="CQ295" s="4"/>
      <c r="CR295" s="4"/>
      <c r="CS295" s="1841"/>
      <c r="CT295" s="60"/>
      <c r="CU295" s="60"/>
      <c r="CV295" s="60"/>
      <c r="CW295" s="60"/>
      <c r="CX295" s="60"/>
      <c r="CY295" s="60"/>
      <c r="CZ295" s="60"/>
      <c r="DA295" s="60"/>
      <c r="DB295" s="60"/>
      <c r="DC295" s="60"/>
      <c r="DD295" s="60"/>
      <c r="DE295" s="60"/>
      <c r="DF295" s="60"/>
      <c r="DG295" s="60"/>
      <c r="DH295" s="60"/>
      <c r="DI295" s="68"/>
      <c r="DJ295" s="68"/>
      <c r="DK295" s="68"/>
      <c r="DL295" s="68"/>
      <c r="DM295" s="68"/>
      <c r="DN295" s="68"/>
      <c r="DO295" s="68"/>
      <c r="DP295" s="68"/>
      <c r="DQ295" s="68"/>
      <c r="DR295" s="68"/>
      <c r="DS295" s="68"/>
      <c r="DT295" s="68"/>
    </row>
    <row r="296" spans="1:124">
      <c r="A296" s="63" t="s">
        <v>361</v>
      </c>
      <c r="B296" s="63"/>
      <c r="C296" s="1850"/>
      <c r="D296" s="1855"/>
      <c r="E296" s="1855"/>
      <c r="F296" s="1855"/>
      <c r="G296" s="1856"/>
      <c r="H296" s="1120"/>
      <c r="I296" s="1850"/>
      <c r="M296" s="1856"/>
      <c r="N296" s="1120"/>
      <c r="O296" s="1850"/>
      <c r="P296" s="1855"/>
      <c r="Q296" s="1855"/>
      <c r="R296" s="1855"/>
      <c r="S296" s="1856"/>
      <c r="T296" s="1120"/>
      <c r="U296" s="1850"/>
      <c r="V296" s="1855"/>
      <c r="W296" s="1855"/>
      <c r="X296" s="1855"/>
      <c r="Y296" s="1856"/>
      <c r="Z296" s="1120"/>
      <c r="AA296" s="1850"/>
      <c r="AB296" s="1855"/>
      <c r="AC296" s="1855"/>
      <c r="AD296" s="1855"/>
      <c r="AE296" s="1856"/>
      <c r="AF296" s="1120"/>
      <c r="AG296" s="1850"/>
      <c r="AH296" s="1423"/>
      <c r="AI296" s="952">
        <v>0.19</v>
      </c>
      <c r="AJ296" s="1851">
        <v>0.26</v>
      </c>
      <c r="AK296" s="736"/>
      <c r="AL296" s="63"/>
      <c r="AM296" s="1842">
        <v>0.16</v>
      </c>
      <c r="AN296" s="215">
        <v>0.19</v>
      </c>
      <c r="AO296" s="215">
        <v>0.27</v>
      </c>
      <c r="AP296" s="1846">
        <v>0.19</v>
      </c>
      <c r="AQ296" s="736"/>
      <c r="AR296" s="63"/>
      <c r="AS296" s="1842">
        <v>0.32</v>
      </c>
      <c r="AT296" s="215">
        <v>0.45</v>
      </c>
      <c r="AU296" s="215">
        <v>0.4</v>
      </c>
      <c r="AV296" s="1846">
        <v>0.33</v>
      </c>
      <c r="AW296" s="1841"/>
      <c r="AX296" s="1"/>
      <c r="AY296" s="1842">
        <v>0.3</v>
      </c>
      <c r="AZ296" s="215">
        <v>0.16</v>
      </c>
      <c r="BA296" s="215">
        <v>0.06</v>
      </c>
      <c r="BB296" s="215">
        <v>0.05</v>
      </c>
      <c r="BC296" s="1841"/>
      <c r="BD296" s="1"/>
      <c r="BE296" s="2693">
        <v>-0.02</v>
      </c>
      <c r="BF296" s="2694">
        <v>-0.04</v>
      </c>
      <c r="BG296" s="2694">
        <v>0.16</v>
      </c>
      <c r="BH296" s="2694">
        <v>0.11</v>
      </c>
      <c r="BI296" s="2695"/>
      <c r="BJ296" s="2696"/>
      <c r="BK296" s="2693">
        <v>-0.02</v>
      </c>
      <c r="BL296" s="2694">
        <v>0.15</v>
      </c>
      <c r="BM296" s="2694">
        <v>0.15</v>
      </c>
      <c r="BN296" s="2694">
        <v>0.25</v>
      </c>
      <c r="BO296" s="1841"/>
      <c r="BP296" s="1"/>
      <c r="BQ296" s="2693">
        <v>0.5</v>
      </c>
      <c r="BR296" s="4"/>
      <c r="BS296" s="4"/>
      <c r="BT296" s="4"/>
      <c r="BU296" s="1841"/>
      <c r="BV296" s="1"/>
      <c r="BW296" s="140"/>
      <c r="BX296" s="4"/>
      <c r="BY296" s="4"/>
      <c r="BZ296" s="4"/>
      <c r="CA296" s="1841"/>
      <c r="CB296" s="1"/>
      <c r="CC296" s="140"/>
      <c r="CD296" s="4"/>
      <c r="CE296" s="4"/>
      <c r="CF296" s="4"/>
      <c r="CG296" s="1841"/>
      <c r="CH296" s="1"/>
      <c r="CI296" s="140"/>
      <c r="CJ296" s="4"/>
      <c r="CK296" s="4"/>
      <c r="CL296" s="4"/>
      <c r="CM296" s="1841"/>
      <c r="CN296" s="1"/>
      <c r="CO296" s="140"/>
      <c r="CP296" s="4"/>
      <c r="CQ296" s="4"/>
      <c r="CR296" s="4"/>
      <c r="CS296" s="1841"/>
      <c r="CT296" s="60"/>
      <c r="CU296" s="60"/>
      <c r="CV296" s="60"/>
      <c r="CW296" s="60"/>
      <c r="CX296" s="60"/>
      <c r="CY296" s="60"/>
      <c r="CZ296" s="60"/>
      <c r="DA296" s="60"/>
      <c r="DB296" s="60"/>
      <c r="DC296" s="60"/>
      <c r="DD296" s="60"/>
      <c r="DE296" s="60"/>
      <c r="DF296" s="60"/>
      <c r="DG296" s="60"/>
      <c r="DH296" s="60"/>
      <c r="DI296" s="68"/>
      <c r="DJ296" s="68"/>
      <c r="DK296" s="68"/>
      <c r="DL296" s="68"/>
      <c r="DM296" s="68"/>
      <c r="DN296" s="68"/>
      <c r="DO296" s="68"/>
      <c r="DP296" s="68"/>
      <c r="DQ296" s="68"/>
      <c r="DR296" s="68"/>
      <c r="DS296" s="68"/>
      <c r="DT296" s="68"/>
    </row>
    <row r="297" spans="1:124">
      <c r="A297" s="63" t="s">
        <v>435</v>
      </c>
      <c r="B297" s="63"/>
      <c r="C297" s="1850"/>
      <c r="D297" s="1855"/>
      <c r="E297" s="1855"/>
      <c r="F297" s="1855"/>
      <c r="G297" s="1856"/>
      <c r="H297" s="1120"/>
      <c r="I297" s="1850"/>
      <c r="M297" s="1856"/>
      <c r="N297" s="1120"/>
      <c r="O297" s="1850"/>
      <c r="P297" s="1855"/>
      <c r="Q297" s="1855"/>
      <c r="R297" s="1855"/>
      <c r="S297" s="1856"/>
      <c r="T297" s="1120"/>
      <c r="U297" s="1850"/>
      <c r="V297" s="1855"/>
      <c r="W297" s="1855"/>
      <c r="X297" s="1855"/>
      <c r="Y297" s="1856"/>
      <c r="Z297" s="1120"/>
      <c r="AA297" s="1850"/>
      <c r="AB297" s="1855"/>
      <c r="AC297" s="1855"/>
      <c r="AD297" s="1855"/>
      <c r="AE297" s="1856"/>
      <c r="AF297" s="1120"/>
      <c r="AG297" s="1852">
        <v>0.2</v>
      </c>
      <c r="AH297" s="1423"/>
      <c r="AI297" s="952">
        <v>0.21</v>
      </c>
      <c r="AJ297" s="1851">
        <v>0.12</v>
      </c>
      <c r="AK297" s="736"/>
      <c r="AL297" s="63"/>
      <c r="AM297" s="1842">
        <v>0.21</v>
      </c>
      <c r="AN297" s="215">
        <v>0.36</v>
      </c>
      <c r="AO297" s="215">
        <v>0.22</v>
      </c>
      <c r="AP297" s="1846">
        <v>0.21</v>
      </c>
      <c r="AQ297" s="736"/>
      <c r="AR297" s="63"/>
      <c r="AS297" s="1842">
        <v>0.22</v>
      </c>
      <c r="AT297" s="215">
        <v>0.5</v>
      </c>
      <c r="AU297" s="215">
        <v>0.27</v>
      </c>
      <c r="AV297" s="1846">
        <v>0.08</v>
      </c>
      <c r="AW297" s="1841"/>
      <c r="AX297" s="1"/>
      <c r="AY297" s="1842">
        <v>0.1</v>
      </c>
      <c r="AZ297" s="215">
        <v>0.02</v>
      </c>
      <c r="BA297" s="215">
        <v>0</v>
      </c>
      <c r="BB297" s="215">
        <v>0.1</v>
      </c>
      <c r="BC297" s="1841"/>
      <c r="BD297" s="1"/>
      <c r="BE297" s="2693">
        <v>-0.05</v>
      </c>
      <c r="BF297" s="2694">
        <v>0.28999999999999998</v>
      </c>
      <c r="BG297" s="2694">
        <v>0.35</v>
      </c>
      <c r="BH297" s="2694">
        <v>0.28999999999999998</v>
      </c>
      <c r="BI297" s="2695"/>
      <c r="BJ297" s="2696"/>
      <c r="BK297" s="2693">
        <v>0.15</v>
      </c>
      <c r="BL297" s="2694">
        <v>0.12</v>
      </c>
      <c r="BM297" s="2694">
        <v>0.15</v>
      </c>
      <c r="BN297" s="2694">
        <v>0.09</v>
      </c>
      <c r="BO297" s="1841"/>
      <c r="BP297" s="1"/>
      <c r="BQ297" s="2693">
        <v>0.21</v>
      </c>
      <c r="BR297" s="4"/>
      <c r="BS297" s="4"/>
      <c r="BT297" s="4"/>
      <c r="BU297" s="1841"/>
      <c r="BV297" s="1"/>
      <c r="BW297" s="140"/>
      <c r="BX297" s="4"/>
      <c r="BY297" s="4"/>
      <c r="BZ297" s="4"/>
      <c r="CA297" s="1841"/>
      <c r="CB297" s="1"/>
      <c r="CC297" s="140"/>
      <c r="CD297" s="4"/>
      <c r="CE297" s="4"/>
      <c r="CF297" s="4"/>
      <c r="CG297" s="1841"/>
      <c r="CH297" s="1"/>
      <c r="CI297" s="140"/>
      <c r="CJ297" s="4"/>
      <c r="CK297" s="4"/>
      <c r="CL297" s="4"/>
      <c r="CM297" s="1841"/>
      <c r="CN297" s="1"/>
      <c r="CO297" s="140"/>
      <c r="CP297" s="4"/>
      <c r="CQ297" s="4"/>
      <c r="CR297" s="4"/>
      <c r="CS297" s="1841"/>
      <c r="CT297" s="60"/>
      <c r="CU297" s="60"/>
      <c r="CV297" s="60"/>
      <c r="CW297" s="60"/>
      <c r="CX297" s="60"/>
      <c r="CY297" s="60"/>
      <c r="CZ297" s="60"/>
      <c r="DA297" s="60"/>
      <c r="DB297" s="60"/>
      <c r="DC297" s="60"/>
      <c r="DD297" s="60"/>
      <c r="DE297" s="60"/>
      <c r="DF297" s="60"/>
      <c r="DG297" s="60"/>
      <c r="DH297" s="60"/>
      <c r="DI297" s="68"/>
      <c r="DJ297" s="68"/>
      <c r="DK297" s="68"/>
      <c r="DL297" s="68"/>
      <c r="DM297" s="68"/>
      <c r="DN297" s="68"/>
      <c r="DO297" s="68"/>
      <c r="DP297" s="68"/>
      <c r="DQ297" s="68"/>
      <c r="DR297" s="68"/>
      <c r="DS297" s="68"/>
      <c r="DT297" s="68"/>
    </row>
    <row r="298" spans="1:124">
      <c r="A298" s="63" t="s">
        <v>434</v>
      </c>
      <c r="B298" s="63"/>
      <c r="C298" s="1850"/>
      <c r="D298" s="1855"/>
      <c r="E298" s="1855"/>
      <c r="F298" s="1855"/>
      <c r="G298" s="1856"/>
      <c r="H298" s="1120"/>
      <c r="I298" s="1850"/>
      <c r="M298" s="1856"/>
      <c r="N298" s="1120"/>
      <c r="O298" s="1850"/>
      <c r="P298" s="1855"/>
      <c r="Q298" s="1855"/>
      <c r="R298" s="1855"/>
      <c r="S298" s="1856"/>
      <c r="T298" s="1120"/>
      <c r="U298" s="1850"/>
      <c r="V298" s="1855"/>
      <c r="W298" s="1855"/>
      <c r="X298" s="1855"/>
      <c r="Y298" s="1856"/>
      <c r="Z298" s="1120"/>
      <c r="AA298" s="1850"/>
      <c r="AB298" s="1855"/>
      <c r="AC298" s="1855"/>
      <c r="AD298" s="1855"/>
      <c r="AE298" s="1856"/>
      <c r="AF298" s="1120"/>
      <c r="AG298" s="1850"/>
      <c r="AH298" s="952">
        <v>0.5</v>
      </c>
      <c r="AI298" s="952">
        <v>0.79</v>
      </c>
      <c r="AJ298" s="1851">
        <v>0.35</v>
      </c>
      <c r="AK298" s="736"/>
      <c r="AL298" s="63"/>
      <c r="AM298" s="752"/>
      <c r="AN298" s="1845"/>
      <c r="AO298" s="1845" t="s">
        <v>367</v>
      </c>
      <c r="AP298" s="1847"/>
      <c r="AQ298" s="736"/>
      <c r="AR298" s="63"/>
      <c r="AS298" s="752"/>
      <c r="AT298" s="60"/>
      <c r="AU298" s="1843" t="s">
        <v>503</v>
      </c>
      <c r="AV298" s="1854" t="s">
        <v>503</v>
      </c>
      <c r="AW298" s="1841"/>
      <c r="AX298" s="1"/>
      <c r="AY298" s="1853" t="s">
        <v>503</v>
      </c>
      <c r="AZ298" s="1845" t="s">
        <v>555</v>
      </c>
      <c r="BA298" s="4"/>
      <c r="BB298" s="4"/>
      <c r="BC298" s="1841"/>
      <c r="BD298" s="1"/>
      <c r="BE298" s="2693" t="s">
        <v>367</v>
      </c>
      <c r="BF298" s="2694">
        <v>0.7</v>
      </c>
      <c r="BG298" s="2694">
        <v>0.88</v>
      </c>
      <c r="BH298" s="2694">
        <v>0.5</v>
      </c>
      <c r="BI298" s="1961">
        <f>+AVERAGE(BE298:BH298)</f>
        <v>0.69333333333333336</v>
      </c>
      <c r="BJ298" s="2696"/>
      <c r="BK298" s="2693">
        <v>0.35</v>
      </c>
      <c r="BL298" s="2694">
        <v>0.16</v>
      </c>
      <c r="BM298" s="2694">
        <v>0.32</v>
      </c>
      <c r="BN298" s="2694">
        <v>0.12</v>
      </c>
      <c r="BO298" s="1961">
        <f>+AVERAGE(BK298:BN298)</f>
        <v>0.23750000000000002</v>
      </c>
      <c r="BP298" s="1"/>
      <c r="BQ298" s="2693">
        <v>0.38</v>
      </c>
      <c r="BR298" s="4"/>
      <c r="BS298" s="4"/>
      <c r="BT298" s="4"/>
      <c r="BU298" s="1841"/>
      <c r="BV298" s="1"/>
      <c r="BW298" s="140"/>
      <c r="BX298" s="4"/>
      <c r="BY298" s="4"/>
      <c r="BZ298" s="4"/>
      <c r="CA298" s="1841"/>
      <c r="CB298" s="1"/>
      <c r="CC298" s="140"/>
      <c r="CD298" s="4"/>
      <c r="CE298" s="4"/>
      <c r="CF298" s="4"/>
      <c r="CG298" s="1841"/>
      <c r="CH298" s="1"/>
      <c r="CI298" s="140"/>
      <c r="CJ298" s="4"/>
      <c r="CK298" s="4"/>
      <c r="CL298" s="4"/>
      <c r="CM298" s="1841"/>
      <c r="CN298" s="1"/>
      <c r="CO298" s="140"/>
      <c r="CP298" s="4"/>
      <c r="CQ298" s="4"/>
      <c r="CR298" s="4"/>
      <c r="CS298" s="1841"/>
      <c r="CT298" s="60"/>
      <c r="CU298" s="60"/>
      <c r="CV298" s="60"/>
      <c r="CW298" s="60"/>
      <c r="CX298" s="60"/>
      <c r="CY298" s="60"/>
      <c r="CZ298" s="60"/>
      <c r="DA298" s="60"/>
      <c r="DB298" s="60"/>
      <c r="DC298" s="60"/>
      <c r="DD298" s="60"/>
      <c r="DE298" s="60"/>
      <c r="DF298" s="60"/>
      <c r="DG298" s="60"/>
      <c r="DH298" s="60"/>
      <c r="DI298" s="68"/>
      <c r="DJ298" s="68"/>
      <c r="DK298" s="68"/>
      <c r="DL298" s="68"/>
      <c r="DM298" s="68"/>
      <c r="DN298" s="68"/>
      <c r="DO298" s="68"/>
      <c r="DP298" s="68"/>
      <c r="DQ298" s="68"/>
      <c r="DR298" s="68"/>
      <c r="DS298" s="68"/>
      <c r="DT298" s="68"/>
    </row>
    <row r="299" spans="1:124">
      <c r="A299" s="63" t="s">
        <v>439</v>
      </c>
      <c r="B299" s="63"/>
      <c r="C299" s="752"/>
      <c r="D299" s="60"/>
      <c r="E299" s="60"/>
      <c r="F299" s="60"/>
      <c r="G299" s="736"/>
      <c r="H299" s="63"/>
      <c r="I299" s="752"/>
      <c r="M299" s="736"/>
      <c r="N299" s="63"/>
      <c r="O299" s="752"/>
      <c r="P299" s="60"/>
      <c r="Q299" s="60"/>
      <c r="R299" s="60"/>
      <c r="S299" s="736"/>
      <c r="T299" s="63"/>
      <c r="U299" s="752"/>
      <c r="V299" s="60"/>
      <c r="W299" s="60"/>
      <c r="X299" s="60"/>
      <c r="Y299" s="736"/>
      <c r="Z299" s="63"/>
      <c r="AA299" s="752"/>
      <c r="AB299" s="60"/>
      <c r="AC299" s="60"/>
      <c r="AD299" s="60"/>
      <c r="AE299" s="736"/>
      <c r="AF299" s="63"/>
      <c r="AG299" s="1853" t="s">
        <v>367</v>
      </c>
      <c r="AH299" s="1845" t="s">
        <v>367</v>
      </c>
      <c r="AI299" s="1845" t="s">
        <v>367</v>
      </c>
      <c r="AJ299" s="1854" t="s">
        <v>367</v>
      </c>
      <c r="AK299" s="736"/>
      <c r="AL299" s="63"/>
      <c r="AM299" s="1844" t="s">
        <v>440</v>
      </c>
      <c r="AN299" s="1848" t="s">
        <v>367</v>
      </c>
      <c r="AO299" s="1845" t="s">
        <v>503</v>
      </c>
      <c r="AP299" s="1849" t="s">
        <v>233</v>
      </c>
      <c r="AQ299" s="736"/>
      <c r="AR299" s="63"/>
      <c r="AS299" s="1844" t="s">
        <v>367</v>
      </c>
      <c r="AT299" s="1845" t="s">
        <v>367</v>
      </c>
      <c r="AU299" s="1843" t="s">
        <v>504</v>
      </c>
      <c r="AV299" s="1854" t="s">
        <v>546</v>
      </c>
      <c r="AW299" s="1841"/>
      <c r="AX299" s="1"/>
      <c r="AY299" s="1853" t="s">
        <v>547</v>
      </c>
      <c r="AZ299" s="1845" t="s">
        <v>547</v>
      </c>
      <c r="BA299" s="1845" t="s">
        <v>547</v>
      </c>
      <c r="BB299" s="1845" t="s">
        <v>547</v>
      </c>
      <c r="BC299" s="1841"/>
      <c r="BD299" s="1"/>
      <c r="BE299" s="2693" t="s">
        <v>367</v>
      </c>
      <c r="BF299" s="2697" t="s">
        <v>735</v>
      </c>
      <c r="BG299" s="2694"/>
      <c r="BH299" s="2694"/>
      <c r="BI299" s="2695"/>
      <c r="BJ299" s="2696"/>
      <c r="BK299" s="2693" t="s">
        <v>789</v>
      </c>
      <c r="BL299" s="2697" t="s">
        <v>789</v>
      </c>
      <c r="BM299" s="2697" t="s">
        <v>789</v>
      </c>
      <c r="BN299" s="2694"/>
      <c r="BO299" s="1841"/>
      <c r="BP299" s="1"/>
      <c r="BQ299" s="2693"/>
      <c r="BR299" s="4"/>
      <c r="BS299" s="4"/>
      <c r="BT299" s="4"/>
      <c r="BU299" s="1841"/>
      <c r="BV299" s="1"/>
      <c r="BW299" s="140"/>
      <c r="BX299" s="4"/>
      <c r="BY299" s="4"/>
      <c r="BZ299" s="4"/>
      <c r="CA299" s="1841"/>
      <c r="CB299" s="1"/>
      <c r="CC299" s="140"/>
      <c r="CD299" s="4"/>
      <c r="CE299" s="4"/>
      <c r="CF299" s="4"/>
      <c r="CG299" s="1841"/>
      <c r="CH299" s="1"/>
      <c r="CI299" s="140"/>
      <c r="CJ299" s="4"/>
      <c r="CK299" s="4"/>
      <c r="CL299" s="4"/>
      <c r="CM299" s="1841"/>
      <c r="CN299" s="1"/>
      <c r="CO299" s="140"/>
      <c r="CP299" s="4"/>
      <c r="CQ299" s="4"/>
      <c r="CR299" s="4"/>
      <c r="CS299" s="1841"/>
      <c r="CT299" s="60"/>
      <c r="CU299" s="60"/>
      <c r="CV299" s="60"/>
      <c r="CW299" s="60"/>
      <c r="CX299" s="60"/>
      <c r="CY299" s="60"/>
      <c r="CZ299" s="60"/>
      <c r="DA299" s="60"/>
      <c r="DB299" s="60"/>
      <c r="DC299" s="60"/>
      <c r="DD299" s="60"/>
      <c r="DE299" s="60"/>
      <c r="DF299" s="60"/>
      <c r="DG299" s="60"/>
      <c r="DH299" s="60"/>
      <c r="DI299" s="68"/>
      <c r="DJ299" s="68"/>
      <c r="DK299" s="68"/>
      <c r="DL299" s="68"/>
      <c r="DM299" s="68"/>
      <c r="DN299" s="68"/>
      <c r="DO299" s="68"/>
      <c r="DP299" s="68"/>
      <c r="DQ299" s="68"/>
      <c r="DR299" s="68"/>
      <c r="DS299" s="68"/>
      <c r="DT299" s="68"/>
    </row>
    <row r="300" spans="1:124">
      <c r="A300" s="63"/>
      <c r="B300" s="63"/>
      <c r="C300" s="752"/>
      <c r="D300" s="60"/>
      <c r="E300" s="60"/>
      <c r="F300" s="60"/>
      <c r="G300" s="736"/>
      <c r="H300" s="63"/>
      <c r="I300" s="752"/>
      <c r="M300" s="736"/>
      <c r="N300" s="63"/>
      <c r="O300" s="752"/>
      <c r="P300" s="60"/>
      <c r="Q300" s="60"/>
      <c r="R300" s="60"/>
      <c r="S300" s="736"/>
      <c r="T300" s="63"/>
      <c r="U300" s="752"/>
      <c r="V300" s="60"/>
      <c r="W300" s="60"/>
      <c r="X300" s="60"/>
      <c r="Y300" s="736"/>
      <c r="Z300" s="63"/>
      <c r="AA300" s="752"/>
      <c r="AB300" s="60"/>
      <c r="AC300" s="60"/>
      <c r="AD300" s="60"/>
      <c r="AE300" s="736"/>
      <c r="AF300" s="63"/>
      <c r="AG300" s="1853"/>
      <c r="AH300" s="1845"/>
      <c r="AI300" s="1845"/>
      <c r="AJ300" s="1854"/>
      <c r="AK300" s="736"/>
      <c r="AL300" s="63"/>
      <c r="AM300" s="1844"/>
      <c r="AN300" s="1848"/>
      <c r="AO300" s="1845"/>
      <c r="AP300" s="1849"/>
      <c r="AQ300" s="736"/>
      <c r="AR300" s="63"/>
      <c r="AS300" s="1844"/>
      <c r="AT300" s="1845"/>
      <c r="AU300" s="1843"/>
      <c r="AV300" s="1854"/>
      <c r="AW300" s="1841"/>
      <c r="AX300" s="1"/>
      <c r="AY300" s="1853"/>
      <c r="AZ300" s="1845"/>
      <c r="BA300" s="1845"/>
      <c r="BB300" s="1845"/>
      <c r="BC300" s="1841"/>
      <c r="BD300" s="1"/>
      <c r="BE300" s="2515"/>
      <c r="BF300" s="2516"/>
      <c r="BG300" s="2516"/>
      <c r="BH300" s="2516"/>
      <c r="BI300" s="1841"/>
      <c r="BJ300" s="1"/>
      <c r="BK300" s="2515"/>
      <c r="BL300" s="2516"/>
      <c r="BM300" s="2516"/>
      <c r="BN300" s="2516"/>
      <c r="BO300" s="1841"/>
      <c r="BP300" s="1"/>
      <c r="BQ300" s="2515"/>
      <c r="BR300" s="4"/>
      <c r="BS300" s="4"/>
      <c r="BT300" s="4"/>
      <c r="BU300" s="1841"/>
      <c r="BV300" s="1"/>
      <c r="BW300" s="140"/>
      <c r="BX300" s="4"/>
      <c r="BY300" s="4"/>
      <c r="BZ300" s="4"/>
      <c r="CA300" s="1841"/>
      <c r="CB300" s="1"/>
      <c r="CC300" s="140"/>
      <c r="CD300" s="4"/>
      <c r="CE300" s="4"/>
      <c r="CF300" s="4"/>
      <c r="CG300" s="1841"/>
      <c r="CH300" s="1"/>
      <c r="CI300" s="140"/>
      <c r="CJ300" s="4"/>
      <c r="CK300" s="4"/>
      <c r="CL300" s="4"/>
      <c r="CM300" s="1841"/>
      <c r="CN300" s="1"/>
      <c r="CO300" s="140"/>
      <c r="CP300" s="4"/>
      <c r="CQ300" s="4"/>
      <c r="CR300" s="4"/>
      <c r="CS300" s="1841"/>
      <c r="CT300" s="60"/>
      <c r="CU300" s="60"/>
      <c r="CV300" s="60"/>
      <c r="CW300" s="60"/>
      <c r="CX300" s="60"/>
      <c r="CY300" s="60"/>
      <c r="CZ300" s="60"/>
      <c r="DA300" s="60"/>
      <c r="DB300" s="60"/>
      <c r="DC300" s="60"/>
      <c r="DD300" s="60"/>
      <c r="DE300" s="60"/>
      <c r="DF300" s="60"/>
      <c r="DG300" s="60"/>
      <c r="DH300" s="60"/>
      <c r="DI300" s="68"/>
      <c r="DJ300" s="68"/>
      <c r="DK300" s="68"/>
      <c r="DL300" s="68"/>
      <c r="DM300" s="68"/>
      <c r="DN300" s="68"/>
      <c r="DO300" s="68"/>
      <c r="DP300" s="68"/>
      <c r="DQ300" s="68"/>
      <c r="DR300" s="68"/>
      <c r="DS300" s="68"/>
      <c r="DT300" s="68"/>
    </row>
    <row r="301" spans="1:124">
      <c r="A301" s="1601" t="s">
        <v>43</v>
      </c>
      <c r="B301" s="63"/>
      <c r="C301" s="1018"/>
      <c r="D301" s="951"/>
      <c r="E301" s="951"/>
      <c r="F301" s="951"/>
      <c r="G301" s="224"/>
      <c r="H301" s="1121"/>
      <c r="I301" s="1018"/>
      <c r="M301" s="224"/>
      <c r="N301" s="1121"/>
      <c r="O301" s="1018"/>
      <c r="P301" s="951"/>
      <c r="Q301" s="951"/>
      <c r="R301" s="951"/>
      <c r="S301" s="224"/>
      <c r="T301" s="1121"/>
      <c r="U301" s="1018"/>
      <c r="V301" s="951"/>
      <c r="W301" s="951"/>
      <c r="X301" s="951"/>
      <c r="Y301" s="224"/>
      <c r="Z301" s="1121"/>
      <c r="AA301" s="1018"/>
      <c r="AB301" s="951"/>
      <c r="AC301" s="951"/>
      <c r="AD301" s="951"/>
      <c r="AE301" s="224"/>
      <c r="AF301" s="1121"/>
      <c r="AG301" s="1018"/>
      <c r="AH301" s="951"/>
      <c r="AI301" s="951"/>
      <c r="AJ301" s="1847"/>
      <c r="AK301" s="736"/>
      <c r="AL301" s="63"/>
      <c r="AM301" s="752"/>
      <c r="AN301" s="60"/>
      <c r="AO301" s="60"/>
      <c r="AP301" s="1847"/>
      <c r="AQ301" s="736"/>
      <c r="AR301" s="63"/>
      <c r="AS301" s="752"/>
      <c r="AT301" s="60"/>
      <c r="AU301" s="60"/>
      <c r="AV301" s="1397"/>
      <c r="AW301" s="1841"/>
      <c r="AX301" s="1"/>
      <c r="AY301" s="752"/>
      <c r="AZ301" s="4"/>
      <c r="BA301" s="4"/>
      <c r="BB301" s="4"/>
      <c r="BC301" s="1841"/>
      <c r="BD301" s="1"/>
      <c r="BE301" s="2515"/>
      <c r="BF301" s="2516"/>
      <c r="BG301" s="2516"/>
      <c r="BH301" s="2516"/>
      <c r="BI301" s="1841"/>
      <c r="BJ301" s="1"/>
      <c r="BK301" s="2515"/>
      <c r="BL301" s="2516"/>
      <c r="BM301" s="2516"/>
      <c r="BN301" s="2516"/>
      <c r="BO301" s="1841"/>
      <c r="BP301" s="1"/>
      <c r="BQ301" s="2515"/>
      <c r="BR301" s="4"/>
      <c r="BS301" s="4"/>
      <c r="BT301" s="4"/>
      <c r="BU301" s="1841"/>
      <c r="BV301" s="1"/>
      <c r="BW301" s="140"/>
      <c r="BX301" s="4"/>
      <c r="BY301" s="4"/>
      <c r="BZ301" s="4"/>
      <c r="CA301" s="1841"/>
      <c r="CB301" s="1"/>
      <c r="CC301" s="140"/>
      <c r="CD301" s="4"/>
      <c r="CE301" s="4"/>
      <c r="CF301" s="4"/>
      <c r="CG301" s="1841"/>
      <c r="CH301" s="1"/>
      <c r="CI301" s="140"/>
      <c r="CJ301" s="4"/>
      <c r="CK301" s="4"/>
      <c r="CL301" s="4"/>
      <c r="CM301" s="1841"/>
      <c r="CN301" s="1"/>
      <c r="CO301" s="140"/>
      <c r="CP301" s="4"/>
      <c r="CQ301" s="4"/>
      <c r="CR301" s="4"/>
      <c r="CS301" s="1841"/>
      <c r="CT301" s="60"/>
      <c r="CU301" s="60"/>
      <c r="CV301" s="60"/>
      <c r="CW301" s="60"/>
      <c r="CX301" s="60"/>
      <c r="CY301" s="60"/>
      <c r="CZ301" s="60"/>
      <c r="DA301" s="60"/>
      <c r="DB301" s="60"/>
      <c r="DC301" s="60"/>
      <c r="DD301" s="60"/>
      <c r="DE301" s="60"/>
      <c r="DF301" s="60"/>
      <c r="DG301" s="60"/>
      <c r="DH301" s="60"/>
      <c r="DI301" s="68"/>
      <c r="DJ301" s="68"/>
      <c r="DK301" s="68"/>
      <c r="DL301" s="68"/>
      <c r="DM301" s="68"/>
      <c r="DN301" s="68"/>
      <c r="DO301" s="68"/>
      <c r="DP301" s="68"/>
      <c r="DQ301" s="68"/>
      <c r="DR301" s="68"/>
      <c r="DS301" s="68"/>
      <c r="DT301" s="68"/>
    </row>
    <row r="302" spans="1:124">
      <c r="A302" s="63" t="s">
        <v>433</v>
      </c>
      <c r="B302" s="63"/>
      <c r="C302" s="1018"/>
      <c r="D302" s="951"/>
      <c r="E302" s="951"/>
      <c r="F302" s="951"/>
      <c r="G302" s="224"/>
      <c r="H302" s="1121"/>
      <c r="I302" s="1018"/>
      <c r="M302" s="224"/>
      <c r="N302" s="1121"/>
      <c r="O302" s="1018"/>
      <c r="P302" s="951"/>
      <c r="Q302" s="951"/>
      <c r="R302" s="951"/>
      <c r="S302" s="224"/>
      <c r="T302" s="1121"/>
      <c r="U302" s="1018"/>
      <c r="V302" s="951"/>
      <c r="W302" s="951"/>
      <c r="X302" s="951"/>
      <c r="Y302" s="224"/>
      <c r="Z302" s="1121"/>
      <c r="AA302" s="1018"/>
      <c r="AB302" s="951"/>
      <c r="AC302" s="951"/>
      <c r="AD302" s="951"/>
      <c r="AE302" s="224"/>
      <c r="AF302" s="1121"/>
      <c r="AG302" s="1018"/>
      <c r="AH302" s="951"/>
      <c r="AI302" s="951"/>
      <c r="AJ302" s="1847"/>
      <c r="AK302" s="736"/>
      <c r="AL302" s="63"/>
      <c r="AM302" s="1842">
        <f t="shared" ref="AM302:AP304" si="938">+AM295+AG295</f>
        <v>0.28000000000000003</v>
      </c>
      <c r="AN302" s="777">
        <f t="shared" si="938"/>
        <v>0.4</v>
      </c>
      <c r="AO302" s="777">
        <f t="shared" si="938"/>
        <v>0.44</v>
      </c>
      <c r="AP302" s="777">
        <f t="shared" si="938"/>
        <v>0.53500000000000003</v>
      </c>
      <c r="AQ302" s="736"/>
      <c r="AR302" s="63"/>
      <c r="AS302" s="1842">
        <f t="shared" ref="AS302:AV304" si="939">+AS295+AM295</f>
        <v>0.52</v>
      </c>
      <c r="AT302" s="215">
        <f t="shared" si="939"/>
        <v>0.41000000000000003</v>
      </c>
      <c r="AU302" s="215">
        <f t="shared" si="939"/>
        <v>0.62</v>
      </c>
      <c r="AV302" s="1846">
        <f t="shared" si="939"/>
        <v>0.65</v>
      </c>
      <c r="AW302" s="1841"/>
      <c r="AX302" s="1"/>
      <c r="AY302" s="1842">
        <f t="shared" ref="AY302:BB304" si="940">+AY295+AS295</f>
        <v>0.56000000000000005</v>
      </c>
      <c r="AZ302" s="215">
        <f t="shared" si="940"/>
        <v>0.51</v>
      </c>
      <c r="BA302" s="215">
        <f t="shared" si="940"/>
        <v>0.59</v>
      </c>
      <c r="BB302" s="215">
        <f t="shared" si="940"/>
        <v>0.59000000000000008</v>
      </c>
      <c r="BC302" s="1841"/>
      <c r="BD302" s="1"/>
      <c r="BE302" s="2315" t="s">
        <v>258</v>
      </c>
      <c r="BF302" s="1703">
        <f t="shared" ref="BF302:BH304" si="941">+BF295+AZ295</f>
        <v>0.45</v>
      </c>
      <c r="BG302" s="1703">
        <f t="shared" si="941"/>
        <v>0.24</v>
      </c>
      <c r="BH302" s="1703">
        <f t="shared" si="941"/>
        <v>0.21</v>
      </c>
      <c r="BI302" s="1841"/>
      <c r="BJ302" s="1"/>
      <c r="BK302" s="2315">
        <f t="shared" ref="BK302:BN305" si="942">+BK295+BE295</f>
        <v>0.18000000000000002</v>
      </c>
      <c r="BL302" s="1703">
        <f t="shared" si="942"/>
        <v>0.21000000000000002</v>
      </c>
      <c r="BM302" s="1703">
        <f t="shared" si="942"/>
        <v>0.22</v>
      </c>
      <c r="BN302" s="1703">
        <f t="shared" si="942"/>
        <v>0.28000000000000003</v>
      </c>
      <c r="BO302" s="1841"/>
      <c r="BP302" s="1"/>
      <c r="BQ302" s="2315">
        <f t="shared" ref="BQ302:BQ305" si="943">+BQ295+BK295</f>
        <v>0.31</v>
      </c>
      <c r="BR302" s="4"/>
      <c r="BS302" s="4"/>
      <c r="BT302" s="4"/>
      <c r="BU302" s="1841"/>
      <c r="BV302" s="1"/>
      <c r="BW302" s="140"/>
      <c r="BX302" s="4"/>
      <c r="BY302" s="4"/>
      <c r="BZ302" s="4"/>
      <c r="CA302" s="1841"/>
      <c r="CB302" s="1"/>
      <c r="CC302" s="140"/>
      <c r="CD302" s="4"/>
      <c r="CE302" s="4"/>
      <c r="CF302" s="4"/>
      <c r="CG302" s="1841"/>
      <c r="CH302" s="1"/>
      <c r="CI302" s="140"/>
      <c r="CJ302" s="4"/>
      <c r="CK302" s="4"/>
      <c r="CL302" s="4"/>
      <c r="CM302" s="1841"/>
      <c r="CN302" s="1"/>
      <c r="CO302" s="140"/>
      <c r="CP302" s="4"/>
      <c r="CQ302" s="4"/>
      <c r="CR302" s="4"/>
      <c r="CS302" s="1841"/>
      <c r="CT302" s="60"/>
      <c r="CU302" s="60"/>
      <c r="CV302" s="60"/>
      <c r="CW302" s="60"/>
      <c r="CX302" s="60"/>
      <c r="CY302" s="60"/>
      <c r="CZ302" s="60"/>
      <c r="DA302" s="60"/>
      <c r="DB302" s="60"/>
      <c r="DC302" s="60"/>
      <c r="DD302" s="60"/>
      <c r="DE302" s="60"/>
      <c r="DF302" s="60"/>
      <c r="DG302" s="60"/>
      <c r="DH302" s="60"/>
      <c r="DI302" s="68"/>
      <c r="DJ302" s="68"/>
      <c r="DK302" s="68"/>
      <c r="DL302" s="68"/>
      <c r="DM302" s="68"/>
      <c r="DN302" s="68"/>
      <c r="DO302" s="68"/>
      <c r="DP302" s="68"/>
      <c r="DQ302" s="68"/>
      <c r="DR302" s="68"/>
      <c r="DS302" s="68"/>
      <c r="DT302" s="68"/>
    </row>
    <row r="303" spans="1:124">
      <c r="A303" s="63" t="s">
        <v>361</v>
      </c>
      <c r="B303" s="63"/>
      <c r="C303" s="1018"/>
      <c r="D303" s="951"/>
      <c r="E303" s="951"/>
      <c r="F303" s="951"/>
      <c r="G303" s="224"/>
      <c r="H303" s="1121"/>
      <c r="I303" s="1018"/>
      <c r="M303" s="224"/>
      <c r="N303" s="1121"/>
      <c r="O303" s="1018"/>
      <c r="P303" s="951"/>
      <c r="Q303" s="951"/>
      <c r="R303" s="951"/>
      <c r="S303" s="224"/>
      <c r="T303" s="1121"/>
      <c r="U303" s="1018"/>
      <c r="V303" s="951"/>
      <c r="W303" s="951"/>
      <c r="X303" s="951"/>
      <c r="Y303" s="224"/>
      <c r="Z303" s="1121"/>
      <c r="AA303" s="1018"/>
      <c r="AB303" s="951"/>
      <c r="AC303" s="951"/>
      <c r="AD303" s="951"/>
      <c r="AE303" s="224"/>
      <c r="AF303" s="1121"/>
      <c r="AG303" s="1018"/>
      <c r="AH303" s="951"/>
      <c r="AI303" s="951"/>
      <c r="AJ303" s="1847"/>
      <c r="AK303" s="736"/>
      <c r="AL303" s="63"/>
      <c r="AM303" s="1842">
        <f t="shared" si="938"/>
        <v>0.16</v>
      </c>
      <c r="AN303" s="777">
        <f t="shared" si="938"/>
        <v>0.19</v>
      </c>
      <c r="AO303" s="777">
        <f t="shared" si="938"/>
        <v>0.46</v>
      </c>
      <c r="AP303" s="777">
        <f t="shared" si="938"/>
        <v>0.45</v>
      </c>
      <c r="AQ303" s="736"/>
      <c r="AR303" s="63"/>
      <c r="AS303" s="1842">
        <f t="shared" si="939"/>
        <v>0.48</v>
      </c>
      <c r="AT303" s="215">
        <f t="shared" si="939"/>
        <v>0.64</v>
      </c>
      <c r="AU303" s="215">
        <f t="shared" si="939"/>
        <v>0.67</v>
      </c>
      <c r="AV303" s="1846">
        <f t="shared" si="939"/>
        <v>0.52</v>
      </c>
      <c r="AW303" s="1841"/>
      <c r="AX303" s="1"/>
      <c r="AY303" s="1842">
        <f t="shared" si="940"/>
        <v>0.62</v>
      </c>
      <c r="AZ303" s="215">
        <f t="shared" si="940"/>
        <v>0.61</v>
      </c>
      <c r="BA303" s="215">
        <f t="shared" si="940"/>
        <v>0.46</v>
      </c>
      <c r="BB303" s="215">
        <f t="shared" si="940"/>
        <v>0.38</v>
      </c>
      <c r="BC303" s="1841"/>
      <c r="BD303" s="1"/>
      <c r="BE303" s="2315" t="s">
        <v>258</v>
      </c>
      <c r="BF303" s="1703">
        <f t="shared" si="941"/>
        <v>0.12</v>
      </c>
      <c r="BG303" s="1703">
        <f t="shared" si="941"/>
        <v>0.22</v>
      </c>
      <c r="BH303" s="1703">
        <f t="shared" si="941"/>
        <v>0.16</v>
      </c>
      <c r="BI303" s="1841"/>
      <c r="BJ303" s="1"/>
      <c r="BK303" s="2315">
        <f t="shared" si="942"/>
        <v>-0.04</v>
      </c>
      <c r="BL303" s="1703">
        <f t="shared" si="942"/>
        <v>0.10999999999999999</v>
      </c>
      <c r="BM303" s="1703">
        <f t="shared" si="942"/>
        <v>0.31</v>
      </c>
      <c r="BN303" s="1703">
        <f t="shared" si="942"/>
        <v>0.36</v>
      </c>
      <c r="BO303" s="1841"/>
      <c r="BP303" s="1"/>
      <c r="BQ303" s="2315">
        <f t="shared" si="943"/>
        <v>0.48</v>
      </c>
      <c r="BR303" s="4"/>
      <c r="BS303" s="4"/>
      <c r="BT303" s="4"/>
      <c r="BU303" s="1841"/>
      <c r="BV303" s="1"/>
      <c r="BW303" s="140"/>
      <c r="BX303" s="4"/>
      <c r="BY303" s="4"/>
      <c r="BZ303" s="4"/>
      <c r="CA303" s="1841"/>
      <c r="CB303" s="1"/>
      <c r="CC303" s="140"/>
      <c r="CD303" s="4"/>
      <c r="CE303" s="4"/>
      <c r="CF303" s="4"/>
      <c r="CG303" s="1841"/>
      <c r="CH303" s="1"/>
      <c r="CI303" s="140"/>
      <c r="CJ303" s="4"/>
      <c r="CK303" s="4"/>
      <c r="CL303" s="4"/>
      <c r="CM303" s="1841"/>
      <c r="CN303" s="1"/>
      <c r="CO303" s="140"/>
      <c r="CP303" s="4"/>
      <c r="CQ303" s="4"/>
      <c r="CR303" s="4"/>
      <c r="CS303" s="1841"/>
      <c r="CT303" s="60"/>
      <c r="CU303" s="60"/>
      <c r="CV303" s="60"/>
      <c r="CW303" s="60"/>
      <c r="CX303" s="60"/>
      <c r="CY303" s="60"/>
      <c r="CZ303" s="60"/>
      <c r="DA303" s="60"/>
      <c r="DB303" s="60"/>
      <c r="DC303" s="60"/>
      <c r="DD303" s="60"/>
      <c r="DE303" s="60"/>
      <c r="DF303" s="60"/>
      <c r="DG303" s="60"/>
      <c r="DH303" s="60"/>
      <c r="DI303" s="68"/>
      <c r="DJ303" s="68"/>
      <c r="DK303" s="68"/>
      <c r="DL303" s="68"/>
      <c r="DM303" s="68"/>
      <c r="DN303" s="68"/>
      <c r="DO303" s="68"/>
      <c r="DP303" s="68"/>
      <c r="DQ303" s="68"/>
      <c r="DR303" s="68"/>
      <c r="DS303" s="68"/>
      <c r="DT303" s="68"/>
    </row>
    <row r="304" spans="1:124">
      <c r="A304" s="63" t="s">
        <v>435</v>
      </c>
      <c r="B304" s="63"/>
      <c r="C304" s="1018"/>
      <c r="D304" s="951"/>
      <c r="E304" s="951"/>
      <c r="F304" s="951"/>
      <c r="G304" s="224"/>
      <c r="H304" s="63"/>
      <c r="I304" s="1018"/>
      <c r="J304" s="951"/>
      <c r="K304" s="951"/>
      <c r="L304" s="951"/>
      <c r="M304" s="224"/>
      <c r="N304" s="1121"/>
      <c r="O304" s="1018"/>
      <c r="P304" s="951"/>
      <c r="Q304" s="951"/>
      <c r="R304" s="951"/>
      <c r="S304" s="224"/>
      <c r="T304" s="1121"/>
      <c r="U304" s="1018"/>
      <c r="V304" s="951"/>
      <c r="W304" s="951"/>
      <c r="X304" s="951"/>
      <c r="Y304" s="224"/>
      <c r="Z304" s="1121"/>
      <c r="AA304" s="1018"/>
      <c r="AB304" s="951"/>
      <c r="AC304" s="951"/>
      <c r="AD304" s="951"/>
      <c r="AE304" s="224"/>
      <c r="AF304" s="1121"/>
      <c r="AG304" s="1018"/>
      <c r="AH304" s="951"/>
      <c r="AI304" s="951"/>
      <c r="AJ304" s="1847"/>
      <c r="AK304" s="736"/>
      <c r="AL304" s="63"/>
      <c r="AM304" s="1842">
        <f t="shared" si="938"/>
        <v>0.41000000000000003</v>
      </c>
      <c r="AN304" s="777">
        <f t="shared" si="938"/>
        <v>0.36</v>
      </c>
      <c r="AO304" s="777">
        <f t="shared" si="938"/>
        <v>0.43</v>
      </c>
      <c r="AP304" s="777">
        <f t="shared" si="938"/>
        <v>0.32999999999999996</v>
      </c>
      <c r="AQ304" s="736"/>
      <c r="AR304" s="63"/>
      <c r="AS304" s="1842">
        <f t="shared" si="939"/>
        <v>0.43</v>
      </c>
      <c r="AT304" s="215">
        <f t="shared" si="939"/>
        <v>0.86</v>
      </c>
      <c r="AU304" s="215">
        <f t="shared" si="939"/>
        <v>0.49</v>
      </c>
      <c r="AV304" s="1846">
        <f t="shared" si="939"/>
        <v>0.28999999999999998</v>
      </c>
      <c r="AW304" s="1841"/>
      <c r="AX304" s="1"/>
      <c r="AY304" s="1842">
        <f t="shared" si="940"/>
        <v>0.32</v>
      </c>
      <c r="AZ304" s="215">
        <f t="shared" si="940"/>
        <v>0.52</v>
      </c>
      <c r="BA304" s="215">
        <f t="shared" si="940"/>
        <v>0.27</v>
      </c>
      <c r="BB304" s="215">
        <f t="shared" si="940"/>
        <v>0.18</v>
      </c>
      <c r="BC304" s="1841"/>
      <c r="BD304" s="1"/>
      <c r="BE304" s="2315" t="s">
        <v>258</v>
      </c>
      <c r="BF304" s="1703">
        <f t="shared" si="941"/>
        <v>0.31</v>
      </c>
      <c r="BG304" s="1703">
        <f t="shared" si="941"/>
        <v>0.35</v>
      </c>
      <c r="BH304" s="1703">
        <f t="shared" si="941"/>
        <v>0.39</v>
      </c>
      <c r="BI304" s="1841"/>
      <c r="BJ304" s="1"/>
      <c r="BK304" s="2315">
        <f t="shared" si="942"/>
        <v>9.9999999999999992E-2</v>
      </c>
      <c r="BL304" s="1703">
        <f t="shared" si="942"/>
        <v>0.41</v>
      </c>
      <c r="BM304" s="1703">
        <f t="shared" si="942"/>
        <v>0.5</v>
      </c>
      <c r="BN304" s="1703">
        <f t="shared" si="942"/>
        <v>0.38</v>
      </c>
      <c r="BO304" s="1841"/>
      <c r="BP304" s="1"/>
      <c r="BQ304" s="2315">
        <f t="shared" si="943"/>
        <v>0.36</v>
      </c>
      <c r="BR304" s="4"/>
      <c r="BS304" s="4"/>
      <c r="BT304" s="4"/>
      <c r="BU304" s="1841"/>
      <c r="BV304" s="1"/>
      <c r="BW304" s="140"/>
      <c r="BX304" s="4"/>
      <c r="BY304" s="4"/>
      <c r="BZ304" s="4"/>
      <c r="CA304" s="1841"/>
      <c r="CB304" s="1"/>
      <c r="CC304" s="140"/>
      <c r="CD304" s="4"/>
      <c r="CE304" s="4"/>
      <c r="CF304" s="4"/>
      <c r="CG304" s="1841"/>
      <c r="CH304" s="1"/>
      <c r="CI304" s="140"/>
      <c r="CJ304" s="4"/>
      <c r="CK304" s="4"/>
      <c r="CL304" s="4"/>
      <c r="CM304" s="1841"/>
      <c r="CN304" s="1"/>
      <c r="CO304" s="140"/>
      <c r="CP304" s="4"/>
      <c r="CQ304" s="4"/>
      <c r="CR304" s="4"/>
      <c r="CS304" s="1841"/>
      <c r="CT304" s="60"/>
      <c r="CU304" s="60"/>
      <c r="CV304" s="60"/>
      <c r="CW304" s="60"/>
      <c r="CX304" s="60"/>
      <c r="CY304" s="60"/>
      <c r="CZ304" s="60"/>
      <c r="DA304" s="60"/>
      <c r="DB304" s="60"/>
      <c r="DC304" s="60"/>
      <c r="DD304" s="60"/>
      <c r="DE304" s="60"/>
      <c r="DF304" s="60"/>
      <c r="DG304" s="60"/>
      <c r="DH304" s="60"/>
      <c r="DI304" s="68"/>
      <c r="DJ304" s="68"/>
      <c r="DK304" s="68"/>
      <c r="DL304" s="68"/>
      <c r="DM304" s="68"/>
      <c r="DN304" s="68"/>
      <c r="DO304" s="68"/>
      <c r="DP304" s="68"/>
      <c r="DQ304" s="68"/>
      <c r="DR304" s="68"/>
      <c r="DS304" s="68"/>
      <c r="DT304" s="68"/>
    </row>
    <row r="305" spans="1:124">
      <c r="A305" s="63" t="s">
        <v>434</v>
      </c>
      <c r="B305" s="63"/>
      <c r="C305" s="1018"/>
      <c r="D305" s="951"/>
      <c r="E305" s="951"/>
      <c r="F305" s="951"/>
      <c r="G305" s="224"/>
      <c r="H305" s="63"/>
      <c r="I305" s="1018"/>
      <c r="J305" s="951"/>
      <c r="K305" s="951"/>
      <c r="L305" s="951"/>
      <c r="M305" s="224"/>
      <c r="N305" s="1121"/>
      <c r="O305" s="1018"/>
      <c r="P305" s="951"/>
      <c r="Q305" s="951"/>
      <c r="R305" s="951"/>
      <c r="S305" s="224"/>
      <c r="T305" s="1121"/>
      <c r="U305" s="1018"/>
      <c r="V305" s="951"/>
      <c r="W305" s="951"/>
      <c r="X305" s="951"/>
      <c r="Y305" s="224"/>
      <c r="Z305" s="1121"/>
      <c r="AA305" s="1018"/>
      <c r="AB305" s="951"/>
      <c r="AC305" s="951"/>
      <c r="AD305" s="951"/>
      <c r="AE305" s="224"/>
      <c r="AF305" s="1121"/>
      <c r="AG305" s="1018"/>
      <c r="AH305" s="951"/>
      <c r="AI305" s="951"/>
      <c r="AJ305" s="1847"/>
      <c r="AK305" s="736"/>
      <c r="AL305" s="63"/>
      <c r="AM305" s="752"/>
      <c r="AN305" s="60"/>
      <c r="AO305" s="60"/>
      <c r="AP305" s="1847"/>
      <c r="AQ305" s="736"/>
      <c r="AR305" s="63"/>
      <c r="AS305" s="752"/>
      <c r="AT305" s="60"/>
      <c r="AU305" s="60"/>
      <c r="AV305" s="1397"/>
      <c r="AW305" s="1841"/>
      <c r="AX305" s="1"/>
      <c r="AY305" s="752"/>
      <c r="AZ305" s="4"/>
      <c r="BA305" s="4"/>
      <c r="BB305" s="4"/>
      <c r="BC305" s="1841"/>
      <c r="BD305" s="1"/>
      <c r="BE305" s="140"/>
      <c r="BF305" s="4"/>
      <c r="BG305" s="4"/>
      <c r="BH305" s="4"/>
      <c r="BI305" s="1841"/>
      <c r="BJ305" s="1"/>
      <c r="BK305" s="140"/>
      <c r="BL305" s="1703">
        <f t="shared" si="942"/>
        <v>0.86</v>
      </c>
      <c r="BM305" s="1703">
        <f t="shared" si="942"/>
        <v>1.2</v>
      </c>
      <c r="BN305" s="1703">
        <f t="shared" si="942"/>
        <v>0.62</v>
      </c>
      <c r="BO305" s="1841"/>
      <c r="BP305" s="1"/>
      <c r="BQ305" s="2315">
        <f t="shared" si="943"/>
        <v>0.73</v>
      </c>
      <c r="BR305" s="4"/>
      <c r="BS305" s="4"/>
      <c r="BT305" s="4"/>
      <c r="BU305" s="1841"/>
      <c r="BV305" s="1"/>
      <c r="BW305" s="140"/>
      <c r="BX305" s="4"/>
      <c r="BY305" s="4"/>
      <c r="BZ305" s="4"/>
      <c r="CA305" s="1841"/>
      <c r="CB305" s="1"/>
      <c r="CC305" s="140"/>
      <c r="CD305" s="4"/>
      <c r="CE305" s="4"/>
      <c r="CF305" s="4"/>
      <c r="CG305" s="1841"/>
      <c r="CH305" s="1"/>
      <c r="CI305" s="140"/>
      <c r="CJ305" s="4"/>
      <c r="CK305" s="4"/>
      <c r="CL305" s="4"/>
      <c r="CM305" s="1841"/>
      <c r="CN305" s="1"/>
      <c r="CO305" s="140"/>
      <c r="CP305" s="4"/>
      <c r="CQ305" s="4"/>
      <c r="CR305" s="4"/>
      <c r="CS305" s="1841"/>
      <c r="CT305" s="60"/>
      <c r="CU305" s="60"/>
      <c r="CV305" s="60"/>
      <c r="CW305" s="60"/>
      <c r="CX305" s="60"/>
      <c r="CY305" s="60"/>
      <c r="CZ305" s="60"/>
      <c r="DA305" s="60"/>
      <c r="DB305" s="60"/>
      <c r="DC305" s="60"/>
      <c r="DD305" s="60"/>
      <c r="DE305" s="60"/>
      <c r="DF305" s="60"/>
      <c r="DG305" s="60"/>
      <c r="DH305" s="60"/>
      <c r="DI305" s="68"/>
      <c r="DJ305" s="68"/>
      <c r="DK305" s="68"/>
      <c r="DL305" s="68"/>
      <c r="DM305" s="68"/>
      <c r="DN305" s="68"/>
      <c r="DO305" s="68"/>
      <c r="DP305" s="68"/>
      <c r="DQ305" s="68"/>
      <c r="DR305" s="68"/>
      <c r="DS305" s="68"/>
      <c r="DT305" s="68"/>
    </row>
    <row r="306" spans="1:124">
      <c r="A306" s="63" t="s">
        <v>439</v>
      </c>
      <c r="B306" s="63"/>
      <c r="C306" s="1018"/>
      <c r="D306" s="951"/>
      <c r="E306" s="951"/>
      <c r="F306" s="951"/>
      <c r="G306" s="224"/>
      <c r="H306" s="63"/>
      <c r="I306" s="1018"/>
      <c r="J306" s="951"/>
      <c r="K306" s="951"/>
      <c r="L306" s="951"/>
      <c r="M306" s="224"/>
      <c r="N306" s="1121"/>
      <c r="O306" s="1018"/>
      <c r="P306" s="951"/>
      <c r="Q306" s="951"/>
      <c r="R306" s="951"/>
      <c r="S306" s="224"/>
      <c r="T306" s="1121"/>
      <c r="U306" s="1018"/>
      <c r="V306" s="951"/>
      <c r="W306" s="951"/>
      <c r="X306" s="951"/>
      <c r="Y306" s="224"/>
      <c r="Z306" s="1121"/>
      <c r="AA306" s="1018"/>
      <c r="AB306" s="951"/>
      <c r="AC306" s="951"/>
      <c r="AD306" s="951"/>
      <c r="AE306" s="224"/>
      <c r="AF306" s="1121"/>
      <c r="AG306" s="1018"/>
      <c r="AH306" s="951"/>
      <c r="AI306" s="951"/>
      <c r="AJ306" s="1847"/>
      <c r="AK306" s="736"/>
      <c r="AL306" s="63"/>
      <c r="AM306" s="752"/>
      <c r="AN306" s="60"/>
      <c r="AO306" s="60"/>
      <c r="AP306" s="1847"/>
      <c r="AQ306" s="736"/>
      <c r="AR306" s="63"/>
      <c r="AS306" s="752"/>
      <c r="AT306" s="60"/>
      <c r="AU306" s="60"/>
      <c r="AV306" s="1397"/>
      <c r="AW306" s="1841"/>
      <c r="AX306" s="1"/>
      <c r="AY306" s="752"/>
      <c r="AZ306" s="4"/>
      <c r="BA306" s="4"/>
      <c r="BB306" s="4"/>
      <c r="BC306" s="1841"/>
      <c r="BD306" s="1"/>
      <c r="BE306" s="140"/>
      <c r="BF306" s="4"/>
      <c r="BG306" s="4"/>
      <c r="BH306" s="4"/>
      <c r="BI306" s="1841"/>
      <c r="BJ306" s="1"/>
      <c r="BK306" s="140"/>
      <c r="BL306" s="4"/>
      <c r="BM306" s="4"/>
      <c r="BN306" s="4"/>
      <c r="BO306" s="1841"/>
      <c r="BP306" s="1"/>
      <c r="BQ306" s="140"/>
      <c r="BR306" s="4"/>
      <c r="BS306" s="4"/>
      <c r="BT306" s="4"/>
      <c r="BU306" s="1841"/>
      <c r="BV306" s="1"/>
      <c r="BW306" s="140"/>
      <c r="BX306" s="4"/>
      <c r="BY306" s="4"/>
      <c r="BZ306" s="4"/>
      <c r="CA306" s="1841"/>
      <c r="CB306" s="1"/>
      <c r="CC306" s="140"/>
      <c r="CD306" s="4"/>
      <c r="CE306" s="4"/>
      <c r="CF306" s="4"/>
      <c r="CG306" s="1841"/>
      <c r="CH306" s="1"/>
      <c r="CI306" s="140"/>
      <c r="CJ306" s="4"/>
      <c r="CK306" s="4"/>
      <c r="CL306" s="4"/>
      <c r="CM306" s="1841"/>
      <c r="CN306" s="1"/>
      <c r="CO306" s="140"/>
      <c r="CP306" s="4"/>
      <c r="CQ306" s="4"/>
      <c r="CR306" s="4"/>
      <c r="CS306" s="1841"/>
      <c r="CT306" s="60"/>
      <c r="CU306" s="60"/>
      <c r="CV306" s="60"/>
      <c r="CW306" s="60"/>
      <c r="CX306" s="60"/>
      <c r="CY306" s="60"/>
      <c r="CZ306" s="60"/>
      <c r="DA306" s="60"/>
      <c r="DB306" s="60"/>
      <c r="DC306" s="60"/>
      <c r="DD306" s="60"/>
      <c r="DE306" s="60"/>
      <c r="DF306" s="60"/>
      <c r="DG306" s="60"/>
      <c r="DH306" s="60"/>
      <c r="DI306" s="68"/>
      <c r="DJ306" s="68"/>
      <c r="DK306" s="68"/>
      <c r="DL306" s="68"/>
      <c r="DM306" s="68"/>
      <c r="DN306" s="68"/>
      <c r="DO306" s="68"/>
      <c r="DP306" s="68"/>
      <c r="DQ306" s="68"/>
      <c r="DR306" s="68"/>
      <c r="DS306" s="68"/>
      <c r="DT306" s="68"/>
    </row>
    <row r="307" spans="1:124">
      <c r="A307" s="63"/>
      <c r="B307" s="63"/>
      <c r="C307" s="1018"/>
      <c r="D307" s="951"/>
      <c r="E307" s="951"/>
      <c r="F307" s="951"/>
      <c r="G307" s="224"/>
      <c r="H307" s="63"/>
      <c r="I307" s="1018"/>
      <c r="J307" s="951"/>
      <c r="K307" s="951"/>
      <c r="L307" s="951"/>
      <c r="M307" s="224"/>
      <c r="N307" s="1121"/>
      <c r="O307" s="1018"/>
      <c r="P307" s="951"/>
      <c r="Q307" s="951"/>
      <c r="R307" s="951"/>
      <c r="S307" s="224"/>
      <c r="T307" s="1121"/>
      <c r="U307" s="1018"/>
      <c r="V307" s="951"/>
      <c r="W307" s="951"/>
      <c r="X307" s="951"/>
      <c r="Y307" s="224"/>
      <c r="Z307" s="1121"/>
      <c r="AA307" s="1018"/>
      <c r="AB307" s="951"/>
      <c r="AC307" s="951"/>
      <c r="AD307" s="951"/>
      <c r="AE307" s="224"/>
      <c r="AF307" s="1121"/>
      <c r="AG307" s="1018"/>
      <c r="AH307" s="951"/>
      <c r="AI307" s="951"/>
      <c r="AJ307" s="1847"/>
      <c r="AK307" s="736"/>
      <c r="AL307" s="63"/>
      <c r="AM307" s="752"/>
      <c r="AN307" s="60"/>
      <c r="AO307" s="60"/>
      <c r="AP307" s="1847"/>
      <c r="AQ307" s="736"/>
      <c r="AR307" s="63"/>
      <c r="AS307" s="752"/>
      <c r="AT307" s="60"/>
      <c r="AU307" s="60"/>
      <c r="AV307" s="1397"/>
      <c r="AW307" s="1841"/>
      <c r="AX307" s="1"/>
      <c r="AY307" s="752"/>
      <c r="AZ307" s="4"/>
      <c r="BA307" s="4"/>
      <c r="BB307" s="4"/>
      <c r="BC307" s="1841"/>
      <c r="BD307" s="1"/>
      <c r="BE307" s="140"/>
      <c r="BF307" s="4"/>
      <c r="BG307" s="4"/>
      <c r="BH307" s="4"/>
      <c r="BI307" s="1841"/>
      <c r="BJ307" s="1"/>
      <c r="BK307" s="140"/>
      <c r="BL307" s="4"/>
      <c r="BM307" s="4"/>
      <c r="BN307" s="4"/>
      <c r="BO307" s="1841"/>
      <c r="BP307" s="1"/>
      <c r="BQ307" s="140"/>
      <c r="BR307" s="4"/>
      <c r="BS307" s="4"/>
      <c r="BT307" s="4"/>
      <c r="BU307" s="1841"/>
      <c r="BV307" s="1"/>
      <c r="BW307" s="140"/>
      <c r="BX307" s="4"/>
      <c r="BY307" s="4"/>
      <c r="BZ307" s="4"/>
      <c r="CA307" s="1841"/>
      <c r="CB307" s="1"/>
      <c r="CC307" s="140"/>
      <c r="CD307" s="4"/>
      <c r="CE307" s="4"/>
      <c r="CF307" s="4"/>
      <c r="CG307" s="1841"/>
      <c r="CH307" s="1"/>
      <c r="CI307" s="140"/>
      <c r="CJ307" s="4"/>
      <c r="CK307" s="4"/>
      <c r="CL307" s="4"/>
      <c r="CM307" s="1841"/>
      <c r="CN307" s="1"/>
      <c r="CO307" s="140"/>
      <c r="CP307" s="4"/>
      <c r="CQ307" s="4"/>
      <c r="CR307" s="4"/>
      <c r="CS307" s="1841"/>
      <c r="CT307" s="60"/>
      <c r="CU307" s="60"/>
      <c r="CV307" s="60"/>
      <c r="CW307" s="60"/>
      <c r="CX307" s="2321" t="s">
        <v>715</v>
      </c>
      <c r="CY307" s="2322"/>
      <c r="CZ307" s="2322"/>
      <c r="DA307" s="2322"/>
      <c r="DB307" s="2322"/>
      <c r="DC307" s="2322"/>
      <c r="DD307" s="2322"/>
      <c r="DE307" s="2322"/>
      <c r="DF307" s="2322"/>
      <c r="DG307" s="2325">
        <f>$M$314</f>
        <v>113</v>
      </c>
      <c r="DH307" s="2325">
        <f>$S$314</f>
        <v>157.6</v>
      </c>
      <c r="DI307" s="2325">
        <f>$Y$314</f>
        <v>264</v>
      </c>
      <c r="DJ307" s="2325">
        <f>$AE$314</f>
        <v>250.5</v>
      </c>
      <c r="DK307" s="2325">
        <f>AK314</f>
        <v>260</v>
      </c>
      <c r="DL307" s="2325">
        <f>AQ314</f>
        <v>330</v>
      </c>
      <c r="DM307" s="2325">
        <f>AW314</f>
        <v>410</v>
      </c>
      <c r="DN307" s="2325">
        <f>BC314</f>
        <v>430</v>
      </c>
      <c r="DO307" s="2325">
        <f>BI314</f>
        <v>520</v>
      </c>
      <c r="DP307" s="2325">
        <f>BO314</f>
        <v>805</v>
      </c>
      <c r="DQ307" s="68"/>
      <c r="DR307" s="68"/>
      <c r="DS307" s="68"/>
      <c r="DT307" s="68"/>
    </row>
    <row r="308" spans="1:124">
      <c r="A308" s="1042" t="s">
        <v>501</v>
      </c>
      <c r="B308" s="1100"/>
      <c r="C308" s="1075"/>
      <c r="D308" s="1076"/>
      <c r="E308" s="1076"/>
      <c r="F308" s="1076"/>
      <c r="G308" s="1073"/>
      <c r="H308" s="1102"/>
      <c r="I308" s="1075"/>
      <c r="J308" s="1076"/>
      <c r="K308" s="1076"/>
      <c r="L308" s="1076"/>
      <c r="M308" s="1073"/>
      <c r="N308" s="1102"/>
      <c r="O308" s="1075"/>
      <c r="P308" s="1076"/>
      <c r="Q308" s="1076"/>
      <c r="R308" s="1076"/>
      <c r="S308" s="1073"/>
      <c r="T308" s="1102"/>
      <c r="U308" s="1075"/>
      <c r="V308" s="1076"/>
      <c r="W308" s="1076"/>
      <c r="X308" s="1076"/>
      <c r="Y308" s="1073"/>
      <c r="Z308" s="1107"/>
      <c r="AA308" s="1075"/>
      <c r="AB308" s="1076"/>
      <c r="AC308" s="1076"/>
      <c r="AD308" s="1076"/>
      <c r="AE308" s="1073"/>
      <c r="AF308" s="1107"/>
      <c r="AG308" s="1077"/>
      <c r="AH308" s="1074"/>
      <c r="AI308" s="1074"/>
      <c r="AJ308" s="1078"/>
      <c r="AK308" s="1079"/>
      <c r="AL308" s="1107"/>
      <c r="AM308" s="1077"/>
      <c r="AN308" s="1074"/>
      <c r="AO308" s="1074"/>
      <c r="AP308" s="1078"/>
      <c r="AQ308" s="1073"/>
      <c r="AR308" s="1107"/>
      <c r="AS308" s="1443"/>
      <c r="AT308" s="1074"/>
      <c r="AU308" s="1074"/>
      <c r="AV308" s="1714"/>
      <c r="AW308" s="1080"/>
      <c r="AX308" s="1733"/>
      <c r="AY308" s="1443"/>
      <c r="AZ308" s="1713"/>
      <c r="BA308" s="1713"/>
      <c r="BB308" s="1713"/>
      <c r="BC308" s="1080"/>
      <c r="BD308" s="1733"/>
      <c r="BE308" s="1443"/>
      <c r="BF308" s="1713"/>
      <c r="BG308" s="1713"/>
      <c r="BH308" s="1713"/>
      <c r="BI308" s="1080"/>
      <c r="BJ308" s="1733"/>
      <c r="BK308" s="1443"/>
      <c r="BL308" s="1713"/>
      <c r="BM308" s="1713"/>
      <c r="BN308" s="1713"/>
      <c r="BO308" s="1080"/>
      <c r="BP308" s="1733"/>
      <c r="BQ308" s="1443"/>
      <c r="BR308" s="1713"/>
      <c r="BS308" s="1713"/>
      <c r="BT308" s="1713"/>
      <c r="BU308" s="1080"/>
      <c r="BV308" s="1733"/>
      <c r="BW308" s="1443"/>
      <c r="BX308" s="1713"/>
      <c r="BY308" s="1713"/>
      <c r="BZ308" s="1713"/>
      <c r="CA308" s="1080"/>
      <c r="CB308" s="1733"/>
      <c r="CC308" s="1443"/>
      <c r="CD308" s="1713"/>
      <c r="CE308" s="1713"/>
      <c r="CF308" s="1713"/>
      <c r="CG308" s="1080"/>
      <c r="CH308" s="1733"/>
      <c r="CI308" s="1443"/>
      <c r="CJ308" s="1713"/>
      <c r="CK308" s="1713"/>
      <c r="CL308" s="1713"/>
      <c r="CM308" s="1080"/>
      <c r="CN308" s="1733"/>
      <c r="CO308" s="1443"/>
      <c r="CP308" s="1713"/>
      <c r="CQ308" s="1713"/>
      <c r="CR308" s="1713"/>
      <c r="CS308" s="1080"/>
      <c r="CT308" s="229"/>
      <c r="CU308" s="68"/>
      <c r="CV308" s="68"/>
      <c r="CW308" s="68"/>
      <c r="CX308" s="4" t="s">
        <v>560</v>
      </c>
      <c r="CY308" s="60"/>
      <c r="CZ308" s="60"/>
      <c r="DA308" s="60"/>
      <c r="DB308" s="60"/>
      <c r="DC308" s="60"/>
      <c r="DD308" s="60"/>
      <c r="DE308" s="60"/>
      <c r="DF308" s="60"/>
      <c r="DG308" s="60"/>
      <c r="DH308" s="2323">
        <f t="shared" ref="DH308:DN308" si="944">DH307/DG307-1</f>
        <v>0.3946902654867257</v>
      </c>
      <c r="DI308" s="2323">
        <f t="shared" si="944"/>
        <v>0.67512690355329963</v>
      </c>
      <c r="DJ308" s="2323">
        <f t="shared" si="944"/>
        <v>-5.1136363636363646E-2</v>
      </c>
      <c r="DK308" s="2323">
        <f t="shared" si="944"/>
        <v>3.7924151696606678E-2</v>
      </c>
      <c r="DL308" s="2323">
        <f t="shared" si="944"/>
        <v>0.26923076923076916</v>
      </c>
      <c r="DM308" s="2323">
        <f t="shared" si="944"/>
        <v>0.24242424242424243</v>
      </c>
      <c r="DN308" s="2323">
        <f t="shared" si="944"/>
        <v>4.8780487804878092E-2</v>
      </c>
      <c r="DO308" s="2323">
        <f t="shared" ref="DO308" si="945">DO307/DN307-1</f>
        <v>0.20930232558139528</v>
      </c>
      <c r="DP308" s="2323">
        <f t="shared" ref="DP308" si="946">DP307/DO307-1</f>
        <v>0.54807692307692313</v>
      </c>
      <c r="DQ308" s="68"/>
      <c r="DR308" s="68"/>
      <c r="DS308" s="68"/>
      <c r="DT308" s="68"/>
    </row>
    <row r="309" spans="1:124">
      <c r="A309" s="1601" t="s">
        <v>501</v>
      </c>
      <c r="B309" s="2227"/>
      <c r="C309" s="2228"/>
      <c r="D309" s="2226"/>
      <c r="E309" s="2226"/>
      <c r="F309" s="2226"/>
      <c r="G309" s="2229"/>
      <c r="H309" s="2230"/>
      <c r="I309" s="2228"/>
      <c r="J309" s="2226"/>
      <c r="K309" s="2226"/>
      <c r="L309" s="2226"/>
      <c r="M309" s="2231"/>
      <c r="N309" s="2232"/>
      <c r="O309" s="2228"/>
      <c r="P309" s="2226"/>
      <c r="Q309" s="2226"/>
      <c r="R309" s="2226"/>
      <c r="S309" s="2231"/>
      <c r="T309" s="2232"/>
      <c r="U309" s="2233"/>
      <c r="V309" s="2234"/>
      <c r="W309" s="2234"/>
      <c r="X309" s="2234"/>
      <c r="Y309" s="2235"/>
      <c r="Z309" s="2236"/>
      <c r="AA309" s="2233"/>
      <c r="AB309" s="2234"/>
      <c r="AC309" s="2234"/>
      <c r="AD309" s="2234"/>
      <c r="AE309" s="2235"/>
      <c r="AF309" s="2236"/>
      <c r="AG309" s="2233"/>
      <c r="AI309" s="2234"/>
      <c r="AJ309" s="2234"/>
      <c r="AK309" s="2237"/>
      <c r="AL309" s="2238"/>
      <c r="AM309" s="2233"/>
      <c r="AN309" s="2234"/>
      <c r="AO309" s="2234"/>
      <c r="AP309" s="2234"/>
      <c r="AQ309" s="2237"/>
      <c r="AR309" s="2238"/>
      <c r="AS309" s="2233"/>
      <c r="AT309" s="2234"/>
      <c r="AU309" s="2234"/>
      <c r="AV309" s="2234"/>
      <c r="AW309" s="2237"/>
      <c r="AX309" s="2238"/>
      <c r="AY309" s="2233"/>
      <c r="BA309" s="2234"/>
      <c r="BB309" s="2234"/>
      <c r="BC309" s="2237"/>
      <c r="BD309" s="2238"/>
      <c r="BE309" s="2233"/>
      <c r="BF309" s="2234"/>
      <c r="BG309" s="2234"/>
      <c r="BH309" s="2234"/>
      <c r="BI309" s="2239"/>
      <c r="BJ309" s="1940"/>
      <c r="BK309" s="2240"/>
      <c r="BL309" s="2241"/>
      <c r="BM309" s="2241"/>
      <c r="BN309" s="2241"/>
      <c r="BO309" s="2239"/>
      <c r="BP309" s="1940"/>
      <c r="BQ309" s="2240"/>
      <c r="BR309" s="2241"/>
      <c r="BS309" s="2241"/>
      <c r="BT309" s="2241"/>
      <c r="BU309" s="2239"/>
      <c r="BV309" s="1940"/>
      <c r="BW309" s="2240"/>
      <c r="BX309" s="2241"/>
      <c r="BY309" s="2241"/>
      <c r="BZ309" s="2241"/>
      <c r="CA309" s="2239"/>
      <c r="CB309" s="1940"/>
      <c r="CC309" s="2240"/>
      <c r="CD309" s="2241"/>
      <c r="CE309" s="2241"/>
      <c r="CF309" s="2241"/>
      <c r="CG309" s="2239"/>
      <c r="CH309" s="1940"/>
      <c r="CI309" s="2240"/>
      <c r="CJ309" s="2241"/>
      <c r="CK309" s="2241"/>
      <c r="CL309" s="2241"/>
      <c r="CM309" s="2239"/>
      <c r="CN309" s="1940"/>
      <c r="CO309" s="2240"/>
      <c r="CP309" s="2241"/>
      <c r="CQ309" s="2241"/>
      <c r="CR309" s="2241"/>
      <c r="CS309" s="2239"/>
      <c r="CT309" s="1"/>
      <c r="CU309" s="60"/>
      <c r="CV309" s="60"/>
      <c r="CW309" s="60"/>
      <c r="CX309" s="60"/>
      <c r="CY309" s="60"/>
      <c r="CZ309" s="60"/>
      <c r="DA309" s="60"/>
      <c r="DB309" s="60"/>
      <c r="DC309" s="60"/>
      <c r="DD309" s="60"/>
      <c r="DE309" s="60"/>
      <c r="DF309" s="60"/>
      <c r="DQ309" s="68"/>
      <c r="DR309" s="68"/>
      <c r="DS309" s="68"/>
      <c r="DT309" s="68"/>
    </row>
    <row r="310" spans="1:124">
      <c r="A310" s="1" t="s">
        <v>653</v>
      </c>
      <c r="B310" s="63"/>
      <c r="C310" s="1850"/>
      <c r="D310" s="1855"/>
      <c r="E310" s="1855"/>
      <c r="F310" s="1855"/>
      <c r="G310" s="1856"/>
      <c r="I310" s="1850"/>
      <c r="J310" s="1855"/>
      <c r="K310" s="1855"/>
      <c r="L310" s="1855"/>
      <c r="M310" s="224"/>
      <c r="N310" s="1121"/>
      <c r="O310" s="1850"/>
      <c r="P310" s="1855"/>
      <c r="Q310" s="1855"/>
      <c r="R310" s="1855"/>
      <c r="S310" s="224"/>
      <c r="T310" s="1121"/>
      <c r="U310" s="1850"/>
      <c r="V310" s="1855"/>
      <c r="W310" s="1855"/>
      <c r="X310" s="1855"/>
      <c r="Y310" s="224"/>
      <c r="Z310" s="1121"/>
      <c r="AA310" s="1850"/>
      <c r="AB310" s="1855"/>
      <c r="AC310" s="1855"/>
      <c r="AD310" s="2234">
        <v>1.2</v>
      </c>
      <c r="AE310" s="2235">
        <v>1.2</v>
      </c>
      <c r="AF310" s="1121"/>
      <c r="AG310" s="2233">
        <v>1.1000000000000001</v>
      </c>
      <c r="AH310" s="2234" t="s">
        <v>367</v>
      </c>
      <c r="AI310" s="1855"/>
      <c r="AJ310" s="1855"/>
      <c r="AK310" s="736"/>
      <c r="AL310" s="63"/>
      <c r="AM310" s="1850"/>
      <c r="AN310" s="1855"/>
      <c r="AO310" s="1855"/>
      <c r="AP310" s="1855"/>
      <c r="AQ310" s="736"/>
      <c r="AR310" s="63"/>
      <c r="AS310" s="1850"/>
      <c r="AT310" s="1855"/>
      <c r="AU310" s="1855"/>
      <c r="AV310" s="1855"/>
      <c r="AW310" s="1841"/>
      <c r="AX310" s="1"/>
      <c r="AY310" s="2233" t="s">
        <v>654</v>
      </c>
      <c r="AZ310" s="2234">
        <v>1.1000000000000001</v>
      </c>
      <c r="BA310" s="1855"/>
      <c r="BB310" s="1855"/>
      <c r="BC310" s="1841"/>
      <c r="BD310" s="1"/>
      <c r="BE310" s="2254" t="s">
        <v>654</v>
      </c>
      <c r="BF310" s="1855"/>
      <c r="BG310" s="1855"/>
      <c r="BH310" s="1855"/>
      <c r="BI310" s="1841"/>
      <c r="BJ310" s="1"/>
      <c r="BK310" s="1850"/>
      <c r="BL310" s="1855"/>
      <c r="BM310" s="1855"/>
      <c r="BN310" s="1855"/>
      <c r="BO310" s="1841"/>
      <c r="BP310" s="1"/>
      <c r="BQ310" s="1850"/>
      <c r="BR310" s="1855"/>
      <c r="BS310" s="1855"/>
      <c r="BT310" s="1855"/>
      <c r="BU310" s="1841"/>
      <c r="BV310" s="1"/>
      <c r="BW310" s="1850"/>
      <c r="BX310" s="1855"/>
      <c r="BY310" s="1855"/>
      <c r="BZ310" s="1855"/>
      <c r="CA310" s="1841"/>
      <c r="CB310" s="1"/>
      <c r="CC310" s="1850"/>
      <c r="CD310" s="1855"/>
      <c r="CE310" s="1855"/>
      <c r="CF310" s="1855"/>
      <c r="CG310" s="1841"/>
      <c r="CH310" s="1"/>
      <c r="CI310" s="1850"/>
      <c r="CJ310" s="1855"/>
      <c r="CK310" s="1855"/>
      <c r="CL310" s="1855"/>
      <c r="CM310" s="1841"/>
      <c r="CN310" s="1"/>
      <c r="CO310" s="1850"/>
      <c r="CP310" s="1855"/>
      <c r="CQ310" s="1855"/>
      <c r="CR310" s="1855"/>
      <c r="CS310" s="1841"/>
      <c r="CT310" s="1"/>
      <c r="CU310" s="60"/>
      <c r="CV310" s="60"/>
      <c r="CW310" s="60"/>
      <c r="CX310" s="2320"/>
      <c r="CZ310" s="60"/>
      <c r="DA310" s="60"/>
      <c r="DB310" s="60"/>
      <c r="DC310" s="60"/>
      <c r="DD310" s="60"/>
      <c r="DE310" s="60"/>
      <c r="DF310" s="60"/>
      <c r="DG310" s="2324" t="s">
        <v>716</v>
      </c>
      <c r="DH310" s="2324" t="s">
        <v>717</v>
      </c>
      <c r="DI310" s="2324" t="s">
        <v>718</v>
      </c>
      <c r="DJ310" s="2324" t="s">
        <v>719</v>
      </c>
      <c r="DK310" s="2324" t="s">
        <v>720</v>
      </c>
      <c r="DL310" s="2324" t="s">
        <v>721</v>
      </c>
      <c r="DM310" s="2324" t="s">
        <v>722</v>
      </c>
      <c r="DN310" s="2324" t="s">
        <v>723</v>
      </c>
      <c r="DO310" s="2324" t="s">
        <v>881</v>
      </c>
      <c r="DP310" s="2324" t="s">
        <v>882</v>
      </c>
      <c r="DQ310" s="2324" t="s">
        <v>884</v>
      </c>
      <c r="DR310" s="68"/>
      <c r="DS310" s="68"/>
      <c r="DT310" s="68"/>
    </row>
    <row r="311" spans="1:124">
      <c r="A311" s="1930" t="s">
        <v>549</v>
      </c>
      <c r="B311" s="63"/>
      <c r="C311" s="1850"/>
      <c r="D311" s="1855"/>
      <c r="E311" s="1855"/>
      <c r="F311" s="1855"/>
      <c r="G311" s="1856"/>
      <c r="I311" s="1850"/>
      <c r="J311" s="1855"/>
      <c r="K311" s="1855"/>
      <c r="L311" s="1855"/>
      <c r="M311" s="1284">
        <v>113</v>
      </c>
      <c r="N311" s="1929"/>
      <c r="O311" s="1850"/>
      <c r="P311" s="1855"/>
      <c r="Q311" s="1855"/>
      <c r="R311" s="1855"/>
      <c r="S311" s="1284">
        <v>227.6</v>
      </c>
      <c r="T311" s="1929"/>
      <c r="U311" s="1850"/>
      <c r="V311" s="1855"/>
      <c r="W311" s="1855"/>
      <c r="X311" s="1855"/>
      <c r="Y311" s="2217">
        <v>299</v>
      </c>
      <c r="AA311" s="1850"/>
      <c r="AB311" s="1855"/>
      <c r="AC311" s="1855"/>
      <c r="AD311" s="1855"/>
      <c r="AE311" s="2217">
        <v>250.5</v>
      </c>
      <c r="AF311" s="1928"/>
      <c r="AG311" s="1850"/>
      <c r="AH311" s="1855"/>
      <c r="AI311" s="1855"/>
      <c r="AJ311" s="1855"/>
      <c r="AK311" s="2698">
        <v>260</v>
      </c>
      <c r="AL311" s="2699"/>
      <c r="AM311" s="2700"/>
      <c r="AN311" s="2701"/>
      <c r="AO311" s="2701"/>
      <c r="AP311" s="2701"/>
      <c r="AQ311" s="2698">
        <v>330</v>
      </c>
      <c r="AR311" s="2702"/>
      <c r="AS311" s="2700"/>
      <c r="AT311" s="2701"/>
      <c r="AU311" s="2701"/>
      <c r="AV311" s="2701"/>
      <c r="AW311" s="2698">
        <v>540</v>
      </c>
      <c r="AX311" s="2702"/>
      <c r="AY311" s="2700"/>
      <c r="AZ311" s="2701"/>
      <c r="BA311" s="2701"/>
      <c r="BB311" s="2701"/>
      <c r="BC311" s="2698">
        <v>560</v>
      </c>
      <c r="BD311" s="1"/>
      <c r="BE311" s="1425">
        <f>+BC311+700-BE16</f>
        <v>688.23699999999997</v>
      </c>
      <c r="BF311" s="1855"/>
      <c r="BG311" s="1855"/>
      <c r="BH311" s="1855"/>
      <c r="BI311" s="2698">
        <v>650</v>
      </c>
      <c r="BJ311" s="1"/>
      <c r="BK311" s="1850"/>
      <c r="BL311" s="1855"/>
      <c r="BM311" s="1855"/>
      <c r="BN311" s="1855"/>
      <c r="BO311" s="2698">
        <v>935</v>
      </c>
      <c r="BP311" s="1"/>
      <c r="BQ311" s="1850"/>
      <c r="BR311" s="1855"/>
      <c r="BS311" s="1855"/>
      <c r="BT311" s="1855"/>
      <c r="BU311" s="2217"/>
      <c r="BV311" s="1"/>
      <c r="BW311" s="1850"/>
      <c r="BX311" s="1855"/>
      <c r="BY311" s="1855"/>
      <c r="BZ311" s="1855"/>
      <c r="CA311" s="2217"/>
      <c r="CB311" s="1"/>
      <c r="CC311" s="1850"/>
      <c r="CD311" s="1855"/>
      <c r="CE311" s="1855"/>
      <c r="CF311" s="1855"/>
      <c r="CG311" s="2217"/>
      <c r="CH311" s="1"/>
      <c r="CI311" s="1850"/>
      <c r="CJ311" s="1855"/>
      <c r="CK311" s="1855"/>
      <c r="CL311" s="1855"/>
      <c r="CM311" s="2217"/>
      <c r="CN311" s="1"/>
      <c r="CO311" s="1850"/>
      <c r="CP311" s="1855"/>
      <c r="CQ311" s="1855"/>
      <c r="CR311" s="1855"/>
      <c r="CS311" s="2217"/>
      <c r="CT311" s="1"/>
      <c r="CU311" s="60"/>
      <c r="CV311" s="60"/>
      <c r="CW311" s="60"/>
      <c r="CX311" s="2321" t="s">
        <v>714</v>
      </c>
      <c r="CY311" s="2322"/>
      <c r="CZ311" s="2322"/>
      <c r="DA311" s="2322"/>
      <c r="DB311" s="2322"/>
      <c r="DC311" s="2322"/>
      <c r="DD311" s="2322"/>
      <c r="DE311" s="2322"/>
      <c r="DF311" s="2322"/>
      <c r="DG311" s="2325">
        <f>$M$311</f>
        <v>113</v>
      </c>
      <c r="DH311" s="2325">
        <f>$S$311</f>
        <v>227.6</v>
      </c>
      <c r="DI311" s="2325">
        <f>$Y$311</f>
        <v>299</v>
      </c>
      <c r="DJ311" s="2325">
        <f>$AE$311</f>
        <v>250.5</v>
      </c>
      <c r="DK311" s="2325">
        <f>AK311</f>
        <v>260</v>
      </c>
      <c r="DL311" s="2325">
        <f>AQ311</f>
        <v>330</v>
      </c>
      <c r="DM311" s="2325">
        <f>AW311</f>
        <v>540</v>
      </c>
      <c r="DN311" s="2325">
        <f>BC311</f>
        <v>560</v>
      </c>
      <c r="DO311" s="2325">
        <f>BI311</f>
        <v>650</v>
      </c>
      <c r="DP311" s="2325">
        <f>BO311</f>
        <v>935</v>
      </c>
      <c r="DQ311" s="68"/>
      <c r="DR311" s="68"/>
      <c r="DS311" s="68"/>
      <c r="DT311" s="68"/>
    </row>
    <row r="312" spans="1:124">
      <c r="A312" s="1931" t="s">
        <v>651</v>
      </c>
      <c r="B312" s="63"/>
      <c r="C312" s="1850"/>
      <c r="D312" s="1855"/>
      <c r="E312" s="1855"/>
      <c r="F312" s="1855"/>
      <c r="G312" s="1856"/>
      <c r="I312" s="1850"/>
      <c r="J312" s="1855"/>
      <c r="K312" s="1855"/>
      <c r="L312" s="1855"/>
      <c r="M312" s="2218">
        <v>0.7021817345753042</v>
      </c>
      <c r="N312" s="1929"/>
      <c r="O312" s="1850"/>
      <c r="P312" s="1855"/>
      <c r="Q312" s="1855"/>
      <c r="R312" s="1855"/>
      <c r="S312" s="2218">
        <v>1.260494893777276</v>
      </c>
      <c r="T312" s="1929"/>
      <c r="U312" s="1850"/>
      <c r="V312" s="1855"/>
      <c r="W312" s="1855"/>
      <c r="X312" s="1855"/>
      <c r="Y312" s="2218">
        <v>1.144287365383585</v>
      </c>
      <c r="AA312" s="1850"/>
      <c r="AB312" s="1855"/>
      <c r="AC312" s="1855"/>
      <c r="AD312" s="1855"/>
      <c r="AE312" s="2218">
        <v>1.0017155127943664</v>
      </c>
      <c r="AF312" s="1928"/>
      <c r="AG312" s="1850"/>
      <c r="AH312" s="1855"/>
      <c r="AI312" s="1855"/>
      <c r="AJ312" s="1855"/>
      <c r="AK312" s="2218">
        <v>0.84070295701097764</v>
      </c>
      <c r="AM312" s="1850"/>
      <c r="AN312" s="1855"/>
      <c r="AO312" s="1855"/>
      <c r="AP312" s="1855"/>
      <c r="AQ312" s="2218">
        <v>0.85199547667856013</v>
      </c>
      <c r="AR312" s="1928"/>
      <c r="AS312" s="1850"/>
      <c r="AT312" s="1855"/>
      <c r="AU312" s="1855"/>
      <c r="AV312" s="1855"/>
      <c r="AW312" s="2218">
        <v>1.0539073615429204</v>
      </c>
      <c r="AX312" s="1928"/>
      <c r="AY312" s="1850"/>
      <c r="AZ312" s="1855"/>
      <c r="BA312" s="1855"/>
      <c r="BB312" s="1855"/>
      <c r="BC312" s="2218">
        <v>0.94666874032200266</v>
      </c>
      <c r="BD312" s="1"/>
      <c r="BE312" s="1850"/>
      <c r="BF312" s="1855"/>
      <c r="BG312" s="1855"/>
      <c r="BH312" s="1855"/>
      <c r="BI312" s="2218">
        <v>1.0494924493054782</v>
      </c>
      <c r="BJ312" s="1"/>
      <c r="BK312" s="1850"/>
      <c r="BL312" s="1855"/>
      <c r="BM312" s="1855"/>
      <c r="BN312" s="1855"/>
      <c r="BO312" s="2218">
        <v>1.2022630834512023</v>
      </c>
      <c r="BP312" s="1"/>
      <c r="BQ312" s="1850"/>
      <c r="BR312" s="1855"/>
      <c r="BS312" s="1855"/>
      <c r="BT312" s="1855"/>
      <c r="BU312" s="2218"/>
      <c r="BV312" s="1"/>
      <c r="BW312" s="1850"/>
      <c r="BX312" s="1855"/>
      <c r="BY312" s="1855"/>
      <c r="BZ312" s="1855"/>
      <c r="CA312" s="2218"/>
      <c r="CB312" s="1"/>
      <c r="CC312" s="1850"/>
      <c r="CD312" s="1855"/>
      <c r="CE312" s="1855"/>
      <c r="CF312" s="1855"/>
      <c r="CG312" s="2218"/>
      <c r="CH312" s="1"/>
      <c r="CI312" s="1850"/>
      <c r="CJ312" s="1855"/>
      <c r="CK312" s="1855"/>
      <c r="CL312" s="1855"/>
      <c r="CM312" s="2218"/>
      <c r="CN312" s="1"/>
      <c r="CO312" s="1850"/>
      <c r="CP312" s="1855"/>
      <c r="CQ312" s="1855"/>
      <c r="CR312" s="1855"/>
      <c r="CS312" s="2218"/>
      <c r="CT312" s="1"/>
      <c r="CU312" s="60"/>
      <c r="CV312" s="60"/>
      <c r="CW312" s="60"/>
      <c r="CX312" s="4" t="s">
        <v>560</v>
      </c>
      <c r="CY312" s="60"/>
      <c r="CZ312" s="60"/>
      <c r="DA312" s="60"/>
      <c r="DB312" s="60"/>
      <c r="DC312" s="60"/>
      <c r="DD312" s="60"/>
      <c r="DE312" s="60"/>
      <c r="DF312" s="60"/>
      <c r="DG312" s="60"/>
      <c r="DH312" s="2323">
        <f t="shared" ref="DH312:DN312" si="947">DH311/DG311-1</f>
        <v>1.0141592920353983</v>
      </c>
      <c r="DI312" s="2323">
        <f t="shared" si="947"/>
        <v>0.31370826010544817</v>
      </c>
      <c r="DJ312" s="2323">
        <f t="shared" si="947"/>
        <v>-0.16220735785953178</v>
      </c>
      <c r="DK312" s="2323">
        <f t="shared" si="947"/>
        <v>3.7924151696606678E-2</v>
      </c>
      <c r="DL312" s="2323">
        <f t="shared" si="947"/>
        <v>0.26923076923076916</v>
      </c>
      <c r="DM312" s="2323">
        <f t="shared" si="947"/>
        <v>0.63636363636363646</v>
      </c>
      <c r="DN312" s="2323">
        <f t="shared" si="947"/>
        <v>3.7037037037036979E-2</v>
      </c>
      <c r="DO312" s="2323">
        <f t="shared" ref="DO312" si="948">DO311/DN311-1</f>
        <v>0.16071428571428581</v>
      </c>
      <c r="DP312" s="2323">
        <f t="shared" ref="DP312" si="949">DP311/DO311-1</f>
        <v>0.43846153846153846</v>
      </c>
      <c r="DQ312" s="68"/>
      <c r="DR312" s="68"/>
      <c r="DS312" s="68"/>
      <c r="DT312" s="68"/>
    </row>
    <row r="313" spans="1:124">
      <c r="A313" s="1931" t="s">
        <v>652</v>
      </c>
      <c r="B313" s="63"/>
      <c r="C313" s="752"/>
      <c r="D313" s="60"/>
      <c r="E313" s="60"/>
      <c r="F313" s="60"/>
      <c r="G313" s="736"/>
      <c r="I313" s="752"/>
      <c r="J313" s="60"/>
      <c r="K313" s="60"/>
      <c r="L313" s="60"/>
      <c r="M313" s="2218">
        <v>1.5388596097016247</v>
      </c>
      <c r="N313" s="1929"/>
      <c r="O313" s="752"/>
      <c r="P313" s="60"/>
      <c r="Q313" s="60"/>
      <c r="R313" s="60"/>
      <c r="S313" s="2218">
        <v>2.4532206605156506</v>
      </c>
      <c r="T313" s="1929"/>
      <c r="U313" s="752"/>
      <c r="V313" s="60"/>
      <c r="W313" s="60"/>
      <c r="X313" s="60"/>
      <c r="Y313" s="2218">
        <v>2.102509651152161</v>
      </c>
      <c r="AA313" s="752"/>
      <c r="AB313" s="60"/>
      <c r="AC313" s="60"/>
      <c r="AD313" s="60"/>
      <c r="AE313" s="2218">
        <v>1.9451627181028257</v>
      </c>
      <c r="AF313" s="1928"/>
      <c r="AG313" s="752"/>
      <c r="AH313" s="60"/>
      <c r="AI313" s="60"/>
      <c r="AJ313" s="60"/>
      <c r="AK313" s="2218">
        <v>1.6381254804117997</v>
      </c>
      <c r="AM313" s="752"/>
      <c r="AN313" s="60"/>
      <c r="AO313" s="60"/>
      <c r="AP313" s="60"/>
      <c r="AQ313" s="2218">
        <v>2.1414804768363198</v>
      </c>
      <c r="AR313" s="1928"/>
      <c r="AS313" s="752"/>
      <c r="AT313" s="60"/>
      <c r="AU313" s="60"/>
      <c r="AV313" s="60"/>
      <c r="AW313" s="2218">
        <v>2.8250952161721004</v>
      </c>
      <c r="AX313" s="1928"/>
      <c r="AY313" s="752"/>
      <c r="AZ313" s="60"/>
      <c r="BA313" s="60"/>
      <c r="BB313" s="60"/>
      <c r="BC313" s="2218">
        <v>2.0681224771675586</v>
      </c>
      <c r="BD313" s="1"/>
      <c r="BE313" s="752"/>
      <c r="BF313" s="60"/>
      <c r="BG313" s="60"/>
      <c r="BH313" s="60"/>
      <c r="BI313" s="2218">
        <v>2.1654395842355996</v>
      </c>
      <c r="BJ313" s="1"/>
      <c r="BK313" s="752"/>
      <c r="BL313" s="60"/>
      <c r="BM313" s="60"/>
      <c r="BN313" s="60"/>
      <c r="BO313" s="2218">
        <v>2.8078078078078077</v>
      </c>
      <c r="BP313" s="1"/>
      <c r="BQ313" s="752"/>
      <c r="BR313" s="60"/>
      <c r="BS313" s="60"/>
      <c r="BT313" s="60"/>
      <c r="BU313" s="2218"/>
      <c r="BV313" s="1"/>
      <c r="BW313" s="752"/>
      <c r="BX313" s="60"/>
      <c r="BY313" s="60"/>
      <c r="BZ313" s="60"/>
      <c r="CA313" s="2218"/>
      <c r="CB313" s="1"/>
      <c r="CC313" s="752"/>
      <c r="CD313" s="60"/>
      <c r="CE313" s="60"/>
      <c r="CF313" s="60"/>
      <c r="CG313" s="2218"/>
      <c r="CH313" s="1"/>
      <c r="CI313" s="752"/>
      <c r="CJ313" s="60"/>
      <c r="CK313" s="60"/>
      <c r="CL313" s="60"/>
      <c r="CM313" s="2218"/>
      <c r="CN313" s="1"/>
      <c r="CO313" s="752"/>
      <c r="CP313" s="60"/>
      <c r="CQ313" s="60"/>
      <c r="CR313" s="60"/>
      <c r="CS313" s="2218"/>
      <c r="CT313" s="1"/>
      <c r="CU313" s="60"/>
      <c r="CV313" s="60"/>
      <c r="CW313" s="60"/>
      <c r="CX313" s="2321" t="s">
        <v>883</v>
      </c>
      <c r="CY313" s="2322"/>
      <c r="CZ313" s="2322"/>
      <c r="DA313" s="2322"/>
      <c r="DB313" s="2322"/>
      <c r="DC313" s="2322"/>
      <c r="DD313" s="2322"/>
      <c r="DE313" s="2322"/>
      <c r="DF313" s="2322"/>
      <c r="DG313" s="2325">
        <f>+M16</f>
        <v>573.22500000000002</v>
      </c>
      <c r="DH313" s="2325">
        <f>+S16</f>
        <v>666.32400000000007</v>
      </c>
      <c r="DI313" s="2325">
        <f>+Y16</f>
        <v>902.74099999999999</v>
      </c>
      <c r="DJ313" s="2325">
        <f>+AE16</f>
        <v>1055.5349999999999</v>
      </c>
      <c r="DK313" s="2325">
        <f>+AK225</f>
        <v>1147.9427409520833</v>
      </c>
      <c r="DL313" s="2325">
        <f>+AQ225</f>
        <v>1418.0764093439252</v>
      </c>
      <c r="DM313" s="2325">
        <f>+AW225</f>
        <v>1851.1674359616297</v>
      </c>
      <c r="DN313" s="2325">
        <f>+BC225</f>
        <v>2218.2885617755637</v>
      </c>
      <c r="DO313" s="2325">
        <f>+BI225</f>
        <v>2399.2902332592435</v>
      </c>
      <c r="DP313" s="2325">
        <f>+BO225</f>
        <v>2752.0499459344214</v>
      </c>
      <c r="DQ313" s="68"/>
      <c r="DR313" s="68"/>
      <c r="DS313" s="68"/>
      <c r="DT313" s="68"/>
    </row>
    <row r="314" spans="1:124">
      <c r="A314" s="1930" t="s">
        <v>650</v>
      </c>
      <c r="B314" s="63"/>
      <c r="C314" s="752"/>
      <c r="D314" s="60"/>
      <c r="E314" s="60"/>
      <c r="F314" s="60"/>
      <c r="G314" s="736"/>
      <c r="I314" s="752"/>
      <c r="J314" s="60"/>
      <c r="K314" s="60"/>
      <c r="L314" s="60"/>
      <c r="M314" s="1284">
        <f>+M311</f>
        <v>113</v>
      </c>
      <c r="N314" s="1929"/>
      <c r="O314" s="752"/>
      <c r="P314" s="60"/>
      <c r="Q314" s="60"/>
      <c r="R314" s="60"/>
      <c r="S314" s="1284">
        <f>+S311-70</f>
        <v>157.6</v>
      </c>
      <c r="T314" s="1929"/>
      <c r="U314" s="752"/>
      <c r="V314" s="60"/>
      <c r="W314" s="60"/>
      <c r="X314" s="60"/>
      <c r="Y314" s="2217">
        <f>+Y311-35</f>
        <v>264</v>
      </c>
      <c r="AA314" s="752"/>
      <c r="AB314" s="60"/>
      <c r="AC314" s="60"/>
      <c r="AD314" s="60"/>
      <c r="AE314" s="2217">
        <f>+AE311</f>
        <v>250.5</v>
      </c>
      <c r="AF314" s="1928"/>
      <c r="AG314" s="752"/>
      <c r="AH314" s="60"/>
      <c r="AI314" s="60"/>
      <c r="AJ314" s="60"/>
      <c r="AK314" s="2698">
        <f>+AK311</f>
        <v>260</v>
      </c>
      <c r="AL314" s="2699"/>
      <c r="AM314" s="2703"/>
      <c r="AN314" s="2704"/>
      <c r="AO314" s="2704"/>
      <c r="AP314" s="2704"/>
      <c r="AQ314" s="2698">
        <f>+AQ311</f>
        <v>330</v>
      </c>
      <c r="AR314" s="2702"/>
      <c r="AS314" s="2703"/>
      <c r="AT314" s="2704"/>
      <c r="AU314" s="2704"/>
      <c r="AV314" s="2704"/>
      <c r="AW314" s="2698">
        <f>+AW311-130</f>
        <v>410</v>
      </c>
      <c r="AX314" s="2702"/>
      <c r="AY314" s="2703"/>
      <c r="AZ314" s="2704"/>
      <c r="BA314" s="2704"/>
      <c r="BB314" s="2704"/>
      <c r="BC314" s="2698">
        <f>+BC311-130</f>
        <v>430</v>
      </c>
      <c r="BD314" s="1"/>
      <c r="BE314" s="752"/>
      <c r="BF314" s="60"/>
      <c r="BG314" s="60"/>
      <c r="BH314" s="60"/>
      <c r="BI314" s="2698">
        <f>+BI311-130</f>
        <v>520</v>
      </c>
      <c r="BJ314" s="1"/>
      <c r="BK314" s="752"/>
      <c r="BL314" s="60"/>
      <c r="BM314" s="60"/>
      <c r="BN314" s="60"/>
      <c r="BO314" s="2698">
        <f>+BO311-130</f>
        <v>805</v>
      </c>
      <c r="BP314" s="1"/>
      <c r="BQ314" s="752"/>
      <c r="BR314" s="60"/>
      <c r="BS314" s="60"/>
      <c r="BT314" s="60"/>
      <c r="BU314" s="2217"/>
      <c r="BV314" s="1"/>
      <c r="BW314" s="752"/>
      <c r="BX314" s="60"/>
      <c r="BY314" s="60"/>
      <c r="BZ314" s="60"/>
      <c r="CA314" s="2217"/>
      <c r="CB314" s="1"/>
      <c r="CC314" s="752"/>
      <c r="CD314" s="60"/>
      <c r="CE314" s="60"/>
      <c r="CF314" s="60"/>
      <c r="CG314" s="2217"/>
      <c r="CH314" s="1"/>
      <c r="CI314" s="752"/>
      <c r="CJ314" s="60"/>
      <c r="CK314" s="60"/>
      <c r="CL314" s="60"/>
      <c r="CM314" s="2217"/>
      <c r="CN314" s="1"/>
      <c r="CO314" s="752"/>
      <c r="CP314" s="60"/>
      <c r="CQ314" s="60"/>
      <c r="CR314" s="60"/>
      <c r="CS314" s="2217"/>
      <c r="CT314" s="1"/>
      <c r="CU314" s="60"/>
      <c r="CV314" s="60"/>
      <c r="CW314" s="60"/>
      <c r="CX314" s="4" t="s">
        <v>885</v>
      </c>
      <c r="CY314" s="60"/>
      <c r="CZ314" s="60"/>
      <c r="DA314" s="60"/>
      <c r="DB314" s="60"/>
      <c r="DC314" s="60"/>
      <c r="DD314" s="60"/>
      <c r="DE314" s="60"/>
      <c r="DF314" s="60"/>
      <c r="DG314" s="1368">
        <f t="shared" ref="DG314:DO314" si="950">+DG311/DH313</f>
        <v>0.16958716780425137</v>
      </c>
      <c r="DH314" s="1368">
        <f t="shared" si="950"/>
        <v>0.25212104025407067</v>
      </c>
      <c r="DI314" s="1368">
        <f t="shared" si="950"/>
        <v>0.28326867417944457</v>
      </c>
      <c r="DJ314" s="1368">
        <f t="shared" si="950"/>
        <v>0.21821645894310002</v>
      </c>
      <c r="DK314" s="1368">
        <f t="shared" si="950"/>
        <v>0.18334696091608302</v>
      </c>
      <c r="DL314" s="1368">
        <f t="shared" si="950"/>
        <v>0.17826588432211385</v>
      </c>
      <c r="DM314" s="1368">
        <f t="shared" si="950"/>
        <v>0.24343090854139054</v>
      </c>
      <c r="DN314" s="1368">
        <f t="shared" si="950"/>
        <v>0.23340235884646807</v>
      </c>
      <c r="DO314" s="1368">
        <f t="shared" si="950"/>
        <v>0.23618757390658521</v>
      </c>
      <c r="DP314" s="1368">
        <f>+DP311/DQ315</f>
        <v>0.29051459481600045</v>
      </c>
      <c r="DQ314" s="68"/>
      <c r="DR314" s="68"/>
      <c r="DS314" s="68"/>
      <c r="DT314" s="68"/>
    </row>
    <row r="315" spans="1:124">
      <c r="A315" s="1931" t="s">
        <v>651</v>
      </c>
      <c r="B315" s="63"/>
      <c r="C315" s="1018"/>
      <c r="D315" s="951"/>
      <c r="E315" s="951"/>
      <c r="F315" s="951"/>
      <c r="G315" s="224"/>
      <c r="I315" s="1018"/>
      <c r="J315" s="951"/>
      <c r="K315" s="951"/>
      <c r="L315" s="951"/>
      <c r="M315" s="2218">
        <v>0.7021817345753042</v>
      </c>
      <c r="N315" s="1929"/>
      <c r="O315" s="1018"/>
      <c r="P315" s="951"/>
      <c r="Q315" s="951"/>
      <c r="R315" s="951"/>
      <c r="S315" s="2218">
        <v>0.87282071730799071</v>
      </c>
      <c r="T315" s="1929"/>
      <c r="U315" s="1018"/>
      <c r="V315" s="951"/>
      <c r="W315" s="951"/>
      <c r="X315" s="951"/>
      <c r="Y315" s="2218">
        <v>1.0103406838169446</v>
      </c>
      <c r="AA315" s="1018"/>
      <c r="AB315" s="951"/>
      <c r="AC315" s="951"/>
      <c r="AD315" s="951"/>
      <c r="AE315" s="2218">
        <v>1.0017155127943664</v>
      </c>
      <c r="AF315" s="1928"/>
      <c r="AG315" s="1018"/>
      <c r="AH315" s="951"/>
      <c r="AI315" s="951"/>
      <c r="AJ315" s="951"/>
      <c r="AK315" s="2218">
        <v>0.84070295701097764</v>
      </c>
      <c r="AM315" s="1018"/>
      <c r="AN315" s="951"/>
      <c r="AO315" s="951"/>
      <c r="AP315" s="951"/>
      <c r="AQ315" s="2218">
        <v>0.85199547667856013</v>
      </c>
      <c r="AR315" s="1928"/>
      <c r="AS315" s="1018"/>
      <c r="AT315" s="951"/>
      <c r="AU315" s="951"/>
      <c r="AV315" s="951"/>
      <c r="AW315" s="2218">
        <v>0.80018892265295805</v>
      </c>
      <c r="AX315" s="1928"/>
      <c r="AY315" s="1018"/>
      <c r="AZ315" s="951"/>
      <c r="BA315" s="951"/>
      <c r="BB315" s="951"/>
      <c r="BC315" s="2218">
        <v>0.72690635417582339</v>
      </c>
      <c r="BD315" s="1"/>
      <c r="BE315" s="1018"/>
      <c r="BF315" s="951"/>
      <c r="BG315" s="951"/>
      <c r="BH315" s="951"/>
      <c r="BI315" s="2218">
        <v>0.78502415458937203</v>
      </c>
      <c r="BJ315" s="1"/>
      <c r="BK315" s="1018"/>
      <c r="BL315" s="951"/>
      <c r="BM315" s="951"/>
      <c r="BN315" s="951"/>
      <c r="BO315" s="2218">
        <v>1.0351035103510351</v>
      </c>
      <c r="BP315" s="1"/>
      <c r="BQ315" s="1018"/>
      <c r="BR315" s="951"/>
      <c r="BS315" s="951"/>
      <c r="BT315" s="951"/>
      <c r="BU315" s="2218"/>
      <c r="BV315" s="1"/>
      <c r="BW315" s="1018"/>
      <c r="BX315" s="951"/>
      <c r="BY315" s="951"/>
      <c r="BZ315" s="951"/>
      <c r="CA315" s="2218"/>
      <c r="CB315" s="1"/>
      <c r="CC315" s="1018"/>
      <c r="CD315" s="951"/>
      <c r="CE315" s="951"/>
      <c r="CF315" s="951"/>
      <c r="CG315" s="2218"/>
      <c r="CH315" s="1"/>
      <c r="CI315" s="1018"/>
      <c r="CJ315" s="951"/>
      <c r="CK315" s="951"/>
      <c r="CL315" s="951"/>
      <c r="CM315" s="2218"/>
      <c r="CN315" s="1"/>
      <c r="CO315" s="1018"/>
      <c r="CP315" s="951"/>
      <c r="CQ315" s="951"/>
      <c r="CR315" s="951"/>
      <c r="CS315" s="2218"/>
      <c r="CT315" s="1"/>
      <c r="CU315" s="60"/>
      <c r="CV315" s="60"/>
      <c r="CW315" s="60"/>
      <c r="DQ315" s="3017">
        <f>+BU16</f>
        <v>3218.4269454420669</v>
      </c>
      <c r="DR315" s="68">
        <f>+DP311*0.666666666666667</f>
        <v>623.3333333333336</v>
      </c>
      <c r="DS315" s="1933">
        <f>+DR315/DQ315</f>
        <v>0.19367639654400037</v>
      </c>
      <c r="DT315" s="68"/>
    </row>
    <row r="316" spans="1:124">
      <c r="A316" s="2219" t="s">
        <v>652</v>
      </c>
      <c r="B316" s="800"/>
      <c r="C316" s="2220"/>
      <c r="D316" s="2221"/>
      <c r="E316" s="2221"/>
      <c r="F316" s="2221"/>
      <c r="G316" s="807"/>
      <c r="H316" s="2211"/>
      <c r="I316" s="2220"/>
      <c r="J316" s="2221"/>
      <c r="K316" s="2221"/>
      <c r="L316" s="2221"/>
      <c r="M316" s="2222">
        <v>1.5388596097016247</v>
      </c>
      <c r="N316" s="2223"/>
      <c r="O316" s="2220"/>
      <c r="P316" s="2221"/>
      <c r="Q316" s="2221"/>
      <c r="R316" s="2221"/>
      <c r="S316" s="2222">
        <v>1.698715184961628</v>
      </c>
      <c r="T316" s="2223"/>
      <c r="U316" s="2220"/>
      <c r="V316" s="2221"/>
      <c r="W316" s="2221"/>
      <c r="X316" s="2221"/>
      <c r="Y316" s="2222">
        <v>1.8563964812848512</v>
      </c>
      <c r="Z316" s="2211"/>
      <c r="AA316" s="2220"/>
      <c r="AB316" s="2221"/>
      <c r="AC316" s="2221"/>
      <c r="AD316" s="2221"/>
      <c r="AE316" s="2222">
        <v>1.9451627181028257</v>
      </c>
      <c r="AF316" s="2224"/>
      <c r="AG316" s="2220"/>
      <c r="AH316" s="2221"/>
      <c r="AI316" s="2221"/>
      <c r="AJ316" s="2221"/>
      <c r="AK316" s="2222">
        <v>1.6381254804117997</v>
      </c>
      <c r="AL316" s="2211"/>
      <c r="AM316" s="2220"/>
      <c r="AN316" s="2221"/>
      <c r="AO316" s="2221"/>
      <c r="AP316" s="2221"/>
      <c r="AQ316" s="2222">
        <v>2.1414804768363198</v>
      </c>
      <c r="AR316" s="2224"/>
      <c r="AS316" s="2220"/>
      <c r="AT316" s="2221"/>
      <c r="AU316" s="2221"/>
      <c r="AV316" s="2221"/>
      <c r="AW316" s="2222">
        <v>2.1449797011677059</v>
      </c>
      <c r="AX316" s="2224"/>
      <c r="AY316" s="2220"/>
      <c r="AZ316" s="2221"/>
      <c r="BA316" s="2221"/>
      <c r="BB316" s="2221"/>
      <c r="BC316" s="2222">
        <v>1.5880226163965183</v>
      </c>
      <c r="BD316" s="2225"/>
      <c r="BE316" s="2220"/>
      <c r="BF316" s="2221"/>
      <c r="BG316" s="2221"/>
      <c r="BH316" s="2221"/>
      <c r="BI316" s="2222">
        <v>1.6828478964401294</v>
      </c>
      <c r="BJ316" s="2225"/>
      <c r="BK316" s="2220"/>
      <c r="BL316" s="2221"/>
      <c r="BM316" s="2221"/>
      <c r="BN316" s="2221"/>
      <c r="BO316" s="2222">
        <v>2.4174174174174174</v>
      </c>
      <c r="BP316" s="2225"/>
      <c r="BQ316" s="2220"/>
      <c r="BR316" s="2221"/>
      <c r="BS316" s="2221"/>
      <c r="BT316" s="2221"/>
      <c r="BU316" s="2222"/>
      <c r="BV316" s="2225"/>
      <c r="BW316" s="2220"/>
      <c r="BX316" s="2221"/>
      <c r="BY316" s="2221"/>
      <c r="BZ316" s="2221"/>
      <c r="CA316" s="2222"/>
      <c r="CB316" s="2225"/>
      <c r="CC316" s="2220"/>
      <c r="CD316" s="2221"/>
      <c r="CE316" s="2221"/>
      <c r="CF316" s="2221"/>
      <c r="CG316" s="2222"/>
      <c r="CH316" s="2225"/>
      <c r="CI316" s="2220"/>
      <c r="CJ316" s="2221"/>
      <c r="CK316" s="2221"/>
      <c r="CL316" s="2221"/>
      <c r="CM316" s="2222"/>
      <c r="CN316" s="2225"/>
      <c r="CO316" s="2220"/>
      <c r="CP316" s="2221"/>
      <c r="CQ316" s="2221"/>
      <c r="CR316" s="2221"/>
      <c r="CS316" s="2222"/>
      <c r="CT316" s="68"/>
      <c r="CU316" s="60"/>
      <c r="CV316" s="60"/>
      <c r="CW316" s="60"/>
      <c r="DQ316" s="1368"/>
      <c r="DR316" s="68"/>
      <c r="DS316" s="68"/>
      <c r="DT316" s="68"/>
    </row>
    <row r="317" spans="1:124">
      <c r="A317" s="63"/>
      <c r="B317" s="63"/>
      <c r="C317" s="63"/>
      <c r="D317" s="63"/>
      <c r="E317" s="63"/>
      <c r="F317" s="63"/>
      <c r="G317" s="63"/>
      <c r="J317" s="951"/>
      <c r="K317" s="951"/>
      <c r="L317" s="951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1"/>
      <c r="AW317" s="1"/>
      <c r="AX317" s="1"/>
      <c r="AY317" s="1"/>
      <c r="AZ317" s="1"/>
      <c r="BA317" s="1764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60"/>
      <c r="CU317" s="60"/>
      <c r="CV317" s="60"/>
      <c r="CW317" s="60"/>
      <c r="CX317" s="60"/>
      <c r="CY317" s="60"/>
      <c r="CZ317" s="60"/>
      <c r="DA317" s="60"/>
      <c r="DB317" s="60"/>
      <c r="DC317" s="60"/>
      <c r="DD317" s="60"/>
      <c r="DE317" s="60"/>
      <c r="DF317" s="60"/>
      <c r="DG317" s="60"/>
      <c r="DH317" s="60"/>
      <c r="DI317" s="68"/>
      <c r="DJ317" s="68"/>
      <c r="DK317" s="68"/>
      <c r="DL317" s="68"/>
      <c r="DM317" s="68"/>
      <c r="DN317" s="68"/>
      <c r="DO317" s="68"/>
      <c r="DP317" s="68"/>
      <c r="DQ317" s="68"/>
      <c r="DR317" s="68"/>
      <c r="DS317" s="68"/>
      <c r="DT317" s="68"/>
    </row>
    <row r="318" spans="1:124">
      <c r="A318" s="1398" t="s">
        <v>667</v>
      </c>
      <c r="B318" s="1100"/>
      <c r="C318" s="1075"/>
      <c r="D318" s="1076"/>
      <c r="E318" s="1076"/>
      <c r="F318" s="1076"/>
      <c r="G318" s="1073"/>
      <c r="H318" s="1102"/>
      <c r="I318" s="1075"/>
      <c r="J318" s="1076"/>
      <c r="K318" s="1076"/>
      <c r="L318" s="1076"/>
      <c r="M318" s="1073"/>
      <c r="N318" s="1102"/>
      <c r="O318" s="1075"/>
      <c r="P318" s="1076"/>
      <c r="Q318" s="1076"/>
      <c r="R318" s="1076"/>
      <c r="S318" s="1073"/>
      <c r="T318" s="1102"/>
      <c r="U318" s="1075"/>
      <c r="V318" s="1076"/>
      <c r="W318" s="1076"/>
      <c r="X318" s="1076"/>
      <c r="Y318" s="1073"/>
      <c r="Z318" s="1107"/>
      <c r="AA318" s="1075"/>
      <c r="AB318" s="1076"/>
      <c r="AC318" s="1076"/>
      <c r="AD318" s="1076"/>
      <c r="AE318" s="1073"/>
      <c r="AF318" s="1107"/>
      <c r="AG318" s="1077"/>
      <c r="AH318" s="1074"/>
      <c r="AI318" s="1074"/>
      <c r="AJ318" s="1078"/>
      <c r="AK318" s="1079"/>
      <c r="AL318" s="1107"/>
      <c r="AM318" s="1077"/>
      <c r="AN318" s="1074"/>
      <c r="AO318" s="1074"/>
      <c r="AP318" s="1078"/>
      <c r="AQ318" s="1073"/>
      <c r="AR318" s="1107"/>
      <c r="AS318" s="1443"/>
      <c r="AT318" s="1074"/>
      <c r="AU318" s="1074"/>
      <c r="AV318" s="1714"/>
      <c r="AW318" s="1080"/>
      <c r="AX318" s="1733"/>
      <c r="AY318" s="1443"/>
      <c r="AZ318" s="1713"/>
      <c r="BA318" s="1713"/>
      <c r="BB318" s="1713"/>
      <c r="BC318" s="1080"/>
      <c r="BD318" s="1733"/>
      <c r="BE318" s="1443"/>
      <c r="BF318" s="1713"/>
      <c r="BG318" s="1713"/>
      <c r="BH318" s="1713"/>
      <c r="BI318" s="1080"/>
      <c r="BJ318" s="1733"/>
      <c r="BK318" s="1443"/>
      <c r="BL318" s="1713"/>
      <c r="BM318" s="1713"/>
      <c r="BN318" s="1713"/>
      <c r="BO318" s="1080"/>
      <c r="BP318" s="1733"/>
      <c r="BQ318" s="1443"/>
      <c r="BR318" s="1713"/>
      <c r="BS318" s="1713"/>
      <c r="BT318" s="1713"/>
      <c r="BU318" s="1080"/>
      <c r="BV318" s="1733"/>
      <c r="BW318" s="1443"/>
      <c r="BX318" s="1713"/>
      <c r="BY318" s="1713"/>
      <c r="BZ318" s="1713"/>
      <c r="CA318" s="1080"/>
      <c r="CB318" s="1733"/>
      <c r="CC318" s="1443"/>
      <c r="CD318" s="1713"/>
      <c r="CE318" s="1713"/>
      <c r="CF318" s="1713"/>
      <c r="CG318" s="1080"/>
      <c r="CH318" s="1733"/>
      <c r="CI318" s="1443"/>
      <c r="CJ318" s="1713"/>
      <c r="CK318" s="1713"/>
      <c r="CL318" s="1713"/>
      <c r="CM318" s="1080"/>
      <c r="CN318" s="1733"/>
      <c r="CO318" s="1443"/>
      <c r="CP318" s="1713"/>
      <c r="CQ318" s="1713"/>
      <c r="CR318" s="1713"/>
      <c r="CS318" s="1080"/>
      <c r="CT318" s="229"/>
      <c r="CU318" s="68"/>
      <c r="CV318" s="68"/>
      <c r="CW318" s="68"/>
      <c r="CX318" s="68"/>
      <c r="CY318" s="68"/>
      <c r="CZ318" s="68"/>
      <c r="DA318" s="68"/>
      <c r="DB318" s="68"/>
      <c r="DC318" s="68"/>
      <c r="DD318" s="68"/>
      <c r="DE318" s="68"/>
      <c r="DF318" s="68"/>
      <c r="DG318" s="68"/>
      <c r="DH318" s="68"/>
      <c r="DI318" s="68"/>
      <c r="DJ318" s="68"/>
      <c r="DK318" s="68"/>
      <c r="DL318" s="68"/>
      <c r="DM318" s="68"/>
      <c r="DN318" s="68"/>
      <c r="DO318" s="68"/>
      <c r="DP318" s="68"/>
      <c r="DQ318" s="68"/>
      <c r="DR318" s="68"/>
      <c r="DS318" s="68"/>
      <c r="DT318" s="68"/>
    </row>
    <row r="319" spans="1:124">
      <c r="A319" s="1601" t="s">
        <v>657</v>
      </c>
      <c r="B319" s="2227"/>
      <c r="C319" s="2228"/>
      <c r="D319" s="2226"/>
      <c r="E319" s="2226"/>
      <c r="F319" s="2226"/>
      <c r="G319" s="2229"/>
      <c r="H319" s="2230"/>
      <c r="I319" s="2228"/>
      <c r="J319" s="2226"/>
      <c r="K319" s="2226"/>
      <c r="L319" s="2226"/>
      <c r="M319" s="2231"/>
      <c r="N319" s="2232"/>
      <c r="O319" s="2228"/>
      <c r="P319" s="2226"/>
      <c r="Q319" s="2226"/>
      <c r="R319" s="2226"/>
      <c r="S319" s="2231"/>
      <c r="T319" s="2232"/>
      <c r="U319" s="2233"/>
      <c r="V319" s="2234"/>
      <c r="W319" s="2234"/>
      <c r="X319" s="2234"/>
      <c r="Y319" s="2235"/>
      <c r="Z319" s="2236"/>
      <c r="AA319" s="2233"/>
      <c r="AB319" s="2234"/>
      <c r="AC319" s="2234"/>
      <c r="AD319" s="2234"/>
      <c r="AE319" s="2235"/>
      <c r="AF319" s="2236"/>
      <c r="AG319" s="2233"/>
      <c r="AI319" s="2234"/>
      <c r="AJ319" s="2234"/>
      <c r="AK319" s="2237"/>
      <c r="AL319" s="2238"/>
      <c r="AM319" s="2233"/>
      <c r="AN319" s="2234"/>
      <c r="AO319" s="2234"/>
      <c r="AP319" s="2234"/>
      <c r="AQ319" s="2237"/>
      <c r="AR319" s="2238"/>
      <c r="AS319" s="2233"/>
      <c r="AT319" s="2234"/>
      <c r="AU319" s="2234"/>
      <c r="AV319" s="2234"/>
      <c r="AW319" s="2237"/>
      <c r="AX319" s="2238"/>
      <c r="AY319" s="2233"/>
      <c r="BA319" s="2234"/>
      <c r="BB319" s="2234"/>
      <c r="BC319" s="2237"/>
      <c r="BD319" s="2238"/>
      <c r="BE319" s="2233"/>
      <c r="BF319" s="2234"/>
      <c r="BG319" s="2234"/>
      <c r="BH319" s="2234"/>
      <c r="BI319" s="2239"/>
      <c r="BJ319" s="1940"/>
      <c r="BK319" s="2240"/>
      <c r="BL319" s="2241"/>
      <c r="BM319" s="2241"/>
      <c r="BN319" s="2241"/>
      <c r="BO319" s="2239"/>
      <c r="BP319" s="1940"/>
      <c r="BQ319" s="2240"/>
      <c r="BR319" s="2241"/>
      <c r="BS319" s="2241"/>
      <c r="BT319" s="2241"/>
      <c r="BU319" s="2239"/>
      <c r="BV319" s="1940"/>
      <c r="BW319" s="2240"/>
      <c r="BX319" s="2241"/>
      <c r="BY319" s="2241"/>
      <c r="BZ319" s="2241"/>
      <c r="CA319" s="2239"/>
      <c r="CB319" s="1940"/>
      <c r="CC319" s="2240"/>
      <c r="CD319" s="2241"/>
      <c r="CE319" s="2241"/>
      <c r="CF319" s="2241"/>
      <c r="CG319" s="2239"/>
      <c r="CH319" s="1940"/>
      <c r="CI319" s="2240"/>
      <c r="CJ319" s="2241"/>
      <c r="CK319" s="2241"/>
      <c r="CL319" s="2241"/>
      <c r="CM319" s="2239"/>
      <c r="CN319" s="1940"/>
      <c r="CO319" s="2240"/>
      <c r="CP319" s="2241"/>
      <c r="CQ319" s="2241"/>
      <c r="CR319" s="2241"/>
      <c r="CS319" s="2239"/>
      <c r="CT319" s="1"/>
      <c r="CU319" s="60"/>
      <c r="CV319" s="60"/>
      <c r="CW319" s="60"/>
      <c r="CX319" s="60"/>
      <c r="CY319" s="60"/>
      <c r="CZ319" s="60"/>
      <c r="DA319" s="60"/>
      <c r="DB319" s="60"/>
      <c r="DC319" s="60"/>
      <c r="DD319" s="60"/>
      <c r="DE319" s="60"/>
      <c r="DF319" s="60"/>
      <c r="DG319" s="60"/>
      <c r="DH319" s="60"/>
      <c r="DI319" s="68"/>
      <c r="DJ319" s="68"/>
      <c r="DK319" s="68"/>
      <c r="DL319" s="68"/>
      <c r="DM319" s="68"/>
      <c r="DN319" s="68"/>
      <c r="DO319" s="68"/>
      <c r="DP319" s="68"/>
      <c r="DQ319" s="68"/>
      <c r="DR319" s="68"/>
      <c r="DS319" s="68"/>
      <c r="DT319" s="68"/>
    </row>
    <row r="320" spans="1:124">
      <c r="A320" s="1930" t="s">
        <v>661</v>
      </c>
      <c r="C320" s="1850"/>
      <c r="G320" s="736"/>
      <c r="H320" s="63"/>
      <c r="I320" s="1425">
        <f t="shared" ref="I320:L329" si="951">+J320</f>
        <v>6</v>
      </c>
      <c r="J320" s="6">
        <f t="shared" si="951"/>
        <v>6</v>
      </c>
      <c r="K320" s="6">
        <f t="shared" si="951"/>
        <v>6</v>
      </c>
      <c r="L320" s="6">
        <f t="shared" si="951"/>
        <v>6</v>
      </c>
      <c r="M320" s="1841">
        <f>+S320</f>
        <v>6</v>
      </c>
      <c r="N320" s="63"/>
      <c r="O320" s="1425">
        <f t="shared" ref="O320:R329" si="952">+P320</f>
        <v>6</v>
      </c>
      <c r="P320" s="6">
        <f t="shared" si="952"/>
        <v>6</v>
      </c>
      <c r="Q320" s="6">
        <f t="shared" si="952"/>
        <v>6</v>
      </c>
      <c r="R320" s="6">
        <f t="shared" si="952"/>
        <v>6</v>
      </c>
      <c r="S320" s="1841">
        <f>+Y320</f>
        <v>6</v>
      </c>
      <c r="T320" s="63"/>
      <c r="U320" s="1425">
        <f t="shared" ref="U320:X329" si="953">+V320</f>
        <v>6</v>
      </c>
      <c r="V320" s="6">
        <f t="shared" si="953"/>
        <v>6</v>
      </c>
      <c r="W320" s="6">
        <f t="shared" si="953"/>
        <v>6</v>
      </c>
      <c r="X320" s="6">
        <f t="shared" si="953"/>
        <v>6</v>
      </c>
      <c r="Y320" s="1841">
        <f>+AE320</f>
        <v>6</v>
      </c>
      <c r="Z320" s="63"/>
      <c r="AA320" s="1425">
        <f t="shared" ref="AA320:AD321" si="954">+AB320</f>
        <v>6</v>
      </c>
      <c r="AB320" s="6">
        <f t="shared" si="954"/>
        <v>6</v>
      </c>
      <c r="AC320" s="6">
        <f t="shared" si="954"/>
        <v>6</v>
      </c>
      <c r="AD320" s="6">
        <f t="shared" si="954"/>
        <v>6</v>
      </c>
      <c r="AE320" s="1841">
        <f>+AK320</f>
        <v>6</v>
      </c>
      <c r="AF320" s="63"/>
      <c r="AG320" s="1425">
        <f t="shared" ref="AG320:AJ321" si="955">+AH320</f>
        <v>6</v>
      </c>
      <c r="AH320" s="6">
        <f t="shared" si="955"/>
        <v>6</v>
      </c>
      <c r="AI320" s="6">
        <f t="shared" si="955"/>
        <v>6</v>
      </c>
      <c r="AJ320" s="6">
        <f t="shared" si="955"/>
        <v>6</v>
      </c>
      <c r="AK320" s="1841">
        <f>+AQ320</f>
        <v>6</v>
      </c>
      <c r="AL320" s="63"/>
      <c r="AM320" s="1425">
        <f t="shared" ref="AM320:AO321" si="956">+AN320</f>
        <v>6</v>
      </c>
      <c r="AN320" s="6">
        <f t="shared" si="956"/>
        <v>6</v>
      </c>
      <c r="AO320" s="6">
        <f t="shared" si="956"/>
        <v>6</v>
      </c>
      <c r="AP320" s="6">
        <f t="shared" ref="AP320:AP329" si="957">+AQ320</f>
        <v>6</v>
      </c>
      <c r="AQ320" s="1841">
        <f>+AW320</f>
        <v>6</v>
      </c>
      <c r="AR320" s="63"/>
      <c r="AS320" s="1425">
        <f t="shared" ref="AS320:AU321" si="958">+AT320</f>
        <v>6</v>
      </c>
      <c r="AT320" s="6">
        <f t="shared" si="958"/>
        <v>6</v>
      </c>
      <c r="AU320" s="6">
        <f t="shared" si="958"/>
        <v>6</v>
      </c>
      <c r="AV320" s="6">
        <f t="shared" ref="AV320:AV329" si="959">+AW320</f>
        <v>6</v>
      </c>
      <c r="AW320" s="2690">
        <v>6</v>
      </c>
      <c r="AX320" s="2696"/>
      <c r="AY320" s="2700">
        <f>+AW320</f>
        <v>6</v>
      </c>
      <c r="AZ320" s="2705">
        <f>+AY320</f>
        <v>6</v>
      </c>
      <c r="BA320" s="2705">
        <f>+AZ320</f>
        <v>6</v>
      </c>
      <c r="BB320" s="2705">
        <f>+BA320</f>
        <v>6</v>
      </c>
      <c r="BC320" s="2695">
        <f>+BB320</f>
        <v>6</v>
      </c>
      <c r="BD320" s="2706"/>
      <c r="BE320" s="2700">
        <f>+BC320</f>
        <v>6</v>
      </c>
      <c r="BF320" s="2705">
        <f>+BE320</f>
        <v>6</v>
      </c>
      <c r="BG320" s="2705">
        <f>+BF320</f>
        <v>6</v>
      </c>
      <c r="BH320" s="2705">
        <f>+BG320</f>
        <v>6</v>
      </c>
      <c r="BI320" s="2695">
        <f>+BH320</f>
        <v>6</v>
      </c>
      <c r="BJ320" s="2696"/>
      <c r="BK320" s="2700">
        <f>+BI320</f>
        <v>6</v>
      </c>
      <c r="BL320" s="2244">
        <f>+BK320</f>
        <v>6</v>
      </c>
      <c r="BM320" s="2244">
        <f>+BL320</f>
        <v>6</v>
      </c>
      <c r="BN320" s="2244">
        <f>+BM320</f>
        <v>6</v>
      </c>
      <c r="BO320" s="2245">
        <f>+BN320</f>
        <v>6</v>
      </c>
      <c r="BP320" s="63"/>
      <c r="BQ320" s="2243">
        <f>+BO320</f>
        <v>6</v>
      </c>
      <c r="BR320" s="2244">
        <f>+BQ320</f>
        <v>6</v>
      </c>
      <c r="BS320" s="2244">
        <f>+BR320</f>
        <v>6</v>
      </c>
      <c r="BT320" s="2244">
        <f>+BS320</f>
        <v>6</v>
      </c>
      <c r="BU320" s="2245">
        <f>+BT320</f>
        <v>6</v>
      </c>
      <c r="BV320" s="63"/>
      <c r="BW320" s="2243">
        <f>+BU320</f>
        <v>6</v>
      </c>
      <c r="BX320" s="2244">
        <f>+BW320</f>
        <v>6</v>
      </c>
      <c r="BY320" s="2244">
        <f>+BX320</f>
        <v>6</v>
      </c>
      <c r="BZ320" s="2244">
        <f>+BY320</f>
        <v>6</v>
      </c>
      <c r="CA320" s="2245">
        <f>+BZ320</f>
        <v>6</v>
      </c>
      <c r="CB320" s="63"/>
      <c r="CC320" s="2243">
        <f>+CA320</f>
        <v>6</v>
      </c>
      <c r="CD320" s="2244">
        <f>+CC320</f>
        <v>6</v>
      </c>
      <c r="CE320" s="2244">
        <f>+CD320</f>
        <v>6</v>
      </c>
      <c r="CF320" s="2244">
        <f>+CE320</f>
        <v>6</v>
      </c>
      <c r="CG320" s="2245">
        <f>+CF320</f>
        <v>6</v>
      </c>
      <c r="CH320" s="63"/>
      <c r="CI320" s="2243">
        <f>+CG320</f>
        <v>6</v>
      </c>
      <c r="CJ320" s="2244">
        <f>+CI320</f>
        <v>6</v>
      </c>
      <c r="CK320" s="2244">
        <f>+CJ320</f>
        <v>6</v>
      </c>
      <c r="CL320" s="2244">
        <f>+CK320</f>
        <v>6</v>
      </c>
      <c r="CM320" s="2245">
        <f>+CL320</f>
        <v>6</v>
      </c>
      <c r="CN320" s="63"/>
      <c r="CO320" s="2243">
        <f>+CM320</f>
        <v>6</v>
      </c>
      <c r="CP320" s="2244">
        <f>+CO320</f>
        <v>6</v>
      </c>
      <c r="CQ320" s="2244">
        <f>+CP320</f>
        <v>6</v>
      </c>
      <c r="CR320" s="2244">
        <f>+CQ320</f>
        <v>6</v>
      </c>
      <c r="CS320" s="2245">
        <f>+CR320</f>
        <v>6</v>
      </c>
      <c r="CT320" s="1"/>
      <c r="CU320" s="60"/>
      <c r="CV320" s="60"/>
      <c r="CW320" s="60"/>
      <c r="CX320" s="60"/>
      <c r="CY320" s="60"/>
      <c r="CZ320" s="60"/>
      <c r="DA320" s="60"/>
      <c r="DB320" s="60"/>
      <c r="DC320" s="60"/>
      <c r="DD320" s="60"/>
      <c r="DE320" s="60"/>
      <c r="DF320" s="60"/>
      <c r="DG320" s="60"/>
      <c r="DH320" s="60"/>
      <c r="DI320" s="68"/>
      <c r="DJ320" s="68"/>
      <c r="DK320" s="68"/>
      <c r="DL320" s="68"/>
      <c r="DM320" s="68"/>
      <c r="DN320" s="68"/>
      <c r="DO320" s="68"/>
      <c r="DP320" s="68"/>
      <c r="DQ320" s="68"/>
      <c r="DR320" s="68"/>
      <c r="DS320" s="68"/>
      <c r="DT320" s="68"/>
    </row>
    <row r="321" spans="1:162">
      <c r="A321" s="1930" t="s">
        <v>615</v>
      </c>
      <c r="C321" s="1850"/>
      <c r="G321" s="736"/>
      <c r="H321" s="63"/>
      <c r="I321" s="1425">
        <f t="shared" si="951"/>
        <v>3.1090909090909093</v>
      </c>
      <c r="J321" s="6">
        <f t="shared" si="951"/>
        <v>3.1090909090909093</v>
      </c>
      <c r="K321" s="6">
        <f t="shared" si="951"/>
        <v>3.1090909090909093</v>
      </c>
      <c r="L321" s="6">
        <f t="shared" si="951"/>
        <v>3.1090909090909093</v>
      </c>
      <c r="M321" s="1841">
        <f t="shared" ref="M321:M329" si="960">+S321</f>
        <v>3.1090909090909093</v>
      </c>
      <c r="N321" s="63"/>
      <c r="O321" s="1425">
        <f t="shared" si="952"/>
        <v>3.1090909090909093</v>
      </c>
      <c r="P321" s="6">
        <f t="shared" si="952"/>
        <v>3.1090909090909093</v>
      </c>
      <c r="Q321" s="6">
        <f t="shared" si="952"/>
        <v>3.1090909090909093</v>
      </c>
      <c r="R321" s="6">
        <f t="shared" si="952"/>
        <v>3.1090909090909093</v>
      </c>
      <c r="S321" s="1841">
        <f t="shared" ref="S321:S329" si="961">+Y321</f>
        <v>3.1090909090909093</v>
      </c>
      <c r="T321" s="63"/>
      <c r="U321" s="1425">
        <f t="shared" si="953"/>
        <v>3.1090909090909093</v>
      </c>
      <c r="V321" s="6">
        <f t="shared" si="953"/>
        <v>3.1090909090909093</v>
      </c>
      <c r="W321" s="6">
        <f t="shared" si="953"/>
        <v>3.1090909090909093</v>
      </c>
      <c r="X321" s="6">
        <f t="shared" si="953"/>
        <v>3.1090909090909093</v>
      </c>
      <c r="Y321" s="1841">
        <f t="shared" ref="Y321:Y329" si="962">+AE321</f>
        <v>3.1090909090909093</v>
      </c>
      <c r="Z321" s="63"/>
      <c r="AA321" s="1425">
        <f t="shared" si="954"/>
        <v>3.1090909090909093</v>
      </c>
      <c r="AB321" s="6">
        <f t="shared" si="954"/>
        <v>3.1090909090909093</v>
      </c>
      <c r="AC321" s="6">
        <f t="shared" si="954"/>
        <v>3.1090909090909093</v>
      </c>
      <c r="AD321" s="6">
        <f t="shared" si="954"/>
        <v>3.1090909090909093</v>
      </c>
      <c r="AE321" s="1841">
        <f t="shared" ref="AE321:AE329" si="963">+AK321</f>
        <v>3.1090909090909093</v>
      </c>
      <c r="AF321" s="63"/>
      <c r="AG321" s="1425">
        <f t="shared" si="955"/>
        <v>3.1090909090909093</v>
      </c>
      <c r="AH321" s="6">
        <f t="shared" si="955"/>
        <v>3.1090909090909093</v>
      </c>
      <c r="AI321" s="6">
        <f t="shared" si="955"/>
        <v>3.1090909090909093</v>
      </c>
      <c r="AJ321" s="6">
        <f t="shared" si="955"/>
        <v>3.1090909090909093</v>
      </c>
      <c r="AK321" s="1841">
        <f t="shared" ref="AK321:AK329" si="964">+AQ321</f>
        <v>3.1090909090909093</v>
      </c>
      <c r="AL321" s="63"/>
      <c r="AM321" s="1425">
        <f t="shared" si="956"/>
        <v>3.1090909090909093</v>
      </c>
      <c r="AN321" s="6">
        <f t="shared" si="956"/>
        <v>3.1090909090909093</v>
      </c>
      <c r="AO321" s="6">
        <f t="shared" si="956"/>
        <v>3.1090909090909093</v>
      </c>
      <c r="AP321" s="6">
        <f t="shared" si="957"/>
        <v>3.1090909090909093</v>
      </c>
      <c r="AQ321" s="1841">
        <f t="shared" ref="AQ321:AQ328" si="965">+AW321</f>
        <v>3.1090909090909093</v>
      </c>
      <c r="AR321" s="63"/>
      <c r="AS321" s="1425">
        <f t="shared" si="958"/>
        <v>3.1090909090909093</v>
      </c>
      <c r="AT321" s="6">
        <f t="shared" si="958"/>
        <v>3.1090909090909093</v>
      </c>
      <c r="AU321" s="6">
        <f t="shared" si="958"/>
        <v>3.1090909090909093</v>
      </c>
      <c r="AV321" s="6">
        <f t="shared" si="959"/>
        <v>3.1090909090909093</v>
      </c>
      <c r="AW321" s="2690">
        <v>3.1090909090909093</v>
      </c>
      <c r="AX321" s="2696"/>
      <c r="AY321" s="2700">
        <f>+AW321</f>
        <v>3.1090909090909093</v>
      </c>
      <c r="AZ321" s="2705">
        <f t="shared" ref="AZ321:BC329" si="966">+AY321</f>
        <v>3.1090909090909093</v>
      </c>
      <c r="BA321" s="2705">
        <f t="shared" si="966"/>
        <v>3.1090909090909093</v>
      </c>
      <c r="BB321" s="2705">
        <f t="shared" si="966"/>
        <v>3.1090909090909093</v>
      </c>
      <c r="BC321" s="2695">
        <f t="shared" si="966"/>
        <v>3.1090909090909093</v>
      </c>
      <c r="BD321" s="2706"/>
      <c r="BE321" s="2700">
        <f>+BC321</f>
        <v>3.1090909090909093</v>
      </c>
      <c r="BF321" s="2705">
        <f t="shared" ref="BF321:BI329" si="967">+BE321</f>
        <v>3.1090909090909093</v>
      </c>
      <c r="BG321" s="2705">
        <f t="shared" si="967"/>
        <v>3.1090909090909093</v>
      </c>
      <c r="BH321" s="2705">
        <f t="shared" si="967"/>
        <v>3.1090909090909093</v>
      </c>
      <c r="BI321" s="2695">
        <f t="shared" si="967"/>
        <v>3.1090909090909093</v>
      </c>
      <c r="BJ321" s="2696"/>
      <c r="BK321" s="2700">
        <f>+BI321</f>
        <v>3.1090909090909093</v>
      </c>
      <c r="BL321" s="2244">
        <f t="shared" ref="BL321:BO329" si="968">+BK321</f>
        <v>3.1090909090909093</v>
      </c>
      <c r="BM321" s="2244">
        <f t="shared" si="968"/>
        <v>3.1090909090909093</v>
      </c>
      <c r="BN321" s="2244">
        <f t="shared" si="968"/>
        <v>3.1090909090909093</v>
      </c>
      <c r="BO321" s="2245">
        <f t="shared" si="968"/>
        <v>3.1090909090909093</v>
      </c>
      <c r="BP321" s="63"/>
      <c r="BQ321" s="2243">
        <f>+BO321</f>
        <v>3.1090909090909093</v>
      </c>
      <c r="BR321" s="2244">
        <f t="shared" ref="BR321:BU329" si="969">+BQ321</f>
        <v>3.1090909090909093</v>
      </c>
      <c r="BS321" s="2244">
        <f t="shared" si="969"/>
        <v>3.1090909090909093</v>
      </c>
      <c r="BT321" s="2244">
        <f t="shared" si="969"/>
        <v>3.1090909090909093</v>
      </c>
      <c r="BU321" s="2245">
        <f t="shared" si="969"/>
        <v>3.1090909090909093</v>
      </c>
      <c r="BV321" s="63"/>
      <c r="BW321" s="2243">
        <f>+BU321</f>
        <v>3.1090909090909093</v>
      </c>
      <c r="BX321" s="2244">
        <f t="shared" ref="BX321:BX329" si="970">+BW321</f>
        <v>3.1090909090909093</v>
      </c>
      <c r="BY321" s="2244">
        <f t="shared" ref="BY321:BY329" si="971">+BX321</f>
        <v>3.1090909090909093</v>
      </c>
      <c r="BZ321" s="2244">
        <f t="shared" ref="BZ321:BZ329" si="972">+BY321</f>
        <v>3.1090909090909093</v>
      </c>
      <c r="CA321" s="2245">
        <f t="shared" ref="CA321:CA329" si="973">+BZ321</f>
        <v>3.1090909090909093</v>
      </c>
      <c r="CB321" s="63"/>
      <c r="CC321" s="2243">
        <f>+CA321</f>
        <v>3.1090909090909093</v>
      </c>
      <c r="CD321" s="2244">
        <f t="shared" ref="CD321:CD329" si="974">+CC321</f>
        <v>3.1090909090909093</v>
      </c>
      <c r="CE321" s="2244">
        <f t="shared" ref="CE321:CE329" si="975">+CD321</f>
        <v>3.1090909090909093</v>
      </c>
      <c r="CF321" s="2244">
        <f t="shared" ref="CF321:CF329" si="976">+CE321</f>
        <v>3.1090909090909093</v>
      </c>
      <c r="CG321" s="2245">
        <f t="shared" ref="CG321:CG329" si="977">+CF321</f>
        <v>3.1090909090909093</v>
      </c>
      <c r="CH321" s="63"/>
      <c r="CI321" s="2243">
        <f>+CG321</f>
        <v>3.1090909090909093</v>
      </c>
      <c r="CJ321" s="2244">
        <f t="shared" ref="CJ321:CJ322" si="978">+CI321</f>
        <v>3.1090909090909093</v>
      </c>
      <c r="CK321" s="2244">
        <f t="shared" ref="CK321:CK322" si="979">+CJ321</f>
        <v>3.1090909090909093</v>
      </c>
      <c r="CL321" s="2244">
        <f t="shared" ref="CL321:CL322" si="980">+CK321</f>
        <v>3.1090909090909093</v>
      </c>
      <c r="CM321" s="2245">
        <f t="shared" ref="CM321:CM331" si="981">+CL321</f>
        <v>3.1090909090909093</v>
      </c>
      <c r="CN321" s="63"/>
      <c r="CO321" s="2243">
        <f>+CM321</f>
        <v>3.1090909090909093</v>
      </c>
      <c r="CP321" s="2244">
        <f t="shared" ref="CP321:CP322" si="982">+CO321</f>
        <v>3.1090909090909093</v>
      </c>
      <c r="CQ321" s="2244">
        <f t="shared" ref="CQ321:CQ322" si="983">+CP321</f>
        <v>3.1090909090909093</v>
      </c>
      <c r="CR321" s="2244">
        <f t="shared" ref="CR321:CR322" si="984">+CQ321</f>
        <v>3.1090909090909093</v>
      </c>
      <c r="CS321" s="2245">
        <f t="shared" ref="CS321:CS331" si="985">+CR321</f>
        <v>3.1090909090909093</v>
      </c>
      <c r="CY321" s="2383" t="s">
        <v>106</v>
      </c>
      <c r="CZ321" s="2383" t="s">
        <v>107</v>
      </c>
      <c r="DA321" s="2383" t="s">
        <v>108</v>
      </c>
      <c r="DB321" s="2383" t="s">
        <v>109</v>
      </c>
      <c r="DC321" s="2383" t="s">
        <v>110</v>
      </c>
      <c r="DD321" s="2383" t="s">
        <v>111</v>
      </c>
      <c r="DE321" s="2383" t="s">
        <v>112</v>
      </c>
      <c r="DF321" s="2383" t="s">
        <v>113</v>
      </c>
      <c r="DG321" s="2383" t="s">
        <v>114</v>
      </c>
      <c r="DH321" s="2383" t="s">
        <v>271</v>
      </c>
      <c r="DI321" s="2383" t="s">
        <v>101</v>
      </c>
      <c r="DJ321" s="2383" t="s">
        <v>100</v>
      </c>
      <c r="DK321" s="2383" t="s">
        <v>94</v>
      </c>
      <c r="DL321" s="2383" t="s">
        <v>93</v>
      </c>
      <c r="DM321" s="2383" t="s">
        <v>92</v>
      </c>
      <c r="DN321" s="2383" t="s">
        <v>91</v>
      </c>
      <c r="DO321" s="2383" t="s">
        <v>115</v>
      </c>
      <c r="DP321" s="2383" t="s">
        <v>116</v>
      </c>
      <c r="DQ321" s="2383" t="s">
        <v>117</v>
      </c>
      <c r="DR321" s="2383" t="s">
        <v>118</v>
      </c>
      <c r="DS321" s="2383" t="s">
        <v>509</v>
      </c>
      <c r="DT321" s="2383" t="s">
        <v>510</v>
      </c>
      <c r="DU321" s="2383" t="s">
        <v>511</v>
      </c>
      <c r="DV321" s="2383" t="s">
        <v>512</v>
      </c>
      <c r="DW321" s="2383" t="s">
        <v>551</v>
      </c>
      <c r="DX321" s="2383" t="s">
        <v>552</v>
      </c>
      <c r="DY321" s="2383" t="s">
        <v>553</v>
      </c>
      <c r="DZ321" s="2383" t="s">
        <v>554</v>
      </c>
      <c r="EA321" s="2383" t="s">
        <v>772</v>
      </c>
      <c r="EB321" s="2383" t="s">
        <v>798</v>
      </c>
      <c r="EC321" s="2383" t="s">
        <v>799</v>
      </c>
      <c r="ED321" s="2383" t="s">
        <v>800</v>
      </c>
      <c r="EE321" s="2383" t="s">
        <v>581</v>
      </c>
      <c r="EF321" s="2383" t="s">
        <v>582</v>
      </c>
      <c r="EG321" s="2383" t="s">
        <v>583</v>
      </c>
      <c r="EH321" s="2383" t="s">
        <v>584</v>
      </c>
      <c r="EI321" s="2383" t="s">
        <v>760</v>
      </c>
      <c r="EJ321" s="2383" t="s">
        <v>761</v>
      </c>
      <c r="EK321" s="2383" t="s">
        <v>762</v>
      </c>
      <c r="EL321" s="2383" t="s">
        <v>763</v>
      </c>
      <c r="EM321" s="2383" t="s">
        <v>764</v>
      </c>
      <c r="EN321" s="2383" t="s">
        <v>765</v>
      </c>
      <c r="EO321" s="2383" t="s">
        <v>766</v>
      </c>
      <c r="EP321" s="2383" t="s">
        <v>767</v>
      </c>
      <c r="EQ321" s="2383" t="s">
        <v>888</v>
      </c>
      <c r="ER321" s="2383" t="s">
        <v>889</v>
      </c>
      <c r="ES321" s="2383" t="s">
        <v>890</v>
      </c>
      <c r="ET321" s="2383" t="s">
        <v>891</v>
      </c>
      <c r="EU321" s="2383" t="s">
        <v>892</v>
      </c>
      <c r="EV321" s="2383" t="s">
        <v>893</v>
      </c>
      <c r="EW321" s="2383" t="s">
        <v>894</v>
      </c>
      <c r="EX321" s="2383" t="s">
        <v>895</v>
      </c>
      <c r="EZ321" s="2383"/>
      <c r="FA321" s="2383"/>
      <c r="FB321" s="2383"/>
      <c r="FC321" s="2383"/>
      <c r="FD321" s="2383"/>
      <c r="FE321" s="2383"/>
      <c r="FF321" s="2383"/>
    </row>
    <row r="322" spans="1:162">
      <c r="A322" s="1930" t="s">
        <v>230</v>
      </c>
      <c r="C322" s="1850"/>
      <c r="G322" s="736"/>
      <c r="H322" s="63"/>
      <c r="I322" s="1425">
        <f t="shared" si="951"/>
        <v>7</v>
      </c>
      <c r="J322" s="6">
        <f t="shared" si="951"/>
        <v>7</v>
      </c>
      <c r="K322" s="6">
        <f t="shared" si="951"/>
        <v>7</v>
      </c>
      <c r="L322" s="6">
        <f t="shared" si="951"/>
        <v>7</v>
      </c>
      <c r="M322" s="1841">
        <f t="shared" si="960"/>
        <v>7</v>
      </c>
      <c r="N322" s="63"/>
      <c r="O322" s="1425">
        <f t="shared" si="952"/>
        <v>7</v>
      </c>
      <c r="P322" s="6">
        <f t="shared" si="952"/>
        <v>7</v>
      </c>
      <c r="Q322" s="6">
        <f t="shared" si="952"/>
        <v>7</v>
      </c>
      <c r="R322" s="6">
        <f t="shared" si="952"/>
        <v>7</v>
      </c>
      <c r="S322" s="1841">
        <f t="shared" si="961"/>
        <v>7</v>
      </c>
      <c r="T322" s="63"/>
      <c r="U322" s="1425">
        <f t="shared" si="953"/>
        <v>7</v>
      </c>
      <c r="V322" s="6">
        <f t="shared" si="953"/>
        <v>7</v>
      </c>
      <c r="W322" s="6">
        <f t="shared" si="953"/>
        <v>7</v>
      </c>
      <c r="X322" s="6">
        <f t="shared" si="953"/>
        <v>7</v>
      </c>
      <c r="Y322" s="1841">
        <f t="shared" si="962"/>
        <v>7</v>
      </c>
      <c r="Z322" s="63"/>
      <c r="AA322" s="1425">
        <f t="shared" ref="AA322:AD329" si="986">+AB322</f>
        <v>7</v>
      </c>
      <c r="AB322" s="6">
        <f t="shared" si="986"/>
        <v>7</v>
      </c>
      <c r="AC322" s="6">
        <f t="shared" si="986"/>
        <v>7</v>
      </c>
      <c r="AD322" s="6">
        <f t="shared" si="986"/>
        <v>7</v>
      </c>
      <c r="AE322" s="1841">
        <f t="shared" si="963"/>
        <v>7</v>
      </c>
      <c r="AF322" s="63"/>
      <c r="AG322" s="1425">
        <f t="shared" ref="AG322:AJ329" si="987">+AH322</f>
        <v>7</v>
      </c>
      <c r="AH322" s="6">
        <f t="shared" si="987"/>
        <v>7</v>
      </c>
      <c r="AI322" s="6">
        <f t="shared" si="987"/>
        <v>7</v>
      </c>
      <c r="AJ322" s="6">
        <f t="shared" si="987"/>
        <v>7</v>
      </c>
      <c r="AK322" s="1841">
        <f t="shared" si="964"/>
        <v>7</v>
      </c>
      <c r="AL322" s="63"/>
      <c r="AM322" s="1425">
        <f t="shared" ref="AM322:AO329" si="988">+AN322</f>
        <v>7</v>
      </c>
      <c r="AN322" s="6">
        <f t="shared" si="988"/>
        <v>7</v>
      </c>
      <c r="AO322" s="6">
        <f t="shared" si="988"/>
        <v>7</v>
      </c>
      <c r="AP322" s="6">
        <f t="shared" si="957"/>
        <v>7</v>
      </c>
      <c r="AQ322" s="1841">
        <f t="shared" si="965"/>
        <v>7</v>
      </c>
      <c r="AR322" s="63"/>
      <c r="AS322" s="1425">
        <f t="shared" ref="AS322:AU329" si="989">+AT322</f>
        <v>7</v>
      </c>
      <c r="AT322" s="6">
        <f t="shared" si="989"/>
        <v>7</v>
      </c>
      <c r="AU322" s="6">
        <f t="shared" si="989"/>
        <v>7</v>
      </c>
      <c r="AV322" s="6">
        <f t="shared" si="959"/>
        <v>7</v>
      </c>
      <c r="AW322" s="2690">
        <v>7</v>
      </c>
      <c r="AX322" s="2696"/>
      <c r="AY322" s="2700">
        <f t="shared" ref="AY322:AY329" si="990">+AW322</f>
        <v>7</v>
      </c>
      <c r="AZ322" s="2705">
        <f t="shared" si="966"/>
        <v>7</v>
      </c>
      <c r="BA322" s="2705">
        <f t="shared" si="966"/>
        <v>7</v>
      </c>
      <c r="BB322" s="2705">
        <f t="shared" si="966"/>
        <v>7</v>
      </c>
      <c r="BC322" s="2695">
        <f t="shared" si="966"/>
        <v>7</v>
      </c>
      <c r="BD322" s="2706"/>
      <c r="BE322" s="2700">
        <f t="shared" ref="BE322:BE329" si="991">+BC322</f>
        <v>7</v>
      </c>
      <c r="BF322" s="2705">
        <f t="shared" si="967"/>
        <v>7</v>
      </c>
      <c r="BG322" s="2705">
        <f t="shared" si="967"/>
        <v>7</v>
      </c>
      <c r="BH322" s="2705">
        <f t="shared" si="967"/>
        <v>7</v>
      </c>
      <c r="BI322" s="2695">
        <f t="shared" si="967"/>
        <v>7</v>
      </c>
      <c r="BJ322" s="2696"/>
      <c r="BK322" s="2700">
        <f t="shared" ref="BK322:BK329" si="992">+BI322</f>
        <v>7</v>
      </c>
      <c r="BL322" s="2244">
        <f t="shared" si="968"/>
        <v>7</v>
      </c>
      <c r="BM322" s="2244">
        <f t="shared" si="968"/>
        <v>7</v>
      </c>
      <c r="BN322" s="2244">
        <f t="shared" si="968"/>
        <v>7</v>
      </c>
      <c r="BO322" s="2245">
        <f t="shared" si="968"/>
        <v>7</v>
      </c>
      <c r="BP322" s="63"/>
      <c r="BQ322" s="2243">
        <f t="shared" ref="BQ322:BQ329" si="993">+BO322</f>
        <v>7</v>
      </c>
      <c r="BR322" s="2244">
        <f t="shared" si="969"/>
        <v>7</v>
      </c>
      <c r="BS322" s="2244">
        <f t="shared" si="969"/>
        <v>7</v>
      </c>
      <c r="BT322" s="2244">
        <f t="shared" si="969"/>
        <v>7</v>
      </c>
      <c r="BU322" s="2245">
        <f t="shared" si="969"/>
        <v>7</v>
      </c>
      <c r="BV322" s="63"/>
      <c r="BW322" s="2243">
        <f t="shared" ref="BW322" si="994">+BU322</f>
        <v>7</v>
      </c>
      <c r="BX322" s="2244">
        <f t="shared" si="970"/>
        <v>7</v>
      </c>
      <c r="BY322" s="2244">
        <f t="shared" si="971"/>
        <v>7</v>
      </c>
      <c r="BZ322" s="2244">
        <f t="shared" si="972"/>
        <v>7</v>
      </c>
      <c r="CA322" s="2245">
        <f t="shared" si="973"/>
        <v>7</v>
      </c>
      <c r="CB322" s="63"/>
      <c r="CC322" s="2243">
        <f t="shared" ref="CC322" si="995">+CA322</f>
        <v>7</v>
      </c>
      <c r="CD322" s="2244">
        <f t="shared" si="974"/>
        <v>7</v>
      </c>
      <c r="CE322" s="2244">
        <f t="shared" si="975"/>
        <v>7</v>
      </c>
      <c r="CF322" s="2244">
        <f t="shared" si="976"/>
        <v>7</v>
      </c>
      <c r="CG322" s="2245">
        <f t="shared" si="977"/>
        <v>7</v>
      </c>
      <c r="CH322" s="63"/>
      <c r="CI322" s="2243">
        <f t="shared" ref="CI322" si="996">+CG322</f>
        <v>7</v>
      </c>
      <c r="CJ322" s="2244">
        <f t="shared" si="978"/>
        <v>7</v>
      </c>
      <c r="CK322" s="2244">
        <f t="shared" si="979"/>
        <v>7</v>
      </c>
      <c r="CL322" s="2244">
        <f t="shared" si="980"/>
        <v>7</v>
      </c>
      <c r="CM322" s="2245">
        <f t="shared" si="981"/>
        <v>7</v>
      </c>
      <c r="CN322" s="63"/>
      <c r="CO322" s="2243">
        <f t="shared" ref="CO322" si="997">+CM322</f>
        <v>7</v>
      </c>
      <c r="CP322" s="2244">
        <f t="shared" si="982"/>
        <v>7</v>
      </c>
      <c r="CQ322" s="2244">
        <f t="shared" si="983"/>
        <v>7</v>
      </c>
      <c r="CR322" s="2244">
        <f t="shared" si="984"/>
        <v>7</v>
      </c>
      <c r="CS322" s="2245">
        <f t="shared" si="985"/>
        <v>7</v>
      </c>
      <c r="CY322" s="2379">
        <f>+U347</f>
        <v>0.28079999999999994</v>
      </c>
      <c r="CZ322" s="2379">
        <f>+V347</f>
        <v>0.49003200000000025</v>
      </c>
      <c r="DA322" s="2379">
        <f>+W347</f>
        <v>1.0346543999999995</v>
      </c>
      <c r="DB322" s="2379">
        <f>+X347</f>
        <v>1.1564063999999989</v>
      </c>
      <c r="DC322" s="2379">
        <f>+AA347</f>
        <v>1.2589776000000015</v>
      </c>
      <c r="DD322" s="2379">
        <f>+AB347</f>
        <v>1.2195043200000004</v>
      </c>
      <c r="DE322" s="2379">
        <f>+AC347</f>
        <v>1.0697615999999996</v>
      </c>
      <c r="DF322" s="2379">
        <f>+AD347</f>
        <v>0.8742556799999992</v>
      </c>
      <c r="DG322" s="2379">
        <f>+AG347</f>
        <v>1.034164800000001</v>
      </c>
      <c r="DH322" s="2379">
        <f>+AH347</f>
        <v>1.0255103999999999</v>
      </c>
      <c r="DI322" s="2379">
        <f>+AI347</f>
        <v>1.1149608000000022</v>
      </c>
      <c r="DJ322" s="2379">
        <f>+AJ347</f>
        <v>4.6396584000000001</v>
      </c>
      <c r="DK322" s="2379">
        <f>+AM347</f>
        <v>9.1063199999999966</v>
      </c>
      <c r="DL322" s="2379">
        <f>+AN347</f>
        <v>9.8975399999999993</v>
      </c>
      <c r="DM322" s="2379">
        <f>+AO347</f>
        <v>7.9312200000000033</v>
      </c>
      <c r="DN322" s="2379">
        <f>+AP347</f>
        <v>5.4768268781954887</v>
      </c>
      <c r="DO322" s="2379">
        <f>+AS347</f>
        <v>6.0153748781954874</v>
      </c>
      <c r="DP322" s="2379">
        <f>+AT347</f>
        <v>13.723944000000003</v>
      </c>
      <c r="DQ322" s="2379">
        <f>+AU347</f>
        <v>17.311775999999995</v>
      </c>
      <c r="DR322" s="2379">
        <f>+AV347</f>
        <v>19.064220000000006</v>
      </c>
      <c r="DS322" s="2379">
        <f>+AY347</f>
        <v>21.223937398285727</v>
      </c>
      <c r="DT322" s="2379">
        <f>+AZ347</f>
        <v>23.346136627636952</v>
      </c>
      <c r="DU322" s="2379">
        <f>+BA347</f>
        <v>23.242194780264214</v>
      </c>
      <c r="DV322" s="2379">
        <f>+BB347</f>
        <v>22.135936845084444</v>
      </c>
      <c r="DW322" s="2379">
        <f>+BE347</f>
        <v>17.118699642886071</v>
      </c>
      <c r="DX322" s="2379">
        <f>+BF347</f>
        <v>14.502634437942788</v>
      </c>
      <c r="DY322" s="2379">
        <f>+BG347</f>
        <v>14.53310972681922</v>
      </c>
      <c r="DZ322" s="2379">
        <f>+BH347</f>
        <v>12.650789615289966</v>
      </c>
      <c r="EA322" s="2379">
        <f>+BK347</f>
        <v>37.229735666199076</v>
      </c>
      <c r="EB322" s="2379">
        <f>+BL347</f>
        <v>51.281206299039241</v>
      </c>
      <c r="EC322" s="2379">
        <f>+BM347</f>
        <v>97.580453883266273</v>
      </c>
      <c r="ED322" s="2379">
        <f>+BN347</f>
        <v>100.72813955844157</v>
      </c>
      <c r="EE322" s="2379">
        <f>+BQ347</f>
        <v>96.394305958441464</v>
      </c>
      <c r="EF322" s="2379">
        <f>+BR347</f>
        <v>90.995131996363739</v>
      </c>
      <c r="EG322" s="2379">
        <f>+BS347</f>
        <v>93.466920488999904</v>
      </c>
      <c r="EH322" s="2379">
        <f>+BT347</f>
        <v>94.988546656725021</v>
      </c>
      <c r="EI322" s="2379">
        <f>+BW347</f>
        <v>103.6535206700305</v>
      </c>
      <c r="EJ322" s="2379">
        <f>+BX347</f>
        <v>99.026269067341104</v>
      </c>
      <c r="EK322" s="2379">
        <f>+BY347</f>
        <v>103.60935610909792</v>
      </c>
      <c r="EL322" s="2379">
        <f>+BZ347</f>
        <v>108.35786640977608</v>
      </c>
      <c r="EM322" s="2379">
        <f>+CC347</f>
        <v>109.16278365819335</v>
      </c>
      <c r="EN322" s="2379">
        <f>+CD347</f>
        <v>109.82335035140727</v>
      </c>
      <c r="EO322" s="2379">
        <f>+CE347</f>
        <v>114.66020652283942</v>
      </c>
      <c r="EP322" s="2379">
        <f>+CF347</f>
        <v>119.66862910887448</v>
      </c>
      <c r="EQ322" s="2379">
        <f>+CI347</f>
        <v>124.85417339513424</v>
      </c>
      <c r="ER322" s="2379">
        <f>+CJ347</f>
        <v>128.29515091679923</v>
      </c>
      <c r="ES322" s="2379">
        <f>+CK347</f>
        <v>129.45411295741405</v>
      </c>
      <c r="ET322" s="2379">
        <f>+CL347</f>
        <v>134.9122134019367</v>
      </c>
      <c r="EU322" s="2379">
        <f>+CO347</f>
        <v>146.88646345123379</v>
      </c>
      <c r="EV322" s="2379">
        <f>+CP347</f>
        <v>153.04709427066064</v>
      </c>
      <c r="EW322" s="2379">
        <f>+CQ347</f>
        <v>155.57765614854497</v>
      </c>
      <c r="EX322" s="2379">
        <f>+CR347</f>
        <v>162.17358095783356</v>
      </c>
      <c r="EZ322" s="2379"/>
      <c r="FA322" s="2379"/>
      <c r="FB322" s="2379"/>
      <c r="FC322" s="2379"/>
      <c r="FD322" s="2379"/>
      <c r="FE322" s="2379"/>
      <c r="FF322" s="2379"/>
    </row>
    <row r="323" spans="1:162">
      <c r="A323" s="1930" t="s">
        <v>447</v>
      </c>
      <c r="C323" s="1850"/>
      <c r="G323" s="736"/>
      <c r="H323" s="63"/>
      <c r="I323" s="1425">
        <f t="shared" si="951"/>
        <v>91.2</v>
      </c>
      <c r="J323" s="6">
        <f t="shared" si="951"/>
        <v>91.2</v>
      </c>
      <c r="K323" s="6">
        <f t="shared" si="951"/>
        <v>91.2</v>
      </c>
      <c r="L323" s="6">
        <f t="shared" si="951"/>
        <v>91.2</v>
      </c>
      <c r="M323" s="1841">
        <f t="shared" si="960"/>
        <v>91.2</v>
      </c>
      <c r="N323" s="63"/>
      <c r="O323" s="1425">
        <f t="shared" si="952"/>
        <v>91.2</v>
      </c>
      <c r="P323" s="6">
        <f t="shared" si="952"/>
        <v>91.2</v>
      </c>
      <c r="Q323" s="6">
        <f t="shared" si="952"/>
        <v>91.2</v>
      </c>
      <c r="R323" s="6">
        <f t="shared" si="952"/>
        <v>91.2</v>
      </c>
      <c r="S323" s="1841">
        <f t="shared" si="961"/>
        <v>91.2</v>
      </c>
      <c r="T323" s="63"/>
      <c r="U323" s="1425">
        <f t="shared" si="953"/>
        <v>91.2</v>
      </c>
      <c r="V323" s="6">
        <f t="shared" si="953"/>
        <v>91.2</v>
      </c>
      <c r="W323" s="6">
        <f t="shared" si="953"/>
        <v>91.2</v>
      </c>
      <c r="X323" s="6">
        <f t="shared" si="953"/>
        <v>91.2</v>
      </c>
      <c r="Y323" s="1841">
        <f t="shared" si="962"/>
        <v>91.2</v>
      </c>
      <c r="Z323" s="63"/>
      <c r="AA323" s="1425">
        <f t="shared" si="986"/>
        <v>91.2</v>
      </c>
      <c r="AB323" s="6">
        <f t="shared" si="986"/>
        <v>91.2</v>
      </c>
      <c r="AC323" s="6">
        <f t="shared" si="986"/>
        <v>91.2</v>
      </c>
      <c r="AD323" s="6">
        <f t="shared" si="986"/>
        <v>91.2</v>
      </c>
      <c r="AE323" s="1841">
        <f t="shared" si="963"/>
        <v>91.2</v>
      </c>
      <c r="AF323" s="63"/>
      <c r="AG323" s="1425">
        <f t="shared" si="987"/>
        <v>91.2</v>
      </c>
      <c r="AH323" s="6">
        <f t="shared" si="987"/>
        <v>91.2</v>
      </c>
      <c r="AI323" s="6">
        <f t="shared" si="987"/>
        <v>91.2</v>
      </c>
      <c r="AJ323" s="6">
        <f t="shared" si="987"/>
        <v>91.2</v>
      </c>
      <c r="AK323" s="1841">
        <f t="shared" si="964"/>
        <v>91.2</v>
      </c>
      <c r="AL323" s="63"/>
      <c r="AM323" s="1425">
        <f t="shared" si="988"/>
        <v>91.2</v>
      </c>
      <c r="AN323" s="6">
        <f t="shared" si="988"/>
        <v>91.2</v>
      </c>
      <c r="AO323" s="6">
        <f t="shared" si="988"/>
        <v>91.2</v>
      </c>
      <c r="AP323" s="6">
        <f t="shared" si="957"/>
        <v>91.2</v>
      </c>
      <c r="AQ323" s="1841">
        <f t="shared" si="965"/>
        <v>91.2</v>
      </c>
      <c r="AR323" s="63"/>
      <c r="AS323" s="1425">
        <f t="shared" si="989"/>
        <v>91.2</v>
      </c>
      <c r="AT323" s="6">
        <f t="shared" si="989"/>
        <v>91.2</v>
      </c>
      <c r="AU323" s="6">
        <f t="shared" si="989"/>
        <v>91.2</v>
      </c>
      <c r="AV323" s="6">
        <f t="shared" si="959"/>
        <v>91.2</v>
      </c>
      <c r="AW323" s="2690">
        <v>91.2</v>
      </c>
      <c r="AX323" s="2696"/>
      <c r="AY323" s="2700">
        <f t="shared" si="990"/>
        <v>91.2</v>
      </c>
      <c r="AZ323" s="2705">
        <f t="shared" si="966"/>
        <v>91.2</v>
      </c>
      <c r="BA323" s="2705">
        <f t="shared" si="966"/>
        <v>91.2</v>
      </c>
      <c r="BB323" s="2705">
        <f t="shared" si="966"/>
        <v>91.2</v>
      </c>
      <c r="BC323" s="2695">
        <f t="shared" si="966"/>
        <v>91.2</v>
      </c>
      <c r="BD323" s="2706"/>
      <c r="BE323" s="2700">
        <f t="shared" si="991"/>
        <v>91.2</v>
      </c>
      <c r="BF323" s="2705">
        <f t="shared" si="967"/>
        <v>91.2</v>
      </c>
      <c r="BG323" s="2705">
        <f t="shared" si="967"/>
        <v>91.2</v>
      </c>
      <c r="BH323" s="2705">
        <f t="shared" si="967"/>
        <v>91.2</v>
      </c>
      <c r="BI323" s="2695">
        <f t="shared" si="967"/>
        <v>91.2</v>
      </c>
      <c r="BJ323" s="2696"/>
      <c r="BK323" s="2700">
        <f t="shared" si="992"/>
        <v>91.2</v>
      </c>
      <c r="BL323" s="2244">
        <f t="shared" si="968"/>
        <v>91.2</v>
      </c>
      <c r="BM323" s="2244">
        <f t="shared" si="968"/>
        <v>91.2</v>
      </c>
      <c r="BN323" s="2244">
        <f t="shared" si="968"/>
        <v>91.2</v>
      </c>
      <c r="BO323" s="2245">
        <f t="shared" si="968"/>
        <v>91.2</v>
      </c>
      <c r="BP323" s="63"/>
      <c r="BQ323" s="2243">
        <f>+BO323*1.025</f>
        <v>93.47999999999999</v>
      </c>
      <c r="BR323" s="2244">
        <f>+BQ323*1.025</f>
        <v>95.816999999999979</v>
      </c>
      <c r="BS323" s="2244">
        <f>+BR323*1.025</f>
        <v>98.212424999999968</v>
      </c>
      <c r="BT323" s="2244">
        <f>+BS323*1.025</f>
        <v>100.66773562499996</v>
      </c>
      <c r="BU323" s="2245">
        <f t="shared" si="969"/>
        <v>100.66773562499996</v>
      </c>
      <c r="BV323" s="63"/>
      <c r="BW323" s="2243">
        <f>+BU323*1.025</f>
        <v>103.18442901562496</v>
      </c>
      <c r="BX323" s="2244">
        <f>+BW323*1.025</f>
        <v>105.76403974101557</v>
      </c>
      <c r="BY323" s="2244">
        <f>+BX323*1.025</f>
        <v>108.40814073454095</v>
      </c>
      <c r="BZ323" s="2244">
        <f>+BY323*1.025</f>
        <v>111.11834425290446</v>
      </c>
      <c r="CA323" s="2245">
        <f t="shared" si="973"/>
        <v>111.11834425290446</v>
      </c>
      <c r="CB323" s="63"/>
      <c r="CC323" s="2243">
        <f>+CA323*1.025</f>
        <v>113.89630285922706</v>
      </c>
      <c r="CD323" s="2244">
        <f>+CC323*1.025</f>
        <v>116.74371043070774</v>
      </c>
      <c r="CE323" s="2244">
        <f>+CD323*1.025</f>
        <v>119.66230319147542</v>
      </c>
      <c r="CF323" s="2244">
        <f>+CE323*1.025</f>
        <v>122.65386077126229</v>
      </c>
      <c r="CG323" s="2245">
        <f t="shared" si="977"/>
        <v>122.65386077126229</v>
      </c>
      <c r="CH323" s="63"/>
      <c r="CI323" s="2243">
        <f>+CG323*1.025</f>
        <v>125.72020729054384</v>
      </c>
      <c r="CJ323" s="2244">
        <f>+CI323*1.025</f>
        <v>128.86321247280742</v>
      </c>
      <c r="CK323" s="2244">
        <f>+CJ323*1.025</f>
        <v>132.08479278462758</v>
      </c>
      <c r="CL323" s="2244">
        <f>+CK323*1.025</f>
        <v>135.38691260424326</v>
      </c>
      <c r="CM323" s="2245">
        <f t="shared" si="981"/>
        <v>135.38691260424326</v>
      </c>
      <c r="CN323" s="63"/>
      <c r="CO323" s="2243">
        <f>+CM323*1.025</f>
        <v>138.77158541934932</v>
      </c>
      <c r="CP323" s="2244">
        <f>+CO323*1.025</f>
        <v>142.24087505483305</v>
      </c>
      <c r="CQ323" s="2244">
        <f>+CP323*1.025</f>
        <v>145.79689693120386</v>
      </c>
      <c r="CR323" s="2244">
        <f>+CQ323*1.025</f>
        <v>149.44181935448395</v>
      </c>
      <c r="CS323" s="2245">
        <f t="shared" si="985"/>
        <v>149.44181935448395</v>
      </c>
      <c r="CT323" s="1"/>
      <c r="CU323" s="60"/>
      <c r="CV323" s="60"/>
      <c r="CW323" s="60"/>
      <c r="CX323" s="60"/>
      <c r="CY323" s="68"/>
    </row>
    <row r="324" spans="1:162">
      <c r="A324" s="1930" t="s">
        <v>9</v>
      </c>
      <c r="C324" s="1850"/>
      <c r="G324" s="736"/>
      <c r="H324" s="63"/>
      <c r="I324" s="1425">
        <f t="shared" si="951"/>
        <v>22</v>
      </c>
      <c r="J324" s="6">
        <f t="shared" si="951"/>
        <v>22</v>
      </c>
      <c r="K324" s="6">
        <f t="shared" si="951"/>
        <v>22</v>
      </c>
      <c r="L324" s="6">
        <f t="shared" si="951"/>
        <v>22</v>
      </c>
      <c r="M324" s="1841">
        <f t="shared" si="960"/>
        <v>22</v>
      </c>
      <c r="N324" s="63"/>
      <c r="O324" s="1425">
        <f t="shared" si="952"/>
        <v>22</v>
      </c>
      <c r="P324" s="6">
        <f t="shared" si="952"/>
        <v>22</v>
      </c>
      <c r="Q324" s="6">
        <f t="shared" si="952"/>
        <v>22</v>
      </c>
      <c r="R324" s="6">
        <f t="shared" si="952"/>
        <v>22</v>
      </c>
      <c r="S324" s="1841">
        <f t="shared" si="961"/>
        <v>22</v>
      </c>
      <c r="T324" s="63"/>
      <c r="U324" s="1425">
        <f t="shared" si="953"/>
        <v>22</v>
      </c>
      <c r="V324" s="6">
        <f t="shared" si="953"/>
        <v>22</v>
      </c>
      <c r="W324" s="6">
        <f t="shared" si="953"/>
        <v>22</v>
      </c>
      <c r="X324" s="6">
        <f t="shared" si="953"/>
        <v>22</v>
      </c>
      <c r="Y324" s="1841">
        <f t="shared" si="962"/>
        <v>22</v>
      </c>
      <c r="Z324" s="63"/>
      <c r="AA324" s="1425">
        <f t="shared" si="986"/>
        <v>22</v>
      </c>
      <c r="AB324" s="6">
        <f t="shared" si="986"/>
        <v>22</v>
      </c>
      <c r="AC324" s="6">
        <f t="shared" si="986"/>
        <v>22</v>
      </c>
      <c r="AD324" s="6">
        <f t="shared" si="986"/>
        <v>22</v>
      </c>
      <c r="AE324" s="1841">
        <f t="shared" si="963"/>
        <v>22</v>
      </c>
      <c r="AF324" s="63"/>
      <c r="AG324" s="1425">
        <f t="shared" si="987"/>
        <v>22</v>
      </c>
      <c r="AH324" s="6">
        <f t="shared" si="987"/>
        <v>22</v>
      </c>
      <c r="AI324" s="6">
        <f t="shared" si="987"/>
        <v>22</v>
      </c>
      <c r="AJ324" s="6">
        <f t="shared" si="987"/>
        <v>22</v>
      </c>
      <c r="AK324" s="1841">
        <f t="shared" si="964"/>
        <v>22</v>
      </c>
      <c r="AL324" s="63"/>
      <c r="AM324" s="1425">
        <f t="shared" si="988"/>
        <v>22</v>
      </c>
      <c r="AN324" s="6">
        <f t="shared" si="988"/>
        <v>22</v>
      </c>
      <c r="AO324" s="6">
        <f t="shared" si="988"/>
        <v>22</v>
      </c>
      <c r="AP324" s="6">
        <f t="shared" si="957"/>
        <v>22</v>
      </c>
      <c r="AQ324" s="1841">
        <f t="shared" si="965"/>
        <v>22</v>
      </c>
      <c r="AR324" s="63"/>
      <c r="AS324" s="1425">
        <f t="shared" si="989"/>
        <v>22</v>
      </c>
      <c r="AT324" s="6">
        <f t="shared" si="989"/>
        <v>22</v>
      </c>
      <c r="AU324" s="6">
        <f t="shared" si="989"/>
        <v>22</v>
      </c>
      <c r="AV324" s="6">
        <f t="shared" si="959"/>
        <v>22</v>
      </c>
      <c r="AW324" s="2690">
        <v>22</v>
      </c>
      <c r="AX324" s="2696"/>
      <c r="AY324" s="2700">
        <f>+AW324</f>
        <v>22</v>
      </c>
      <c r="AZ324" s="2705">
        <f t="shared" si="966"/>
        <v>22</v>
      </c>
      <c r="BA324" s="2705">
        <f t="shared" si="966"/>
        <v>22</v>
      </c>
      <c r="BB324" s="2705">
        <f t="shared" si="966"/>
        <v>22</v>
      </c>
      <c r="BC324" s="2695">
        <f t="shared" si="966"/>
        <v>22</v>
      </c>
      <c r="BD324" s="2706"/>
      <c r="BE324" s="2700">
        <f>+BC324</f>
        <v>22</v>
      </c>
      <c r="BF324" s="2705">
        <f t="shared" si="967"/>
        <v>22</v>
      </c>
      <c r="BG324" s="2705">
        <f t="shared" si="967"/>
        <v>22</v>
      </c>
      <c r="BH324" s="2705">
        <f t="shared" si="967"/>
        <v>22</v>
      </c>
      <c r="BI324" s="2695">
        <f t="shared" si="967"/>
        <v>22</v>
      </c>
      <c r="BJ324" s="2696"/>
      <c r="BK324" s="2700">
        <f>+BI324</f>
        <v>22</v>
      </c>
      <c r="BL324" s="2244">
        <f t="shared" si="968"/>
        <v>22</v>
      </c>
      <c r="BM324" s="2244">
        <f t="shared" si="968"/>
        <v>22</v>
      </c>
      <c r="BN324" s="2244">
        <f t="shared" si="968"/>
        <v>22</v>
      </c>
      <c r="BO324" s="2245">
        <f t="shared" si="968"/>
        <v>22</v>
      </c>
      <c r="BP324" s="63"/>
      <c r="BQ324" s="2243">
        <f>+BO324</f>
        <v>22</v>
      </c>
      <c r="BR324" s="2244">
        <f t="shared" si="969"/>
        <v>22</v>
      </c>
      <c r="BS324" s="2244">
        <f t="shared" si="969"/>
        <v>22</v>
      </c>
      <c r="BT324" s="2244">
        <f t="shared" si="969"/>
        <v>22</v>
      </c>
      <c r="BU324" s="2245">
        <f t="shared" si="969"/>
        <v>22</v>
      </c>
      <c r="BV324" s="63"/>
      <c r="BW324" s="2243">
        <f>+BU324</f>
        <v>22</v>
      </c>
      <c r="BX324" s="2244">
        <f t="shared" si="970"/>
        <v>22</v>
      </c>
      <c r="BY324" s="2244">
        <f t="shared" si="971"/>
        <v>22</v>
      </c>
      <c r="BZ324" s="2244">
        <f t="shared" si="972"/>
        <v>22</v>
      </c>
      <c r="CA324" s="2245">
        <f t="shared" si="973"/>
        <v>22</v>
      </c>
      <c r="CB324" s="63"/>
      <c r="CC324" s="2243">
        <f>+CA324</f>
        <v>22</v>
      </c>
      <c r="CD324" s="2244">
        <f t="shared" si="974"/>
        <v>22</v>
      </c>
      <c r="CE324" s="2244">
        <f t="shared" si="975"/>
        <v>22</v>
      </c>
      <c r="CF324" s="2244">
        <f t="shared" si="976"/>
        <v>22</v>
      </c>
      <c r="CG324" s="2245">
        <f t="shared" si="977"/>
        <v>22</v>
      </c>
      <c r="CH324" s="63"/>
      <c r="CI324" s="2243">
        <f>+CG324</f>
        <v>22</v>
      </c>
      <c r="CJ324" s="2244">
        <f t="shared" ref="CJ324:CJ330" si="998">+CI324</f>
        <v>22</v>
      </c>
      <c r="CK324" s="2244">
        <f t="shared" ref="CK324:CK330" si="999">+CJ324</f>
        <v>22</v>
      </c>
      <c r="CL324" s="2244">
        <f t="shared" ref="CL324:CL330" si="1000">+CK324</f>
        <v>22</v>
      </c>
      <c r="CM324" s="2245">
        <f t="shared" si="981"/>
        <v>22</v>
      </c>
      <c r="CN324" s="63"/>
      <c r="CO324" s="2243">
        <f>+CM324</f>
        <v>22</v>
      </c>
      <c r="CP324" s="2244">
        <f t="shared" ref="CP324:CP330" si="1001">+CO324</f>
        <v>22</v>
      </c>
      <c r="CQ324" s="2244">
        <f t="shared" ref="CQ324:CQ330" si="1002">+CP324</f>
        <v>22</v>
      </c>
      <c r="CR324" s="2244">
        <f t="shared" ref="CR324:CR330" si="1003">+CQ324</f>
        <v>22</v>
      </c>
      <c r="CS324" s="2245">
        <f t="shared" si="985"/>
        <v>22</v>
      </c>
      <c r="CT324" s="1"/>
      <c r="CU324" s="60"/>
      <c r="CV324" s="60"/>
      <c r="CW324" s="60"/>
      <c r="CX324" s="60"/>
      <c r="CY324" s="68"/>
    </row>
    <row r="325" spans="1:162">
      <c r="A325" s="1930" t="s">
        <v>26</v>
      </c>
      <c r="C325" s="1850"/>
      <c r="G325" s="736"/>
      <c r="H325" s="63"/>
      <c r="I325" s="1425">
        <f t="shared" si="951"/>
        <v>158.33333333333334</v>
      </c>
      <c r="J325" s="6">
        <f t="shared" si="951"/>
        <v>158.33333333333334</v>
      </c>
      <c r="K325" s="6">
        <f t="shared" si="951"/>
        <v>158.33333333333334</v>
      </c>
      <c r="L325" s="6">
        <f t="shared" si="951"/>
        <v>158.33333333333334</v>
      </c>
      <c r="M325" s="1841">
        <f t="shared" si="960"/>
        <v>158.33333333333334</v>
      </c>
      <c r="N325" s="63"/>
      <c r="O325" s="1425">
        <f t="shared" si="952"/>
        <v>158.33333333333334</v>
      </c>
      <c r="P325" s="6">
        <f t="shared" si="952"/>
        <v>158.33333333333334</v>
      </c>
      <c r="Q325" s="6">
        <f t="shared" si="952"/>
        <v>158.33333333333334</v>
      </c>
      <c r="R325" s="6">
        <f t="shared" si="952"/>
        <v>158.33333333333334</v>
      </c>
      <c r="S325" s="1841">
        <f t="shared" si="961"/>
        <v>158.33333333333334</v>
      </c>
      <c r="T325" s="63"/>
      <c r="U325" s="1425">
        <f t="shared" si="953"/>
        <v>158.33333333333334</v>
      </c>
      <c r="V325" s="6">
        <f t="shared" si="953"/>
        <v>158.33333333333334</v>
      </c>
      <c r="W325" s="6">
        <f t="shared" si="953"/>
        <v>158.33333333333334</v>
      </c>
      <c r="X325" s="6">
        <f t="shared" si="953"/>
        <v>158.33333333333334</v>
      </c>
      <c r="Y325" s="1841">
        <f t="shared" si="962"/>
        <v>158.33333333333334</v>
      </c>
      <c r="Z325" s="63"/>
      <c r="AA325" s="1425">
        <f t="shared" si="986"/>
        <v>158.33333333333334</v>
      </c>
      <c r="AB325" s="6">
        <f t="shared" si="986"/>
        <v>158.33333333333334</v>
      </c>
      <c r="AC325" s="6">
        <f t="shared" si="986"/>
        <v>158.33333333333334</v>
      </c>
      <c r="AD325" s="6">
        <f t="shared" si="986"/>
        <v>158.33333333333334</v>
      </c>
      <c r="AE325" s="1841">
        <f t="shared" si="963"/>
        <v>158.33333333333334</v>
      </c>
      <c r="AF325" s="63"/>
      <c r="AG325" s="1425">
        <f t="shared" si="987"/>
        <v>158.33333333333334</v>
      </c>
      <c r="AH325" s="6">
        <f t="shared" si="987"/>
        <v>158.33333333333334</v>
      </c>
      <c r="AI325" s="6">
        <f t="shared" si="987"/>
        <v>158.33333333333334</v>
      </c>
      <c r="AJ325" s="6">
        <f t="shared" si="987"/>
        <v>158.33333333333334</v>
      </c>
      <c r="AK325" s="1841">
        <f t="shared" si="964"/>
        <v>158.33333333333334</v>
      </c>
      <c r="AL325" s="63"/>
      <c r="AM325" s="1425">
        <f t="shared" si="988"/>
        <v>158.33333333333334</v>
      </c>
      <c r="AN325" s="6">
        <f t="shared" si="988"/>
        <v>158.33333333333334</v>
      </c>
      <c r="AO325" s="6">
        <f t="shared" si="988"/>
        <v>158.33333333333334</v>
      </c>
      <c r="AP325" s="6">
        <f t="shared" si="957"/>
        <v>158.33333333333334</v>
      </c>
      <c r="AQ325" s="1841">
        <f t="shared" si="965"/>
        <v>158.33333333333334</v>
      </c>
      <c r="AR325" s="63"/>
      <c r="AS325" s="1425">
        <f t="shared" si="989"/>
        <v>158.33333333333334</v>
      </c>
      <c r="AT325" s="6">
        <f t="shared" si="989"/>
        <v>158.33333333333334</v>
      </c>
      <c r="AU325" s="6">
        <f t="shared" si="989"/>
        <v>158.33333333333334</v>
      </c>
      <c r="AV325" s="6">
        <f t="shared" si="959"/>
        <v>158.33333333333334</v>
      </c>
      <c r="AW325" s="2690">
        <v>158.33333333333334</v>
      </c>
      <c r="AX325" s="2696"/>
      <c r="AY325" s="2700">
        <f t="shared" si="990"/>
        <v>158.33333333333334</v>
      </c>
      <c r="AZ325" s="2705">
        <f t="shared" si="966"/>
        <v>158.33333333333334</v>
      </c>
      <c r="BA325" s="2705">
        <f t="shared" si="966"/>
        <v>158.33333333333334</v>
      </c>
      <c r="BB325" s="2705">
        <f t="shared" si="966"/>
        <v>158.33333333333334</v>
      </c>
      <c r="BC325" s="2695">
        <f t="shared" si="966"/>
        <v>158.33333333333334</v>
      </c>
      <c r="BD325" s="2699"/>
      <c r="BE325" s="2700">
        <f t="shared" si="991"/>
        <v>158.33333333333334</v>
      </c>
      <c r="BF325" s="2705">
        <f t="shared" si="967"/>
        <v>158.33333333333334</v>
      </c>
      <c r="BG325" s="2705">
        <f t="shared" si="967"/>
        <v>158.33333333333334</v>
      </c>
      <c r="BH325" s="2705">
        <f t="shared" si="967"/>
        <v>158.33333333333334</v>
      </c>
      <c r="BI325" s="2695">
        <f t="shared" si="967"/>
        <v>158.33333333333334</v>
      </c>
      <c r="BJ325" s="2696"/>
      <c r="BK325" s="2700">
        <f t="shared" si="992"/>
        <v>158.33333333333334</v>
      </c>
      <c r="BL325" s="2244">
        <f t="shared" si="968"/>
        <v>158.33333333333334</v>
      </c>
      <c r="BM325" s="2244">
        <f t="shared" si="968"/>
        <v>158.33333333333334</v>
      </c>
      <c r="BN325" s="2244">
        <f t="shared" si="968"/>
        <v>158.33333333333334</v>
      </c>
      <c r="BO325" s="2245">
        <f t="shared" si="968"/>
        <v>158.33333333333334</v>
      </c>
      <c r="BP325" s="63"/>
      <c r="BQ325" s="2243">
        <f t="shared" si="993"/>
        <v>158.33333333333334</v>
      </c>
      <c r="BR325" s="2244">
        <f t="shared" si="969"/>
        <v>158.33333333333334</v>
      </c>
      <c r="BS325" s="2244">
        <f t="shared" si="969"/>
        <v>158.33333333333334</v>
      </c>
      <c r="BT325" s="2244">
        <f t="shared" si="969"/>
        <v>158.33333333333334</v>
      </c>
      <c r="BU325" s="2245">
        <f t="shared" si="969"/>
        <v>158.33333333333334</v>
      </c>
      <c r="BV325" s="63"/>
      <c r="BW325" s="2243">
        <f t="shared" ref="BW325:BW329" si="1004">+BU325</f>
        <v>158.33333333333334</v>
      </c>
      <c r="BX325" s="2244">
        <f t="shared" si="970"/>
        <v>158.33333333333334</v>
      </c>
      <c r="BY325" s="2244">
        <f t="shared" si="971"/>
        <v>158.33333333333334</v>
      </c>
      <c r="BZ325" s="2244">
        <f t="shared" si="972"/>
        <v>158.33333333333334</v>
      </c>
      <c r="CA325" s="2245">
        <f t="shared" si="973"/>
        <v>158.33333333333334</v>
      </c>
      <c r="CB325" s="63"/>
      <c r="CC325" s="2243">
        <f t="shared" ref="CC325:CC329" si="1005">+CA325</f>
        <v>158.33333333333334</v>
      </c>
      <c r="CD325" s="2244">
        <f t="shared" si="974"/>
        <v>158.33333333333334</v>
      </c>
      <c r="CE325" s="2244">
        <f t="shared" si="975"/>
        <v>158.33333333333334</v>
      </c>
      <c r="CF325" s="2244">
        <f t="shared" si="976"/>
        <v>158.33333333333334</v>
      </c>
      <c r="CG325" s="2245">
        <f t="shared" si="977"/>
        <v>158.33333333333334</v>
      </c>
      <c r="CH325" s="63"/>
      <c r="CI325" s="2243">
        <f t="shared" ref="CI325:CI330" si="1006">+CG325</f>
        <v>158.33333333333334</v>
      </c>
      <c r="CJ325" s="2244">
        <f t="shared" si="998"/>
        <v>158.33333333333334</v>
      </c>
      <c r="CK325" s="2244">
        <f t="shared" si="999"/>
        <v>158.33333333333334</v>
      </c>
      <c r="CL325" s="2244">
        <f t="shared" si="1000"/>
        <v>158.33333333333334</v>
      </c>
      <c r="CM325" s="2245">
        <f t="shared" si="981"/>
        <v>158.33333333333334</v>
      </c>
      <c r="CN325" s="63"/>
      <c r="CO325" s="2243">
        <f t="shared" ref="CO325:CO330" si="1007">+CM325</f>
        <v>158.33333333333334</v>
      </c>
      <c r="CP325" s="2244">
        <f t="shared" si="1001"/>
        <v>158.33333333333334</v>
      </c>
      <c r="CQ325" s="2244">
        <f t="shared" si="1002"/>
        <v>158.33333333333334</v>
      </c>
      <c r="CR325" s="2244">
        <f t="shared" si="1003"/>
        <v>158.33333333333334</v>
      </c>
      <c r="CS325" s="2245">
        <f t="shared" si="985"/>
        <v>158.33333333333334</v>
      </c>
    </row>
    <row r="326" spans="1:162">
      <c r="A326" s="1930" t="s">
        <v>517</v>
      </c>
      <c r="C326" s="1850"/>
      <c r="G326" s="736"/>
      <c r="H326" s="63"/>
      <c r="I326" s="1425">
        <f t="shared" si="951"/>
        <v>214.15714285714284</v>
      </c>
      <c r="J326" s="6">
        <f t="shared" si="951"/>
        <v>214.15714285714284</v>
      </c>
      <c r="K326" s="6">
        <f t="shared" si="951"/>
        <v>214.15714285714284</v>
      </c>
      <c r="L326" s="6">
        <f t="shared" si="951"/>
        <v>214.15714285714284</v>
      </c>
      <c r="M326" s="1841">
        <f t="shared" si="960"/>
        <v>214.15714285714284</v>
      </c>
      <c r="N326" s="63"/>
      <c r="O326" s="1425">
        <f t="shared" si="952"/>
        <v>214.15714285714284</v>
      </c>
      <c r="P326" s="6">
        <f t="shared" si="952"/>
        <v>214.15714285714284</v>
      </c>
      <c r="Q326" s="6">
        <f t="shared" si="952"/>
        <v>214.15714285714284</v>
      </c>
      <c r="R326" s="6">
        <f t="shared" si="952"/>
        <v>214.15714285714284</v>
      </c>
      <c r="S326" s="1841">
        <f t="shared" si="961"/>
        <v>214.15714285714284</v>
      </c>
      <c r="T326" s="63"/>
      <c r="U326" s="1425">
        <f t="shared" si="953"/>
        <v>214.15714285714284</v>
      </c>
      <c r="V326" s="6">
        <f t="shared" si="953"/>
        <v>214.15714285714284</v>
      </c>
      <c r="W326" s="6">
        <f t="shared" si="953"/>
        <v>214.15714285714284</v>
      </c>
      <c r="X326" s="6">
        <f t="shared" si="953"/>
        <v>214.15714285714284</v>
      </c>
      <c r="Y326" s="1841">
        <f t="shared" si="962"/>
        <v>214.15714285714284</v>
      </c>
      <c r="Z326" s="63"/>
      <c r="AA326" s="1425">
        <f t="shared" si="986"/>
        <v>214.15714285714284</v>
      </c>
      <c r="AB326" s="6">
        <f t="shared" si="986"/>
        <v>214.15714285714284</v>
      </c>
      <c r="AC326" s="6">
        <f t="shared" si="986"/>
        <v>214.15714285714284</v>
      </c>
      <c r="AD326" s="6">
        <f t="shared" si="986"/>
        <v>214.15714285714284</v>
      </c>
      <c r="AE326" s="1841">
        <f t="shared" si="963"/>
        <v>214.15714285714284</v>
      </c>
      <c r="AF326" s="63"/>
      <c r="AG326" s="1425">
        <f t="shared" si="987"/>
        <v>214.15714285714284</v>
      </c>
      <c r="AH326" s="6">
        <f t="shared" si="987"/>
        <v>214.15714285714284</v>
      </c>
      <c r="AI326" s="6">
        <f t="shared" si="987"/>
        <v>214.15714285714284</v>
      </c>
      <c r="AJ326" s="6">
        <f t="shared" si="987"/>
        <v>214.15714285714284</v>
      </c>
      <c r="AK326" s="1841">
        <f t="shared" si="964"/>
        <v>214.15714285714284</v>
      </c>
      <c r="AL326" s="63"/>
      <c r="AM326" s="1425">
        <f t="shared" si="988"/>
        <v>214.15714285714284</v>
      </c>
      <c r="AN326" s="6">
        <f t="shared" si="988"/>
        <v>214.15714285714284</v>
      </c>
      <c r="AO326" s="6">
        <f t="shared" si="988"/>
        <v>214.15714285714284</v>
      </c>
      <c r="AP326" s="6">
        <f t="shared" si="957"/>
        <v>214.15714285714284</v>
      </c>
      <c r="AQ326" s="1841">
        <f t="shared" si="965"/>
        <v>214.15714285714284</v>
      </c>
      <c r="AR326" s="63"/>
      <c r="AS326" s="1425">
        <f t="shared" si="989"/>
        <v>214.15714285714284</v>
      </c>
      <c r="AT326" s="6">
        <f t="shared" si="989"/>
        <v>214.15714285714284</v>
      </c>
      <c r="AU326" s="6">
        <f t="shared" si="989"/>
        <v>214.15714285714284</v>
      </c>
      <c r="AV326" s="6">
        <f t="shared" si="959"/>
        <v>214.15714285714284</v>
      </c>
      <c r="AW326" s="2690">
        <v>214.15714285714284</v>
      </c>
      <c r="AX326" s="2696"/>
      <c r="AY326" s="2700">
        <f t="shared" si="990"/>
        <v>214.15714285714284</v>
      </c>
      <c r="AZ326" s="2705">
        <f t="shared" si="966"/>
        <v>214.15714285714284</v>
      </c>
      <c r="BA326" s="2705">
        <f t="shared" si="966"/>
        <v>214.15714285714284</v>
      </c>
      <c r="BB326" s="2705">
        <f t="shared" si="966"/>
        <v>214.15714285714284</v>
      </c>
      <c r="BC326" s="2695">
        <f t="shared" si="966"/>
        <v>214.15714285714284</v>
      </c>
      <c r="BD326" s="2699"/>
      <c r="BE326" s="2700">
        <f t="shared" si="991"/>
        <v>214.15714285714284</v>
      </c>
      <c r="BF326" s="2705">
        <f t="shared" si="967"/>
        <v>214.15714285714284</v>
      </c>
      <c r="BG326" s="2705">
        <f t="shared" si="967"/>
        <v>214.15714285714284</v>
      </c>
      <c r="BH326" s="2705">
        <f t="shared" si="967"/>
        <v>214.15714285714284</v>
      </c>
      <c r="BI326" s="2695">
        <f t="shared" si="967"/>
        <v>214.15714285714284</v>
      </c>
      <c r="BJ326" s="2696"/>
      <c r="BK326" s="2700">
        <f t="shared" si="992"/>
        <v>214.15714285714284</v>
      </c>
      <c r="BL326" s="2244">
        <f t="shared" si="968"/>
        <v>214.15714285714284</v>
      </c>
      <c r="BM326" s="2244">
        <f t="shared" si="968"/>
        <v>214.15714285714284</v>
      </c>
      <c r="BN326" s="2244">
        <f t="shared" si="968"/>
        <v>214.15714285714284</v>
      </c>
      <c r="BO326" s="2245">
        <f t="shared" si="968"/>
        <v>214.15714285714284</v>
      </c>
      <c r="BP326" s="63"/>
      <c r="BQ326" s="2243">
        <f t="shared" si="993"/>
        <v>214.15714285714284</v>
      </c>
      <c r="BR326" s="2244">
        <f t="shared" si="969"/>
        <v>214.15714285714284</v>
      </c>
      <c r="BS326" s="2244">
        <f t="shared" si="969"/>
        <v>214.15714285714284</v>
      </c>
      <c r="BT326" s="2244">
        <f t="shared" si="969"/>
        <v>214.15714285714284</v>
      </c>
      <c r="BU326" s="2245">
        <f t="shared" si="969"/>
        <v>214.15714285714284</v>
      </c>
      <c r="BV326" s="63"/>
      <c r="BW326" s="2243">
        <f t="shared" si="1004"/>
        <v>214.15714285714284</v>
      </c>
      <c r="BX326" s="2244">
        <f t="shared" si="970"/>
        <v>214.15714285714284</v>
      </c>
      <c r="BY326" s="2244">
        <f t="shared" si="971"/>
        <v>214.15714285714284</v>
      </c>
      <c r="BZ326" s="2244">
        <f t="shared" si="972"/>
        <v>214.15714285714284</v>
      </c>
      <c r="CA326" s="2245">
        <f t="shared" si="973"/>
        <v>214.15714285714284</v>
      </c>
      <c r="CB326" s="63"/>
      <c r="CC326" s="2243">
        <f t="shared" si="1005"/>
        <v>214.15714285714284</v>
      </c>
      <c r="CD326" s="2244">
        <f t="shared" si="974"/>
        <v>214.15714285714284</v>
      </c>
      <c r="CE326" s="2244">
        <f t="shared" si="975"/>
        <v>214.15714285714284</v>
      </c>
      <c r="CF326" s="2244">
        <f t="shared" si="976"/>
        <v>214.15714285714284</v>
      </c>
      <c r="CG326" s="2245">
        <f t="shared" si="977"/>
        <v>214.15714285714284</v>
      </c>
      <c r="CH326" s="63"/>
      <c r="CI326" s="2243">
        <f t="shared" si="1006"/>
        <v>214.15714285714284</v>
      </c>
      <c r="CJ326" s="2244">
        <f t="shared" si="998"/>
        <v>214.15714285714284</v>
      </c>
      <c r="CK326" s="2244">
        <f t="shared" si="999"/>
        <v>214.15714285714284</v>
      </c>
      <c r="CL326" s="2244">
        <f t="shared" si="1000"/>
        <v>214.15714285714284</v>
      </c>
      <c r="CM326" s="2245">
        <f t="shared" si="981"/>
        <v>214.15714285714284</v>
      </c>
      <c r="CN326" s="63"/>
      <c r="CO326" s="2243">
        <f t="shared" si="1007"/>
        <v>214.15714285714284</v>
      </c>
      <c r="CP326" s="2244">
        <f t="shared" si="1001"/>
        <v>214.15714285714284</v>
      </c>
      <c r="CQ326" s="2244">
        <f t="shared" si="1002"/>
        <v>214.15714285714284</v>
      </c>
      <c r="CR326" s="2244">
        <f t="shared" si="1003"/>
        <v>214.15714285714284</v>
      </c>
      <c r="CS326" s="2245">
        <f t="shared" si="985"/>
        <v>214.15714285714284</v>
      </c>
    </row>
    <row r="327" spans="1:162">
      <c r="A327" s="1930" t="s">
        <v>518</v>
      </c>
      <c r="C327" s="1850"/>
      <c r="G327" s="736"/>
      <c r="H327" s="63"/>
      <c r="I327" s="1425">
        <f t="shared" si="951"/>
        <v>427.14285714285717</v>
      </c>
      <c r="J327" s="6">
        <f t="shared" si="951"/>
        <v>427.14285714285717</v>
      </c>
      <c r="K327" s="6">
        <f t="shared" si="951"/>
        <v>427.14285714285717</v>
      </c>
      <c r="L327" s="6">
        <f t="shared" si="951"/>
        <v>427.14285714285717</v>
      </c>
      <c r="M327" s="1841">
        <f t="shared" si="960"/>
        <v>427.14285714285717</v>
      </c>
      <c r="N327" s="63"/>
      <c r="O327" s="1425">
        <f t="shared" si="952"/>
        <v>427.14285714285717</v>
      </c>
      <c r="P327" s="6">
        <f t="shared" si="952"/>
        <v>427.14285714285717</v>
      </c>
      <c r="Q327" s="6">
        <f t="shared" si="952"/>
        <v>427.14285714285717</v>
      </c>
      <c r="R327" s="6">
        <f t="shared" si="952"/>
        <v>427.14285714285717</v>
      </c>
      <c r="S327" s="1841">
        <f t="shared" si="961"/>
        <v>427.14285714285717</v>
      </c>
      <c r="T327" s="63"/>
      <c r="U327" s="1425">
        <f t="shared" si="953"/>
        <v>427.14285714285717</v>
      </c>
      <c r="V327" s="6">
        <f t="shared" si="953"/>
        <v>427.14285714285717</v>
      </c>
      <c r="W327" s="6">
        <f t="shared" si="953"/>
        <v>427.14285714285717</v>
      </c>
      <c r="X327" s="6">
        <f t="shared" si="953"/>
        <v>427.14285714285717</v>
      </c>
      <c r="Y327" s="1841">
        <f t="shared" si="962"/>
        <v>427.14285714285717</v>
      </c>
      <c r="Z327" s="63"/>
      <c r="AA327" s="1425">
        <f t="shared" si="986"/>
        <v>427.14285714285717</v>
      </c>
      <c r="AB327" s="6">
        <f t="shared" si="986"/>
        <v>427.14285714285717</v>
      </c>
      <c r="AC327" s="6">
        <f t="shared" si="986"/>
        <v>427.14285714285717</v>
      </c>
      <c r="AD327" s="6">
        <f t="shared" si="986"/>
        <v>427.14285714285717</v>
      </c>
      <c r="AE327" s="1841">
        <f t="shared" si="963"/>
        <v>427.14285714285717</v>
      </c>
      <c r="AF327" s="63"/>
      <c r="AG327" s="1425">
        <f t="shared" si="987"/>
        <v>427.14285714285717</v>
      </c>
      <c r="AH327" s="6">
        <f t="shared" si="987"/>
        <v>427.14285714285717</v>
      </c>
      <c r="AI327" s="6">
        <f t="shared" si="987"/>
        <v>427.14285714285717</v>
      </c>
      <c r="AJ327" s="6">
        <f t="shared" si="987"/>
        <v>427.14285714285717</v>
      </c>
      <c r="AK327" s="1841">
        <f t="shared" si="964"/>
        <v>427.14285714285717</v>
      </c>
      <c r="AL327" s="63"/>
      <c r="AM327" s="1425">
        <f t="shared" si="988"/>
        <v>427.14285714285717</v>
      </c>
      <c r="AN327" s="6">
        <f t="shared" si="988"/>
        <v>427.14285714285717</v>
      </c>
      <c r="AO327" s="6">
        <f t="shared" si="988"/>
        <v>427.14285714285717</v>
      </c>
      <c r="AP327" s="6">
        <f t="shared" si="957"/>
        <v>427.14285714285717</v>
      </c>
      <c r="AQ327" s="1841">
        <f t="shared" si="965"/>
        <v>427.14285714285717</v>
      </c>
      <c r="AR327" s="63"/>
      <c r="AS327" s="1425">
        <f t="shared" si="989"/>
        <v>427.14285714285717</v>
      </c>
      <c r="AT327" s="6">
        <f t="shared" si="989"/>
        <v>427.14285714285717</v>
      </c>
      <c r="AU327" s="6">
        <f t="shared" si="989"/>
        <v>427.14285714285717</v>
      </c>
      <c r="AV327" s="6">
        <f t="shared" si="959"/>
        <v>427.14285714285717</v>
      </c>
      <c r="AW327" s="2690">
        <v>427.14285714285717</v>
      </c>
      <c r="AX327" s="2696"/>
      <c r="AY327" s="2700">
        <f t="shared" si="990"/>
        <v>427.14285714285717</v>
      </c>
      <c r="AZ327" s="2705">
        <f t="shared" si="966"/>
        <v>427.14285714285717</v>
      </c>
      <c r="BA327" s="2705">
        <f t="shared" si="966"/>
        <v>427.14285714285717</v>
      </c>
      <c r="BB327" s="2705">
        <f t="shared" si="966"/>
        <v>427.14285714285717</v>
      </c>
      <c r="BC327" s="2695">
        <f t="shared" si="966"/>
        <v>427.14285714285717</v>
      </c>
      <c r="BD327" s="2699"/>
      <c r="BE327" s="2700">
        <f t="shared" si="991"/>
        <v>427.14285714285717</v>
      </c>
      <c r="BF327" s="2705">
        <f t="shared" si="967"/>
        <v>427.14285714285717</v>
      </c>
      <c r="BG327" s="2705">
        <f t="shared" si="967"/>
        <v>427.14285714285717</v>
      </c>
      <c r="BH327" s="2705">
        <f t="shared" si="967"/>
        <v>427.14285714285717</v>
      </c>
      <c r="BI327" s="2695">
        <f t="shared" si="967"/>
        <v>427.14285714285717</v>
      </c>
      <c r="BJ327" s="2696"/>
      <c r="BK327" s="2700">
        <f t="shared" si="992"/>
        <v>427.14285714285717</v>
      </c>
      <c r="BL327" s="2244">
        <f t="shared" si="968"/>
        <v>427.14285714285717</v>
      </c>
      <c r="BM327" s="2244">
        <f t="shared" si="968"/>
        <v>427.14285714285717</v>
      </c>
      <c r="BN327" s="2244">
        <f t="shared" si="968"/>
        <v>427.14285714285717</v>
      </c>
      <c r="BO327" s="2245">
        <f t="shared" si="968"/>
        <v>427.14285714285717</v>
      </c>
      <c r="BP327" s="63"/>
      <c r="BQ327" s="2243">
        <f t="shared" si="993"/>
        <v>427.14285714285717</v>
      </c>
      <c r="BR327" s="2244">
        <f t="shared" si="969"/>
        <v>427.14285714285717</v>
      </c>
      <c r="BS327" s="2244">
        <f t="shared" si="969"/>
        <v>427.14285714285717</v>
      </c>
      <c r="BT327" s="2244">
        <f t="shared" si="969"/>
        <v>427.14285714285717</v>
      </c>
      <c r="BU327" s="2245">
        <f t="shared" si="969"/>
        <v>427.14285714285717</v>
      </c>
      <c r="BV327" s="63"/>
      <c r="BW327" s="2243">
        <f t="shared" si="1004"/>
        <v>427.14285714285717</v>
      </c>
      <c r="BX327" s="2244">
        <f t="shared" si="970"/>
        <v>427.14285714285717</v>
      </c>
      <c r="BY327" s="2244">
        <f t="shared" si="971"/>
        <v>427.14285714285717</v>
      </c>
      <c r="BZ327" s="2244">
        <f t="shared" si="972"/>
        <v>427.14285714285717</v>
      </c>
      <c r="CA327" s="2245">
        <f t="shared" si="973"/>
        <v>427.14285714285717</v>
      </c>
      <c r="CB327" s="63"/>
      <c r="CC327" s="2243">
        <f t="shared" si="1005"/>
        <v>427.14285714285717</v>
      </c>
      <c r="CD327" s="2244">
        <f t="shared" si="974"/>
        <v>427.14285714285717</v>
      </c>
      <c r="CE327" s="2244">
        <f t="shared" si="975"/>
        <v>427.14285714285717</v>
      </c>
      <c r="CF327" s="2244">
        <f t="shared" si="976"/>
        <v>427.14285714285717</v>
      </c>
      <c r="CG327" s="2245">
        <f t="shared" si="977"/>
        <v>427.14285714285717</v>
      </c>
      <c r="CH327" s="63"/>
      <c r="CI327" s="2243">
        <f t="shared" si="1006"/>
        <v>427.14285714285717</v>
      </c>
      <c r="CJ327" s="2244">
        <f t="shared" si="998"/>
        <v>427.14285714285717</v>
      </c>
      <c r="CK327" s="2244">
        <f t="shared" si="999"/>
        <v>427.14285714285717</v>
      </c>
      <c r="CL327" s="2244">
        <f t="shared" si="1000"/>
        <v>427.14285714285717</v>
      </c>
      <c r="CM327" s="2245">
        <f t="shared" si="981"/>
        <v>427.14285714285717</v>
      </c>
      <c r="CN327" s="63"/>
      <c r="CO327" s="2243">
        <f t="shared" si="1007"/>
        <v>427.14285714285717</v>
      </c>
      <c r="CP327" s="2244">
        <f t="shared" si="1001"/>
        <v>427.14285714285717</v>
      </c>
      <c r="CQ327" s="2244">
        <f t="shared" si="1002"/>
        <v>427.14285714285717</v>
      </c>
      <c r="CR327" s="2244">
        <f t="shared" si="1003"/>
        <v>427.14285714285717</v>
      </c>
      <c r="CS327" s="2245">
        <f t="shared" si="985"/>
        <v>427.14285714285717</v>
      </c>
    </row>
    <row r="328" spans="1:162">
      <c r="A328" s="1930" t="s">
        <v>655</v>
      </c>
      <c r="C328" s="1850"/>
      <c r="G328" s="736"/>
      <c r="H328" s="63"/>
      <c r="I328" s="1425">
        <f t="shared" si="951"/>
        <v>573.80000000000007</v>
      </c>
      <c r="J328" s="6">
        <f t="shared" si="951"/>
        <v>573.80000000000007</v>
      </c>
      <c r="K328" s="6">
        <f t="shared" si="951"/>
        <v>573.80000000000007</v>
      </c>
      <c r="L328" s="6">
        <f t="shared" si="951"/>
        <v>573.80000000000007</v>
      </c>
      <c r="M328" s="1841">
        <f t="shared" si="960"/>
        <v>573.80000000000007</v>
      </c>
      <c r="N328" s="63"/>
      <c r="O328" s="1425">
        <f t="shared" si="952"/>
        <v>573.80000000000007</v>
      </c>
      <c r="P328" s="6">
        <f t="shared" si="952"/>
        <v>573.80000000000007</v>
      </c>
      <c r="Q328" s="6">
        <f t="shared" si="952"/>
        <v>573.80000000000007</v>
      </c>
      <c r="R328" s="6">
        <f t="shared" si="952"/>
        <v>573.80000000000007</v>
      </c>
      <c r="S328" s="1841">
        <f t="shared" si="961"/>
        <v>573.80000000000007</v>
      </c>
      <c r="T328" s="63"/>
      <c r="U328" s="1425">
        <f t="shared" si="953"/>
        <v>573.80000000000007</v>
      </c>
      <c r="V328" s="6">
        <f t="shared" si="953"/>
        <v>573.80000000000007</v>
      </c>
      <c r="W328" s="6">
        <f t="shared" si="953"/>
        <v>573.80000000000007</v>
      </c>
      <c r="X328" s="6">
        <f t="shared" si="953"/>
        <v>573.80000000000007</v>
      </c>
      <c r="Y328" s="1841">
        <f t="shared" si="962"/>
        <v>573.80000000000007</v>
      </c>
      <c r="Z328" s="63"/>
      <c r="AA328" s="1425">
        <f t="shared" si="986"/>
        <v>573.80000000000007</v>
      </c>
      <c r="AB328" s="6">
        <f t="shared" si="986"/>
        <v>573.80000000000007</v>
      </c>
      <c r="AC328" s="6">
        <f t="shared" si="986"/>
        <v>573.80000000000007</v>
      </c>
      <c r="AD328" s="6">
        <f t="shared" si="986"/>
        <v>573.80000000000007</v>
      </c>
      <c r="AE328" s="1841">
        <f t="shared" si="963"/>
        <v>573.80000000000007</v>
      </c>
      <c r="AF328" s="63"/>
      <c r="AG328" s="1425">
        <f t="shared" si="987"/>
        <v>573.80000000000007</v>
      </c>
      <c r="AH328" s="6">
        <f t="shared" si="987"/>
        <v>573.80000000000007</v>
      </c>
      <c r="AI328" s="6">
        <f t="shared" si="987"/>
        <v>573.80000000000007</v>
      </c>
      <c r="AJ328" s="6">
        <f t="shared" si="987"/>
        <v>573.80000000000007</v>
      </c>
      <c r="AK328" s="1841">
        <f t="shared" si="964"/>
        <v>573.80000000000007</v>
      </c>
      <c r="AL328" s="63"/>
      <c r="AM328" s="1425">
        <f t="shared" si="988"/>
        <v>573.80000000000007</v>
      </c>
      <c r="AN328" s="6">
        <f t="shared" si="988"/>
        <v>573.80000000000007</v>
      </c>
      <c r="AO328" s="6">
        <f t="shared" si="988"/>
        <v>573.80000000000007</v>
      </c>
      <c r="AP328" s="6">
        <f t="shared" si="957"/>
        <v>573.80000000000007</v>
      </c>
      <c r="AQ328" s="1841">
        <f t="shared" si="965"/>
        <v>573.80000000000007</v>
      </c>
      <c r="AR328" s="63"/>
      <c r="AS328" s="1425">
        <f t="shared" si="989"/>
        <v>573.80000000000007</v>
      </c>
      <c r="AT328" s="6">
        <f t="shared" si="989"/>
        <v>573.80000000000007</v>
      </c>
      <c r="AU328" s="6">
        <f t="shared" si="989"/>
        <v>573.80000000000007</v>
      </c>
      <c r="AV328" s="6">
        <f t="shared" si="959"/>
        <v>573.80000000000007</v>
      </c>
      <c r="AW328" s="2690">
        <v>573.80000000000007</v>
      </c>
      <c r="AX328" s="2696"/>
      <c r="AY328" s="2700">
        <f t="shared" si="990"/>
        <v>573.80000000000007</v>
      </c>
      <c r="AZ328" s="2705">
        <f t="shared" si="966"/>
        <v>573.80000000000007</v>
      </c>
      <c r="BA328" s="2705">
        <f t="shared" si="966"/>
        <v>573.80000000000007</v>
      </c>
      <c r="BB328" s="2705">
        <f t="shared" si="966"/>
        <v>573.80000000000007</v>
      </c>
      <c r="BC328" s="2695">
        <f t="shared" si="966"/>
        <v>573.80000000000007</v>
      </c>
      <c r="BD328" s="2699"/>
      <c r="BE328" s="2700">
        <f t="shared" si="991"/>
        <v>573.80000000000007</v>
      </c>
      <c r="BF328" s="2705">
        <f t="shared" si="967"/>
        <v>573.80000000000007</v>
      </c>
      <c r="BG328" s="2705">
        <f t="shared" si="967"/>
        <v>573.80000000000007</v>
      </c>
      <c r="BH328" s="2705">
        <f t="shared" si="967"/>
        <v>573.80000000000007</v>
      </c>
      <c r="BI328" s="2695">
        <f t="shared" si="967"/>
        <v>573.80000000000007</v>
      </c>
      <c r="BJ328" s="2696"/>
      <c r="BK328" s="2700">
        <f t="shared" si="992"/>
        <v>573.80000000000007</v>
      </c>
      <c r="BL328" s="2244">
        <f t="shared" si="968"/>
        <v>573.80000000000007</v>
      </c>
      <c r="BM328" s="2244">
        <f t="shared" si="968"/>
        <v>573.80000000000007</v>
      </c>
      <c r="BN328" s="2244">
        <f t="shared" si="968"/>
        <v>573.80000000000007</v>
      </c>
      <c r="BO328" s="2245">
        <f t="shared" si="968"/>
        <v>573.80000000000007</v>
      </c>
      <c r="BP328" s="63"/>
      <c r="BQ328" s="2243">
        <f t="shared" si="993"/>
        <v>573.80000000000007</v>
      </c>
      <c r="BR328" s="2244">
        <f t="shared" si="969"/>
        <v>573.80000000000007</v>
      </c>
      <c r="BS328" s="2244">
        <f t="shared" si="969"/>
        <v>573.80000000000007</v>
      </c>
      <c r="BT328" s="2244">
        <f t="shared" si="969"/>
        <v>573.80000000000007</v>
      </c>
      <c r="BU328" s="2245">
        <f t="shared" si="969"/>
        <v>573.80000000000007</v>
      </c>
      <c r="BV328" s="63"/>
      <c r="BW328" s="2243">
        <f t="shared" si="1004"/>
        <v>573.80000000000007</v>
      </c>
      <c r="BX328" s="2244">
        <f t="shared" si="970"/>
        <v>573.80000000000007</v>
      </c>
      <c r="BY328" s="2244">
        <f t="shared" si="971"/>
        <v>573.80000000000007</v>
      </c>
      <c r="BZ328" s="2244">
        <f t="shared" si="972"/>
        <v>573.80000000000007</v>
      </c>
      <c r="CA328" s="2245">
        <f t="shared" si="973"/>
        <v>573.80000000000007</v>
      </c>
      <c r="CB328" s="63"/>
      <c r="CC328" s="2243">
        <f t="shared" si="1005"/>
        <v>573.80000000000007</v>
      </c>
      <c r="CD328" s="2244">
        <f t="shared" si="974"/>
        <v>573.80000000000007</v>
      </c>
      <c r="CE328" s="2244">
        <f t="shared" si="975"/>
        <v>573.80000000000007</v>
      </c>
      <c r="CF328" s="2244">
        <f t="shared" si="976"/>
        <v>573.80000000000007</v>
      </c>
      <c r="CG328" s="2245">
        <f t="shared" si="977"/>
        <v>573.80000000000007</v>
      </c>
      <c r="CH328" s="63"/>
      <c r="CI328" s="2243">
        <f t="shared" si="1006"/>
        <v>573.80000000000007</v>
      </c>
      <c r="CJ328" s="2244">
        <f t="shared" si="998"/>
        <v>573.80000000000007</v>
      </c>
      <c r="CK328" s="2244">
        <f t="shared" si="999"/>
        <v>573.80000000000007</v>
      </c>
      <c r="CL328" s="2244">
        <f t="shared" si="1000"/>
        <v>573.80000000000007</v>
      </c>
      <c r="CM328" s="2245">
        <f t="shared" si="981"/>
        <v>573.80000000000007</v>
      </c>
      <c r="CN328" s="63"/>
      <c r="CO328" s="2243">
        <f t="shared" si="1007"/>
        <v>573.80000000000007</v>
      </c>
      <c r="CP328" s="2244">
        <f t="shared" si="1001"/>
        <v>573.80000000000007</v>
      </c>
      <c r="CQ328" s="2244">
        <f t="shared" si="1002"/>
        <v>573.80000000000007</v>
      </c>
      <c r="CR328" s="2244">
        <f t="shared" si="1003"/>
        <v>573.80000000000007</v>
      </c>
      <c r="CS328" s="2245">
        <f t="shared" si="985"/>
        <v>573.80000000000007</v>
      </c>
    </row>
    <row r="329" spans="1:162">
      <c r="A329" s="1930" t="s">
        <v>656</v>
      </c>
      <c r="C329" s="1850"/>
      <c r="G329" s="736"/>
      <c r="H329" s="63"/>
      <c r="I329" s="1425">
        <f t="shared" si="951"/>
        <v>573.80000000000007</v>
      </c>
      <c r="J329" s="6">
        <f t="shared" si="951"/>
        <v>573.80000000000007</v>
      </c>
      <c r="K329" s="6">
        <f t="shared" si="951"/>
        <v>573.80000000000007</v>
      </c>
      <c r="L329" s="6">
        <f t="shared" si="951"/>
        <v>573.80000000000007</v>
      </c>
      <c r="M329" s="1841">
        <f t="shared" si="960"/>
        <v>573.80000000000007</v>
      </c>
      <c r="N329" s="63"/>
      <c r="O329" s="1425">
        <f t="shared" si="952"/>
        <v>573.80000000000007</v>
      </c>
      <c r="P329" s="6">
        <f t="shared" si="952"/>
        <v>573.80000000000007</v>
      </c>
      <c r="Q329" s="6">
        <f t="shared" si="952"/>
        <v>573.80000000000007</v>
      </c>
      <c r="R329" s="6">
        <f t="shared" si="952"/>
        <v>573.80000000000007</v>
      </c>
      <c r="S329" s="1841">
        <f t="shared" si="961"/>
        <v>573.80000000000007</v>
      </c>
      <c r="T329" s="63"/>
      <c r="U329" s="1425">
        <f t="shared" si="953"/>
        <v>573.80000000000007</v>
      </c>
      <c r="V329" s="6">
        <f t="shared" si="953"/>
        <v>573.80000000000007</v>
      </c>
      <c r="W329" s="6">
        <f t="shared" si="953"/>
        <v>573.80000000000007</v>
      </c>
      <c r="X329" s="6">
        <f t="shared" si="953"/>
        <v>573.80000000000007</v>
      </c>
      <c r="Y329" s="1841">
        <f t="shared" si="962"/>
        <v>573.80000000000007</v>
      </c>
      <c r="Z329" s="63"/>
      <c r="AA329" s="1425">
        <f t="shared" si="986"/>
        <v>573.80000000000007</v>
      </c>
      <c r="AB329" s="6">
        <f t="shared" si="986"/>
        <v>573.80000000000007</v>
      </c>
      <c r="AC329" s="6">
        <f t="shared" si="986"/>
        <v>573.80000000000007</v>
      </c>
      <c r="AD329" s="6">
        <f t="shared" si="986"/>
        <v>573.80000000000007</v>
      </c>
      <c r="AE329" s="1841">
        <f t="shared" si="963"/>
        <v>573.80000000000007</v>
      </c>
      <c r="AF329" s="63"/>
      <c r="AG329" s="1425">
        <f t="shared" si="987"/>
        <v>573.80000000000007</v>
      </c>
      <c r="AH329" s="6">
        <f t="shared" si="987"/>
        <v>573.80000000000007</v>
      </c>
      <c r="AI329" s="6">
        <f t="shared" si="987"/>
        <v>573.80000000000007</v>
      </c>
      <c r="AJ329" s="6">
        <f t="shared" si="987"/>
        <v>573.80000000000007</v>
      </c>
      <c r="AK329" s="1841">
        <f t="shared" si="964"/>
        <v>573.80000000000007</v>
      </c>
      <c r="AL329" s="63"/>
      <c r="AM329" s="1425">
        <f t="shared" si="988"/>
        <v>573.80000000000007</v>
      </c>
      <c r="AN329" s="6">
        <f t="shared" si="988"/>
        <v>573.80000000000007</v>
      </c>
      <c r="AO329" s="6">
        <f t="shared" si="988"/>
        <v>573.80000000000007</v>
      </c>
      <c r="AP329" s="6">
        <f t="shared" si="957"/>
        <v>573.80000000000007</v>
      </c>
      <c r="AQ329" s="1841">
        <f>+AW329</f>
        <v>573.80000000000007</v>
      </c>
      <c r="AR329" s="63"/>
      <c r="AS329" s="1425">
        <f t="shared" si="989"/>
        <v>573.80000000000007</v>
      </c>
      <c r="AT329" s="6">
        <f t="shared" si="989"/>
        <v>573.80000000000007</v>
      </c>
      <c r="AU329" s="6">
        <f t="shared" si="989"/>
        <v>573.80000000000007</v>
      </c>
      <c r="AV329" s="6">
        <f t="shared" si="959"/>
        <v>573.80000000000007</v>
      </c>
      <c r="AW329" s="2690">
        <v>573.80000000000007</v>
      </c>
      <c r="AX329" s="2696"/>
      <c r="AY329" s="2700">
        <f t="shared" si="990"/>
        <v>573.80000000000007</v>
      </c>
      <c r="AZ329" s="2705">
        <f t="shared" si="966"/>
        <v>573.80000000000007</v>
      </c>
      <c r="BA329" s="2705">
        <f t="shared" si="966"/>
        <v>573.80000000000007</v>
      </c>
      <c r="BB329" s="2705">
        <f t="shared" si="966"/>
        <v>573.80000000000007</v>
      </c>
      <c r="BC329" s="2695">
        <f t="shared" si="966"/>
        <v>573.80000000000007</v>
      </c>
      <c r="BD329" s="2699"/>
      <c r="BE329" s="2700">
        <f t="shared" si="991"/>
        <v>573.80000000000007</v>
      </c>
      <c r="BF329" s="2705">
        <f t="shared" si="967"/>
        <v>573.80000000000007</v>
      </c>
      <c r="BG329" s="2705">
        <f t="shared" si="967"/>
        <v>573.80000000000007</v>
      </c>
      <c r="BH329" s="2705">
        <f t="shared" si="967"/>
        <v>573.80000000000007</v>
      </c>
      <c r="BI329" s="2695">
        <f t="shared" si="967"/>
        <v>573.80000000000007</v>
      </c>
      <c r="BJ329" s="2696"/>
      <c r="BK329" s="2700">
        <f t="shared" si="992"/>
        <v>573.80000000000007</v>
      </c>
      <c r="BL329" s="2244">
        <f t="shared" si="968"/>
        <v>573.80000000000007</v>
      </c>
      <c r="BM329" s="2244">
        <f t="shared" si="968"/>
        <v>573.80000000000007</v>
      </c>
      <c r="BN329" s="2244">
        <f t="shared" si="968"/>
        <v>573.80000000000007</v>
      </c>
      <c r="BO329" s="2245">
        <f t="shared" si="968"/>
        <v>573.80000000000007</v>
      </c>
      <c r="BP329" s="63"/>
      <c r="BQ329" s="2243">
        <f t="shared" si="993"/>
        <v>573.80000000000007</v>
      </c>
      <c r="BR329" s="2244">
        <f t="shared" si="969"/>
        <v>573.80000000000007</v>
      </c>
      <c r="BS329" s="2244">
        <f t="shared" si="969"/>
        <v>573.80000000000007</v>
      </c>
      <c r="BT329" s="2244">
        <f t="shared" si="969"/>
        <v>573.80000000000007</v>
      </c>
      <c r="BU329" s="2245">
        <f t="shared" si="969"/>
        <v>573.80000000000007</v>
      </c>
      <c r="BV329" s="63"/>
      <c r="BW329" s="2243">
        <f t="shared" si="1004"/>
        <v>573.80000000000007</v>
      </c>
      <c r="BX329" s="2244">
        <f t="shared" si="970"/>
        <v>573.80000000000007</v>
      </c>
      <c r="BY329" s="2244">
        <f t="shared" si="971"/>
        <v>573.80000000000007</v>
      </c>
      <c r="BZ329" s="2244">
        <f t="shared" si="972"/>
        <v>573.80000000000007</v>
      </c>
      <c r="CA329" s="2245">
        <f t="shared" si="973"/>
        <v>573.80000000000007</v>
      </c>
      <c r="CB329" s="63"/>
      <c r="CC329" s="2243">
        <f t="shared" si="1005"/>
        <v>573.80000000000007</v>
      </c>
      <c r="CD329" s="2244">
        <f t="shared" si="974"/>
        <v>573.80000000000007</v>
      </c>
      <c r="CE329" s="2244">
        <f t="shared" si="975"/>
        <v>573.80000000000007</v>
      </c>
      <c r="CF329" s="2244">
        <f t="shared" si="976"/>
        <v>573.80000000000007</v>
      </c>
      <c r="CG329" s="2245">
        <f t="shared" si="977"/>
        <v>573.80000000000007</v>
      </c>
      <c r="CH329" s="63"/>
      <c r="CI329" s="2243">
        <f t="shared" si="1006"/>
        <v>573.80000000000007</v>
      </c>
      <c r="CJ329" s="2244">
        <f t="shared" si="998"/>
        <v>573.80000000000007</v>
      </c>
      <c r="CK329" s="2244">
        <f t="shared" si="999"/>
        <v>573.80000000000007</v>
      </c>
      <c r="CL329" s="2244">
        <f t="shared" si="1000"/>
        <v>573.80000000000007</v>
      </c>
      <c r="CM329" s="2245">
        <f t="shared" si="981"/>
        <v>573.80000000000007</v>
      </c>
      <c r="CN329" s="63"/>
      <c r="CO329" s="2243">
        <f t="shared" si="1007"/>
        <v>573.80000000000007</v>
      </c>
      <c r="CP329" s="2244">
        <f t="shared" si="1001"/>
        <v>573.80000000000007</v>
      </c>
      <c r="CQ329" s="2244">
        <f t="shared" si="1002"/>
        <v>573.80000000000007</v>
      </c>
      <c r="CR329" s="2244">
        <f t="shared" si="1003"/>
        <v>573.80000000000007</v>
      </c>
      <c r="CS329" s="2245">
        <f t="shared" si="985"/>
        <v>573.80000000000007</v>
      </c>
    </row>
    <row r="330" spans="1:162">
      <c r="A330" s="1930" t="s">
        <v>757</v>
      </c>
      <c r="C330" s="1850"/>
      <c r="G330" s="736"/>
      <c r="H330" s="63"/>
      <c r="I330" s="1425"/>
      <c r="J330" s="6"/>
      <c r="K330" s="6"/>
      <c r="L330" s="6"/>
      <c r="M330" s="1841"/>
      <c r="N330" s="63"/>
      <c r="O330" s="1425"/>
      <c r="P330" s="6"/>
      <c r="Q330" s="6"/>
      <c r="R330" s="6"/>
      <c r="S330" s="1841"/>
      <c r="T330" s="63"/>
      <c r="U330" s="1425"/>
      <c r="V330" s="6"/>
      <c r="W330" s="6"/>
      <c r="X330" s="6"/>
      <c r="Y330" s="1841"/>
      <c r="Z330" s="63"/>
      <c r="AA330" s="1425"/>
      <c r="AB330" s="6"/>
      <c r="AC330" s="6"/>
      <c r="AD330" s="6"/>
      <c r="AE330" s="1841"/>
      <c r="AF330" s="63"/>
      <c r="AG330" s="1425"/>
      <c r="AH330" s="6"/>
      <c r="AI330" s="6"/>
      <c r="AJ330" s="6"/>
      <c r="AK330" s="1841"/>
      <c r="AL330" s="63"/>
      <c r="AM330" s="1425"/>
      <c r="AN330" s="6"/>
      <c r="AO330" s="6"/>
      <c r="AP330" s="6"/>
      <c r="AQ330" s="1841"/>
      <c r="AR330" s="63"/>
      <c r="AS330" s="1425"/>
      <c r="AT330" s="6"/>
      <c r="AU330" s="6"/>
      <c r="AV330" s="6"/>
      <c r="AW330" s="2242"/>
      <c r="AX330" s="63"/>
      <c r="AY330" s="2243"/>
      <c r="AZ330" s="2244"/>
      <c r="BA330" s="2244"/>
      <c r="BB330" s="2244"/>
      <c r="BC330" s="2245"/>
      <c r="BE330" s="2243"/>
      <c r="BF330" s="2244"/>
      <c r="BG330" s="2244"/>
      <c r="BH330" s="2244"/>
      <c r="BI330" s="2245"/>
      <c r="BJ330" s="63"/>
      <c r="BK330" s="2700"/>
      <c r="BL330" s="2705"/>
      <c r="BM330" s="2701">
        <v>800</v>
      </c>
      <c r="BN330" s="2705">
        <f t="shared" ref="BN330" si="1008">+BM330</f>
        <v>800</v>
      </c>
      <c r="BO330" s="2245">
        <f t="shared" ref="BO330:BO331" si="1009">+BN330</f>
        <v>800</v>
      </c>
      <c r="BP330" s="63"/>
      <c r="BQ330" s="2243">
        <f t="shared" ref="BQ330" si="1010">+BO330</f>
        <v>800</v>
      </c>
      <c r="BR330" s="2244">
        <f t="shared" ref="BR330" si="1011">+BQ330</f>
        <v>800</v>
      </c>
      <c r="BS330" s="2244">
        <f t="shared" ref="BS330:BS331" si="1012">+BR330</f>
        <v>800</v>
      </c>
      <c r="BT330" s="2244">
        <f t="shared" ref="BT330:BT331" si="1013">+BS330</f>
        <v>800</v>
      </c>
      <c r="BU330" s="2245">
        <f t="shared" ref="BU330:BU331" si="1014">+BT330</f>
        <v>800</v>
      </c>
      <c r="BV330" s="63"/>
      <c r="BW330" s="2243">
        <f t="shared" ref="BW330" si="1015">+BU330</f>
        <v>800</v>
      </c>
      <c r="BX330" s="2244">
        <f t="shared" ref="BX330" si="1016">+BW330</f>
        <v>800</v>
      </c>
      <c r="BY330" s="2244">
        <f t="shared" ref="BY330" si="1017">+BX330</f>
        <v>800</v>
      </c>
      <c r="BZ330" s="2244">
        <f t="shared" ref="BZ330" si="1018">+BY330</f>
        <v>800</v>
      </c>
      <c r="CA330" s="2245">
        <f t="shared" ref="CA330:CA331" si="1019">+BZ330</f>
        <v>800</v>
      </c>
      <c r="CB330" s="63"/>
      <c r="CC330" s="2243">
        <f t="shared" ref="CC330" si="1020">+CA330</f>
        <v>800</v>
      </c>
      <c r="CD330" s="2244">
        <f t="shared" ref="CD330" si="1021">+CC330</f>
        <v>800</v>
      </c>
      <c r="CE330" s="2244">
        <f t="shared" ref="CE330" si="1022">+CD330</f>
        <v>800</v>
      </c>
      <c r="CF330" s="2244">
        <f t="shared" ref="CF330" si="1023">+CE330</f>
        <v>800</v>
      </c>
      <c r="CG330" s="2245">
        <f t="shared" ref="CG330:CG331" si="1024">+CF330</f>
        <v>800</v>
      </c>
      <c r="CH330" s="63"/>
      <c r="CI330" s="2243">
        <f t="shared" si="1006"/>
        <v>800</v>
      </c>
      <c r="CJ330" s="2244">
        <f t="shared" si="998"/>
        <v>800</v>
      </c>
      <c r="CK330" s="2244">
        <f t="shared" si="999"/>
        <v>800</v>
      </c>
      <c r="CL330" s="2244">
        <f t="shared" si="1000"/>
        <v>800</v>
      </c>
      <c r="CM330" s="2245">
        <f t="shared" si="981"/>
        <v>800</v>
      </c>
      <c r="CN330" s="63"/>
      <c r="CO330" s="2243">
        <f t="shared" si="1007"/>
        <v>800</v>
      </c>
      <c r="CP330" s="2244">
        <f t="shared" si="1001"/>
        <v>800</v>
      </c>
      <c r="CQ330" s="2244">
        <f t="shared" si="1002"/>
        <v>800</v>
      </c>
      <c r="CR330" s="2244">
        <f t="shared" si="1003"/>
        <v>800</v>
      </c>
      <c r="CS330" s="2245">
        <f t="shared" si="985"/>
        <v>800</v>
      </c>
    </row>
    <row r="331" spans="1:162">
      <c r="A331" s="1930" t="s">
        <v>758</v>
      </c>
      <c r="C331" s="1850"/>
      <c r="G331" s="736"/>
      <c r="H331" s="63"/>
      <c r="I331" s="1425"/>
      <c r="J331" s="6"/>
      <c r="K331" s="6"/>
      <c r="L331" s="6"/>
      <c r="M331" s="1841"/>
      <c r="N331" s="63"/>
      <c r="O331" s="1425"/>
      <c r="P331" s="6"/>
      <c r="Q331" s="6"/>
      <c r="R331" s="6"/>
      <c r="S331" s="1841"/>
      <c r="T331" s="63"/>
      <c r="U331" s="1425"/>
      <c r="V331" s="6"/>
      <c r="W331" s="6"/>
      <c r="X331" s="6"/>
      <c r="Y331" s="1841"/>
      <c r="Z331" s="63"/>
      <c r="AA331" s="1425"/>
      <c r="AB331" s="6"/>
      <c r="AC331" s="6"/>
      <c r="AD331" s="6"/>
      <c r="AE331" s="1841"/>
      <c r="AF331" s="63"/>
      <c r="AG331" s="1425"/>
      <c r="AH331" s="6"/>
      <c r="AI331" s="6"/>
      <c r="AJ331" s="6"/>
      <c r="AK331" s="1841"/>
      <c r="AL331" s="63"/>
      <c r="AM331" s="1425"/>
      <c r="AN331" s="6"/>
      <c r="AO331" s="6"/>
      <c r="AP331" s="6"/>
      <c r="AQ331" s="1841"/>
      <c r="AR331" s="63"/>
      <c r="AS331" s="1425"/>
      <c r="AT331" s="6"/>
      <c r="AU331" s="6"/>
      <c r="AV331" s="6"/>
      <c r="AW331" s="2242"/>
      <c r="AX331" s="63"/>
      <c r="AY331" s="2243"/>
      <c r="AZ331" s="2244"/>
      <c r="BA331" s="2244"/>
      <c r="BB331" s="2244"/>
      <c r="BC331" s="2245"/>
      <c r="BE331" s="2243"/>
      <c r="BF331" s="2244"/>
      <c r="BG331" s="2244"/>
      <c r="BH331" s="2244"/>
      <c r="BI331" s="2245"/>
      <c r="BJ331" s="63"/>
      <c r="BK331" s="2700">
        <v>3000</v>
      </c>
      <c r="BL331" s="2705">
        <v>3000</v>
      </c>
      <c r="BM331" s="2705">
        <v>3000</v>
      </c>
      <c r="BN331" s="2705">
        <v>3000</v>
      </c>
      <c r="BO331" s="2245">
        <f t="shared" si="1009"/>
        <v>3000</v>
      </c>
      <c r="BP331" s="63"/>
      <c r="BQ331" s="2243">
        <v>3000</v>
      </c>
      <c r="BR331" s="2244">
        <f>+BQ331</f>
        <v>3000</v>
      </c>
      <c r="BS331" s="2244">
        <f t="shared" si="1012"/>
        <v>3000</v>
      </c>
      <c r="BT331" s="2244">
        <f t="shared" si="1013"/>
        <v>3000</v>
      </c>
      <c r="BU331" s="2245">
        <f t="shared" si="1014"/>
        <v>3000</v>
      </c>
      <c r="BV331" s="63"/>
      <c r="BW331" s="2243">
        <f>+BU331*1.025</f>
        <v>3074.9999999999995</v>
      </c>
      <c r="BX331" s="2244">
        <f>+BW331*1.025</f>
        <v>3151.8749999999991</v>
      </c>
      <c r="BY331" s="2244">
        <f>+BX331*1.025</f>
        <v>3230.6718749999986</v>
      </c>
      <c r="BZ331" s="2244">
        <f>+BY331*1.025</f>
        <v>3311.4386718749984</v>
      </c>
      <c r="CA331" s="2245">
        <f t="shared" si="1019"/>
        <v>3311.4386718749984</v>
      </c>
      <c r="CB331" s="63"/>
      <c r="CC331" s="2243">
        <f>+CA331*1.025</f>
        <v>3394.224638671873</v>
      </c>
      <c r="CD331" s="2244">
        <f>+CC331*1.025</f>
        <v>3479.0802546386694</v>
      </c>
      <c r="CE331" s="2244">
        <f t="shared" ref="CE331:CF331" si="1025">+CD331*1.025</f>
        <v>3566.0572610046361</v>
      </c>
      <c r="CF331" s="2244">
        <f t="shared" si="1025"/>
        <v>3655.2086925297517</v>
      </c>
      <c r="CG331" s="2245">
        <f t="shared" si="1024"/>
        <v>3655.2086925297517</v>
      </c>
      <c r="CH331" s="63"/>
      <c r="CI331" s="2243">
        <f>+CG331*1.025</f>
        <v>3746.5889098429952</v>
      </c>
      <c r="CJ331" s="2244">
        <f>+CI331*1.025</f>
        <v>3840.2536325890696</v>
      </c>
      <c r="CK331" s="2244">
        <f t="shared" ref="CK331" si="1026">+CJ331*1.025</f>
        <v>3936.2599734037958</v>
      </c>
      <c r="CL331" s="2244">
        <f t="shared" ref="CL331" si="1027">+CK331*1.025</f>
        <v>4034.6664727388902</v>
      </c>
      <c r="CM331" s="2245">
        <f t="shared" si="981"/>
        <v>4034.6664727388902</v>
      </c>
      <c r="CN331" s="63"/>
      <c r="CO331" s="2243">
        <f>+CM331*1.025</f>
        <v>4135.5331345573622</v>
      </c>
      <c r="CP331" s="2244">
        <f>+CO331*1.025</f>
        <v>4238.9214629212956</v>
      </c>
      <c r="CQ331" s="2244">
        <f t="shared" ref="CQ331" si="1028">+CP331*1.025</f>
        <v>4344.8944994943276</v>
      </c>
      <c r="CR331" s="2244">
        <f t="shared" ref="CR331" si="1029">+CQ331*1.025</f>
        <v>4453.5168619816859</v>
      </c>
      <c r="CS331" s="2245">
        <f t="shared" si="985"/>
        <v>4453.5168619816859</v>
      </c>
    </row>
    <row r="332" spans="1:162">
      <c r="A332" s="1601" t="s">
        <v>658</v>
      </c>
      <c r="C332" s="1850"/>
      <c r="G332" s="736"/>
      <c r="H332" s="63"/>
      <c r="I332" s="1850"/>
      <c r="M332" s="736"/>
      <c r="N332" s="63"/>
      <c r="O332" s="1850"/>
      <c r="S332" s="736"/>
      <c r="T332" s="63"/>
      <c r="U332" s="1850"/>
      <c r="Y332" s="736"/>
      <c r="Z332" s="63"/>
      <c r="AA332" s="1850"/>
      <c r="AE332" s="736"/>
      <c r="AF332" s="63"/>
      <c r="AG332" s="1850"/>
      <c r="AK332" s="736"/>
      <c r="AL332" s="63"/>
      <c r="AM332" s="1850"/>
      <c r="AQ332" s="736"/>
      <c r="AR332" s="63"/>
      <c r="AS332" s="1850"/>
      <c r="AW332" s="736"/>
      <c r="AX332" s="63"/>
      <c r="AY332" s="1850"/>
      <c r="BC332" s="188"/>
      <c r="BD332" s="2238"/>
      <c r="BE332" s="1850"/>
      <c r="BF332" s="2234"/>
      <c r="BG332" s="2234"/>
      <c r="BH332" s="2234"/>
      <c r="BI332" s="736"/>
      <c r="BJ332" s="63"/>
      <c r="BK332" s="1850"/>
      <c r="BL332" s="2241"/>
      <c r="BM332" s="2241"/>
      <c r="BN332" s="2241"/>
      <c r="BO332" s="736"/>
      <c r="BP332" s="63"/>
      <c r="BQ332" s="1850"/>
      <c r="BR332" s="2241"/>
      <c r="BS332" s="2241"/>
      <c r="BT332" s="2241"/>
      <c r="BU332" s="2218"/>
      <c r="BV332" s="63"/>
      <c r="BW332" s="1850"/>
      <c r="BX332" s="2241"/>
      <c r="BY332" s="2241"/>
      <c r="BZ332" s="2241"/>
      <c r="CA332" s="2218"/>
      <c r="CB332" s="63"/>
      <c r="CC332" s="1850"/>
      <c r="CD332" s="2241"/>
      <c r="CE332" s="2241"/>
      <c r="CF332" s="2241"/>
      <c r="CG332" s="736"/>
      <c r="CH332" s="63"/>
      <c r="CI332" s="1850"/>
      <c r="CJ332" s="2241"/>
      <c r="CK332" s="2241"/>
      <c r="CL332" s="2241"/>
      <c r="CM332" s="736"/>
      <c r="CN332" s="63"/>
      <c r="CO332" s="1850"/>
      <c r="CP332" s="2241"/>
      <c r="CQ332" s="2241"/>
      <c r="CR332" s="2241"/>
      <c r="CS332" s="736"/>
    </row>
    <row r="333" spans="1:162">
      <c r="A333" s="1930" t="s">
        <v>661</v>
      </c>
      <c r="B333" s="2238"/>
      <c r="C333" s="1425">
        <f>+(360*C320*C145)/1000000</f>
        <v>0</v>
      </c>
      <c r="D333" s="1422">
        <f>+(360*D320*D145)/1000000</f>
        <v>0</v>
      </c>
      <c r="E333" s="1422">
        <f>+(360*E320*E145)/1000000</f>
        <v>0</v>
      </c>
      <c r="F333" s="1422">
        <f>+(360*F320*F145)/1000000</f>
        <v>0</v>
      </c>
      <c r="G333" s="1841">
        <f>+(SUMPRODUCT(C320:F320,C145:F145)*360)/(1000000*4)</f>
        <v>0</v>
      </c>
      <c r="H333" s="2238"/>
      <c r="I333" s="1425">
        <f>+(360*I320*I145)/1000000</f>
        <v>0.32940000000000003</v>
      </c>
      <c r="J333" s="1422">
        <f>+(360*J320*J145)/1000000</f>
        <v>0.46116000000000001</v>
      </c>
      <c r="K333" s="1422">
        <f>+(360*K320*K145)/1000000</f>
        <v>0.60696000000000006</v>
      </c>
      <c r="L333" s="1422">
        <f>+(360*L320*L145)/1000000</f>
        <v>0.76895999999999998</v>
      </c>
      <c r="M333" s="1841">
        <f>+(SUMPRODUCT(I320:L320,I145:L145)*360)/(1000000*4)</f>
        <v>0.54161999999999999</v>
      </c>
      <c r="N333" s="2238"/>
      <c r="O333" s="1425">
        <f>+(360*O320*O145)/1000000</f>
        <v>0.94499999999999995</v>
      </c>
      <c r="P333" s="1422">
        <f>+(360*P320*P145)/1000000</f>
        <v>1.13076</v>
      </c>
      <c r="Q333" s="1422">
        <f>+(360*Q320*Q145)/1000000</f>
        <v>1.3348800000000001</v>
      </c>
      <c r="R333" s="1422">
        <f>+(360*R320*R145)/1000000</f>
        <v>1.55304</v>
      </c>
      <c r="S333" s="1841">
        <f>+(SUMPRODUCT(O320:R320,O145:R145)*360)/(1000000*4)</f>
        <v>1.24092</v>
      </c>
      <c r="T333" s="2238"/>
      <c r="U333" s="1425">
        <f>+(360*U320*U145)/1000000</f>
        <v>1.7625599999999999</v>
      </c>
      <c r="V333" s="1422">
        <f>+(360*V320*V145)/1000000</f>
        <v>1.7730360000000001</v>
      </c>
      <c r="W333" s="1422">
        <f>+(360*W320*W145)/1000000</f>
        <v>1.7951975999999998</v>
      </c>
      <c r="X333" s="1422">
        <f>+(360*X320*X145)/1000000</f>
        <v>1.6496351999999996</v>
      </c>
      <c r="Y333" s="1841">
        <f>+(SUMPRODUCT(U320:X320,U145:X145)*360)/(1000000*4)</f>
        <v>1.7451072000000001</v>
      </c>
      <c r="Z333" s="2238"/>
      <c r="AA333" s="1425">
        <f>+(360*AA320*AA145)/1000000</f>
        <v>1.4670935999999997</v>
      </c>
      <c r="AB333" s="1422">
        <f>+(360*AB320*AB145)/1000000</f>
        <v>1.2696544799999998</v>
      </c>
      <c r="AC333" s="1422">
        <f>+(360*AC320*AC145)/1000000</f>
        <v>1.1575288799999996</v>
      </c>
      <c r="AD333" s="1422">
        <f>+(360*AD320*AD145)/1000000</f>
        <v>1.0930679999999995</v>
      </c>
      <c r="AE333" s="1841">
        <f>+(SUMPRODUCT(AA320:AD320,AA145:AD145)*360)/(1000000*4)</f>
        <v>1.2468362399999995</v>
      </c>
      <c r="AF333" s="2238"/>
      <c r="AG333" s="1425">
        <f>+(360*AG320*AG145)/1000000</f>
        <v>1.0088711999999995</v>
      </c>
      <c r="AH333" s="1422">
        <f>+(360*AH320*AH145)/1000000</f>
        <v>0.92508479999999949</v>
      </c>
      <c r="AI333" s="1422">
        <f>+(360*AI320*AI145)/1000000</f>
        <v>0.87388199999999938</v>
      </c>
      <c r="AJ333" s="1422">
        <f>+(360*AJ320*AJ145)/1000000</f>
        <v>0.85991759999999939</v>
      </c>
      <c r="AK333" s="1841">
        <f>+(SUMPRODUCT(AG320:AJ320,AG145:AJ145)*360)/(1000000*4)</f>
        <v>0.91693889999999945</v>
      </c>
      <c r="AL333" s="2238"/>
      <c r="AM333" s="1425">
        <f>+(360*AM320*AM145)/1000000</f>
        <v>0.85991759999999939</v>
      </c>
      <c r="AN333" s="1422">
        <f>+(360*AN320*AN145)/1000000</f>
        <v>0.85991759999999939</v>
      </c>
      <c r="AO333" s="1422">
        <f>+(360*AO320*AO145)/1000000</f>
        <v>0.85991759999999939</v>
      </c>
      <c r="AP333" s="1422">
        <f>+(360*AP320*AP145)/1000000</f>
        <v>0.85991759999999939</v>
      </c>
      <c r="AQ333" s="1841">
        <f>+(SUMPRODUCT(AM320:AP320,AM145:AP145)*360)/(1000000*4)</f>
        <v>0.8599175999999995</v>
      </c>
      <c r="AR333" s="2238"/>
      <c r="AS333" s="1425">
        <f>+(360*AS320*AS145)/1000000</f>
        <v>0.85991759999999939</v>
      </c>
      <c r="AT333" s="1422">
        <f>+(360*AT320*AT145)/1000000</f>
        <v>0.85991759999999939</v>
      </c>
      <c r="AU333" s="1422">
        <f>+(360*AU320*AU145)/1000000</f>
        <v>0.85991759999999939</v>
      </c>
      <c r="AV333" s="1422">
        <f>+(360*AV320*AV145)/1000000</f>
        <v>0.85991759999999939</v>
      </c>
      <c r="AW333" s="1841">
        <f>+(SUMPRODUCT(AS320:AV320,AS145:AV145)*360)/(1000000*4)</f>
        <v>0.8599175999999995</v>
      </c>
      <c r="AX333" s="2238"/>
      <c r="AY333" s="1425">
        <f>+(360*AY320*AY145)/1000000</f>
        <v>0.85991759999999939</v>
      </c>
      <c r="AZ333" s="1422">
        <f>+(360*AZ320*AZ145)/1000000</f>
        <v>0.85991759999999939</v>
      </c>
      <c r="BA333" s="1422">
        <f>+(360*BA320*BA145)/1000000</f>
        <v>0.85991759999999939</v>
      </c>
      <c r="BB333" s="1422">
        <f>+(360*BB320*BB145)/1000000</f>
        <v>0.85991759999999939</v>
      </c>
      <c r="BC333" s="1841">
        <f>+(SUMPRODUCT(AY320:BB320,AY$145:BB$145)*360)/(1000000*4)</f>
        <v>0.8599175999999995</v>
      </c>
      <c r="BD333" s="2238"/>
      <c r="BE333" s="1425">
        <f>+(360*BE320*BE145)/1000000</f>
        <v>0.85991759999999939</v>
      </c>
      <c r="BF333" s="1422">
        <f>+(360*BF320*BF145)/1000000</f>
        <v>0.85991759999999939</v>
      </c>
      <c r="BG333" s="1422">
        <f>+(360*BG320*BG145)/1000000</f>
        <v>0.85991759999999939</v>
      </c>
      <c r="BH333" s="1422">
        <f>+(360*BH320*BH145)/1000000</f>
        <v>0.85991759999999939</v>
      </c>
      <c r="BI333" s="1841">
        <f>+(SUMPRODUCT(BE320:BH320,BE145:BH145)*360)/(1000000*4)</f>
        <v>0.8599175999999995</v>
      </c>
      <c r="BJ333" s="2238"/>
      <c r="BK333" s="1425">
        <f>+(360*BK320*BK145)/1000000</f>
        <v>0.85991759999999939</v>
      </c>
      <c r="BL333" s="1422">
        <f>+(360*BL320*BL145)/1000000</f>
        <v>0.85991759999999939</v>
      </c>
      <c r="BM333" s="1422">
        <f>+(360*BM320*BM145)/1000000</f>
        <v>0.85991759999999939</v>
      </c>
      <c r="BN333" s="1422">
        <f>+(360*BN320*BN145)/1000000</f>
        <v>0.85991759999999939</v>
      </c>
      <c r="BO333" s="1841">
        <f>+(SUMPRODUCT(BK320:BN320,BK145:BN145)*360)/(1000000*4)</f>
        <v>0.8599175999999995</v>
      </c>
      <c r="BP333" s="2238"/>
      <c r="BQ333" s="1425">
        <f>+(360*BQ320*BQ145)/1000000</f>
        <v>0.85991759999999939</v>
      </c>
      <c r="BR333" s="1422">
        <f>+(360*BR320*BR145)/1000000</f>
        <v>0.85991759999999939</v>
      </c>
      <c r="BS333" s="1422">
        <f>+(360*BS320*BS145)/1000000</f>
        <v>0.85991759999999939</v>
      </c>
      <c r="BT333" s="1422">
        <f>+(360*BT320*BT145)/1000000</f>
        <v>0.85991759999999939</v>
      </c>
      <c r="BU333" s="1841">
        <f>+(SUMPRODUCT(BQ320:BT320,BQ145:BT145)*360)/(1000000*4)</f>
        <v>0.8599175999999995</v>
      </c>
      <c r="BV333" s="2238"/>
      <c r="BW333" s="1425">
        <f>+(360*BW320*BW145)/1000000</f>
        <v>0.85991759999999939</v>
      </c>
      <c r="BX333" s="1422">
        <f>+(360*BX320*BX145)/1000000</f>
        <v>0.85991759999999939</v>
      </c>
      <c r="BY333" s="1422">
        <f>+(360*BY320*BY145)/1000000</f>
        <v>0.85991759999999939</v>
      </c>
      <c r="BZ333" s="1422">
        <f>+(360*BZ320*BZ145)/1000000</f>
        <v>0.85991759999999939</v>
      </c>
      <c r="CA333" s="1841">
        <f>+(SUMPRODUCT(BW320:BZ320,BW145:BZ145)*360)/(1000000*4)</f>
        <v>0.8599175999999995</v>
      </c>
      <c r="CB333" s="2238"/>
      <c r="CC333" s="1425">
        <f>+(360*CC320*CC145)/1000000</f>
        <v>0.85991759999999939</v>
      </c>
      <c r="CD333" s="1422">
        <f>+(360*CD320*CD145)/1000000</f>
        <v>0.85991759999999939</v>
      </c>
      <c r="CE333" s="1422">
        <f>+(360*CE320*CE145)/1000000</f>
        <v>0.85991759999999939</v>
      </c>
      <c r="CF333" s="1422">
        <f>+(360*CF320*CF145)/1000000</f>
        <v>0.85991759999999939</v>
      </c>
      <c r="CG333" s="1841">
        <f>+(SUMPRODUCT(CC320:CF320,CC145:CF145)*360)/(1000000*4)</f>
        <v>0.8599175999999995</v>
      </c>
      <c r="CH333" s="2238"/>
      <c r="CI333" s="1425">
        <f>+(360*CI320*CI145)/1000000</f>
        <v>0.85991759999999939</v>
      </c>
      <c r="CJ333" s="1422">
        <f>+(360*CJ320*CJ145)/1000000</f>
        <v>0.85991759999999939</v>
      </c>
      <c r="CK333" s="1422">
        <f>+(360*CK320*CK145)/1000000</f>
        <v>0.85991759999999939</v>
      </c>
      <c r="CL333" s="1422">
        <f>+(360*CL320*CL145)/1000000</f>
        <v>0.85991759999999939</v>
      </c>
      <c r="CM333" s="1841">
        <f>+(SUMPRODUCT(CI320:CL320,CI145:CL145)*360)/(1000000*4)</f>
        <v>0.8599175999999995</v>
      </c>
      <c r="CN333" s="2238"/>
      <c r="CO333" s="1425">
        <f>+(360*CO320*CO145)/1000000</f>
        <v>0.85991759999999939</v>
      </c>
      <c r="CP333" s="1422">
        <f>+(360*CP320*CP145)/1000000</f>
        <v>0.85991759999999939</v>
      </c>
      <c r="CQ333" s="1422">
        <f>+(360*CQ320*CQ145)/1000000</f>
        <v>0.85991759999999939</v>
      </c>
      <c r="CR333" s="1422">
        <f>+(360*CR320*CR145)/1000000</f>
        <v>0.85991759999999939</v>
      </c>
      <c r="CS333" s="1841">
        <f>+(SUMPRODUCT(CO320:CR320,CO145:CR145)*360)/(1000000*4)</f>
        <v>0.8599175999999995</v>
      </c>
    </row>
    <row r="334" spans="1:162">
      <c r="A334" s="1930" t="s">
        <v>615</v>
      </c>
      <c r="B334" s="2238"/>
      <c r="C334" s="1425">
        <f>+(360*C321*C147)/1000000</f>
        <v>0</v>
      </c>
      <c r="D334" s="1422">
        <f>+(360*D321*D147)/1000000</f>
        <v>0</v>
      </c>
      <c r="E334" s="1422">
        <f>+(360*E321*E147)/1000000</f>
        <v>0</v>
      </c>
      <c r="F334" s="1422">
        <f>+(360*F321*F147)/1000000</f>
        <v>0</v>
      </c>
      <c r="G334" s="1841">
        <f>+(SUMPRODUCT(C321:F321,C147:F147)*360)/(1000000*4)</f>
        <v>0</v>
      </c>
      <c r="H334" s="2238"/>
      <c r="I334" s="1425">
        <f>+(360*I321*I147)/1000000</f>
        <v>0</v>
      </c>
      <c r="J334" s="1422">
        <f>+(360*J321*J147)/1000000</f>
        <v>0</v>
      </c>
      <c r="K334" s="1422">
        <f>+(360*K321*K147)/1000000</f>
        <v>0</v>
      </c>
      <c r="L334" s="1422">
        <f>+(360*L321*L147)/1000000</f>
        <v>0</v>
      </c>
      <c r="M334" s="1841">
        <f>+(SUMPRODUCT(I321:L321,I147:L147)*360)/(1000000*4)</f>
        <v>0</v>
      </c>
      <c r="N334" s="2238"/>
      <c r="O334" s="1425">
        <f>+(360*O321*O147)/1000000</f>
        <v>0</v>
      </c>
      <c r="P334" s="1422">
        <f>+(360*P321*P147)/1000000</f>
        <v>0</v>
      </c>
      <c r="Q334" s="1422">
        <f>+(360*Q321*Q147)/1000000</f>
        <v>0</v>
      </c>
      <c r="R334" s="1422">
        <f>+(360*R321*R147)/1000000</f>
        <v>0</v>
      </c>
      <c r="S334" s="1841">
        <f>+(SUMPRODUCT(O321:R321,O147:R147)*360)/(1000000*4)</f>
        <v>0</v>
      </c>
      <c r="T334" s="2238"/>
      <c r="U334" s="1425">
        <f>+(360*U321*U147)/1000000</f>
        <v>0</v>
      </c>
      <c r="V334" s="1422">
        <f>+(360*V321*V147)/1000000</f>
        <v>0</v>
      </c>
      <c r="W334" s="1422">
        <f>+(360*W321*W147)/1000000</f>
        <v>0</v>
      </c>
      <c r="X334" s="1422">
        <f>+(360*X321*X147)/1000000</f>
        <v>0</v>
      </c>
      <c r="Y334" s="1841">
        <f>+(SUMPRODUCT(U321:X321,U147:X147)*360)/(1000000*4)</f>
        <v>0</v>
      </c>
      <c r="Z334" s="2238"/>
      <c r="AA334" s="1425">
        <f>+(360*AA321*AA147)/1000000</f>
        <v>0</v>
      </c>
      <c r="AB334" s="1422">
        <f>+(360*AB321*AB147)/1000000</f>
        <v>0</v>
      </c>
      <c r="AC334" s="1422">
        <f>+(360*AC321*AC147)/1000000</f>
        <v>0</v>
      </c>
      <c r="AD334" s="1422">
        <f>+(360*AD321*AD147)/1000000</f>
        <v>0</v>
      </c>
      <c r="AE334" s="1841">
        <f>+(SUMPRODUCT(AA321:AD321,AA147:AD147)*360)/(1000000*4)</f>
        <v>0</v>
      </c>
      <c r="AF334" s="2238"/>
      <c r="AG334" s="1425">
        <f>+(360*AG321*AG147)/1000000</f>
        <v>0</v>
      </c>
      <c r="AH334" s="1422">
        <f>+(360*AH321*AH147)/1000000</f>
        <v>0</v>
      </c>
      <c r="AI334" s="1422">
        <f>+(360*AI321*AI147)/1000000</f>
        <v>0</v>
      </c>
      <c r="AJ334" s="1422">
        <f>+(360*AJ321*AJ147)/1000000</f>
        <v>0</v>
      </c>
      <c r="AK334" s="1841">
        <f>+(SUMPRODUCT(AG321:AJ321,AG147:AJ147)*360)/(1000000*4)</f>
        <v>0</v>
      </c>
      <c r="AL334" s="2238"/>
      <c r="AM334" s="1425">
        <f>+(360*AM321*AM147)/1000000</f>
        <v>0</v>
      </c>
      <c r="AN334" s="1422">
        <f>+(360*AN321*AN147)/1000000</f>
        <v>0</v>
      </c>
      <c r="AO334" s="1422">
        <f>+(360*AO321*AO147)/1000000</f>
        <v>0</v>
      </c>
      <c r="AP334" s="1422">
        <f>+(360*AP321*AP147)/1000000</f>
        <v>0</v>
      </c>
      <c r="AQ334" s="1841">
        <f>+(SUMPRODUCT(AM321:AP321,AM147:AP147)*360)/(1000000*4)</f>
        <v>0</v>
      </c>
      <c r="AR334" s="2238"/>
      <c r="AS334" s="1425">
        <f>+(360*AS321*AS147)/1000000</f>
        <v>0</v>
      </c>
      <c r="AT334" s="1422">
        <f>+(360*AT321*AT147)/1000000</f>
        <v>0</v>
      </c>
      <c r="AU334" s="1422">
        <f>+(360*AU321*AU147)/1000000</f>
        <v>0</v>
      </c>
      <c r="AV334" s="1422">
        <f>+(360*AV321*AV147)/1000000</f>
        <v>0</v>
      </c>
      <c r="AW334" s="1841">
        <f>+(SUMPRODUCT(AS321:AV321,AS147:AV147)*360)/(1000000*4)</f>
        <v>0</v>
      </c>
      <c r="AX334" s="2238"/>
      <c r="AY334" s="1425">
        <f>+(360*AY321*AY147)/1000000</f>
        <v>0</v>
      </c>
      <c r="AZ334" s="1422">
        <f>+(360*AZ321*AZ147)/1000000</f>
        <v>0</v>
      </c>
      <c r="BA334" s="1422">
        <f>+(360*BA321*BA147)/1000000</f>
        <v>0</v>
      </c>
      <c r="BB334" s="1422">
        <f>+(360*BB321*BB147)/1000000</f>
        <v>0</v>
      </c>
      <c r="BC334" s="1841">
        <f>+(SUMPRODUCT(AY321:BB321,AY147:BB147)*360)/(1000000*4)</f>
        <v>0</v>
      </c>
      <c r="BD334" s="2238"/>
      <c r="BE334" s="1425">
        <f>+(360*BE321*BE147)/1000000</f>
        <v>0.11752363636363639</v>
      </c>
      <c r="BF334" s="1422">
        <f>+(360*BF321*BF147)/1000000</f>
        <v>0.15949636363636369</v>
      </c>
      <c r="BG334" s="1422">
        <f>+(360*BG321*BG147)/1000000</f>
        <v>0.25743272727272731</v>
      </c>
      <c r="BH334" s="1422">
        <f>+(360*BH321*BH147)/1000000</f>
        <v>0.39174545454545462</v>
      </c>
      <c r="BI334" s="1841">
        <f>+(SUMPRODUCT(BE321:BH321,BE147:BH147)*360)/(1000000*4)</f>
        <v>0.23154954545454545</v>
      </c>
      <c r="BJ334" s="63"/>
      <c r="BK334" s="1425">
        <f>+(360*BK321*BK147)/1000000</f>
        <v>0.52605818181818187</v>
      </c>
      <c r="BL334" s="1422">
        <f>+(360*BL321*BL147)/1000000</f>
        <v>0.63798545454545474</v>
      </c>
      <c r="BM334" s="1422">
        <f>+(360*BM321*BM147)/1000000</f>
        <v>0.7499127272727274</v>
      </c>
      <c r="BN334" s="1422">
        <f>+(360*BN321*BN147)/1000000</f>
        <v>0.86184000000000016</v>
      </c>
      <c r="BO334" s="1841">
        <f>+(SUMPRODUCT(BK321:BN321,BK147:BN147)*360)/(1000000*4)</f>
        <v>0.69394909090909107</v>
      </c>
      <c r="BP334" s="63"/>
      <c r="BQ334" s="1425">
        <f>+(360*BQ321*BQ147)/1000000</f>
        <v>0.97376727272727293</v>
      </c>
      <c r="BR334" s="1422">
        <f>+(360*BR321*BR147)/1000000</f>
        <v>1.0912909090909093</v>
      </c>
      <c r="BS334" s="1422">
        <f>+(360*BS321*BS147)/1000000</f>
        <v>1.2144109090909094</v>
      </c>
      <c r="BT334" s="1422">
        <f>+(360*BT321*BT147)/1000000</f>
        <v>1.3375309090909093</v>
      </c>
      <c r="BU334" s="1841">
        <f>+(SUMPRODUCT(BQ321:BT321,BQ147:BT147)*360)/(1000000*4)</f>
        <v>1.15425</v>
      </c>
      <c r="BV334" s="63"/>
      <c r="BW334" s="1425">
        <f>+(360*BW321*BW147)/1000000</f>
        <v>1.4606509090909094</v>
      </c>
      <c r="BX334" s="1422">
        <f>+(360*BX321*BX147)/1000000</f>
        <v>1.5837709090909093</v>
      </c>
      <c r="BY334" s="1422">
        <f>+(360*BY321*BY147)/1000000</f>
        <v>1.7068909090909095</v>
      </c>
      <c r="BZ334" s="1422">
        <f>+(360*BZ321*BZ147)/1000000</f>
        <v>1.8300109090909094</v>
      </c>
      <c r="CA334" s="1841">
        <f>+(SUMPRODUCT(BW321:BZ321,BW147:BZ147)*360)/(1000000*4)</f>
        <v>1.6453309090909094</v>
      </c>
      <c r="CB334" s="63"/>
      <c r="CC334" s="1425">
        <f>+(360*CC321*CC147)/1000000</f>
        <v>1.9531309090909095</v>
      </c>
      <c r="CD334" s="1422">
        <f>+(360*CD321*CD147)/1000000</f>
        <v>2.0762509090909096</v>
      </c>
      <c r="CE334" s="1422">
        <f>+(360*CE321*CE147)/1000000</f>
        <v>2.1993709090909097</v>
      </c>
      <c r="CF334" s="1422">
        <f>+(360*CF321*CF147)/1000000</f>
        <v>2.3224909090909098</v>
      </c>
      <c r="CG334" s="1841">
        <f>+(SUMPRODUCT(CC321:CF321,CC147:CF147)*360)/(1000000*4)</f>
        <v>2.1378109090909092</v>
      </c>
      <c r="CH334" s="63"/>
      <c r="CI334" s="1425">
        <f>+(360*CI321*CI147)/1000000</f>
        <v>2.4456109090909095</v>
      </c>
      <c r="CJ334" s="1422">
        <f>+(360*CJ321*CJ147)/1000000</f>
        <v>2.5687309090909096</v>
      </c>
      <c r="CK334" s="1422">
        <f>+(360*CK321*CK147)/1000000</f>
        <v>2.6918509090909097</v>
      </c>
      <c r="CL334" s="1422">
        <f>+(360*CL321*CL147)/1000000</f>
        <v>2.8149709090909099</v>
      </c>
      <c r="CM334" s="1841">
        <f>+(SUMPRODUCT(CI321:CL321,CI147:CL147)*360)/(1000000*4)</f>
        <v>2.6302909090909092</v>
      </c>
      <c r="CN334" s="63"/>
      <c r="CO334" s="1425">
        <f>+(360*CO321*CO147)/1000000</f>
        <v>2.9380909090909095</v>
      </c>
      <c r="CP334" s="1422">
        <f>+(360*CP321*CP147)/1000000</f>
        <v>3.0612109090909096</v>
      </c>
      <c r="CQ334" s="1422">
        <f>+(360*CQ321*CQ147)/1000000</f>
        <v>3.1843309090909098</v>
      </c>
      <c r="CR334" s="1422">
        <f>+(360*CR321*CR147)/1000000</f>
        <v>3.3074509090909094</v>
      </c>
      <c r="CS334" s="1841">
        <f>+(SUMPRODUCT(CO321:CR321,CO147:CR147)*360)/(1000000*4)</f>
        <v>3.1227709090909097</v>
      </c>
    </row>
    <row r="335" spans="1:162">
      <c r="A335" s="1930" t="s">
        <v>230</v>
      </c>
      <c r="B335" s="2238"/>
      <c r="C335" s="1425">
        <f>+(360*C322*C149)/1000000</f>
        <v>0</v>
      </c>
      <c r="D335" s="1422">
        <f>+(360*D322*D149)/1000000</f>
        <v>0</v>
      </c>
      <c r="E335" s="1422">
        <f>+(360*E322*E149)/1000000</f>
        <v>0</v>
      </c>
      <c r="F335" s="1422">
        <f>+(360*F322*F149)/1000000</f>
        <v>0</v>
      </c>
      <c r="G335" s="1841">
        <f>+(SUMPRODUCT(C322:F322,C149:F149)*360)/(1000000*4)</f>
        <v>0</v>
      </c>
      <c r="H335" s="2238"/>
      <c r="I335" s="1425">
        <f>+(360*I322*I149)/1000000</f>
        <v>0</v>
      </c>
      <c r="J335" s="1422">
        <f>+(360*J322*J149)/1000000</f>
        <v>0</v>
      </c>
      <c r="K335" s="1422">
        <f>+(360*K322*K149)/1000000</f>
        <v>0</v>
      </c>
      <c r="L335" s="1422">
        <f>+(360*L322*L149)/1000000</f>
        <v>0</v>
      </c>
      <c r="M335" s="1841">
        <f>+(SUMPRODUCT(I322:L322,I149:L149)*360)/(1000000*4)</f>
        <v>0</v>
      </c>
      <c r="N335" s="2238"/>
      <c r="O335" s="1425">
        <f>+(360*O322*O149)/1000000</f>
        <v>0</v>
      </c>
      <c r="P335" s="1422">
        <f>+(360*P322*P149)/1000000</f>
        <v>0</v>
      </c>
      <c r="Q335" s="1422">
        <f>+(360*Q322*Q149)/1000000</f>
        <v>0</v>
      </c>
      <c r="R335" s="1422">
        <f>+(360*R322*R149)/1000000</f>
        <v>0</v>
      </c>
      <c r="S335" s="1841">
        <f>+(SUMPRODUCT(O322:R322,O149:R149)*360)/(1000000*4)</f>
        <v>0</v>
      </c>
      <c r="T335" s="2238"/>
      <c r="U335" s="1425">
        <f>+(360*U322*U149)/1000000</f>
        <v>0</v>
      </c>
      <c r="V335" s="1422">
        <f>+(360*V322*V149)/1000000</f>
        <v>0</v>
      </c>
      <c r="W335" s="1422">
        <f>+(360*W322*W149)/1000000</f>
        <v>0</v>
      </c>
      <c r="X335" s="1422">
        <f>+(360*X322*X149)/1000000</f>
        <v>0</v>
      </c>
      <c r="Y335" s="1841">
        <f>+(SUMPRODUCT(U322:X322,U149:X149)*360)/(1000000*4)</f>
        <v>0</v>
      </c>
      <c r="Z335" s="2238"/>
      <c r="AA335" s="1425">
        <f>+(360*AA322*AA149)/1000000</f>
        <v>0</v>
      </c>
      <c r="AB335" s="1422">
        <f>+(360*AB322*AB149)/1000000</f>
        <v>0</v>
      </c>
      <c r="AC335" s="1422">
        <f>+(360*AC322*AC149)/1000000</f>
        <v>0.1134</v>
      </c>
      <c r="AD335" s="1422">
        <f>+(360*AD322*AD149)/1000000</f>
        <v>0.2772</v>
      </c>
      <c r="AE335" s="1841">
        <f>+(SUMPRODUCT(AA322:AD322,AA149:AD149)*360)/(1000000*4)</f>
        <v>9.7650000000000001E-2</v>
      </c>
      <c r="AF335" s="2238"/>
      <c r="AG335" s="1425">
        <f>+(360*AG322*AG149)/1000000</f>
        <v>0.75222</v>
      </c>
      <c r="AH335" s="1422">
        <f>+(360*AH322*AH149)/1000000</f>
        <v>1.3444199999999999</v>
      </c>
      <c r="AI335" s="1422">
        <f>+(360*AI322*AI149)/1000000</f>
        <v>1.9530000000000001</v>
      </c>
      <c r="AJ335" s="1422">
        <f>+(360*AJ322*AJ149)/1000000</f>
        <v>2.6019000000000001</v>
      </c>
      <c r="AK335" s="1841">
        <f>+(SUMPRODUCT(AG322:AJ322,AG149:AJ149)*360)/(1000000*4)</f>
        <v>1.6628849999999999</v>
      </c>
      <c r="AL335" s="2238"/>
      <c r="AM335" s="1425">
        <f>+(360*AM322*AM149)/1000000</f>
        <v>3.2507999999999999</v>
      </c>
      <c r="AN335" s="1422">
        <f>+(360*AN322*AN149)/1000000</f>
        <v>3.9060000000000001</v>
      </c>
      <c r="AO335" s="1422">
        <f>+(360*AO322*AO149)/1000000</f>
        <v>4.5612000000000004</v>
      </c>
      <c r="AP335" s="1422">
        <f>+(360*AP322*AP149)/1000000</f>
        <v>5.2416</v>
      </c>
      <c r="AQ335" s="1841">
        <f>+(SUMPRODUCT(AM322:AP322,AM149:AP149)*360)/(1000000*4)</f>
        <v>4.2398999999999996</v>
      </c>
      <c r="AR335" s="2238"/>
      <c r="AS335" s="1425">
        <f>+(360*AS322*AS149)/1000000</f>
        <v>5.9724000000000004</v>
      </c>
      <c r="AT335" s="1422">
        <f>+(360*AT322*AT149)/1000000</f>
        <v>6.7031999999999998</v>
      </c>
      <c r="AU335" s="1422">
        <f>+(360*AU322*AU149)/1000000</f>
        <v>7.3898999999999999</v>
      </c>
      <c r="AV335" s="1422">
        <f>+(360*AV322*AV149)/1000000</f>
        <v>8.1081000000000003</v>
      </c>
      <c r="AW335" s="1841">
        <f>+(SUMPRODUCT(AS322:AV322,AS149:AV149)*360)/(1000000*4)</f>
        <v>7.0434000000000001</v>
      </c>
      <c r="AX335" s="2238"/>
      <c r="AY335" s="1425">
        <f>+(360*AY322*AY149)/1000000</f>
        <v>8.8452000000000002</v>
      </c>
      <c r="AZ335" s="1422">
        <f>+(360*AZ322*AZ149)/1000000</f>
        <v>9.5129999999999999</v>
      </c>
      <c r="BA335" s="1422">
        <f>+(360*BA322*BA149)/1000000</f>
        <v>10.092599999999999</v>
      </c>
      <c r="BB335" s="1422">
        <f>+(360*BB322*BB149)/1000000</f>
        <v>10.75032</v>
      </c>
      <c r="BC335" s="1841">
        <f>+(SUMPRODUCT(AY322:BB322,AY149:BB149)*360)/(1000000*4)</f>
        <v>9.8002800000000008</v>
      </c>
      <c r="BD335" s="2238"/>
      <c r="BE335" s="1425">
        <f>+(360*BE322*BE149)/1000000</f>
        <v>11.45844</v>
      </c>
      <c r="BF335" s="1422">
        <f>+(360*BF322*BF149)/1000000</f>
        <v>12.08844</v>
      </c>
      <c r="BG335" s="1422">
        <f>+(360*BG322*BG149)/1000000</f>
        <v>12.718439999999999</v>
      </c>
      <c r="BH335" s="1422">
        <f>+(360*BH322*BH149)/1000000</f>
        <v>13.32324</v>
      </c>
      <c r="BI335" s="1841">
        <f>+(SUMPRODUCT(BE322:BH322,BE149:BH149)*360)/(1000000*4)</f>
        <v>12.39714</v>
      </c>
      <c r="BJ335" s="63"/>
      <c r="BK335" s="1425">
        <f>+(360*BK322*BK149)/1000000</f>
        <v>13.928039999999999</v>
      </c>
      <c r="BL335" s="1422">
        <f>+(360*BL322*BL149)/1000000</f>
        <v>14.48874</v>
      </c>
      <c r="BM335" s="1422">
        <f>+(360*BM322*BM149)/1000000</f>
        <v>14.98014</v>
      </c>
      <c r="BN335" s="1422">
        <f>+(360*BN322*BN149)/1000000</f>
        <v>15.45894</v>
      </c>
      <c r="BO335" s="1841">
        <f>+(SUMPRODUCT(BK322:BN322,BK149:BN149)*360)/(1000000*4)</f>
        <v>14.713965</v>
      </c>
      <c r="BP335" s="63"/>
      <c r="BQ335" s="1425">
        <f>+(360*BQ322*BQ149)/1000000</f>
        <v>15.93144</v>
      </c>
      <c r="BR335" s="1422">
        <f>+(360*BR322*BR149)/1000000</f>
        <v>16.422840000000001</v>
      </c>
      <c r="BS335" s="1422">
        <f>+(360*BS322*BS149)/1000000</f>
        <v>16.926839999999999</v>
      </c>
      <c r="BT335" s="1422">
        <f>+(360*BT322*BT149)/1000000</f>
        <v>17.43084</v>
      </c>
      <c r="BU335" s="1841">
        <f>+(SUMPRODUCT(BQ322:BT322,BQ149:BT149)*360)/(1000000*4)</f>
        <v>16.677990000000001</v>
      </c>
      <c r="BV335" s="63"/>
      <c r="BW335" s="1425">
        <f>+(360*BW322*BW149)/1000000</f>
        <v>17.934840000000001</v>
      </c>
      <c r="BX335" s="1422">
        <f>+(360*BX322*BX149)/1000000</f>
        <v>18.438839999999999</v>
      </c>
      <c r="BY335" s="1422">
        <f>+(360*BY322*BY149)/1000000</f>
        <v>18.94284</v>
      </c>
      <c r="BZ335" s="1422">
        <f>+(360*BZ322*BZ149)/1000000</f>
        <v>19.446840000000002</v>
      </c>
      <c r="CA335" s="1841">
        <f>+(SUMPRODUCT(BW322:BZ322,BW149:BZ149)*360)/(1000000*4)</f>
        <v>18.690840000000001</v>
      </c>
      <c r="CB335" s="63"/>
      <c r="CC335" s="1425">
        <f>+(360*CC322*CC149)/1000000</f>
        <v>19.950839999999999</v>
      </c>
      <c r="CD335" s="1422">
        <f>+(360*CD322*CD149)/1000000</f>
        <v>20.454840000000001</v>
      </c>
      <c r="CE335" s="1422">
        <f>+(360*CE322*CE149)/1000000</f>
        <v>20.958839999999999</v>
      </c>
      <c r="CF335" s="1422">
        <f>+(360*CF322*CF149)/1000000</f>
        <v>21.46284</v>
      </c>
      <c r="CG335" s="1841">
        <f>+(SUMPRODUCT(CC322:CF322,CC149:CF149)*360)/(1000000*4)</f>
        <v>20.70684</v>
      </c>
      <c r="CH335" s="63"/>
      <c r="CI335" s="1425">
        <f>+(360*CI322*CI149)/1000000</f>
        <v>21.966840000000001</v>
      </c>
      <c r="CJ335" s="1422">
        <f>+(360*CJ322*CJ149)/1000000</f>
        <v>22.470839999999999</v>
      </c>
      <c r="CK335" s="1422">
        <f>+(360*CK322*CK149)/1000000</f>
        <v>22.97484</v>
      </c>
      <c r="CL335" s="1422">
        <f>+(360*CL322*CL149)/1000000</f>
        <v>23.478840000000002</v>
      </c>
      <c r="CM335" s="1841">
        <f>+(SUMPRODUCT(CI322:CL322,CI149:CL149)*360)/(1000000*4)</f>
        <v>22.722840000000001</v>
      </c>
      <c r="CN335" s="63"/>
      <c r="CO335" s="1425">
        <f>+(360*CO322*CO149)/1000000</f>
        <v>23.982839999999999</v>
      </c>
      <c r="CP335" s="1422">
        <f>+(360*CP322*CP149)/1000000</f>
        <v>24.486840000000001</v>
      </c>
      <c r="CQ335" s="1422">
        <f>+(360*CQ322*CQ149)/1000000</f>
        <v>24.990839999999999</v>
      </c>
      <c r="CR335" s="1422">
        <f>+(360*CR322*CR149)/1000000</f>
        <v>25.49484</v>
      </c>
      <c r="CS335" s="1841">
        <f>+(SUMPRODUCT(CO322:CR322,CO149:CR149)*360)/(1000000*4)</f>
        <v>24.73884</v>
      </c>
    </row>
    <row r="336" spans="1:162">
      <c r="A336" s="1930" t="s">
        <v>447</v>
      </c>
      <c r="B336" s="2238"/>
      <c r="C336" s="1425">
        <f>+(360*C323*C151)/1000000</f>
        <v>0</v>
      </c>
      <c r="D336" s="1422">
        <f>+(360*D323*D151)/1000000</f>
        <v>0</v>
      </c>
      <c r="E336" s="1422">
        <f>+(360*E323*E151)/1000000</f>
        <v>0</v>
      </c>
      <c r="F336" s="1422">
        <f>+(360*F323*F151)/1000000</f>
        <v>0</v>
      </c>
      <c r="G336" s="1841">
        <f>+(SUMPRODUCT(C323:F323,C151:F151)*360)/(1000000*4)</f>
        <v>0</v>
      </c>
      <c r="H336" s="2238"/>
      <c r="I336" s="1425">
        <f>+(360*I323*I151)/1000000</f>
        <v>0</v>
      </c>
      <c r="J336" s="1422">
        <f>+(360*J323*J151)/1000000</f>
        <v>0</v>
      </c>
      <c r="K336" s="1422">
        <f>+(360*K323*K151)/1000000</f>
        <v>0</v>
      </c>
      <c r="L336" s="1422">
        <f>+(360*L323*L151)/1000000</f>
        <v>0</v>
      </c>
      <c r="M336" s="1841">
        <f>+(SUMPRODUCT(I323:L323,I151:L151)*360)/(1000000*4)</f>
        <v>0</v>
      </c>
      <c r="N336" s="2238"/>
      <c r="O336" s="1425">
        <f>+(360*O323*O151)/1000000</f>
        <v>0</v>
      </c>
      <c r="P336" s="1422">
        <f>+(360*P323*P151)/1000000</f>
        <v>0</v>
      </c>
      <c r="Q336" s="1422">
        <f>+(360*Q323*Q151)/1000000</f>
        <v>0</v>
      </c>
      <c r="R336" s="1422">
        <f>+(360*R323*R151)/1000000</f>
        <v>0</v>
      </c>
      <c r="S336" s="1841">
        <f>+(SUMPRODUCT(O323:R323,O151:R151)*360)/(1000000*4)</f>
        <v>0</v>
      </c>
      <c r="T336" s="2238"/>
      <c r="U336" s="1425">
        <f>+(360*U323*U151)/1000000</f>
        <v>0</v>
      </c>
      <c r="V336" s="1422">
        <f>+(360*V323*V151)/1000000</f>
        <v>0</v>
      </c>
      <c r="W336" s="1422">
        <f>+(360*W323*W151)/1000000</f>
        <v>0</v>
      </c>
      <c r="X336" s="1422">
        <f>+(360*X323*X151)/1000000</f>
        <v>0</v>
      </c>
      <c r="Y336" s="1841">
        <f>+(SUMPRODUCT(U323:X323,U151:X151)*360)/(1000000*4)</f>
        <v>0</v>
      </c>
      <c r="Z336" s="2238"/>
      <c r="AA336" s="1425">
        <f>+(360*AA323*AA151)/1000000</f>
        <v>0</v>
      </c>
      <c r="AB336" s="1422">
        <f>+(360*AB323*AB151)/1000000</f>
        <v>0</v>
      </c>
      <c r="AC336" s="1422">
        <f>+(360*AC323*AC151)/1000000</f>
        <v>0</v>
      </c>
      <c r="AD336" s="1422">
        <f>+(360*AD323*AD151)/1000000</f>
        <v>0</v>
      </c>
      <c r="AE336" s="1841">
        <f>+(SUMPRODUCT(AA323:AD323,AA151:AD151)*360)/(1000000*4)</f>
        <v>0</v>
      </c>
      <c r="AF336" s="2238"/>
      <c r="AG336" s="1425">
        <f>+(360*AG323*AG151)/1000000</f>
        <v>0</v>
      </c>
      <c r="AH336" s="1422">
        <f>+(360*AH323*AH151)/1000000</f>
        <v>0</v>
      </c>
      <c r="AI336" s="1422">
        <f>+(360*AI323*AI151)/1000000</f>
        <v>0</v>
      </c>
      <c r="AJ336" s="1422">
        <f>+(360*AJ323*AJ151)/1000000</f>
        <v>0</v>
      </c>
      <c r="AK336" s="1841">
        <f>+(SUMPRODUCT(AG323:AJ323,AG151:AJ151)*360)/(1000000*4)</f>
        <v>0</v>
      </c>
      <c r="AL336" s="2238"/>
      <c r="AM336" s="1425">
        <f>+(360*AM323*AM151)/1000000</f>
        <v>0</v>
      </c>
      <c r="AN336" s="1422">
        <f>+(360*AN323*AN151)/1000000</f>
        <v>0</v>
      </c>
      <c r="AO336" s="1422">
        <f>+(360*AO323*AO151)/1000000</f>
        <v>0</v>
      </c>
      <c r="AP336" s="1422">
        <f>+(360*AP323*AP151)/1000000</f>
        <v>0</v>
      </c>
      <c r="AQ336" s="1841">
        <f>+(SUMPRODUCT(AM323:AP323,AM151:AP151)*360)/(1000000*4)</f>
        <v>0</v>
      </c>
      <c r="AR336" s="2238"/>
      <c r="AS336" s="1425">
        <f>+(360*AS323*AS151)/1000000</f>
        <v>0</v>
      </c>
      <c r="AT336" s="1422">
        <f>+(360*AT323*AT151)/1000000</f>
        <v>4.3502400000000003</v>
      </c>
      <c r="AU336" s="1422">
        <f>+(360*AU323*AU151)/1000000</f>
        <v>9.1108799999999999</v>
      </c>
      <c r="AV336" s="1422">
        <f>+(360*AV323*AV151)/1000000</f>
        <v>14.577408</v>
      </c>
      <c r="AW336" s="1841">
        <f>+(SUMPRODUCT(AS323:AV323,AS151:AV151)*360)/(1000000*4)</f>
        <v>7.0096319999999999</v>
      </c>
      <c r="AX336" s="2238"/>
      <c r="AY336" s="1425">
        <f>+(360*AY323*AY151)/1000000</f>
        <v>19.715616000000001</v>
      </c>
      <c r="AZ336" s="1422">
        <f>+(360*AZ323*AZ151)/1000000</f>
        <v>24.476255999999999</v>
      </c>
      <c r="BA336" s="1422">
        <f>+(360*BA323*BA151)/1000000</f>
        <v>29.318975999999999</v>
      </c>
      <c r="BB336" s="1422">
        <f>+(360*BB323*BB151)/1000000</f>
        <v>34.900416</v>
      </c>
      <c r="BC336" s="1841">
        <f>+(SUMPRODUCT(AY323:BB323,AY151:BB151)*360)/(1000000*4)</f>
        <v>27.102816000000004</v>
      </c>
      <c r="BD336" s="2238"/>
      <c r="BE336" s="1425">
        <f>+(360*BE323*BE151)/1000000</f>
        <v>40.646016000000003</v>
      </c>
      <c r="BF336" s="1422">
        <f>+(360*BF323*BF151)/1000000</f>
        <v>45.734976000000003</v>
      </c>
      <c r="BG336" s="1422">
        <f>+(360*BG323*BG151)/1000000</f>
        <v>51.070175999999996</v>
      </c>
      <c r="BH336" s="1422">
        <f>+(360*BH323*BH151)/1000000</f>
        <v>56.241216000000001</v>
      </c>
      <c r="BI336" s="1841">
        <f>+(SUMPRODUCT(BE323:BH323,BE151:BH151)*360)/(1000000*4)</f>
        <v>48.423096000000001</v>
      </c>
      <c r="BJ336" s="63"/>
      <c r="BK336" s="1425">
        <f>+(360*BK323*BK151)/1000000</f>
        <v>61.412255999999999</v>
      </c>
      <c r="BL336" s="1422">
        <f>+(360*BL323*BL151)/1000000</f>
        <v>66.337056000000004</v>
      </c>
      <c r="BM336" s="1422">
        <f>+(360*BM323*BM151)/1000000</f>
        <v>70.687296000000003</v>
      </c>
      <c r="BN336" s="1422">
        <f>+(360*BN323*BN151)/1000000</f>
        <v>75.201695999999998</v>
      </c>
      <c r="BO336" s="1841">
        <f>+(SUMPRODUCT(BK323:BN323,BK151:BN151)*360)/(1000000*4)</f>
        <v>68.409576000000001</v>
      </c>
      <c r="BP336" s="63"/>
      <c r="BQ336" s="1425">
        <f>+(360*BQ323*BQ151)/1000000</f>
        <v>81.877262399999992</v>
      </c>
      <c r="BR336" s="1422">
        <f>+(360*BR323*BR151)/1000000</f>
        <v>88.753370759999996</v>
      </c>
      <c r="BS336" s="1422">
        <f>+(360*BS323*BS151)/1000000</f>
        <v>95.922111248999968</v>
      </c>
      <c r="BT336" s="1422">
        <f>+(360*BT323*BT151)/1000000</f>
        <v>103.39381790572496</v>
      </c>
      <c r="BU336" s="1841">
        <f>+(SUMPRODUCT(BQ323:BT323,BQ151:BT151)*360)/(1000000*4)</f>
        <v>92.486640578681232</v>
      </c>
      <c r="BV336" s="63"/>
      <c r="BW336" s="1425">
        <f>+(360*BW323*BW151)/1000000</f>
        <v>111.17915857575557</v>
      </c>
      <c r="BX336" s="1422">
        <f>+(360*BX323*BX151)/1000000</f>
        <v>119.28914514309665</v>
      </c>
      <c r="BY336" s="1422">
        <f>+(360*BY323*BY151)/1000000</f>
        <v>127.73514406469492</v>
      </c>
      <c r="BZ336" s="1422">
        <f>+(360*BZ323*BZ151)/1000000</f>
        <v>136.52888721665866</v>
      </c>
      <c r="CA336" s="1841">
        <f>+(SUMPRODUCT(BW323:BZ323,BW151:BZ151)*360)/(1000000*4)</f>
        <v>123.68308375005145</v>
      </c>
      <c r="CB336" s="63"/>
      <c r="CC336" s="1425">
        <f>+(360*CC323*CC151)/1000000</f>
        <v>145.68248306118014</v>
      </c>
      <c r="CD336" s="1422">
        <f>+(360*CD323*CD151)/1000000</f>
        <v>155.20842814341731</v>
      </c>
      <c r="CE336" s="1422">
        <f>+(360*CE323*CE151)/1000000</f>
        <v>165.11961892785311</v>
      </c>
      <c r="CF336" s="1422">
        <f>+(360*CF323*CF151)/1000000</f>
        <v>175.42936398392101</v>
      </c>
      <c r="CG336" s="1841">
        <f>+(SUMPRODUCT(CC323:CF323,CC151:CF151)*360)/(1000000*4)</f>
        <v>160.35997352909291</v>
      </c>
      <c r="CH336" s="63"/>
      <c r="CI336" s="1425">
        <f>+(360*CI323*CI151)/1000000</f>
        <v>186.15139653096247</v>
      </c>
      <c r="CJ336" s="1422">
        <f>+(360*CJ323*CJ151)/1000000</f>
        <v>197.29988735286597</v>
      </c>
      <c r="CK336" s="1422">
        <f>+(360*CK323*CK151)/1000000</f>
        <v>208.88945809303283</v>
      </c>
      <c r="CL336" s="1422">
        <f>+(360*CL323*CL151)/1000000</f>
        <v>220.93519494061249</v>
      </c>
      <c r="CM336" s="1841">
        <f>+(SUMPRODUCT(CI323:CL323,CI151:CL151)*360)/(1000000*4)</f>
        <v>203.31898422936848</v>
      </c>
      <c r="CN336" s="63"/>
      <c r="CO336" s="1425">
        <f>+(360*CO323*CO151)/1000000</f>
        <v>233.45266271926297</v>
      </c>
      <c r="CP336" s="1422">
        <f>+(360*CP323*CP151)/1000000</f>
        <v>246.45791939000816</v>
      </c>
      <c r="CQ336" s="1422">
        <f>+(360*CQ323*CQ151)/1000000</f>
        <v>259.967530980091</v>
      </c>
      <c r="CR336" s="1422">
        <f>+(360*CR323*CR151)/1000000</f>
        <v>273.99858695005923</v>
      </c>
      <c r="CS336" s="1841">
        <f>+(SUMPRODUCT(CO323:CR323,CO151:CR151)*360)/(1000000*4)</f>
        <v>253.46917500985529</v>
      </c>
    </row>
    <row r="337" spans="1:280">
      <c r="A337" s="1930" t="s">
        <v>9</v>
      </c>
      <c r="B337" s="2238"/>
      <c r="C337" s="1425">
        <f>+(360*C324*(C153))/1000000</f>
        <v>0</v>
      </c>
      <c r="D337" s="1422">
        <f>+(360*D324*(D153))/1000000</f>
        <v>0</v>
      </c>
      <c r="E337" s="1422">
        <f>+(360*E324*(E153))/1000000</f>
        <v>0</v>
      </c>
      <c r="F337" s="1422">
        <f>+(360*F324*(F153))/1000000</f>
        <v>0</v>
      </c>
      <c r="G337" s="1841">
        <f>+(SUMPRODUCT(C324:F324,C153:F153)*360)/(1000000*4)</f>
        <v>0</v>
      </c>
      <c r="H337" s="2238"/>
      <c r="I337" s="1425">
        <f>+(360*I324*(I153))/1000000</f>
        <v>0</v>
      </c>
      <c r="J337" s="1422">
        <f>+(360*J324*(J153))/1000000</f>
        <v>0</v>
      </c>
      <c r="K337" s="1422">
        <f>+(360*K324*(K153))/1000000</f>
        <v>0</v>
      </c>
      <c r="L337" s="1422">
        <f>+(360*L324*(L153))/1000000</f>
        <v>0</v>
      </c>
      <c r="M337" s="1841">
        <f>+(SUMPRODUCT(I324:L324,I153:L153)*360)/(1000000*4)</f>
        <v>0</v>
      </c>
      <c r="N337" s="2238"/>
      <c r="O337" s="1425">
        <f>+(360*O324*(O153))/1000000</f>
        <v>0</v>
      </c>
      <c r="P337" s="1422">
        <f>+(360*P324*(P153))/1000000</f>
        <v>0</v>
      </c>
      <c r="Q337" s="1422">
        <f>+(360*Q324*(Q153))/1000000</f>
        <v>0</v>
      </c>
      <c r="R337" s="1422">
        <f>+(360*R324*(R153))/1000000</f>
        <v>0</v>
      </c>
      <c r="S337" s="1841">
        <f>+(SUMPRODUCT(O324:R324,O153:R153)*360)/(1000000*4)</f>
        <v>0</v>
      </c>
      <c r="T337" s="2238"/>
      <c r="U337" s="1425">
        <f>+(360*U324*(U153))/1000000</f>
        <v>7.1279999999999996E-2</v>
      </c>
      <c r="V337" s="1422">
        <f>+(360*V324*(V153))/1000000</f>
        <v>0.55083599999999999</v>
      </c>
      <c r="W337" s="1422">
        <f>+(360*W324*(W153))/1000000</f>
        <v>1.5633287999999999</v>
      </c>
      <c r="X337" s="1422">
        <f>+(360*X324*(X153))/1000000</f>
        <v>2.8652975999999994</v>
      </c>
      <c r="Y337" s="1841">
        <f>+(SUMPRODUCT(U324:X324,U153:X153)*360)/(1000000*4)</f>
        <v>1.2626856000000002</v>
      </c>
      <c r="Z337" s="2238"/>
      <c r="AA337" s="1425">
        <f>+(360*AA324*(AA153))/1000000</f>
        <v>4.3068168</v>
      </c>
      <c r="AB337" s="1422">
        <f>+(360*AB324*(AB153))/1000000</f>
        <v>5.7237602400000007</v>
      </c>
      <c r="AC337" s="1422">
        <f>+(360*AC324*(AC153))/1000000</f>
        <v>6.7922474400000006</v>
      </c>
      <c r="AD337" s="1422">
        <f>+(360*AD324*(AD153))/1000000</f>
        <v>7.567164</v>
      </c>
      <c r="AE337" s="1841">
        <f>+(SUMPRODUCT(AA324:AD324,AA153:AD153)*360)/(1000000*4)</f>
        <v>6.097497119999999</v>
      </c>
      <c r="AF337" s="2238"/>
      <c r="AG337" s="1425">
        <f>+(360*AG324*(AG153))/1000000</f>
        <v>8.2105056000000012</v>
      </c>
      <c r="AH337" s="1422">
        <f>+(360*AH324*(AH153))/1000000</f>
        <v>8.7276024000000003</v>
      </c>
      <c r="AI337" s="1422">
        <f>+(360*AI324*(AI153))/1000000</f>
        <v>9.2281860000000027</v>
      </c>
      <c r="AJ337" s="1422">
        <f>+(360*AJ324*(AJ153))/1000000</f>
        <v>9.1289088000000014</v>
      </c>
      <c r="AK337" s="1841">
        <f>+(SUMPRODUCT(AG324:AJ324,AG153:AJ153)*360)/(1000000*4)</f>
        <v>8.8238007000000014</v>
      </c>
      <c r="AL337" s="2238"/>
      <c r="AM337" s="1425">
        <f>+(360*AM324*(AM153))/1000000</f>
        <v>8.2953288000000001</v>
      </c>
      <c r="AN337" s="1422">
        <f>+(360*AN324*(AN153))/1000000</f>
        <v>7.4201688000000008</v>
      </c>
      <c r="AO337" s="1422">
        <f>+(360*AO324*(AO153))/1000000</f>
        <v>6.9726888000000011</v>
      </c>
      <c r="AP337" s="1422">
        <f>+(360*AP324*(AP153))/1000000</f>
        <v>6.9241156781954896</v>
      </c>
      <c r="AQ337" s="1841">
        <f>+(SUMPRODUCT(AM324:AP324,AM153:AP153)*360)/(1000000*4)</f>
        <v>7.4030755195488727</v>
      </c>
      <c r="AR337" s="2238"/>
      <c r="AS337" s="1425">
        <f>+(360*AS324*(AS153))/1000000</f>
        <v>6.9507825563909771</v>
      </c>
      <c r="AT337" s="1422">
        <f>+(360*AT324*(AT153))/1000000</f>
        <v>6.9666225563909778</v>
      </c>
      <c r="AU337" s="1422">
        <f>+(360*AU324*(AU153))/1000000</f>
        <v>6.9666225563909778</v>
      </c>
      <c r="AV337" s="1422">
        <f>+(360*AV324*(AV153))/1000000</f>
        <v>6.9666225563909778</v>
      </c>
      <c r="AW337" s="1841">
        <f>+(SUMPRODUCT(AS324:AV324,AS153:AV153)*360)/(1000000*4)</f>
        <v>6.9626625563909776</v>
      </c>
      <c r="AX337" s="2238"/>
      <c r="AY337" s="1425">
        <f>+(360*AY324*(AY153))/1000000</f>
        <v>6.9666225563909778</v>
      </c>
      <c r="AZ337" s="1422">
        <f>+(360*AZ324*(AZ153))/1000000</f>
        <v>6.9655775630075194</v>
      </c>
      <c r="BA337" s="1422">
        <f>+(360*BA324*(BA153))/1000000</f>
        <v>6.9575659470676694</v>
      </c>
      <c r="BB337" s="1422">
        <f>+(360*BB324*(BB153))/1000000</f>
        <v>6.9505993245112787</v>
      </c>
      <c r="BC337" s="1841">
        <f>+(SUMPRODUCT(AY324:BB324,AY153:BB153)*360)/(1000000*4)</f>
        <v>6.9600913477443616</v>
      </c>
      <c r="BD337" s="2238"/>
      <c r="BE337" s="1425">
        <f>+(360*BE324*(BE153))/1000000</f>
        <v>6.7486393245112781</v>
      </c>
      <c r="BF337" s="1422">
        <f>+(360*BF324*(BF153))/1000000</f>
        <v>6.4674793245112783</v>
      </c>
      <c r="BG337" s="1422">
        <f>+(360*BG324*(BG153))/1000000</f>
        <v>6.2694793245112788</v>
      </c>
      <c r="BH337" s="1422">
        <f>+(360*BH324*(BH153))/1000000</f>
        <v>5.9922793245112782</v>
      </c>
      <c r="BI337" s="1841">
        <f>+(SUMPRODUCT(BE324:BH324,BE153:BH153)*360)/(1000000*4)</f>
        <v>6.3694693245112788</v>
      </c>
      <c r="BJ337" s="63"/>
      <c r="BK337" s="1425">
        <f>+(360*BK324*(BK153))/1000000</f>
        <v>5.7942793245112787</v>
      </c>
      <c r="BL337" s="1422">
        <f>+(360*BL324*(BL153))/1000000</f>
        <v>5.6952793245112785</v>
      </c>
      <c r="BM337" s="1422">
        <f>+(360*BM324*(BM153))/1000000</f>
        <v>5.5764793245112783</v>
      </c>
      <c r="BN337" s="1422">
        <f>+(360*BN324*(BN153))/1000000</f>
        <v>5.4774793245112781</v>
      </c>
      <c r="BO337" s="1841">
        <f>+(SUMPRODUCT(BK324:BN324,BK153:BN153)*360)/(1000000*4)</f>
        <v>5.6358793245112793</v>
      </c>
      <c r="BP337" s="63"/>
      <c r="BQ337" s="1425">
        <f>+(360*BQ324*(BQ153))/1000000</f>
        <v>5.3982793245112788</v>
      </c>
      <c r="BR337" s="1422">
        <f>+(360*BR324*(BR153))/1000000</f>
        <v>5.2398793245112785</v>
      </c>
      <c r="BS337" s="1422">
        <f>+(360*BS324*(BS153))/1000000</f>
        <v>4.8874393245112788</v>
      </c>
      <c r="BT337" s="1422">
        <f>+(360*BT324*(BT153))/1000000</f>
        <v>4.4201593245112782</v>
      </c>
      <c r="BU337" s="1841">
        <f>+(SUMPRODUCT(BQ324:BT324,BQ153:BT153)*360)/(1000000*4)</f>
        <v>4.986439324511279</v>
      </c>
      <c r="BV337" s="63"/>
      <c r="BW337" s="1425">
        <f>+(360*BW324*(BW153))/1000000</f>
        <v>3.9687193245112788</v>
      </c>
      <c r="BX337" s="1422">
        <f>+(360*BX324*(BX153))/1000000</f>
        <v>3.5331193245112789</v>
      </c>
      <c r="BY337" s="1422">
        <f>+(360*BY324*(BY153))/1000000</f>
        <v>3.0975193245112789</v>
      </c>
      <c r="BZ337" s="1422">
        <f>+(360*BZ324*(BZ153))/1000000</f>
        <v>2.6619193245112789</v>
      </c>
      <c r="CA337" s="1841">
        <f>+(SUMPRODUCT(BW324:BZ324,BW153:BZ153)*360)/(1000000*4)</f>
        <v>3.3153193245112789</v>
      </c>
      <c r="CB337" s="63"/>
      <c r="CC337" s="1425">
        <f>+(360*CC324*(CC153))/1000000</f>
        <v>2.2461193245112789</v>
      </c>
      <c r="CD337" s="1422">
        <f>+(360*CD324*(CD153))/1000000</f>
        <v>1.8501193245112786</v>
      </c>
      <c r="CE337" s="1422">
        <f>+(360*CE324*(CE153))/1000000</f>
        <v>1.4541193245112787</v>
      </c>
      <c r="CF337" s="1422">
        <f>+(360*CF324*(CF153))/1000000</f>
        <v>1.0581193245112785</v>
      </c>
      <c r="CG337" s="1841">
        <f>+(SUMPRODUCT(CC324:CF324,CC153:CF153)*360)/(1000000*4)</f>
        <v>1.6521193245112789</v>
      </c>
      <c r="CH337" s="63"/>
      <c r="CI337" s="1425">
        <f>+(360*CI324*(CI153))/1000000</f>
        <v>0.66211932451127875</v>
      </c>
      <c r="CJ337" s="1422">
        <f>+(360*CJ324*(CJ153))/1000000</f>
        <v>0.26611932451127873</v>
      </c>
      <c r="CK337" s="1422">
        <f>+(360*CK324*(CK153))/1000000</f>
        <v>3.4059662255639368E-2</v>
      </c>
      <c r="CL337" s="1422">
        <f>+(360*CL324*(CL153))/1000000</f>
        <v>0</v>
      </c>
      <c r="CM337" s="1841">
        <f>+(SUMPRODUCT(CI324:CL324,CI153:CL153)*360)/(1000000*4)</f>
        <v>0.24057457781954925</v>
      </c>
      <c r="CN337" s="63"/>
      <c r="CO337" s="1425">
        <f>+(360*CO324*(CO153))/1000000</f>
        <v>0</v>
      </c>
      <c r="CP337" s="1422">
        <f>+(360*CP324*(CP153))/1000000</f>
        <v>0</v>
      </c>
      <c r="CQ337" s="1422">
        <f>+(360*CQ324*(CQ153))/1000000</f>
        <v>0</v>
      </c>
      <c r="CR337" s="1422">
        <f>+(360*CR324*(CR153))/1000000</f>
        <v>0</v>
      </c>
      <c r="CS337" s="1841">
        <f>+(SUMPRODUCT(CO324:CR324,CO153:CR153)*360)/(1000000*4)</f>
        <v>0</v>
      </c>
    </row>
    <row r="338" spans="1:280">
      <c r="A338" s="1930" t="s">
        <v>26</v>
      </c>
      <c r="B338" s="2238"/>
      <c r="C338" s="1425">
        <f>+(360*C325*(C155))/1000000</f>
        <v>0</v>
      </c>
      <c r="D338" s="1422">
        <f>+(360*D325*(D155))/1000000</f>
        <v>0</v>
      </c>
      <c r="E338" s="1422">
        <f>+(360*E325*(E155))/1000000</f>
        <v>0</v>
      </c>
      <c r="F338" s="1422">
        <f>+(360*F325*(F155))/1000000</f>
        <v>0</v>
      </c>
      <c r="G338" s="1841">
        <f>+(SUMPRODUCT(C325:F325,C155:F155)*360)/(1000000*4)</f>
        <v>0</v>
      </c>
      <c r="H338" s="2238"/>
      <c r="I338" s="1425">
        <f>+(360*I325*(I155))/1000000</f>
        <v>0</v>
      </c>
      <c r="J338" s="1422">
        <f>+(360*J325*(J155))/1000000</f>
        <v>0</v>
      </c>
      <c r="K338" s="1422">
        <f>+(360*K325*(K155))/1000000</f>
        <v>0</v>
      </c>
      <c r="L338" s="1422">
        <f>+(360*L325*(L155))/1000000</f>
        <v>0</v>
      </c>
      <c r="M338" s="1841">
        <f>+(SUMPRODUCT(I325:L325,I155:L155)*360)/(1000000*4)</f>
        <v>0</v>
      </c>
      <c r="N338" s="2238"/>
      <c r="O338" s="1425">
        <f>+(360*O325*(O155))/1000000</f>
        <v>0</v>
      </c>
      <c r="P338" s="1422">
        <f>+(360*P325*(P155))/1000000</f>
        <v>0</v>
      </c>
      <c r="Q338" s="1422">
        <f>+(360*Q325*(Q155))/1000000</f>
        <v>0</v>
      </c>
      <c r="R338" s="1422">
        <f>+(360*R325*(R155))/1000000</f>
        <v>0</v>
      </c>
      <c r="S338" s="1841">
        <f>+(SUMPRODUCT(O325:R325,O155:R155)*360)/(1000000*4)</f>
        <v>0</v>
      </c>
      <c r="T338" s="2238"/>
      <c r="U338" s="1425">
        <f>+(360*U325*(U155))/1000000</f>
        <v>0</v>
      </c>
      <c r="V338" s="1422">
        <f>+(360*V325*(V155))/1000000</f>
        <v>0</v>
      </c>
      <c r="W338" s="1422">
        <f>+(360*W325*(W155))/1000000</f>
        <v>0</v>
      </c>
      <c r="X338" s="1422">
        <f>+(360*X325*(X155))/1000000</f>
        <v>0</v>
      </c>
      <c r="Y338" s="1841">
        <f>+(SUMPRODUCT(U325:X325,U155:X155)*360)/(1000000*4)</f>
        <v>0</v>
      </c>
      <c r="Z338" s="2238"/>
      <c r="AA338" s="1425">
        <f>+(360*AA325*(AA155))/1000000</f>
        <v>0</v>
      </c>
      <c r="AB338" s="1422">
        <f>+(360*AB325*(AB155))/1000000</f>
        <v>0</v>
      </c>
      <c r="AC338" s="1422">
        <f>+(360*AC325*(AC155))/1000000</f>
        <v>0</v>
      </c>
      <c r="AD338" s="1422">
        <f>+(360*AD325*(AD155))/1000000</f>
        <v>0</v>
      </c>
      <c r="AE338" s="1841">
        <f>+(SUMPRODUCT(AA325:AD325,AA155:AD155)*360)/(1000000*4)</f>
        <v>0</v>
      </c>
      <c r="AF338" s="2238"/>
      <c r="AG338" s="1425">
        <f>+(360*AG325*(AG155))/1000000</f>
        <v>0</v>
      </c>
      <c r="AH338" s="1422">
        <f>+(360*AH325*(AH155))/1000000</f>
        <v>0</v>
      </c>
      <c r="AI338" s="1422">
        <f>+(360*AI325*(AI155))/1000000</f>
        <v>5.7000000000000002E-2</v>
      </c>
      <c r="AJ338" s="1422">
        <f>+(360*AJ325*(AJ155))/1000000</f>
        <v>4.1609999999999996</v>
      </c>
      <c r="AK338" s="1841">
        <f>+(SUMPRODUCT(AG325:AJ325,AG155:AJ155)*360)/(1000000*4)</f>
        <v>1.0545</v>
      </c>
      <c r="AL338" s="2238"/>
      <c r="AM338" s="1425">
        <f>+(360*AM325*(AM155))/1000000</f>
        <v>13.452</v>
      </c>
      <c r="AN338" s="1422">
        <f>+(360*AN325*(AN155))/1000000</f>
        <v>23.569500000000001</v>
      </c>
      <c r="AO338" s="1422">
        <f>+(360*AO325*(AO155))/1000000</f>
        <v>31.292999999999999</v>
      </c>
      <c r="AP338" s="1422">
        <f>+(360*AP325*(AP155))/1000000</f>
        <v>36.137999999999998</v>
      </c>
      <c r="AQ338" s="1841">
        <f>+(SUMPRODUCT(AM325:AP325,AM155:AP155)*360)/(1000000*4)</f>
        <v>26.113125000000004</v>
      </c>
      <c r="AR338" s="2238"/>
      <c r="AS338" s="1425">
        <f>+(360*AS325*(AS155))/1000000</f>
        <v>40.156500000000001</v>
      </c>
      <c r="AT338" s="1422">
        <f>+(360*AT325*(AT155))/1000000</f>
        <v>44.032499999999999</v>
      </c>
      <c r="AU338" s="1422">
        <f>+(360*AU325*(AU155))/1000000</f>
        <v>47.737499999999997</v>
      </c>
      <c r="AV338" s="1422">
        <f>+(360*AV325*(AV155))/1000000</f>
        <v>51.527999999999999</v>
      </c>
      <c r="AW338" s="1841">
        <f>+(SUMPRODUCT(AS325:AV325,AS155:AV155)*360)/(1000000*4)</f>
        <v>45.863624999999999</v>
      </c>
      <c r="AX338" s="2238"/>
      <c r="AY338" s="1425">
        <f>+(360*AY325*(AY155))/1000000</f>
        <v>53.372206499999997</v>
      </c>
      <c r="AZ338" s="1422">
        <f>+(360*AZ325*(AZ155))/1000000</f>
        <v>52.948554000000001</v>
      </c>
      <c r="BA338" s="1422">
        <f>+(360*BA325*(BA155))/1000000</f>
        <v>52.057302</v>
      </c>
      <c r="BB338" s="1422">
        <f>+(360*BB325*(BB155))/1000000</f>
        <v>51.540312</v>
      </c>
      <c r="BC338" s="1841">
        <f>+(SUMPRODUCT(AY325:BB325,AY155:BB155)*360)/(1000000*4)</f>
        <v>52.479593625000007</v>
      </c>
      <c r="BD338" s="2238"/>
      <c r="BE338" s="1425">
        <f>+(360*BE325*(BE155))/1000000</f>
        <v>50.330714999999998</v>
      </c>
      <c r="BF338" s="1422">
        <f>+(360*BF325*(BF155))/1000000</f>
        <v>48.364215000000002</v>
      </c>
      <c r="BG338" s="1422">
        <f>+(360*BG325*(BG155))/1000000</f>
        <v>46.682715000000002</v>
      </c>
      <c r="BH338" s="1422">
        <f>+(360*BH325*(BH155))/1000000</f>
        <v>43.825190999999997</v>
      </c>
      <c r="BI338" s="1841">
        <f>+(SUMPRODUCT(BE325:BH325,BE155:BH155)*360)/(1000000*4)</f>
        <v>47.300709000000012</v>
      </c>
      <c r="BJ338" s="63"/>
      <c r="BK338" s="1425">
        <f>+(360*BK325*(BK155))/1000000</f>
        <v>41.451169500000006</v>
      </c>
      <c r="BL338" s="1422">
        <f>+(360*BL325*(BL155))/1000000</f>
        <v>40.538172000000003</v>
      </c>
      <c r="BM338" s="1422">
        <f>+(360*BM325*(BM155))/1000000</f>
        <v>39.882671999999999</v>
      </c>
      <c r="BN338" s="1422">
        <f>+(360*BN325*(BN155))/1000000</f>
        <v>39.369672000000001</v>
      </c>
      <c r="BO338" s="1841">
        <f>+(SUMPRODUCT(BK325:BN325,BK155:BN155)*360)/(1000000*4)</f>
        <v>40.310421374999997</v>
      </c>
      <c r="BP338" s="63"/>
      <c r="BQ338" s="1425">
        <f>+(360*BQ325*(BQ155))/1000000</f>
        <v>38.828172000000002</v>
      </c>
      <c r="BR338" s="1422">
        <f>+(360*BR325*(BR155))/1000000</f>
        <v>37.716672000000003</v>
      </c>
      <c r="BS338" s="1422">
        <f>+(360*BS325*(BS155))/1000000</f>
        <v>35.180171999999999</v>
      </c>
      <c r="BT338" s="1422">
        <f>+(360*BT325*(BT155))/1000000</f>
        <v>31.817171999999999</v>
      </c>
      <c r="BU338" s="1841">
        <f>+(SUMPRODUCT(BQ325:BT325,BQ155:BT155)*360)/(1000000*4)</f>
        <v>35.88554700000001</v>
      </c>
      <c r="BV338" s="63"/>
      <c r="BW338" s="1425">
        <f>+(360*BW325*(BW155))/1000000</f>
        <v>28.568172000000001</v>
      </c>
      <c r="BX338" s="1422">
        <f>+(360*BX325*(BX155))/1000000</f>
        <v>25.433171999999999</v>
      </c>
      <c r="BY338" s="1422">
        <f>+(360*BY325*(BY155))/1000000</f>
        <v>22.298172000000001</v>
      </c>
      <c r="BZ338" s="1422">
        <f>+(360*BZ325*(BZ155))/1000000</f>
        <v>19.163171999999999</v>
      </c>
      <c r="CA338" s="1841">
        <f>+(SUMPRODUCT(BW325:BZ325,BW155:BZ155)*360)/(1000000*4)</f>
        <v>23.865672000000004</v>
      </c>
      <c r="CB338" s="63"/>
      <c r="CC338" s="1425">
        <f>+(360*CC325*(CC155))/1000000</f>
        <v>16.170672000000003</v>
      </c>
      <c r="CD338" s="1422">
        <f>+(360*CD325*(CD155))/1000000</f>
        <v>13.320672000000002</v>
      </c>
      <c r="CE338" s="1422">
        <f>+(360*CE325*(CE155))/1000000</f>
        <v>10.470672000000002</v>
      </c>
      <c r="CF338" s="1422">
        <f>+(360*CF325*(CF155))/1000000</f>
        <v>7.6206720000000017</v>
      </c>
      <c r="CG338" s="1841">
        <f>+(SUMPRODUCT(CC325:CF325,CC155:CF155)*360)/(1000000*4)</f>
        <v>11.895672000000001</v>
      </c>
      <c r="CH338" s="63"/>
      <c r="CI338" s="1425">
        <f>+(360*CI325*(CI155))/1000000</f>
        <v>4.770672000000002</v>
      </c>
      <c r="CJ338" s="1422">
        <f>+(360*CJ325*(CJ155))/1000000</f>
        <v>1.9206720000000015</v>
      </c>
      <c r="CK338" s="1422">
        <f>+(360*CK325*(CK155))/1000000</f>
        <v>0.24783600000000075</v>
      </c>
      <c r="CL338" s="1422">
        <f>+(360*CL325*(CL155))/1000000</f>
        <v>0</v>
      </c>
      <c r="CM338" s="1841">
        <f>+(SUMPRODUCT(CI325:CL325,CI155:CL155)*360)/(1000000*4)</f>
        <v>1.734795000000001</v>
      </c>
      <c r="CN338" s="63"/>
      <c r="CO338" s="1425">
        <f>+(360*CO325*(CO155))/1000000</f>
        <v>0</v>
      </c>
      <c r="CP338" s="1422">
        <f>+(360*CP325*(CP155))/1000000</f>
        <v>0</v>
      </c>
      <c r="CQ338" s="1422">
        <f>+(360*CQ325*(CQ155))/1000000</f>
        <v>0</v>
      </c>
      <c r="CR338" s="1422">
        <f>+(360*CR325*(CR155))/1000000</f>
        <v>0</v>
      </c>
      <c r="CS338" s="1841">
        <f>+(SUMPRODUCT(CO325:CR325,CO155:CR155)*360)/(1000000*4)</f>
        <v>0</v>
      </c>
    </row>
    <row r="339" spans="1:280">
      <c r="A339" s="1930" t="s">
        <v>517</v>
      </c>
      <c r="B339" s="2238"/>
      <c r="C339" s="1425">
        <f>+(360*C326*(C157))/1000000</f>
        <v>0</v>
      </c>
      <c r="D339" s="1422">
        <f>+(360*D326*(D157))/1000000</f>
        <v>0</v>
      </c>
      <c r="E339" s="1422">
        <f>+(360*E326*(E157))/1000000</f>
        <v>0</v>
      </c>
      <c r="F339" s="1422">
        <f>+(360*F326*(F157))/1000000</f>
        <v>0</v>
      </c>
      <c r="G339" s="1841">
        <f>+(SUMPRODUCT(C326:F326,C157:F157)*360)/(1000000*4)</f>
        <v>0</v>
      </c>
      <c r="H339" s="2238"/>
      <c r="I339" s="1425">
        <f>+(360*I326*(I157))/1000000</f>
        <v>0</v>
      </c>
      <c r="J339" s="1422">
        <f>+(360*J326*(J157))/1000000</f>
        <v>0</v>
      </c>
      <c r="K339" s="1422">
        <f>+(360*K326*(K157))/1000000</f>
        <v>0</v>
      </c>
      <c r="L339" s="1422">
        <f>+(360*L326*(L157))/1000000</f>
        <v>0</v>
      </c>
      <c r="M339" s="1841">
        <f>+(SUMPRODUCT(I326:L326,I157:L157)*360)/(1000000*4)</f>
        <v>0</v>
      </c>
      <c r="N339" s="2238"/>
      <c r="O339" s="1425">
        <f>+(360*O326*(O157))/1000000</f>
        <v>0</v>
      </c>
      <c r="P339" s="1422">
        <f>+(360*P326*(P157))/1000000</f>
        <v>0</v>
      </c>
      <c r="Q339" s="1422">
        <f>+(360*Q326*(Q157))/1000000</f>
        <v>0</v>
      </c>
      <c r="R339" s="1422">
        <f>+(360*R326*(R157))/1000000</f>
        <v>0</v>
      </c>
      <c r="S339" s="1841">
        <f>+(SUMPRODUCT(O326:R326,O157:R157)*360)/(1000000*4)</f>
        <v>0</v>
      </c>
      <c r="T339" s="2238"/>
      <c r="U339" s="1425">
        <f>+(360*U326*(U157))/1000000</f>
        <v>0</v>
      </c>
      <c r="V339" s="1422">
        <f>+(360*V326*(V157))/1000000</f>
        <v>0</v>
      </c>
      <c r="W339" s="1422">
        <f>+(360*W326*(W157))/1000000</f>
        <v>0</v>
      </c>
      <c r="X339" s="1422">
        <f>+(360*X326*(X157))/1000000</f>
        <v>0</v>
      </c>
      <c r="Y339" s="1841">
        <f>+(SUMPRODUCT(U326:X326,U157:X157)*360)/(1000000*4)</f>
        <v>0</v>
      </c>
      <c r="Z339" s="2238"/>
      <c r="AA339" s="1425">
        <f>+(360*AA326*(AA157))/1000000</f>
        <v>0</v>
      </c>
      <c r="AB339" s="1422">
        <f>+(360*AB326*(AB157))/1000000</f>
        <v>0</v>
      </c>
      <c r="AC339" s="1422">
        <f>+(360*AC326*(AC157))/1000000</f>
        <v>0</v>
      </c>
      <c r="AD339" s="1422">
        <f>+(360*AD326*(AD157))/1000000</f>
        <v>0</v>
      </c>
      <c r="AE339" s="1841">
        <f>+(SUMPRODUCT(AA326:AD326,AA157:AD157)*360)/(1000000*4)</f>
        <v>0</v>
      </c>
      <c r="AF339" s="2238"/>
      <c r="AG339" s="1425">
        <f>+(360*AG326*(AG157))/1000000</f>
        <v>0</v>
      </c>
      <c r="AH339" s="1422">
        <f>+(360*AH326*(AH157))/1000000</f>
        <v>0</v>
      </c>
      <c r="AI339" s="1422">
        <f>+(360*AI326*(AI157))/1000000</f>
        <v>0</v>
      </c>
      <c r="AJ339" s="1422">
        <f>+(360*AJ326*(AJ157))/1000000</f>
        <v>0</v>
      </c>
      <c r="AK339" s="1841">
        <f>+(SUMPRODUCT(AG326:AJ326,AG157:AJ157)*360)/(1000000*4)</f>
        <v>0</v>
      </c>
      <c r="AL339" s="2238"/>
      <c r="AM339" s="1425">
        <f>+(360*AM326*(AM157))/1000000</f>
        <v>0</v>
      </c>
      <c r="AN339" s="1422">
        <f>+(360*AN326*(AN157))/1000000</f>
        <v>0</v>
      </c>
      <c r="AO339" s="1422">
        <f>+(360*AO326*(AO157))/1000000</f>
        <v>0</v>
      </c>
      <c r="AP339" s="1422">
        <f>+(360*AP326*(AP157))/1000000</f>
        <v>0</v>
      </c>
      <c r="AQ339" s="1841">
        <f>+(SUMPRODUCT(AM326:AP326,AM157:AP157)*360)/(1000000*4)</f>
        <v>0</v>
      </c>
      <c r="AR339" s="2238"/>
      <c r="AS339" s="1425">
        <f>+(360*AS326*(AS157))/1000000</f>
        <v>0</v>
      </c>
      <c r="AT339" s="1422">
        <f>+(360*AT326*(AT157))/1000000</f>
        <v>0</v>
      </c>
      <c r="AU339" s="1422">
        <f>+(360*AU326*(AU157))/1000000</f>
        <v>0</v>
      </c>
      <c r="AV339" s="1422">
        <f>+(360*AV326*(AV157))/1000000</f>
        <v>0</v>
      </c>
      <c r="AW339" s="1841">
        <f>+(SUMPRODUCT(AS326:AV326,AS157:AV157)*360)/(1000000*4)</f>
        <v>0</v>
      </c>
      <c r="AX339" s="2238"/>
      <c r="AY339" s="1425">
        <f>+(360*AY326*(AY157))/1000000</f>
        <v>0.65054086971428571</v>
      </c>
      <c r="AZ339" s="1422">
        <f>+(360*AZ326*(AZ157))/1000000</f>
        <v>2.2268530215918365</v>
      </c>
      <c r="BA339" s="1422">
        <f>+(360*BA326*(BA157))/1000000</f>
        <v>4.172197477224489</v>
      </c>
      <c r="BB339" s="1422">
        <f>+(360*BB326*(BB157))/1000000</f>
        <v>5.6495700918367344</v>
      </c>
      <c r="BC339" s="1841">
        <f>+(SUMPRODUCT(AY326:BB326,AY157:BB157)*360)/(1000000*4)</f>
        <v>3.1747903650918365</v>
      </c>
      <c r="BD339" s="2238"/>
      <c r="BE339" s="1425">
        <f>+(360*BE326*(BE157))/1000000</f>
        <v>6.6453440174448977</v>
      </c>
      <c r="BF339" s="1422">
        <f>+(360*BF326*(BF157))/1000000</f>
        <v>7.4537216255755094</v>
      </c>
      <c r="BG339" s="1422">
        <f>+(360*BG326*(BG157))/1000000</f>
        <v>7.8025088334122445</v>
      </c>
      <c r="BH339" s="1422">
        <f>+(360*BH326*(BH157))/1000000</f>
        <v>7.8785029238693873</v>
      </c>
      <c r="BI339" s="1841">
        <f>+(SUMPRODUCT(BE326:BH326,BE157:BH157)*360)/(1000000*4)</f>
        <v>7.4450193500755093</v>
      </c>
      <c r="BJ339" s="63"/>
      <c r="BK339" s="1425">
        <f>+(360*BK326*(BK157))/1000000</f>
        <v>7.8761129301551023</v>
      </c>
      <c r="BL339" s="1422">
        <f>+(360*BL326*(BL157))/1000000</f>
        <v>7.8761129301551023</v>
      </c>
      <c r="BM339" s="1422">
        <f>+(360*BM326*(BM157))/1000000</f>
        <v>7.8761129301551023</v>
      </c>
      <c r="BN339" s="1422">
        <f>+(360*BN326*(BN157))/1000000</f>
        <v>7.7604680730122446</v>
      </c>
      <c r="BO339" s="1841">
        <f>+(SUMPRODUCT(BK326:BN326,BK157:BN157)*360)/(1000000*4)</f>
        <v>7.8472017158693896</v>
      </c>
      <c r="BP339" s="63"/>
      <c r="BQ339" s="1425">
        <f>+(360*BQ326*(BQ157))/1000000</f>
        <v>7.6448232158693878</v>
      </c>
      <c r="BR339" s="1422">
        <f>+(360*BR326*(BR157))/1000000</f>
        <v>7.6448232158693878</v>
      </c>
      <c r="BS339" s="1422">
        <f>+(360*BS326*(BS157))/1000000</f>
        <v>7.6448232158693878</v>
      </c>
      <c r="BT339" s="1422">
        <f>+(360*BT326*(BT157))/1000000</f>
        <v>7.6448232158693878</v>
      </c>
      <c r="BU339" s="1841">
        <f>+(SUMPRODUCT(BQ326:BT326,BQ157:BT157)*360)/(1000000*4)</f>
        <v>7.6448232158693887</v>
      </c>
      <c r="BV339" s="63"/>
      <c r="BW339" s="1425">
        <f>+(360*BW326*(BW157))/1000000</f>
        <v>7.6448232158693878</v>
      </c>
      <c r="BX339" s="1422">
        <f>+(360*BX326*(BX157))/1000000</f>
        <v>7.6448232158693878</v>
      </c>
      <c r="BY339" s="1422">
        <f>+(360*BY326*(BY157))/1000000</f>
        <v>7.6448232158693878</v>
      </c>
      <c r="BZ339" s="1422">
        <f>+(360*BZ326*(BZ157))/1000000</f>
        <v>7.6448232158693878</v>
      </c>
      <c r="CA339" s="1841">
        <f>+(SUMPRODUCT(BW326:BZ326,BW157:BZ157)*360)/(1000000*4)</f>
        <v>7.6448232158693887</v>
      </c>
      <c r="CB339" s="63"/>
      <c r="CC339" s="1425">
        <f>+(360*CC326*(CC157))/1000000</f>
        <v>7.6448232158693878</v>
      </c>
      <c r="CD339" s="1422">
        <f>+(360*CD326*(CD157))/1000000</f>
        <v>7.6448232158693878</v>
      </c>
      <c r="CE339" s="1422">
        <f>+(360*CE326*(CE157))/1000000</f>
        <v>7.6448232158693878</v>
      </c>
      <c r="CF339" s="1422">
        <f>+(360*CF326*(CF157))/1000000</f>
        <v>7.6448232158693878</v>
      </c>
      <c r="CG339" s="1841">
        <f>+(SUMPRODUCT(CC326:CF326,CC157:CF157)*360)/(1000000*4)</f>
        <v>7.6448232158693887</v>
      </c>
      <c r="CH339" s="63"/>
      <c r="CI339" s="1425">
        <f>+(360*CI326*(CI157))/1000000</f>
        <v>7.6448232158693878</v>
      </c>
      <c r="CJ339" s="1422">
        <f>+(360*CJ326*(CJ157))/1000000</f>
        <v>5.7174089301551021</v>
      </c>
      <c r="CK339" s="1422">
        <f>+(360*CK326*(CK157))/1000000</f>
        <v>1.8949973222204086</v>
      </c>
      <c r="CL339" s="1422">
        <f>+(360*CL326*(CL157))/1000000</f>
        <v>0</v>
      </c>
      <c r="CM339" s="1841">
        <f>+(SUMPRODUCT(CI326:CL326,CI157:CL157)*360)/(1000000*4)</f>
        <v>3.8143073670612249</v>
      </c>
      <c r="CN339" s="63"/>
      <c r="CO339" s="1425">
        <f>+(360*CO326*(CO157))/1000000</f>
        <v>0</v>
      </c>
      <c r="CP339" s="1422">
        <f>+(360*CP326*(CP157))/1000000</f>
        <v>0</v>
      </c>
      <c r="CQ339" s="1422">
        <f>+(360*CQ326*(CQ157))/1000000</f>
        <v>0</v>
      </c>
      <c r="CR339" s="1422">
        <f>+(360*CR326*(CR157))/1000000</f>
        <v>0</v>
      </c>
      <c r="CS339" s="1841">
        <f>+(SUMPRODUCT(CO326:CR326,CO157:CR157)*360)/(1000000*4)</f>
        <v>0</v>
      </c>
    </row>
    <row r="340" spans="1:280">
      <c r="A340" s="1930" t="s">
        <v>518</v>
      </c>
      <c r="B340" s="2238"/>
      <c r="C340" s="1425">
        <f>+(360*C327*(C159))/1000000</f>
        <v>0</v>
      </c>
      <c r="D340" s="1422">
        <f>+(360*D327*(D159))/1000000</f>
        <v>0</v>
      </c>
      <c r="E340" s="1422">
        <f>+(360*E327*(E159))/1000000</f>
        <v>0</v>
      </c>
      <c r="F340" s="1422">
        <f>+(360*F327*(F159))/1000000</f>
        <v>0</v>
      </c>
      <c r="G340" s="1841">
        <f>+(SUMPRODUCT(C327:F327,C159:F159)*360)/(1000000*4)</f>
        <v>0</v>
      </c>
      <c r="H340" s="2238"/>
      <c r="I340" s="1425">
        <f>+(360*I327*(I159))/1000000</f>
        <v>0</v>
      </c>
      <c r="J340" s="1422">
        <f>+(360*J327*(J159))/1000000</f>
        <v>0</v>
      </c>
      <c r="K340" s="1422">
        <f>+(360*K327*(K159))/1000000</f>
        <v>0</v>
      </c>
      <c r="L340" s="1422">
        <f>+(360*L327*(L159))/1000000</f>
        <v>0</v>
      </c>
      <c r="M340" s="1841">
        <f>+(SUMPRODUCT(I327:L327,I159:L159)*360)/(1000000*4)</f>
        <v>0</v>
      </c>
      <c r="N340" s="2238"/>
      <c r="O340" s="1425">
        <f>+(360*O327*(O159))/1000000</f>
        <v>0</v>
      </c>
      <c r="P340" s="1422">
        <f>+(360*P327*(P159))/1000000</f>
        <v>0</v>
      </c>
      <c r="Q340" s="1422">
        <f>+(360*Q327*(Q159))/1000000</f>
        <v>0</v>
      </c>
      <c r="R340" s="1422">
        <f>+(360*R327*(R159))/1000000</f>
        <v>0</v>
      </c>
      <c r="S340" s="1841">
        <f>+(SUMPRODUCT(O327:R327,O159:R159)*360)/(1000000*4)</f>
        <v>0</v>
      </c>
      <c r="T340" s="2238"/>
      <c r="U340" s="1425">
        <f>+(360*U327*(U159))/1000000</f>
        <v>0</v>
      </c>
      <c r="V340" s="1422">
        <f>+(360*V327*(V159))/1000000</f>
        <v>0</v>
      </c>
      <c r="W340" s="1422">
        <f>+(360*W327*(W159))/1000000</f>
        <v>0</v>
      </c>
      <c r="X340" s="1422">
        <f>+(360*X327*(X159))/1000000</f>
        <v>0</v>
      </c>
      <c r="Y340" s="1841">
        <f>+(SUMPRODUCT(U327:X327,U159:X159)*360)/(1000000*4)</f>
        <v>0</v>
      </c>
      <c r="Z340" s="2238"/>
      <c r="AA340" s="1425">
        <f>+(360*AA327*(AA159))/1000000</f>
        <v>0</v>
      </c>
      <c r="AB340" s="1422">
        <f>+(360*AB327*(AB159))/1000000</f>
        <v>0</v>
      </c>
      <c r="AC340" s="1422">
        <f>+(360*AC327*(AC159))/1000000</f>
        <v>0</v>
      </c>
      <c r="AD340" s="1422">
        <f>+(360*AD327*(AD159))/1000000</f>
        <v>0</v>
      </c>
      <c r="AE340" s="1841">
        <f>+(SUMPRODUCT(AA327:AD327,AA159:AD159)*360)/(1000000*4)</f>
        <v>0</v>
      </c>
      <c r="AF340" s="2238"/>
      <c r="AG340" s="1425">
        <f>+(360*AG327*(AG159))/1000000</f>
        <v>0</v>
      </c>
      <c r="AH340" s="1422">
        <f>+(360*AH327*(AH159))/1000000</f>
        <v>0</v>
      </c>
      <c r="AI340" s="1422">
        <f>+(360*AI327*(AI159))/1000000</f>
        <v>0</v>
      </c>
      <c r="AJ340" s="1422">
        <f>+(360*AJ327*(AJ159))/1000000</f>
        <v>0</v>
      </c>
      <c r="AK340" s="1841">
        <f>+(SUMPRODUCT(AG327:AJ327,AG159:AJ159)*360)/(1000000*4)</f>
        <v>0</v>
      </c>
      <c r="AL340" s="2238"/>
      <c r="AM340" s="1425">
        <f>+(360*AM327*(AM159))/1000000</f>
        <v>0</v>
      </c>
      <c r="AN340" s="1422">
        <f>+(360*AN327*(AN159))/1000000</f>
        <v>0</v>
      </c>
      <c r="AO340" s="1422">
        <f>+(360*AO327*(AO159))/1000000</f>
        <v>0</v>
      </c>
      <c r="AP340" s="1422">
        <f>+(360*AP327*(AP159))/1000000</f>
        <v>0</v>
      </c>
      <c r="AQ340" s="1841">
        <f>+(SUMPRODUCT(AM327:AP327,AM159:AP159)*360)/(1000000*4)</f>
        <v>0</v>
      </c>
      <c r="AR340" s="2238"/>
      <c r="AS340" s="1425">
        <f>+(360*AS327*(AS159))/1000000</f>
        <v>0</v>
      </c>
      <c r="AT340" s="1422">
        <f>+(360*AT327*(AT159))/1000000</f>
        <v>0</v>
      </c>
      <c r="AU340" s="1422">
        <f>+(360*AU327*(AU159))/1000000</f>
        <v>0</v>
      </c>
      <c r="AV340" s="1422">
        <f>+(360*AV327*(AV159))/1000000</f>
        <v>0</v>
      </c>
      <c r="AW340" s="1841">
        <f>+(SUMPRODUCT(AS327:AV327,AS159:AV159)*360)/(1000000*4)</f>
        <v>0</v>
      </c>
      <c r="AX340" s="2238"/>
      <c r="AY340" s="1425">
        <f>+(360*AY327*(AY159))/1000000</f>
        <v>3.5686504285714289</v>
      </c>
      <c r="AZ340" s="1422">
        <f>+(360*AZ327*(AZ159))/1000000</f>
        <v>11.352329485714288</v>
      </c>
      <c r="BA340" s="1422">
        <f>+(360*BA327*(BA159))/1000000</f>
        <v>19.412258914285715</v>
      </c>
      <c r="BB340" s="1422">
        <f>+(360*BB327*(BB159))/1000000</f>
        <v>26.29921988571429</v>
      </c>
      <c r="BC340" s="1841">
        <f>+(SUMPRODUCT(AY327:BB327,AY159:BB159)*360)/(1000000*4)</f>
        <v>15.158114678571433</v>
      </c>
      <c r="BD340" s="2238"/>
      <c r="BE340" s="1425">
        <f>+(360*BE327*(BE159))/1000000</f>
        <v>31.653848571428579</v>
      </c>
      <c r="BF340" s="1422">
        <f>+(360*BF327*(BF159))/1000000</f>
        <v>36.192443040000008</v>
      </c>
      <c r="BG340" s="1422">
        <f>+(360*BG327*(BG159))/1000000</f>
        <v>40.036252062857152</v>
      </c>
      <c r="BH340" s="1422">
        <f>+(360*BH327*(BH159))/1000000</f>
        <v>43.678128445714293</v>
      </c>
      <c r="BI340" s="1841">
        <f>+(SUMPRODUCT(BE327:BH327,BE159:BH159)*360)/(1000000*4)</f>
        <v>37.890168030000005</v>
      </c>
      <c r="BJ340" s="63"/>
      <c r="BK340" s="1425">
        <f>+(360*BK327*(BK159))/1000000</f>
        <v>46.243112760000002</v>
      </c>
      <c r="BL340" s="1422">
        <f>+(360*BL327*(BL159))/1000000</f>
        <v>46.784003760000012</v>
      </c>
      <c r="BM340" s="1422">
        <f>+(360*BM327*(BM159))/1000000</f>
        <v>46.784003760000012</v>
      </c>
      <c r="BN340" s="1422">
        <f>+(360*BN327*(BN159))/1000000</f>
        <v>47.014660902857152</v>
      </c>
      <c r="BO340" s="1841">
        <f>+(SUMPRODUCT(BK327:BN327,BK159:BN159)*360)/(1000000*4)</f>
        <v>46.706445295714296</v>
      </c>
      <c r="BP340" s="63"/>
      <c r="BQ340" s="1425">
        <f>+(360*BQ327*(BQ159))/1000000</f>
        <v>47.245318045714306</v>
      </c>
      <c r="BR340" s="1422">
        <f>+(360*BR327*(BR159))/1000000</f>
        <v>47.245318045714306</v>
      </c>
      <c r="BS340" s="1422">
        <f>+(360*BS327*(BS159))/1000000</f>
        <v>47.245318045714306</v>
      </c>
      <c r="BT340" s="1422">
        <f>+(360*BT327*(BT159))/1000000</f>
        <v>47.245318045714306</v>
      </c>
      <c r="BU340" s="1841">
        <f>+(SUMPRODUCT(BQ327:BT327,BQ159:BT159)*360)/(1000000*4)</f>
        <v>47.245318045714299</v>
      </c>
      <c r="BV340" s="63"/>
      <c r="BW340" s="1425">
        <f>+(360*BW327*(BW159))/1000000</f>
        <v>47.245318045714306</v>
      </c>
      <c r="BX340" s="1422">
        <f>+(360*BX327*(BX159))/1000000</f>
        <v>47.245318045714306</v>
      </c>
      <c r="BY340" s="1422">
        <f>+(360*BY327*(BY159))/1000000</f>
        <v>47.245318045714306</v>
      </c>
      <c r="BZ340" s="1422">
        <f>+(360*BZ327*(BZ159))/1000000</f>
        <v>47.245318045714306</v>
      </c>
      <c r="CA340" s="1841">
        <f>+(SUMPRODUCT(BW327:BZ327,BW159:BZ159)*360)/(1000000*4)</f>
        <v>47.245318045714299</v>
      </c>
      <c r="CB340" s="63"/>
      <c r="CC340" s="1425">
        <f>+(360*CC327*(CC159))/1000000</f>
        <v>47.245318045714306</v>
      </c>
      <c r="CD340" s="1422">
        <f>+(360*CD327*(CD159))/1000000</f>
        <v>47.245318045714306</v>
      </c>
      <c r="CE340" s="1422">
        <f>+(360*CE327*(CE159))/1000000</f>
        <v>47.245318045714306</v>
      </c>
      <c r="CF340" s="1422">
        <f>+(360*CF327*(CF159))/1000000</f>
        <v>47.245318045714306</v>
      </c>
      <c r="CG340" s="1841">
        <f>+(SUMPRODUCT(CC327:CF327,CC159:CF159)*360)/(1000000*4)</f>
        <v>47.245318045714299</v>
      </c>
      <c r="CH340" s="63"/>
      <c r="CI340" s="1425">
        <f>+(360*CI327*(CI159))/1000000</f>
        <v>47.245318045714306</v>
      </c>
      <c r="CJ340" s="1422">
        <f>+(360*CJ327*(CJ159))/1000000</f>
        <v>47.245318045714306</v>
      </c>
      <c r="CK340" s="1422">
        <f>+(360*CK327*(CK159))/1000000</f>
        <v>43.401032331428588</v>
      </c>
      <c r="CL340" s="1422">
        <f>+(360*CL327*(CL159))/1000000</f>
        <v>35.712460902857153</v>
      </c>
      <c r="CM340" s="1841">
        <f>+(SUMPRODUCT(CI327:CL327,CI159:CL159)*360)/(1000000*4)</f>
        <v>43.401032331428588</v>
      </c>
      <c r="CN340" s="63"/>
      <c r="CO340" s="1425">
        <f>+(360*CO327*(CO159))/1000000</f>
        <v>31.868175188571442</v>
      </c>
      <c r="CP340" s="1422">
        <f>+(360*CP327*(CP159))/1000000</f>
        <v>28.023889474285728</v>
      </c>
      <c r="CQ340" s="1422">
        <f>+(360*CQ327*(CQ159))/1000000</f>
        <v>20.335318045714299</v>
      </c>
      <c r="CR340" s="1422">
        <f>+(360*CR327*(CR159))/1000000</f>
        <v>12.646746617142869</v>
      </c>
      <c r="CS340" s="1841">
        <f>+(SUMPRODUCT(CO327:CR327,CO159:CR159)*360)/(1000000*4)</f>
        <v>23.218532331428584</v>
      </c>
    </row>
    <row r="341" spans="1:280">
      <c r="A341" s="1930" t="s">
        <v>655</v>
      </c>
      <c r="B341" s="2238"/>
      <c r="C341" s="1425">
        <f>+(360*C328*(C161))/1000000</f>
        <v>0</v>
      </c>
      <c r="D341" s="1422">
        <f>+(360*D328*(D161))/1000000</f>
        <v>0</v>
      </c>
      <c r="E341" s="1422">
        <f>+(360*E328*(E161))/1000000</f>
        <v>0</v>
      </c>
      <c r="F341" s="1422">
        <f>+(360*F328*(F161))/1000000</f>
        <v>0</v>
      </c>
      <c r="G341" s="1841">
        <f>+(SUMPRODUCT(C328:F328,C161:F161)*360)/(1000000*4)</f>
        <v>0</v>
      </c>
      <c r="H341" s="2238"/>
      <c r="I341" s="1425">
        <f>+(360*I328*(I161))/1000000</f>
        <v>0</v>
      </c>
      <c r="J341" s="1422">
        <f>+(360*J328*(J161))/1000000</f>
        <v>0</v>
      </c>
      <c r="K341" s="1422">
        <f>+(360*K328*(K161))/1000000</f>
        <v>0</v>
      </c>
      <c r="L341" s="1422">
        <f>+(360*L328*(L161))/1000000</f>
        <v>0</v>
      </c>
      <c r="M341" s="1841">
        <f>+(SUMPRODUCT(I328:L328,I161:L161)*360)/(1000000*4)</f>
        <v>0</v>
      </c>
      <c r="N341" s="2238"/>
      <c r="O341" s="1425">
        <f>+(360*O328*(O161))/1000000</f>
        <v>0</v>
      </c>
      <c r="P341" s="1422">
        <f>+(360*P328*(P161))/1000000</f>
        <v>0</v>
      </c>
      <c r="Q341" s="1422">
        <f>+(360*Q328*(Q161))/1000000</f>
        <v>0</v>
      </c>
      <c r="R341" s="1422">
        <f>+(360*R328*(R161))/1000000</f>
        <v>0</v>
      </c>
      <c r="S341" s="1841">
        <f>+(SUMPRODUCT(O328:R328,O161:R161)*360)/(1000000*4)</f>
        <v>0</v>
      </c>
      <c r="T341" s="2238"/>
      <c r="U341" s="1425">
        <f>+(360*U328*(U161))/1000000</f>
        <v>0</v>
      </c>
      <c r="V341" s="1422">
        <f>+(360*V328*(V161))/1000000</f>
        <v>0</v>
      </c>
      <c r="W341" s="1422">
        <f>+(360*W328*(W161))/1000000</f>
        <v>0</v>
      </c>
      <c r="X341" s="1422">
        <f>+(360*X328*(X161))/1000000</f>
        <v>0</v>
      </c>
      <c r="Y341" s="1841">
        <f>+(SUMPRODUCT(U328:X328,U161:X161)*360)/(1000000*4)</f>
        <v>0</v>
      </c>
      <c r="Z341" s="2238"/>
      <c r="AA341" s="1425">
        <f>+(360*AA328*(AA161))/1000000</f>
        <v>0</v>
      </c>
      <c r="AB341" s="1422">
        <f>+(360*AB328*(AB161))/1000000</f>
        <v>0</v>
      </c>
      <c r="AC341" s="1422">
        <f>+(360*AC328*(AC161))/1000000</f>
        <v>0</v>
      </c>
      <c r="AD341" s="1422">
        <f>+(360*AD328*(AD161))/1000000</f>
        <v>0</v>
      </c>
      <c r="AE341" s="1841">
        <f>+(SUMPRODUCT(AA328:AD328,AA161:AD161)*360)/(1000000*4)</f>
        <v>0</v>
      </c>
      <c r="AF341" s="2238"/>
      <c r="AG341" s="1425">
        <f>+(360*AG328*(AG161))/1000000</f>
        <v>0</v>
      </c>
      <c r="AH341" s="1422">
        <f>+(360*AH328*(AH161))/1000000</f>
        <v>0</v>
      </c>
      <c r="AI341" s="1422">
        <f>+(360*AI328*(AI161))/1000000</f>
        <v>0</v>
      </c>
      <c r="AJ341" s="1422">
        <f>+(360*AJ328*(AJ161))/1000000</f>
        <v>0</v>
      </c>
      <c r="AK341" s="1841">
        <f>+(SUMPRODUCT(AG328:AJ328,AG161:AJ161)*360)/(1000000*4)</f>
        <v>0</v>
      </c>
      <c r="AL341" s="2238"/>
      <c r="AM341" s="1425">
        <f>+(360*AM328*(AM161))/1000000</f>
        <v>0</v>
      </c>
      <c r="AN341" s="1422">
        <f>+(360*AN328*(AN161))/1000000</f>
        <v>0</v>
      </c>
      <c r="AO341" s="1422">
        <f>+(360*AO328*(AO161))/1000000</f>
        <v>0</v>
      </c>
      <c r="AP341" s="1422">
        <f>+(360*AP328*(AP161))/1000000</f>
        <v>0</v>
      </c>
      <c r="AQ341" s="1841">
        <f>+(SUMPRODUCT(AM328:AP328,AM161:AP161)*360)/(1000000*4)</f>
        <v>0</v>
      </c>
      <c r="AR341" s="2238"/>
      <c r="AS341" s="1425">
        <f>+(360*AS328*(AS161))/1000000</f>
        <v>0</v>
      </c>
      <c r="AT341" s="1422">
        <f>+(360*AT328*(AT161))/1000000</f>
        <v>0</v>
      </c>
      <c r="AU341" s="1422">
        <f>+(360*AU328*(AU161))/1000000</f>
        <v>0</v>
      </c>
      <c r="AV341" s="1422">
        <f>+(360*AV328*(AV161))/1000000</f>
        <v>0</v>
      </c>
      <c r="AW341" s="1841">
        <f>+(SUMPRODUCT(AS328:AV328,AS161:AV161)*360)/(1000000*4)</f>
        <v>0</v>
      </c>
      <c r="AX341" s="2238"/>
      <c r="AY341" s="1425">
        <f>+(360*AY328*(AY161))/1000000</f>
        <v>0</v>
      </c>
      <c r="AZ341" s="1422">
        <f>+(360*AZ328*(AZ161))/1000000</f>
        <v>0.61970400000000014</v>
      </c>
      <c r="BA341" s="1422">
        <f>+(360*BA328*(BA161))/1000000</f>
        <v>1.8900972000000005</v>
      </c>
      <c r="BB341" s="1422">
        <f>+(360*BB328*(BB161))/1000000</f>
        <v>3.2720371200000007</v>
      </c>
      <c r="BC341" s="1841">
        <f>+(SUMPRODUCT(AY328:BB328,AY161:BB161)*360)/(1000000*4)</f>
        <v>1.4454595800000001</v>
      </c>
      <c r="BD341" s="2238"/>
      <c r="BE341" s="1425">
        <f>+(360*BE328*(BE161))/1000000</f>
        <v>5.0617422720000009</v>
      </c>
      <c r="BF341" s="1422">
        <f>+(360*BF328*(BF161))/1000000</f>
        <v>7.4304575280000016</v>
      </c>
      <c r="BG341" s="1422">
        <f>+(360*BG328*(BG161))/1000000</f>
        <v>9.7716827145600007</v>
      </c>
      <c r="BH341" s="1422">
        <f>+(360*BH328*(BH161))/1000000</f>
        <v>11.834436720153603</v>
      </c>
      <c r="BI341" s="1841">
        <f>+(SUMPRODUCT(BE328:BH328,BE161:BH161)*360)/(1000000*4)</f>
        <v>8.5245798086784017</v>
      </c>
      <c r="BJ341" s="63"/>
      <c r="BK341" s="1425">
        <f>+(360*BK328*(BK161))/1000000</f>
        <v>13.100829045027842</v>
      </c>
      <c r="BL341" s="1422">
        <f>+(360*BL328*(BL161))/1000000</f>
        <v>13.335431726868482</v>
      </c>
      <c r="BM341" s="1422">
        <f>+(360*BM328*(BM161))/1000000</f>
        <v>13.335431726868482</v>
      </c>
      <c r="BN341" s="1422">
        <f>+(360*BN328*(BN161))/1000000</f>
        <v>13.335431726868482</v>
      </c>
      <c r="BO341" s="1841">
        <f>+(SUMPRODUCT(BK328:BN328,BK161:BN161)*360)/(1000000*4)</f>
        <v>13.276781056408323</v>
      </c>
      <c r="BP341" s="63"/>
      <c r="BQ341" s="1425">
        <f>+(360*BQ328*(BQ161))/1000000</f>
        <v>13.335431726868482</v>
      </c>
      <c r="BR341" s="1422">
        <f>+(360*BR328*(BR161))/1000000</f>
        <v>13.335431726868482</v>
      </c>
      <c r="BS341" s="1422">
        <f>+(360*BS328*(BS161))/1000000</f>
        <v>13.335431726868482</v>
      </c>
      <c r="BT341" s="1422">
        <f>+(360*BT328*(BT161))/1000000</f>
        <v>13.335431726868482</v>
      </c>
      <c r="BU341" s="1841">
        <f>+(SUMPRODUCT(BQ328:BT328,BQ161:BT161)*360)/(1000000*4)</f>
        <v>13.335431726868482</v>
      </c>
      <c r="BV341" s="63"/>
      <c r="BW341" s="1425">
        <f>+(360*BW328*(BW161))/1000000</f>
        <v>13.335431726868482</v>
      </c>
      <c r="BX341" s="1422">
        <f>+(360*BX328*(BX161))/1000000</f>
        <v>13.335431726868482</v>
      </c>
      <c r="BY341" s="1422">
        <f>+(360*BY328*(BY161))/1000000</f>
        <v>13.335431726868482</v>
      </c>
      <c r="BZ341" s="1422">
        <f>+(360*BZ328*(BZ161))/1000000</f>
        <v>13.335431726868482</v>
      </c>
      <c r="CA341" s="1841">
        <f>+(SUMPRODUCT(BW328:BZ328,BW161:BZ161)*360)/(1000000*4)</f>
        <v>13.335431726868482</v>
      </c>
      <c r="CB341" s="63"/>
      <c r="CC341" s="1425">
        <f>+(360*CC328*(CC161))/1000000</f>
        <v>13.335431726868482</v>
      </c>
      <c r="CD341" s="1422">
        <f>+(360*CD328*(CD161))/1000000</f>
        <v>13.335431726868482</v>
      </c>
      <c r="CE341" s="1422">
        <f>+(360*CE328*(CE161))/1000000</f>
        <v>13.335431726868482</v>
      </c>
      <c r="CF341" s="1422">
        <f>+(360*CF328*(CF161))/1000000</f>
        <v>13.335431726868482</v>
      </c>
      <c r="CG341" s="1841">
        <f>+(SUMPRODUCT(CC328:CF328,CC161:CF161)*360)/(1000000*4)</f>
        <v>13.335431726868482</v>
      </c>
      <c r="CH341" s="63"/>
      <c r="CI341" s="1425">
        <f>+(360*CI328*(CI161))/1000000</f>
        <v>13.335431726868482</v>
      </c>
      <c r="CJ341" s="1422">
        <f>+(360*CJ328*(CJ161))/1000000</f>
        <v>13.335431726868482</v>
      </c>
      <c r="CK341" s="1422">
        <f>+(360*CK328*(CK161))/1000000</f>
        <v>13.335431726868482</v>
      </c>
      <c r="CL341" s="1422">
        <f>+(360*CL328*(CL161))/1000000</f>
        <v>13.335431726868482</v>
      </c>
      <c r="CM341" s="1841">
        <f>+(SUMPRODUCT(CI328:CL328,CI161:CL161)*360)/(1000000*4)</f>
        <v>13.335431726868482</v>
      </c>
      <c r="CN341" s="63"/>
      <c r="CO341" s="1425">
        <f>+(360*CO328*(CO161))/1000000</f>
        <v>13.335431726868482</v>
      </c>
      <c r="CP341" s="1422">
        <f>+(360*CP328*(CP161))/1000000</f>
        <v>13.335431726868482</v>
      </c>
      <c r="CQ341" s="1422">
        <f>+(360*CQ328*(CQ161))/1000000</f>
        <v>13.335431726868482</v>
      </c>
      <c r="CR341" s="1422">
        <f>+(360*CR328*(CR161))/1000000</f>
        <v>13.335431726868482</v>
      </c>
      <c r="CS341" s="1841">
        <f>+(SUMPRODUCT(CO328:CR328,CO161:CR161)*360)/(1000000*4)</f>
        <v>13.335431726868482</v>
      </c>
    </row>
    <row r="342" spans="1:280">
      <c r="A342" s="1930" t="s">
        <v>656</v>
      </c>
      <c r="B342" s="2238"/>
      <c r="C342" s="1425">
        <f>+(360*C329*(C163))/1000000</f>
        <v>0</v>
      </c>
      <c r="D342" s="1422">
        <f>+(360*D329*(D163))/1000000</f>
        <v>0</v>
      </c>
      <c r="E342" s="1422">
        <f>+(360*E329*(E163))/1000000</f>
        <v>0</v>
      </c>
      <c r="F342" s="1422">
        <f>+(360*F329*(F163))/1000000</f>
        <v>0</v>
      </c>
      <c r="G342" s="1841">
        <f>+(SUMPRODUCT(C329:F329,C163:F163)*360)/(1000000*4)</f>
        <v>0</v>
      </c>
      <c r="H342" s="2238"/>
      <c r="I342" s="1425">
        <f>+(360*I329*(I163))/1000000</f>
        <v>0</v>
      </c>
      <c r="J342" s="1422">
        <f>+(360*J329*(J163))/1000000</f>
        <v>0</v>
      </c>
      <c r="K342" s="1422">
        <f>+(360*K329*(K163))/1000000</f>
        <v>0</v>
      </c>
      <c r="L342" s="1422">
        <f>+(360*L329*(L163))/1000000</f>
        <v>0</v>
      </c>
      <c r="M342" s="1841">
        <f>+(SUMPRODUCT(I329:L329,I163:L163)*360)/(1000000*4)</f>
        <v>0</v>
      </c>
      <c r="N342" s="2238"/>
      <c r="O342" s="1425">
        <f>+(360*O329*(O163))/1000000</f>
        <v>0</v>
      </c>
      <c r="P342" s="1422">
        <f>+(360*P329*(P163))/1000000</f>
        <v>0</v>
      </c>
      <c r="Q342" s="1422">
        <f>+(360*Q329*(Q163))/1000000</f>
        <v>0</v>
      </c>
      <c r="R342" s="1422">
        <f>+(360*R329*(R163))/1000000</f>
        <v>0</v>
      </c>
      <c r="S342" s="1841">
        <f>+(SUMPRODUCT(O329:R329,O163:R163)*360)/(1000000*4)</f>
        <v>0</v>
      </c>
      <c r="T342" s="2238"/>
      <c r="U342" s="1425">
        <f>+(360*U329*(U163))/1000000</f>
        <v>0</v>
      </c>
      <c r="V342" s="1422">
        <f>+(360*V329*(V163))/1000000</f>
        <v>0</v>
      </c>
      <c r="W342" s="1422">
        <f>+(360*W329*(W163))/1000000</f>
        <v>0</v>
      </c>
      <c r="X342" s="1422">
        <f>+(360*X329*(X163))/1000000</f>
        <v>0</v>
      </c>
      <c r="Y342" s="1841">
        <f>+(SUMPRODUCT(U329:X329,U163:X163)*360)/(1000000*4)</f>
        <v>0</v>
      </c>
      <c r="Z342" s="2238"/>
      <c r="AA342" s="1425">
        <f>+(360*AA329*(AA163))/1000000</f>
        <v>0</v>
      </c>
      <c r="AB342" s="1422">
        <f>+(360*AB329*(AB163))/1000000</f>
        <v>0</v>
      </c>
      <c r="AC342" s="1422">
        <f>+(360*AC329*(AC163))/1000000</f>
        <v>0</v>
      </c>
      <c r="AD342" s="1422">
        <f>+(360*AD329*(AD163))/1000000</f>
        <v>0</v>
      </c>
      <c r="AE342" s="1841">
        <f>+(SUMPRODUCT(AA329:AD329,AA163:AD163)*360)/(1000000*4)</f>
        <v>0</v>
      </c>
      <c r="AF342" s="2238"/>
      <c r="AG342" s="1425">
        <f>+(360*AG329*(AG163))/1000000</f>
        <v>0</v>
      </c>
      <c r="AH342" s="1422">
        <f>+(360*AH329*(AH163))/1000000</f>
        <v>0</v>
      </c>
      <c r="AI342" s="1422">
        <f>+(360*AI329*(AI163))/1000000</f>
        <v>0</v>
      </c>
      <c r="AJ342" s="1422">
        <f>+(360*AJ329*(AJ163))/1000000</f>
        <v>0</v>
      </c>
      <c r="AK342" s="1841">
        <f>+(SUMPRODUCT(AG329:AJ329,AG163:AJ163)*360)/(1000000*4)</f>
        <v>0</v>
      </c>
      <c r="AL342" s="2238"/>
      <c r="AM342" s="1425">
        <f>+(360*AM329*(AM163))/1000000</f>
        <v>0</v>
      </c>
      <c r="AN342" s="1422">
        <f>+(360*AN329*(AN163))/1000000</f>
        <v>0</v>
      </c>
      <c r="AO342" s="1422">
        <f>+(360*AO329*(AO163))/1000000</f>
        <v>0</v>
      </c>
      <c r="AP342" s="1422">
        <f>+(360*AP329*(AP163))/1000000</f>
        <v>0</v>
      </c>
      <c r="AQ342" s="1841">
        <f>+(SUMPRODUCT(AM329:AP329,AM163:AP163)*360)/(1000000*4)</f>
        <v>0</v>
      </c>
      <c r="AR342" s="2238"/>
      <c r="AS342" s="1425">
        <f>+(360*AS329*(AS163))/1000000</f>
        <v>1.2394080000000003</v>
      </c>
      <c r="AT342" s="1422">
        <f>+(360*AT329*(AT163))/1000000</f>
        <v>5.9904720000000014</v>
      </c>
      <c r="AU342" s="1422">
        <f>+(360*AU329*(AU163))/1000000</f>
        <v>14.149908000000002</v>
      </c>
      <c r="AV342" s="1422">
        <f>+(360*AV329*(AV163))/1000000</f>
        <v>23.238900000000005</v>
      </c>
      <c r="AW342" s="1841">
        <f>+(SUMPRODUCT(AS329:AV329,AS163:AV163)*360)/(1000000*4)</f>
        <v>11.154672000000001</v>
      </c>
      <c r="AX342" s="2238"/>
      <c r="AY342" s="1425">
        <f>+(360*AY329*(AY163))/1000000</f>
        <v>32.524131600000004</v>
      </c>
      <c r="AZ342" s="1422">
        <f>+(360*AZ329*(AZ163))/1000000</f>
        <v>40.88683051200001</v>
      </c>
      <c r="BA342" s="1422">
        <f>+(360*BA329*(BA163))/1000000</f>
        <v>48.33030182400001</v>
      </c>
      <c r="BB342" s="1422">
        <f>+(360*BB329*(BB163))/1000000</f>
        <v>55.004761785600003</v>
      </c>
      <c r="BC342" s="1841">
        <f>+(SUMPRODUCT(AY329:BB329,AY163:BB163)*360)/(1000000*4)</f>
        <v>44.186506430400009</v>
      </c>
      <c r="BD342" s="2238"/>
      <c r="BE342" s="1425">
        <f>+(360*BE329*(BE163))/1000000</f>
        <v>58.823667028800003</v>
      </c>
      <c r="BF342" s="1422">
        <f>+(360*BF329*(BF163))/1000000</f>
        <v>62.097341406768003</v>
      </c>
      <c r="BG342" s="1422">
        <f>+(360*BG329*(BG163))/1000000</f>
        <v>65.912993352696972</v>
      </c>
      <c r="BH342" s="1422">
        <f>+(360*BH329*(BH163))/1000000</f>
        <v>70.007729761806345</v>
      </c>
      <c r="BI342" s="1841">
        <f>+(SUMPRODUCT(BE329:BH329,BE163:BH163)*360)/(1000000*4)</f>
        <v>64.210432887517825</v>
      </c>
      <c r="BJ342" s="1"/>
      <c r="BK342" s="1425">
        <f>+(360*BK329*(BK163))/1000000</f>
        <v>73.070347555287015</v>
      </c>
      <c r="BL342" s="1422">
        <f>+(360*BL329*(BL163))/1000000</f>
        <v>74.170630399758323</v>
      </c>
      <c r="BM342" s="1422">
        <f>+(360*BM329*(BM163))/1000000</f>
        <v>74.691817010297356</v>
      </c>
      <c r="BN342" s="1422">
        <f>+(360*BN329*(BN163))/1000000</f>
        <v>74.691817010297356</v>
      </c>
      <c r="BO342" s="1841">
        <f>+(SUMPRODUCT(BK329:BN329,BK163:BN163)*360)/(1000000*4)</f>
        <v>74.156152993909998</v>
      </c>
      <c r="BP342" s="1"/>
      <c r="BQ342" s="1425">
        <f>+(360*BQ329*(BQ163))/1000000</f>
        <v>74.691817010297356</v>
      </c>
      <c r="BR342" s="1422">
        <f>+(360*BR329*(BR163))/1000000</f>
        <v>74.691817010297356</v>
      </c>
      <c r="BS342" s="1422">
        <f>+(360*BS329*(BS163))/1000000</f>
        <v>74.691817010297356</v>
      </c>
      <c r="BT342" s="1422">
        <f>+(360*BT329*(BT163))/1000000</f>
        <v>74.691817010297356</v>
      </c>
      <c r="BU342" s="1841">
        <f>+(SUMPRODUCT(BQ329:BT329,BQ163:BT163)*360)/(1000000*4)</f>
        <v>74.691817010297342</v>
      </c>
      <c r="BV342" s="1"/>
      <c r="BW342" s="1425">
        <f>+(360*BW329*(BW163))/1000000</f>
        <v>74.691817010297356</v>
      </c>
      <c r="BX342" s="1422">
        <f>+(360*BX329*(BX163))/1000000</f>
        <v>74.691817010297356</v>
      </c>
      <c r="BY342" s="1422">
        <f>+(360*BY329*(BY163))/1000000</f>
        <v>74.691817010297356</v>
      </c>
      <c r="BZ342" s="1422">
        <f>+(360*BZ329*(BZ163))/1000000</f>
        <v>74.691817010297356</v>
      </c>
      <c r="CA342" s="1841">
        <f>+(SUMPRODUCT(BW329:BZ329,BW163:BZ163)*360)/(1000000*4)</f>
        <v>74.691817010297342</v>
      </c>
      <c r="CB342" s="1"/>
      <c r="CC342" s="1425">
        <f>+(360*CC329*(CC163))/1000000</f>
        <v>74.691817010297356</v>
      </c>
      <c r="CD342" s="1422">
        <f>+(360*CD329*(CD163))/1000000</f>
        <v>74.691817010297356</v>
      </c>
      <c r="CE342" s="1422">
        <f>+(360*CE329*(CE163))/1000000</f>
        <v>74.691817010297356</v>
      </c>
      <c r="CF342" s="1422">
        <f>+(360*CF329*(CF163))/1000000</f>
        <v>74.691817010297356</v>
      </c>
      <c r="CG342" s="1841">
        <f>+(SUMPRODUCT(CC329:CF329,CC163:CF163)*360)/(1000000*4)</f>
        <v>74.691817010297342</v>
      </c>
      <c r="CH342" s="1"/>
      <c r="CI342" s="1425">
        <f>+(360*CI329*(CI163))/1000000</f>
        <v>74.691817010297356</v>
      </c>
      <c r="CJ342" s="1422">
        <f>+(360*CJ329*(CJ163))/1000000</f>
        <v>74.691817010297356</v>
      </c>
      <c r="CK342" s="1422">
        <f>+(360*CK329*(CK163))/1000000</f>
        <v>74.691817010297356</v>
      </c>
      <c r="CL342" s="1422">
        <f>+(360*CL329*(CL163))/1000000</f>
        <v>74.691817010297356</v>
      </c>
      <c r="CM342" s="1841">
        <f>+(SUMPRODUCT(CI329:CL329,CI163:CL163)*360)/(1000000*4)</f>
        <v>74.691817010297342</v>
      </c>
      <c r="CN342" s="1"/>
      <c r="CO342" s="1425">
        <f>+(360*CO329*(CO163))/1000000</f>
        <v>74.691817010297356</v>
      </c>
      <c r="CP342" s="1422">
        <f>+(360*CP329*(CP163))/1000000</f>
        <v>74.691817010297356</v>
      </c>
      <c r="CQ342" s="1422">
        <f>+(360*CQ329*(CQ163))/1000000</f>
        <v>74.691817010297356</v>
      </c>
      <c r="CR342" s="1422">
        <f>+(360*CR329*(CR163))/1000000</f>
        <v>74.691817010297356</v>
      </c>
      <c r="CS342" s="1841">
        <f>+(SUMPRODUCT(CO329:CR329,CO163:CR163)*360)/(1000000*4)</f>
        <v>74.691817010297342</v>
      </c>
    </row>
    <row r="343" spans="1:280">
      <c r="A343" s="1930" t="s">
        <v>757</v>
      </c>
      <c r="B343" s="2238"/>
      <c r="C343" s="1425"/>
      <c r="D343" s="1422"/>
      <c r="E343" s="1422"/>
      <c r="F343" s="1422"/>
      <c r="G343" s="1841"/>
      <c r="H343" s="2238"/>
      <c r="I343" s="1425"/>
      <c r="J343" s="1422"/>
      <c r="K343" s="1422"/>
      <c r="L343" s="1422"/>
      <c r="M343" s="1841"/>
      <c r="N343" s="2238"/>
      <c r="O343" s="1425"/>
      <c r="P343" s="1422"/>
      <c r="Q343" s="1422"/>
      <c r="R343" s="1422"/>
      <c r="S343" s="1841"/>
      <c r="T343" s="2238"/>
      <c r="U343" s="1425"/>
      <c r="V343" s="1422"/>
      <c r="W343" s="1422"/>
      <c r="X343" s="1422"/>
      <c r="Y343" s="1841"/>
      <c r="Z343" s="2238"/>
      <c r="AA343" s="1425"/>
      <c r="AB343" s="1422"/>
      <c r="AC343" s="1422"/>
      <c r="AD343" s="1422"/>
      <c r="AE343" s="1841"/>
      <c r="AF343" s="2238"/>
      <c r="AG343" s="1425"/>
      <c r="AH343" s="1422"/>
      <c r="AI343" s="1422"/>
      <c r="AJ343" s="1422"/>
      <c r="AK343" s="1841"/>
      <c r="AL343" s="2238"/>
      <c r="AM343" s="1425"/>
      <c r="AN343" s="1422"/>
      <c r="AO343" s="1422"/>
      <c r="AP343" s="1422"/>
      <c r="AQ343" s="1841"/>
      <c r="AR343" s="2238"/>
      <c r="AS343" s="1425"/>
      <c r="AT343" s="1422"/>
      <c r="AU343" s="1422"/>
      <c r="AV343" s="1422"/>
      <c r="AW343" s="1841"/>
      <c r="AX343" s="2238"/>
      <c r="AY343" s="1425"/>
      <c r="AZ343" s="1422"/>
      <c r="BA343" s="1422"/>
      <c r="BB343" s="1422"/>
      <c r="BC343" s="1841"/>
      <c r="BD343" s="2238"/>
      <c r="BE343" s="1425"/>
      <c r="BF343" s="1422"/>
      <c r="BG343" s="1422"/>
      <c r="BH343" s="1422"/>
      <c r="BI343" s="1841"/>
      <c r="BJ343" s="1"/>
      <c r="BK343" s="1425">
        <f>+(360*BK330*(BK165))/1000000</f>
        <v>0</v>
      </c>
      <c r="BL343" s="1422">
        <f>+(360*BL330*(BL165))/1000000</f>
        <v>0</v>
      </c>
      <c r="BM343" s="1422">
        <f>+(360*BM330*(BM165))/1000000</f>
        <v>0</v>
      </c>
      <c r="BN343" s="1422">
        <f>+(360*BN330*(BN165))/1000000</f>
        <v>0</v>
      </c>
      <c r="BO343" s="1841">
        <f>+(SUMPRODUCT(BK330:BN330,BK165:BN165)*360)/(1000000*4)</f>
        <v>0</v>
      </c>
      <c r="BP343" s="1"/>
      <c r="BQ343" s="1425">
        <f>+(360*BQ330*(BQ165))/1000000</f>
        <v>0</v>
      </c>
      <c r="BR343" s="1422">
        <f>+(360*BR330*(BR165))/1000000</f>
        <v>0</v>
      </c>
      <c r="BS343" s="1422">
        <f>+(360*BS330*(BS165))/1000000</f>
        <v>0</v>
      </c>
      <c r="BT343" s="1422">
        <f>+(360*BT330*(BT165))/1000000</f>
        <v>0</v>
      </c>
      <c r="BU343" s="1841">
        <f>+(SUMPRODUCT(BQ330:BT330,BQ165:BT165)*360)/(1000000*4)</f>
        <v>0</v>
      </c>
      <c r="BV343" s="1"/>
      <c r="BW343" s="1425">
        <f>+(360*BW330*(BW165))/1000000</f>
        <v>0</v>
      </c>
      <c r="BX343" s="1422">
        <f>+(360*BX330*(BX165))/1000000</f>
        <v>0</v>
      </c>
      <c r="BY343" s="1422">
        <f>+(360*BY330*(BY165))/1000000</f>
        <v>0</v>
      </c>
      <c r="BZ343" s="1422">
        <f>+(360*BZ330*(BZ165))/1000000</f>
        <v>0</v>
      </c>
      <c r="CA343" s="1841">
        <f>+(SUMPRODUCT(BW330:BZ330,BW165:BZ165)*360)/(1000000*4)</f>
        <v>0</v>
      </c>
      <c r="CB343" s="1"/>
      <c r="CC343" s="1425">
        <f>+(360*CC330*(CC165))/1000000</f>
        <v>0</v>
      </c>
      <c r="CD343" s="1422">
        <f>+(360*CD330*(CD165))/1000000</f>
        <v>0</v>
      </c>
      <c r="CE343" s="1422">
        <f>+(360*CE330*(CE165))/1000000</f>
        <v>0</v>
      </c>
      <c r="CF343" s="1422">
        <f>+(360*CF330*(CF165))/1000000</f>
        <v>0</v>
      </c>
      <c r="CG343" s="1841">
        <f>+(SUMPRODUCT(CC330:CF330,CC165:CF165)*360)/(1000000*4)</f>
        <v>0</v>
      </c>
      <c r="CH343" s="1"/>
      <c r="CI343" s="1425">
        <f>+(360*CI330*(CI165))/1000000</f>
        <v>0</v>
      </c>
      <c r="CJ343" s="1422">
        <f>+(360*CJ330*(CJ165))/1000000</f>
        <v>0</v>
      </c>
      <c r="CK343" s="1422">
        <f>+(360*CK330*(CK165))/1000000</f>
        <v>0</v>
      </c>
      <c r="CL343" s="1422">
        <f>+(360*CL330*(CL165))/1000000</f>
        <v>0</v>
      </c>
      <c r="CM343" s="1841">
        <f>+(SUMPRODUCT(CI330:CL330,CI165:CL165)*360)/(1000000*4)</f>
        <v>0</v>
      </c>
      <c r="CN343" s="1"/>
      <c r="CO343" s="1425">
        <f>+(360*CO330*(CO165))/1000000</f>
        <v>0</v>
      </c>
      <c r="CP343" s="1422">
        <f>+(360*CP330*(CP165))/1000000</f>
        <v>0</v>
      </c>
      <c r="CQ343" s="1422">
        <f>+(360*CQ330*(CQ165))/1000000</f>
        <v>0</v>
      </c>
      <c r="CR343" s="1422">
        <f>+(360*CR330*(CR165))/1000000</f>
        <v>0</v>
      </c>
      <c r="CS343" s="1841">
        <f>+(SUMPRODUCT(CO330:CR330,CO165:CR165)*360)/(1000000*4)</f>
        <v>0</v>
      </c>
    </row>
    <row r="344" spans="1:280">
      <c r="A344" s="1930" t="s">
        <v>758</v>
      </c>
      <c r="B344" s="2238"/>
      <c r="C344" s="1425"/>
      <c r="D344" s="1422"/>
      <c r="E344" s="1422"/>
      <c r="F344" s="1422"/>
      <c r="G344" s="1841"/>
      <c r="H344" s="2238"/>
      <c r="I344" s="1425"/>
      <c r="J344" s="1422"/>
      <c r="K344" s="1422"/>
      <c r="L344" s="1422"/>
      <c r="M344" s="1841"/>
      <c r="N344" s="2238"/>
      <c r="O344" s="1425"/>
      <c r="P344" s="1422"/>
      <c r="Q344" s="1422"/>
      <c r="R344" s="1422"/>
      <c r="S344" s="1841"/>
      <c r="T344" s="2238"/>
      <c r="U344" s="1425"/>
      <c r="V344" s="1422"/>
      <c r="W344" s="1422"/>
      <c r="X344" s="1422"/>
      <c r="Y344" s="1841"/>
      <c r="Z344" s="2238"/>
      <c r="AA344" s="1425"/>
      <c r="AB344" s="1422"/>
      <c r="AC344" s="1422"/>
      <c r="AD344" s="1422"/>
      <c r="AE344" s="1841"/>
      <c r="AF344" s="2238"/>
      <c r="AG344" s="1425"/>
      <c r="AH344" s="1422"/>
      <c r="AI344" s="1422"/>
      <c r="AJ344" s="1422"/>
      <c r="AK344" s="1841"/>
      <c r="AL344" s="2238"/>
      <c r="AM344" s="1425"/>
      <c r="AN344" s="1422"/>
      <c r="AO344" s="1422"/>
      <c r="AP344" s="1422"/>
      <c r="AQ344" s="1841"/>
      <c r="AR344" s="2238"/>
      <c r="AS344" s="1425"/>
      <c r="AT344" s="1422"/>
      <c r="AU344" s="1422"/>
      <c r="AV344" s="1422"/>
      <c r="AW344" s="1841"/>
      <c r="AX344" s="2238"/>
      <c r="AY344" s="1425"/>
      <c r="AZ344" s="1422"/>
      <c r="BA344" s="1422"/>
      <c r="BB344" s="1422"/>
      <c r="BC344" s="1841"/>
      <c r="BD344" s="2238"/>
      <c r="BE344" s="1425"/>
      <c r="BF344" s="1422"/>
      <c r="BG344" s="1422"/>
      <c r="BH344" s="1422"/>
      <c r="BI344" s="1841"/>
      <c r="BJ344" s="1"/>
      <c r="BK344" s="1425">
        <f>+(360*BK331*(BK167))/1000000</f>
        <v>27</v>
      </c>
      <c r="BL344" s="1422">
        <f>+(360*BL331*(BL167))/1000000</f>
        <v>71.819999999999993</v>
      </c>
      <c r="BM344" s="1422">
        <f>+(360*BM331*(BM167))/1000000</f>
        <v>164.7</v>
      </c>
      <c r="BN344" s="1422">
        <f>+(360*BN331*(BN167))/1000000</f>
        <v>260.82</v>
      </c>
      <c r="BO344" s="1841">
        <f>+(SUMPRODUCT(BK331:BN331,BK167:BN167)*360)/(1000000*4)</f>
        <v>131.08500000000001</v>
      </c>
      <c r="BP344" s="1"/>
      <c r="BQ344" s="1425">
        <f>+(360*BQ331*(BQ167))/1000000</f>
        <v>350.46</v>
      </c>
      <c r="BR344" s="1422">
        <f>+(360*BR331*(BR167))/1000000</f>
        <v>435.24</v>
      </c>
      <c r="BS344" s="1422">
        <f>+(360*BS331*(BS167))/1000000</f>
        <v>523.79999999999995</v>
      </c>
      <c r="BT344" s="1422">
        <f>+(360*BT331*(BT167))/1000000</f>
        <v>614.52</v>
      </c>
      <c r="BU344" s="1841">
        <f>+(SUMPRODUCT(BQ331:BT331,BQ167:BT167)*360)/(1000000*4)</f>
        <v>481.005</v>
      </c>
      <c r="BV344" s="1"/>
      <c r="BW344" s="1425">
        <f>+(360*BW331*(BW167))/1000000</f>
        <v>713.46149999999989</v>
      </c>
      <c r="BX344" s="1422">
        <f>+(360*BX331*(BX167))/1000000</f>
        <v>807.32126249999988</v>
      </c>
      <c r="BY344" s="1422">
        <f>+(360*BY331*(BY167))/1000000</f>
        <v>905.42809968749964</v>
      </c>
      <c r="BZ344" s="1422">
        <f>+(360*BZ331*(BZ167))/1000000</f>
        <v>1007.935702945312</v>
      </c>
      <c r="CA344" s="1841">
        <f>+(SUMPRODUCT(BW331:BZ331,BW167:BZ167)*360)/(1000000*4)</f>
        <v>858.53664128320281</v>
      </c>
      <c r="CB344" s="1"/>
      <c r="CC344" s="1425">
        <f>+(360*CC331*(CC167))/1000000</f>
        <v>1110.7260707589837</v>
      </c>
      <c r="CD344" s="1422">
        <f>+(360*CD331*(CD167))/1000000</f>
        <v>1213.6423560281537</v>
      </c>
      <c r="CE344" s="1422">
        <f>+(360*CE331*(CE167))/1000000</f>
        <v>1321.0102517665573</v>
      </c>
      <c r="CF344" s="1422">
        <f>+(360*CF331*(CF167))/1000000</f>
        <v>1432.9880158193639</v>
      </c>
      <c r="CG344" s="1841">
        <f>+(SUMPRODUCT(CC331:CF331,CC167:CF167)*360)/(1000000*4)</f>
        <v>1269.5916735932647</v>
      </c>
      <c r="CH344" s="1"/>
      <c r="CI344" s="1425">
        <f>+(360*CI331*(CI167))/1000000</f>
        <v>1549.7390366674567</v>
      </c>
      <c r="CJ344" s="1422">
        <f>+(360*CJ331*(CJ167))/1000000</f>
        <v>1671.4319910480667</v>
      </c>
      <c r="CK344" s="1422">
        <f>+(360*CK331*(CK167))/1000000</f>
        <v>1798.2410062497902</v>
      </c>
      <c r="CL344" s="1422">
        <f>+(360*CL331*(CL167))/1000000</f>
        <v>1930.3458272171945</v>
      </c>
      <c r="CM344" s="1841">
        <f>+(SUMPRODUCT(CI331:CL331,CI167:CL167)*360)/(1000000*4)</f>
        <v>1737.4394652956271</v>
      </c>
      <c r="CN344" s="1"/>
      <c r="CO344" s="1425">
        <f>+(360*CO331*(CO167))/1000000</f>
        <v>2067.9319886040635</v>
      </c>
      <c r="CP344" s="1422">
        <f>+(360*CP331*(CP167))/1000000</f>
        <v>2211.1909919182649</v>
      </c>
      <c r="CQ344" s="1422">
        <f>+(360*CQ331*(CQ167))/1000000</f>
        <v>2360.3204879052983</v>
      </c>
      <c r="CR344" s="1422">
        <f>+(360*CR331*(CR167))/1000000</f>
        <v>2515.5244643217352</v>
      </c>
      <c r="CS344" s="1841">
        <f>+(SUMPRODUCT(CO331:CR331,CO167:CR167)*360)/(1000000*4)</f>
        <v>2288.7419831873408</v>
      </c>
    </row>
    <row r="345" spans="1:280" s="3" customFormat="1">
      <c r="A345" s="125" t="s">
        <v>221</v>
      </c>
      <c r="B345" s="2248"/>
      <c r="C345" s="2246">
        <f>+SUM(C333:C342)</f>
        <v>0</v>
      </c>
      <c r="D345" s="2249">
        <f>+SUM(D333:D342)</f>
        <v>0</v>
      </c>
      <c r="E345" s="2249">
        <f>+SUM(E333:E342)</f>
        <v>0</v>
      </c>
      <c r="F345" s="2249">
        <f>+SUM(F333:F342)</f>
        <v>0</v>
      </c>
      <c r="G345" s="2247">
        <f>+SUM(G333:G342)</f>
        <v>0</v>
      </c>
      <c r="H345" s="2248"/>
      <c r="I345" s="2246">
        <f>+SUM(I333:I342)</f>
        <v>0.32940000000000003</v>
      </c>
      <c r="J345" s="2249">
        <f>+SUM(J333:J342)</f>
        <v>0.46116000000000001</v>
      </c>
      <c r="K345" s="2249">
        <f>+SUM(K333:K342)</f>
        <v>0.60696000000000006</v>
      </c>
      <c r="L345" s="2249">
        <f>+SUM(L333:L342)</f>
        <v>0.76895999999999998</v>
      </c>
      <c r="M345" s="2247">
        <f>+SUM(M333:M342)</f>
        <v>0.54161999999999999</v>
      </c>
      <c r="N345" s="2248"/>
      <c r="O345" s="2246">
        <f>+SUM(O333:O342)</f>
        <v>0.94499999999999995</v>
      </c>
      <c r="P345" s="2249">
        <f>+SUM(P333:P342)</f>
        <v>1.13076</v>
      </c>
      <c r="Q345" s="2249">
        <f>+SUM(Q333:Q342)</f>
        <v>1.3348800000000001</v>
      </c>
      <c r="R345" s="2249">
        <f>+SUM(R333:R342)</f>
        <v>1.55304</v>
      </c>
      <c r="S345" s="2247">
        <f>+SUM(S333:S342)</f>
        <v>1.24092</v>
      </c>
      <c r="T345" s="2248"/>
      <c r="U345" s="2246">
        <f>+SUM(U333:U342)</f>
        <v>1.8338399999999999</v>
      </c>
      <c r="V345" s="2249">
        <f>+SUM(V333:V342)</f>
        <v>2.3238720000000002</v>
      </c>
      <c r="W345" s="2249">
        <f>+SUM(W333:W342)</f>
        <v>3.3585263999999997</v>
      </c>
      <c r="X345" s="2249">
        <f>+SUM(X333:X342)</f>
        <v>4.5149327999999986</v>
      </c>
      <c r="Y345" s="2247">
        <f>+SUM(Y333:Y342)</f>
        <v>3.0077928000000003</v>
      </c>
      <c r="Z345" s="2248"/>
      <c r="AA345" s="2246">
        <f>+SUM(AA333:AA342)</f>
        <v>5.7739104000000001</v>
      </c>
      <c r="AB345" s="2249">
        <f>+SUM(AB333:AB342)</f>
        <v>6.9934147200000005</v>
      </c>
      <c r="AC345" s="2249">
        <f>+SUM(AC333:AC342)</f>
        <v>8.0631763200000002</v>
      </c>
      <c r="AD345" s="2249">
        <f>+SUM(AD333:AD342)</f>
        <v>8.9374319999999994</v>
      </c>
      <c r="AE345" s="2247">
        <f>+SUM(AE333:AE342)</f>
        <v>7.4419833599999983</v>
      </c>
      <c r="AF345" s="2248"/>
      <c r="AG345" s="2246">
        <f>+SUM(AG333:AG342)</f>
        <v>9.9715968000000004</v>
      </c>
      <c r="AH345" s="2249">
        <f>+SUM(AH333:AH342)</f>
        <v>10.9971072</v>
      </c>
      <c r="AI345" s="2249">
        <f>+SUM(AI333:AI342)</f>
        <v>12.112068000000002</v>
      </c>
      <c r="AJ345" s="2249">
        <f>+SUM(AJ333:AJ342)</f>
        <v>16.751726400000003</v>
      </c>
      <c r="AK345" s="2247">
        <f>+SUM(AK333:AK342)</f>
        <v>12.458124600000001</v>
      </c>
      <c r="AL345" s="2248"/>
      <c r="AM345" s="2246">
        <f>+SUM(AM333:AM342)</f>
        <v>25.858046399999999</v>
      </c>
      <c r="AN345" s="2249">
        <f>+SUM(AN333:AN342)</f>
        <v>35.755586399999999</v>
      </c>
      <c r="AO345" s="2249">
        <f>+SUM(AO333:AO342)</f>
        <v>43.686806400000002</v>
      </c>
      <c r="AP345" s="2249">
        <f>+SUM(AP333:AP342)</f>
        <v>49.163633278195491</v>
      </c>
      <c r="AQ345" s="2247">
        <f>+SUM(AQ333:AQ342)</f>
        <v>38.616018119548876</v>
      </c>
      <c r="AR345" s="2248"/>
      <c r="AS345" s="2246">
        <f>+SUM(AS333:AS342)</f>
        <v>55.179008156390978</v>
      </c>
      <c r="AT345" s="2249">
        <f>+SUM(AT333:AT342)</f>
        <v>68.902952156390981</v>
      </c>
      <c r="AU345" s="2249">
        <f>+SUM(AU333:AU342)</f>
        <v>86.214728156390976</v>
      </c>
      <c r="AV345" s="2249">
        <f>+SUM(AV333:AV342)</f>
        <v>105.27894815639098</v>
      </c>
      <c r="AW345" s="2247">
        <f>+SUM(AW333:AW342)</f>
        <v>78.893909156390976</v>
      </c>
      <c r="AX345" s="2248"/>
      <c r="AY345" s="2246">
        <f>+SUM(AY333:AY342)</f>
        <v>126.50288555467671</v>
      </c>
      <c r="AZ345" s="2249">
        <f>+SUM(AZ333:AZ342)</f>
        <v>149.84902218231366</v>
      </c>
      <c r="BA345" s="2249">
        <f>+SUM(BA333:BA342)</f>
        <v>173.09121696257787</v>
      </c>
      <c r="BB345" s="2249">
        <f>+SUM(BB333:BB342)</f>
        <v>195.22715380766232</v>
      </c>
      <c r="BC345" s="2247">
        <f>+SUM(BC333:BC342)</f>
        <v>161.16756962680765</v>
      </c>
      <c r="BD345" s="2248"/>
      <c r="BE345" s="2246">
        <f>+SUM(BE333:BE342)</f>
        <v>212.34585345054839</v>
      </c>
      <c r="BF345" s="2249">
        <f>+SUM(BF333:BF342)</f>
        <v>226.84848788849118</v>
      </c>
      <c r="BG345" s="2249">
        <f>+SUM(BG333:BG342)</f>
        <v>241.3815976153104</v>
      </c>
      <c r="BH345" s="2249">
        <f>+SUM(BH333:BH342)</f>
        <v>254.03238723060036</v>
      </c>
      <c r="BI345" s="2247">
        <f>+SUM(BI333:BI342)</f>
        <v>233.65208154623758</v>
      </c>
      <c r="BJ345" s="1588"/>
      <c r="BK345" s="2246">
        <f>+SUM(BK333:BK344)</f>
        <v>291.26212289679944</v>
      </c>
      <c r="BL345" s="2249">
        <f>+SUM(BL333:BL344)</f>
        <v>342.54332919583868</v>
      </c>
      <c r="BM345" s="2249">
        <f>+SUM(BM333:BM344)</f>
        <v>440.12378307910495</v>
      </c>
      <c r="BN345" s="2249">
        <f>+SUM(BN333:BN344)</f>
        <v>540.85192263754652</v>
      </c>
      <c r="BO345" s="2247">
        <f>+SUM(BO333:BO344)</f>
        <v>403.69528945232241</v>
      </c>
      <c r="BP345" s="1588"/>
      <c r="BQ345" s="2246">
        <f t="shared" ref="BQ345:BU345" si="1030">+SUM(BQ333:BQ344)</f>
        <v>637.24622859598799</v>
      </c>
      <c r="BR345" s="2249">
        <f t="shared" si="1030"/>
        <v>728.24136059235173</v>
      </c>
      <c r="BS345" s="2249">
        <f t="shared" si="1030"/>
        <v>821.70828108135163</v>
      </c>
      <c r="BT345" s="2249">
        <f>+SUM(BT333:BT344)</f>
        <v>916.69682773807665</v>
      </c>
      <c r="BU345" s="2247">
        <f t="shared" si="1030"/>
        <v>775.97317450194203</v>
      </c>
      <c r="BV345" s="1588"/>
      <c r="BW345" s="2246">
        <f t="shared" ref="BW345:CA345" si="1031">+SUM(BW333:BW344)</f>
        <v>1020.3503484081072</v>
      </c>
      <c r="BX345" s="2249">
        <f t="shared" si="1031"/>
        <v>1119.3766174754483</v>
      </c>
      <c r="BY345" s="2249">
        <f t="shared" si="1031"/>
        <v>1222.9859735845462</v>
      </c>
      <c r="BZ345" s="2249">
        <f t="shared" si="1031"/>
        <v>1331.3438399943223</v>
      </c>
      <c r="CA345" s="2247">
        <f t="shared" si="1031"/>
        <v>1173.514194865606</v>
      </c>
      <c r="CB345" s="1588"/>
      <c r="CC345" s="2246">
        <f t="shared" ref="CC345:CG345" si="1032">+SUM(CC333:CC344)</f>
        <v>1440.5066236525156</v>
      </c>
      <c r="CD345" s="2249">
        <f t="shared" si="1032"/>
        <v>1550.3299740039229</v>
      </c>
      <c r="CE345" s="2249">
        <f t="shared" si="1032"/>
        <v>1664.9901805267623</v>
      </c>
      <c r="CF345" s="2249">
        <f t="shared" si="1032"/>
        <v>1784.6588096356368</v>
      </c>
      <c r="CG345" s="2247">
        <f t="shared" si="1032"/>
        <v>1610.1213969547093</v>
      </c>
      <c r="CH345" s="1588"/>
      <c r="CI345" s="2246">
        <f t="shared" ref="CI345:CM345" si="1033">+SUM(CI333:CI344)</f>
        <v>1909.512983030771</v>
      </c>
      <c r="CJ345" s="2249">
        <f t="shared" si="1033"/>
        <v>2037.8081339475702</v>
      </c>
      <c r="CK345" s="2249">
        <f t="shared" si="1033"/>
        <v>2167.2622469049843</v>
      </c>
      <c r="CL345" s="2249">
        <f t="shared" si="1033"/>
        <v>2302.174460306921</v>
      </c>
      <c r="CM345" s="2247">
        <f t="shared" si="1033"/>
        <v>2104.1894560475616</v>
      </c>
      <c r="CN345" s="1588"/>
      <c r="CO345" s="2246">
        <f t="shared" ref="CO345:CS345" si="1034">+SUM(CO333:CO344)</f>
        <v>2449.0609237581548</v>
      </c>
      <c r="CP345" s="2249">
        <f t="shared" si="1034"/>
        <v>2602.1080180288154</v>
      </c>
      <c r="CQ345" s="2249">
        <f t="shared" si="1034"/>
        <v>2757.6856741773604</v>
      </c>
      <c r="CR345" s="2249">
        <f t="shared" si="1034"/>
        <v>2919.859255135194</v>
      </c>
      <c r="CS345" s="2247">
        <f t="shared" si="1034"/>
        <v>2682.1784677748815</v>
      </c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</row>
    <row r="346" spans="1:280" s="3" customFormat="1">
      <c r="A346" s="1930" t="s">
        <v>659</v>
      </c>
      <c r="B346" s="2248"/>
      <c r="C346" s="2246"/>
      <c r="D346" s="2249"/>
      <c r="E346" s="2249"/>
      <c r="F346" s="2249"/>
      <c r="G346" s="2247"/>
      <c r="H346" s="2248"/>
      <c r="I346" s="1425">
        <f>+I345-C345</f>
        <v>0.32940000000000003</v>
      </c>
      <c r="J346" s="1422">
        <f>+J345-D345</f>
        <v>0.46116000000000001</v>
      </c>
      <c r="K346" s="1422">
        <f>+K345-E345</f>
        <v>0.60696000000000006</v>
      </c>
      <c r="L346" s="1422">
        <f>+L345-F345</f>
        <v>0.76895999999999998</v>
      </c>
      <c r="M346" s="1841">
        <f>+M345-G345</f>
        <v>0.54161999999999999</v>
      </c>
      <c r="N346" s="2248"/>
      <c r="O346" s="1425">
        <f>+O345-I345</f>
        <v>0.61559999999999993</v>
      </c>
      <c r="P346" s="1422">
        <f>+P345-J345</f>
        <v>0.66959999999999997</v>
      </c>
      <c r="Q346" s="1422">
        <f>+Q345-K345</f>
        <v>0.72792000000000001</v>
      </c>
      <c r="R346" s="1422">
        <f>+R345-L345</f>
        <v>0.78408</v>
      </c>
      <c r="S346" s="1841">
        <f>+S345-M345</f>
        <v>0.69930000000000003</v>
      </c>
      <c r="T346" s="2248"/>
      <c r="U346" s="1425">
        <f>+U345-O345</f>
        <v>0.88883999999999996</v>
      </c>
      <c r="V346" s="1422">
        <f>+V345-P345</f>
        <v>1.1931120000000002</v>
      </c>
      <c r="W346" s="1422">
        <f>+W345-Q345</f>
        <v>2.0236463999999996</v>
      </c>
      <c r="X346" s="1422">
        <f>+X345-R345</f>
        <v>2.9618927999999984</v>
      </c>
      <c r="Y346" s="1841">
        <f>+Y345-S345</f>
        <v>1.7668728000000002</v>
      </c>
      <c r="Z346" s="2248"/>
      <c r="AA346" s="1425">
        <f>+AA345-U345</f>
        <v>3.9400704000000002</v>
      </c>
      <c r="AB346" s="1422">
        <f>+AB345-V345</f>
        <v>4.6695427200000008</v>
      </c>
      <c r="AC346" s="1422">
        <f>+AC345-W345</f>
        <v>4.7046499200000005</v>
      </c>
      <c r="AD346" s="1422">
        <f>+AD345-X345</f>
        <v>4.4224992000000007</v>
      </c>
      <c r="AE346" s="1841">
        <f>+AE345-Y345</f>
        <v>4.4341905599999976</v>
      </c>
      <c r="AF346" s="2248"/>
      <c r="AG346" s="1425">
        <f>+AG345-AA345</f>
        <v>4.1976864000000003</v>
      </c>
      <c r="AH346" s="1422">
        <f>+AH345-AB345</f>
        <v>4.0036924799999998</v>
      </c>
      <c r="AI346" s="1422">
        <f>+AI345-AC345</f>
        <v>4.0488916800000023</v>
      </c>
      <c r="AJ346" s="1422">
        <f>+AJ345-AD345</f>
        <v>7.8142944000000032</v>
      </c>
      <c r="AK346" s="1841">
        <f>+AK345-AE345</f>
        <v>5.0161412400000032</v>
      </c>
      <c r="AL346" s="2248"/>
      <c r="AM346" s="1425">
        <f>+AM345-AG345</f>
        <v>15.886449599999999</v>
      </c>
      <c r="AN346" s="1422">
        <f>+AN345-AH345</f>
        <v>24.758479199999996</v>
      </c>
      <c r="AO346" s="1422">
        <f>+AO345-AI345</f>
        <v>31.574738400000001</v>
      </c>
      <c r="AP346" s="1422">
        <f>+AP345-AJ345</f>
        <v>32.411906878195488</v>
      </c>
      <c r="AQ346" s="1841">
        <f>+AQ345-AK345</f>
        <v>26.157893519548875</v>
      </c>
      <c r="AR346" s="2248"/>
      <c r="AS346" s="1425">
        <f>+AS345-AM345</f>
        <v>29.320961756390979</v>
      </c>
      <c r="AT346" s="1422">
        <f>+AT345-AN345</f>
        <v>33.147365756390982</v>
      </c>
      <c r="AU346" s="1422">
        <f>+AU345-AO345</f>
        <v>42.527921756390974</v>
      </c>
      <c r="AV346" s="1422">
        <f>+AV345-AP345</f>
        <v>56.115314878195491</v>
      </c>
      <c r="AW346" s="1841">
        <f>+AW345-AQ345</f>
        <v>40.277891036842099</v>
      </c>
      <c r="AX346" s="2248"/>
      <c r="AY346" s="1425">
        <f>+AY345-AS345</f>
        <v>71.323877398285731</v>
      </c>
      <c r="AZ346" s="1422">
        <f>+AZ345-AT345</f>
        <v>80.94607002592268</v>
      </c>
      <c r="BA346" s="1422">
        <f>+BA345-AU345</f>
        <v>86.876488806186899</v>
      </c>
      <c r="BB346" s="1422">
        <f>+BB345-AV345</f>
        <v>89.948205651271337</v>
      </c>
      <c r="BC346" s="1841">
        <f>+BC345-AW345</f>
        <v>82.273660470416672</v>
      </c>
      <c r="BD346" s="2248"/>
      <c r="BE346" s="1425">
        <f>+BE345-AY345</f>
        <v>85.842967895871681</v>
      </c>
      <c r="BF346" s="1422">
        <f>+BF345-AZ345</f>
        <v>76.999465706177517</v>
      </c>
      <c r="BG346" s="1422">
        <f>+BG345-BA345</f>
        <v>68.290380652732523</v>
      </c>
      <c r="BH346" s="1422">
        <f>+BH345-BB345</f>
        <v>58.805233422938045</v>
      </c>
      <c r="BI346" s="1841">
        <f>+BI345-BC345</f>
        <v>72.484511919429934</v>
      </c>
      <c r="BJ346" s="2248"/>
      <c r="BK346" s="1425">
        <f>+BK345-BE345</f>
        <v>78.91626944625105</v>
      </c>
      <c r="BL346" s="1422">
        <f>+BL345-BF345</f>
        <v>115.6948413073475</v>
      </c>
      <c r="BM346" s="1422">
        <f>+BM345-BG345</f>
        <v>198.74218546379456</v>
      </c>
      <c r="BN346" s="1422">
        <f>+BN345-BH345</f>
        <v>286.81953540694616</v>
      </c>
      <c r="BO346" s="1841">
        <f>+BO345-BI345</f>
        <v>170.04320790608483</v>
      </c>
      <c r="BP346" s="2248"/>
      <c r="BQ346" s="1425">
        <f>+BQ345-BK345</f>
        <v>345.98410569918855</v>
      </c>
      <c r="BR346" s="1422">
        <f>+BR345-BL345</f>
        <v>385.69803139651304</v>
      </c>
      <c r="BS346" s="1422">
        <f>+BS345-BM345</f>
        <v>381.58449800224668</v>
      </c>
      <c r="BT346" s="1422">
        <f>+BT345-BN345</f>
        <v>375.84490510053013</v>
      </c>
      <c r="BU346" s="1841">
        <f>+BU345-BO345</f>
        <v>372.27788504961961</v>
      </c>
      <c r="BV346" s="2248"/>
      <c r="BW346" s="1425">
        <f>+BW345-BQ345</f>
        <v>383.10411981211917</v>
      </c>
      <c r="BX346" s="1422">
        <f>+BX345-BR345</f>
        <v>391.13525688309653</v>
      </c>
      <c r="BY346" s="1422">
        <f>+BY345-BS345</f>
        <v>401.27769250319454</v>
      </c>
      <c r="BZ346" s="1422">
        <f>+BZ345-BT345</f>
        <v>414.6470122562456</v>
      </c>
      <c r="CA346" s="1841">
        <f>+CA345-BU345</f>
        <v>397.54102036366396</v>
      </c>
      <c r="CB346" s="2248"/>
      <c r="CC346" s="1425">
        <f>+CC345-BW345</f>
        <v>420.15627524440845</v>
      </c>
      <c r="CD346" s="1422">
        <f>+CD345-BX345</f>
        <v>430.95335652847461</v>
      </c>
      <c r="CE346" s="1422">
        <f>+CE345-BY345</f>
        <v>442.00420694221611</v>
      </c>
      <c r="CF346" s="1422">
        <f>+CF345-BZ345</f>
        <v>453.31496964131452</v>
      </c>
      <c r="CG346" s="1841">
        <f>+CG345-CA345</f>
        <v>436.60720208910334</v>
      </c>
      <c r="CH346" s="2248"/>
      <c r="CI346" s="1425">
        <f>+CI345-CC345</f>
        <v>469.00635937825541</v>
      </c>
      <c r="CJ346" s="1422">
        <f>+CJ345-CD345</f>
        <v>487.47815994364737</v>
      </c>
      <c r="CK346" s="1422">
        <f>+CK345-CE345</f>
        <v>502.27206637822201</v>
      </c>
      <c r="CL346" s="1422">
        <f>+CL345-CF345</f>
        <v>517.51565067128422</v>
      </c>
      <c r="CM346" s="1841">
        <f>+CM345-CG345</f>
        <v>494.06805909285231</v>
      </c>
      <c r="CN346" s="2248"/>
      <c r="CO346" s="1425">
        <f>+CO345-CI345</f>
        <v>539.54794072738378</v>
      </c>
      <c r="CP346" s="1422">
        <f>+CP345-CJ345</f>
        <v>564.29988408124518</v>
      </c>
      <c r="CQ346" s="1422">
        <f>+CQ345-CK345</f>
        <v>590.4234272723761</v>
      </c>
      <c r="CR346" s="1422">
        <f>+CR345-CL345</f>
        <v>617.68479482827297</v>
      </c>
      <c r="CS346" s="1841">
        <f>+CS345-CM345</f>
        <v>577.98901172731985</v>
      </c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</row>
    <row r="347" spans="1:280" s="3" customFormat="1">
      <c r="A347" s="1930" t="s">
        <v>662</v>
      </c>
      <c r="B347" s="2248"/>
      <c r="C347" s="2246"/>
      <c r="D347" s="2249"/>
      <c r="E347" s="2249"/>
      <c r="F347" s="2249"/>
      <c r="G347" s="2247"/>
      <c r="H347" s="2248"/>
      <c r="I347" s="1425"/>
      <c r="J347" s="1422"/>
      <c r="K347" s="1422"/>
      <c r="L347" s="1422"/>
      <c r="M347" s="1841"/>
      <c r="N347" s="2248"/>
      <c r="O347" s="1425"/>
      <c r="P347" s="1422"/>
      <c r="Q347" s="1422"/>
      <c r="R347" s="1422"/>
      <c r="S347" s="1841"/>
      <c r="T347" s="2248"/>
      <c r="U347" s="1425">
        <f>+U345-R345</f>
        <v>0.28079999999999994</v>
      </c>
      <c r="V347" s="1422">
        <f t="shared" ref="V347" si="1035">+V345-U345</f>
        <v>0.49003200000000025</v>
      </c>
      <c r="W347" s="1422">
        <f t="shared" ref="W347" si="1036">+W345-V345</f>
        <v>1.0346543999999995</v>
      </c>
      <c r="X347" s="1422">
        <f t="shared" ref="X347" si="1037">+X345-W345</f>
        <v>1.1564063999999989</v>
      </c>
      <c r="Y347" s="1841"/>
      <c r="Z347" s="2248"/>
      <c r="AA347" s="1425">
        <f>+AA345-X345</f>
        <v>1.2589776000000015</v>
      </c>
      <c r="AB347" s="1422">
        <f t="shared" ref="AB347:AP347" si="1038">+AB345-AA345</f>
        <v>1.2195043200000004</v>
      </c>
      <c r="AC347" s="1422">
        <f t="shared" si="1038"/>
        <v>1.0697615999999996</v>
      </c>
      <c r="AD347" s="1422">
        <f t="shared" si="1038"/>
        <v>0.8742556799999992</v>
      </c>
      <c r="AE347" s="1841"/>
      <c r="AF347" s="2248"/>
      <c r="AG347" s="1425">
        <f>+AG345-AD345</f>
        <v>1.034164800000001</v>
      </c>
      <c r="AH347" s="1422">
        <f t="shared" si="1038"/>
        <v>1.0255103999999999</v>
      </c>
      <c r="AI347" s="1422">
        <f t="shared" si="1038"/>
        <v>1.1149608000000022</v>
      </c>
      <c r="AJ347" s="1422">
        <f>+AJ345-AI345</f>
        <v>4.6396584000000001</v>
      </c>
      <c r="AK347" s="1841"/>
      <c r="AL347" s="2248"/>
      <c r="AM347" s="1425">
        <f>+AM345-AJ345</f>
        <v>9.1063199999999966</v>
      </c>
      <c r="AN347" s="1422">
        <f t="shared" si="1038"/>
        <v>9.8975399999999993</v>
      </c>
      <c r="AO347" s="1422">
        <f t="shared" si="1038"/>
        <v>7.9312200000000033</v>
      </c>
      <c r="AP347" s="1422">
        <f t="shared" si="1038"/>
        <v>5.4768268781954887</v>
      </c>
      <c r="AQ347" s="1841"/>
      <c r="AR347" s="2248"/>
      <c r="AS347" s="1425">
        <f>+AS345-AP345</f>
        <v>6.0153748781954874</v>
      </c>
      <c r="AT347" s="1422">
        <f>+AT345-AS345</f>
        <v>13.723944000000003</v>
      </c>
      <c r="AU347" s="1422">
        <f>+AU345-AT345</f>
        <v>17.311775999999995</v>
      </c>
      <c r="AV347" s="1422">
        <f>+AV345-AU345</f>
        <v>19.064220000000006</v>
      </c>
      <c r="AW347" s="1841"/>
      <c r="AX347" s="2248"/>
      <c r="AY347" s="1425">
        <f>+AY345-AV345</f>
        <v>21.223937398285727</v>
      </c>
      <c r="AZ347" s="1422">
        <f>+AZ345-AY345</f>
        <v>23.346136627636952</v>
      </c>
      <c r="BA347" s="1422">
        <f>+BA345-AZ345</f>
        <v>23.242194780264214</v>
      </c>
      <c r="BB347" s="1422">
        <f>+BB345-BA345</f>
        <v>22.135936845084444</v>
      </c>
      <c r="BC347" s="1841"/>
      <c r="BD347" s="2248"/>
      <c r="BE347" s="1425">
        <f>+BE345-BB345</f>
        <v>17.118699642886071</v>
      </c>
      <c r="BF347" s="1422">
        <f t="shared" ref="BF347:BH347" si="1039">+BF345-BE345</f>
        <v>14.502634437942788</v>
      </c>
      <c r="BG347" s="1422">
        <f t="shared" si="1039"/>
        <v>14.53310972681922</v>
      </c>
      <c r="BH347" s="1422">
        <f t="shared" si="1039"/>
        <v>12.650789615289966</v>
      </c>
      <c r="BI347" s="1841"/>
      <c r="BJ347" s="2248"/>
      <c r="BK347" s="1425">
        <f>+BK345-BH345</f>
        <v>37.229735666199076</v>
      </c>
      <c r="BL347" s="1422">
        <f>+BL345-BK345</f>
        <v>51.281206299039241</v>
      </c>
      <c r="BM347" s="1422">
        <f>+BM345-BL345</f>
        <v>97.580453883266273</v>
      </c>
      <c r="BN347" s="1422">
        <f>+BN345-BM345</f>
        <v>100.72813955844157</v>
      </c>
      <c r="BO347" s="1841"/>
      <c r="BP347" s="2248"/>
      <c r="BQ347" s="1425">
        <f>+BQ345-BN345</f>
        <v>96.394305958441464</v>
      </c>
      <c r="BR347" s="1422">
        <f>+BR345-BQ345</f>
        <v>90.995131996363739</v>
      </c>
      <c r="BS347" s="1422">
        <f>+BS345-BR345</f>
        <v>93.466920488999904</v>
      </c>
      <c r="BT347" s="1422">
        <f>+BT345-BS345</f>
        <v>94.988546656725021</v>
      </c>
      <c r="BU347" s="1841"/>
      <c r="BV347" s="2248"/>
      <c r="BW347" s="1425">
        <f>+BW345-BT345</f>
        <v>103.6535206700305</v>
      </c>
      <c r="BX347" s="1422">
        <f t="shared" ref="BX347" si="1040">+BX345-BW345</f>
        <v>99.026269067341104</v>
      </c>
      <c r="BY347" s="1422">
        <f t="shared" ref="BY347" si="1041">+BY345-BX345</f>
        <v>103.60935610909792</v>
      </c>
      <c r="BZ347" s="1422">
        <f t="shared" ref="BZ347" si="1042">+BZ345-BY345</f>
        <v>108.35786640977608</v>
      </c>
      <c r="CA347" s="1841"/>
      <c r="CB347" s="2248"/>
      <c r="CC347" s="1425">
        <f>+CC345-BZ345</f>
        <v>109.16278365819335</v>
      </c>
      <c r="CD347" s="1422">
        <f t="shared" ref="CD347" si="1043">+CD345-CC345</f>
        <v>109.82335035140727</v>
      </c>
      <c r="CE347" s="1422">
        <f t="shared" ref="CE347" si="1044">+CE345-CD345</f>
        <v>114.66020652283942</v>
      </c>
      <c r="CF347" s="1422">
        <f t="shared" ref="CF347" si="1045">+CF345-CE345</f>
        <v>119.66862910887448</v>
      </c>
      <c r="CG347" s="1841"/>
      <c r="CH347" s="2248"/>
      <c r="CI347" s="1425">
        <f>+CI345-CF345</f>
        <v>124.85417339513424</v>
      </c>
      <c r="CJ347" s="1422">
        <f t="shared" ref="CJ347" si="1046">+CJ345-CI345</f>
        <v>128.29515091679923</v>
      </c>
      <c r="CK347" s="1422">
        <f t="shared" ref="CK347" si="1047">+CK345-CJ345</f>
        <v>129.45411295741405</v>
      </c>
      <c r="CL347" s="1422">
        <f t="shared" ref="CL347" si="1048">+CL345-CK345</f>
        <v>134.9122134019367</v>
      </c>
      <c r="CM347" s="1841"/>
      <c r="CN347" s="2248"/>
      <c r="CO347" s="1425">
        <f>+CO345-CL345</f>
        <v>146.88646345123379</v>
      </c>
      <c r="CP347" s="1422">
        <f t="shared" ref="CP347" si="1049">+CP345-CO345</f>
        <v>153.04709427066064</v>
      </c>
      <c r="CQ347" s="1422">
        <f t="shared" ref="CQ347" si="1050">+CQ345-CP345</f>
        <v>155.57765614854497</v>
      </c>
      <c r="CR347" s="1422">
        <f t="shared" ref="CR347" si="1051">+CR345-CQ345</f>
        <v>162.17358095783356</v>
      </c>
      <c r="CS347" s="1841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</row>
    <row r="348" spans="1:280">
      <c r="A348" s="1028" t="s">
        <v>428</v>
      </c>
      <c r="B348" s="197"/>
      <c r="C348" s="1392"/>
      <c r="D348" s="154"/>
      <c r="E348" s="154"/>
      <c r="F348" s="154"/>
      <c r="G348" s="1393"/>
      <c r="H348" s="197"/>
      <c r="I348" s="1392"/>
      <c r="J348" s="154"/>
      <c r="K348" s="154"/>
      <c r="L348" s="154"/>
      <c r="M348" s="1393"/>
      <c r="N348" s="197"/>
      <c r="O348" s="1392">
        <f>+O345/I345-1</f>
        <v>1.8688524590163929</v>
      </c>
      <c r="P348" s="154">
        <f>+P345/J345-1</f>
        <v>1.451990632318501</v>
      </c>
      <c r="Q348" s="154">
        <f>+Q345/K345-1</f>
        <v>1.1992882562277578</v>
      </c>
      <c r="R348" s="154">
        <f>+R345/L345-1</f>
        <v>1.0196629213483148</v>
      </c>
      <c r="S348" s="1393">
        <f>+S345/M345-1</f>
        <v>1.2911266201395812</v>
      </c>
      <c r="T348" s="197"/>
      <c r="U348" s="1392">
        <f>+U345/O345-1</f>
        <v>0.94057142857142861</v>
      </c>
      <c r="V348" s="154">
        <f>+V345/P345-1</f>
        <v>1.0551416746259155</v>
      </c>
      <c r="W348" s="154">
        <f>+W345/Q345-1</f>
        <v>1.5159762675296653</v>
      </c>
      <c r="X348" s="154">
        <f>+X345/R345-1</f>
        <v>1.9071580899397302</v>
      </c>
      <c r="Y348" s="1393">
        <f>+Y345/S345-1</f>
        <v>1.4238410211778358</v>
      </c>
      <c r="Z348" s="197"/>
      <c r="AA348" s="1392">
        <f>+AA345/U345-1</f>
        <v>2.1485355319984296</v>
      </c>
      <c r="AB348" s="154">
        <f>+AB345/V345-1</f>
        <v>2.0093803445284424</v>
      </c>
      <c r="AC348" s="154">
        <f>+AC345/W345-1</f>
        <v>1.4008077828419037</v>
      </c>
      <c r="AD348" s="154">
        <f>+AD345/X345-1</f>
        <v>0.97952713714808826</v>
      </c>
      <c r="AE348" s="1393">
        <f>+AE345/Y345-1</f>
        <v>1.4742340496326736</v>
      </c>
      <c r="AF348" s="197"/>
      <c r="AG348" s="1392">
        <f>+AG345/AA345-1</f>
        <v>0.72700927260665504</v>
      </c>
      <c r="AH348" s="154">
        <f>+AH345/AB345-1</f>
        <v>0.57249464536260186</v>
      </c>
      <c r="AI348" s="154">
        <f>+AI345/AC345-1</f>
        <v>0.50214599300738127</v>
      </c>
      <c r="AJ348" s="154">
        <f>+AJ345/AD345-1</f>
        <v>0.87433329842397733</v>
      </c>
      <c r="AK348" s="1393">
        <f>+AK345/AE345-1</f>
        <v>0.67403284814654629</v>
      </c>
      <c r="AL348" s="197"/>
      <c r="AM348" s="1392">
        <f>+AM345/AG345-1</f>
        <v>1.5931700728212355</v>
      </c>
      <c r="AN348" s="154">
        <f>+AN345/AH345-1</f>
        <v>2.2513629038734839</v>
      </c>
      <c r="AO348" s="154">
        <f>+AO345/AI345-1</f>
        <v>2.6068825241073608</v>
      </c>
      <c r="AP348" s="154">
        <f>+AP345/AJ345-1</f>
        <v>1.9348397952700256</v>
      </c>
      <c r="AQ348" s="1393">
        <f>+AQ345/AK345-1</f>
        <v>2.0996654279367917</v>
      </c>
      <c r="AR348" s="197"/>
      <c r="AS348" s="1392">
        <f>+AS345/AM345-1</f>
        <v>1.1339202236248975</v>
      </c>
      <c r="AT348" s="154">
        <f>+AT345/AN345-1</f>
        <v>0.92705417792815115</v>
      </c>
      <c r="AU348" s="154">
        <f>+AU345/AO345-1</f>
        <v>0.97347289172391815</v>
      </c>
      <c r="AV348" s="154">
        <f>+AV345/AP345-1</f>
        <v>1.1413988579864203</v>
      </c>
      <c r="AW348" s="1393">
        <f>+AW345/AQ345-1</f>
        <v>1.0430358436270755</v>
      </c>
      <c r="AX348" s="197"/>
      <c r="AY348" s="1392">
        <f>+AY345/AS345-1</f>
        <v>1.292590783729497</v>
      </c>
      <c r="AZ348" s="154">
        <f>+AZ345/AT345-1</f>
        <v>1.1747837718505454</v>
      </c>
      <c r="BA348" s="154">
        <f>+BA345/AU345-1</f>
        <v>1.0076757262238942</v>
      </c>
      <c r="BB348" s="154">
        <f>+BB345/AV345-1</f>
        <v>0.85437979032288625</v>
      </c>
      <c r="BC348" s="1393">
        <f>+BC345/AW345-1</f>
        <v>1.0428391918991622</v>
      </c>
      <c r="BD348" s="197"/>
      <c r="BE348" s="1392">
        <f>+BE345/AY345-1</f>
        <v>0.6785850577200383</v>
      </c>
      <c r="BF348" s="154">
        <f>+BF345/AZ345-1</f>
        <v>0.51384696800020624</v>
      </c>
      <c r="BG348" s="154">
        <f>+BG345/BA345-1</f>
        <v>0.3945340604283627</v>
      </c>
      <c r="BH348" s="154">
        <f>+BH345/BB345-1</f>
        <v>0.30121441754394951</v>
      </c>
      <c r="BI348" s="1393">
        <f>+BI345/BC345-1</f>
        <v>0.44974626152936237</v>
      </c>
      <c r="BJ348" s="197"/>
      <c r="BK348" s="1392">
        <f>+BK345/BE345-1</f>
        <v>0.37164026593356225</v>
      </c>
      <c r="BL348" s="154">
        <f>+BL345/BF345-1</f>
        <v>0.51000931231341529</v>
      </c>
      <c r="BM348" s="154">
        <f>+BM345/BG345-1</f>
        <v>0.82335268068168888</v>
      </c>
      <c r="BN348" s="154">
        <f>+BN345/BH345-1</f>
        <v>1.1290668033859119</v>
      </c>
      <c r="BO348" s="1393">
        <f>+BO345/BI345-1</f>
        <v>0.72776243541590224</v>
      </c>
      <c r="BP348" s="197"/>
      <c r="BQ348" s="1392">
        <f>+BQ345/BK345-1</f>
        <v>1.1878788160236624</v>
      </c>
      <c r="BR348" s="154">
        <f>+BR345/BL345-1</f>
        <v>1.1259831925554797</v>
      </c>
      <c r="BS348" s="154">
        <f>+BS345/BM345-1</f>
        <v>0.86699358833254236</v>
      </c>
      <c r="BT348" s="154">
        <f>+BT345/BN345-1</f>
        <v>0.69491276515698663</v>
      </c>
      <c r="BU348" s="1393">
        <f>+BU345/BO345-1</f>
        <v>0.92217544959386188</v>
      </c>
      <c r="BV348" s="197"/>
      <c r="BW348" s="1392">
        <f>+BW345/BQ345-1</f>
        <v>0.60118695508986053</v>
      </c>
      <c r="BX348" s="154">
        <f>+BX345/BR345-1</f>
        <v>0.53709563621180068</v>
      </c>
      <c r="BY348" s="154">
        <f>+BY345/BS345-1</f>
        <v>0.48834568391488165</v>
      </c>
      <c r="BZ348" s="154">
        <f>+BZ345/BT345-1</f>
        <v>0.4523273122689595</v>
      </c>
      <c r="CA348" s="1393">
        <f>+CA345/BU345-1</f>
        <v>0.51231283944683459</v>
      </c>
      <c r="CB348" s="197"/>
      <c r="CC348" s="1392">
        <f>+CC345/BW345-1</f>
        <v>0.41177648040196435</v>
      </c>
      <c r="CD348" s="154">
        <f>+CD345/BX345-1</f>
        <v>0.38499406705529737</v>
      </c>
      <c r="CE348" s="154">
        <f>+CE345/BY345-1</f>
        <v>0.36141396262028347</v>
      </c>
      <c r="CF348" s="154">
        <f>+CF345/BZ345-1</f>
        <v>0.34049428556581418</v>
      </c>
      <c r="CG348" s="1393">
        <f>+CG345/CA345-1</f>
        <v>0.37205106167386814</v>
      </c>
      <c r="CH348" s="197"/>
      <c r="CI348" s="1392">
        <f>+CI345/CC345-1</f>
        <v>0.32558431296140355</v>
      </c>
      <c r="CJ348" s="154">
        <f>+CJ345/CD345-1</f>
        <v>0.31443509969988748</v>
      </c>
      <c r="CK348" s="154">
        <f>+CK345/CE345-1</f>
        <v>0.30166668383552597</v>
      </c>
      <c r="CL348" s="154">
        <f>+CL345/CF345-1</f>
        <v>0.28998016196549203</v>
      </c>
      <c r="CM348" s="1393">
        <f>+CM345/CG345-1</f>
        <v>0.30685143370388346</v>
      </c>
      <c r="CN348" s="197"/>
      <c r="CO348" s="1392">
        <f>+CO345/CI345-1</f>
        <v>0.28255788021457473</v>
      </c>
      <c r="CP348" s="154">
        <f>+CP345/CJ345-1</f>
        <v>0.27691512006486274</v>
      </c>
      <c r="CQ348" s="154">
        <f>+CQ345/CK345-1</f>
        <v>0.27242823433829755</v>
      </c>
      <c r="CR348" s="154">
        <f>+CR345/CL345-1</f>
        <v>0.26830494624891488</v>
      </c>
      <c r="CS348" s="1393">
        <f>+CS345/CM345-1</f>
        <v>0.27468487215642412</v>
      </c>
    </row>
    <row r="349" spans="1:280" s="6" customFormat="1">
      <c r="A349" s="1930"/>
      <c r="B349" s="2238"/>
      <c r="C349" s="1425"/>
      <c r="D349" s="1422"/>
      <c r="E349" s="1422"/>
      <c r="F349" s="1422"/>
      <c r="G349" s="1841"/>
      <c r="H349" s="2238"/>
      <c r="I349" s="1425"/>
      <c r="J349" s="1422"/>
      <c r="K349" s="1422"/>
      <c r="L349" s="1422"/>
      <c r="M349" s="1841"/>
      <c r="N349" s="2238"/>
      <c r="O349" s="1425"/>
      <c r="P349" s="1422"/>
      <c r="Q349" s="1422"/>
      <c r="R349" s="1422"/>
      <c r="S349" s="1841"/>
      <c r="T349" s="2238"/>
      <c r="U349" s="1425"/>
      <c r="V349" s="1422"/>
      <c r="W349" s="1422"/>
      <c r="X349" s="1422"/>
      <c r="Y349" s="1841"/>
      <c r="Z349" s="2238"/>
      <c r="AA349" s="1425"/>
      <c r="AB349" s="1422"/>
      <c r="AC349" s="1422"/>
      <c r="AD349" s="1422"/>
      <c r="AE349" s="1841"/>
      <c r="AF349" s="2238"/>
      <c r="AG349" s="1425"/>
      <c r="AH349" s="1422"/>
      <c r="AI349" s="1422"/>
      <c r="AJ349" s="1422"/>
      <c r="AK349" s="1841"/>
      <c r="AL349" s="2238"/>
      <c r="AM349" s="1425"/>
      <c r="AN349" s="1422"/>
      <c r="AO349" s="1422"/>
      <c r="AP349" s="1422"/>
      <c r="AQ349" s="1841"/>
      <c r="AR349" s="2238"/>
      <c r="AS349" s="1425"/>
      <c r="AT349" s="1422"/>
      <c r="AU349" s="1422"/>
      <c r="AV349" s="1422"/>
      <c r="AW349" s="1841"/>
      <c r="AX349" s="2238"/>
      <c r="AY349" s="1425"/>
      <c r="AZ349" s="1422"/>
      <c r="BA349" s="1422"/>
      <c r="BB349" s="1422"/>
      <c r="BC349" s="1841"/>
      <c r="BD349" s="2238"/>
      <c r="BE349" s="1425"/>
      <c r="BF349" s="1422"/>
      <c r="BG349" s="1422"/>
      <c r="BH349" s="1422"/>
      <c r="BI349" s="1961">
        <f>+BI345/AQ345-1</f>
        <v>5.0506518518530044</v>
      </c>
      <c r="BJ349" s="1"/>
      <c r="BK349" s="1425"/>
      <c r="BL349" s="1422"/>
      <c r="BM349" s="1422"/>
      <c r="BN349" s="1422"/>
      <c r="BO349" s="1841"/>
      <c r="BP349" s="1"/>
      <c r="BQ349" s="1425"/>
      <c r="BR349" s="1422"/>
      <c r="BS349" s="1422"/>
      <c r="BT349" s="1422"/>
      <c r="BU349" s="1841"/>
      <c r="BV349" s="1"/>
      <c r="BW349" s="1425"/>
      <c r="BX349" s="1422"/>
      <c r="BY349" s="1422"/>
      <c r="BZ349" s="1422"/>
      <c r="CA349" s="1841"/>
      <c r="CB349" s="1"/>
      <c r="CC349" s="1425"/>
      <c r="CD349" s="1422"/>
      <c r="CE349" s="1422"/>
      <c r="CF349" s="1422"/>
      <c r="CG349" s="1841"/>
      <c r="CH349" s="1"/>
      <c r="CI349" s="1425"/>
      <c r="CJ349" s="1422"/>
      <c r="CK349" s="1422"/>
      <c r="CL349" s="1422"/>
      <c r="CM349" s="1841"/>
      <c r="CN349" s="1"/>
      <c r="CO349" s="1425"/>
      <c r="CP349" s="1422"/>
      <c r="CQ349" s="1422"/>
      <c r="CR349" s="1422"/>
      <c r="CS349" s="1841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</row>
    <row r="350" spans="1:280" s="6" customFormat="1">
      <c r="A350" s="2271" t="s">
        <v>213</v>
      </c>
      <c r="B350" s="2238"/>
      <c r="C350" s="1425"/>
      <c r="D350" s="1422"/>
      <c r="E350" s="1422"/>
      <c r="F350" s="1422"/>
      <c r="G350" s="1841"/>
      <c r="H350" s="2238"/>
      <c r="I350" s="1425"/>
      <c r="J350" s="1422"/>
      <c r="K350" s="1422"/>
      <c r="L350" s="1422"/>
      <c r="M350" s="1841"/>
      <c r="N350" s="2238"/>
      <c r="O350" s="1425"/>
      <c r="P350" s="1422"/>
      <c r="Q350" s="1422"/>
      <c r="R350" s="1422"/>
      <c r="S350" s="1841"/>
      <c r="T350" s="2238"/>
      <c r="U350" s="1425"/>
      <c r="V350" s="1422"/>
      <c r="W350" s="1422"/>
      <c r="X350" s="1422"/>
      <c r="Y350" s="1841"/>
      <c r="Z350" s="2238"/>
      <c r="AA350" s="1425"/>
      <c r="AB350" s="1422"/>
      <c r="AC350" s="1422"/>
      <c r="AD350" s="1422"/>
      <c r="AE350" s="1841"/>
      <c r="AF350" s="2238"/>
      <c r="AG350" s="1425"/>
      <c r="AH350" s="1422"/>
      <c r="AI350" s="1422"/>
      <c r="AJ350" s="1422"/>
      <c r="AK350" s="1841"/>
      <c r="AL350" s="2238"/>
      <c r="AM350" s="1425"/>
      <c r="AN350" s="1422"/>
      <c r="AO350" s="1422"/>
      <c r="AP350" s="1422"/>
      <c r="AQ350" s="1841"/>
      <c r="AR350" s="2238"/>
      <c r="AS350" s="1425"/>
      <c r="AT350" s="1422"/>
      <c r="AU350" s="1422"/>
      <c r="AV350" s="1422"/>
      <c r="AW350" s="1841"/>
      <c r="AX350" s="2238"/>
      <c r="AY350" s="1425"/>
      <c r="AZ350" s="1422"/>
      <c r="BA350" s="1422"/>
      <c r="BB350" s="1422"/>
      <c r="BC350" s="1841"/>
      <c r="BD350" s="2238"/>
      <c r="BE350" s="1425"/>
      <c r="BF350" s="1422"/>
      <c r="BG350" s="1422"/>
      <c r="BH350" s="1422"/>
      <c r="BI350" s="1841"/>
      <c r="BJ350" s="1"/>
      <c r="BK350" s="1425"/>
      <c r="BL350" s="1422"/>
      <c r="BM350" s="1422"/>
      <c r="BN350" s="1422"/>
      <c r="BO350" s="1841"/>
      <c r="BP350" s="1"/>
      <c r="BQ350" s="1425"/>
      <c r="BR350" s="1422"/>
      <c r="BS350" s="1422"/>
      <c r="BT350" s="1422"/>
      <c r="BU350" s="1841"/>
      <c r="BV350" s="1"/>
      <c r="BW350" s="1425"/>
      <c r="BX350" s="1422"/>
      <c r="BY350" s="1422"/>
      <c r="BZ350" s="1422"/>
      <c r="CA350" s="1841"/>
      <c r="CB350" s="1"/>
      <c r="CC350" s="1425"/>
      <c r="CD350" s="1422"/>
      <c r="CE350" s="1422"/>
      <c r="CF350" s="1422"/>
      <c r="CG350" s="1841"/>
      <c r="CH350" s="1"/>
      <c r="CI350" s="1425"/>
      <c r="CJ350" s="1422"/>
      <c r="CK350" s="1422"/>
      <c r="CL350" s="1422"/>
      <c r="CM350" s="1841"/>
      <c r="CN350" s="1"/>
      <c r="CO350" s="1425"/>
      <c r="CP350" s="1422"/>
      <c r="CQ350" s="1422"/>
      <c r="CR350" s="1422"/>
      <c r="CS350" s="1841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</row>
    <row r="351" spans="1:280" s="6" customFormat="1">
      <c r="A351" s="63" t="s">
        <v>665</v>
      </c>
      <c r="B351" s="63"/>
      <c r="C351" s="1018" t="str">
        <f>C260</f>
        <v>nm</v>
      </c>
      <c r="D351" s="951" t="str">
        <f>D260</f>
        <v>nm</v>
      </c>
      <c r="E351" s="951" t="str">
        <f>E260</f>
        <v>nm</v>
      </c>
      <c r="F351" s="951" t="str">
        <f>F260</f>
        <v>nm</v>
      </c>
      <c r="G351" s="224" t="str">
        <f>G260</f>
        <v>nm</v>
      </c>
      <c r="H351" s="63"/>
      <c r="I351" s="1842">
        <f>I260</f>
        <v>10.043103448275861</v>
      </c>
      <c r="J351" s="777">
        <f>J260</f>
        <v>3.9107338444687842</v>
      </c>
      <c r="K351" s="777">
        <f>K260</f>
        <v>2.8873517786561265</v>
      </c>
      <c r="L351" s="777">
        <f>L260</f>
        <v>2.1254180602006687</v>
      </c>
      <c r="M351" s="2218">
        <f>M260</f>
        <v>3.1194993154703692</v>
      </c>
      <c r="N351" s="63"/>
      <c r="O351" s="1842">
        <f>O260</f>
        <v>2.0054644808743172</v>
      </c>
      <c r="P351" s="777">
        <f>P260</f>
        <v>1.685513549682168</v>
      </c>
      <c r="Q351" s="777">
        <f>Q260</f>
        <v>1.4087442806304016</v>
      </c>
      <c r="R351" s="777">
        <f>R260</f>
        <v>1.2120117710005349</v>
      </c>
      <c r="S351" s="2218">
        <f>S260</f>
        <v>1.488558135118454</v>
      </c>
      <c r="T351" s="63"/>
      <c r="U351" s="1842">
        <f>U260</f>
        <v>0.89568831168831187</v>
      </c>
      <c r="V351" s="777">
        <f>V260</f>
        <v>0.45590299406170831</v>
      </c>
      <c r="W351" s="777">
        <f>W260</f>
        <v>0.41829435767553114</v>
      </c>
      <c r="X351" s="777">
        <f>X260</f>
        <v>0.4158825663663297</v>
      </c>
      <c r="Y351" s="2218">
        <f>Y260</f>
        <v>0.51383411711960925</v>
      </c>
      <c r="Z351" s="63"/>
      <c r="AA351" s="1842">
        <f>AA260</f>
        <v>0.60149073769593309</v>
      </c>
      <c r="AB351" s="777">
        <f>AB260</f>
        <v>0.61334624468048693</v>
      </c>
      <c r="AC351" s="777">
        <f>AC260</f>
        <v>0.45216967211114345</v>
      </c>
      <c r="AD351" s="777">
        <f>AD260</f>
        <v>0.34372791161013816</v>
      </c>
      <c r="AE351" s="2218">
        <f>AE260</f>
        <v>0.49011302927391753</v>
      </c>
      <c r="AF351" s="63"/>
      <c r="AG351" s="1842">
        <f>AG260</f>
        <v>0.31582742430049859</v>
      </c>
      <c r="AH351" s="777">
        <f>AH260</f>
        <v>0.57217335050301354</v>
      </c>
      <c r="AI351" s="777">
        <f>AI260</f>
        <v>0.51118504282735877</v>
      </c>
      <c r="AJ351" s="777">
        <f>AJ260</f>
        <v>0.56806950463486072</v>
      </c>
      <c r="AK351" s="2218">
        <f>AK260</f>
        <v>0.49263027912336343</v>
      </c>
      <c r="AL351" s="63"/>
      <c r="AM351" s="1842">
        <f>AM260</f>
        <v>0.33411576162309364</v>
      </c>
      <c r="AN351" s="777">
        <f>AN260</f>
        <v>0.24929672867958907</v>
      </c>
      <c r="AO351" s="777">
        <f>AO260</f>
        <v>0.32963789289823264</v>
      </c>
      <c r="AP351" s="777">
        <f>AP260</f>
        <v>0.32966479205773846</v>
      </c>
      <c r="AQ351" s="2218">
        <f>AQ260</f>
        <v>0.31038026055578971</v>
      </c>
      <c r="AR351" s="63"/>
      <c r="AS351" s="1842">
        <f>AS260</f>
        <v>0.26607930484255693</v>
      </c>
      <c r="AT351" s="777">
        <f>AT260</f>
        <v>0.24856530621270245</v>
      </c>
      <c r="AU351" s="777">
        <f>AU260</f>
        <v>0.35999999999999988</v>
      </c>
      <c r="AV351" s="777">
        <f>AV260</f>
        <v>0.33394129698932051</v>
      </c>
      <c r="AW351" s="2218">
        <f>AW260</f>
        <v>0.30501084397557299</v>
      </c>
      <c r="AX351" s="63"/>
      <c r="AY351" s="1842">
        <f>AY260</f>
        <v>0.47740538412166189</v>
      </c>
      <c r="AZ351" s="777">
        <f>AZ260</f>
        <v>0.42902234341203327</v>
      </c>
      <c r="BA351" s="777">
        <f>BA260</f>
        <v>0.34435368637218056</v>
      </c>
      <c r="BB351" s="777">
        <f>BB260</f>
        <v>0.26647505285904094</v>
      </c>
      <c r="BC351" s="2218">
        <f>BC260</f>
        <v>0.36986142669171618</v>
      </c>
      <c r="BD351" s="63"/>
      <c r="BE351" s="1842">
        <f>BE260</f>
        <v>0.23565712314602449</v>
      </c>
      <c r="BF351" s="777">
        <f>BF260</f>
        <v>0.25462304578688078</v>
      </c>
      <c r="BG351" s="777">
        <f>BG260</f>
        <v>0.2392687192950127</v>
      </c>
      <c r="BH351" s="777">
        <f>BH260</f>
        <v>0.19384853461388718</v>
      </c>
      <c r="BI351" s="2218">
        <f>BI260</f>
        <v>0.22993608130232213</v>
      </c>
      <c r="BJ351" s="63"/>
      <c r="BK351" s="1842">
        <f>BK260</f>
        <v>7.2400033060775026E-2</v>
      </c>
      <c r="BL351" s="777">
        <f>BL260</f>
        <v>8.673346426746309E-2</v>
      </c>
      <c r="BM351" s="777">
        <f>BM260</f>
        <v>0.14142446913985363</v>
      </c>
      <c r="BN351" s="777">
        <f>BN260</f>
        <v>0.30623480227769662</v>
      </c>
      <c r="BO351" s="2218">
        <f>BO260</f>
        <v>0.1548393262233172</v>
      </c>
      <c r="BP351" s="63"/>
      <c r="BQ351" s="1842">
        <f>BQ260</f>
        <v>0.31297870587917664</v>
      </c>
      <c r="BR351" s="777">
        <f>BR260</f>
        <v>0.26900867397766914</v>
      </c>
      <c r="BS351" s="777">
        <f>BS260</f>
        <v>0.15268403511231043</v>
      </c>
      <c r="BT351" s="777">
        <f>BT260</f>
        <v>4.4912078370003217E-2</v>
      </c>
      <c r="BU351" s="2218">
        <f>BU260</f>
        <v>0.18244082390038563</v>
      </c>
      <c r="BV351" s="63"/>
      <c r="BW351" s="1842">
        <f>BW260</f>
        <v>0.11212533408971392</v>
      </c>
      <c r="BX351" s="777">
        <f>BX260</f>
        <v>0.10519918423243135</v>
      </c>
      <c r="BY351" s="777">
        <f>BY260</f>
        <v>0.10407811154351343</v>
      </c>
      <c r="BZ351" s="777">
        <f>BZ260</f>
        <v>9.5956733308886877E-2</v>
      </c>
      <c r="CA351" s="2218">
        <f>CA260</f>
        <v>0.10417751851208812</v>
      </c>
      <c r="CB351" s="63"/>
      <c r="CC351" s="1842">
        <f>CC260</f>
        <v>8.9517944637212077E-2</v>
      </c>
      <c r="CD351" s="777">
        <f>CD260</f>
        <v>9.0514706364165809E-2</v>
      </c>
      <c r="CE351" s="777">
        <f>CE260</f>
        <v>9.1264373586493752E-2</v>
      </c>
      <c r="CF351" s="777">
        <f>CF260</f>
        <v>9.1779750868458132E-2</v>
      </c>
      <c r="CG351" s="2218">
        <f>CG260</f>
        <v>9.0789203940343732E-2</v>
      </c>
      <c r="CH351" s="63"/>
      <c r="CI351" s="1842">
        <f>CI260</f>
        <v>9.1546822699239305E-2</v>
      </c>
      <c r="CJ351" s="777">
        <f>CJ260</f>
        <v>9.0568188502563762E-2</v>
      </c>
      <c r="CK351" s="777">
        <f>CK260</f>
        <v>8.9887512289364535E-2</v>
      </c>
      <c r="CL351" s="777">
        <f>CL260</f>
        <v>9.3316915278812473E-2</v>
      </c>
      <c r="CM351" s="2218">
        <f>CM260</f>
        <v>9.1343122145561173E-2</v>
      </c>
      <c r="CN351" s="63"/>
      <c r="CO351" s="1842">
        <f>CO260</f>
        <v>0.1013436542622228</v>
      </c>
      <c r="CP351" s="777">
        <f>CP260</f>
        <v>0.10992108176921356</v>
      </c>
      <c r="CQ351" s="777">
        <f>CQ260</f>
        <v>0.11618183537663374</v>
      </c>
      <c r="CR351" s="777">
        <f>CR260</f>
        <v>0.11759437052997446</v>
      </c>
      <c r="CS351" s="2218">
        <f>CS260</f>
        <v>0.11141180024451924</v>
      </c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</row>
    <row r="352" spans="1:280" s="6" customFormat="1">
      <c r="A352" s="63" t="s">
        <v>666</v>
      </c>
      <c r="B352" s="63"/>
      <c r="C352" s="1018"/>
      <c r="D352" s="951"/>
      <c r="E352" s="951"/>
      <c r="F352" s="951"/>
      <c r="G352" s="224"/>
      <c r="H352" s="1121"/>
      <c r="I352" s="1018"/>
      <c r="J352"/>
      <c r="K352"/>
      <c r="L352"/>
      <c r="M352" s="224"/>
      <c r="N352" s="1121"/>
      <c r="O352" s="1018"/>
      <c r="P352" s="951"/>
      <c r="Q352" s="951"/>
      <c r="R352" s="951"/>
      <c r="S352" s="224"/>
      <c r="T352" s="1121"/>
      <c r="U352" s="1018"/>
      <c r="V352" s="951"/>
      <c r="W352" s="951"/>
      <c r="X352" s="951"/>
      <c r="Y352" s="224"/>
      <c r="Z352" s="1121"/>
      <c r="AA352" s="1018"/>
      <c r="AB352" s="951"/>
      <c r="AC352" s="951"/>
      <c r="AD352" s="951"/>
      <c r="AE352" s="224"/>
      <c r="AF352" s="1121"/>
      <c r="AG352" s="1018"/>
      <c r="AH352" s="951"/>
      <c r="AI352" s="951"/>
      <c r="AJ352" s="1847"/>
      <c r="AK352" s="2218">
        <f>+AK351-AK348</f>
        <v>-0.18140256902318286</v>
      </c>
      <c r="AL352" s="63"/>
      <c r="AM352" s="1842"/>
      <c r="AN352" s="777"/>
      <c r="AO352" s="777"/>
      <c r="AP352" s="777"/>
      <c r="AQ352" s="2218">
        <f>+AQ351-AQ348</f>
        <v>-1.789285167381002</v>
      </c>
      <c r="AR352" s="63"/>
      <c r="AS352" s="1842"/>
      <c r="AT352" s="215"/>
      <c r="AU352" s="215"/>
      <c r="AV352" s="1846"/>
      <c r="AW352" s="2218">
        <f>+AW351-AW348</f>
        <v>-0.73802499965150248</v>
      </c>
      <c r="AX352" s="1"/>
      <c r="AY352" s="1842"/>
      <c r="AZ352" s="215"/>
      <c r="BA352" s="215"/>
      <c r="BB352" s="215"/>
      <c r="BC352" s="2218">
        <f>+BC351-BC348</f>
        <v>-0.67297776520744601</v>
      </c>
      <c r="BD352" s="1"/>
      <c r="BE352" s="1842"/>
      <c r="BF352" s="215"/>
      <c r="BG352" s="215"/>
      <c r="BH352" s="215"/>
      <c r="BI352" s="2218"/>
      <c r="BJ352" s="1"/>
      <c r="BK352" s="1842"/>
      <c r="BL352" s="215"/>
      <c r="BM352" s="215"/>
      <c r="BN352" s="215"/>
      <c r="BO352" s="2218"/>
      <c r="BP352" s="1"/>
      <c r="BQ352" s="1842"/>
      <c r="BR352" s="215"/>
      <c r="BS352" s="215"/>
      <c r="BT352" s="215"/>
      <c r="BU352" s="2218"/>
      <c r="BV352" s="1"/>
      <c r="BW352" s="1842"/>
      <c r="BX352" s="215"/>
      <c r="BY352" s="215"/>
      <c r="BZ352" s="215"/>
      <c r="CA352" s="2218"/>
      <c r="CB352" s="1"/>
      <c r="CC352" s="1842"/>
      <c r="CD352" s="215"/>
      <c r="CE352" s="215"/>
      <c r="CF352" s="215"/>
      <c r="CG352" s="2218"/>
      <c r="CH352" s="1"/>
      <c r="CI352" s="1842"/>
      <c r="CJ352" s="215"/>
      <c r="CK352" s="215"/>
      <c r="CL352" s="215"/>
      <c r="CM352" s="2218"/>
      <c r="CN352" s="1"/>
      <c r="CO352" s="1842"/>
      <c r="CP352" s="215"/>
      <c r="CQ352" s="215"/>
      <c r="CR352" s="215"/>
      <c r="CS352" s="2218"/>
      <c r="CY352" s="2383" t="s">
        <v>110</v>
      </c>
      <c r="CZ352" s="2383" t="s">
        <v>111</v>
      </c>
      <c r="DA352" s="2383" t="s">
        <v>112</v>
      </c>
      <c r="DB352" s="2383" t="s">
        <v>113</v>
      </c>
      <c r="DC352" s="2383" t="s">
        <v>114</v>
      </c>
      <c r="DD352" s="2383" t="s">
        <v>271</v>
      </c>
      <c r="DE352" s="2383" t="s">
        <v>101</v>
      </c>
      <c r="DF352" s="2383" t="s">
        <v>100</v>
      </c>
      <c r="DG352" s="2383" t="s">
        <v>94</v>
      </c>
      <c r="DH352" s="2383" t="s">
        <v>93</v>
      </c>
      <c r="DI352" s="2383" t="s">
        <v>92</v>
      </c>
      <c r="DJ352" s="2383" t="s">
        <v>91</v>
      </c>
      <c r="DK352" s="2383" t="s">
        <v>115</v>
      </c>
      <c r="DL352" s="2383" t="s">
        <v>116</v>
      </c>
      <c r="DM352" s="2383" t="s">
        <v>117</v>
      </c>
      <c r="DN352" s="2383" t="s">
        <v>118</v>
      </c>
      <c r="DO352" s="2383" t="s">
        <v>509</v>
      </c>
      <c r="DP352" s="2383" t="s">
        <v>510</v>
      </c>
      <c r="DQ352" s="2383" t="s">
        <v>511</v>
      </c>
      <c r="DR352" s="2383" t="s">
        <v>512</v>
      </c>
      <c r="DS352" s="2383" t="s">
        <v>551</v>
      </c>
      <c r="DT352" s="2383" t="s">
        <v>552</v>
      </c>
      <c r="DU352" s="2383" t="s">
        <v>553</v>
      </c>
      <c r="DV352" s="2383" t="s">
        <v>559</v>
      </c>
      <c r="DW352" s="2383" t="s">
        <v>578</v>
      </c>
      <c r="DX352" s="2383" t="s">
        <v>579</v>
      </c>
      <c r="DY352" s="2383" t="s">
        <v>580</v>
      </c>
      <c r="DZ352" s="2383" t="s">
        <v>800</v>
      </c>
      <c r="EA352" s="2383" t="s">
        <v>581</v>
      </c>
      <c r="EB352" s="2383" t="s">
        <v>582</v>
      </c>
      <c r="EC352" s="2383" t="s">
        <v>583</v>
      </c>
      <c r="ED352" s="2383" t="s">
        <v>584</v>
      </c>
      <c r="EE352" s="2383" t="s">
        <v>760</v>
      </c>
      <c r="EF352" s="2383" t="s">
        <v>761</v>
      </c>
      <c r="EG352" s="2383" t="s">
        <v>762</v>
      </c>
      <c r="EH352" s="2383" t="s">
        <v>763</v>
      </c>
      <c r="EI352" s="2383" t="s">
        <v>764</v>
      </c>
      <c r="EJ352" s="2383" t="s">
        <v>765</v>
      </c>
      <c r="EK352" s="2383" t="s">
        <v>766</v>
      </c>
      <c r="EL352" s="2383" t="s">
        <v>767</v>
      </c>
      <c r="EM352" s="2383" t="s">
        <v>888</v>
      </c>
      <c r="EN352" s="2383" t="s">
        <v>889</v>
      </c>
      <c r="EO352" s="2383" t="s">
        <v>890</v>
      </c>
      <c r="EP352" s="2383" t="s">
        <v>891</v>
      </c>
      <c r="EQ352" s="2383" t="s">
        <v>892</v>
      </c>
      <c r="ER352" s="2383" t="s">
        <v>893</v>
      </c>
      <c r="ES352" s="2383" t="s">
        <v>894</v>
      </c>
      <c r="ET352" s="2383" t="s">
        <v>895</v>
      </c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</row>
    <row r="353" spans="1:280" s="6" customFormat="1">
      <c r="A353" s="1930" t="s">
        <v>664</v>
      </c>
      <c r="B353" s="2238"/>
      <c r="C353" s="1425">
        <f>+C174</f>
        <v>0.72499999999999998</v>
      </c>
      <c r="D353" s="1422">
        <f>+D174</f>
        <v>2.2825000000000002</v>
      </c>
      <c r="E353" s="1422">
        <f>+E174</f>
        <v>3.7949999999999999</v>
      </c>
      <c r="F353" s="1422">
        <f>+F174</f>
        <v>5.98</v>
      </c>
      <c r="G353" s="1841">
        <f>+G174</f>
        <v>12.782500000000001</v>
      </c>
      <c r="H353" s="2238"/>
      <c r="I353" s="1425">
        <f>+I174</f>
        <v>8.0062499999999996</v>
      </c>
      <c r="J353" s="1422">
        <f>+J174</f>
        <v>11.20875</v>
      </c>
      <c r="K353" s="1422">
        <f>+K174</f>
        <v>14.7525</v>
      </c>
      <c r="L353" s="1422">
        <f>+L174</f>
        <v>18.690000000000001</v>
      </c>
      <c r="M353" s="1841">
        <f>+M174</f>
        <v>52.657499999999999</v>
      </c>
      <c r="N353" s="2238"/>
      <c r="O353" s="1425">
        <f>+O174</f>
        <v>24.0625</v>
      </c>
      <c r="P353" s="1422">
        <f>+P174</f>
        <v>30.10125</v>
      </c>
      <c r="Q353" s="1422">
        <f>+Q174</f>
        <v>35.534999999999997</v>
      </c>
      <c r="R353" s="1422">
        <f>+R174</f>
        <v>41.342500000000001</v>
      </c>
      <c r="S353" s="1841">
        <f>+S174</f>
        <v>131.04124999999999</v>
      </c>
      <c r="T353" s="2238"/>
      <c r="U353" s="1425">
        <f>+U174</f>
        <v>45.615000000000002</v>
      </c>
      <c r="V353" s="1422">
        <f>+V174</f>
        <v>43.8245</v>
      </c>
      <c r="W353" s="1422">
        <f>+W174</f>
        <v>50.399089999999994</v>
      </c>
      <c r="X353" s="1422">
        <f>+X174</f>
        <v>58.536124999999991</v>
      </c>
      <c r="Y353" s="1841">
        <f>+Y174</f>
        <v>198.37471499999998</v>
      </c>
      <c r="Z353" s="2238"/>
      <c r="AA353" s="1425">
        <f>+AA174</f>
        <v>73.051999999999992</v>
      </c>
      <c r="AB353" s="1422">
        <f>+AB174</f>
        <v>70.704092500000002</v>
      </c>
      <c r="AC353" s="1422">
        <f>+AC174</f>
        <v>73.188029999999998</v>
      </c>
      <c r="AD353" s="1422">
        <f>+AD174</f>
        <v>78.656624999999991</v>
      </c>
      <c r="AE353" s="1841">
        <f>+AE174</f>
        <v>295.60074750000001</v>
      </c>
      <c r="AF353" s="2238"/>
      <c r="AG353" s="1425">
        <f>+AG174</f>
        <v>96.123825000000011</v>
      </c>
      <c r="AH353" s="1422">
        <f>+AH174</f>
        <v>111.15908999999999</v>
      </c>
      <c r="AI353" s="1422">
        <f>+AI174</f>
        <v>110.60065625000001</v>
      </c>
      <c r="AJ353" s="1422">
        <f>+AJ174</f>
        <v>123.33905499999999</v>
      </c>
      <c r="AK353" s="1841">
        <f>+AK174</f>
        <v>441.22262624999991</v>
      </c>
      <c r="AL353" s="2238"/>
      <c r="AM353" s="1425">
        <f>+AM174</f>
        <v>128.24030999999999</v>
      </c>
      <c r="AN353" s="1422">
        <f>+AN174</f>
        <v>138.8706875</v>
      </c>
      <c r="AO353" s="1422">
        <f>+AO174</f>
        <v>147.05882352941177</v>
      </c>
      <c r="AP353" s="1422">
        <f>+AP174</f>
        <v>163.99959891917294</v>
      </c>
      <c r="AQ353" s="1841">
        <f>+AQ174</f>
        <v>578.16941994858473</v>
      </c>
      <c r="AR353" s="2238"/>
      <c r="AS353" s="1425">
        <f>+AS174</f>
        <v>162.36240253759399</v>
      </c>
      <c r="AT353" s="1422">
        <f>+AT174</f>
        <v>173.38912246240602</v>
      </c>
      <c r="AU353" s="1422">
        <f>+AU174</f>
        <v>200</v>
      </c>
      <c r="AV353" s="1422">
        <f>+AV174</f>
        <v>218.76583768796991</v>
      </c>
      <c r="AW353" s="1841">
        <f>+AW174</f>
        <v>754.51736268797004</v>
      </c>
      <c r="AX353" s="2238"/>
      <c r="AY353" s="1425">
        <f>+AY174</f>
        <v>239.87508768796994</v>
      </c>
      <c r="AZ353" s="1422">
        <f>+AZ174</f>
        <v>247.77693010338348</v>
      </c>
      <c r="BA353" s="1422">
        <f>+BA174</f>
        <v>268.87073727443612</v>
      </c>
      <c r="BB353" s="1422">
        <f>+BB174</f>
        <v>277.06147584962406</v>
      </c>
      <c r="BC353" s="1841">
        <f>+BC174</f>
        <v>1033.5842309154136</v>
      </c>
      <c r="BD353" s="2238"/>
      <c r="BE353" s="1425">
        <f>+BE174</f>
        <v>296.40336076691727</v>
      </c>
      <c r="BF353" s="1422">
        <f>+BF174</f>
        <v>310.86664672203005</v>
      </c>
      <c r="BG353" s="1422">
        <f>+BG174</f>
        <v>333.20309423799631</v>
      </c>
      <c r="BH353" s="1422">
        <f>+BH174</f>
        <v>330.7694369410346</v>
      </c>
      <c r="BI353" s="1841">
        <f>+BI174</f>
        <v>1271.2425386679784</v>
      </c>
      <c r="BJ353" s="1"/>
      <c r="BK353" s="1425">
        <f>+BK174</f>
        <v>317.86297388576691</v>
      </c>
      <c r="BL353" s="1422">
        <f>+BL174</f>
        <v>337.82918791744129</v>
      </c>
      <c r="BM353" s="1422">
        <f>+BM174</f>
        <v>380.32616495636159</v>
      </c>
      <c r="BN353" s="1422">
        <f>+BN174</f>
        <v>432.06255006217737</v>
      </c>
      <c r="BO353" s="1841">
        <f>+BO174</f>
        <v>1468.0808768217473</v>
      </c>
      <c r="BP353" s="1"/>
      <c r="BQ353" s="1425">
        <f>+BQ174</f>
        <v>417.34731609944077</v>
      </c>
      <c r="BR353" s="1422">
        <f>+BR174</f>
        <v>428.70816979006497</v>
      </c>
      <c r="BS353" s="1422">
        <f>+BS174</f>
        <v>438.39589848068908</v>
      </c>
      <c r="BT353" s="1422">
        <f>+BT174</f>
        <v>451.46737717131327</v>
      </c>
      <c r="BU353" s="1841">
        <f>+BU174</f>
        <v>1735.9187615415076</v>
      </c>
      <c r="BV353" s="1"/>
      <c r="BW353" s="1425">
        <f>+BW174</f>
        <v>464.14252334853597</v>
      </c>
      <c r="BX353" s="1422">
        <f>+BX174</f>
        <v>473.80791952575845</v>
      </c>
      <c r="BY353" s="1422">
        <f>+BY174</f>
        <v>484.02331570298099</v>
      </c>
      <c r="BZ353" s="1422">
        <f>+BZ174</f>
        <v>494.78871188020366</v>
      </c>
      <c r="CA353" s="1841">
        <f>+CA174</f>
        <v>1916.7624704574789</v>
      </c>
      <c r="CB353" s="1"/>
      <c r="CC353" s="1425">
        <f>+CC174</f>
        <v>505.69160805742615</v>
      </c>
      <c r="CD353" s="1422">
        <f>+CD174</f>
        <v>516.69450423464878</v>
      </c>
      <c r="CE353" s="1422">
        <f>+CE174</f>
        <v>528.19740041187129</v>
      </c>
      <c r="CF353" s="1422">
        <f>+CF174</f>
        <v>540.20029658909402</v>
      </c>
      <c r="CG353" s="1841">
        <f>+CG174</f>
        <v>2090.7838092930401</v>
      </c>
      <c r="CH353" s="1"/>
      <c r="CI353" s="1425">
        <f>+CI174</f>
        <v>551.98606804075257</v>
      </c>
      <c r="CJ353" s="1422">
        <f>+CJ174</f>
        <v>563.49058949241123</v>
      </c>
      <c r="CK353" s="1422">
        <f>+CK174</f>
        <v>575.67575073260377</v>
      </c>
      <c r="CL353" s="1422">
        <f>+CL174</f>
        <v>590.61012189948792</v>
      </c>
      <c r="CM353" s="1841">
        <f>+CM174</f>
        <v>2281.7625301652561</v>
      </c>
      <c r="CN353" s="1"/>
      <c r="CO353" s="1425">
        <f>+CO174</f>
        <v>607.92635327783842</v>
      </c>
      <c r="CP353" s="1422">
        <f>+CP174</f>
        <v>625.43008465618891</v>
      </c>
      <c r="CQ353" s="1422">
        <f>+CQ174</f>
        <v>642.55881603453918</v>
      </c>
      <c r="CR353" s="1422">
        <f>+CR174</f>
        <v>660.06254741288967</v>
      </c>
      <c r="CS353" s="1841">
        <f>+CS174</f>
        <v>2535.9778013814562</v>
      </c>
      <c r="CX353" s="2369"/>
      <c r="CY353" s="2369">
        <f>+AA354</f>
        <v>12.652084105773444</v>
      </c>
      <c r="CZ353" s="2369">
        <f t="shared" ref="CZ353:DB353" si="1052">+AB354</f>
        <v>10.110095758771187</v>
      </c>
      <c r="DA353" s="2369">
        <f t="shared" si="1052"/>
        <v>9.0768237100884832</v>
      </c>
      <c r="DB353" s="2369">
        <f t="shared" si="1052"/>
        <v>8.8008082187366572</v>
      </c>
      <c r="DC353" s="2369">
        <f>+AG354</f>
        <v>9.6397625102531226</v>
      </c>
      <c r="DD353" s="2369">
        <f>+AH354</f>
        <v>10.10803004630163</v>
      </c>
      <c r="DE353" s="2369">
        <f>+AI354</f>
        <v>9.1314428097662592</v>
      </c>
      <c r="DF353" s="2369">
        <f>+AJ354</f>
        <v>7.3627668011578775</v>
      </c>
      <c r="DG353" s="2369">
        <f>+AM354</f>
        <v>4.9593967005952928</v>
      </c>
      <c r="DH353" s="2369">
        <f>+AN354</f>
        <v>3.8838878475224785</v>
      </c>
      <c r="DI353" s="2369">
        <f>+AO354</f>
        <v>3.3662067715119539</v>
      </c>
      <c r="DJ353" s="2369">
        <f>+AP354</f>
        <v>3.3357908678386514</v>
      </c>
      <c r="DK353" s="2369">
        <f>+AS354</f>
        <v>2.9424668540148224</v>
      </c>
      <c r="DL353" s="2369">
        <f>+AT354</f>
        <v>2.5164251608386796</v>
      </c>
      <c r="DM353" s="2369">
        <f>+AU354</f>
        <v>2.3197892550006758</v>
      </c>
      <c r="DN353" s="2369">
        <f>+AV354</f>
        <v>2.0779637479184832</v>
      </c>
      <c r="DO353" s="2369">
        <f>+AY354</f>
        <v>1.8962024987508432</v>
      </c>
      <c r="DP353" s="2369">
        <f>+AZ354</f>
        <v>1.6535104900579594</v>
      </c>
      <c r="DQ353" s="2369">
        <f>+BA354</f>
        <v>1.5533470848065369</v>
      </c>
      <c r="DR353" s="2369">
        <f>+BB354</f>
        <v>1.4191748967594173</v>
      </c>
      <c r="DS353" s="2369">
        <f>+BE354</f>
        <v>1.3958518895022567</v>
      </c>
      <c r="DT353" s="2369">
        <f>+BF354</f>
        <v>1.3703712535868369</v>
      </c>
      <c r="DU353" s="2369">
        <f>+BG354</f>
        <v>1.3803997385460252</v>
      </c>
      <c r="DV353" s="2369">
        <f>+BH354</f>
        <v>1.3020758516148394</v>
      </c>
      <c r="DW353" s="2369">
        <f>+BK354</f>
        <v>1.0913295924798045</v>
      </c>
      <c r="DX353" s="2369">
        <f>+BL354</f>
        <v>0.98623782489221323</v>
      </c>
      <c r="DY353" s="2369">
        <f>+BM354</f>
        <v>0.86413454482191498</v>
      </c>
      <c r="DZ353" s="2369">
        <f>+BN354</f>
        <v>0.79885553139047516</v>
      </c>
      <c r="EA353" s="2369">
        <f>+BQ354</f>
        <v>0.6549231637179882</v>
      </c>
      <c r="EB353" s="2369">
        <f>+BR354</f>
        <v>0.58868967486459933</v>
      </c>
      <c r="EC353" s="2369">
        <f>+BS354</f>
        <v>0.53351768331185478</v>
      </c>
      <c r="ED353" s="2369">
        <f>+BT354</f>
        <v>0.49249366149253093</v>
      </c>
      <c r="EE353" s="2369">
        <f>+BW354</f>
        <v>0.45488544603592762</v>
      </c>
      <c r="EF353" s="2369">
        <f>+BX354</f>
        <v>0.42327837845527505</v>
      </c>
      <c r="EG353" s="2369">
        <f>+BY354</f>
        <v>0.39577176366489208</v>
      </c>
      <c r="EH353" s="2369">
        <f>+BZ354</f>
        <v>0.37164607445234715</v>
      </c>
      <c r="EI353" s="2369">
        <f>+CC354</f>
        <v>0.35105122028193531</v>
      </c>
      <c r="EJ353" s="2369">
        <f>+CD354</f>
        <v>0.33328034218432867</v>
      </c>
      <c r="EK353" s="2369">
        <f>+CE354</f>
        <v>0.31723754685734096</v>
      </c>
      <c r="EL353" s="2369">
        <f>+CF354</f>
        <v>0.30269107667665818</v>
      </c>
      <c r="EM353" s="2369">
        <f>+CI354</f>
        <v>0.28907164965416604</v>
      </c>
      <c r="EN353" s="2369">
        <f>+CJ354</f>
        <v>0.27651798032665476</v>
      </c>
      <c r="EO353" s="2369">
        <f>+CK354</f>
        <v>0.26562348490807358</v>
      </c>
      <c r="EP353" s="2369">
        <f>+CL354</f>
        <v>0.25654446788570012</v>
      </c>
      <c r="EQ353" s="2369">
        <f>+CO354</f>
        <v>0.24822835045890074</v>
      </c>
      <c r="ER353" s="2369">
        <f>+CP354</f>
        <v>0.24035515832658372</v>
      </c>
      <c r="ES353" s="2369">
        <f>+CQ354</f>
        <v>0.23300654677629987</v>
      </c>
      <c r="ET353" s="2369">
        <f>+CR354</f>
        <v>0.22605971375230816</v>
      </c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</row>
    <row r="354" spans="1:280" s="6" customFormat="1">
      <c r="A354" s="2272" t="s">
        <v>660</v>
      </c>
      <c r="B354" s="2273"/>
      <c r="C354" s="1428"/>
      <c r="D354" s="2274"/>
      <c r="E354" s="2274"/>
      <c r="F354" s="2274"/>
      <c r="G354" s="2275"/>
      <c r="H354" s="2273"/>
      <c r="I354" s="1428"/>
      <c r="J354" s="2274"/>
      <c r="K354" s="2274"/>
      <c r="L354" s="2274"/>
      <c r="M354" s="2275"/>
      <c r="N354" s="2273"/>
      <c r="O354" s="1428"/>
      <c r="P354" s="2274"/>
      <c r="Q354" s="2274"/>
      <c r="R354" s="2274"/>
      <c r="S354" s="2275"/>
      <c r="T354" s="2273"/>
      <c r="U354" s="1428">
        <f>U353/U345</f>
        <v>24.874034812197358</v>
      </c>
      <c r="V354" s="2274">
        <f>V353/V345</f>
        <v>18.858396675892646</v>
      </c>
      <c r="W354" s="2274">
        <f>W353/W345</f>
        <v>15.006310505702739</v>
      </c>
      <c r="X354" s="2274">
        <f>X353/X345</f>
        <v>12.965004706160856</v>
      </c>
      <c r="Y354" s="2275">
        <f>Y353/Y345</f>
        <v>65.953583970278785</v>
      </c>
      <c r="Z354" s="2273"/>
      <c r="AA354" s="1428">
        <f>AA353/AA345</f>
        <v>12.652084105773444</v>
      </c>
      <c r="AB354" s="2274">
        <f>AB353/AB345</f>
        <v>10.110095758771187</v>
      </c>
      <c r="AC354" s="2274">
        <f>AC353/AC345</f>
        <v>9.0768237100884832</v>
      </c>
      <c r="AD354" s="2274">
        <f>AD353/AD345</f>
        <v>8.8008082187366572</v>
      </c>
      <c r="AE354" s="2275">
        <f>AE353/AE345</f>
        <v>39.720694497763574</v>
      </c>
      <c r="AF354" s="2273"/>
      <c r="AG354" s="1428">
        <f>AG353/AG345</f>
        <v>9.6397625102531226</v>
      </c>
      <c r="AH354" s="2274">
        <f>AH353/AH345</f>
        <v>10.10803004630163</v>
      </c>
      <c r="AI354" s="2274">
        <f>AI353/AI345</f>
        <v>9.1314428097662592</v>
      </c>
      <c r="AJ354" s="2274">
        <f>AJ353/AJ345</f>
        <v>7.3627668011578775</v>
      </c>
      <c r="AK354" s="2275">
        <f>AK353/AK345</f>
        <v>35.416456362139762</v>
      </c>
      <c r="AL354" s="2273"/>
      <c r="AM354" s="1428">
        <f>AM353/AM345</f>
        <v>4.9593967005952928</v>
      </c>
      <c r="AN354" s="2274">
        <f>AN353/AN345</f>
        <v>3.8838878475224785</v>
      </c>
      <c r="AO354" s="2274">
        <f>AO353/AO345</f>
        <v>3.3662067715119539</v>
      </c>
      <c r="AP354" s="2274">
        <f>AP353/AP345</f>
        <v>3.3357908678386514</v>
      </c>
      <c r="AQ354" s="2275">
        <f>AQ353/AQ345</f>
        <v>14.972269231868154</v>
      </c>
      <c r="AR354" s="2273"/>
      <c r="AS354" s="1428">
        <f>AS353/AS345</f>
        <v>2.9424668540148224</v>
      </c>
      <c r="AT354" s="2274">
        <f>AT353/AT345</f>
        <v>2.5164251608386796</v>
      </c>
      <c r="AU354" s="2274">
        <f>AU353/AU345</f>
        <v>2.3197892550006758</v>
      </c>
      <c r="AV354" s="2274">
        <f>AV353/AV345</f>
        <v>2.0779637479184832</v>
      </c>
      <c r="AW354" s="2275">
        <f>AW353/AW345</f>
        <v>9.5636959906790047</v>
      </c>
      <c r="AX354" s="2273"/>
      <c r="AY354" s="2356">
        <f>AY353/AY345</f>
        <v>1.8962024987508432</v>
      </c>
      <c r="AZ354" s="2357">
        <f>AZ353/AZ345</f>
        <v>1.6535104900579594</v>
      </c>
      <c r="BA354" s="2357">
        <f>BA353/BA345</f>
        <v>1.5533470848065369</v>
      </c>
      <c r="BB354" s="2357">
        <f>BB353/BB345</f>
        <v>1.4191748967594173</v>
      </c>
      <c r="BC354" s="2358">
        <f>BC353/BC345</f>
        <v>6.4131030411933034</v>
      </c>
      <c r="BD354" s="2359"/>
      <c r="BE354" s="2356">
        <f>BE353/BE345</f>
        <v>1.3958518895022567</v>
      </c>
      <c r="BF354" s="2357">
        <f>BF353/BF345</f>
        <v>1.3703712535868369</v>
      </c>
      <c r="BG354" s="2357">
        <f>BG353/BG345</f>
        <v>1.3803997385460252</v>
      </c>
      <c r="BH354" s="2357">
        <f>BH353/BH345</f>
        <v>1.3020758516148394</v>
      </c>
      <c r="BI354" s="2358">
        <f>BI353/BI345</f>
        <v>5.4407498972630002</v>
      </c>
      <c r="BJ354" s="2360"/>
      <c r="BK354" s="2356">
        <f>BK353/BK345</f>
        <v>1.0913295924798045</v>
      </c>
      <c r="BL354" s="2357">
        <f>BL353/BL345</f>
        <v>0.98623782489221323</v>
      </c>
      <c r="BM354" s="2357">
        <f>BM353/BM345</f>
        <v>0.86413454482191498</v>
      </c>
      <c r="BN354" s="2357">
        <f>BN353/BN345</f>
        <v>0.79885553139047516</v>
      </c>
      <c r="BO354" s="2358">
        <f>BO353/BO345</f>
        <v>3.6366064087927188</v>
      </c>
      <c r="BP354" s="2360"/>
      <c r="BQ354" s="2356">
        <f>BQ353/BQ345</f>
        <v>0.6549231637179882</v>
      </c>
      <c r="BR354" s="2357">
        <f>BR353/BR345</f>
        <v>0.58868967486459933</v>
      </c>
      <c r="BS354" s="2357">
        <f>BS353/BS345</f>
        <v>0.53351768331185478</v>
      </c>
      <c r="BT354" s="2357">
        <f>BT353/BT345</f>
        <v>0.49249366149253093</v>
      </c>
      <c r="BU354" s="2358">
        <f>BU353/BU345</f>
        <v>2.2370860470218008</v>
      </c>
      <c r="BV354" s="2360"/>
      <c r="BW354" s="2356">
        <f>BW353/BW345</f>
        <v>0.45488544603592762</v>
      </c>
      <c r="BX354" s="2357">
        <f>BX353/BX345</f>
        <v>0.42327837845527505</v>
      </c>
      <c r="BY354" s="2357">
        <f>BY353/BY345</f>
        <v>0.39577176366489208</v>
      </c>
      <c r="BZ354" s="2357">
        <f>BZ353/BZ345</f>
        <v>0.37164607445234715</v>
      </c>
      <c r="CA354" s="2358">
        <f>CA353/CA345</f>
        <v>1.6333526077858749</v>
      </c>
      <c r="CB354" s="2360"/>
      <c r="CC354" s="2356">
        <f>CC353/CC345</f>
        <v>0.35105122028193531</v>
      </c>
      <c r="CD354" s="2357">
        <f>CD353/CD345</f>
        <v>0.33328034218432867</v>
      </c>
      <c r="CE354" s="2357">
        <f>CE353/CE345</f>
        <v>0.31723754685734096</v>
      </c>
      <c r="CF354" s="2357">
        <f>CF353/CF345</f>
        <v>0.30269107667665818</v>
      </c>
      <c r="CG354" s="2358">
        <f>CG353/CG345</f>
        <v>1.2985255728216691</v>
      </c>
      <c r="CH354" s="2360"/>
      <c r="CI354" s="2356">
        <f>CI353/CI345</f>
        <v>0.28907164965416604</v>
      </c>
      <c r="CJ354" s="2357">
        <f>CJ353/CJ345</f>
        <v>0.27651798032665476</v>
      </c>
      <c r="CK354" s="2357">
        <f>CK353/CK345</f>
        <v>0.26562348490807358</v>
      </c>
      <c r="CL354" s="2357">
        <f>CL353/CL345</f>
        <v>0.25654446788570012</v>
      </c>
      <c r="CM354" s="2358">
        <f>CM353/CM345</f>
        <v>1.0843902499403459</v>
      </c>
      <c r="CN354" s="2360"/>
      <c r="CO354" s="2356">
        <f>CO353/CO345</f>
        <v>0.24822835045890074</v>
      </c>
      <c r="CP354" s="2357">
        <f>CP353/CP345</f>
        <v>0.24035515832658372</v>
      </c>
      <c r="CQ354" s="2357">
        <f>CQ353/CQ345</f>
        <v>0.23300654677629987</v>
      </c>
      <c r="CR354" s="2357">
        <f>CR353/CR345</f>
        <v>0.22605971375230816</v>
      </c>
      <c r="CS354" s="2358">
        <f>CS353/CS345</f>
        <v>0.94549182011937016</v>
      </c>
      <c r="CY354" s="1822"/>
      <c r="CZ354" s="1822"/>
      <c r="DA354" s="1822"/>
      <c r="DB354" s="1822"/>
      <c r="DC354" s="1822"/>
      <c r="DD354" s="1822"/>
      <c r="DE354" s="1822"/>
      <c r="DF354" s="1822"/>
      <c r="DG354" s="1822"/>
      <c r="DH354" s="1822"/>
      <c r="DI354" s="1822"/>
      <c r="DJ354" s="1822"/>
      <c r="DK354" s="1822"/>
      <c r="DL354" s="1822"/>
      <c r="DM354" s="1822"/>
      <c r="DN354" s="1822"/>
      <c r="DO354" s="1822"/>
      <c r="DP354" s="1822"/>
      <c r="DQ354" s="1822"/>
      <c r="DR354" s="1822"/>
      <c r="DS354" s="1822"/>
      <c r="DT354" s="1822"/>
      <c r="DU354" s="1822"/>
      <c r="DV354" s="1822"/>
      <c r="DW354" s="1822"/>
      <c r="DX354" s="1822"/>
      <c r="DY354" s="1822"/>
      <c r="DZ354" s="1822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</row>
    <row r="355" spans="1:280" s="6" customFormat="1">
      <c r="AE355" s="1368">
        <f>+AE354/Y354-1</f>
        <v>-0.39774774763319543</v>
      </c>
      <c r="AK355" s="1368">
        <f>+AK354/AE354-1</f>
        <v>-0.10836261022239069</v>
      </c>
      <c r="AQ355" s="1368">
        <f>+AQ354/AK354-1</f>
        <v>-0.57725106434212514</v>
      </c>
      <c r="AW355" s="1368">
        <f>+AW354/AQ354-1</f>
        <v>-0.36123937911008952</v>
      </c>
      <c r="BC355" s="1368">
        <f>+BC354/AW354-1</f>
        <v>-0.32943257006039728</v>
      </c>
      <c r="BI355" s="1368">
        <f>+BI354/BC354-1</f>
        <v>-0.1516197599952136</v>
      </c>
      <c r="BO355" s="1368">
        <f>+BO354/BI354-1</f>
        <v>-0.33159831319904376</v>
      </c>
      <c r="BU355" s="1368">
        <f>+BU354/BO354-1</f>
        <v>-0.38484240647739798</v>
      </c>
      <c r="CA355" s="1368">
        <f>+CA354/BU354-1</f>
        <v>-0.26987492950468639</v>
      </c>
      <c r="CG355" s="1368">
        <f>+CG354/CA354-1</f>
        <v>-0.20499372478921585</v>
      </c>
      <c r="CM355" s="1368">
        <f>+CM354/CG354-1</f>
        <v>-0.1649065119418569</v>
      </c>
      <c r="CS355" s="1368">
        <f>+CS354/CM354-1</f>
        <v>-0.12808896965701855</v>
      </c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</row>
    <row r="356" spans="1:280">
      <c r="A356" s="1398" t="s">
        <v>69</v>
      </c>
      <c r="B356" s="1100"/>
      <c r="C356" s="1075"/>
      <c r="D356" s="1076"/>
      <c r="E356" s="1076"/>
      <c r="F356" s="1076"/>
      <c r="G356" s="1073"/>
      <c r="H356" s="1102"/>
      <c r="I356" s="1075"/>
      <c r="J356" s="1076"/>
      <c r="K356" s="1076"/>
      <c r="L356" s="1076"/>
      <c r="M356" s="1073"/>
      <c r="N356" s="1102"/>
      <c r="O356" s="1075"/>
      <c r="P356" s="1076"/>
      <c r="Q356" s="1076"/>
      <c r="R356" s="1076"/>
      <c r="S356" s="1073"/>
      <c r="T356" s="1102"/>
      <c r="U356" s="1075"/>
      <c r="V356" s="1076"/>
      <c r="W356" s="1076"/>
      <c r="X356" s="1076"/>
      <c r="Y356" s="1073"/>
      <c r="Z356" s="1107"/>
      <c r="AA356" s="1075"/>
      <c r="AB356" s="1076"/>
      <c r="AC356" s="1076"/>
      <c r="AD356" s="1076"/>
      <c r="AE356" s="1073"/>
      <c r="AF356" s="1107"/>
      <c r="AG356" s="1077"/>
      <c r="AH356" s="1074"/>
      <c r="AI356" s="1074"/>
      <c r="AJ356" s="1078"/>
      <c r="AK356" s="1079"/>
      <c r="AL356" s="1107"/>
      <c r="AM356" s="1077"/>
      <c r="AN356" s="1074"/>
      <c r="AO356" s="1074"/>
      <c r="AP356" s="1078"/>
      <c r="AQ356" s="1073"/>
      <c r="AR356" s="1107"/>
      <c r="AS356" s="1443"/>
      <c r="AT356" s="1074"/>
      <c r="AU356" s="1074"/>
      <c r="AV356" s="1714"/>
      <c r="AW356" s="1080"/>
      <c r="AX356" s="1733"/>
      <c r="AY356" s="1443"/>
      <c r="AZ356" s="1713"/>
      <c r="BA356" s="1713"/>
      <c r="BB356" s="1713"/>
      <c r="BC356" s="1080"/>
      <c r="BD356" s="1733"/>
      <c r="BE356" s="1443"/>
      <c r="BF356" s="1713"/>
      <c r="BG356" s="1713"/>
      <c r="BH356" s="1713"/>
      <c r="BI356" s="1080"/>
      <c r="BJ356" s="1733"/>
      <c r="BK356" s="1443"/>
      <c r="BL356" s="1713"/>
      <c r="BM356" s="1713"/>
      <c r="BN356" s="1713"/>
      <c r="BO356" s="1080"/>
      <c r="BP356" s="1733"/>
      <c r="BQ356" s="1443"/>
      <c r="BR356" s="1713"/>
      <c r="BS356" s="1713"/>
      <c r="BT356" s="1713"/>
      <c r="BU356" s="1080"/>
      <c r="BV356" s="1733"/>
      <c r="BW356" s="1443"/>
      <c r="BX356" s="1713"/>
      <c r="BY356" s="1713"/>
      <c r="BZ356" s="1713"/>
      <c r="CA356" s="1080"/>
      <c r="CB356" s="1733"/>
      <c r="CC356" s="1443"/>
      <c r="CD356" s="1713"/>
      <c r="CE356" s="1713"/>
      <c r="CF356" s="1713"/>
      <c r="CG356" s="1080"/>
      <c r="CH356" s="1733"/>
      <c r="CI356" s="1443"/>
      <c r="CJ356" s="1713"/>
      <c r="CK356" s="1713"/>
      <c r="CL356" s="1713"/>
      <c r="CM356" s="1080"/>
      <c r="CN356" s="1733"/>
      <c r="CO356" s="1443"/>
      <c r="CP356" s="1713"/>
      <c r="CQ356" s="1713"/>
      <c r="CR356" s="1713"/>
      <c r="CS356" s="1080"/>
      <c r="CT356" s="229"/>
      <c r="CU356" s="68"/>
      <c r="CV356" s="68"/>
      <c r="CW356" s="68"/>
      <c r="CX356" s="68"/>
      <c r="CY356" s="68"/>
    </row>
    <row r="357" spans="1:280" s="6" customFormat="1">
      <c r="A357" s="2271" t="s">
        <v>694</v>
      </c>
      <c r="B357" s="2238"/>
      <c r="C357" s="1425"/>
      <c r="D357" s="1422"/>
      <c r="E357" s="1422"/>
      <c r="F357" s="1422"/>
      <c r="G357" s="1841"/>
      <c r="H357" s="2238"/>
      <c r="I357" s="1425"/>
      <c r="J357" s="1422"/>
      <c r="K357" s="1422"/>
      <c r="L357" s="1422"/>
      <c r="M357" s="1841"/>
      <c r="N357" s="2238"/>
      <c r="O357" s="1425"/>
      <c r="P357" s="1422"/>
      <c r="Q357" s="1422"/>
      <c r="R357" s="1422"/>
      <c r="S357" s="1841"/>
      <c r="T357" s="2238"/>
      <c r="U357" s="1425"/>
      <c r="V357" s="1422"/>
      <c r="W357" s="1422"/>
      <c r="X357" s="1422"/>
      <c r="Y357" s="1841"/>
      <c r="Z357" s="2238"/>
      <c r="AA357" s="1425"/>
      <c r="AB357" s="1422"/>
      <c r="AC357" s="1422"/>
      <c r="AD357" s="1422"/>
      <c r="AE357" s="1841"/>
      <c r="AF357" s="2238"/>
      <c r="AG357" s="1425"/>
      <c r="AH357" s="1422"/>
      <c r="AI357" s="1422"/>
      <c r="AJ357" s="1422"/>
      <c r="AK357" s="1841"/>
      <c r="AL357" s="2238"/>
      <c r="AM357" s="1425"/>
      <c r="AN357" s="1422"/>
      <c r="AO357" s="1422"/>
      <c r="AP357" s="1422"/>
      <c r="AQ357" s="1841"/>
      <c r="AR357" s="2238"/>
      <c r="AS357" s="1425"/>
      <c r="AT357" s="1422"/>
      <c r="AU357" s="1422"/>
      <c r="AV357" s="1422"/>
      <c r="AW357" s="1841"/>
      <c r="AX357" s="2238"/>
      <c r="AY357" s="1425"/>
      <c r="AZ357" s="1422"/>
      <c r="BA357" s="1422"/>
      <c r="BB357" s="1422"/>
      <c r="BC357" s="1841"/>
      <c r="BD357" s="2238"/>
      <c r="BE357" s="1425"/>
      <c r="BF357" s="1422"/>
      <c r="BG357" s="1422"/>
      <c r="BH357" s="1422"/>
      <c r="BI357" s="1841"/>
      <c r="BJ357" s="1"/>
      <c r="BK357" s="1425"/>
      <c r="BL357" s="1422"/>
      <c r="BM357" s="1422"/>
      <c r="BN357" s="1422"/>
      <c r="BO357" s="1841"/>
      <c r="BP357" s="1"/>
      <c r="BQ357" s="1425"/>
      <c r="BR357" s="1422"/>
      <c r="BS357" s="1422"/>
      <c r="BT357" s="1422"/>
      <c r="BU357" s="1841"/>
      <c r="BV357" s="1"/>
      <c r="BW357" s="1425"/>
      <c r="BX357" s="1422"/>
      <c r="BY357" s="1422"/>
      <c r="BZ357" s="1422"/>
      <c r="CA357" s="1841"/>
      <c r="CB357" s="1"/>
      <c r="CC357" s="1425"/>
      <c r="CD357" s="1422"/>
      <c r="CE357" s="1422"/>
      <c r="CF357" s="1422"/>
      <c r="CG357" s="1841"/>
      <c r="CH357" s="1"/>
      <c r="CI357" s="1425"/>
      <c r="CJ357" s="1422"/>
      <c r="CK357" s="1422"/>
      <c r="CL357" s="1422"/>
      <c r="CM357" s="1841"/>
      <c r="CN357" s="1"/>
      <c r="CO357" s="1425"/>
      <c r="CP357" s="1422"/>
      <c r="CQ357" s="1422"/>
      <c r="CR357" s="1422"/>
      <c r="CS357" s="1841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</row>
    <row r="358" spans="1:280">
      <c r="A358" s="2291" t="s">
        <v>681</v>
      </c>
      <c r="C358" s="1850"/>
      <c r="G358" s="736"/>
      <c r="H358" s="63"/>
      <c r="I358" s="2277"/>
      <c r="J358" s="2278"/>
      <c r="K358" s="2278"/>
      <c r="L358" s="2278"/>
      <c r="M358" s="2279"/>
      <c r="N358" s="63"/>
      <c r="O358" s="2277"/>
      <c r="P358" s="2278"/>
      <c r="Q358" s="2278"/>
      <c r="R358" s="2278"/>
      <c r="S358" s="2279"/>
      <c r="T358" s="63"/>
      <c r="U358" s="2277"/>
      <c r="V358" s="2278"/>
      <c r="W358" s="2278"/>
      <c r="X358" s="2278"/>
      <c r="Y358" s="2279"/>
      <c r="Z358" s="63"/>
      <c r="AA358" s="2277"/>
      <c r="AB358" s="2278"/>
      <c r="AC358" s="2278"/>
      <c r="AD358" s="2278"/>
      <c r="AE358" s="2279"/>
      <c r="AF358" s="63"/>
      <c r="AG358" s="2277">
        <f>+AG$156</f>
        <v>0</v>
      </c>
      <c r="AH358" s="2278">
        <f>+AH$156</f>
        <v>0</v>
      </c>
      <c r="AI358" s="2278">
        <f>+AI$156</f>
        <v>0</v>
      </c>
      <c r="AJ358" s="2278">
        <f>+AJ$156</f>
        <v>0</v>
      </c>
      <c r="AK358" s="2279">
        <f>+AK$156</f>
        <v>0</v>
      </c>
      <c r="AL358" s="63"/>
      <c r="AM358" s="2277">
        <f>+AM$156</f>
        <v>0</v>
      </c>
      <c r="AN358" s="2278">
        <f>+AN$156</f>
        <v>0</v>
      </c>
      <c r="AO358" s="2278">
        <f>+AO$156</f>
        <v>0</v>
      </c>
      <c r="AP358" s="2278">
        <f>+AP$156</f>
        <v>0</v>
      </c>
      <c r="AQ358" s="2279">
        <f>+AQ$156</f>
        <v>0</v>
      </c>
      <c r="AR358" s="63"/>
      <c r="AS358" s="2277">
        <f>+AS$156</f>
        <v>0</v>
      </c>
      <c r="AT358" s="2278">
        <f>+AT$156</f>
        <v>0</v>
      </c>
      <c r="AU358" s="2278">
        <f>+AU$156</f>
        <v>0</v>
      </c>
      <c r="AV358" s="2278">
        <f>+AV$156</f>
        <v>0</v>
      </c>
      <c r="AW358" s="2279">
        <f>+AW$156</f>
        <v>0</v>
      </c>
      <c r="AX358" s="63"/>
      <c r="AY358" s="2281">
        <f>+AY359+AW358-AY363</f>
        <v>16.876000000000001</v>
      </c>
      <c r="AZ358" s="2287">
        <f>+AZ359+AY358-AZ363</f>
        <v>40.891887218045113</v>
      </c>
      <c r="BA358" s="2282">
        <f>+BA359+AZ358-BA363</f>
        <v>67.341135338345865</v>
      </c>
      <c r="BB358" s="2282">
        <f>+BB359+BA358-BB363</f>
        <v>79.217135338345869</v>
      </c>
      <c r="BC358" s="2283">
        <f>+BB358</f>
        <v>79.217135338345869</v>
      </c>
      <c r="BE358" s="2281">
        <f>+BE359+BC358-BE363</f>
        <v>93.17299548872181</v>
      </c>
      <c r="BF358" s="2287">
        <f>+BF359+BE358-BF363</f>
        <v>122.17299548872181</v>
      </c>
      <c r="BG358" s="2282">
        <f>+BG359+BF358-BG363</f>
        <v>150.17299548872182</v>
      </c>
      <c r="BH358" s="2282">
        <f>+BH359+BG358-BH363</f>
        <v>179.17299548872182</v>
      </c>
      <c r="BI358" s="2283">
        <f>+BH358</f>
        <v>179.17299548872182</v>
      </c>
      <c r="BJ358" s="63"/>
      <c r="BK358" s="2281">
        <f>+BK359+BI358-BK363</f>
        <v>209.17299548872182</v>
      </c>
      <c r="BL358" s="2287">
        <f>+BL359+BK358-BL363</f>
        <v>239.17299548872182</v>
      </c>
      <c r="BM358" s="2282">
        <f>+BM359+BL358-BM363</f>
        <v>269.17299548872182</v>
      </c>
      <c r="BN358" s="2282">
        <f>+BN359+BM358-BN363</f>
        <v>296.17299548872182</v>
      </c>
      <c r="BO358" s="2283">
        <f>+BN358</f>
        <v>296.17299548872182</v>
      </c>
      <c r="BP358" s="63"/>
      <c r="BQ358" s="2281">
        <f>+BQ359+BO358-BQ363</f>
        <v>319.17299548872182</v>
      </c>
      <c r="BR358" s="2287">
        <f>+BR359+BQ358-BR363</f>
        <v>342.17299548872182</v>
      </c>
      <c r="BS358" s="2282">
        <f>+BS359+BR358-BS363</f>
        <v>365.17299548872182</v>
      </c>
      <c r="BT358" s="2282">
        <f>+BT359+BS358-BT363</f>
        <v>388.17299548872182</v>
      </c>
      <c r="BU358" s="2283">
        <f>+BT358</f>
        <v>388.17299548872182</v>
      </c>
      <c r="BV358" s="63"/>
      <c r="BW358" s="2281">
        <f>+BW359+BU358-BW363</f>
        <v>411.17299548872182</v>
      </c>
      <c r="BX358" s="2287">
        <f>+BX359+BW358-BX363</f>
        <v>434.17299548872182</v>
      </c>
      <c r="BY358" s="2282">
        <f>+BY359+BX358-BY363</f>
        <v>457.17299548872182</v>
      </c>
      <c r="BZ358" s="2282">
        <f>+BZ359+BY358-BZ363</f>
        <v>480.17299548872182</v>
      </c>
      <c r="CA358" s="2283">
        <f>+BZ358</f>
        <v>480.17299548872182</v>
      </c>
      <c r="CB358" s="63"/>
      <c r="CC358" s="2281">
        <f>+CC359+CA358-CC363</f>
        <v>503.17299548872182</v>
      </c>
      <c r="CD358" s="2287">
        <f>+CD359+CC358-CD363</f>
        <v>526.17299548872188</v>
      </c>
      <c r="CE358" s="2282">
        <f>+CE359+CD358-CE363</f>
        <v>549.17299548872188</v>
      </c>
      <c r="CF358" s="2282">
        <f>+CF359+CE358-CF363</f>
        <v>572.17299548872188</v>
      </c>
      <c r="CG358" s="2283">
        <f>+CF358</f>
        <v>572.17299548872188</v>
      </c>
      <c r="CH358" s="63"/>
      <c r="CI358" s="2281">
        <f>+CI359+CG358-CI363</f>
        <v>595.17299548872188</v>
      </c>
      <c r="CJ358" s="2287">
        <f>+CJ359+CI358-CJ363</f>
        <v>618.17299548872188</v>
      </c>
      <c r="CK358" s="2282">
        <f>+CK359+CJ358-CK363</f>
        <v>641.17299548872188</v>
      </c>
      <c r="CL358" s="2282">
        <f>+CL359+CK358-CL363</f>
        <v>664.17299548872188</v>
      </c>
      <c r="CM358" s="2283">
        <f>+CL358</f>
        <v>664.17299548872188</v>
      </c>
      <c r="CN358" s="63"/>
      <c r="CO358" s="2281">
        <f>+CO359+CM358-CO363</f>
        <v>687.17299548872188</v>
      </c>
      <c r="CP358" s="2287">
        <f>+CP359+CO358-CP363</f>
        <v>710.17299548872188</v>
      </c>
      <c r="CQ358" s="2282">
        <f>+CQ359+CP358-CQ363</f>
        <v>733.17299548872188</v>
      </c>
      <c r="CR358" s="2282">
        <f>+CR359+CQ358-CR363</f>
        <v>756.17299548872188</v>
      </c>
      <c r="CS358" s="2283">
        <f>+CR358</f>
        <v>756.17299548872188</v>
      </c>
    </row>
    <row r="359" spans="1:280">
      <c r="A359" s="2291" t="s">
        <v>682</v>
      </c>
      <c r="C359" s="1850"/>
      <c r="G359" s="736"/>
      <c r="H359" s="63"/>
      <c r="I359" s="2277"/>
      <c r="J359" s="2278"/>
      <c r="K359" s="2278"/>
      <c r="L359" s="2278"/>
      <c r="M359" s="2279"/>
      <c r="N359" s="63"/>
      <c r="O359" s="2277"/>
      <c r="P359" s="2278"/>
      <c r="Q359" s="2278"/>
      <c r="R359" s="2278"/>
      <c r="S359" s="2279"/>
      <c r="T359" s="63"/>
      <c r="U359" s="2277"/>
      <c r="V359" s="2278"/>
      <c r="W359" s="2278"/>
      <c r="X359" s="2278"/>
      <c r="Y359" s="2279"/>
      <c r="Z359" s="63"/>
      <c r="AA359" s="2277"/>
      <c r="AB359" s="2278"/>
      <c r="AC359" s="2278"/>
      <c r="AD359" s="2278"/>
      <c r="AE359" s="2279"/>
      <c r="AF359" s="63"/>
      <c r="AG359" s="2277"/>
      <c r="AH359" s="2278"/>
      <c r="AI359" s="2278"/>
      <c r="AJ359" s="2278"/>
      <c r="AK359" s="2279"/>
      <c r="AL359" s="63"/>
      <c r="AM359" s="2277"/>
      <c r="AN359" s="2278"/>
      <c r="AO359" s="2278"/>
      <c r="AP359" s="2278"/>
      <c r="AQ359" s="2279"/>
      <c r="AR359" s="63"/>
      <c r="AS359" s="2277"/>
      <c r="AT359" s="2278"/>
      <c r="AU359" s="2278"/>
      <c r="AV359" s="2278"/>
      <c r="AW359" s="2279"/>
      <c r="AX359" s="63"/>
      <c r="AY359" s="2285">
        <f>+AY$81</f>
        <v>16.876000000000001</v>
      </c>
      <c r="AZ359" s="2286">
        <f>+AZ$81</f>
        <v>24.015887218045112</v>
      </c>
      <c r="BA359" s="2286">
        <f>+BA$81</f>
        <v>26.449248120300751</v>
      </c>
      <c r="BB359" s="2286">
        <f>+BB$81</f>
        <v>11.875999999999999</v>
      </c>
      <c r="BC359" s="2283">
        <f>+SUM(AY359:BB359)</f>
        <v>79.217135338345869</v>
      </c>
      <c r="BE359" s="2285">
        <f>+BE$81</f>
        <v>14.955860150375941</v>
      </c>
      <c r="BF359" s="2297">
        <v>30</v>
      </c>
      <c r="BG359" s="2297">
        <v>30</v>
      </c>
      <c r="BH359" s="2297">
        <v>30</v>
      </c>
      <c r="BI359" s="2283">
        <f>+SUM(BE359:BH359)</f>
        <v>104.95586015037594</v>
      </c>
      <c r="BJ359" s="63"/>
      <c r="BK359" s="2298">
        <v>30</v>
      </c>
      <c r="BL359" s="2297">
        <v>30</v>
      </c>
      <c r="BM359" s="2297">
        <v>30</v>
      </c>
      <c r="BN359" s="2297">
        <v>30</v>
      </c>
      <c r="BO359" s="2283">
        <f>+SUM(BK359:BN359)</f>
        <v>120</v>
      </c>
      <c r="BP359" s="63"/>
      <c r="BQ359" s="2298">
        <v>23</v>
      </c>
      <c r="BR359" s="2297">
        <v>23</v>
      </c>
      <c r="BS359" s="2297">
        <v>23</v>
      </c>
      <c r="BT359" s="2297">
        <v>23</v>
      </c>
      <c r="BU359" s="2283">
        <f>+SUM(BQ359:BT359)</f>
        <v>92</v>
      </c>
      <c r="BV359" s="63"/>
      <c r="BW359" s="2298">
        <v>23</v>
      </c>
      <c r="BX359" s="2297">
        <v>23</v>
      </c>
      <c r="BY359" s="2297">
        <v>23</v>
      </c>
      <c r="BZ359" s="2297">
        <v>23</v>
      </c>
      <c r="CA359" s="2283">
        <f>+SUM(BW359:BZ359)</f>
        <v>92</v>
      </c>
      <c r="CB359" s="63"/>
      <c r="CC359" s="2298">
        <v>23</v>
      </c>
      <c r="CD359" s="2297">
        <v>23</v>
      </c>
      <c r="CE359" s="2297">
        <v>23</v>
      </c>
      <c r="CF359" s="2297">
        <v>23</v>
      </c>
      <c r="CG359" s="2283">
        <f>+SUM(CC359:CF359)</f>
        <v>92</v>
      </c>
      <c r="CH359" s="63"/>
      <c r="CI359" s="2298">
        <v>23</v>
      </c>
      <c r="CJ359" s="2297">
        <v>23</v>
      </c>
      <c r="CK359" s="2297">
        <v>23</v>
      </c>
      <c r="CL359" s="2297">
        <v>23</v>
      </c>
      <c r="CM359" s="2283">
        <f>+SUM(CI359:CL359)</f>
        <v>92</v>
      </c>
      <c r="CN359" s="63"/>
      <c r="CO359" s="2298">
        <v>23</v>
      </c>
      <c r="CP359" s="2297">
        <v>23</v>
      </c>
      <c r="CQ359" s="2297">
        <v>23</v>
      </c>
      <c r="CR359" s="2297">
        <v>23</v>
      </c>
      <c r="CS359" s="2283">
        <f>+SUM(CO359:CR359)</f>
        <v>92</v>
      </c>
    </row>
    <row r="360" spans="1:280" ht="12.75" hidden="1" customHeight="1" outlineLevel="1">
      <c r="A360" s="1991" t="s">
        <v>706</v>
      </c>
      <c r="C360" s="1850"/>
      <c r="G360" s="736"/>
      <c r="H360" s="63"/>
      <c r="I360" s="2277"/>
      <c r="J360" s="2278"/>
      <c r="K360" s="2278"/>
      <c r="L360" s="2278"/>
      <c r="M360" s="2279"/>
      <c r="N360" s="63"/>
      <c r="O360" s="2277"/>
      <c r="P360" s="2278"/>
      <c r="Q360" s="2278"/>
      <c r="R360" s="2278"/>
      <c r="S360" s="2279"/>
      <c r="T360" s="63"/>
      <c r="U360" s="2277"/>
      <c r="V360" s="2278"/>
      <c r="W360" s="2278"/>
      <c r="X360" s="2278"/>
      <c r="Y360" s="2279"/>
      <c r="Z360" s="63"/>
      <c r="AA360" s="2277"/>
      <c r="AB360" s="2278"/>
      <c r="AC360" s="2278"/>
      <c r="AD360" s="2278"/>
      <c r="AE360" s="2279"/>
      <c r="AF360" s="63"/>
      <c r="AG360" s="2277"/>
      <c r="AH360" s="2278"/>
      <c r="AK360" s="1420"/>
      <c r="AM360" s="1419"/>
      <c r="AQ360" s="1420"/>
      <c r="AS360" s="1419"/>
      <c r="AW360" s="1420"/>
      <c r="AX360" s="63"/>
      <c r="AY360" s="1937"/>
      <c r="AZ360" s="1938">
        <f>+AZ359/AY358</f>
        <v>1.4230793563667403</v>
      </c>
      <c r="BA360" s="1938">
        <f>+BA359/AZ358</f>
        <v>0.64680918195991222</v>
      </c>
      <c r="BB360" s="1939">
        <f>+BB359/BA358</f>
        <v>0.17635580303674334</v>
      </c>
      <c r="BC360" s="1936">
        <f>+AVERAGE(AY360:BB360)</f>
        <v>0.7487481137877986</v>
      </c>
      <c r="BE360" s="1937">
        <f>+BE359/BC358</f>
        <v>0.18879577109797863</v>
      </c>
      <c r="BF360" s="1938">
        <f>+BF359/BE358</f>
        <v>0.32198170556437</v>
      </c>
      <c r="BG360" s="1938">
        <f>+BG359/BF358</f>
        <v>0.24555344558748582</v>
      </c>
      <c r="BH360" s="1939">
        <f>+BH359/BG358</f>
        <v>0.1997696050636017</v>
      </c>
      <c r="BI360" s="1936">
        <f>+AVERAGE(BE360:BH360)</f>
        <v>0.23902513182835905</v>
      </c>
      <c r="BJ360" s="63"/>
      <c r="BK360" s="1937">
        <f>+BK359/BI358</f>
        <v>0.16743594601502532</v>
      </c>
      <c r="BL360" s="1938">
        <f>+BL359/BK358</f>
        <v>0.14342195525720977</v>
      </c>
      <c r="BM360" s="1938">
        <f>+BM359/BL358</f>
        <v>0.12543222088554995</v>
      </c>
      <c r="BN360" s="1939">
        <f>+BN359/BM358</f>
        <v>0.11145248781561738</v>
      </c>
      <c r="BO360" s="1936">
        <f>+AVERAGE(BK360:BN360)</f>
        <v>0.1369356524933506</v>
      </c>
      <c r="BP360" s="63"/>
      <c r="BQ360" s="1937">
        <f>+BQ359/BO358</f>
        <v>7.7657316333135551E-2</v>
      </c>
      <c r="BR360" s="1938">
        <f>+BR359/BQ358</f>
        <v>7.2061234268212773E-2</v>
      </c>
      <c r="BS360" s="1938">
        <f>+BS359/BR358</f>
        <v>6.7217461059863481E-2</v>
      </c>
      <c r="BT360" s="1939">
        <f>+BT359/BS358</f>
        <v>6.2983846790802309E-2</v>
      </c>
      <c r="BU360" s="1936">
        <f>+AVERAGE(BQ360:BT360)</f>
        <v>6.9979964613003529E-2</v>
      </c>
      <c r="BV360" s="63"/>
      <c r="BW360" s="1937">
        <f>+BW359/BU358</f>
        <v>5.9251932172773344E-2</v>
      </c>
      <c r="BX360" s="1938">
        <f>+BX359/BW358</f>
        <v>5.5937525694415097E-2</v>
      </c>
      <c r="BY360" s="1938">
        <f>+BY359/BX358</f>
        <v>5.2974275781731466E-2</v>
      </c>
      <c r="BZ360" s="1939">
        <f>+BZ359/BY358</f>
        <v>5.030918323470266E-2</v>
      </c>
      <c r="CA360" s="1936">
        <f>+AVERAGE(BW360:BZ360)</f>
        <v>5.4618229220905638E-2</v>
      </c>
      <c r="CB360" s="63"/>
      <c r="CC360" s="1937">
        <f>+CC359/CA358</f>
        <v>4.7899403373549809E-2</v>
      </c>
      <c r="CD360" s="1938">
        <f>+CD359/CC358</f>
        <v>4.5709925226930279E-2</v>
      </c>
      <c r="CE360" s="1938">
        <f>+CE359/CD358</f>
        <v>4.3711859402128871E-2</v>
      </c>
      <c r="CF360" s="1939">
        <f>+CF359/CE358</f>
        <v>4.1881156191104704E-2</v>
      </c>
      <c r="CG360" s="1936">
        <f>+AVERAGE(CC360:CF360)</f>
        <v>4.4800586048428417E-2</v>
      </c>
      <c r="CH360" s="63"/>
      <c r="CI360" s="1937">
        <f>+CI359/CG358</f>
        <v>4.0197632851152888E-2</v>
      </c>
      <c r="CJ360" s="1938">
        <f>+CJ359/CI358</f>
        <v>3.8644226425484443E-2</v>
      </c>
      <c r="CK360" s="1938">
        <f>+CK359/CJ358</f>
        <v>3.7206413363004336E-2</v>
      </c>
      <c r="CL360" s="1939">
        <f>+CL359/CK358</f>
        <v>3.5871754053628989E-2</v>
      </c>
      <c r="CM360" s="1936">
        <f>+AVERAGE(CI360:CL360)</f>
        <v>3.7980006673317669E-2</v>
      </c>
      <c r="CN360" s="63"/>
      <c r="CO360" s="1937">
        <f>+CO359/CM358</f>
        <v>3.4629531998776601E-2</v>
      </c>
      <c r="CP360" s="1938">
        <f>+CP359/CO358</f>
        <v>3.347046544464724E-2</v>
      </c>
      <c r="CQ360" s="1938">
        <f>+CQ359/CP358</f>
        <v>3.2386475050592459E-2</v>
      </c>
      <c r="CR360" s="1939">
        <f>+CR359/CQ358</f>
        <v>3.1370495287634748E-2</v>
      </c>
      <c r="CS360" s="1936">
        <f>+AVERAGE(CO360:CR360)</f>
        <v>3.2964241945412767E-2</v>
      </c>
    </row>
    <row r="361" spans="1:280" collapsed="1">
      <c r="A361" s="1991" t="s">
        <v>708</v>
      </c>
      <c r="C361" s="1850"/>
      <c r="G361" s="736"/>
      <c r="H361" s="63"/>
      <c r="I361" s="2277"/>
      <c r="J361" s="2278"/>
      <c r="K361" s="2278"/>
      <c r="L361" s="2278"/>
      <c r="M361" s="2279"/>
      <c r="N361" s="63"/>
      <c r="O361" s="2277"/>
      <c r="P361" s="2278"/>
      <c r="Q361" s="2278"/>
      <c r="R361" s="2278"/>
      <c r="S361" s="2279"/>
      <c r="T361" s="63"/>
      <c r="U361" s="2277"/>
      <c r="V361" s="2278"/>
      <c r="W361" s="2278"/>
      <c r="X361" s="2278"/>
      <c r="Y361" s="2279"/>
      <c r="Z361" s="63"/>
      <c r="AA361" s="2277"/>
      <c r="AB361" s="2278"/>
      <c r="AC361" s="2278"/>
      <c r="AD361" s="2278"/>
      <c r="AE361" s="2279"/>
      <c r="AF361" s="63"/>
      <c r="AG361" s="2277"/>
      <c r="AH361" s="2278"/>
      <c r="AK361" s="1420"/>
      <c r="AM361" s="1419"/>
      <c r="AQ361" s="1420"/>
      <c r="AS361" s="1419"/>
      <c r="AW361" s="1420"/>
      <c r="AX361" s="63"/>
      <c r="AY361" s="1937">
        <f>+AY359/(AV$152++AV$154+AV$156+AV$158)</f>
        <v>9.2846482229134962E-3</v>
      </c>
      <c r="AZ361" s="1938">
        <f>+AZ359/(AY$152++AY$154+AY$156+AY$158)</f>
        <v>1.2790572792362767E-2</v>
      </c>
      <c r="BA361" s="1938">
        <f>+BA359/(AZ$152++AZ$154+AZ$156+AZ$158)</f>
        <v>1.3601214066155002E-2</v>
      </c>
      <c r="BB361" s="1938">
        <f>+BB359/(BA$152++BA$154+BA$156+BA$158)</f>
        <v>5.9391163752585069E-3</v>
      </c>
      <c r="BC361" s="1936">
        <f>+AVERAGE(AY361:BB361)</f>
        <v>1.0403887864172444E-2</v>
      </c>
      <c r="BE361" s="1937">
        <f>+BE359/(BB$152++BB$154+BB$156+BB$158)</f>
        <v>7.2862149678203951E-3</v>
      </c>
      <c r="BF361" s="1938">
        <f>+BF359/(BE$152++BE$154+BE$156+BE$158)</f>
        <v>1.498757589683079E-2</v>
      </c>
      <c r="BG361" s="1938">
        <f>+BG359/(BF$152++BF$154+BF$156+BF$158)</f>
        <v>1.5055517367451669E-2</v>
      </c>
      <c r="BH361" s="1938">
        <f>+BH359/(BG$152++BG$154+BG$156+BG$158)</f>
        <v>1.5371216567471055E-2</v>
      </c>
      <c r="BI361" s="1936">
        <f>+AVERAGE(BE361:BH361)</f>
        <v>1.3175131199893478E-2</v>
      </c>
      <c r="BJ361" s="63"/>
      <c r="BK361" s="1937">
        <f>+BK359/(BH$152++BH$154+BH$156+BH$158)</f>
        <v>1.6028211529078251E-2</v>
      </c>
      <c r="BL361" s="1938">
        <f>+BL359/(BK$152++BK$154+BK$156+BK$158)</f>
        <v>1.6201330429866514E-2</v>
      </c>
      <c r="BM361" s="1938">
        <f>+BM359/(BL$152++BL$154+BL$156+BL$158)</f>
        <v>1.6468136145117589E-2</v>
      </c>
      <c r="BN361" s="1938">
        <f>+BN359/(BM$152++BM$154+BM$156+BM$158)</f>
        <v>1.6678714439202168E-2</v>
      </c>
      <c r="BO361" s="1936">
        <f>+AVERAGE(BK361:BN361)</f>
        <v>1.6344098135816131E-2</v>
      </c>
      <c r="BP361" s="63"/>
      <c r="BQ361" s="1937">
        <f>+BQ359/(BN$152++BN$154+BN$156+BN$158)</f>
        <v>1.2930793747647823E-2</v>
      </c>
      <c r="BR361" s="1938">
        <f>+BR359/(BQ$152++BQ$154+BQ$156+BQ$158)</f>
        <v>1.307041135966021E-2</v>
      </c>
      <c r="BS361" s="1938">
        <f>+BS359/(BR$152++BR$154+BR$156+BR$158)</f>
        <v>1.353180147725584E-2</v>
      </c>
      <c r="BT361" s="1938">
        <f>+BT359/(BS$152++BS$154+BS$156+BS$158)</f>
        <v>1.4541318323658112E-2</v>
      </c>
      <c r="BU361" s="1936">
        <f>+AVERAGE(BQ361:BT361)</f>
        <v>1.3518581227055496E-2</v>
      </c>
      <c r="BV361" s="63"/>
      <c r="BW361" s="1937">
        <f>+BW359/(BT$152++BT$154+BT$156+BT$158)</f>
        <v>1.5713604871151345E-2</v>
      </c>
      <c r="BX361" s="1938">
        <f>+BX359/(BW$152++BW$154+BW$156+BW$158)</f>
        <v>1.6990473317750797E-2</v>
      </c>
      <c r="BY361" s="1938">
        <f>+BY359/(BX$152++BX$154+BX$156+BX$158)</f>
        <v>1.8493209021599406E-2</v>
      </c>
      <c r="BZ361" s="1938">
        <f>+BZ359/(BY$152++BY$154+BY$156+BY$158)</f>
        <v>2.028755795546482E-2</v>
      </c>
      <c r="CA361" s="1936">
        <f>+AVERAGE(BW361:BZ361)</f>
        <v>1.7871211291491593E-2</v>
      </c>
      <c r="CB361" s="63"/>
      <c r="CC361" s="1937">
        <f>+CC359/(BZ$152++BZ$154+BZ$156+BZ$158)</f>
        <v>2.2467524599706634E-2</v>
      </c>
      <c r="CD361" s="1938">
        <f>+CD359/(CC$152++CC$154+CC$156+CC$158)</f>
        <v>2.4899865179968943E-2</v>
      </c>
      <c r="CE361" s="1938">
        <f>+CE359/(CD$152++CD$154+CD$156+CD$158)</f>
        <v>2.7922794865142788E-2</v>
      </c>
      <c r="CF361" s="1938">
        <f>+CF359/(CE$152++CE$154+CE$156+CE$158)</f>
        <v>3.1781134416902328E-2</v>
      </c>
      <c r="CG361" s="1936">
        <f>+AVERAGE(CC361:CF361)</f>
        <v>2.6767829765430171E-2</v>
      </c>
      <c r="CH361" s="63"/>
      <c r="CI361" s="1937">
        <f>+CI359/(CF$152++CF$154+CF$156+CF$158)</f>
        <v>3.6876716524357089E-2</v>
      </c>
      <c r="CJ361" s="1938">
        <f>+CJ359/(CI$152++CI$154+CI$156+CI$158)</f>
        <v>4.3918292232597904E-2</v>
      </c>
      <c r="CK361" s="1938">
        <f>+CK359/(CJ$152++CJ$154+CJ$156+CJ$158)</f>
        <v>6.1546731368786321E-2</v>
      </c>
      <c r="CL361" s="1938">
        <f>+CL359/(CK$152++CK$154+CK$156+CK$158)</f>
        <v>8.9409346308832294E-2</v>
      </c>
      <c r="CM361" s="1936">
        <f>+AVERAGE(CI361:CL361)</f>
        <v>5.7937771608643406E-2</v>
      </c>
      <c r="CN361" s="63"/>
      <c r="CO361" s="1937">
        <f>+CO359/(CL$152++CL$154+CL$156+CL$158)</f>
        <v>0.11098040086120786</v>
      </c>
      <c r="CP361" s="1938">
        <f>+CP359/(CO$152++CO$154+CO$156+CO$158)</f>
        <v>0.11098040086120786</v>
      </c>
      <c r="CQ361" s="1938">
        <f>+CQ359/(CP$152++CP$154+CP$156+CP$158)</f>
        <v>0.1462696780413599</v>
      </c>
      <c r="CR361" s="1938">
        <f>+CR359/(CQ$152++CQ$154+CQ$156+CQ$158)</f>
        <v>0.21446461240649795</v>
      </c>
      <c r="CS361" s="1936">
        <f>+AVERAGE(CO361:CR361)</f>
        <v>0.1456737730425684</v>
      </c>
    </row>
    <row r="362" spans="1:280">
      <c r="A362" s="2280" t="s">
        <v>683</v>
      </c>
      <c r="C362" s="1850"/>
      <c r="G362" s="736"/>
      <c r="H362" s="63"/>
      <c r="I362" s="1425"/>
      <c r="J362" s="6"/>
      <c r="K362" s="6"/>
      <c r="L362" s="6"/>
      <c r="M362" s="1841"/>
      <c r="N362" s="63"/>
      <c r="O362" s="1425"/>
      <c r="P362" s="2278"/>
      <c r="Q362" s="2278"/>
      <c r="R362" s="2278"/>
      <c r="S362" s="2279"/>
      <c r="T362" s="63"/>
      <c r="U362" s="1425"/>
      <c r="V362" s="2278"/>
      <c r="W362" s="2278"/>
      <c r="X362" s="2278"/>
      <c r="Y362" s="2279"/>
      <c r="Z362" s="63"/>
      <c r="AA362" s="1425"/>
      <c r="AB362" s="2278"/>
      <c r="AC362" s="2278"/>
      <c r="AD362" s="2278"/>
      <c r="AE362" s="2279"/>
      <c r="AF362" s="63"/>
      <c r="AG362" s="1425">
        <f>+AVERAGE(AG358,AD358)</f>
        <v>0</v>
      </c>
      <c r="AH362" s="2278">
        <f>+AVERAGE(AH358,AG358)</f>
        <v>0</v>
      </c>
      <c r="AI362" s="2278">
        <f>+AVERAGE(AI358,AH358)</f>
        <v>0</v>
      </c>
      <c r="AJ362" s="2278">
        <f>+AVERAGE(AJ358,AI358)</f>
        <v>0</v>
      </c>
      <c r="AK362" s="2279">
        <f>+AVERAGE(AK358,AJ358)</f>
        <v>0</v>
      </c>
      <c r="AL362" s="63"/>
      <c r="AM362" s="1425">
        <f>+AVERAGE(AM358,AJ358)</f>
        <v>0</v>
      </c>
      <c r="AN362" s="2278">
        <f>+AVERAGE(AN358,AM358)</f>
        <v>0</v>
      </c>
      <c r="AO362" s="2278">
        <f>+AVERAGE(AO358,AN358)</f>
        <v>0</v>
      </c>
      <c r="AP362" s="2278">
        <f>+AVERAGE(AP358,AO358)</f>
        <v>0</v>
      </c>
      <c r="AQ362" s="2279">
        <f>+AVERAGE(AQ358,AP358)</f>
        <v>0</v>
      </c>
      <c r="AR362" s="63"/>
      <c r="AS362" s="1425">
        <f>+AVERAGE(AS358,AP358)</f>
        <v>0</v>
      </c>
      <c r="AT362" s="2278">
        <f>+AVERAGE(AT358,AS358)</f>
        <v>0</v>
      </c>
      <c r="AU362" s="2278">
        <f>+AVERAGE(AU358,AT358)</f>
        <v>0</v>
      </c>
      <c r="AV362" s="2278">
        <f>+AVERAGE(AV358,AU358)</f>
        <v>0</v>
      </c>
      <c r="AW362" s="2279">
        <f>+AVERAGE(AW358,AV358)</f>
        <v>0</v>
      </c>
      <c r="AX362" s="63"/>
      <c r="AY362" s="2281">
        <f>+AVERAGE(AY358,AV358)</f>
        <v>8.4380000000000006</v>
      </c>
      <c r="AZ362" s="2282">
        <f>+AVERAGE(AZ358,AY358)</f>
        <v>28.883943609022559</v>
      </c>
      <c r="BA362" s="2282">
        <f>+AVERAGE(BA358,AZ358)</f>
        <v>54.116511278195489</v>
      </c>
      <c r="BB362" s="2282">
        <f>+AVERAGE(BB358,BA358)</f>
        <v>73.279135338345867</v>
      </c>
      <c r="BC362" s="2283">
        <f>+AVERAGE(BC358,AW358)</f>
        <v>39.608567669172935</v>
      </c>
      <c r="BE362" s="2281">
        <f>+AVERAGE(BE358,BB358)</f>
        <v>86.19506541353384</v>
      </c>
      <c r="BF362" s="2282">
        <f>+AVERAGE(BF358,BE358)</f>
        <v>107.67299548872181</v>
      </c>
      <c r="BG362" s="2282">
        <f>+AVERAGE(BG358,BF358)</f>
        <v>136.17299548872182</v>
      </c>
      <c r="BH362" s="2282">
        <f>+AVERAGE(BH358,BG358)</f>
        <v>164.67299548872182</v>
      </c>
      <c r="BI362" s="2283">
        <f>+AVERAGE(BI358,BC358)</f>
        <v>129.19506541353385</v>
      </c>
      <c r="BJ362" s="63"/>
      <c r="BK362" s="2281">
        <f>+AVERAGE(BK358,BH358)</f>
        <v>194.17299548872182</v>
      </c>
      <c r="BL362" s="2282">
        <f>+AVERAGE(BL358,BK358)</f>
        <v>224.17299548872182</v>
      </c>
      <c r="BM362" s="2282">
        <f>+AVERAGE(BM358,BL358)</f>
        <v>254.17299548872182</v>
      </c>
      <c r="BN362" s="2282">
        <f>+AVERAGE(BN358,BM358)</f>
        <v>282.67299548872182</v>
      </c>
      <c r="BO362" s="2283">
        <f>+AVERAGE(BO358,BI358)</f>
        <v>237.67299548872182</v>
      </c>
      <c r="BP362" s="63"/>
      <c r="BQ362" s="2281">
        <f>+AVERAGE(BQ358,BN358)</f>
        <v>307.67299548872182</v>
      </c>
      <c r="BR362" s="2282">
        <f>+AVERAGE(BR358,BQ358)</f>
        <v>330.67299548872182</v>
      </c>
      <c r="BS362" s="2282">
        <f>+AVERAGE(BS358,BR358)</f>
        <v>353.67299548872182</v>
      </c>
      <c r="BT362" s="2282">
        <f>+AVERAGE(BT358,BS358)</f>
        <v>376.67299548872182</v>
      </c>
      <c r="BU362" s="2283">
        <f>+AVERAGE(BU358,BO358)</f>
        <v>342.17299548872182</v>
      </c>
      <c r="BV362" s="63"/>
      <c r="BW362" s="2281">
        <f>+AVERAGE(BW358,BT358)</f>
        <v>399.67299548872182</v>
      </c>
      <c r="BX362" s="2282">
        <f>+AVERAGE(BX358,BW358)</f>
        <v>422.67299548872182</v>
      </c>
      <c r="BY362" s="2282">
        <f>+AVERAGE(BY358,BX358)</f>
        <v>445.67299548872182</v>
      </c>
      <c r="BZ362" s="2282">
        <f>+AVERAGE(BZ358,BY358)</f>
        <v>468.67299548872182</v>
      </c>
      <c r="CA362" s="2283">
        <f>+AVERAGE(CA358,BU358)</f>
        <v>434.17299548872182</v>
      </c>
      <c r="CB362" s="63"/>
      <c r="CC362" s="2281">
        <f>+AVERAGE(CC358,BZ358)</f>
        <v>491.67299548872182</v>
      </c>
      <c r="CD362" s="2282">
        <f>+AVERAGE(CD358,CC358)</f>
        <v>514.67299548872188</v>
      </c>
      <c r="CE362" s="2282">
        <f>+AVERAGE(CE358,CD358)</f>
        <v>537.67299548872188</v>
      </c>
      <c r="CF362" s="2282">
        <f>+AVERAGE(CF358,CE358)</f>
        <v>560.67299548872188</v>
      </c>
      <c r="CG362" s="2283">
        <f>+AVERAGE(CG358,CA358)</f>
        <v>526.17299548872188</v>
      </c>
      <c r="CH362" s="63"/>
      <c r="CI362" s="2281">
        <f>+AVERAGE(CI358,CF358)</f>
        <v>583.67299548872188</v>
      </c>
      <c r="CJ362" s="2282">
        <f>+AVERAGE(CJ358,CI358)</f>
        <v>606.67299548872188</v>
      </c>
      <c r="CK362" s="2282">
        <f>+AVERAGE(CK358,CJ358)</f>
        <v>629.67299548872188</v>
      </c>
      <c r="CL362" s="2282">
        <f>+AVERAGE(CL358,CK358)</f>
        <v>652.67299548872188</v>
      </c>
      <c r="CM362" s="2283">
        <f>+AVERAGE(CM358,CG358)</f>
        <v>618.17299548872188</v>
      </c>
      <c r="CN362" s="63"/>
      <c r="CO362" s="2281">
        <f>+AVERAGE(CO358,CL358)</f>
        <v>675.67299548872188</v>
      </c>
      <c r="CP362" s="2282">
        <f>+AVERAGE(CP358,CO358)</f>
        <v>698.67299548872188</v>
      </c>
      <c r="CQ362" s="2282">
        <f>+AVERAGE(CQ358,CP358)</f>
        <v>721.67299548872188</v>
      </c>
      <c r="CR362" s="2282">
        <f>+AVERAGE(CR358,CQ358)</f>
        <v>744.67299548872188</v>
      </c>
      <c r="CS362" s="2283">
        <f>+AVERAGE(CS358,CM358)</f>
        <v>710.17299548872188</v>
      </c>
    </row>
    <row r="363" spans="1:280">
      <c r="A363" s="2291" t="s">
        <v>686</v>
      </c>
      <c r="C363" s="1850"/>
      <c r="G363" s="736"/>
      <c r="H363" s="63"/>
      <c r="I363" s="1425"/>
      <c r="J363" s="6"/>
      <c r="K363" s="6"/>
      <c r="L363" s="6"/>
      <c r="M363" s="1841"/>
      <c r="N363" s="63"/>
      <c r="O363" s="1425"/>
      <c r="P363" s="2278"/>
      <c r="Q363" s="2278"/>
      <c r="R363" s="2278"/>
      <c r="S363" s="2279"/>
      <c r="T363" s="63"/>
      <c r="U363" s="1425"/>
      <c r="V363" s="2278"/>
      <c r="W363" s="2278"/>
      <c r="X363" s="2278"/>
      <c r="Y363" s="2279"/>
      <c r="Z363" s="63"/>
      <c r="AA363" s="1425"/>
      <c r="AB363" s="2278"/>
      <c r="AC363" s="2278"/>
      <c r="AD363" s="2278"/>
      <c r="AE363" s="2279"/>
      <c r="AF363" s="63"/>
      <c r="AG363" s="1425"/>
      <c r="AH363" s="2278"/>
      <c r="AI363" s="2278"/>
      <c r="AJ363" s="2278"/>
      <c r="AK363" s="2279"/>
      <c r="AL363" s="63"/>
      <c r="AM363" s="1425"/>
      <c r="AN363" s="2278"/>
      <c r="AO363" s="2278"/>
      <c r="AP363" s="2278"/>
      <c r="AQ363" s="2279"/>
      <c r="AR363" s="63"/>
      <c r="AS363" s="1425"/>
      <c r="AT363" s="2278"/>
      <c r="AU363" s="2278"/>
      <c r="AV363" s="2278"/>
      <c r="AW363" s="2279"/>
      <c r="AX363" s="63"/>
      <c r="AY363" s="2281">
        <f>+AY$93</f>
        <v>0</v>
      </c>
      <c r="AZ363" s="2287">
        <f>+AZ$93</f>
        <v>0</v>
      </c>
      <c r="BA363" s="2282">
        <f>+BA$93</f>
        <v>0</v>
      </c>
      <c r="BB363" s="2282">
        <f>+BB$93</f>
        <v>0</v>
      </c>
      <c r="BC363" s="2283">
        <f>+SUM(AY363:BB363)</f>
        <v>0</v>
      </c>
      <c r="BE363" s="2281">
        <f>+BE$93</f>
        <v>1</v>
      </c>
      <c r="BF363" s="2287">
        <f>+BF$93</f>
        <v>1</v>
      </c>
      <c r="BG363" s="2282">
        <f>+BG$93</f>
        <v>2</v>
      </c>
      <c r="BH363" s="2282">
        <f>+BH$93</f>
        <v>1</v>
      </c>
      <c r="BI363" s="2283">
        <f>+SUM(BE363:BH363)</f>
        <v>5</v>
      </c>
      <c r="BK363" s="2281">
        <f>+BK$93</f>
        <v>0</v>
      </c>
      <c r="BL363" s="2287">
        <f>+BL$93</f>
        <v>0</v>
      </c>
      <c r="BM363" s="2282">
        <f>+BM$93</f>
        <v>0</v>
      </c>
      <c r="BN363" s="2282">
        <f>+BN$93</f>
        <v>3</v>
      </c>
      <c r="BO363" s="2283">
        <f>+SUM(BK363:BN363)</f>
        <v>3</v>
      </c>
      <c r="BQ363" s="2281">
        <f>+BQ$93</f>
        <v>0</v>
      </c>
      <c r="BR363" s="2287">
        <f>+BR$93</f>
        <v>0</v>
      </c>
      <c r="BS363" s="2282">
        <f>+BS$93</f>
        <v>0</v>
      </c>
      <c r="BT363" s="2282">
        <f>+BT$93</f>
        <v>0</v>
      </c>
      <c r="BU363" s="2283">
        <f>+SUM(BQ363:BT363)</f>
        <v>0</v>
      </c>
      <c r="BW363" s="2281">
        <f>+BW$93</f>
        <v>0</v>
      </c>
      <c r="BX363" s="2287">
        <f>+BX$93</f>
        <v>0</v>
      </c>
      <c r="BY363" s="2282">
        <f>+BY$93</f>
        <v>0</v>
      </c>
      <c r="BZ363" s="2282">
        <f>+BZ$93</f>
        <v>0</v>
      </c>
      <c r="CA363" s="2283">
        <f>+SUM(BW363:BZ363)</f>
        <v>0</v>
      </c>
      <c r="CC363" s="2281">
        <f>+CC$93</f>
        <v>0</v>
      </c>
      <c r="CD363" s="2287">
        <f>+CD$93</f>
        <v>0</v>
      </c>
      <c r="CE363" s="2282">
        <f>+CE$93</f>
        <v>0</v>
      </c>
      <c r="CF363" s="2282">
        <f>+CF$93</f>
        <v>0</v>
      </c>
      <c r="CG363" s="2283">
        <f>+SUM(CC363:CF363)</f>
        <v>0</v>
      </c>
      <c r="CI363" s="2281">
        <f>+CI$93</f>
        <v>0</v>
      </c>
      <c r="CJ363" s="2287">
        <f>+CJ$93</f>
        <v>0</v>
      </c>
      <c r="CK363" s="2282">
        <f>+CK$93</f>
        <v>0</v>
      </c>
      <c r="CL363" s="2282">
        <f>+CL$93</f>
        <v>0</v>
      </c>
      <c r="CM363" s="2283">
        <f>+SUM(CI363:CL363)</f>
        <v>0</v>
      </c>
      <c r="CO363" s="2281">
        <f>+CO$93</f>
        <v>0</v>
      </c>
      <c r="CP363" s="2287">
        <f>+CP$93</f>
        <v>0</v>
      </c>
      <c r="CQ363" s="2282">
        <f>+CQ$93</f>
        <v>0</v>
      </c>
      <c r="CR363" s="2282">
        <f>+CR$93</f>
        <v>0</v>
      </c>
      <c r="CS363" s="2283">
        <f>+SUM(CO363:CR363)</f>
        <v>0</v>
      </c>
    </row>
    <row r="364" spans="1:280">
      <c r="A364" s="1930" t="s">
        <v>684</v>
      </c>
      <c r="C364" s="1850"/>
      <c r="G364" s="736"/>
      <c r="H364" s="63"/>
      <c r="I364" s="1425"/>
      <c r="J364" s="6"/>
      <c r="K364" s="6"/>
      <c r="L364" s="6"/>
      <c r="M364" s="1841"/>
      <c r="N364" s="63"/>
      <c r="O364" s="1425"/>
      <c r="P364" s="2278"/>
      <c r="Q364" s="2278"/>
      <c r="R364" s="2278"/>
      <c r="S364" s="2279"/>
      <c r="T364" s="63"/>
      <c r="U364" s="1425"/>
      <c r="V364" s="2278"/>
      <c r="W364" s="2278"/>
      <c r="X364" s="2278"/>
      <c r="Y364" s="2279"/>
      <c r="Z364" s="63"/>
      <c r="AA364" s="1425"/>
      <c r="AB364" s="2278"/>
      <c r="AC364" s="2278"/>
      <c r="AD364" s="2278"/>
      <c r="AE364" s="2279"/>
      <c r="AF364" s="63"/>
      <c r="AG364" s="1425"/>
      <c r="AH364" s="2278"/>
      <c r="AI364" s="2278"/>
      <c r="AJ364" s="2278"/>
      <c r="AK364" s="2279"/>
      <c r="AL364" s="63"/>
      <c r="AM364" s="1425"/>
      <c r="AN364" s="2278"/>
      <c r="AO364" s="2278"/>
      <c r="AP364" s="2278"/>
      <c r="AQ364" s="2279"/>
      <c r="AR364" s="63"/>
      <c r="AS364" s="1425"/>
      <c r="AT364" s="2278"/>
      <c r="AU364" s="2278"/>
      <c r="AV364" s="2278"/>
      <c r="AW364" s="2279"/>
      <c r="AX364" s="63"/>
      <c r="AY364" s="1425">
        <f>+(AY359*AY$79)/1000</f>
        <v>9.7037000000000013</v>
      </c>
      <c r="AZ364" s="2284">
        <f>+(AZ359*AZ$79)/1000</f>
        <v>13.809135150375941</v>
      </c>
      <c r="BA364" s="2284">
        <f>+(BA359*BA$79)/1000</f>
        <v>15.340563909774435</v>
      </c>
      <c r="BB364" s="2284">
        <f>+(BB359*BB$79)/1000</f>
        <v>6.8880799999999995</v>
      </c>
      <c r="BC364" s="1424">
        <f>+SUM(AY364:BB364)</f>
        <v>45.741479060150382</v>
      </c>
      <c r="BE364" s="1425">
        <f>+(BE359*BE$79)/1000</f>
        <v>8.5996195864661651</v>
      </c>
      <c r="BF364" s="2284">
        <f>+(BF359*BF$79)/1000</f>
        <v>17.25</v>
      </c>
      <c r="BG364" s="2284">
        <f>+(BG359*BG$79)/1000</f>
        <v>17.25</v>
      </c>
      <c r="BH364" s="2284">
        <f>+(BH359*BH$79)/1000</f>
        <v>17.25</v>
      </c>
      <c r="BI364" s="1424">
        <f>+SUM(BE364:BH364)</f>
        <v>60.349619586466162</v>
      </c>
      <c r="BJ364" s="63"/>
      <c r="BK364" s="1425">
        <f>+(BK359*BK$79)/1000</f>
        <v>17.25</v>
      </c>
      <c r="BL364" s="2284">
        <f>+(BL359*BL$79)/1000</f>
        <v>17.25</v>
      </c>
      <c r="BM364" s="2284">
        <f>+(BM359*BM$79)/1000</f>
        <v>17.25</v>
      </c>
      <c r="BN364" s="2284">
        <f>+(BN359*BN$79)/1000</f>
        <v>17.25</v>
      </c>
      <c r="BO364" s="1424">
        <f>+SUM(BK364:BN364)</f>
        <v>69</v>
      </c>
      <c r="BP364" s="63"/>
      <c r="BQ364" s="1425">
        <f>+(BQ359*BQ$79)/1000</f>
        <v>13.225</v>
      </c>
      <c r="BR364" s="2284">
        <f>+(BR359*BR$79)/1000</f>
        <v>13.225</v>
      </c>
      <c r="BS364" s="2284">
        <f>+(BS359*BS$79)/1000</f>
        <v>13.225</v>
      </c>
      <c r="BT364" s="2284">
        <f>+(BT359*BT$79)/1000</f>
        <v>13.225</v>
      </c>
      <c r="BU364" s="1424">
        <f>+SUM(BQ364:BT364)</f>
        <v>52.9</v>
      </c>
      <c r="BV364" s="63"/>
      <c r="BW364" s="1425">
        <f>+(BW359*BW$79)/1000</f>
        <v>13.225</v>
      </c>
      <c r="BX364" s="2284">
        <f>+(BX359*BX$79)/1000</f>
        <v>13.225</v>
      </c>
      <c r="BY364" s="2284">
        <f>+(BY359*BY$79)/1000</f>
        <v>13.225</v>
      </c>
      <c r="BZ364" s="2284">
        <f>+(BZ359*BZ$79)/1000</f>
        <v>13.225</v>
      </c>
      <c r="CA364" s="1424">
        <f>+SUM(BW364:BZ364)</f>
        <v>52.9</v>
      </c>
      <c r="CB364" s="63"/>
      <c r="CC364" s="1425">
        <f>+(CC359*CC$79)/1000</f>
        <v>13.225</v>
      </c>
      <c r="CD364" s="2284">
        <f>+(CD359*CD$79)/1000</f>
        <v>13.225</v>
      </c>
      <c r="CE364" s="2284">
        <f>+(CE359*CE$79)/1000</f>
        <v>13.225</v>
      </c>
      <c r="CF364" s="2284">
        <f>+(CF359*CF$79)/1000</f>
        <v>13.225</v>
      </c>
      <c r="CG364" s="1424">
        <f>+SUM(CC364:CF364)</f>
        <v>52.9</v>
      </c>
      <c r="CH364" s="63"/>
      <c r="CI364" s="1425">
        <f>+(CI359*CI$79)/1000</f>
        <v>13.225</v>
      </c>
      <c r="CJ364" s="2284">
        <f>+(CJ359*CJ$79)/1000</f>
        <v>13.225</v>
      </c>
      <c r="CK364" s="2284">
        <f>+(CK359*CK$79)/1000</f>
        <v>13.225</v>
      </c>
      <c r="CL364" s="2284">
        <f>+(CL359*CL$79)/1000</f>
        <v>13.225</v>
      </c>
      <c r="CM364" s="1424">
        <f>+SUM(CI364:CL364)</f>
        <v>52.9</v>
      </c>
      <c r="CN364" s="63"/>
      <c r="CO364" s="1425">
        <f>+(CO359*CO$79)/1000</f>
        <v>13.225</v>
      </c>
      <c r="CP364" s="2284">
        <f>+(CP359*CP$79)/1000</f>
        <v>13.225</v>
      </c>
      <c r="CQ364" s="2284">
        <f>+(CQ359*CQ$79)/1000</f>
        <v>13.225</v>
      </c>
      <c r="CR364" s="2284">
        <f>+(CR359*CR$79)/1000</f>
        <v>13.225</v>
      </c>
      <c r="CS364" s="1424">
        <f>+SUM(CO364:CR364)</f>
        <v>52.9</v>
      </c>
    </row>
    <row r="365" spans="1:280">
      <c r="A365" s="1930" t="s">
        <v>685</v>
      </c>
      <c r="C365" s="1850"/>
      <c r="G365" s="736"/>
      <c r="H365" s="63"/>
      <c r="I365" s="1425"/>
      <c r="J365" s="6"/>
      <c r="K365" s="6"/>
      <c r="L365" s="6"/>
      <c r="M365" s="1841"/>
      <c r="N365" s="63"/>
      <c r="O365" s="1425"/>
      <c r="P365" s="2278"/>
      <c r="Q365" s="2278"/>
      <c r="R365" s="2278"/>
      <c r="S365" s="2279"/>
      <c r="T365" s="63"/>
      <c r="U365" s="1425"/>
      <c r="V365" s="2278"/>
      <c r="W365" s="2278"/>
      <c r="X365" s="2278"/>
      <c r="Y365" s="2279"/>
      <c r="Z365" s="63"/>
      <c r="AA365" s="1425"/>
      <c r="AB365" s="2278"/>
      <c r="AC365" s="2278"/>
      <c r="AD365" s="2278"/>
      <c r="AE365" s="2279"/>
      <c r="AF365" s="63"/>
      <c r="AG365" s="1425"/>
      <c r="AH365" s="2278"/>
      <c r="AI365" s="2278"/>
      <c r="AJ365" s="2278"/>
      <c r="AK365" s="2279"/>
      <c r="AL365" s="63"/>
      <c r="AM365" s="1425"/>
      <c r="AN365" s="2278"/>
      <c r="AO365" s="2278"/>
      <c r="AP365" s="2278"/>
      <c r="AQ365" s="2279"/>
      <c r="AR365" s="63"/>
      <c r="AS365" s="1425"/>
      <c r="AT365" s="2278"/>
      <c r="AU365" s="2278"/>
      <c r="AV365" s="2278"/>
      <c r="AW365" s="2279"/>
      <c r="AX365" s="63"/>
      <c r="AY365" s="1425">
        <f>+(AY362*AY$195)/(4*1000)</f>
        <v>0.71723000000000003</v>
      </c>
      <c r="AZ365" s="2284">
        <f>+(AZ362*AZ$195)/(4*1000)</f>
        <v>2.3107154887218049</v>
      </c>
      <c r="BA365" s="2284">
        <f>+(BA362*BA$195)/(4*1000)</f>
        <v>4.7351947368421055</v>
      </c>
      <c r="BB365" s="2284">
        <f>+(BB362*BB$195)/(4*1000)</f>
        <v>5.6791329887218041</v>
      </c>
      <c r="BC365" s="1424">
        <f>+SUM(AY365:BB365)</f>
        <v>13.442273214285715</v>
      </c>
      <c r="BE365" s="1425">
        <f>+(BE362*BE$195)/(4*1000)</f>
        <v>6.4646299060150376</v>
      </c>
      <c r="BF365" s="2284">
        <f>+(BF362*BF$195)/(4*1000)</f>
        <v>8.6138396390977459</v>
      </c>
      <c r="BG365" s="2284">
        <f>+(BG362*BG$195)/(4*1000)</f>
        <v>10.110844915037594</v>
      </c>
      <c r="BH365" s="2284">
        <f>+(BH362*BH$195)/(4*1000)</f>
        <v>12.350474661654136</v>
      </c>
      <c r="BI365" s="1424">
        <f>+SUM(BE365:BH365)</f>
        <v>37.539789121804517</v>
      </c>
      <c r="BJ365" s="63"/>
      <c r="BK365" s="1425">
        <f>+(BK362*BK$195)/(4*1000)</f>
        <v>13.83482592857143</v>
      </c>
      <c r="BL365" s="2284">
        <f>+(BL362*BL$195)/(4*1000)</f>
        <v>15.972325928571431</v>
      </c>
      <c r="BM365" s="2284">
        <f>+(BM362*BM$195)/(4*1000)</f>
        <v>19.698407150375939</v>
      </c>
      <c r="BN365" s="2284">
        <f>+(BN362*BN$195)/(4*1000)</f>
        <v>22.967180883458649</v>
      </c>
      <c r="BO365" s="1424">
        <f>+SUM(BK365:BN365)</f>
        <v>72.472739890977451</v>
      </c>
      <c r="BP365" s="63"/>
      <c r="BQ365" s="1425">
        <f>+(BQ362*BQ$195)/(4*1000)</f>
        <v>23.460065906015039</v>
      </c>
      <c r="BR365" s="2284">
        <f>+(BR362*BR$195)/(4*1000)</f>
        <v>24.387133417293231</v>
      </c>
      <c r="BS365" s="2284">
        <f>+(BS362*BS$195)/(4*1000)</f>
        <v>25.199200928571429</v>
      </c>
      <c r="BT365" s="2284">
        <f>+(BT362*BT$195)/(4*1000)</f>
        <v>25.896268439849624</v>
      </c>
      <c r="BU365" s="1424">
        <f>+SUM(BQ365:BT365)</f>
        <v>98.942668691729324</v>
      </c>
      <c r="BV365" s="63"/>
      <c r="BW365" s="1425">
        <f>+(BW362*BW$195)/(4*1000)</f>
        <v>26.478335951127821</v>
      </c>
      <c r="BX365" s="2284">
        <f>+(BX362*BX$195)/(4*1000)</f>
        <v>26.945403462406016</v>
      </c>
      <c r="BY365" s="2284">
        <f>+(BY362*BY$195)/(4*1000)</f>
        <v>27.297470973684213</v>
      </c>
      <c r="BZ365" s="2284">
        <f>+(BZ362*BZ$195)/(4*1000)</f>
        <v>27.534538484962408</v>
      </c>
      <c r="CA365" s="1424">
        <f>+SUM(BW365:BZ365)</f>
        <v>108.25574887218046</v>
      </c>
      <c r="CB365" s="63"/>
      <c r="CC365" s="1425">
        <f>+(CC362*CC$195)/(4*1000)</f>
        <v>27.656605996240604</v>
      </c>
      <c r="CD365" s="2284">
        <f>+(CD362*CD$195)/(4*1000)</f>
        <v>27.663673507518801</v>
      </c>
      <c r="CE365" s="2284">
        <f>+(CE362*CE$195)/(4*1000)</f>
        <v>27.555741018796997</v>
      </c>
      <c r="CF365" s="2284">
        <f>+(CF362*CF$195)/(4*1000)</f>
        <v>27.332808530075191</v>
      </c>
      <c r="CG365" s="1424">
        <f>+SUM(CC365:CF365)</f>
        <v>110.20882905263159</v>
      </c>
      <c r="CH365" s="63"/>
      <c r="CI365" s="1425">
        <f>+(CI362*CI$195)/(4*1000)</f>
        <v>26.265284796992486</v>
      </c>
      <c r="CJ365" s="2284">
        <f>+(CJ362*CJ$195)/(4*1000)</f>
        <v>25.025261063909777</v>
      </c>
      <c r="CK365" s="2284">
        <f>+(CK362*CK$195)/(4*1000)</f>
        <v>23.61273733082707</v>
      </c>
      <c r="CL365" s="2284">
        <f>+(CL362*CL$195)/(4*1000)</f>
        <v>22.027713597744366</v>
      </c>
      <c r="CM365" s="1424">
        <f>+SUM(CI365:CL365)</f>
        <v>96.930996789473696</v>
      </c>
      <c r="CN365" s="63"/>
      <c r="CO365" s="1425">
        <f>+(CO362*CO$195)/(4*1000)</f>
        <v>20.270189864661656</v>
      </c>
      <c r="CP365" s="2284">
        <f>+(CP362*CP$195)/(4*1000)</f>
        <v>18.34016613157895</v>
      </c>
      <c r="CQ365" s="2284">
        <f>+(CQ362*CQ$195)/(4*1000)</f>
        <v>16.237642398496241</v>
      </c>
      <c r="CR365" s="2284">
        <f>+(CR362*CR$195)/(4*1000)</f>
        <v>13.962618665413535</v>
      </c>
      <c r="CS365" s="1424">
        <f>+SUM(CO365:CR365)</f>
        <v>68.810617060150378</v>
      </c>
    </row>
    <row r="366" spans="1:280">
      <c r="A366" s="125" t="s">
        <v>699</v>
      </c>
      <c r="B366" s="3"/>
      <c r="C366" s="2246"/>
      <c r="D366" s="3"/>
      <c r="E366" s="3"/>
      <c r="F366" s="3"/>
      <c r="G366" s="2247"/>
      <c r="H366" s="1588"/>
      <c r="I366" s="2246"/>
      <c r="J366" s="1336"/>
      <c r="K366" s="1336"/>
      <c r="L366" s="1336"/>
      <c r="M366" s="2247"/>
      <c r="N366" s="1588"/>
      <c r="O366" s="2246"/>
      <c r="P366" s="2288"/>
      <c r="Q366" s="2288"/>
      <c r="R366" s="2288"/>
      <c r="S366" s="2289"/>
      <c r="T366" s="1588"/>
      <c r="U366" s="2246"/>
      <c r="V366" s="2288"/>
      <c r="W366" s="2288"/>
      <c r="X366" s="2288"/>
      <c r="Y366" s="2289"/>
      <c r="Z366" s="1588"/>
      <c r="AA366" s="2246"/>
      <c r="AB366" s="2288"/>
      <c r="AC366" s="2288"/>
      <c r="AD366" s="2288"/>
      <c r="AE366" s="2289"/>
      <c r="AF366" s="1588"/>
      <c r="AG366" s="2246"/>
      <c r="AH366" s="2288"/>
      <c r="AI366" s="2288"/>
      <c r="AJ366" s="2288"/>
      <c r="AK366" s="2289"/>
      <c r="AL366" s="1588"/>
      <c r="AM366" s="2246"/>
      <c r="AN366" s="2288"/>
      <c r="AO366" s="2288"/>
      <c r="AP366" s="2288"/>
      <c r="AQ366" s="2289"/>
      <c r="AR366" s="1588"/>
      <c r="AS366" s="2246"/>
      <c r="AT366" s="2288"/>
      <c r="AU366" s="2288"/>
      <c r="AV366" s="2288"/>
      <c r="AW366" s="2289"/>
      <c r="AX366" s="1588"/>
      <c r="AY366" s="2246">
        <f>-AY$78-AY$182+AY365+AY364</f>
        <v>0</v>
      </c>
      <c r="AZ366" s="2288">
        <f>-AZ$78-AZ$182+AZ365+AZ364</f>
        <v>0</v>
      </c>
      <c r="BA366" s="2288">
        <f>-BA$78-BA$182+BA365+BA364</f>
        <v>0</v>
      </c>
      <c r="BB366" s="2288">
        <f>-BB$78-BB$182+BB365+BB364</f>
        <v>0</v>
      </c>
      <c r="BC366" s="2290">
        <f>-BC$78-BC$182+BC365+BC364</f>
        <v>0</v>
      </c>
      <c r="BD366" s="3"/>
      <c r="BE366" s="2246">
        <f>-BE$78-BE$182+BE365+BE364</f>
        <v>0</v>
      </c>
      <c r="BF366" s="2293">
        <f>-BF$78-BF$182+BF365+BF364</f>
        <v>13.520984007518798</v>
      </c>
      <c r="BG366" s="2293">
        <f>-BG$78-BG$182+BG365+BG364</f>
        <v>17.527216508834584</v>
      </c>
      <c r="BH366" s="2293">
        <f>-BH$78-BH$182+BH365+BH364</f>
        <v>21.396870488721802</v>
      </c>
      <c r="BI366" s="2290">
        <f>-BI$78-BI$182+BI365+BI364</f>
        <v>52.445071005075192</v>
      </c>
      <c r="BJ366" s="3"/>
      <c r="BK366" s="2246">
        <f>-BK$78-BK$182+BK365+BK364</f>
        <v>23.805993214285714</v>
      </c>
      <c r="BL366" s="2293">
        <f>-BL$78-BL$182+BL365+BL364</f>
        <v>25.943493214285716</v>
      </c>
      <c r="BM366" s="2293">
        <f>-BM$78-BM$182+BM365+BM364</f>
        <v>29.031080338345863</v>
      </c>
      <c r="BN366" s="2293">
        <f>-BN$78-BN$182+BN365+BN364</f>
        <v>32.038632612781953</v>
      </c>
      <c r="BO366" s="2290">
        <f>-BO$78-BO$182+BO365+BO364</f>
        <v>110.81919937969926</v>
      </c>
      <c r="BP366" s="3"/>
      <c r="BQ366" s="2246">
        <f>-BQ$78-BQ$182+BQ365+BQ364</f>
        <v>29.124187913533834</v>
      </c>
      <c r="BR366" s="2293">
        <f>-BR$78-BR$182+BR365+BR364</f>
        <v>30.29915306390977</v>
      </c>
      <c r="BS366" s="2293">
        <f>-BS$78-BS$182+BS365+BS364</f>
        <v>31.359118214285715</v>
      </c>
      <c r="BT366" s="2293">
        <f>-BT$78-BT$182+BT365+BT364</f>
        <v>32.304083364661651</v>
      </c>
      <c r="BU366" s="2290">
        <f>-BU$78-BU$182+BU365+BU364</f>
        <v>123.08654255639098</v>
      </c>
      <c r="BV366" s="3"/>
      <c r="BW366" s="2246">
        <f>-BW$78-BW$182+BW365+BW364</f>
        <v>33.134048515037598</v>
      </c>
      <c r="BX366" s="2293">
        <f>-BX$78-BX$182+BX365+BX364</f>
        <v>33.849013665413537</v>
      </c>
      <c r="BY366" s="2293">
        <f>-BY$78-BY$182+BY365+BY364</f>
        <v>34.448978815789474</v>
      </c>
      <c r="BZ366" s="2293">
        <f>-BZ$78-BZ$182+BZ365+BZ364</f>
        <v>34.933943966165415</v>
      </c>
      <c r="CA366" s="2290">
        <f>-CA$78-CA$182+CA365+CA364</f>
        <v>136.36598496240603</v>
      </c>
      <c r="CB366" s="3"/>
      <c r="CC366" s="2246">
        <f>-CC$78-CC$182+CC365+CC364</f>
        <v>35.303909116541355</v>
      </c>
      <c r="CD366" s="2293">
        <f>-CD$78-CD$182+CD365+CD364</f>
        <v>35.5588742669173</v>
      </c>
      <c r="CE366" s="2293">
        <f>-CE$78-CE$182+CE365+CE364</f>
        <v>35.698839417293236</v>
      </c>
      <c r="CF366" s="2293">
        <f>-CF$78-CF$182+CF365+CF364</f>
        <v>35.723804567669177</v>
      </c>
      <c r="CG366" s="2290">
        <f>-CG$78-CG$182+CG365+CG364</f>
        <v>142.28542736842107</v>
      </c>
      <c r="CH366" s="3"/>
      <c r="CI366" s="2246">
        <f>-CI$78-CI$182+CI365+CI364</f>
        <v>35.028127293233084</v>
      </c>
      <c r="CJ366" s="2293">
        <f>-CJ$78-CJ$182+CJ365+CJ364</f>
        <v>35.191200018796998</v>
      </c>
      <c r="CK366" s="2293">
        <f>-CK$78-CK$182+CK365+CK364</f>
        <v>35.916005037593983</v>
      </c>
      <c r="CL366" s="2293">
        <f>-CL$78-CL$182+CL365+CL364</f>
        <v>35.252713597744368</v>
      </c>
      <c r="CM366" s="2290">
        <f>-CM$78-CM$182+CM365+CM364</f>
        <v>141.38804594736843</v>
      </c>
      <c r="CN366" s="3"/>
      <c r="CO366" s="2246">
        <f>-CO$78-CO$182+CO365+CO364</f>
        <v>33.495189864661654</v>
      </c>
      <c r="CP366" s="2293">
        <f>-CP$78-CP$182+CP365+CP364</f>
        <v>31.565166131578948</v>
      </c>
      <c r="CQ366" s="2293">
        <f>-CQ$78-CQ$182+CQ365+CQ364</f>
        <v>29.462642398496243</v>
      </c>
      <c r="CR366" s="2293">
        <f>-CR$78-CR$182+CR365+CR364</f>
        <v>27.187618665413535</v>
      </c>
      <c r="CS366" s="2290">
        <f>-CS$78-CS$182+CS365+CS364</f>
        <v>121.71061706015038</v>
      </c>
    </row>
    <row r="367" spans="1:280">
      <c r="A367" s="1930" t="s">
        <v>680</v>
      </c>
      <c r="C367" s="1850"/>
      <c r="G367" s="736"/>
      <c r="H367" s="63"/>
      <c r="I367" s="1425"/>
      <c r="J367" s="6"/>
      <c r="K367" s="6"/>
      <c r="L367" s="6"/>
      <c r="M367" s="1841"/>
      <c r="N367" s="63"/>
      <c r="O367" s="1425"/>
      <c r="P367" s="2278"/>
      <c r="Q367" s="2278"/>
      <c r="R367" s="2278"/>
      <c r="S367" s="2279"/>
      <c r="T367" s="63"/>
      <c r="U367" s="1425"/>
      <c r="V367" s="2278"/>
      <c r="W367" s="2278"/>
      <c r="X367" s="2278"/>
      <c r="Y367" s="2279"/>
      <c r="Z367" s="63"/>
      <c r="AA367" s="1425"/>
      <c r="AB367" s="2278"/>
      <c r="AC367" s="2278"/>
      <c r="AD367" s="2278"/>
      <c r="AE367" s="2279"/>
      <c r="AF367" s="63"/>
      <c r="AG367" s="1425"/>
      <c r="AH367" s="2278"/>
      <c r="AI367" s="2278"/>
      <c r="AJ367" s="2278"/>
      <c r="AK367" s="2279"/>
      <c r="AL367" s="63"/>
      <c r="AM367" s="1425"/>
      <c r="AN367" s="2278"/>
      <c r="AO367" s="2278"/>
      <c r="AP367" s="2278"/>
      <c r="AQ367" s="2279"/>
      <c r="AR367" s="63"/>
      <c r="AS367" s="1425"/>
      <c r="AT367" s="2278"/>
      <c r="AU367" s="2278"/>
      <c r="AV367" s="2278"/>
      <c r="AW367" s="2279"/>
      <c r="AX367" s="63"/>
      <c r="AY367" s="1425">
        <f>+(AY362*AY$326*360)/1000000</f>
        <v>0.65054086971428571</v>
      </c>
      <c r="AZ367" s="1423">
        <f>+(AZ362*AZ$326*360)/1000000</f>
        <v>2.226853021591837</v>
      </c>
      <c r="BA367" s="2284">
        <f>+(BA362*BA$326*360)/1000000</f>
        <v>4.1721974772244899</v>
      </c>
      <c r="BB367" s="2284">
        <f>+(BB362*BB$326*360)/1000000</f>
        <v>5.6495700918367344</v>
      </c>
      <c r="BC367" s="1424">
        <f>+(SUMPRODUCT(AY362:BB362,AY$326:BB$326)*360)/(1000000*4)</f>
        <v>3.1747903650918365</v>
      </c>
      <c r="BE367" s="1425">
        <f>+(BE362*BE$326*360)/1000000</f>
        <v>6.6453440174448977</v>
      </c>
      <c r="BF367" s="1423">
        <f>+(BF362*BF$326*360)/1000000</f>
        <v>8.3012187876244887</v>
      </c>
      <c r="BG367" s="2284">
        <f>+(BG362*BG$326*360)/1000000</f>
        <v>10.498471073338777</v>
      </c>
      <c r="BH367" s="2284">
        <f>+(BH362*BH$326*360)/1000000</f>
        <v>12.69572335905306</v>
      </c>
      <c r="BI367" s="1424">
        <f>+(SUMPRODUCT(BE362:BH362,BE$326:BH$326)*360)/(1000000*4)</f>
        <v>9.5351893093653057</v>
      </c>
      <c r="BK367" s="1425">
        <f>+(BK362*BK$326*360)/1000000</f>
        <v>14.970072216195918</v>
      </c>
      <c r="BL367" s="1423">
        <f>+(BL362*BL$326*360)/1000000</f>
        <v>17.282969359053059</v>
      </c>
      <c r="BM367" s="2284">
        <f>+(BM362*BM$326*360)/1000000</f>
        <v>19.595866501910205</v>
      </c>
      <c r="BN367" s="2284">
        <f>+(BN362*BN$326*360)/1000000</f>
        <v>21.79311878762449</v>
      </c>
      <c r="BO367" s="1424">
        <f>+(SUMPRODUCT(BK362:BN362,BK$326:BN$326)*360)/(1000000*4)</f>
        <v>18.410506716195918</v>
      </c>
      <c r="BQ367" s="1425">
        <f>+(BQ362*BQ$326*360)/1000000</f>
        <v>23.720533073338778</v>
      </c>
      <c r="BR367" s="1423">
        <f>+(BR362*BR$326*360)/1000000</f>
        <v>25.493754216195917</v>
      </c>
      <c r="BS367" s="2284">
        <f>+(BS362*BS$326*360)/1000000</f>
        <v>27.26697535905306</v>
      </c>
      <c r="BT367" s="2284">
        <f>+(BT362*BT$326*360)/1000000</f>
        <v>29.040196501910202</v>
      </c>
      <c r="BU367" s="1424">
        <f>+(SUMPRODUCT(BQ362:BT362,BQ$326:BT$326)*360)/(1000000*4)</f>
        <v>26.38036478762449</v>
      </c>
      <c r="BW367" s="1425">
        <f>+(BW362*BW$326*360)/1000000</f>
        <v>30.813417644767345</v>
      </c>
      <c r="BX367" s="1423">
        <f>+(BX362*BX$326*360)/1000000</f>
        <v>32.586638787624487</v>
      </c>
      <c r="BY367" s="2284">
        <f>+(BY362*BY$326*360)/1000000</f>
        <v>34.359859930481633</v>
      </c>
      <c r="BZ367" s="2284">
        <f>+(BZ362*BZ$326*360)/1000000</f>
        <v>36.133081073338779</v>
      </c>
      <c r="CA367" s="1424">
        <f>+(SUMPRODUCT(BW362:BZ362,BW$326:BZ$326)*360)/(1000000*4)</f>
        <v>33.473249359053057</v>
      </c>
      <c r="CC367" s="1425">
        <f>+(CC362*CC$326*360)/1000000</f>
        <v>37.906302216195918</v>
      </c>
      <c r="CD367" s="1423">
        <f>+(CD362*CD$326*360)/1000000</f>
        <v>39.679523359053071</v>
      </c>
      <c r="CE367" s="2284">
        <f>+(CE362*CE$326*360)/1000000</f>
        <v>41.45274450191021</v>
      </c>
      <c r="CF367" s="2284">
        <f>+(CF362*CF$326*360)/1000000</f>
        <v>43.225965644767349</v>
      </c>
      <c r="CG367" s="1424">
        <f>+(SUMPRODUCT(CC362:CF362,CC$326:CF$326)*360)/(1000000*4)</f>
        <v>40.566133930481634</v>
      </c>
      <c r="CI367" s="1425">
        <f>+(CI362*CI$326*360)/1000000</f>
        <v>44.999186787624495</v>
      </c>
      <c r="CJ367" s="1423">
        <f>+(CJ362*CJ$326*360)/1000000</f>
        <v>46.772407930481634</v>
      </c>
      <c r="CK367" s="2284">
        <f>+(CK362*CK$326*360)/1000000</f>
        <v>48.54562907333878</v>
      </c>
      <c r="CL367" s="2284">
        <f>+(CL362*CL$326*360)/1000000</f>
        <v>50.318850216195919</v>
      </c>
      <c r="CM367" s="1424">
        <f>+(SUMPRODUCT(CI362:CL362,CI$326:CL$326)*360)/(1000000*4)</f>
        <v>47.659018501910211</v>
      </c>
      <c r="CO367" s="1425">
        <f>+(CO362*CO$326*360)/1000000</f>
        <v>52.092071359053058</v>
      </c>
      <c r="CP367" s="1423">
        <f>+(CP362*CP$326*360)/1000000</f>
        <v>53.865292501910204</v>
      </c>
      <c r="CQ367" s="2284">
        <f>+(CQ362*CQ$326*360)/1000000</f>
        <v>55.638513644767343</v>
      </c>
      <c r="CR367" s="2284">
        <f>+(CR362*CR$326*360)/1000000</f>
        <v>57.411734787624489</v>
      </c>
      <c r="CS367" s="1424">
        <f>+(SUMPRODUCT(CO362:CR362,CO$326:CR$326)*360)/(1000000*4)</f>
        <v>54.751903073338774</v>
      </c>
    </row>
    <row r="368" spans="1:280">
      <c r="A368" s="2291" t="s">
        <v>687</v>
      </c>
      <c r="C368" s="1850"/>
      <c r="G368" s="736"/>
      <c r="H368" s="63"/>
      <c r="I368" s="2277"/>
      <c r="J368" s="2278"/>
      <c r="K368" s="2278"/>
      <c r="L368" s="2278"/>
      <c r="M368" s="2279"/>
      <c r="N368" s="63"/>
      <c r="O368" s="2277"/>
      <c r="P368" s="2278"/>
      <c r="Q368" s="2278"/>
      <c r="R368" s="2278"/>
      <c r="S368" s="2279"/>
      <c r="T368" s="63"/>
      <c r="U368" s="2277"/>
      <c r="V368" s="2278"/>
      <c r="W368" s="2278"/>
      <c r="X368" s="2278"/>
      <c r="Y368" s="2279"/>
      <c r="Z368" s="63"/>
      <c r="AA368" s="2277"/>
      <c r="AB368" s="2278"/>
      <c r="AC368" s="2278"/>
      <c r="AD368" s="2278"/>
      <c r="AE368" s="2279"/>
      <c r="AF368" s="63"/>
      <c r="AG368" s="2277">
        <f>+AG$158</f>
        <v>0</v>
      </c>
      <c r="AH368" s="2278">
        <f>+AH$158</f>
        <v>0</v>
      </c>
      <c r="AI368" s="2278">
        <f>+AI$158</f>
        <v>0</v>
      </c>
      <c r="AJ368" s="2278">
        <f>+AJ$158</f>
        <v>0</v>
      </c>
      <c r="AK368" s="2279">
        <f>+AK$158</f>
        <v>0</v>
      </c>
      <c r="AL368" s="63"/>
      <c r="AM368" s="2277">
        <f>+AM$158</f>
        <v>0</v>
      </c>
      <c r="AN368" s="2278">
        <f>+AN$158</f>
        <v>0</v>
      </c>
      <c r="AO368" s="2278">
        <f>+AO$158</f>
        <v>0</v>
      </c>
      <c r="AP368" s="2278">
        <f>+AP$158</f>
        <v>0</v>
      </c>
      <c r="AQ368" s="2279">
        <f>+AQ$158</f>
        <v>0</v>
      </c>
      <c r="AR368" s="63"/>
      <c r="AS368" s="2277">
        <f>+AS$158</f>
        <v>0</v>
      </c>
      <c r="AT368" s="2278">
        <f>+AT$158</f>
        <v>0</v>
      </c>
      <c r="AU368" s="2278">
        <f>+AU$158</f>
        <v>0</v>
      </c>
      <c r="AV368" s="2278">
        <f>+AV$158</f>
        <v>0</v>
      </c>
      <c r="AW368" s="2279">
        <f>+AW$158</f>
        <v>0</v>
      </c>
      <c r="AX368" s="63"/>
      <c r="AY368" s="2281">
        <f>+AY372+AW368+AY369</f>
        <v>46.415000000000006</v>
      </c>
      <c r="AZ368" s="2287">
        <f>+AZ372+AY368+AZ369</f>
        <v>101.23700000000001</v>
      </c>
      <c r="BA368" s="2282">
        <f>+BA372+AZ368+BA369</f>
        <v>151.245</v>
      </c>
      <c r="BB368" s="2282">
        <f>+BB372+BA368+BB369</f>
        <v>190.81100000000001</v>
      </c>
      <c r="BC368" s="2283">
        <f>+BB368</f>
        <v>190.81100000000001</v>
      </c>
      <c r="BE368" s="2281">
        <f>+BE372+BC368+BE369</f>
        <v>220.88900000000001</v>
      </c>
      <c r="BF368" s="2287">
        <f>+BF372+BE368+BF369</f>
        <v>281.88900000000001</v>
      </c>
      <c r="BG368" s="2282">
        <f>+BG372+BF368+BG369</f>
        <v>343.88900000000001</v>
      </c>
      <c r="BH368" s="2282">
        <f>+BH372+BG368+BH369</f>
        <v>409.88900000000001</v>
      </c>
      <c r="BI368" s="2283">
        <f>+BH368</f>
        <v>409.88900000000001</v>
      </c>
      <c r="BJ368" s="63"/>
      <c r="BK368" s="2281">
        <f>+BK372+BI368+BK369</f>
        <v>468.88900000000001</v>
      </c>
      <c r="BL368" s="2287">
        <f>+BL372+BK368+BL369</f>
        <v>527.88900000000001</v>
      </c>
      <c r="BM368" s="2282">
        <f>+BM372+BL368+BM369</f>
        <v>586.88900000000001</v>
      </c>
      <c r="BN368" s="2282">
        <f>+BN372+BM368+BN369</f>
        <v>648.88900000000001</v>
      </c>
      <c r="BO368" s="2283">
        <f>+BN368</f>
        <v>648.88900000000001</v>
      </c>
      <c r="BP368" s="63"/>
      <c r="BQ368" s="2281">
        <f>+BQ372+BO368+BQ369</f>
        <v>703.88900000000001</v>
      </c>
      <c r="BR368" s="2287">
        <f>+BR372+BQ368+BR369</f>
        <v>758.88900000000001</v>
      </c>
      <c r="BS368" s="2282">
        <f>+BS372+BR368+BS369</f>
        <v>813.88900000000001</v>
      </c>
      <c r="BT368" s="2282">
        <f>+BT372+BS368+BT369</f>
        <v>868.88900000000001</v>
      </c>
      <c r="BU368" s="2283">
        <f>+BT368</f>
        <v>868.88900000000001</v>
      </c>
      <c r="BV368" s="63"/>
      <c r="BW368" s="2281">
        <f>+BW372+BU368+BW369</f>
        <v>923.88900000000001</v>
      </c>
      <c r="BX368" s="2287">
        <f>+BX372+BW368+BX369</f>
        <v>978.88900000000001</v>
      </c>
      <c r="BY368" s="2282">
        <f>+BY372+BX368+BY369</f>
        <v>1033.8890000000001</v>
      </c>
      <c r="BZ368" s="2282">
        <f>+BZ372+BY368+BZ369</f>
        <v>1088.8890000000001</v>
      </c>
      <c r="CA368" s="2283">
        <f>+BZ368</f>
        <v>1088.8890000000001</v>
      </c>
      <c r="CB368" s="63"/>
      <c r="CC368" s="2281">
        <f>+CC372+CA368+CC369</f>
        <v>1143.8890000000001</v>
      </c>
      <c r="CD368" s="2287">
        <f>+CD372+CC368+CD369</f>
        <v>1198.8890000000001</v>
      </c>
      <c r="CE368" s="2282">
        <f>+CE372+CD368+CE369</f>
        <v>1253.8890000000001</v>
      </c>
      <c r="CF368" s="2282">
        <f>+CF372+CE368+CF369</f>
        <v>1308.8890000000001</v>
      </c>
      <c r="CG368" s="2283">
        <f>+CF368</f>
        <v>1308.8890000000001</v>
      </c>
      <c r="CH368" s="63"/>
      <c r="CI368" s="2281">
        <f>+CI372+CG368+CI369</f>
        <v>1363.8890000000001</v>
      </c>
      <c r="CJ368" s="2287">
        <f>+CJ372+CI368+CJ369</f>
        <v>1418.8890000000001</v>
      </c>
      <c r="CK368" s="2282">
        <f>+CK372+CJ368+CK369</f>
        <v>1473.8890000000001</v>
      </c>
      <c r="CL368" s="2282">
        <f>+CL372+CK368+CL369</f>
        <v>1528.8890000000001</v>
      </c>
      <c r="CM368" s="2283">
        <f>+CL368</f>
        <v>1528.8890000000001</v>
      </c>
      <c r="CN368" s="63"/>
      <c r="CO368" s="2281">
        <f>+CO372+CM368+CO369</f>
        <v>1583.8890000000001</v>
      </c>
      <c r="CP368" s="2287">
        <f>+CP372+CO368+CP369</f>
        <v>1638.8890000000001</v>
      </c>
      <c r="CQ368" s="2282">
        <f>+CQ372+CP368+CQ369</f>
        <v>1693.8890000000001</v>
      </c>
      <c r="CR368" s="2282">
        <f>+CR372+CQ368+CR369</f>
        <v>1748.8890000000001</v>
      </c>
      <c r="CS368" s="2283">
        <f>+CR368</f>
        <v>1748.8890000000001</v>
      </c>
    </row>
    <row r="369" spans="1:97">
      <c r="A369" s="2291" t="s">
        <v>688</v>
      </c>
      <c r="C369" s="1850"/>
      <c r="G369" s="736"/>
      <c r="H369" s="63"/>
      <c r="I369" s="2277"/>
      <c r="J369" s="2278"/>
      <c r="K369" s="2278"/>
      <c r="L369" s="2278"/>
      <c r="M369" s="2279"/>
      <c r="N369" s="63"/>
      <c r="O369" s="2277"/>
      <c r="P369" s="2278"/>
      <c r="Q369" s="2278"/>
      <c r="R369" s="2278"/>
      <c r="S369" s="2279"/>
      <c r="T369" s="63"/>
      <c r="U369" s="2277"/>
      <c r="V369" s="2278"/>
      <c r="W369" s="2278"/>
      <c r="X369" s="2278"/>
      <c r="Y369" s="2279"/>
      <c r="Z369" s="63"/>
      <c r="AA369" s="2277"/>
      <c r="AB369" s="2278"/>
      <c r="AC369" s="2278"/>
      <c r="AD369" s="2278"/>
      <c r="AE369" s="2279"/>
      <c r="AF369" s="63"/>
      <c r="AG369" s="2277"/>
      <c r="AH369" s="2278"/>
      <c r="AI369" s="2278"/>
      <c r="AJ369" s="2278"/>
      <c r="AK369" s="2279"/>
      <c r="AL369" s="63"/>
      <c r="AM369" s="2277"/>
      <c r="AN369" s="2278"/>
      <c r="AO369" s="2278"/>
      <c r="AP369" s="2278"/>
      <c r="AQ369" s="2279"/>
      <c r="AR369" s="63"/>
      <c r="AS369" s="2277"/>
      <c r="AT369" s="2278"/>
      <c r="AU369" s="2278"/>
      <c r="AV369" s="2278"/>
      <c r="AW369" s="2279"/>
      <c r="AX369" s="63"/>
      <c r="AY369" s="2285">
        <f>+AY$94+AY$96</f>
        <v>46.415000000000006</v>
      </c>
      <c r="AZ369" s="2286">
        <f>+AZ$94+AZ$96</f>
        <v>54.822000000000003</v>
      </c>
      <c r="BA369" s="2286">
        <f>+BA$94+BA$96</f>
        <v>50.008000000000003</v>
      </c>
      <c r="BB369" s="2286">
        <f>+BB$94+BB$96</f>
        <v>39.566000000000003</v>
      </c>
      <c r="BC369" s="2283">
        <f>+SUM(AY369:BB369)</f>
        <v>190.81100000000001</v>
      </c>
      <c r="BE369" s="2285">
        <f>+BE$94+BE$96</f>
        <v>29.077999999999999</v>
      </c>
      <c r="BF369" s="2297">
        <v>60</v>
      </c>
      <c r="BG369" s="2297">
        <v>60</v>
      </c>
      <c r="BH369" s="2297">
        <v>65</v>
      </c>
      <c r="BI369" s="2283">
        <f>+SUM(BE369:BH369)</f>
        <v>214.078</v>
      </c>
      <c r="BJ369" s="63"/>
      <c r="BK369" s="2298">
        <v>59</v>
      </c>
      <c r="BL369" s="2297">
        <v>59</v>
      </c>
      <c r="BM369" s="2297">
        <v>59</v>
      </c>
      <c r="BN369" s="2297">
        <v>59</v>
      </c>
      <c r="BO369" s="2283">
        <f>+SUM(BK369:BN369)</f>
        <v>236</v>
      </c>
      <c r="BP369" s="63"/>
      <c r="BQ369" s="2298">
        <v>55</v>
      </c>
      <c r="BR369" s="2297">
        <v>55</v>
      </c>
      <c r="BS369" s="2297">
        <v>55</v>
      </c>
      <c r="BT369" s="2297">
        <v>55</v>
      </c>
      <c r="BU369" s="2283">
        <f>+SUM(BQ369:BT369)</f>
        <v>220</v>
      </c>
      <c r="BV369" s="63"/>
      <c r="BW369" s="2298">
        <v>55</v>
      </c>
      <c r="BX369" s="2297">
        <v>55</v>
      </c>
      <c r="BY369" s="2297">
        <v>55</v>
      </c>
      <c r="BZ369" s="2297">
        <v>55</v>
      </c>
      <c r="CA369" s="2283">
        <f>+SUM(BW369:BZ369)</f>
        <v>220</v>
      </c>
      <c r="CB369" s="63"/>
      <c r="CC369" s="2298">
        <v>55</v>
      </c>
      <c r="CD369" s="2297">
        <v>55</v>
      </c>
      <c r="CE369" s="2297">
        <v>55</v>
      </c>
      <c r="CF369" s="2297">
        <v>55</v>
      </c>
      <c r="CG369" s="2283">
        <f>+SUM(CC369:CF369)</f>
        <v>220</v>
      </c>
      <c r="CH369" s="63"/>
      <c r="CI369" s="2298">
        <v>55</v>
      </c>
      <c r="CJ369" s="2297">
        <v>55</v>
      </c>
      <c r="CK369" s="2297">
        <v>55</v>
      </c>
      <c r="CL369" s="2297">
        <v>55</v>
      </c>
      <c r="CM369" s="2283">
        <f>+SUM(CI369:CL369)</f>
        <v>220</v>
      </c>
      <c r="CN369" s="63"/>
      <c r="CO369" s="2298">
        <v>55</v>
      </c>
      <c r="CP369" s="2297">
        <v>55</v>
      </c>
      <c r="CQ369" s="2297">
        <v>55</v>
      </c>
      <c r="CR369" s="2297">
        <v>55</v>
      </c>
      <c r="CS369" s="2283">
        <f>+SUM(CO369:CR369)</f>
        <v>220</v>
      </c>
    </row>
    <row r="370" spans="1:97" ht="12.75" hidden="1" customHeight="1" outlineLevel="1">
      <c r="A370" s="1991" t="s">
        <v>707</v>
      </c>
      <c r="C370" s="1850"/>
      <c r="G370" s="736"/>
      <c r="H370" s="63"/>
      <c r="I370" s="2277"/>
      <c r="J370" s="2278"/>
      <c r="K370" s="2278"/>
      <c r="L370" s="2278"/>
      <c r="M370" s="2279"/>
      <c r="N370" s="63"/>
      <c r="O370" s="2277"/>
      <c r="P370" s="2278"/>
      <c r="Q370" s="2278"/>
      <c r="R370" s="2278"/>
      <c r="S370" s="2279"/>
      <c r="T370" s="63"/>
      <c r="U370" s="2277"/>
      <c r="V370" s="2278"/>
      <c r="W370" s="2278"/>
      <c r="X370" s="2278"/>
      <c r="Y370" s="2279"/>
      <c r="Z370" s="63"/>
      <c r="AA370" s="2277"/>
      <c r="AB370" s="2278"/>
      <c r="AC370" s="2278"/>
      <c r="AD370" s="2278"/>
      <c r="AE370" s="2279"/>
      <c r="AF370" s="63"/>
      <c r="AG370" s="2277"/>
      <c r="AH370" s="2278"/>
      <c r="AI370" s="2278"/>
      <c r="AJ370" s="2278"/>
      <c r="AK370" s="2279"/>
      <c r="AL370" s="63"/>
      <c r="AM370" s="2277"/>
      <c r="AN370" s="2278"/>
      <c r="AO370" s="2278"/>
      <c r="AP370" s="2278"/>
      <c r="AQ370" s="2279"/>
      <c r="AR370" s="63"/>
      <c r="AS370" s="2277"/>
      <c r="AT370" s="2278"/>
      <c r="AU370" s="2278"/>
      <c r="AV370" s="2278"/>
      <c r="AW370" s="2279"/>
      <c r="AX370" s="63"/>
      <c r="AY370" s="2285"/>
      <c r="AZ370" s="1938">
        <f>+AZ369/AY368</f>
        <v>1.1811267909081116</v>
      </c>
      <c r="BA370" s="1938">
        <f>+BA369/AZ368</f>
        <v>0.49396959609628888</v>
      </c>
      <c r="BB370" s="1939">
        <f>+BB369/BA368</f>
        <v>0.26160203643095642</v>
      </c>
      <c r="BC370" s="1936">
        <f>+AVERAGE(AY370:BB370)</f>
        <v>0.6455661411451189</v>
      </c>
      <c r="BE370" s="1937">
        <f>+BE369/BC368</f>
        <v>0.152391633606029</v>
      </c>
      <c r="BF370" s="1938">
        <f>+BF369/BE368</f>
        <v>0.27162964203740336</v>
      </c>
      <c r="BG370" s="1938">
        <f>+BG369/BF368</f>
        <v>0.21284973872694571</v>
      </c>
      <c r="BH370" s="1939">
        <f>+BH369/BG368</f>
        <v>0.18901447850905378</v>
      </c>
      <c r="BI370" s="1936">
        <f>+AVERAGE(BE370:BH370)</f>
        <v>0.20647137321985798</v>
      </c>
      <c r="BJ370" s="63"/>
      <c r="BK370" s="1937">
        <f>+BK369/BI368</f>
        <v>0.14394140852767456</v>
      </c>
      <c r="BL370" s="1938">
        <f>+BL369/BK368</f>
        <v>0.12582935406887344</v>
      </c>
      <c r="BM370" s="1938">
        <f>+BM369/BL368</f>
        <v>0.1117659204870721</v>
      </c>
      <c r="BN370" s="1939">
        <f>+BN369/BM368</f>
        <v>0.10053008320142309</v>
      </c>
      <c r="BO370" s="1936">
        <f>+AVERAGE(BK370:BN370)</f>
        <v>0.1205166915712608</v>
      </c>
      <c r="BP370" s="63"/>
      <c r="BQ370" s="1937">
        <f>+BQ369/BO368</f>
        <v>8.4760259458859677E-2</v>
      </c>
      <c r="BR370" s="1938">
        <f>+BR369/BQ368</f>
        <v>7.8137319946752964E-2</v>
      </c>
      <c r="BS370" s="1938">
        <f>+BS369/BR368</f>
        <v>7.2474367134060441E-2</v>
      </c>
      <c r="BT370" s="1939">
        <f>+BT369/BS368</f>
        <v>6.7576782583374392E-2</v>
      </c>
      <c r="BU370" s="1936">
        <f>+AVERAGE(BQ370:BT370)</f>
        <v>7.5737182280761872E-2</v>
      </c>
      <c r="BV370" s="63"/>
      <c r="BW370" s="1937">
        <f>+BW369/BU368</f>
        <v>6.3299224642042878E-2</v>
      </c>
      <c r="BX370" s="1938">
        <f>+BX369/BW368</f>
        <v>5.9530960970419607E-2</v>
      </c>
      <c r="BY370" s="1938">
        <f>+BY369/BX368</f>
        <v>5.6186145722344413E-2</v>
      </c>
      <c r="BZ370" s="1939">
        <f>+BZ369/BY368</f>
        <v>5.3197200086276181E-2</v>
      </c>
      <c r="CA370" s="1936">
        <f>+AVERAGE(BW370:BZ370)</f>
        <v>5.8053382855270765E-2</v>
      </c>
      <c r="CB370" s="63"/>
      <c r="CC370" s="1937">
        <f>+CC369/CA368</f>
        <v>5.0510198927530718E-2</v>
      </c>
      <c r="CD370" s="1938">
        <f>+CD369/CC368</f>
        <v>4.8081588335931194E-2</v>
      </c>
      <c r="CE370" s="1938">
        <f>+CE369/CD368</f>
        <v>4.5875806684355258E-2</v>
      </c>
      <c r="CF370" s="1939">
        <f>+CF369/CE368</f>
        <v>4.3863531779926287E-2</v>
      </c>
      <c r="CG370" s="1936">
        <f>+AVERAGE(CC370:CF370)</f>
        <v>4.7082781431935866E-2</v>
      </c>
      <c r="CH370" s="63"/>
      <c r="CI370" s="1937">
        <f>+CI369/CG368</f>
        <v>4.2020369947337009E-2</v>
      </c>
      <c r="CJ370" s="1938">
        <f>+CJ369/CI368</f>
        <v>4.0325862295245429E-2</v>
      </c>
      <c r="CK370" s="1938">
        <f>+CK369/CJ368</f>
        <v>3.8762722101587932E-2</v>
      </c>
      <c r="CL370" s="1939">
        <f>+CL369/CK368</f>
        <v>3.7316242946381986E-2</v>
      </c>
      <c r="CM370" s="1936">
        <f>+AVERAGE(CI370:CL370)</f>
        <v>3.9606299322638094E-2</v>
      </c>
      <c r="CN370" s="63"/>
      <c r="CO370" s="1937">
        <f>+CO369/CM368</f>
        <v>3.5973834594924807E-2</v>
      </c>
      <c r="CP370" s="1938">
        <f>+CP369/CO368</f>
        <v>3.4724655578768457E-2</v>
      </c>
      <c r="CQ370" s="1938">
        <f>+CQ369/CP368</f>
        <v>3.3559319758690184E-2</v>
      </c>
      <c r="CR370" s="1939">
        <f>+CR369/CQ368</f>
        <v>3.2469660054466373E-2</v>
      </c>
      <c r="CS370" s="1936">
        <f>+AVERAGE(CO370:CR370)</f>
        <v>3.4181867496712454E-2</v>
      </c>
    </row>
    <row r="371" spans="1:97" collapsed="1">
      <c r="A371" s="1991" t="s">
        <v>708</v>
      </c>
      <c r="C371" s="1850"/>
      <c r="G371" s="736"/>
      <c r="H371" s="63"/>
      <c r="I371" s="2277"/>
      <c r="J371" s="2278"/>
      <c r="K371" s="2278"/>
      <c r="L371" s="2278"/>
      <c r="M371" s="2279"/>
      <c r="N371" s="63"/>
      <c r="O371" s="2277"/>
      <c r="P371" s="2278"/>
      <c r="Q371" s="2278"/>
      <c r="R371" s="2278"/>
      <c r="S371" s="2279"/>
      <c r="T371" s="63"/>
      <c r="U371" s="2277"/>
      <c r="V371" s="2278"/>
      <c r="W371" s="2278"/>
      <c r="X371" s="2278"/>
      <c r="Y371" s="2279"/>
      <c r="Z371" s="63"/>
      <c r="AA371" s="2277"/>
      <c r="AB371" s="2278"/>
      <c r="AC371" s="2278"/>
      <c r="AD371" s="2278"/>
      <c r="AE371" s="2279"/>
      <c r="AF371" s="63"/>
      <c r="AG371" s="2277"/>
      <c r="AH371" s="2278"/>
      <c r="AK371" s="1420"/>
      <c r="AM371" s="1419"/>
      <c r="AQ371" s="1420"/>
      <c r="AS371" s="1419"/>
      <c r="AW371" s="1420"/>
      <c r="AX371" s="63"/>
      <c r="AY371" s="1937">
        <f>+AY369/(AV$152++AV$154+AV$156+AV$158)</f>
        <v>2.5536083625653586E-2</v>
      </c>
      <c r="AZ371" s="1938">
        <f>+AZ369/(AY$152++AY$154+AY$156+AY$158)</f>
        <v>2.9197538082042576E-2</v>
      </c>
      <c r="BA371" s="1938">
        <f>+BA369/(AZ$152++AZ$154+AZ$156+AZ$158)</f>
        <v>2.5716024513310259E-2</v>
      </c>
      <c r="BB371" s="1938">
        <f>+BB369/(BA$152++BA$154+BA$156+BA$158)</f>
        <v>1.9786719308140629E-2</v>
      </c>
      <c r="BC371" s="1936">
        <f>+AVERAGE(AY371:BB371)</f>
        <v>2.5059091382286763E-2</v>
      </c>
      <c r="BE371" s="1937">
        <f>+BE369/(BB$152++BB$154+BB$156+BB$158)</f>
        <v>1.416625701925648E-2</v>
      </c>
      <c r="BF371" s="1938">
        <f>+BF369/(BE$152++BE$154+BE$156+BE$158)</f>
        <v>2.9975151793661579E-2</v>
      </c>
      <c r="BG371" s="1938">
        <f>+BG369/(BF$152++BF$154+BF$156+BF$158)</f>
        <v>3.0111034734903338E-2</v>
      </c>
      <c r="BH371" s="1938">
        <f>+BH369/(BG$152++BG$154+BG$156+BG$158)</f>
        <v>3.3304302562853952E-2</v>
      </c>
      <c r="BI371" s="1936">
        <f>+AVERAGE(BE371:BH371)</f>
        <v>2.6889186527668838E-2</v>
      </c>
      <c r="BJ371" s="63"/>
      <c r="BK371" s="1937">
        <f>+BK369/(BH$152++BH$154+BH$156+BH$158)</f>
        <v>3.1522149340520562E-2</v>
      </c>
      <c r="BL371" s="1938">
        <f>+BL369/(BK$152++BK$154+BK$156+BK$158)</f>
        <v>3.1862616512070806E-2</v>
      </c>
      <c r="BM371" s="1938">
        <f>+BM369/(BL$152++BL$154+BL$156+BL$158)</f>
        <v>3.2387334418731262E-2</v>
      </c>
      <c r="BN371" s="1938">
        <f>+BN369/(BM$152++BM$154+BM$156+BM$158)</f>
        <v>3.2801471730430937E-2</v>
      </c>
      <c r="BO371" s="1936">
        <f>+AVERAGE(BK371:BN371)</f>
        <v>3.2143393000438392E-2</v>
      </c>
      <c r="BP371" s="63"/>
      <c r="BQ371" s="1937">
        <f>+BQ369/(BN$152++BN$154+BN$156+BN$158)</f>
        <v>3.0921463309592619E-2</v>
      </c>
      <c r="BR371" s="1938">
        <f>+BR369/(BQ$152++BQ$154+BQ$156+BQ$158)</f>
        <v>3.1255331512230936E-2</v>
      </c>
      <c r="BS371" s="1938">
        <f>+BS369/(BR$152++BR$154+BR$156+BR$158)</f>
        <v>3.235865570648136E-2</v>
      </c>
      <c r="BT371" s="1938">
        <f>+BT369/(BS$152++BS$154+BS$156+BS$158)</f>
        <v>3.4772717730486791E-2</v>
      </c>
      <c r="BU371" s="1936">
        <f>+AVERAGE(BQ371:BT371)</f>
        <v>3.2327042064697928E-2</v>
      </c>
      <c r="BV371" s="63"/>
      <c r="BW371" s="1937">
        <f>+BW369/(BT$152++BT$154+BT$156+BT$158)</f>
        <v>3.7576011648405391E-2</v>
      </c>
      <c r="BX371" s="1938">
        <f>+BX369/(BW$152++BW$154+BW$156+BW$158)</f>
        <v>4.0629392716360596E-2</v>
      </c>
      <c r="BY371" s="1938">
        <f>+BY369/(BX$152++BX$154+BX$156+BX$158)</f>
        <v>4.4222891138607279E-2</v>
      </c>
      <c r="BZ371" s="1938">
        <f>+BZ369/(BY$152++BY$154+BY$156+BY$158)</f>
        <v>4.8513725545676741E-2</v>
      </c>
      <c r="CA371" s="1936">
        <f>+AVERAGE(BW371:BZ371)</f>
        <v>4.2735505262262503E-2</v>
      </c>
      <c r="CB371" s="63"/>
      <c r="CC371" s="1937">
        <f>+CC369/(BZ$152++BZ$154+BZ$156+BZ$158)</f>
        <v>5.3726689260168041E-2</v>
      </c>
      <c r="CD371" s="1938">
        <f>+CD369/(CC$152++CC$154+CC$156+CC$158)</f>
        <v>5.9543155865143124E-2</v>
      </c>
      <c r="CE371" s="1938">
        <f>+CE369/(CD$152++CD$154+CD$156+CD$158)</f>
        <v>6.6771900764471884E-2</v>
      </c>
      <c r="CF371" s="1938">
        <f>+CF369/(CE$152++CE$154+CE$156+CE$158)</f>
        <v>7.5998364909983823E-2</v>
      </c>
      <c r="CG371" s="1936">
        <f>+AVERAGE(CC371:CF371)</f>
        <v>6.4010027699941713E-2</v>
      </c>
      <c r="CH371" s="63"/>
      <c r="CI371" s="1937">
        <f>+CI369/(CF$152++CF$154+CF$156+CF$158)</f>
        <v>8.8183452558245223E-2</v>
      </c>
      <c r="CJ371" s="1938">
        <f>+CJ369/(CI$152++CI$154+CI$156+CI$158)</f>
        <v>0.10502200316490803</v>
      </c>
      <c r="CK371" s="1938">
        <f>+CK369/(CJ$152++CJ$154+CJ$156+CJ$158)</f>
        <v>0.14717696631666294</v>
      </c>
      <c r="CL371" s="1938">
        <f>+CL369/(CK$152++CK$154+CK$156+CK$158)</f>
        <v>0.21380495856459897</v>
      </c>
      <c r="CM371" s="1936">
        <f>+AVERAGE(CI371:CL371)</f>
        <v>0.13854684515110377</v>
      </c>
      <c r="CN371" s="63"/>
      <c r="CO371" s="1937">
        <f>+CO369/(CL$152++CL$154+CL$156+CL$158)</f>
        <v>0.26538791510288839</v>
      </c>
      <c r="CP371" s="1938">
        <f>+CP369/(CO$152++CO$154+CO$156+CO$158)</f>
        <v>0.26538791510288839</v>
      </c>
      <c r="CQ371" s="1938">
        <f>+CQ369/(CP$152++CP$154+CP$156+CP$158)</f>
        <v>0.34977531705542586</v>
      </c>
      <c r="CR371" s="1938">
        <f>+CR369/(CQ$152++CQ$154+CQ$156+CQ$158)</f>
        <v>0.51285016010249507</v>
      </c>
      <c r="CS371" s="1936">
        <f>+AVERAGE(CO371:CR371)</f>
        <v>0.34835032684092443</v>
      </c>
    </row>
    <row r="372" spans="1:97">
      <c r="A372" s="2291" t="s">
        <v>686</v>
      </c>
      <c r="C372" s="1850"/>
      <c r="G372" s="736"/>
      <c r="H372" s="63"/>
      <c r="I372" s="1425"/>
      <c r="J372" s="6"/>
      <c r="K372" s="6"/>
      <c r="L372" s="6"/>
      <c r="M372" s="1841"/>
      <c r="N372" s="63"/>
      <c r="O372" s="1425"/>
      <c r="P372" s="2278"/>
      <c r="Q372" s="2278"/>
      <c r="R372" s="2278"/>
      <c r="S372" s="2279"/>
      <c r="T372" s="63"/>
      <c r="U372" s="1425"/>
      <c r="V372" s="2278"/>
      <c r="W372" s="2278"/>
      <c r="X372" s="2278"/>
      <c r="Y372" s="2279"/>
      <c r="Z372" s="63"/>
      <c r="AA372" s="1425"/>
      <c r="AB372" s="2278"/>
      <c r="AC372" s="2278"/>
      <c r="AD372" s="2278"/>
      <c r="AE372" s="2279"/>
      <c r="AF372" s="63"/>
      <c r="AG372" s="1425"/>
      <c r="AH372" s="2278"/>
      <c r="AI372" s="2278"/>
      <c r="AJ372" s="2278"/>
      <c r="AK372" s="2279"/>
      <c r="AL372" s="63"/>
      <c r="AM372" s="1425"/>
      <c r="AN372" s="2278"/>
      <c r="AO372" s="2278"/>
      <c r="AP372" s="2278"/>
      <c r="AQ372" s="2279"/>
      <c r="AR372" s="63"/>
      <c r="AS372" s="1425"/>
      <c r="AT372" s="2278"/>
      <c r="AU372" s="2278"/>
      <c r="AV372" s="2278"/>
      <c r="AW372" s="2279"/>
      <c r="AX372" s="63"/>
      <c r="AY372" s="2281">
        <f>+AY$93</f>
        <v>0</v>
      </c>
      <c r="AZ372" s="2287">
        <f>+AZ$93</f>
        <v>0</v>
      </c>
      <c r="BA372" s="2282">
        <f>+BA$93</f>
        <v>0</v>
      </c>
      <c r="BB372" s="2282">
        <f>+BB$93</f>
        <v>0</v>
      </c>
      <c r="BC372" s="2283">
        <f>+SUM(AY372:BB372)</f>
        <v>0</v>
      </c>
      <c r="BE372" s="2281">
        <f>+BE$93</f>
        <v>1</v>
      </c>
      <c r="BF372" s="2287">
        <f>+BF$93</f>
        <v>1</v>
      </c>
      <c r="BG372" s="2282">
        <f>+BG$93</f>
        <v>2</v>
      </c>
      <c r="BH372" s="2282">
        <f>+BH$93</f>
        <v>1</v>
      </c>
      <c r="BI372" s="2283">
        <f>+SUM(BE372:BH372)</f>
        <v>5</v>
      </c>
      <c r="BK372" s="2281">
        <f>+BK$93</f>
        <v>0</v>
      </c>
      <c r="BL372" s="2287">
        <f>+BL$93</f>
        <v>0</v>
      </c>
      <c r="BM372" s="2282">
        <f>+BM$93</f>
        <v>0</v>
      </c>
      <c r="BN372" s="2282">
        <f>+BN$93</f>
        <v>3</v>
      </c>
      <c r="BO372" s="2283">
        <f>+SUM(BK372:BN372)</f>
        <v>3</v>
      </c>
      <c r="BQ372" s="2281">
        <f>+BQ$93</f>
        <v>0</v>
      </c>
      <c r="BR372" s="2287">
        <f>+BR$93</f>
        <v>0</v>
      </c>
      <c r="BS372" s="2282">
        <f>+BS$93</f>
        <v>0</v>
      </c>
      <c r="BT372" s="2282">
        <f>+BT$93</f>
        <v>0</v>
      </c>
      <c r="BU372" s="2283">
        <f>+SUM(BQ372:BT372)</f>
        <v>0</v>
      </c>
      <c r="BW372" s="2281">
        <f>+BW$93</f>
        <v>0</v>
      </c>
      <c r="BX372" s="2287">
        <f>+BX$93</f>
        <v>0</v>
      </c>
      <c r="BY372" s="2282">
        <f>+BY$93</f>
        <v>0</v>
      </c>
      <c r="BZ372" s="2282">
        <f>+BZ$93</f>
        <v>0</v>
      </c>
      <c r="CA372" s="2283">
        <f>+SUM(BW372:BZ372)</f>
        <v>0</v>
      </c>
      <c r="CC372" s="2281">
        <f>+CC$93</f>
        <v>0</v>
      </c>
      <c r="CD372" s="2287">
        <f>+CD$93</f>
        <v>0</v>
      </c>
      <c r="CE372" s="2282">
        <f>+CE$93</f>
        <v>0</v>
      </c>
      <c r="CF372" s="2282">
        <f>+CF$93</f>
        <v>0</v>
      </c>
      <c r="CG372" s="2283">
        <f>+SUM(CC372:CF372)</f>
        <v>0</v>
      </c>
      <c r="CI372" s="2281">
        <f>+CI$93</f>
        <v>0</v>
      </c>
      <c r="CJ372" s="2287">
        <f>+CJ$93</f>
        <v>0</v>
      </c>
      <c r="CK372" s="2282">
        <f>+CK$93</f>
        <v>0</v>
      </c>
      <c r="CL372" s="2282">
        <f>+CL$93</f>
        <v>0</v>
      </c>
      <c r="CM372" s="2283">
        <f>+SUM(CI372:CL372)</f>
        <v>0</v>
      </c>
      <c r="CO372" s="2281">
        <f>+CO$93</f>
        <v>0</v>
      </c>
      <c r="CP372" s="2287">
        <f>+CP$93</f>
        <v>0</v>
      </c>
      <c r="CQ372" s="2282">
        <f>+CQ$93</f>
        <v>0</v>
      </c>
      <c r="CR372" s="2282">
        <f>+CR$93</f>
        <v>0</v>
      </c>
      <c r="CS372" s="2283">
        <f>+SUM(CO372:CR372)</f>
        <v>0</v>
      </c>
    </row>
    <row r="373" spans="1:97">
      <c r="A373" s="2280" t="s">
        <v>689</v>
      </c>
      <c r="C373" s="1850"/>
      <c r="G373" s="736"/>
      <c r="H373" s="63"/>
      <c r="I373" s="1425"/>
      <c r="J373" s="6"/>
      <c r="K373" s="6"/>
      <c r="L373" s="6"/>
      <c r="M373" s="1841"/>
      <c r="N373" s="63"/>
      <c r="O373" s="1425"/>
      <c r="P373" s="2278"/>
      <c r="Q373" s="2278"/>
      <c r="R373" s="2278"/>
      <c r="S373" s="2279"/>
      <c r="T373" s="63"/>
      <c r="U373" s="1425"/>
      <c r="V373" s="2278"/>
      <c r="W373" s="2278"/>
      <c r="X373" s="2278"/>
      <c r="Y373" s="2279"/>
      <c r="Z373" s="63"/>
      <c r="AA373" s="1425"/>
      <c r="AB373" s="2278"/>
      <c r="AC373" s="2278"/>
      <c r="AD373" s="2278"/>
      <c r="AE373" s="2279"/>
      <c r="AF373" s="63"/>
      <c r="AG373" s="1425">
        <f>+AVERAGE(AG368,AD368)</f>
        <v>0</v>
      </c>
      <c r="AH373" s="2278">
        <f>+AVERAGE(AH368,AG368)</f>
        <v>0</v>
      </c>
      <c r="AI373" s="2278">
        <f>+AVERAGE(AI368,AH368)</f>
        <v>0</v>
      </c>
      <c r="AJ373" s="2278">
        <f>+AVERAGE(AJ368,AI368)</f>
        <v>0</v>
      </c>
      <c r="AK373" s="2279">
        <f>+AVERAGE(AK368,AJ368)</f>
        <v>0</v>
      </c>
      <c r="AL373" s="63"/>
      <c r="AM373" s="1425">
        <f>+AVERAGE(AM368,AJ368)</f>
        <v>0</v>
      </c>
      <c r="AN373" s="2278">
        <f>+AVERAGE(AN368,AM368)</f>
        <v>0</v>
      </c>
      <c r="AO373" s="2278">
        <f>+AVERAGE(AO368,AN368)</f>
        <v>0</v>
      </c>
      <c r="AP373" s="2278">
        <f>+AVERAGE(AP368,AO368)</f>
        <v>0</v>
      </c>
      <c r="AQ373" s="2279">
        <f>+AVERAGE(AQ368,AP368)</f>
        <v>0</v>
      </c>
      <c r="AR373" s="63"/>
      <c r="AS373" s="1425">
        <f>+AVERAGE(AS368,AP368)</f>
        <v>0</v>
      </c>
      <c r="AT373" s="2278">
        <f>+AVERAGE(AT368,AS368)</f>
        <v>0</v>
      </c>
      <c r="AU373" s="2278">
        <f>+AVERAGE(AU368,AT368)</f>
        <v>0</v>
      </c>
      <c r="AV373" s="2278">
        <f>+AVERAGE(AV368,AU368)</f>
        <v>0</v>
      </c>
      <c r="AW373" s="2279">
        <f>+AVERAGE(AW368,AV368)</f>
        <v>0</v>
      </c>
      <c r="AX373" s="63"/>
      <c r="AY373" s="2281">
        <f>+AVERAGE(AY368,AV368)</f>
        <v>23.207500000000003</v>
      </c>
      <c r="AZ373" s="2282">
        <f>+AVERAGE(AZ368,AY368)</f>
        <v>73.826000000000008</v>
      </c>
      <c r="BA373" s="2282">
        <f>+AVERAGE(BA368,AZ368)</f>
        <v>126.24100000000001</v>
      </c>
      <c r="BB373" s="2282">
        <f>+AVERAGE(BB368,BA368)</f>
        <v>171.02800000000002</v>
      </c>
      <c r="BC373" s="2283">
        <f>+AVERAGE(BC368,AW368)</f>
        <v>95.405500000000004</v>
      </c>
      <c r="BE373" s="2281">
        <f>+AVERAGE(BE368,BB368)</f>
        <v>205.85000000000002</v>
      </c>
      <c r="BF373" s="2282">
        <f>+AVERAGE(BF368,BE368)</f>
        <v>251.38900000000001</v>
      </c>
      <c r="BG373" s="2282">
        <f>+AVERAGE(BG368,BF368)</f>
        <v>312.88900000000001</v>
      </c>
      <c r="BH373" s="2282">
        <f>+AVERAGE(BH368,BG368)</f>
        <v>376.88900000000001</v>
      </c>
      <c r="BI373" s="2283">
        <f>+AVERAGE(BI368,BC368)</f>
        <v>300.35000000000002</v>
      </c>
      <c r="BJ373" s="63"/>
      <c r="BK373" s="2281">
        <f>+AVERAGE(BK368,BH368)</f>
        <v>439.38900000000001</v>
      </c>
      <c r="BL373" s="2282">
        <f>+AVERAGE(BL368,BK368)</f>
        <v>498.38900000000001</v>
      </c>
      <c r="BM373" s="2282">
        <f>+AVERAGE(BM368,BL368)</f>
        <v>557.38900000000001</v>
      </c>
      <c r="BN373" s="2282">
        <f>+AVERAGE(BN368,BM368)</f>
        <v>617.88900000000001</v>
      </c>
      <c r="BO373" s="2283">
        <f>+AVERAGE(BO368,BI368)</f>
        <v>529.38900000000001</v>
      </c>
      <c r="BP373" s="63"/>
      <c r="BQ373" s="2281">
        <f>+AVERAGE(BQ368,BN368)</f>
        <v>676.38900000000001</v>
      </c>
      <c r="BR373" s="2282">
        <f>+AVERAGE(BR368,BQ368)</f>
        <v>731.38900000000001</v>
      </c>
      <c r="BS373" s="2282">
        <f>+AVERAGE(BS368,BR368)</f>
        <v>786.38900000000001</v>
      </c>
      <c r="BT373" s="2282">
        <f>+AVERAGE(BT368,BS368)</f>
        <v>841.38900000000001</v>
      </c>
      <c r="BU373" s="2283">
        <f>+AVERAGE(BU368,BO368)</f>
        <v>758.88900000000001</v>
      </c>
      <c r="BV373" s="63"/>
      <c r="BW373" s="2281">
        <f>+AVERAGE(BW368,BT368)</f>
        <v>896.38900000000001</v>
      </c>
      <c r="BX373" s="2282">
        <f>+AVERAGE(BX368,BW368)</f>
        <v>951.38900000000001</v>
      </c>
      <c r="BY373" s="2282">
        <f>+AVERAGE(BY368,BX368)</f>
        <v>1006.3890000000001</v>
      </c>
      <c r="BZ373" s="2282">
        <f>+AVERAGE(BZ368,BY368)</f>
        <v>1061.3890000000001</v>
      </c>
      <c r="CA373" s="2283">
        <f>+AVERAGE(CA368,BU368)</f>
        <v>978.88900000000012</v>
      </c>
      <c r="CB373" s="63"/>
      <c r="CC373" s="2281">
        <f>+AVERAGE(CC368,BZ368)</f>
        <v>1116.3890000000001</v>
      </c>
      <c r="CD373" s="2282">
        <f>+AVERAGE(CD368,CC368)</f>
        <v>1171.3890000000001</v>
      </c>
      <c r="CE373" s="2282">
        <f>+AVERAGE(CE368,CD368)</f>
        <v>1226.3890000000001</v>
      </c>
      <c r="CF373" s="2282">
        <f>+AVERAGE(CF368,CE368)</f>
        <v>1281.3890000000001</v>
      </c>
      <c r="CG373" s="2283">
        <f>+AVERAGE(CG368,CA368)</f>
        <v>1198.8890000000001</v>
      </c>
      <c r="CH373" s="63"/>
      <c r="CI373" s="2281">
        <f>+AVERAGE(CI368,CF368)</f>
        <v>1336.3890000000001</v>
      </c>
      <c r="CJ373" s="2282">
        <f>+AVERAGE(CJ368,CI368)</f>
        <v>1391.3890000000001</v>
      </c>
      <c r="CK373" s="2282">
        <f>+AVERAGE(CK368,CJ368)</f>
        <v>1446.3890000000001</v>
      </c>
      <c r="CL373" s="2282">
        <f>+AVERAGE(CL368,CK368)</f>
        <v>1501.3890000000001</v>
      </c>
      <c r="CM373" s="2283">
        <f>+AVERAGE(CM368,CG368)</f>
        <v>1418.8890000000001</v>
      </c>
      <c r="CN373" s="63"/>
      <c r="CO373" s="2281">
        <f>+AVERAGE(CO368,CL368)</f>
        <v>1556.3890000000001</v>
      </c>
      <c r="CP373" s="2282">
        <f>+AVERAGE(CP368,CO368)</f>
        <v>1611.3890000000001</v>
      </c>
      <c r="CQ373" s="2282">
        <f>+AVERAGE(CQ368,CP368)</f>
        <v>1666.3890000000001</v>
      </c>
      <c r="CR373" s="2282">
        <f>+AVERAGE(CR368,CQ368)</f>
        <v>1721.3890000000001</v>
      </c>
      <c r="CS373" s="2283">
        <f>+AVERAGE(CS368,CM368)</f>
        <v>1638.8890000000001</v>
      </c>
    </row>
    <row r="374" spans="1:97">
      <c r="A374" s="1930" t="s">
        <v>684</v>
      </c>
      <c r="C374" s="1850"/>
      <c r="G374" s="736"/>
      <c r="H374" s="63"/>
      <c r="I374" s="1425"/>
      <c r="J374" s="6"/>
      <c r="K374" s="6"/>
      <c r="L374" s="6"/>
      <c r="M374" s="1841"/>
      <c r="N374" s="63"/>
      <c r="O374" s="1425"/>
      <c r="P374" s="2278"/>
      <c r="Q374" s="2278"/>
      <c r="R374" s="2278"/>
      <c r="S374" s="2279"/>
      <c r="T374" s="63"/>
      <c r="U374" s="1425"/>
      <c r="V374" s="2278"/>
      <c r="W374" s="2278"/>
      <c r="X374" s="2278"/>
      <c r="Y374" s="2279"/>
      <c r="Z374" s="63"/>
      <c r="AA374" s="1425"/>
      <c r="AB374" s="2278"/>
      <c r="AC374" s="2278"/>
      <c r="AD374" s="2278"/>
      <c r="AE374" s="2279"/>
      <c r="AF374" s="63"/>
      <c r="AG374" s="1425"/>
      <c r="AH374" s="2278"/>
      <c r="AI374" s="2278"/>
      <c r="AJ374" s="2278"/>
      <c r="AK374" s="2279"/>
      <c r="AL374" s="63"/>
      <c r="AM374" s="1425"/>
      <c r="AN374" s="2278"/>
      <c r="AO374" s="2278"/>
      <c r="AP374" s="2278"/>
      <c r="AQ374" s="2279"/>
      <c r="AR374" s="63"/>
      <c r="AS374" s="1425"/>
      <c r="AT374" s="2278"/>
      <c r="AU374" s="2278"/>
      <c r="AV374" s="2278"/>
      <c r="AW374" s="2279"/>
      <c r="AX374" s="63"/>
      <c r="AY374" s="1425">
        <f>+(AY369*AY$89+AY372*AY$90)/1000</f>
        <v>30.169750000000004</v>
      </c>
      <c r="AZ374" s="2284">
        <f>+(AZ369*AZ$89+AZ372*AZ$90)/1000</f>
        <v>40.680665099999999</v>
      </c>
      <c r="BA374" s="2284">
        <f>+(BA369*BA$89+BA372*BA$90)/1000</f>
        <v>37.108436400000002</v>
      </c>
      <c r="BB374" s="2284">
        <f>+(BB369*BB$89+BB372*BB$90)/1000</f>
        <v>29.359950300000001</v>
      </c>
      <c r="BC374" s="1424">
        <f>+SUM(AY374:BB374)</f>
        <v>137.31880180000002</v>
      </c>
      <c r="BE374" s="1425">
        <f>+(BE369*BE$89+BE372*BE$90)/1000</f>
        <v>22.1585</v>
      </c>
      <c r="BF374" s="2284">
        <f>+(BF369*BF$89+BF372*BF$90)/1000</f>
        <v>45.35</v>
      </c>
      <c r="BG374" s="2284">
        <f>+(BG369*BG$89+BG372*BG$90)/1000</f>
        <v>45.7</v>
      </c>
      <c r="BH374" s="2284">
        <f>+(BH369*BH$89+BH372*BH$90)/1000</f>
        <v>49.1</v>
      </c>
      <c r="BI374" s="1424">
        <f>+SUM(BE374:BH374)</f>
        <v>162.30850000000001</v>
      </c>
      <c r="BJ374" s="63"/>
      <c r="BK374" s="1425">
        <f>+(BK369*BK$89+BK372*BK$90)/1000</f>
        <v>44.25</v>
      </c>
      <c r="BL374" s="2284">
        <f>+(BL369*BL$89+BL372*BL$90)/1000</f>
        <v>44.25</v>
      </c>
      <c r="BM374" s="2284">
        <f>+(BM369*BM$89+BM372*BM$90)/1000</f>
        <v>44.25</v>
      </c>
      <c r="BN374" s="2284">
        <f>+(BN369*BN$89+BN372*BN$90)/1000</f>
        <v>45.3</v>
      </c>
      <c r="BO374" s="1424">
        <f>+SUM(BK374:BN374)</f>
        <v>178.05</v>
      </c>
      <c r="BP374" s="63"/>
      <c r="BQ374" s="1425">
        <f>+(BQ369*BQ$89+BQ372*BQ$90)/1000</f>
        <v>41.25</v>
      </c>
      <c r="BR374" s="2284">
        <f>+(BR369*BR$89+BR372*BR$90)/1000</f>
        <v>41.25</v>
      </c>
      <c r="BS374" s="2284">
        <f>+(BS369*BS$89+BS372*BS$90)/1000</f>
        <v>41.25</v>
      </c>
      <c r="BT374" s="2284">
        <f>+(BT369*BT$89+BT372*BT$90)/1000</f>
        <v>41.25</v>
      </c>
      <c r="BU374" s="1424">
        <f>+SUM(BQ374:BT374)</f>
        <v>165</v>
      </c>
      <c r="BV374" s="63"/>
      <c r="BW374" s="1425">
        <f>+(BW369*BW$89+BW372*BW$90)/1000</f>
        <v>41.25</v>
      </c>
      <c r="BX374" s="2284">
        <f>+(BX369*BX$89+BX372*BX$90)/1000</f>
        <v>41.25</v>
      </c>
      <c r="BY374" s="2284">
        <f>+(BY369*BY$89+BY372*BY$90)/1000</f>
        <v>41.25</v>
      </c>
      <c r="BZ374" s="2284">
        <f>+(BZ369*BZ$89+BZ372*BZ$90)/1000</f>
        <v>41.25</v>
      </c>
      <c r="CA374" s="1424">
        <f>+SUM(BW374:BZ374)</f>
        <v>165</v>
      </c>
      <c r="CB374" s="63"/>
      <c r="CC374" s="1425">
        <f>+(CC369*CC$89+CC372*CC$90)/1000</f>
        <v>41.25</v>
      </c>
      <c r="CD374" s="2284">
        <f>+(CD369*CD$89+CD372*CD$90)/1000</f>
        <v>41.25</v>
      </c>
      <c r="CE374" s="2284">
        <f>+(CE369*CE$89+CE372*CE$90)/1000</f>
        <v>41.25</v>
      </c>
      <c r="CF374" s="2284">
        <f>+(CF369*CF$89+CF372*CF$90)/1000</f>
        <v>41.25</v>
      </c>
      <c r="CG374" s="1424">
        <f>+SUM(CC374:CF374)</f>
        <v>165</v>
      </c>
      <c r="CH374" s="63"/>
      <c r="CI374" s="1425">
        <f>+(CI369*CI$89+CI372*CI$90)/1000</f>
        <v>41.25</v>
      </c>
      <c r="CJ374" s="2284">
        <f>+(CJ369*CJ$89+CJ372*CJ$90)/1000</f>
        <v>41.25</v>
      </c>
      <c r="CK374" s="2284">
        <f>+(CK369*CK$89+CK372*CK$90)/1000</f>
        <v>41.25</v>
      </c>
      <c r="CL374" s="2284">
        <f>+(CL369*CL$89+CL372*CL$90)/1000</f>
        <v>41.25</v>
      </c>
      <c r="CM374" s="1424">
        <f>+SUM(CI374:CL374)</f>
        <v>165</v>
      </c>
      <c r="CN374" s="63"/>
      <c r="CO374" s="1425">
        <f>+(CO369*CO$89+CO372*CO$90)/1000</f>
        <v>41.25</v>
      </c>
      <c r="CP374" s="2284">
        <f>+(CP369*CP$89+CP372*CP$90)/1000</f>
        <v>41.25</v>
      </c>
      <c r="CQ374" s="2284">
        <f>+(CQ369*CQ$89+CQ372*CQ$90)/1000</f>
        <v>41.25</v>
      </c>
      <c r="CR374" s="2284">
        <f>+(CR369*CR$89+CR372*CR$90)/1000</f>
        <v>41.25</v>
      </c>
      <c r="CS374" s="1424">
        <f>+SUM(CO374:CR374)</f>
        <v>165</v>
      </c>
    </row>
    <row r="375" spans="1:97">
      <c r="A375" s="1930" t="s">
        <v>685</v>
      </c>
      <c r="C375" s="1850"/>
      <c r="G375" s="736"/>
      <c r="H375" s="63"/>
      <c r="I375" s="1425"/>
      <c r="J375" s="6"/>
      <c r="K375" s="6"/>
      <c r="L375" s="6"/>
      <c r="M375" s="1841"/>
      <c r="N375" s="63"/>
      <c r="O375" s="1425"/>
      <c r="P375" s="2278"/>
      <c r="Q375" s="2278"/>
      <c r="R375" s="2278"/>
      <c r="S375" s="2279"/>
      <c r="T375" s="63"/>
      <c r="U375" s="1425"/>
      <c r="V375" s="2278"/>
      <c r="W375" s="2278"/>
      <c r="X375" s="2278"/>
      <c r="Y375" s="2279"/>
      <c r="Z375" s="63"/>
      <c r="AA375" s="1425"/>
      <c r="AB375" s="2278"/>
      <c r="AC375" s="2278"/>
      <c r="AD375" s="2278"/>
      <c r="AE375" s="2279"/>
      <c r="AF375" s="63"/>
      <c r="AG375" s="1425"/>
      <c r="AH375" s="2278"/>
      <c r="AI375" s="2278"/>
      <c r="AJ375" s="2278"/>
      <c r="AK375" s="2279"/>
      <c r="AL375" s="63"/>
      <c r="AM375" s="1425"/>
      <c r="AN375" s="2278"/>
      <c r="AO375" s="2278"/>
      <c r="AP375" s="2278"/>
      <c r="AQ375" s="2279"/>
      <c r="AR375" s="63"/>
      <c r="AS375" s="1425"/>
      <c r="AT375" s="2278"/>
      <c r="AU375" s="2278"/>
      <c r="AV375" s="2278"/>
      <c r="AW375" s="2279"/>
      <c r="AX375" s="63"/>
      <c r="AY375" s="1425">
        <f>+(AY373*AY$196)/(4*1000)</f>
        <v>1.9726375000000003</v>
      </c>
      <c r="AZ375" s="2284">
        <f>+(AZ373*AZ$196)/(4*1000)</f>
        <v>5.9060800000000011</v>
      </c>
      <c r="BA375" s="2284">
        <f>+(BA373*BA$196)/(4*1000)</f>
        <v>11.046087500000002</v>
      </c>
      <c r="BB375" s="2284">
        <f>+(BB373*BB$196)/(4*1000)</f>
        <v>13.254670000000003</v>
      </c>
      <c r="BC375" s="1424">
        <f>+SUM(AY375:BB375)</f>
        <v>32.179475000000004</v>
      </c>
      <c r="BE375" s="1425">
        <f>+(BE373*BE$196)/(4*1000)</f>
        <v>15.438750000000002</v>
      </c>
      <c r="BF375" s="2284">
        <f>+(BF373*BF$196)/(4*1000)</f>
        <v>20.111120000000003</v>
      </c>
      <c r="BG375" s="2284">
        <f>+(BG373*BG$196)/(4*1000)</f>
        <v>23.23200825</v>
      </c>
      <c r="BH375" s="2284">
        <f>+(BH373*BH$196)/(4*1000)</f>
        <v>28.266674999999999</v>
      </c>
      <c r="BI375" s="1424">
        <f>+SUM(BE375:BH375)</f>
        <v>87.048553249999998</v>
      </c>
      <c r="BJ375" s="63"/>
      <c r="BK375" s="1425">
        <f>+(BK373*BK$196)/(4*1000)</f>
        <v>31.30646625</v>
      </c>
      <c r="BL375" s="2284">
        <f>+(BL373*BL$196)/(4*1000)</f>
        <v>35.510216249999999</v>
      </c>
      <c r="BM375" s="2284">
        <f>+(BM373*BM$196)/(4*1000)</f>
        <v>43.197647500000002</v>
      </c>
      <c r="BN375" s="2284">
        <f>+(BN373*BN$196)/(4*1000)</f>
        <v>50.203481250000003</v>
      </c>
      <c r="BO375" s="1424">
        <f>+SUM(BK375:BN375)</f>
        <v>160.21781125000001</v>
      </c>
      <c r="BP375" s="63"/>
      <c r="BQ375" s="1425">
        <f>+(BQ373*BQ$196)/(4*1000)</f>
        <v>51.574661249999998</v>
      </c>
      <c r="BR375" s="2284">
        <f>+(BR373*BR$196)/(4*1000)</f>
        <v>53.939938750000003</v>
      </c>
      <c r="BS375" s="2284">
        <f>+(BS373*BS$196)/(4*1000)</f>
        <v>56.030216249999995</v>
      </c>
      <c r="BT375" s="2284">
        <f>+(BT373*BT$196)/(4*1000)</f>
        <v>57.845493750000003</v>
      </c>
      <c r="BU375" s="1424">
        <f>+SUM(BQ375:BT375)</f>
        <v>219.39031</v>
      </c>
      <c r="BV375" s="63"/>
      <c r="BW375" s="1425">
        <f>+(BW373*BW$196)/(4*1000)</f>
        <v>59.385771249999998</v>
      </c>
      <c r="BX375" s="2284">
        <f>+(BX373*BX$196)/(4*1000)</f>
        <v>60.651048750000001</v>
      </c>
      <c r="BY375" s="2284">
        <f>+(BY373*BY$196)/(4*1000)</f>
        <v>61.641326250000006</v>
      </c>
      <c r="BZ375" s="2284">
        <f>+(BZ373*BZ$196)/(4*1000)</f>
        <v>62.356603750000012</v>
      </c>
      <c r="CA375" s="1424">
        <f>+SUM(BW375:BZ375)</f>
        <v>244.03475</v>
      </c>
      <c r="CB375" s="63"/>
      <c r="CC375" s="1425">
        <f>+(CC373*CC$196)/(4*1000)</f>
        <v>62.796881250000006</v>
      </c>
      <c r="CD375" s="2284">
        <f>+(CD373*CD$196)/(4*1000)</f>
        <v>62.962158750000008</v>
      </c>
      <c r="CE375" s="2284">
        <f>+(CE373*CE$196)/(4*1000)</f>
        <v>62.852436250000004</v>
      </c>
      <c r="CF375" s="2284">
        <f>+(CF373*CF$196)/(4*1000)</f>
        <v>62.467713750000001</v>
      </c>
      <c r="CG375" s="1424">
        <f>+SUM(CC375:CF375)</f>
        <v>251.07919000000001</v>
      </c>
      <c r="CH375" s="63"/>
      <c r="CI375" s="1425">
        <f>+(CI373*CI$196)/(4*1000)</f>
        <v>60.137505000000004</v>
      </c>
      <c r="CJ375" s="2284">
        <f>+(CJ373*CJ$196)/(4*1000)</f>
        <v>57.394796250000006</v>
      </c>
      <c r="CK375" s="2284">
        <f>+(CK373*CK$196)/(4*1000)</f>
        <v>54.239587499999999</v>
      </c>
      <c r="CL375" s="2284">
        <f>+(CL373*CL$196)/(4*1000)</f>
        <v>50.671878750000005</v>
      </c>
      <c r="CM375" s="1424">
        <f>+SUM(CI375:CL375)</f>
        <v>222.44376750000004</v>
      </c>
      <c r="CN375" s="63"/>
      <c r="CO375" s="1425">
        <f>+(CO373*CO$196)/(4*1000)</f>
        <v>46.691670000000002</v>
      </c>
      <c r="CP375" s="2284">
        <f>+(CP373*CP$196)/(4*1000)</f>
        <v>42.298961249999998</v>
      </c>
      <c r="CQ375" s="2284">
        <f>+(CQ373*CQ$196)/(4*1000)</f>
        <v>37.493752499999999</v>
      </c>
      <c r="CR375" s="2284">
        <f>+(CR373*CR$196)/(4*1000)</f>
        <v>32.276043749999999</v>
      </c>
      <c r="CS375" s="1424">
        <f>+SUM(CO375:CR375)</f>
        <v>158.76042749999999</v>
      </c>
    </row>
    <row r="376" spans="1:97">
      <c r="A376" s="125" t="s">
        <v>700</v>
      </c>
      <c r="B376" s="3"/>
      <c r="C376" s="2246"/>
      <c r="D376" s="3"/>
      <c r="E376" s="3"/>
      <c r="F376" s="3"/>
      <c r="G376" s="2247"/>
      <c r="H376" s="1588"/>
      <c r="I376" s="2246"/>
      <c r="J376" s="1336"/>
      <c r="K376" s="1336"/>
      <c r="L376" s="1336"/>
      <c r="M376" s="2247"/>
      <c r="N376" s="1588"/>
      <c r="O376" s="2246"/>
      <c r="P376" s="2288"/>
      <c r="Q376" s="2288"/>
      <c r="R376" s="2288"/>
      <c r="S376" s="2289"/>
      <c r="T376" s="1588"/>
      <c r="U376" s="2246"/>
      <c r="V376" s="2288"/>
      <c r="W376" s="2288"/>
      <c r="X376" s="2288"/>
      <c r="Y376" s="2289"/>
      <c r="Z376" s="1588"/>
      <c r="AA376" s="2246"/>
      <c r="AB376" s="2288"/>
      <c r="AC376" s="2288"/>
      <c r="AD376" s="2288"/>
      <c r="AE376" s="2289"/>
      <c r="AF376" s="1588"/>
      <c r="AG376" s="2246"/>
      <c r="AH376" s="2288"/>
      <c r="AI376" s="2288"/>
      <c r="AJ376" s="2288"/>
      <c r="AK376" s="2289"/>
      <c r="AL376" s="1588"/>
      <c r="AM376" s="2246"/>
      <c r="AN376" s="2288"/>
      <c r="AO376" s="2288"/>
      <c r="AP376" s="2288"/>
      <c r="AQ376" s="2289"/>
      <c r="AR376" s="1588"/>
      <c r="AS376" s="2246"/>
      <c r="AT376" s="2288"/>
      <c r="AU376" s="2288"/>
      <c r="AV376" s="2288"/>
      <c r="AW376" s="2289"/>
      <c r="AX376" s="1588"/>
      <c r="AY376" s="2246">
        <f>-AY$88-AY$183+AY375+AY374</f>
        <v>0</v>
      </c>
      <c r="AZ376" s="2288">
        <f>-AZ$88-AZ$183+AZ375+AZ374</f>
        <v>0</v>
      </c>
      <c r="BA376" s="2288">
        <f>-BA$88-BA$183+BA375+BA374</f>
        <v>0</v>
      </c>
      <c r="BB376" s="2288">
        <f>-BB$88-BB$183+BB375+BB374</f>
        <v>0</v>
      </c>
      <c r="BC376" s="2290">
        <f>-BC$88-BC$183+BC375+BC374</f>
        <v>0</v>
      </c>
      <c r="BD376" s="3"/>
      <c r="BE376" s="2246">
        <f>-BE$88-BE$183+BE375+BE374</f>
        <v>0</v>
      </c>
      <c r="BF376" s="2293">
        <f>-BF$88-BF$183+BF375+BF374</f>
        <v>25.317604000000006</v>
      </c>
      <c r="BG376" s="2293">
        <f>-BG$88-BG$183+BG375+BG374</f>
        <v>34.619072324999998</v>
      </c>
      <c r="BH376" s="2293">
        <f>-BH$88-BH$183+BH375+BH374</f>
        <v>36.718739999999997</v>
      </c>
      <c r="BI376" s="2290">
        <f>-BI$88-BI$183+BI375+BI374</f>
        <v>96.655416325000004</v>
      </c>
      <c r="BJ376" s="3"/>
      <c r="BK376" s="2246">
        <f>-BK$88-BK$183+BK375+BK374</f>
        <v>48.853467374999994</v>
      </c>
      <c r="BL376" s="2293">
        <f>-BL$88-BL$183+BL375+BL374</f>
        <v>58.082845499999991</v>
      </c>
      <c r="BM376" s="2293">
        <f>-BM$88-BM$183+BM375+BM374</f>
        <v>63.868752999999998</v>
      </c>
      <c r="BN376" s="2293">
        <f>-BN$88-BN$183+BN375+BN374</f>
        <v>69.611797499999994</v>
      </c>
      <c r="BO376" s="2290">
        <f>-BO$88-BO$183+BO375+BO374</f>
        <v>240.41686337499999</v>
      </c>
      <c r="BP376" s="3"/>
      <c r="BQ376" s="2246">
        <f>-BQ$88-BQ$183+BQ375+BQ374</f>
        <v>69.39732149999999</v>
      </c>
      <c r="BR376" s="2293">
        <f>-BR$88-BR$183+BR375+BR374</f>
        <v>72.530708500000003</v>
      </c>
      <c r="BS376" s="2293">
        <f>-BS$88-BS$183+BS375+BS374</f>
        <v>75.389095499999996</v>
      </c>
      <c r="BT376" s="2293">
        <f>-BT$88-BT$183+BT375+BT374</f>
        <v>77.972482499999998</v>
      </c>
      <c r="BU376" s="2290">
        <f>-BU$88-BU$183+BU375+BU374</f>
        <v>295.28960799999999</v>
      </c>
      <c r="BV376" s="3"/>
      <c r="BW376" s="2246">
        <f>-BW$88-BW$183+BW375+BW374</f>
        <v>80.280869499999994</v>
      </c>
      <c r="BX376" s="2293">
        <f>-BX$88-BX$183+BX375+BX374</f>
        <v>82.314256499999999</v>
      </c>
      <c r="BY376" s="2293">
        <f>-BY$88-BY$183+BY375+BY374</f>
        <v>84.072643499999998</v>
      </c>
      <c r="BZ376" s="2293">
        <f>-BZ$88-BZ$183+BZ375+BZ374</f>
        <v>85.556030500000006</v>
      </c>
      <c r="CA376" s="2290">
        <f>-CA$88-CA$183+CA375+CA374</f>
        <v>332.22379999999998</v>
      </c>
      <c r="CB376" s="3"/>
      <c r="CC376" s="2246">
        <f>-CC$88-CC$183+CC375+CC374</f>
        <v>86.764417500000008</v>
      </c>
      <c r="CD376" s="2293">
        <f>-CD$88-CD$183+CD375+CD374</f>
        <v>87.697804500000004</v>
      </c>
      <c r="CE376" s="2293">
        <f>-CE$88-CE$183+CE375+CE374</f>
        <v>88.356191499999994</v>
      </c>
      <c r="CF376" s="2293">
        <f>-CF$88-CF$183+CF375+CF374</f>
        <v>88.739578499999993</v>
      </c>
      <c r="CG376" s="2290">
        <f>-CG$88-CG$183+CG375+CG374</f>
        <v>351.55799200000001</v>
      </c>
      <c r="CH376" s="3"/>
      <c r="CI376" s="2246">
        <f>-CI$88-CI$183+CI375+CI374</f>
        <v>87.561533999999995</v>
      </c>
      <c r="CJ376" s="2293">
        <f>-CJ$88-CJ$183+CJ375+CJ374</f>
        <v>85.970989500000002</v>
      </c>
      <c r="CK376" s="2293">
        <f>-CK$88-CK$183+CK375+CK374</f>
        <v>84.905444999999986</v>
      </c>
      <c r="CL376" s="2293">
        <f>-CL$88-CL$183+CL375+CL374</f>
        <v>84.083650500000005</v>
      </c>
      <c r="CM376" s="2290">
        <f>-CM$88-CM$183+CM375+CM374</f>
        <v>342.52161899999999</v>
      </c>
      <c r="CN376" s="3"/>
      <c r="CO376" s="2246">
        <f>-CO$88-CO$183+CO375+CO374</f>
        <v>81.724356</v>
      </c>
      <c r="CP376" s="2293">
        <f>-CP$88-CP$183+CP375+CP374</f>
        <v>78.765061500000002</v>
      </c>
      <c r="CQ376" s="2293">
        <f>-CQ$88-CQ$183+CQ375+CQ374</f>
        <v>75.768266999999994</v>
      </c>
      <c r="CR376" s="2293">
        <f>-CR$88-CR$183+CR375+CR374</f>
        <v>71.983972499999993</v>
      </c>
      <c r="CS376" s="2290">
        <f>-CS$88-CS$183+CS375+CS374</f>
        <v>308.24165699999998</v>
      </c>
    </row>
    <row r="377" spans="1:97">
      <c r="A377" s="1930" t="s">
        <v>690</v>
      </c>
      <c r="C377" s="1850"/>
      <c r="G377" s="736"/>
      <c r="H377" s="63"/>
      <c r="I377" s="1425"/>
      <c r="J377" s="6"/>
      <c r="K377" s="6"/>
      <c r="L377" s="6"/>
      <c r="M377" s="1841"/>
      <c r="N377" s="63"/>
      <c r="O377" s="1425"/>
      <c r="P377" s="2278"/>
      <c r="Q377" s="2278"/>
      <c r="R377" s="2278"/>
      <c r="S377" s="2279"/>
      <c r="T377" s="63"/>
      <c r="U377" s="1425"/>
      <c r="V377" s="2278"/>
      <c r="W377" s="2278"/>
      <c r="X377" s="2278"/>
      <c r="Y377" s="2279"/>
      <c r="Z377" s="63"/>
      <c r="AA377" s="1425"/>
      <c r="AB377" s="2278"/>
      <c r="AC377" s="2278"/>
      <c r="AD377" s="2278"/>
      <c r="AE377" s="2279"/>
      <c r="AF377" s="63"/>
      <c r="AG377" s="1425"/>
      <c r="AH377" s="2278"/>
      <c r="AI377" s="2278"/>
      <c r="AJ377" s="2278"/>
      <c r="AK377" s="2279"/>
      <c r="AL377" s="63"/>
      <c r="AM377" s="1425"/>
      <c r="AN377" s="2278"/>
      <c r="AO377" s="2278"/>
      <c r="AP377" s="2278"/>
      <c r="AQ377" s="2279"/>
      <c r="AR377" s="63"/>
      <c r="AS377" s="1425"/>
      <c r="AT377" s="2278"/>
      <c r="AU377" s="2278"/>
      <c r="AV377" s="2278"/>
      <c r="AW377" s="2279"/>
      <c r="AX377" s="63"/>
      <c r="AY377" s="1425">
        <f>+(AY373*AY$327*360)/1000000</f>
        <v>3.5686504285714289</v>
      </c>
      <c r="AZ377" s="1423">
        <f>+(AZ373*AZ$327*360)/1000000</f>
        <v>11.352329485714286</v>
      </c>
      <c r="BA377" s="2284">
        <f>+(BA373*BA$327*360)/1000000</f>
        <v>19.412258914285715</v>
      </c>
      <c r="BB377" s="2284">
        <f>+(BB373*BB$327*360)/1000000</f>
        <v>26.299219885714294</v>
      </c>
      <c r="BC377" s="1424">
        <f>+(SUMPRODUCT(AY373:BB373,AY$327:BB$327)*360)/(1000000*4)</f>
        <v>15.158114678571433</v>
      </c>
      <c r="BE377" s="1425">
        <f>+(BE373*BE$327*360)/1000000</f>
        <v>31.653848571428579</v>
      </c>
      <c r="BF377" s="1423">
        <f>+(BF373*BF$327*360)/1000000</f>
        <v>38.656445657142861</v>
      </c>
      <c r="BG377" s="2284">
        <f>+(BG373*BG$327*360)/1000000</f>
        <v>48.113388514285717</v>
      </c>
      <c r="BH377" s="2284">
        <f>+(BH373*BH$327*360)/1000000</f>
        <v>57.954759942857144</v>
      </c>
      <c r="BI377" s="1424">
        <f>+(SUMPRODUCT(BE373:BH373,BE$327:BH$327)*360)/(1000000*4)</f>
        <v>44.094610671428576</v>
      </c>
      <c r="BK377" s="1425">
        <f>+(BK373*BK$327*360)/1000000</f>
        <v>67.565474228571432</v>
      </c>
      <c r="BL377" s="1423">
        <f>+(BL373*BL$327*360)/1000000</f>
        <v>76.637988514285709</v>
      </c>
      <c r="BM377" s="2284">
        <f>+(BM373*BM$327*360)/1000000</f>
        <v>85.7105028</v>
      </c>
      <c r="BN377" s="2284">
        <f>+(BN373*BN$327*360)/1000000</f>
        <v>95.013674228571432</v>
      </c>
      <c r="BO377" s="1424">
        <f>+(SUMPRODUCT(BK373:BN373,BK$327:BN$327)*360)/(1000000*4)</f>
        <v>81.231909942857143</v>
      </c>
      <c r="BQ377" s="1425">
        <f>+(BQ373*BQ$327*360)/1000000</f>
        <v>104.00930280000001</v>
      </c>
      <c r="BR377" s="1423">
        <f>+(BR373*BR$327*360)/1000000</f>
        <v>112.46673137142857</v>
      </c>
      <c r="BS377" s="2284">
        <f>+(BS373*BS$327*360)/1000000</f>
        <v>120.92415994285714</v>
      </c>
      <c r="BT377" s="2284">
        <f>+(BT373*BT$327*360)/1000000</f>
        <v>129.38158851428574</v>
      </c>
      <c r="BU377" s="1424">
        <f>+(SUMPRODUCT(BQ373:BT373,BQ$327:BT$327)*360)/(1000000*4)</f>
        <v>116.69544565714288</v>
      </c>
      <c r="BW377" s="1425">
        <f>+(BW373*BW$327*360)/1000000</f>
        <v>137.83901708571432</v>
      </c>
      <c r="BX377" s="1423">
        <f>+(BX373*BX$327*360)/1000000</f>
        <v>146.29644565714284</v>
      </c>
      <c r="BY377" s="2284">
        <f>+(BY373*BY$327*360)/1000000</f>
        <v>154.75387422857145</v>
      </c>
      <c r="BZ377" s="2284">
        <f>+(BZ373*BZ$327*360)/1000000</f>
        <v>163.21130280000006</v>
      </c>
      <c r="CA377" s="1424">
        <f>+(SUMPRODUCT(BW373:BZ373,BW$327:BZ$327)*360)/(1000000*4)</f>
        <v>150.52515994285716</v>
      </c>
      <c r="CC377" s="1425">
        <f>+(CC373*CC$327*360)/1000000</f>
        <v>171.66873137142858</v>
      </c>
      <c r="CD377" s="1423">
        <f>+(CD373*CD$327*360)/1000000</f>
        <v>180.12615994285719</v>
      </c>
      <c r="CE377" s="2284">
        <f>+(CE373*CE$327*360)/1000000</f>
        <v>188.58358851428574</v>
      </c>
      <c r="CF377" s="2284">
        <f>+(CF373*CF$327*360)/1000000</f>
        <v>197.04101708571432</v>
      </c>
      <c r="CG377" s="1424">
        <f>+(SUMPRODUCT(CC373:CF373,CC$327:CF$327)*360)/(1000000*4)</f>
        <v>184.35487422857145</v>
      </c>
      <c r="CI377" s="1425">
        <f>+(CI373*CI$327*360)/1000000</f>
        <v>205.49844565714287</v>
      </c>
      <c r="CJ377" s="1423">
        <f>+(CJ373*CJ$327*360)/1000000</f>
        <v>213.95587422857145</v>
      </c>
      <c r="CK377" s="2284">
        <f>+(CK373*CK$327*360)/1000000</f>
        <v>222.41330280000005</v>
      </c>
      <c r="CL377" s="2284">
        <f>+(CL373*CL$327*360)/1000000</f>
        <v>230.8707313714286</v>
      </c>
      <c r="CM377" s="1424">
        <f>+(SUMPRODUCT(CI373:CL373,CI$327:CL$327)*360)/(1000000*4)</f>
        <v>218.18458851428571</v>
      </c>
      <c r="CO377" s="1425">
        <f>+(CO373*CO$327*360)/1000000</f>
        <v>239.32815994285718</v>
      </c>
      <c r="CP377" s="1423">
        <f>+(CP373*CP$327*360)/1000000</f>
        <v>247.78558851428576</v>
      </c>
      <c r="CQ377" s="2284">
        <f>+(CQ373*CQ$327*360)/1000000</f>
        <v>256.24301708571431</v>
      </c>
      <c r="CR377" s="2284">
        <f>+(CR373*CR$327*360)/1000000</f>
        <v>264.70044565714289</v>
      </c>
      <c r="CS377" s="1424">
        <f>+(SUMPRODUCT(CO373:CR373,CO$327:CR$327)*360)/(1000000*4)</f>
        <v>252.01430280000005</v>
      </c>
    </row>
    <row r="378" spans="1:97">
      <c r="A378" s="1930"/>
      <c r="C378" s="1850"/>
      <c r="G378" s="736"/>
      <c r="H378" s="63"/>
      <c r="I378" s="1425"/>
      <c r="J378" s="6"/>
      <c r="K378" s="6"/>
      <c r="L378" s="6"/>
      <c r="M378" s="1841"/>
      <c r="N378" s="63"/>
      <c r="O378" s="1425"/>
      <c r="P378" s="2278"/>
      <c r="Q378" s="2278"/>
      <c r="R378" s="2278"/>
      <c r="S378" s="2279"/>
      <c r="T378" s="63"/>
      <c r="U378" s="1425"/>
      <c r="V378" s="2278"/>
      <c r="W378" s="2278"/>
      <c r="X378" s="2278"/>
      <c r="Y378" s="2279"/>
      <c r="Z378" s="63"/>
      <c r="AA378" s="1425"/>
      <c r="AB378" s="2278"/>
      <c r="AC378" s="2278"/>
      <c r="AD378" s="2278"/>
      <c r="AE378" s="2279"/>
      <c r="AF378" s="63"/>
      <c r="AG378" s="1425"/>
      <c r="AH378" s="2278"/>
      <c r="AI378" s="2278"/>
      <c r="AJ378" s="2278"/>
      <c r="AK378" s="2279"/>
      <c r="AL378" s="63"/>
      <c r="AM378" s="1425"/>
      <c r="AN378" s="2278"/>
      <c r="AO378" s="2278"/>
      <c r="AP378" s="2278"/>
      <c r="AQ378" s="2279"/>
      <c r="AR378" s="63"/>
      <c r="AS378" s="1425"/>
      <c r="AT378" s="2278"/>
      <c r="AU378" s="2278"/>
      <c r="AV378" s="2278"/>
      <c r="AW378" s="2279"/>
      <c r="AX378" s="63"/>
      <c r="AY378" s="1425"/>
      <c r="AZ378" s="1423"/>
      <c r="BA378" s="2284"/>
      <c r="BB378" s="2284"/>
      <c r="BC378" s="1424"/>
      <c r="BE378" s="1425"/>
      <c r="BF378" s="1423"/>
      <c r="BG378" s="2284"/>
      <c r="BH378" s="2284"/>
      <c r="BI378" s="1424"/>
      <c r="BK378" s="1425"/>
      <c r="BL378" s="1423"/>
      <c r="BM378" s="2284"/>
      <c r="BN378" s="2284"/>
      <c r="BO378" s="1424"/>
      <c r="BQ378" s="1425"/>
      <c r="BR378" s="1423"/>
      <c r="BS378" s="2284"/>
      <c r="BT378" s="2284"/>
      <c r="BU378" s="1424"/>
      <c r="BW378" s="1425"/>
      <c r="BX378" s="1423"/>
      <c r="BY378" s="2284"/>
      <c r="BZ378" s="2284"/>
      <c r="CA378" s="1424"/>
      <c r="CC378" s="1425"/>
      <c r="CD378" s="1423"/>
      <c r="CE378" s="2284"/>
      <c r="CF378" s="2284"/>
      <c r="CG378" s="1424"/>
      <c r="CI378" s="1425"/>
      <c r="CJ378" s="1423"/>
      <c r="CK378" s="2284"/>
      <c r="CL378" s="2284"/>
      <c r="CM378" s="1424"/>
      <c r="CO378" s="1425"/>
      <c r="CP378" s="1423"/>
      <c r="CQ378" s="2284"/>
      <c r="CR378" s="2284"/>
      <c r="CS378" s="1424"/>
    </row>
    <row r="379" spans="1:97">
      <c r="A379" s="2295" t="s">
        <v>695</v>
      </c>
      <c r="C379" s="1850"/>
      <c r="G379" s="736"/>
      <c r="H379" s="63"/>
      <c r="I379" s="1425"/>
      <c r="J379" s="6"/>
      <c r="K379" s="6"/>
      <c r="L379" s="6"/>
      <c r="M379" s="1841"/>
      <c r="N379" s="63"/>
      <c r="O379" s="1425"/>
      <c r="P379" s="2278"/>
      <c r="Q379" s="2278"/>
      <c r="R379" s="2278"/>
      <c r="S379" s="2279"/>
      <c r="T379" s="63"/>
      <c r="U379" s="1425"/>
      <c r="V379" s="2278"/>
      <c r="W379" s="2278"/>
      <c r="X379" s="2278"/>
      <c r="Y379" s="2279"/>
      <c r="Z379" s="63"/>
      <c r="AA379" s="1425"/>
      <c r="AB379" s="2278"/>
      <c r="AC379" s="2278"/>
      <c r="AD379" s="2278"/>
      <c r="AE379" s="2279"/>
      <c r="AF379" s="63"/>
      <c r="AG379" s="1425"/>
      <c r="AH379" s="2278"/>
      <c r="AI379" s="2278"/>
      <c r="AJ379" s="2278"/>
      <c r="AK379" s="2279"/>
      <c r="AL379" s="63"/>
      <c r="AM379" s="1425"/>
      <c r="AN379" s="2278"/>
      <c r="AO379" s="2278"/>
      <c r="AP379" s="2278"/>
      <c r="AQ379" s="2279"/>
      <c r="AR379" s="63"/>
      <c r="AS379" s="1425"/>
      <c r="AT379" s="2278"/>
      <c r="AU379" s="2278"/>
      <c r="AV379" s="2278"/>
      <c r="AW379" s="2279"/>
      <c r="AX379" s="63"/>
      <c r="AY379" s="1425"/>
      <c r="AZ379" s="1423"/>
      <c r="BA379" s="2284"/>
      <c r="BB379" s="2284"/>
      <c r="BC379" s="1424"/>
      <c r="BE379" s="1425"/>
      <c r="BF379" s="1423"/>
      <c r="BG379" s="2284"/>
      <c r="BH379" s="2284"/>
      <c r="BI379" s="1424"/>
      <c r="BK379" s="1425"/>
      <c r="BL379" s="1423"/>
      <c r="BM379" s="2284"/>
      <c r="BN379" s="2284"/>
      <c r="BO379" s="1424"/>
      <c r="BQ379" s="1425"/>
      <c r="BR379" s="1423"/>
      <c r="BS379" s="2284"/>
      <c r="BT379" s="2284"/>
      <c r="BU379" s="1424"/>
      <c r="BW379" s="1425"/>
      <c r="BX379" s="1423"/>
      <c r="BY379" s="2284"/>
      <c r="BZ379" s="2284"/>
      <c r="CA379" s="1424"/>
      <c r="CC379" s="1425"/>
      <c r="CD379" s="1423"/>
      <c r="CE379" s="2284"/>
      <c r="CF379" s="2284"/>
      <c r="CG379" s="1424"/>
      <c r="CI379" s="1425"/>
      <c r="CJ379" s="1423"/>
      <c r="CK379" s="2284"/>
      <c r="CL379" s="2284"/>
      <c r="CM379" s="1424"/>
      <c r="CO379" s="1425"/>
      <c r="CP379" s="1423"/>
      <c r="CQ379" s="2284"/>
      <c r="CR379" s="2284"/>
      <c r="CS379" s="1424"/>
    </row>
    <row r="380" spans="1:97">
      <c r="A380" s="1930" t="str">
        <f t="shared" ref="A380:A389" si="1053">+A333</f>
        <v>GA II</v>
      </c>
      <c r="C380" s="1850"/>
      <c r="G380" s="736"/>
      <c r="H380" s="63"/>
      <c r="I380" s="1425"/>
      <c r="J380" s="6"/>
      <c r="K380" s="6"/>
      <c r="L380" s="6"/>
      <c r="M380" s="1841"/>
      <c r="N380" s="63"/>
      <c r="O380" s="1425"/>
      <c r="P380" s="2278"/>
      <c r="Q380" s="2278"/>
      <c r="R380" s="2278"/>
      <c r="S380" s="2279"/>
      <c r="T380" s="63"/>
      <c r="U380" s="1425"/>
      <c r="V380" s="2278"/>
      <c r="W380" s="2278"/>
      <c r="X380" s="2278"/>
      <c r="Y380" s="2279"/>
      <c r="Z380" s="63"/>
      <c r="AA380" s="1425"/>
      <c r="AB380" s="2278"/>
      <c r="AC380" s="2278"/>
      <c r="AD380" s="2278"/>
      <c r="AE380" s="2279"/>
      <c r="AF380" s="63"/>
      <c r="AG380" s="1425">
        <f>+AG$333</f>
        <v>1.0088711999999995</v>
      </c>
      <c r="AH380" s="1423">
        <f>+AH$333</f>
        <v>0.92508479999999949</v>
      </c>
      <c r="AI380" s="2284">
        <f>+AI$333</f>
        <v>0.87388199999999938</v>
      </c>
      <c r="AJ380" s="2284">
        <f>+AJ$333</f>
        <v>0.85991759999999939</v>
      </c>
      <c r="AK380" s="1424">
        <f>+AK$333</f>
        <v>0.91693889999999945</v>
      </c>
      <c r="AL380" s="63"/>
      <c r="AM380" s="1425">
        <f>+AM$333</f>
        <v>0.85991759999999939</v>
      </c>
      <c r="AN380" s="1423">
        <f>+AN$333</f>
        <v>0.85991759999999939</v>
      </c>
      <c r="AO380" s="2284">
        <f>+AO$333</f>
        <v>0.85991759999999939</v>
      </c>
      <c r="AP380" s="2284">
        <f>+AP$333</f>
        <v>0.85991759999999939</v>
      </c>
      <c r="AQ380" s="1424">
        <f>+AQ$333</f>
        <v>0.8599175999999995</v>
      </c>
      <c r="AR380" s="63"/>
      <c r="AS380" s="1425">
        <f>+AS$333</f>
        <v>0.85991759999999939</v>
      </c>
      <c r="AT380" s="1423">
        <f>+AT$333</f>
        <v>0.85991759999999939</v>
      </c>
      <c r="AU380" s="2284">
        <f>+AU$333</f>
        <v>0.85991759999999939</v>
      </c>
      <c r="AV380" s="2284">
        <f>+AV$333</f>
        <v>0.85991759999999939</v>
      </c>
      <c r="AW380" s="1424">
        <f>+AW$333</f>
        <v>0.8599175999999995</v>
      </c>
      <c r="AX380" s="63"/>
      <c r="AY380" s="1425">
        <f>+AY$333</f>
        <v>0.85991759999999939</v>
      </c>
      <c r="AZ380" s="1423">
        <f>+AZ$333</f>
        <v>0.85991759999999939</v>
      </c>
      <c r="BA380" s="2284">
        <f>+BA$333</f>
        <v>0.85991759999999939</v>
      </c>
      <c r="BB380" s="2284">
        <f>+BB$333</f>
        <v>0.85991759999999939</v>
      </c>
      <c r="BC380" s="1424">
        <f>+BC$333</f>
        <v>0.8599175999999995</v>
      </c>
      <c r="BE380" s="1425">
        <f>+BE$333</f>
        <v>0.85991759999999939</v>
      </c>
      <c r="BF380" s="1423">
        <f>+BF$333</f>
        <v>0.85991759999999939</v>
      </c>
      <c r="BG380" s="2284">
        <f>+BG$333</f>
        <v>0.85991759999999939</v>
      </c>
      <c r="BH380" s="2284">
        <f>+BH$333</f>
        <v>0.85991759999999939</v>
      </c>
      <c r="BI380" s="1424">
        <f>+BI$333</f>
        <v>0.8599175999999995</v>
      </c>
      <c r="BK380" s="1425">
        <f>+BK$333</f>
        <v>0.85991759999999939</v>
      </c>
      <c r="BL380" s="1423">
        <f>+BL$333</f>
        <v>0.85991759999999939</v>
      </c>
      <c r="BM380" s="2284">
        <f>+BM$333</f>
        <v>0.85991759999999939</v>
      </c>
      <c r="BN380" s="2284">
        <f>+BN$333</f>
        <v>0.85991759999999939</v>
      </c>
      <c r="BO380" s="1424">
        <f>+BO$333</f>
        <v>0.8599175999999995</v>
      </c>
      <c r="BQ380" s="1425">
        <f>+BQ$333</f>
        <v>0.85991759999999939</v>
      </c>
      <c r="BR380" s="1423">
        <f>+BR$333</f>
        <v>0.85991759999999939</v>
      </c>
      <c r="BS380" s="2284">
        <f>+BS$333</f>
        <v>0.85991759999999939</v>
      </c>
      <c r="BT380" s="2284">
        <f>+BT$333</f>
        <v>0.85991759999999939</v>
      </c>
      <c r="BU380" s="1424">
        <f>+BU$333</f>
        <v>0.8599175999999995</v>
      </c>
      <c r="BW380" s="1425">
        <f>+BW$333</f>
        <v>0.85991759999999939</v>
      </c>
      <c r="BX380" s="1423">
        <f>+BX$333</f>
        <v>0.85991759999999939</v>
      </c>
      <c r="BY380" s="2284">
        <f>+BY$333</f>
        <v>0.85991759999999939</v>
      </c>
      <c r="BZ380" s="2284">
        <f>+BZ$333</f>
        <v>0.85991759999999939</v>
      </c>
      <c r="CA380" s="1424">
        <f>+CA$333</f>
        <v>0.8599175999999995</v>
      </c>
      <c r="CC380" s="1425">
        <f>+CC$333</f>
        <v>0.85991759999999939</v>
      </c>
      <c r="CD380" s="1423">
        <f>+CD$333</f>
        <v>0.85991759999999939</v>
      </c>
      <c r="CE380" s="2284">
        <f>+CE$333</f>
        <v>0.85991759999999939</v>
      </c>
      <c r="CF380" s="2284">
        <f>+CF$333</f>
        <v>0.85991759999999939</v>
      </c>
      <c r="CG380" s="1424">
        <f>+CG$333</f>
        <v>0.8599175999999995</v>
      </c>
      <c r="CI380" s="1425">
        <f>+CI$333</f>
        <v>0.85991759999999939</v>
      </c>
      <c r="CJ380" s="1423">
        <f>+CJ$333</f>
        <v>0.85991759999999939</v>
      </c>
      <c r="CK380" s="2284">
        <f>+CK$333</f>
        <v>0.85991759999999939</v>
      </c>
      <c r="CL380" s="2284">
        <f>+CL$333</f>
        <v>0.85991759999999939</v>
      </c>
      <c r="CM380" s="1424">
        <f>+CM$333</f>
        <v>0.8599175999999995</v>
      </c>
      <c r="CO380" s="1425">
        <f>+CO$333</f>
        <v>0.85991759999999939</v>
      </c>
      <c r="CP380" s="1423">
        <f>+CP$333</f>
        <v>0.85991759999999939</v>
      </c>
      <c r="CQ380" s="2284">
        <f>+CQ$333</f>
        <v>0.85991759999999939</v>
      </c>
      <c r="CR380" s="2284">
        <f>+CR$333</f>
        <v>0.85991759999999939</v>
      </c>
      <c r="CS380" s="1424">
        <f>+CS$333</f>
        <v>0.8599175999999995</v>
      </c>
    </row>
    <row r="381" spans="1:97">
      <c r="A381" s="1930" t="str">
        <f t="shared" si="1053"/>
        <v>MiniSeq</v>
      </c>
      <c r="C381" s="1850"/>
      <c r="G381" s="736"/>
      <c r="H381" s="63"/>
      <c r="I381" s="1425"/>
      <c r="J381" s="6"/>
      <c r="K381" s="6"/>
      <c r="L381" s="6"/>
      <c r="M381" s="1841"/>
      <c r="N381" s="63"/>
      <c r="O381" s="1425"/>
      <c r="P381" s="2278"/>
      <c r="Q381" s="2278"/>
      <c r="R381" s="2278"/>
      <c r="S381" s="2279"/>
      <c r="T381" s="63"/>
      <c r="U381" s="1425"/>
      <c r="V381" s="2278"/>
      <c r="W381" s="2278"/>
      <c r="X381" s="2278"/>
      <c r="Y381" s="2279"/>
      <c r="Z381" s="63"/>
      <c r="AA381" s="1425"/>
      <c r="AB381" s="2278"/>
      <c r="AC381" s="2278"/>
      <c r="AD381" s="2278"/>
      <c r="AE381" s="2279"/>
      <c r="AF381" s="63"/>
      <c r="AG381" s="1425">
        <f>+AG$334</f>
        <v>0</v>
      </c>
      <c r="AH381" s="1423">
        <f>+AH$334</f>
        <v>0</v>
      </c>
      <c r="AI381" s="2284">
        <f>+AI$334</f>
        <v>0</v>
      </c>
      <c r="AJ381" s="2284">
        <f>+AJ$334</f>
        <v>0</v>
      </c>
      <c r="AK381" s="1424">
        <f>+AK$334</f>
        <v>0</v>
      </c>
      <c r="AL381" s="63"/>
      <c r="AM381" s="1425">
        <f>+AM$334</f>
        <v>0</v>
      </c>
      <c r="AN381" s="1423">
        <f>+AN$334</f>
        <v>0</v>
      </c>
      <c r="AO381" s="2284">
        <f>+AO$334</f>
        <v>0</v>
      </c>
      <c r="AP381" s="2284">
        <f>+AP$334</f>
        <v>0</v>
      </c>
      <c r="AQ381" s="1424">
        <f>+AQ$334</f>
        <v>0</v>
      </c>
      <c r="AR381" s="63"/>
      <c r="AS381" s="1425">
        <f>+AS$334</f>
        <v>0</v>
      </c>
      <c r="AT381" s="1423">
        <f>+AT$334</f>
        <v>0</v>
      </c>
      <c r="AU381" s="2284">
        <f>+AU$334</f>
        <v>0</v>
      </c>
      <c r="AV381" s="2284">
        <f>+AV$334</f>
        <v>0</v>
      </c>
      <c r="AW381" s="1424">
        <f>+AW$334</f>
        <v>0</v>
      </c>
      <c r="AX381" s="63"/>
      <c r="AY381" s="1425">
        <f>+AY$334</f>
        <v>0</v>
      </c>
      <c r="AZ381" s="1423">
        <f>+AZ$334</f>
        <v>0</v>
      </c>
      <c r="BA381" s="2284">
        <f>+BA$334</f>
        <v>0</v>
      </c>
      <c r="BB381" s="2284">
        <f>+BB$334</f>
        <v>0</v>
      </c>
      <c r="BC381" s="1424">
        <f>+BC$334</f>
        <v>0</v>
      </c>
      <c r="BE381" s="1425">
        <f>+BE$334</f>
        <v>0.11752363636363639</v>
      </c>
      <c r="BF381" s="1423">
        <f>+BF$334</f>
        <v>0.15949636363636369</v>
      </c>
      <c r="BG381" s="2284">
        <f>+BG$334</f>
        <v>0.25743272727272731</v>
      </c>
      <c r="BH381" s="2284">
        <f>+BH$334</f>
        <v>0.39174545454545462</v>
      </c>
      <c r="BI381" s="1424">
        <f>+BI$334</f>
        <v>0.23154954545454545</v>
      </c>
      <c r="BK381" s="1425">
        <f>+BK$334</f>
        <v>0.52605818181818187</v>
      </c>
      <c r="BL381" s="1423">
        <f>+BL$334</f>
        <v>0.63798545454545474</v>
      </c>
      <c r="BM381" s="2284">
        <f>+BM$334</f>
        <v>0.7499127272727274</v>
      </c>
      <c r="BN381" s="2284">
        <f>+BN$334</f>
        <v>0.86184000000000016</v>
      </c>
      <c r="BO381" s="1424">
        <f>+BO$334</f>
        <v>0.69394909090909107</v>
      </c>
      <c r="BQ381" s="1425">
        <f>+BQ$334</f>
        <v>0.97376727272727293</v>
      </c>
      <c r="BR381" s="1423">
        <f>+BR$334</f>
        <v>1.0912909090909093</v>
      </c>
      <c r="BS381" s="2284">
        <f>+BS$334</f>
        <v>1.2144109090909094</v>
      </c>
      <c r="BT381" s="2284">
        <f>+BT$334</f>
        <v>1.3375309090909093</v>
      </c>
      <c r="BU381" s="1424">
        <f>+BU$334</f>
        <v>1.15425</v>
      </c>
      <c r="BW381" s="1425">
        <f>+BW$334</f>
        <v>1.4606509090909094</v>
      </c>
      <c r="BX381" s="1423">
        <f>+BX$334</f>
        <v>1.5837709090909093</v>
      </c>
      <c r="BY381" s="2284">
        <f>+BY$334</f>
        <v>1.7068909090909095</v>
      </c>
      <c r="BZ381" s="2284">
        <f>+BZ$334</f>
        <v>1.8300109090909094</v>
      </c>
      <c r="CA381" s="1424">
        <f>+CA$334</f>
        <v>1.6453309090909094</v>
      </c>
      <c r="CC381" s="1425">
        <f>+CC$334</f>
        <v>1.9531309090909095</v>
      </c>
      <c r="CD381" s="1423">
        <f>+CD$334</f>
        <v>2.0762509090909096</v>
      </c>
      <c r="CE381" s="2284">
        <f>+CE$334</f>
        <v>2.1993709090909097</v>
      </c>
      <c r="CF381" s="2284">
        <f>+CF$334</f>
        <v>2.3224909090909098</v>
      </c>
      <c r="CG381" s="1424">
        <f>+CG$334</f>
        <v>2.1378109090909092</v>
      </c>
      <c r="CI381" s="1425">
        <f>+CI$334</f>
        <v>2.4456109090909095</v>
      </c>
      <c r="CJ381" s="1423">
        <f>+CJ$334</f>
        <v>2.5687309090909096</v>
      </c>
      <c r="CK381" s="2284">
        <f>+CK$334</f>
        <v>2.6918509090909097</v>
      </c>
      <c r="CL381" s="2284">
        <f>+CL$334</f>
        <v>2.8149709090909099</v>
      </c>
      <c r="CM381" s="1424">
        <f>+CM$334</f>
        <v>2.6302909090909092</v>
      </c>
      <c r="CO381" s="1425">
        <f>+CO$334</f>
        <v>2.9380909090909095</v>
      </c>
      <c r="CP381" s="1423">
        <f>+CP$334</f>
        <v>3.0612109090909096</v>
      </c>
      <c r="CQ381" s="2284">
        <f>+CQ$334</f>
        <v>3.1843309090909098</v>
      </c>
      <c r="CR381" s="2284">
        <f>+CR$334</f>
        <v>3.3074509090909094</v>
      </c>
      <c r="CS381" s="1424">
        <f>+CS$334</f>
        <v>3.1227709090909097</v>
      </c>
    </row>
    <row r="382" spans="1:97">
      <c r="A382" s="1930" t="str">
        <f t="shared" si="1053"/>
        <v>MiSeq</v>
      </c>
      <c r="C382" s="1850"/>
      <c r="G382" s="736"/>
      <c r="H382" s="63"/>
      <c r="I382" s="1425"/>
      <c r="J382" s="6"/>
      <c r="K382" s="6"/>
      <c r="L382" s="6"/>
      <c r="M382" s="1841"/>
      <c r="N382" s="63"/>
      <c r="O382" s="1425"/>
      <c r="P382" s="2278"/>
      <c r="Q382" s="2278"/>
      <c r="R382" s="2278"/>
      <c r="S382" s="2279"/>
      <c r="T382" s="63"/>
      <c r="U382" s="1425"/>
      <c r="V382" s="2278"/>
      <c r="W382" s="2278"/>
      <c r="X382" s="2278"/>
      <c r="Y382" s="2279"/>
      <c r="Z382" s="63"/>
      <c r="AA382" s="1425"/>
      <c r="AB382" s="2278"/>
      <c r="AC382" s="2278"/>
      <c r="AD382" s="2278"/>
      <c r="AE382" s="2279"/>
      <c r="AF382" s="63"/>
      <c r="AG382" s="1425">
        <f>+AG$335</f>
        <v>0.75222</v>
      </c>
      <c r="AH382" s="1423">
        <f>+AH$335</f>
        <v>1.3444199999999999</v>
      </c>
      <c r="AI382" s="2284">
        <f>+AI$335</f>
        <v>1.9530000000000001</v>
      </c>
      <c r="AJ382" s="2284">
        <f>+AJ$335</f>
        <v>2.6019000000000001</v>
      </c>
      <c r="AK382" s="1424">
        <f>+AK$335</f>
        <v>1.6628849999999999</v>
      </c>
      <c r="AL382" s="63"/>
      <c r="AM382" s="1425">
        <f>+AM$335</f>
        <v>3.2507999999999999</v>
      </c>
      <c r="AN382" s="1423">
        <f>+AN$335</f>
        <v>3.9060000000000001</v>
      </c>
      <c r="AO382" s="2284">
        <f>+AO$335</f>
        <v>4.5612000000000004</v>
      </c>
      <c r="AP382" s="2284">
        <f>+AP$335</f>
        <v>5.2416</v>
      </c>
      <c r="AQ382" s="1424">
        <f>+AQ$335</f>
        <v>4.2398999999999996</v>
      </c>
      <c r="AR382" s="63"/>
      <c r="AS382" s="1425">
        <f>+AS$335</f>
        <v>5.9724000000000004</v>
      </c>
      <c r="AT382" s="1423">
        <f>+AT$335</f>
        <v>6.7031999999999998</v>
      </c>
      <c r="AU382" s="2284">
        <f>+AU$335</f>
        <v>7.3898999999999999</v>
      </c>
      <c r="AV382" s="2284">
        <f>+AV$335</f>
        <v>8.1081000000000003</v>
      </c>
      <c r="AW382" s="1424">
        <f>+AW$335</f>
        <v>7.0434000000000001</v>
      </c>
      <c r="AX382" s="63"/>
      <c r="AY382" s="1425">
        <f>+AY$335</f>
        <v>8.8452000000000002</v>
      </c>
      <c r="AZ382" s="1423">
        <f>+AZ$335</f>
        <v>9.5129999999999999</v>
      </c>
      <c r="BA382" s="2284">
        <f>+BA$335</f>
        <v>10.092599999999999</v>
      </c>
      <c r="BB382" s="2284">
        <f>+BB$335</f>
        <v>10.75032</v>
      </c>
      <c r="BC382" s="1424">
        <f>+BC$335</f>
        <v>9.8002800000000008</v>
      </c>
      <c r="BE382" s="1425">
        <f>+BE$335</f>
        <v>11.45844</v>
      </c>
      <c r="BF382" s="1423">
        <f>+BF$335</f>
        <v>12.08844</v>
      </c>
      <c r="BG382" s="2284">
        <f>+BG$335</f>
        <v>12.718439999999999</v>
      </c>
      <c r="BH382" s="2284">
        <f>+BH$335</f>
        <v>13.32324</v>
      </c>
      <c r="BI382" s="1424">
        <f>+BI$335</f>
        <v>12.39714</v>
      </c>
      <c r="BK382" s="1425">
        <f>+BK$335</f>
        <v>13.928039999999999</v>
      </c>
      <c r="BL382" s="1423">
        <f>+BL$335</f>
        <v>14.48874</v>
      </c>
      <c r="BM382" s="2284">
        <f>+BM$335</f>
        <v>14.98014</v>
      </c>
      <c r="BN382" s="2284">
        <f>+BN$335</f>
        <v>15.45894</v>
      </c>
      <c r="BO382" s="1424">
        <f>+BO$335</f>
        <v>14.713965</v>
      </c>
      <c r="BQ382" s="1425">
        <f>+BQ$335</f>
        <v>15.93144</v>
      </c>
      <c r="BR382" s="1423">
        <f>+BR$335</f>
        <v>16.422840000000001</v>
      </c>
      <c r="BS382" s="2284">
        <f>+BS$335</f>
        <v>16.926839999999999</v>
      </c>
      <c r="BT382" s="2284">
        <f>+BT$335</f>
        <v>17.43084</v>
      </c>
      <c r="BU382" s="1424">
        <f>+BU$335</f>
        <v>16.677990000000001</v>
      </c>
      <c r="BW382" s="1425">
        <f>+BW$335</f>
        <v>17.934840000000001</v>
      </c>
      <c r="BX382" s="1423">
        <f>+BX$335</f>
        <v>18.438839999999999</v>
      </c>
      <c r="BY382" s="2284">
        <f>+BY$335</f>
        <v>18.94284</v>
      </c>
      <c r="BZ382" s="2284">
        <f>+BZ$335</f>
        <v>19.446840000000002</v>
      </c>
      <c r="CA382" s="1424">
        <f>+CA$335</f>
        <v>18.690840000000001</v>
      </c>
      <c r="CC382" s="1425">
        <f>+CC$335</f>
        <v>19.950839999999999</v>
      </c>
      <c r="CD382" s="1423">
        <f>+CD$335</f>
        <v>20.454840000000001</v>
      </c>
      <c r="CE382" s="2284">
        <f>+CE$335</f>
        <v>20.958839999999999</v>
      </c>
      <c r="CF382" s="2284">
        <f>+CF$335</f>
        <v>21.46284</v>
      </c>
      <c r="CG382" s="1424">
        <f>+CG$335</f>
        <v>20.70684</v>
      </c>
      <c r="CI382" s="1425">
        <f>+CI$335</f>
        <v>21.966840000000001</v>
      </c>
      <c r="CJ382" s="1423">
        <f>+CJ$335</f>
        <v>22.470839999999999</v>
      </c>
      <c r="CK382" s="2284">
        <f>+CK$335</f>
        <v>22.97484</v>
      </c>
      <c r="CL382" s="2284">
        <f>+CL$335</f>
        <v>23.478840000000002</v>
      </c>
      <c r="CM382" s="1424">
        <f>+CM$335</f>
        <v>22.722840000000001</v>
      </c>
      <c r="CO382" s="1425">
        <f>+CO$335</f>
        <v>23.982839999999999</v>
      </c>
      <c r="CP382" s="1423">
        <f>+CP$335</f>
        <v>24.486840000000001</v>
      </c>
      <c r="CQ382" s="2284">
        <f>+CQ$335</f>
        <v>24.990839999999999</v>
      </c>
      <c r="CR382" s="2284">
        <f>+CR$335</f>
        <v>25.49484</v>
      </c>
      <c r="CS382" s="1424">
        <f>+CS$335</f>
        <v>24.73884</v>
      </c>
    </row>
    <row r="383" spans="1:97">
      <c r="A383" s="1930" t="str">
        <f t="shared" si="1053"/>
        <v>NextSeq</v>
      </c>
      <c r="C383" s="1850"/>
      <c r="G383" s="736"/>
      <c r="H383" s="63"/>
      <c r="I383" s="1425"/>
      <c r="J383" s="6"/>
      <c r="K383" s="6"/>
      <c r="L383" s="6"/>
      <c r="M383" s="1841"/>
      <c r="N383" s="63"/>
      <c r="O383" s="1425"/>
      <c r="P383" s="2278"/>
      <c r="Q383" s="2278"/>
      <c r="R383" s="2278"/>
      <c r="S383" s="2279"/>
      <c r="T383" s="63"/>
      <c r="U383" s="1425"/>
      <c r="V383" s="2278"/>
      <c r="W383" s="2278"/>
      <c r="X383" s="2278"/>
      <c r="Y383" s="2279"/>
      <c r="Z383" s="63"/>
      <c r="AA383" s="1425"/>
      <c r="AB383" s="2278"/>
      <c r="AC383" s="2278"/>
      <c r="AD383" s="2278"/>
      <c r="AE383" s="2279"/>
      <c r="AF383" s="63"/>
      <c r="AG383" s="1425">
        <f>+AG$336</f>
        <v>0</v>
      </c>
      <c r="AH383" s="1423">
        <f>+AH$336</f>
        <v>0</v>
      </c>
      <c r="AI383" s="2284">
        <f>+AI$336</f>
        <v>0</v>
      </c>
      <c r="AJ383" s="2284">
        <f>+AJ$336</f>
        <v>0</v>
      </c>
      <c r="AK383" s="1424">
        <f>+AK$336</f>
        <v>0</v>
      </c>
      <c r="AL383" s="63"/>
      <c r="AM383" s="1425">
        <f>+AM$336</f>
        <v>0</v>
      </c>
      <c r="AN383" s="1423">
        <f>+AN$336</f>
        <v>0</v>
      </c>
      <c r="AO383" s="2284">
        <f>+AO$336</f>
        <v>0</v>
      </c>
      <c r="AP383" s="2284">
        <f>+AP$336</f>
        <v>0</v>
      </c>
      <c r="AQ383" s="1424">
        <f>+AQ$336</f>
        <v>0</v>
      </c>
      <c r="AR383" s="63"/>
      <c r="AS383" s="1425">
        <f>+AS$336</f>
        <v>0</v>
      </c>
      <c r="AT383" s="1423">
        <f>+AT$336</f>
        <v>4.3502400000000003</v>
      </c>
      <c r="AU383" s="2284">
        <f>+AU$336</f>
        <v>9.1108799999999999</v>
      </c>
      <c r="AV383" s="2284">
        <f>+AV$336</f>
        <v>14.577408</v>
      </c>
      <c r="AW383" s="1424">
        <f>+AW$336</f>
        <v>7.0096319999999999</v>
      </c>
      <c r="AX383" s="63"/>
      <c r="AY383" s="1425">
        <f>+AY$336</f>
        <v>19.715616000000001</v>
      </c>
      <c r="AZ383" s="1423">
        <f>+AZ$336</f>
        <v>24.476255999999999</v>
      </c>
      <c r="BA383" s="2284">
        <f>+BA$336</f>
        <v>29.318975999999999</v>
      </c>
      <c r="BB383" s="2284">
        <f>+BB$336</f>
        <v>34.900416</v>
      </c>
      <c r="BC383" s="1424">
        <f>+BC$336</f>
        <v>27.102816000000004</v>
      </c>
      <c r="BE383" s="1425">
        <f>+BE$336</f>
        <v>40.646016000000003</v>
      </c>
      <c r="BF383" s="1423">
        <f>+BF$336</f>
        <v>45.734976000000003</v>
      </c>
      <c r="BG383" s="2284">
        <f>+BG$336</f>
        <v>51.070175999999996</v>
      </c>
      <c r="BH383" s="2284">
        <f>+BH$336</f>
        <v>56.241216000000001</v>
      </c>
      <c r="BI383" s="1424">
        <f>+BI$336</f>
        <v>48.423096000000001</v>
      </c>
      <c r="BK383" s="1425">
        <f>+BK$336</f>
        <v>61.412255999999999</v>
      </c>
      <c r="BL383" s="1423">
        <f>+BL$336</f>
        <v>66.337056000000004</v>
      </c>
      <c r="BM383" s="2284">
        <f>+BM$336</f>
        <v>70.687296000000003</v>
      </c>
      <c r="BN383" s="2284">
        <f>+BN$336</f>
        <v>75.201695999999998</v>
      </c>
      <c r="BO383" s="1424">
        <f>+BO$336</f>
        <v>68.409576000000001</v>
      </c>
      <c r="BQ383" s="1425">
        <f>+BQ$336</f>
        <v>81.877262399999992</v>
      </c>
      <c r="BR383" s="1423">
        <f>+BR$336</f>
        <v>88.753370759999996</v>
      </c>
      <c r="BS383" s="2284">
        <f>+BS$336</f>
        <v>95.922111248999968</v>
      </c>
      <c r="BT383" s="2284">
        <f>+BT$336</f>
        <v>103.39381790572496</v>
      </c>
      <c r="BU383" s="1424">
        <f>+BU$336</f>
        <v>92.486640578681232</v>
      </c>
      <c r="BW383" s="1425">
        <f>+BW$336</f>
        <v>111.17915857575557</v>
      </c>
      <c r="BX383" s="1423">
        <f>+BX$336</f>
        <v>119.28914514309665</v>
      </c>
      <c r="BY383" s="2284">
        <f>+BY$336</f>
        <v>127.73514406469492</v>
      </c>
      <c r="BZ383" s="2284">
        <f>+BZ$336</f>
        <v>136.52888721665866</v>
      </c>
      <c r="CA383" s="1424">
        <f>+CA$336</f>
        <v>123.68308375005145</v>
      </c>
      <c r="CC383" s="1425">
        <f>+CC$336</f>
        <v>145.68248306118014</v>
      </c>
      <c r="CD383" s="1423">
        <f>+CD$336</f>
        <v>155.20842814341731</v>
      </c>
      <c r="CE383" s="2284">
        <f>+CE$336</f>
        <v>165.11961892785311</v>
      </c>
      <c r="CF383" s="2284">
        <f>+CF$336</f>
        <v>175.42936398392101</v>
      </c>
      <c r="CG383" s="1424">
        <f>+CG$336</f>
        <v>160.35997352909291</v>
      </c>
      <c r="CI383" s="1425">
        <f>+CI$336</f>
        <v>186.15139653096247</v>
      </c>
      <c r="CJ383" s="1423">
        <f>+CJ$336</f>
        <v>197.29988735286597</v>
      </c>
      <c r="CK383" s="2284">
        <f>+CK$336</f>
        <v>208.88945809303283</v>
      </c>
      <c r="CL383" s="2284">
        <f>+CL$336</f>
        <v>220.93519494061249</v>
      </c>
      <c r="CM383" s="1424">
        <f>+CM$336</f>
        <v>203.31898422936848</v>
      </c>
      <c r="CO383" s="1425">
        <f>+CO$336</f>
        <v>233.45266271926297</v>
      </c>
      <c r="CP383" s="1423">
        <f>+CP$336</f>
        <v>246.45791939000816</v>
      </c>
      <c r="CQ383" s="2284">
        <f>+CQ$336</f>
        <v>259.967530980091</v>
      </c>
      <c r="CR383" s="2284">
        <f>+CR$336</f>
        <v>273.99858695005923</v>
      </c>
      <c r="CS383" s="1424">
        <f>+CS$336</f>
        <v>253.46917500985529</v>
      </c>
    </row>
    <row r="384" spans="1:97">
      <c r="A384" s="1930" t="str">
        <f t="shared" si="1053"/>
        <v>HiSeq 2000</v>
      </c>
      <c r="C384" s="1850"/>
      <c r="G384" s="736"/>
      <c r="H384" s="63"/>
      <c r="I384" s="1425"/>
      <c r="J384" s="6"/>
      <c r="K384" s="6"/>
      <c r="L384" s="6"/>
      <c r="M384" s="1841"/>
      <c r="N384" s="63"/>
      <c r="O384" s="1425"/>
      <c r="P384" s="2278"/>
      <c r="Q384" s="2278"/>
      <c r="R384" s="2278"/>
      <c r="S384" s="2279"/>
      <c r="T384" s="63"/>
      <c r="U384" s="1425"/>
      <c r="V384" s="2278"/>
      <c r="W384" s="2278"/>
      <c r="X384" s="2278"/>
      <c r="Y384" s="2279"/>
      <c r="Z384" s="63"/>
      <c r="AA384" s="1425"/>
      <c r="AB384" s="2278"/>
      <c r="AC384" s="2278"/>
      <c r="AD384" s="2278"/>
      <c r="AE384" s="2279"/>
      <c r="AF384" s="63"/>
      <c r="AG384" s="1425">
        <f>+AG$337</f>
        <v>8.2105056000000012</v>
      </c>
      <c r="AH384" s="1423">
        <f>+AH$337</f>
        <v>8.7276024000000003</v>
      </c>
      <c r="AI384" s="2284">
        <f>+AI$337</f>
        <v>9.2281860000000027</v>
      </c>
      <c r="AJ384" s="2284">
        <f>+AJ$337</f>
        <v>9.1289088000000014</v>
      </c>
      <c r="AK384" s="1424">
        <f>+AK$337</f>
        <v>8.8238007000000014</v>
      </c>
      <c r="AL384" s="63"/>
      <c r="AM384" s="1425">
        <f>+AM$337</f>
        <v>8.2953288000000001</v>
      </c>
      <c r="AN384" s="1423">
        <f>+AN$337</f>
        <v>7.4201688000000008</v>
      </c>
      <c r="AO384" s="2284">
        <f>+AO$337</f>
        <v>6.9726888000000011</v>
      </c>
      <c r="AP384" s="2284">
        <f>+AP$337</f>
        <v>6.9241156781954896</v>
      </c>
      <c r="AQ384" s="1424">
        <f>+AQ$337</f>
        <v>7.4030755195488727</v>
      </c>
      <c r="AR384" s="63"/>
      <c r="AS384" s="1425">
        <f>+AS$337</f>
        <v>6.9507825563909771</v>
      </c>
      <c r="AT384" s="1423">
        <f>+AT$337</f>
        <v>6.9666225563909778</v>
      </c>
      <c r="AU384" s="2284">
        <f>+AU$337</f>
        <v>6.9666225563909778</v>
      </c>
      <c r="AV384" s="2284">
        <f>+AV$337</f>
        <v>6.9666225563909778</v>
      </c>
      <c r="AW384" s="1424">
        <f>+AW$337</f>
        <v>6.9626625563909776</v>
      </c>
      <c r="AX384" s="63"/>
      <c r="AY384" s="1425">
        <f>+AY$337</f>
        <v>6.9666225563909778</v>
      </c>
      <c r="AZ384" s="1423">
        <f>+AZ$337</f>
        <v>6.9655775630075194</v>
      </c>
      <c r="BA384" s="2284">
        <f>+BA$337</f>
        <v>6.9575659470676694</v>
      </c>
      <c r="BB384" s="2284">
        <f>+BB$337</f>
        <v>6.9505993245112787</v>
      </c>
      <c r="BC384" s="1424">
        <f>+BC$337</f>
        <v>6.9600913477443616</v>
      </c>
      <c r="BE384" s="1425">
        <f>+BE$337</f>
        <v>6.7486393245112781</v>
      </c>
      <c r="BF384" s="1423">
        <f>+BF$337</f>
        <v>6.4674793245112783</v>
      </c>
      <c r="BG384" s="2284">
        <f>+BG$337</f>
        <v>6.2694793245112788</v>
      </c>
      <c r="BH384" s="2284">
        <f>+BH$337</f>
        <v>5.9922793245112782</v>
      </c>
      <c r="BI384" s="1424">
        <f>+BI$337</f>
        <v>6.3694693245112788</v>
      </c>
      <c r="BK384" s="1425">
        <f>+BK$337</f>
        <v>5.7942793245112787</v>
      </c>
      <c r="BL384" s="1423">
        <f>+BL$337</f>
        <v>5.6952793245112785</v>
      </c>
      <c r="BM384" s="2284">
        <f>+BM$337</f>
        <v>5.5764793245112783</v>
      </c>
      <c r="BN384" s="2284">
        <f>+BN$337</f>
        <v>5.4774793245112781</v>
      </c>
      <c r="BO384" s="1424">
        <f>+BO$337</f>
        <v>5.6358793245112793</v>
      </c>
      <c r="BQ384" s="1425">
        <f>+BQ$337</f>
        <v>5.3982793245112788</v>
      </c>
      <c r="BR384" s="1423">
        <f>+BR$337</f>
        <v>5.2398793245112785</v>
      </c>
      <c r="BS384" s="2284">
        <f>+BS$337</f>
        <v>4.8874393245112788</v>
      </c>
      <c r="BT384" s="2284">
        <f>+BT$337</f>
        <v>4.4201593245112782</v>
      </c>
      <c r="BU384" s="1424">
        <f>+BU$337</f>
        <v>4.986439324511279</v>
      </c>
      <c r="BW384" s="1425">
        <f>+BW$337</f>
        <v>3.9687193245112788</v>
      </c>
      <c r="BX384" s="1423">
        <f>+BX$337</f>
        <v>3.5331193245112789</v>
      </c>
      <c r="BY384" s="2284">
        <f>+BY$337</f>
        <v>3.0975193245112789</v>
      </c>
      <c r="BZ384" s="2284">
        <f>+BZ$337</f>
        <v>2.6619193245112789</v>
      </c>
      <c r="CA384" s="1424">
        <f>+CA$337</f>
        <v>3.3153193245112789</v>
      </c>
      <c r="CC384" s="1425">
        <f>+CC$337</f>
        <v>2.2461193245112789</v>
      </c>
      <c r="CD384" s="1423">
        <f>+CD$337</f>
        <v>1.8501193245112786</v>
      </c>
      <c r="CE384" s="2284">
        <f>+CE$337</f>
        <v>1.4541193245112787</v>
      </c>
      <c r="CF384" s="2284">
        <f>+CF$337</f>
        <v>1.0581193245112785</v>
      </c>
      <c r="CG384" s="1424">
        <f>+CG$337</f>
        <v>1.6521193245112789</v>
      </c>
      <c r="CI384" s="1425">
        <f>+CI$337</f>
        <v>0.66211932451127875</v>
      </c>
      <c r="CJ384" s="1423">
        <f>+CJ$337</f>
        <v>0.26611932451127873</v>
      </c>
      <c r="CK384" s="2284">
        <f>+CK$337</f>
        <v>3.4059662255639368E-2</v>
      </c>
      <c r="CL384" s="2284">
        <f>+CL$337</f>
        <v>0</v>
      </c>
      <c r="CM384" s="1424">
        <f>+CM$337</f>
        <v>0.24057457781954925</v>
      </c>
      <c r="CO384" s="1425">
        <f>+CO$337</f>
        <v>0</v>
      </c>
      <c r="CP384" s="1423">
        <f>+CP$337</f>
        <v>0</v>
      </c>
      <c r="CQ384" s="2284">
        <f>+CQ$337</f>
        <v>0</v>
      </c>
      <c r="CR384" s="2284">
        <f>+CR$337</f>
        <v>0</v>
      </c>
      <c r="CS384" s="1424">
        <f>+CS$337</f>
        <v>0</v>
      </c>
    </row>
    <row r="385" spans="1:280">
      <c r="A385" s="1930" t="str">
        <f t="shared" si="1053"/>
        <v>HiSeq 2500</v>
      </c>
      <c r="C385" s="1850"/>
      <c r="G385" s="736"/>
      <c r="H385" s="63"/>
      <c r="I385" s="1425"/>
      <c r="J385" s="6"/>
      <c r="K385" s="6"/>
      <c r="L385" s="6"/>
      <c r="M385" s="1841"/>
      <c r="N385" s="63"/>
      <c r="O385" s="1425"/>
      <c r="P385" s="2278"/>
      <c r="Q385" s="2278"/>
      <c r="R385" s="2278"/>
      <c r="S385" s="2279"/>
      <c r="T385" s="63"/>
      <c r="U385" s="1425"/>
      <c r="V385" s="2278"/>
      <c r="W385" s="2278"/>
      <c r="X385" s="2278"/>
      <c r="Y385" s="2279"/>
      <c r="Z385" s="63"/>
      <c r="AA385" s="1425"/>
      <c r="AB385" s="2278"/>
      <c r="AC385" s="2278"/>
      <c r="AD385" s="2278"/>
      <c r="AE385" s="2279"/>
      <c r="AF385" s="63"/>
      <c r="AG385" s="1425">
        <f>+AG$338</f>
        <v>0</v>
      </c>
      <c r="AH385" s="1423">
        <f>+AH$338</f>
        <v>0</v>
      </c>
      <c r="AI385" s="2284">
        <f>+AI$338</f>
        <v>5.7000000000000002E-2</v>
      </c>
      <c r="AJ385" s="2284">
        <f>+AJ$338</f>
        <v>4.1609999999999996</v>
      </c>
      <c r="AK385" s="1424">
        <f>+AK$338</f>
        <v>1.0545</v>
      </c>
      <c r="AL385" s="63"/>
      <c r="AM385" s="1425">
        <f>+AM$338</f>
        <v>13.452</v>
      </c>
      <c r="AN385" s="1423">
        <f>+AN$338</f>
        <v>23.569500000000001</v>
      </c>
      <c r="AO385" s="2284">
        <f>+AO$338</f>
        <v>31.292999999999999</v>
      </c>
      <c r="AP385" s="2284">
        <f>+AP$338</f>
        <v>36.137999999999998</v>
      </c>
      <c r="AQ385" s="1424">
        <f>+AQ$338</f>
        <v>26.113125000000004</v>
      </c>
      <c r="AR385" s="63"/>
      <c r="AS385" s="1425">
        <f>+AS$338</f>
        <v>40.156500000000001</v>
      </c>
      <c r="AT385" s="1423">
        <f>+AT$338</f>
        <v>44.032499999999999</v>
      </c>
      <c r="AU385" s="2284">
        <f>+AU$338</f>
        <v>47.737499999999997</v>
      </c>
      <c r="AV385" s="2284">
        <f>+AV$338</f>
        <v>51.527999999999999</v>
      </c>
      <c r="AW385" s="1424">
        <f>+AW$338</f>
        <v>45.863624999999999</v>
      </c>
      <c r="AX385" s="63"/>
      <c r="AY385" s="1425">
        <f>+AY$338</f>
        <v>53.372206499999997</v>
      </c>
      <c r="AZ385" s="1423">
        <f>+AZ$338</f>
        <v>52.948554000000001</v>
      </c>
      <c r="BA385" s="2284">
        <f>+BA$338</f>
        <v>52.057302</v>
      </c>
      <c r="BB385" s="2284">
        <f>+BB$338</f>
        <v>51.540312</v>
      </c>
      <c r="BC385" s="1424">
        <f>+BC$338</f>
        <v>52.479593625000007</v>
      </c>
      <c r="BE385" s="1425">
        <f>+BE$338</f>
        <v>50.330714999999998</v>
      </c>
      <c r="BF385" s="1423">
        <f>+BF$338</f>
        <v>48.364215000000002</v>
      </c>
      <c r="BG385" s="2284">
        <f>+BG$338</f>
        <v>46.682715000000002</v>
      </c>
      <c r="BH385" s="2284">
        <f>+BH$338</f>
        <v>43.825190999999997</v>
      </c>
      <c r="BI385" s="1424">
        <f>+BI$338</f>
        <v>47.300709000000012</v>
      </c>
      <c r="BK385" s="1425">
        <f>+BK$338</f>
        <v>41.451169500000006</v>
      </c>
      <c r="BL385" s="1423">
        <f>+BL$338</f>
        <v>40.538172000000003</v>
      </c>
      <c r="BM385" s="2284">
        <f>+BM$338</f>
        <v>39.882671999999999</v>
      </c>
      <c r="BN385" s="2284">
        <f>+BN$338</f>
        <v>39.369672000000001</v>
      </c>
      <c r="BO385" s="1424">
        <f>+BO$338</f>
        <v>40.310421374999997</v>
      </c>
      <c r="BQ385" s="1425">
        <f>+BQ$338</f>
        <v>38.828172000000002</v>
      </c>
      <c r="BR385" s="1423">
        <f>+BR$338</f>
        <v>37.716672000000003</v>
      </c>
      <c r="BS385" s="2284">
        <f>+BS$338</f>
        <v>35.180171999999999</v>
      </c>
      <c r="BT385" s="2284">
        <f>+BT$338</f>
        <v>31.817171999999999</v>
      </c>
      <c r="BU385" s="1424">
        <f>+BU$338</f>
        <v>35.88554700000001</v>
      </c>
      <c r="BW385" s="1425">
        <f>+BW$338</f>
        <v>28.568172000000001</v>
      </c>
      <c r="BX385" s="1423">
        <f>+BX$338</f>
        <v>25.433171999999999</v>
      </c>
      <c r="BY385" s="2284">
        <f>+BY$338</f>
        <v>22.298172000000001</v>
      </c>
      <c r="BZ385" s="2284">
        <f>+BZ$338</f>
        <v>19.163171999999999</v>
      </c>
      <c r="CA385" s="1424">
        <f>+CA$338</f>
        <v>23.865672000000004</v>
      </c>
      <c r="CC385" s="1425">
        <f>+CC$338</f>
        <v>16.170672000000003</v>
      </c>
      <c r="CD385" s="1423">
        <f>+CD$338</f>
        <v>13.320672000000002</v>
      </c>
      <c r="CE385" s="2284">
        <f>+CE$338</f>
        <v>10.470672000000002</v>
      </c>
      <c r="CF385" s="2284">
        <f>+CF$338</f>
        <v>7.6206720000000017</v>
      </c>
      <c r="CG385" s="1424">
        <f>+CG$338</f>
        <v>11.895672000000001</v>
      </c>
      <c r="CI385" s="1425">
        <f>+CI$338</f>
        <v>4.770672000000002</v>
      </c>
      <c r="CJ385" s="1423">
        <f>+CJ$338</f>
        <v>1.9206720000000015</v>
      </c>
      <c r="CK385" s="2284">
        <f>+CK$338</f>
        <v>0.24783600000000075</v>
      </c>
      <c r="CL385" s="2284">
        <f>+CL$338</f>
        <v>0</v>
      </c>
      <c r="CM385" s="1424">
        <f>+CM$338</f>
        <v>1.734795000000001</v>
      </c>
      <c r="CO385" s="1425">
        <f>+CO$338</f>
        <v>0</v>
      </c>
      <c r="CP385" s="1423">
        <f>+CP$338</f>
        <v>0</v>
      </c>
      <c r="CQ385" s="2284">
        <f>+CQ$338</f>
        <v>0</v>
      </c>
      <c r="CR385" s="2284">
        <f>+CR$338</f>
        <v>0</v>
      </c>
      <c r="CS385" s="1424">
        <f>+CS$338</f>
        <v>0</v>
      </c>
    </row>
    <row r="386" spans="1:280">
      <c r="A386" s="1930" t="str">
        <f t="shared" si="1053"/>
        <v>HiSeq 3000</v>
      </c>
      <c r="C386" s="1850"/>
      <c r="G386" s="736"/>
      <c r="H386" s="63"/>
      <c r="I386" s="1425"/>
      <c r="J386" s="6"/>
      <c r="K386" s="6"/>
      <c r="L386" s="6"/>
      <c r="M386" s="1841"/>
      <c r="N386" s="63"/>
      <c r="O386" s="1425"/>
      <c r="P386" s="2278"/>
      <c r="Q386" s="2278"/>
      <c r="R386" s="2278"/>
      <c r="S386" s="2279"/>
      <c r="T386" s="63"/>
      <c r="U386" s="1425"/>
      <c r="V386" s="2278"/>
      <c r="W386" s="2278"/>
      <c r="X386" s="2278"/>
      <c r="Y386" s="2279"/>
      <c r="Z386" s="63"/>
      <c r="AA386" s="1425"/>
      <c r="AB386" s="2278"/>
      <c r="AC386" s="2278"/>
      <c r="AD386" s="2278"/>
      <c r="AE386" s="2279"/>
      <c r="AF386" s="63"/>
      <c r="AG386" s="1425">
        <f>+AG$339</f>
        <v>0</v>
      </c>
      <c r="AH386" s="1423">
        <f>+AH$339</f>
        <v>0</v>
      </c>
      <c r="AI386" s="2284">
        <f>+AI$339</f>
        <v>0</v>
      </c>
      <c r="AJ386" s="2284">
        <f>+AJ$339</f>
        <v>0</v>
      </c>
      <c r="AK386" s="1424">
        <f>+AK367</f>
        <v>0</v>
      </c>
      <c r="AL386" s="63"/>
      <c r="AM386" s="1425">
        <f>+AM$339</f>
        <v>0</v>
      </c>
      <c r="AN386" s="1423">
        <f>+AN$339</f>
        <v>0</v>
      </c>
      <c r="AO386" s="2284">
        <f>+AO$339</f>
        <v>0</v>
      </c>
      <c r="AP386" s="2284">
        <f>+AP$339</f>
        <v>0</v>
      </c>
      <c r="AQ386" s="1424">
        <f>+AQ367</f>
        <v>0</v>
      </c>
      <c r="AR386" s="63"/>
      <c r="AS386" s="1425">
        <f>+AS$339</f>
        <v>0</v>
      </c>
      <c r="AT386" s="1423">
        <f>+AT$339</f>
        <v>0</v>
      </c>
      <c r="AU386" s="2284">
        <f>+AU$339</f>
        <v>0</v>
      </c>
      <c r="AV386" s="2284">
        <f>+AV$339</f>
        <v>0</v>
      </c>
      <c r="AW386" s="1424">
        <f>+AW367</f>
        <v>0</v>
      </c>
      <c r="AX386" s="63"/>
      <c r="AY386" s="1425">
        <f>+AY367</f>
        <v>0.65054086971428571</v>
      </c>
      <c r="AZ386" s="1423">
        <f>+AZ367</f>
        <v>2.226853021591837</v>
      </c>
      <c r="BA386" s="2284">
        <f>+BA367</f>
        <v>4.1721974772244899</v>
      </c>
      <c r="BB386" s="2284">
        <f>+BB367</f>
        <v>5.6495700918367344</v>
      </c>
      <c r="BC386" s="1424">
        <f>+BC367</f>
        <v>3.1747903650918365</v>
      </c>
      <c r="BE386" s="1425">
        <f>+BE367</f>
        <v>6.6453440174448977</v>
      </c>
      <c r="BF386" s="1423">
        <f>+BF367</f>
        <v>8.3012187876244887</v>
      </c>
      <c r="BG386" s="2284">
        <f>+BG367</f>
        <v>10.498471073338777</v>
      </c>
      <c r="BH386" s="2284">
        <f>+BH367</f>
        <v>12.69572335905306</v>
      </c>
      <c r="BI386" s="1424">
        <f>+BI367</f>
        <v>9.5351893093653057</v>
      </c>
      <c r="BK386" s="1425">
        <f>+BK367</f>
        <v>14.970072216195918</v>
      </c>
      <c r="BL386" s="1423">
        <f>+BL367</f>
        <v>17.282969359053059</v>
      </c>
      <c r="BM386" s="2284">
        <f>+BM367</f>
        <v>19.595866501910205</v>
      </c>
      <c r="BN386" s="2284">
        <f>+BN367</f>
        <v>21.79311878762449</v>
      </c>
      <c r="BO386" s="1424">
        <f>+BO367</f>
        <v>18.410506716195918</v>
      </c>
      <c r="BQ386" s="1425">
        <f>+BQ367</f>
        <v>23.720533073338778</v>
      </c>
      <c r="BR386" s="1423">
        <f>+BR367</f>
        <v>25.493754216195917</v>
      </c>
      <c r="BS386" s="2284">
        <f>+BS367</f>
        <v>27.26697535905306</v>
      </c>
      <c r="BT386" s="2284">
        <f>+BT367</f>
        <v>29.040196501910202</v>
      </c>
      <c r="BU386" s="1424">
        <f>+BU367</f>
        <v>26.38036478762449</v>
      </c>
      <c r="BW386" s="1425">
        <f>+BW367</f>
        <v>30.813417644767345</v>
      </c>
      <c r="BX386" s="1423">
        <f>+BX367</f>
        <v>32.586638787624487</v>
      </c>
      <c r="BY386" s="2284">
        <f>+BY367</f>
        <v>34.359859930481633</v>
      </c>
      <c r="BZ386" s="2284">
        <f>+BZ367</f>
        <v>36.133081073338779</v>
      </c>
      <c r="CA386" s="1424">
        <f>+CA367</f>
        <v>33.473249359053057</v>
      </c>
      <c r="CC386" s="1425">
        <f>+CC367</f>
        <v>37.906302216195918</v>
      </c>
      <c r="CD386" s="1423">
        <f>+CD367</f>
        <v>39.679523359053071</v>
      </c>
      <c r="CE386" s="2284">
        <f>+CE367</f>
        <v>41.45274450191021</v>
      </c>
      <c r="CF386" s="2284">
        <f>+CF367</f>
        <v>43.225965644767349</v>
      </c>
      <c r="CG386" s="1424">
        <f>+CG367</f>
        <v>40.566133930481634</v>
      </c>
      <c r="CI386" s="1425">
        <f>+CI367</f>
        <v>44.999186787624495</v>
      </c>
      <c r="CJ386" s="1423">
        <f>+CJ367</f>
        <v>46.772407930481634</v>
      </c>
      <c r="CK386" s="2284">
        <f>+CK367</f>
        <v>48.54562907333878</v>
      </c>
      <c r="CL386" s="2284">
        <f>+CL367</f>
        <v>50.318850216195919</v>
      </c>
      <c r="CM386" s="1424">
        <f>+CM367</f>
        <v>47.659018501910211</v>
      </c>
      <c r="CO386" s="1425">
        <f>+CO367</f>
        <v>52.092071359053058</v>
      </c>
      <c r="CP386" s="1423">
        <f>+CP367</f>
        <v>53.865292501910204</v>
      </c>
      <c r="CQ386" s="2284">
        <f>+CQ367</f>
        <v>55.638513644767343</v>
      </c>
      <c r="CR386" s="2284">
        <f>+CR367</f>
        <v>57.411734787624489</v>
      </c>
      <c r="CS386" s="1424">
        <f>+CS367</f>
        <v>54.751903073338774</v>
      </c>
    </row>
    <row r="387" spans="1:280">
      <c r="A387" s="1930" t="str">
        <f t="shared" si="1053"/>
        <v>HiSeq 4000</v>
      </c>
      <c r="C387" s="1850"/>
      <c r="G387" s="736"/>
      <c r="H387" s="63"/>
      <c r="I387" s="1425"/>
      <c r="J387" s="6"/>
      <c r="K387" s="6"/>
      <c r="L387" s="6"/>
      <c r="M387" s="1841"/>
      <c r="N387" s="63"/>
      <c r="O387" s="1425"/>
      <c r="P387" s="2278"/>
      <c r="Q387" s="2278"/>
      <c r="R387" s="2278"/>
      <c r="S387" s="2279"/>
      <c r="T387" s="63"/>
      <c r="U387" s="1425"/>
      <c r="V387" s="2278"/>
      <c r="W387" s="2278"/>
      <c r="X387" s="2278"/>
      <c r="Y387" s="2279"/>
      <c r="Z387" s="63"/>
      <c r="AA387" s="1425"/>
      <c r="AB387" s="2278"/>
      <c r="AC387" s="2278"/>
      <c r="AD387" s="2278"/>
      <c r="AE387" s="2279"/>
      <c r="AF387" s="63"/>
      <c r="AG387" s="1425">
        <f>+AG$340</f>
        <v>0</v>
      </c>
      <c r="AH387" s="1423">
        <f>+AH$340</f>
        <v>0</v>
      </c>
      <c r="AI387" s="2284">
        <f>+AI$340</f>
        <v>0</v>
      </c>
      <c r="AJ387" s="2284">
        <f>+AJ$340</f>
        <v>0</v>
      </c>
      <c r="AK387" s="1424">
        <f>+AK377</f>
        <v>0</v>
      </c>
      <c r="AL387" s="63"/>
      <c r="AM387" s="1425">
        <f>+AM$340</f>
        <v>0</v>
      </c>
      <c r="AN387" s="1423">
        <f>+AN$340</f>
        <v>0</v>
      </c>
      <c r="AO387" s="2284">
        <f>+AO$340</f>
        <v>0</v>
      </c>
      <c r="AP387" s="2284">
        <f>+AP$340</f>
        <v>0</v>
      </c>
      <c r="AQ387" s="1424">
        <f>+AQ377</f>
        <v>0</v>
      </c>
      <c r="AR387" s="63"/>
      <c r="AS387" s="1425">
        <f>+AS$340</f>
        <v>0</v>
      </c>
      <c r="AT387" s="1423">
        <f>+AT$340</f>
        <v>0</v>
      </c>
      <c r="AU387" s="2284">
        <f>+AU$340</f>
        <v>0</v>
      </c>
      <c r="AV387" s="2284">
        <f>+AV$340</f>
        <v>0</v>
      </c>
      <c r="AW387" s="1424">
        <f>+AW377</f>
        <v>0</v>
      </c>
      <c r="AX387" s="63"/>
      <c r="AY387" s="1425">
        <f>+AY377</f>
        <v>3.5686504285714289</v>
      </c>
      <c r="AZ387" s="1423">
        <f>+AZ377</f>
        <v>11.352329485714286</v>
      </c>
      <c r="BA387" s="2284">
        <f>+BA377</f>
        <v>19.412258914285715</v>
      </c>
      <c r="BB387" s="2284">
        <f>+BB377</f>
        <v>26.299219885714294</v>
      </c>
      <c r="BC387" s="1424">
        <f>+BC377</f>
        <v>15.158114678571433</v>
      </c>
      <c r="BE387" s="1425">
        <f>+BE377</f>
        <v>31.653848571428579</v>
      </c>
      <c r="BF387" s="1423">
        <f>+BF377</f>
        <v>38.656445657142861</v>
      </c>
      <c r="BG387" s="2284">
        <f>+BG377</f>
        <v>48.113388514285717</v>
      </c>
      <c r="BH387" s="2284">
        <f>+BH377</f>
        <v>57.954759942857144</v>
      </c>
      <c r="BI387" s="1424">
        <f>+BI377</f>
        <v>44.094610671428576</v>
      </c>
      <c r="BK387" s="1425">
        <f>+BK377</f>
        <v>67.565474228571432</v>
      </c>
      <c r="BL387" s="1423">
        <f>+BL377</f>
        <v>76.637988514285709</v>
      </c>
      <c r="BM387" s="2284">
        <f>+BM377</f>
        <v>85.7105028</v>
      </c>
      <c r="BN387" s="2284">
        <f>+BN377</f>
        <v>95.013674228571432</v>
      </c>
      <c r="BO387" s="1424">
        <f>+BO377</f>
        <v>81.231909942857143</v>
      </c>
      <c r="BQ387" s="1425">
        <f>+BQ377</f>
        <v>104.00930280000001</v>
      </c>
      <c r="BR387" s="1423">
        <f>+BR377</f>
        <v>112.46673137142857</v>
      </c>
      <c r="BS387" s="2284">
        <f>+BS377</f>
        <v>120.92415994285714</v>
      </c>
      <c r="BT387" s="2284">
        <f>+BT377</f>
        <v>129.38158851428574</v>
      </c>
      <c r="BU387" s="1424">
        <f>+BU377</f>
        <v>116.69544565714288</v>
      </c>
      <c r="BW387" s="1425">
        <f>+BW377</f>
        <v>137.83901708571432</v>
      </c>
      <c r="BX387" s="1423">
        <f>+BX377</f>
        <v>146.29644565714284</v>
      </c>
      <c r="BY387" s="2284">
        <f>+BY377</f>
        <v>154.75387422857145</v>
      </c>
      <c r="BZ387" s="2284">
        <f>+BZ377</f>
        <v>163.21130280000006</v>
      </c>
      <c r="CA387" s="1424">
        <f>+CA377</f>
        <v>150.52515994285716</v>
      </c>
      <c r="CC387" s="1425">
        <f>+CC377</f>
        <v>171.66873137142858</v>
      </c>
      <c r="CD387" s="1423">
        <f>+CD377</f>
        <v>180.12615994285719</v>
      </c>
      <c r="CE387" s="2284">
        <f>+CE377</f>
        <v>188.58358851428574</v>
      </c>
      <c r="CF387" s="2284">
        <f>+CF377</f>
        <v>197.04101708571432</v>
      </c>
      <c r="CG387" s="1424">
        <f>+CG377</f>
        <v>184.35487422857145</v>
      </c>
      <c r="CI387" s="1425">
        <f>+CI377</f>
        <v>205.49844565714287</v>
      </c>
      <c r="CJ387" s="1423">
        <f>+CJ377</f>
        <v>213.95587422857145</v>
      </c>
      <c r="CK387" s="2284">
        <f>+CK377</f>
        <v>222.41330280000005</v>
      </c>
      <c r="CL387" s="2284">
        <f>+CL377</f>
        <v>230.8707313714286</v>
      </c>
      <c r="CM387" s="1424">
        <f>+CM377</f>
        <v>218.18458851428571</v>
      </c>
      <c r="CO387" s="1425">
        <f>+CO377</f>
        <v>239.32815994285718</v>
      </c>
      <c r="CP387" s="1423">
        <f>+CP377</f>
        <v>247.78558851428576</v>
      </c>
      <c r="CQ387" s="2284">
        <f>+CQ377</f>
        <v>256.24301708571431</v>
      </c>
      <c r="CR387" s="2284">
        <f>+CR377</f>
        <v>264.70044565714289</v>
      </c>
      <c r="CS387" s="1424">
        <f>+CS377</f>
        <v>252.01430280000005</v>
      </c>
    </row>
    <row r="388" spans="1:280">
      <c r="A388" s="1930" t="str">
        <f t="shared" si="1053"/>
        <v>XFive</v>
      </c>
      <c r="C388" s="1850"/>
      <c r="G388" s="736"/>
      <c r="H388" s="63"/>
      <c r="I388" s="1425"/>
      <c r="J388" s="6"/>
      <c r="K388" s="6"/>
      <c r="L388" s="6"/>
      <c r="M388" s="1841"/>
      <c r="N388" s="63"/>
      <c r="O388" s="1425"/>
      <c r="P388" s="2278"/>
      <c r="Q388" s="2278"/>
      <c r="R388" s="2278"/>
      <c r="S388" s="2279"/>
      <c r="T388" s="63"/>
      <c r="U388" s="1425"/>
      <c r="V388" s="2278"/>
      <c r="W388" s="2278"/>
      <c r="X388" s="2278"/>
      <c r="Y388" s="2279"/>
      <c r="Z388" s="63"/>
      <c r="AA388" s="1425"/>
      <c r="AB388" s="2278"/>
      <c r="AC388" s="2278"/>
      <c r="AD388" s="2278"/>
      <c r="AE388" s="2279"/>
      <c r="AF388" s="63"/>
      <c r="AG388" s="1425">
        <f>+AG$341</f>
        <v>0</v>
      </c>
      <c r="AH388" s="1423">
        <f>+AH$341</f>
        <v>0</v>
      </c>
      <c r="AI388" s="2284">
        <f>+AI$341</f>
        <v>0</v>
      </c>
      <c r="AJ388" s="2284">
        <f>+AJ$341</f>
        <v>0</v>
      </c>
      <c r="AK388" s="1424">
        <f>+AK$341</f>
        <v>0</v>
      </c>
      <c r="AL388" s="63"/>
      <c r="AM388" s="1425">
        <f>+AM$341</f>
        <v>0</v>
      </c>
      <c r="AN388" s="1423">
        <f>+AN$341</f>
        <v>0</v>
      </c>
      <c r="AO388" s="2284">
        <f>+AO$341</f>
        <v>0</v>
      </c>
      <c r="AP388" s="2284">
        <f>+AP$341</f>
        <v>0</v>
      </c>
      <c r="AQ388" s="1424">
        <f>+AQ$341</f>
        <v>0</v>
      </c>
      <c r="AR388" s="63"/>
      <c r="AS388" s="1425">
        <f>+AS$341</f>
        <v>0</v>
      </c>
      <c r="AT388" s="1423">
        <f>+AT$341</f>
        <v>0</v>
      </c>
      <c r="AU388" s="2284">
        <f>+AU$341</f>
        <v>0</v>
      </c>
      <c r="AV388" s="2284">
        <f>+AV$341</f>
        <v>0</v>
      </c>
      <c r="AW388" s="1424">
        <f>+AW$341</f>
        <v>0</v>
      </c>
      <c r="AX388" s="63"/>
      <c r="AY388" s="1425">
        <f>+AY$341</f>
        <v>0</v>
      </c>
      <c r="AZ388" s="1423">
        <f>+AZ$341</f>
        <v>0.61970400000000014</v>
      </c>
      <c r="BA388" s="2284">
        <f>+BA$341</f>
        <v>1.8900972000000005</v>
      </c>
      <c r="BB388" s="2284">
        <f>+BB$341</f>
        <v>3.2720371200000007</v>
      </c>
      <c r="BC388" s="1424">
        <f>+BC$341</f>
        <v>1.4454595800000001</v>
      </c>
      <c r="BE388" s="1425">
        <f>+BE$341</f>
        <v>5.0617422720000009</v>
      </c>
      <c r="BF388" s="1423">
        <f>+BF$341</f>
        <v>7.4304575280000016</v>
      </c>
      <c r="BG388" s="2284">
        <f>+BG$341</f>
        <v>9.7716827145600007</v>
      </c>
      <c r="BH388" s="2284">
        <f>+BH$341</f>
        <v>11.834436720153603</v>
      </c>
      <c r="BI388" s="1424">
        <f>+BI$341</f>
        <v>8.5245798086784017</v>
      </c>
      <c r="BK388" s="1425">
        <f>+BK$341</f>
        <v>13.100829045027842</v>
      </c>
      <c r="BL388" s="1423">
        <f>+BL$341</f>
        <v>13.335431726868482</v>
      </c>
      <c r="BM388" s="2284">
        <f>+BM$341</f>
        <v>13.335431726868482</v>
      </c>
      <c r="BN388" s="2284">
        <f>+BN$341</f>
        <v>13.335431726868482</v>
      </c>
      <c r="BO388" s="1424">
        <f>+BO$341</f>
        <v>13.276781056408323</v>
      </c>
      <c r="BQ388" s="1425">
        <f>+BQ$341</f>
        <v>13.335431726868482</v>
      </c>
      <c r="BR388" s="1423">
        <f>+BR$341</f>
        <v>13.335431726868482</v>
      </c>
      <c r="BS388" s="2284">
        <f>+BS$341</f>
        <v>13.335431726868482</v>
      </c>
      <c r="BT388" s="2284">
        <f>+BT$341</f>
        <v>13.335431726868482</v>
      </c>
      <c r="BU388" s="1424">
        <f>+BU$341</f>
        <v>13.335431726868482</v>
      </c>
      <c r="BW388" s="1425">
        <f>+BW$341</f>
        <v>13.335431726868482</v>
      </c>
      <c r="BX388" s="1423">
        <f>+BX$341</f>
        <v>13.335431726868482</v>
      </c>
      <c r="BY388" s="2284">
        <f>+BY$341</f>
        <v>13.335431726868482</v>
      </c>
      <c r="BZ388" s="2284">
        <f>+BZ$341</f>
        <v>13.335431726868482</v>
      </c>
      <c r="CA388" s="1424">
        <f>+CA$341</f>
        <v>13.335431726868482</v>
      </c>
      <c r="CC388" s="1425">
        <f>+CC$341</f>
        <v>13.335431726868482</v>
      </c>
      <c r="CD388" s="1423">
        <f>+CD$341</f>
        <v>13.335431726868482</v>
      </c>
      <c r="CE388" s="2284">
        <f>+CE$341</f>
        <v>13.335431726868482</v>
      </c>
      <c r="CF388" s="2284">
        <f>+CF$341</f>
        <v>13.335431726868482</v>
      </c>
      <c r="CG388" s="1424">
        <f>+CG$341</f>
        <v>13.335431726868482</v>
      </c>
      <c r="CI388" s="1425">
        <f>+CI$341</f>
        <v>13.335431726868482</v>
      </c>
      <c r="CJ388" s="1423">
        <f>+CJ$341</f>
        <v>13.335431726868482</v>
      </c>
      <c r="CK388" s="2284">
        <f>+CK$341</f>
        <v>13.335431726868482</v>
      </c>
      <c r="CL388" s="2284">
        <f>+CL$341</f>
        <v>13.335431726868482</v>
      </c>
      <c r="CM388" s="1424">
        <f>+CM$341</f>
        <v>13.335431726868482</v>
      </c>
      <c r="CO388" s="1425">
        <f>+CO$341</f>
        <v>13.335431726868482</v>
      </c>
      <c r="CP388" s="1423">
        <f>+CP$341</f>
        <v>13.335431726868482</v>
      </c>
      <c r="CQ388" s="2284">
        <f>+CQ$341</f>
        <v>13.335431726868482</v>
      </c>
      <c r="CR388" s="2284">
        <f>+CR$341</f>
        <v>13.335431726868482</v>
      </c>
      <c r="CS388" s="1424">
        <f>+CS$341</f>
        <v>13.335431726868482</v>
      </c>
    </row>
    <row r="389" spans="1:280">
      <c r="A389" s="1930" t="str">
        <f t="shared" si="1053"/>
        <v>XTen</v>
      </c>
      <c r="C389" s="1850"/>
      <c r="G389" s="736"/>
      <c r="H389" s="63"/>
      <c r="I389" s="1425"/>
      <c r="J389" s="6"/>
      <c r="K389" s="6"/>
      <c r="L389" s="6"/>
      <c r="M389" s="1841"/>
      <c r="N389" s="63"/>
      <c r="O389" s="1425"/>
      <c r="P389" s="2278"/>
      <c r="Q389" s="2278"/>
      <c r="R389" s="2278"/>
      <c r="S389" s="2279"/>
      <c r="T389" s="63"/>
      <c r="U389" s="1425"/>
      <c r="V389" s="2278"/>
      <c r="W389" s="2278"/>
      <c r="X389" s="2278"/>
      <c r="Y389" s="2279"/>
      <c r="Z389" s="63"/>
      <c r="AA389" s="1425"/>
      <c r="AB389" s="2278"/>
      <c r="AC389" s="2278"/>
      <c r="AD389" s="2278"/>
      <c r="AE389" s="2279"/>
      <c r="AF389" s="63"/>
      <c r="AG389" s="1425">
        <f>+AG$342</f>
        <v>0</v>
      </c>
      <c r="AH389" s="1423">
        <f>+AH$342</f>
        <v>0</v>
      </c>
      <c r="AI389" s="2284">
        <f>+AI$342</f>
        <v>0</v>
      </c>
      <c r="AJ389" s="2284">
        <f>+AJ$342</f>
        <v>0</v>
      </c>
      <c r="AK389" s="1424">
        <f>+AK$342</f>
        <v>0</v>
      </c>
      <c r="AL389" s="63"/>
      <c r="AM389" s="1425">
        <f>+AM$342</f>
        <v>0</v>
      </c>
      <c r="AN389" s="1423">
        <f>+AN$342</f>
        <v>0</v>
      </c>
      <c r="AO389" s="2284">
        <f>+AO$342</f>
        <v>0</v>
      </c>
      <c r="AP389" s="2284">
        <f>+AP$342</f>
        <v>0</v>
      </c>
      <c r="AQ389" s="1424">
        <f>+AQ$342</f>
        <v>0</v>
      </c>
      <c r="AR389" s="63"/>
      <c r="AS389" s="1425">
        <f>+AS$342</f>
        <v>1.2394080000000003</v>
      </c>
      <c r="AT389" s="1423">
        <f>+AT$342</f>
        <v>5.9904720000000014</v>
      </c>
      <c r="AU389" s="2284">
        <f>+AU$342</f>
        <v>14.149908000000002</v>
      </c>
      <c r="AV389" s="2284">
        <f>+AV$342</f>
        <v>23.238900000000005</v>
      </c>
      <c r="AW389" s="1424">
        <f>+AW$342</f>
        <v>11.154672000000001</v>
      </c>
      <c r="AX389" s="63"/>
      <c r="AY389" s="1425">
        <f>+AY$342</f>
        <v>32.524131600000004</v>
      </c>
      <c r="AZ389" s="1423">
        <f>+AZ$342</f>
        <v>40.88683051200001</v>
      </c>
      <c r="BA389" s="2284">
        <f>+BA$342</f>
        <v>48.33030182400001</v>
      </c>
      <c r="BB389" s="2284">
        <f>+BB$342</f>
        <v>55.004761785600003</v>
      </c>
      <c r="BC389" s="1424">
        <f>+BC$342</f>
        <v>44.186506430400009</v>
      </c>
      <c r="BE389" s="1425">
        <f>+BE$342</f>
        <v>58.823667028800003</v>
      </c>
      <c r="BF389" s="1423">
        <f>+BF$342</f>
        <v>62.097341406768003</v>
      </c>
      <c r="BG389" s="2284">
        <f>+BG$342</f>
        <v>65.912993352696972</v>
      </c>
      <c r="BH389" s="2284">
        <f>+BH$342</f>
        <v>70.007729761806345</v>
      </c>
      <c r="BI389" s="1424">
        <f>+BI$342</f>
        <v>64.210432887517825</v>
      </c>
      <c r="BJ389" s="63"/>
      <c r="BK389" s="1425">
        <f>+BK$342</f>
        <v>73.070347555287015</v>
      </c>
      <c r="BL389" s="1423">
        <f>+BL$342</f>
        <v>74.170630399758323</v>
      </c>
      <c r="BM389" s="2284">
        <f>+BM$342</f>
        <v>74.691817010297356</v>
      </c>
      <c r="BN389" s="2284">
        <f>+BN$342</f>
        <v>74.691817010297356</v>
      </c>
      <c r="BO389" s="1424">
        <f>+BO$342</f>
        <v>74.156152993909998</v>
      </c>
      <c r="BP389" s="63"/>
      <c r="BQ389" s="1425">
        <f>+BQ$342</f>
        <v>74.691817010297356</v>
      </c>
      <c r="BR389" s="1423">
        <f>+BR$342</f>
        <v>74.691817010297356</v>
      </c>
      <c r="BS389" s="2284">
        <f>+BS$342</f>
        <v>74.691817010297356</v>
      </c>
      <c r="BT389" s="2284">
        <f>+BT$342</f>
        <v>74.691817010297356</v>
      </c>
      <c r="BU389" s="1424">
        <f>+BU$342</f>
        <v>74.691817010297342</v>
      </c>
      <c r="BV389" s="63"/>
      <c r="BW389" s="1425">
        <f>+BW$342</f>
        <v>74.691817010297356</v>
      </c>
      <c r="BX389" s="1423">
        <f>+BX$342</f>
        <v>74.691817010297356</v>
      </c>
      <c r="BY389" s="2284">
        <f>+BY$342</f>
        <v>74.691817010297356</v>
      </c>
      <c r="BZ389" s="2284">
        <f>+BZ$342</f>
        <v>74.691817010297356</v>
      </c>
      <c r="CA389" s="1424">
        <f>+CA$342</f>
        <v>74.691817010297342</v>
      </c>
      <c r="CB389" s="63"/>
      <c r="CC389" s="1425">
        <f>+CC$342</f>
        <v>74.691817010297356</v>
      </c>
      <c r="CD389" s="1423">
        <f>+CD$342</f>
        <v>74.691817010297356</v>
      </c>
      <c r="CE389" s="2284">
        <f>+CE$342</f>
        <v>74.691817010297356</v>
      </c>
      <c r="CF389" s="2284">
        <f>+CF$342</f>
        <v>74.691817010297356</v>
      </c>
      <c r="CG389" s="1424">
        <f>+CG$342</f>
        <v>74.691817010297342</v>
      </c>
      <c r="CH389" s="63"/>
      <c r="CI389" s="1425">
        <f>+CI$342</f>
        <v>74.691817010297356</v>
      </c>
      <c r="CJ389" s="1423">
        <f>+CJ$342</f>
        <v>74.691817010297356</v>
      </c>
      <c r="CK389" s="2284">
        <f>+CK$342</f>
        <v>74.691817010297356</v>
      </c>
      <c r="CL389" s="2284">
        <f>+CL$342</f>
        <v>74.691817010297356</v>
      </c>
      <c r="CM389" s="1424">
        <f>+CM$342</f>
        <v>74.691817010297342</v>
      </c>
      <c r="CN389" s="63"/>
      <c r="CO389" s="1425">
        <f>+CO$342</f>
        <v>74.691817010297356</v>
      </c>
      <c r="CP389" s="1423">
        <f>+CP$342</f>
        <v>74.691817010297356</v>
      </c>
      <c r="CQ389" s="2284">
        <f>+CQ$342</f>
        <v>74.691817010297356</v>
      </c>
      <c r="CR389" s="2284">
        <f>+CR$342</f>
        <v>74.691817010297356</v>
      </c>
      <c r="CS389" s="1424">
        <f>+CS$342</f>
        <v>74.691817010297342</v>
      </c>
    </row>
    <row r="390" spans="1:280">
      <c r="A390" s="125" t="s">
        <v>221</v>
      </c>
      <c r="C390" s="1850"/>
      <c r="G390" s="736"/>
      <c r="H390" s="63"/>
      <c r="I390" s="1425"/>
      <c r="J390" s="6"/>
      <c r="K390" s="6"/>
      <c r="L390" s="6"/>
      <c r="M390" s="1841"/>
      <c r="N390" s="63"/>
      <c r="O390" s="1425"/>
      <c r="P390" s="2278"/>
      <c r="Q390" s="2278"/>
      <c r="R390" s="2278"/>
      <c r="S390" s="2279"/>
      <c r="T390" s="63"/>
      <c r="U390" s="1425"/>
      <c r="V390" s="2278"/>
      <c r="W390" s="2278"/>
      <c r="X390" s="2278"/>
      <c r="Y390" s="2279"/>
      <c r="Z390" s="63"/>
      <c r="AA390" s="1425"/>
      <c r="AB390" s="2278"/>
      <c r="AC390" s="2278"/>
      <c r="AD390" s="2278"/>
      <c r="AE390" s="2279"/>
      <c r="AF390" s="63"/>
      <c r="AG390" s="2246">
        <f>+SUM(AG380:AG389)</f>
        <v>9.9715968000000004</v>
      </c>
      <c r="AH390" s="2292">
        <f>+SUM(AH380:AH389)</f>
        <v>10.9971072</v>
      </c>
      <c r="AI390" s="2293">
        <f>+SUM(AI380:AI389)</f>
        <v>12.112068000000002</v>
      </c>
      <c r="AJ390" s="2293">
        <f>+SUM(AJ380:AJ389)</f>
        <v>16.751726400000003</v>
      </c>
      <c r="AK390" s="2290">
        <f>+SUM(AK380:AK389)</f>
        <v>12.458124600000001</v>
      </c>
      <c r="AL390" s="63"/>
      <c r="AM390" s="2246">
        <f>+SUM(AM380:AM389)</f>
        <v>25.858046399999999</v>
      </c>
      <c r="AN390" s="2292">
        <f>+SUM(AN380:AN389)</f>
        <v>35.755586399999999</v>
      </c>
      <c r="AO390" s="2293">
        <f>+SUM(AO380:AO389)</f>
        <v>43.686806400000002</v>
      </c>
      <c r="AP390" s="2293">
        <f>+SUM(AP380:AP389)</f>
        <v>49.163633278195491</v>
      </c>
      <c r="AQ390" s="2290">
        <f>+SUM(AQ380:AQ389)</f>
        <v>38.616018119548876</v>
      </c>
      <c r="AR390" s="63"/>
      <c r="AS390" s="2246">
        <f>+SUM(AS380:AS389)</f>
        <v>55.179008156390978</v>
      </c>
      <c r="AT390" s="2292">
        <f>+SUM(AT380:AT389)</f>
        <v>68.902952156390981</v>
      </c>
      <c r="AU390" s="2293">
        <f>+SUM(AU380:AU389)</f>
        <v>86.214728156390976</v>
      </c>
      <c r="AV390" s="2293">
        <f>+SUM(AV380:AV389)</f>
        <v>105.27894815639098</v>
      </c>
      <c r="AW390" s="2290">
        <f>+SUM(AW380:AW389)</f>
        <v>78.893909156390976</v>
      </c>
      <c r="AX390" s="1588"/>
      <c r="AY390" s="2246">
        <f>+SUM(AY380:AY389)</f>
        <v>126.50288555467671</v>
      </c>
      <c r="AZ390" s="2292">
        <f>+SUM(AZ380:AZ389)</f>
        <v>149.84902218231363</v>
      </c>
      <c r="BA390" s="2293">
        <f>+SUM(BA380:BA389)</f>
        <v>173.09121696257787</v>
      </c>
      <c r="BB390" s="2293">
        <f>+SUM(BB380:BB389)</f>
        <v>195.22715380766232</v>
      </c>
      <c r="BC390" s="2290">
        <f>+SUM(BC380:BC389)</f>
        <v>161.16756962680765</v>
      </c>
      <c r="BD390" s="3"/>
      <c r="BE390" s="2246">
        <f>+SUM(BE380:BE389)</f>
        <v>212.34585345054839</v>
      </c>
      <c r="BF390" s="2292">
        <f>+SUM(BF380:BF389)</f>
        <v>230.15998766768303</v>
      </c>
      <c r="BG390" s="2293">
        <f>+SUM(BG380:BG389)</f>
        <v>252.15469630666547</v>
      </c>
      <c r="BH390" s="2293">
        <f>+SUM(BH380:BH389)</f>
        <v>273.12623916292688</v>
      </c>
      <c r="BI390" s="2290">
        <f>+SUM(BI380:BI389)</f>
        <v>241.94669414695596</v>
      </c>
      <c r="BJ390" s="1588"/>
      <c r="BK390" s="2246">
        <f>+SUM(BK380:BK389)</f>
        <v>292.67844365141173</v>
      </c>
      <c r="BL390" s="2292">
        <f>+SUM(BL380:BL389)</f>
        <v>309.98417037902232</v>
      </c>
      <c r="BM390" s="2293">
        <f>+SUM(BM380:BM389)</f>
        <v>326.07003569086004</v>
      </c>
      <c r="BN390" s="2293">
        <f>+SUM(BN380:BN389)</f>
        <v>342.06358667787305</v>
      </c>
      <c r="BO390" s="2290">
        <f>+SUM(BO380:BO389)</f>
        <v>317.69905909979173</v>
      </c>
      <c r="BP390" s="1588"/>
      <c r="BQ390" s="2246">
        <f>+SUM(BQ380:BQ389)</f>
        <v>359.6259232077432</v>
      </c>
      <c r="BR390" s="2292">
        <f>+SUM(BR380:BR389)</f>
        <v>376.07170491839253</v>
      </c>
      <c r="BS390" s="2293">
        <f>+SUM(BS380:BS389)</f>
        <v>391.20927512167822</v>
      </c>
      <c r="BT390" s="2293">
        <f>+SUM(BT380:BT389)</f>
        <v>405.70847149268894</v>
      </c>
      <c r="BU390" s="2290">
        <f>+SUM(BU380:BU389)</f>
        <v>383.15384368512571</v>
      </c>
      <c r="BV390" s="1588"/>
      <c r="BW390" s="2246">
        <f>+SUM(BW380:BW389)</f>
        <v>420.65114187700527</v>
      </c>
      <c r="BX390" s="2292">
        <f>+SUM(BX380:BX389)</f>
        <v>436.04829815863201</v>
      </c>
      <c r="BY390" s="2293">
        <f>+SUM(BY380:BY389)</f>
        <v>451.78146679451601</v>
      </c>
      <c r="BZ390" s="2293">
        <f>+SUM(BZ380:BZ389)</f>
        <v>467.8623796607655</v>
      </c>
      <c r="CA390" s="2290">
        <f>+SUM(CA380:CA389)</f>
        <v>444.08582162272967</v>
      </c>
      <c r="CB390" s="1588"/>
      <c r="CC390" s="2246">
        <f>+SUM(CC380:CC389)</f>
        <v>484.4654452195727</v>
      </c>
      <c r="CD390" s="2292">
        <f>+SUM(CD380:CD389)</f>
        <v>501.60316001609561</v>
      </c>
      <c r="CE390" s="2293">
        <f>+SUM(CE380:CE389)</f>
        <v>519.1261205148171</v>
      </c>
      <c r="CF390" s="2293">
        <f>+SUM(CF380:CF389)</f>
        <v>537.04763528517071</v>
      </c>
      <c r="CG390" s="2290">
        <f>+SUM(CG380:CG389)</f>
        <v>510.56059025891398</v>
      </c>
      <c r="CH390" s="1588"/>
      <c r="CI390" s="2246">
        <f>+SUM(CI380:CI389)</f>
        <v>555.38143754649775</v>
      </c>
      <c r="CJ390" s="2292">
        <f>+SUM(CJ380:CJ389)</f>
        <v>574.14169808268696</v>
      </c>
      <c r="CK390" s="2293">
        <f>+SUM(CK380:CK389)</f>
        <v>594.68414287488406</v>
      </c>
      <c r="CL390" s="2293">
        <f>+SUM(CL380:CL389)</f>
        <v>617.30575377449372</v>
      </c>
      <c r="CM390" s="2290">
        <f>+SUM(CM380:CM389)</f>
        <v>585.37825806964065</v>
      </c>
      <c r="CN390" s="1588"/>
      <c r="CO390" s="2246">
        <f>+SUM(CO380:CO389)</f>
        <v>640.68099126742993</v>
      </c>
      <c r="CP390" s="2292">
        <f>+SUM(CP380:CP389)</f>
        <v>664.54401765246087</v>
      </c>
      <c r="CQ390" s="2293">
        <f>+SUM(CQ380:CQ389)</f>
        <v>688.91139895682932</v>
      </c>
      <c r="CR390" s="2293">
        <f>+SUM(CR380:CR389)</f>
        <v>713.80022464108333</v>
      </c>
      <c r="CS390" s="2290">
        <f>+SUM(CS380:CS389)</f>
        <v>676.98415812945086</v>
      </c>
    </row>
    <row r="391" spans="1:280">
      <c r="A391" s="1930" t="s">
        <v>659</v>
      </c>
      <c r="C391" s="1850"/>
      <c r="G391" s="736"/>
      <c r="H391" s="63"/>
      <c r="I391" s="1425"/>
      <c r="J391" s="6"/>
      <c r="K391" s="6"/>
      <c r="L391" s="6"/>
      <c r="M391" s="1841"/>
      <c r="N391" s="63"/>
      <c r="O391" s="1425"/>
      <c r="P391" s="2278"/>
      <c r="Q391" s="2278"/>
      <c r="R391" s="2278"/>
      <c r="S391" s="2279"/>
      <c r="T391" s="63"/>
      <c r="U391" s="1425"/>
      <c r="V391" s="2278"/>
      <c r="W391" s="2278"/>
      <c r="X391" s="2278"/>
      <c r="Y391" s="2279"/>
      <c r="Z391" s="63"/>
      <c r="AA391" s="1425"/>
      <c r="AB391" s="2278"/>
      <c r="AC391" s="2278"/>
      <c r="AD391" s="2278"/>
      <c r="AE391" s="2279"/>
      <c r="AF391" s="63"/>
      <c r="AG391" s="1425">
        <f>+AG390-AA390</f>
        <v>9.9715968000000004</v>
      </c>
      <c r="AH391" s="1423">
        <f>+AH390-AB390</f>
        <v>10.9971072</v>
      </c>
      <c r="AI391" s="2284">
        <f>+AI390-AC390</f>
        <v>12.112068000000002</v>
      </c>
      <c r="AJ391" s="2284">
        <f>+AJ390-AD390</f>
        <v>16.751726400000003</v>
      </c>
      <c r="AK391" s="1424">
        <f>+AK390-AE390</f>
        <v>12.458124600000001</v>
      </c>
      <c r="AL391" s="63"/>
      <c r="AM391" s="1425">
        <f>+AM390-AG390</f>
        <v>15.886449599999999</v>
      </c>
      <c r="AN391" s="1423">
        <f>+AN390-AH390</f>
        <v>24.758479199999996</v>
      </c>
      <c r="AO391" s="2284">
        <f>+AO390-AI390</f>
        <v>31.574738400000001</v>
      </c>
      <c r="AP391" s="2284">
        <f>+AP390-AJ390</f>
        <v>32.411906878195488</v>
      </c>
      <c r="AQ391" s="1424">
        <f>+AQ390-AK390</f>
        <v>26.157893519548875</v>
      </c>
      <c r="AR391" s="63"/>
      <c r="AS391" s="1425">
        <f>+AS390-AM390</f>
        <v>29.320961756390979</v>
      </c>
      <c r="AT391" s="1423">
        <f>+AT390-AN390</f>
        <v>33.147365756390982</v>
      </c>
      <c r="AU391" s="2284">
        <f>+AU390-AO390</f>
        <v>42.527921756390974</v>
      </c>
      <c r="AV391" s="2284">
        <f>+AV390-AP390</f>
        <v>56.115314878195491</v>
      </c>
      <c r="AW391" s="1424">
        <f>+AW390-AQ390</f>
        <v>40.277891036842099</v>
      </c>
      <c r="AX391" s="63"/>
      <c r="AY391" s="1425">
        <f>+AY390-AS390</f>
        <v>71.323877398285731</v>
      </c>
      <c r="AZ391" s="1423">
        <f>+AZ390-AT390</f>
        <v>80.946070025922651</v>
      </c>
      <c r="BA391" s="2284">
        <f>+BA390-AU390</f>
        <v>86.876488806186899</v>
      </c>
      <c r="BB391" s="2284">
        <f>+BB390-AV390</f>
        <v>89.948205651271337</v>
      </c>
      <c r="BC391" s="1424">
        <f>+BC390-AW390</f>
        <v>82.273660470416672</v>
      </c>
      <c r="BE391" s="1425">
        <f>+BE390-AY390</f>
        <v>85.842967895871681</v>
      </c>
      <c r="BF391" s="1423">
        <f>+BF390-AZ390</f>
        <v>80.310965485369394</v>
      </c>
      <c r="BG391" s="2284">
        <f>+BG390-BA390</f>
        <v>79.063479344087597</v>
      </c>
      <c r="BH391" s="2284">
        <f>+BH390-BB390</f>
        <v>77.89908535526456</v>
      </c>
      <c r="BI391" s="1424">
        <f>+BI390-BC390</f>
        <v>80.779124520148315</v>
      </c>
      <c r="BJ391" s="63"/>
      <c r="BK391" s="1425">
        <f>+BK390-BE390</f>
        <v>80.332590200863336</v>
      </c>
      <c r="BL391" s="1423">
        <f>+BL390-BF390</f>
        <v>79.82418271133929</v>
      </c>
      <c r="BM391" s="2284">
        <f>+BM390-BG390</f>
        <v>73.915339384194567</v>
      </c>
      <c r="BN391" s="2284">
        <f>+BN390-BH390</f>
        <v>68.937347514946168</v>
      </c>
      <c r="BO391" s="1424">
        <f>+BO390-BI390</f>
        <v>75.752364952835762</v>
      </c>
      <c r="BP391" s="63"/>
      <c r="BQ391" s="1425">
        <f>+BQ390-BK390</f>
        <v>66.947479556331473</v>
      </c>
      <c r="BR391" s="1423">
        <f>+BR390-BL390</f>
        <v>66.08753453937021</v>
      </c>
      <c r="BS391" s="2284">
        <f>+BS390-BM390</f>
        <v>65.139239430818179</v>
      </c>
      <c r="BT391" s="2284">
        <f>+BT390-BN390</f>
        <v>63.644884814815896</v>
      </c>
      <c r="BU391" s="1424">
        <f>+BU390-BO390</f>
        <v>65.454784585333982</v>
      </c>
      <c r="BV391" s="63"/>
      <c r="BW391" s="1425">
        <f>+BW390-BQ390</f>
        <v>61.025218669262074</v>
      </c>
      <c r="BX391" s="1423">
        <f>+BX390-BR390</f>
        <v>59.976593240239481</v>
      </c>
      <c r="BY391" s="2284">
        <f>+BY390-BS390</f>
        <v>60.572191672837789</v>
      </c>
      <c r="BZ391" s="2284">
        <f>+BZ390-BT390</f>
        <v>62.153908168076555</v>
      </c>
      <c r="CA391" s="1424">
        <f>+CA390-BU390</f>
        <v>60.931977937603961</v>
      </c>
      <c r="CB391" s="63"/>
      <c r="CC391" s="1425">
        <f>+CC390-BW390</f>
        <v>63.814303342567428</v>
      </c>
      <c r="CD391" s="1423">
        <f>+CD390-BX390</f>
        <v>65.554861857463607</v>
      </c>
      <c r="CE391" s="2284">
        <f>+CE390-BY390</f>
        <v>67.344653720301096</v>
      </c>
      <c r="CF391" s="2284">
        <f>+CF390-BZ390</f>
        <v>69.185255624405215</v>
      </c>
      <c r="CG391" s="1424">
        <f>+CG390-CA390</f>
        <v>66.474768636184308</v>
      </c>
      <c r="CH391" s="63"/>
      <c r="CI391" s="1425">
        <f>+CI390-CC390</f>
        <v>70.91599232692505</v>
      </c>
      <c r="CJ391" s="1423">
        <f>+CJ390-CD390</f>
        <v>72.538538066591343</v>
      </c>
      <c r="CK391" s="2284">
        <f>+CK390-CE390</f>
        <v>75.558022360066957</v>
      </c>
      <c r="CL391" s="2284">
        <f>+CL390-CF390</f>
        <v>80.25811848932301</v>
      </c>
      <c r="CM391" s="1424">
        <f>+CM390-CG390</f>
        <v>74.817667810726675</v>
      </c>
      <c r="CN391" s="63"/>
      <c r="CO391" s="1425">
        <f>+CO390-CI390</f>
        <v>85.299553720932181</v>
      </c>
      <c r="CP391" s="1423">
        <f>+CP390-CJ390</f>
        <v>90.402319569773908</v>
      </c>
      <c r="CQ391" s="2284">
        <f>+CQ390-CK390</f>
        <v>94.227256081945256</v>
      </c>
      <c r="CR391" s="2284">
        <f>+CR390-CL390</f>
        <v>96.494470866589609</v>
      </c>
      <c r="CS391" s="1424">
        <f>+CS390-CM390</f>
        <v>91.60590005981021</v>
      </c>
    </row>
    <row r="392" spans="1:280">
      <c r="A392" s="1930" t="s">
        <v>662</v>
      </c>
      <c r="C392" s="1850"/>
      <c r="G392" s="736"/>
      <c r="H392" s="63"/>
      <c r="I392" s="1425"/>
      <c r="J392" s="6"/>
      <c r="K392" s="6"/>
      <c r="L392" s="6"/>
      <c r="M392" s="1841"/>
      <c r="N392" s="63"/>
      <c r="O392" s="1425"/>
      <c r="P392" s="2278"/>
      <c r="Q392" s="2278"/>
      <c r="R392" s="2278"/>
      <c r="S392" s="2279"/>
      <c r="T392" s="63"/>
      <c r="U392" s="1425"/>
      <c r="V392" s="2278"/>
      <c r="W392" s="2278"/>
      <c r="X392" s="2278"/>
      <c r="Y392" s="2279"/>
      <c r="Z392" s="63"/>
      <c r="AA392" s="1425"/>
      <c r="AB392" s="2278"/>
      <c r="AC392" s="2278"/>
      <c r="AD392" s="2278"/>
      <c r="AE392" s="2279"/>
      <c r="AF392" s="63"/>
      <c r="AG392" s="1425">
        <f>+AG390-AD390</f>
        <v>9.9715968000000004</v>
      </c>
      <c r="AH392" s="1423">
        <f>+AH390-AG390</f>
        <v>1.0255103999999999</v>
      </c>
      <c r="AI392" s="2284">
        <f>+AI390-AH390</f>
        <v>1.1149608000000022</v>
      </c>
      <c r="AJ392" s="2284">
        <f>+AJ390-AI390</f>
        <v>4.6396584000000001</v>
      </c>
      <c r="AK392" s="1424">
        <f>+AVERAGE(AG392:AJ392)</f>
        <v>4.1879316000000006</v>
      </c>
      <c r="AL392" s="63"/>
      <c r="AM392" s="1425">
        <f>+AM390-AJ390</f>
        <v>9.1063199999999966</v>
      </c>
      <c r="AN392" s="1423">
        <f>+AN390-AM390</f>
        <v>9.8975399999999993</v>
      </c>
      <c r="AO392" s="2284">
        <f>+AO390-AN390</f>
        <v>7.9312200000000033</v>
      </c>
      <c r="AP392" s="2284">
        <f>+AP390-AO390</f>
        <v>5.4768268781954887</v>
      </c>
      <c r="AQ392" s="1424">
        <f>+AVERAGE(AM392:AP392)</f>
        <v>8.102976719548872</v>
      </c>
      <c r="AR392" s="63"/>
      <c r="AS392" s="1425">
        <f>+AS390-AP390</f>
        <v>6.0153748781954874</v>
      </c>
      <c r="AT392" s="1423">
        <f>+AT390-AS390</f>
        <v>13.723944000000003</v>
      </c>
      <c r="AU392" s="2284">
        <f>+AU390-AT390</f>
        <v>17.311775999999995</v>
      </c>
      <c r="AV392" s="2284">
        <f>+AV390-AU390</f>
        <v>19.064220000000006</v>
      </c>
      <c r="AW392" s="1424">
        <f>+AVERAGE(AS392:AV392)</f>
        <v>14.028828719548873</v>
      </c>
      <c r="AX392" s="63"/>
      <c r="AY392" s="1425">
        <f>+AY390-AV390</f>
        <v>21.223937398285727</v>
      </c>
      <c r="AZ392" s="1423">
        <f>+AZ390-AY390</f>
        <v>23.346136627636923</v>
      </c>
      <c r="BA392" s="2284">
        <f>+BA390-AZ390</f>
        <v>23.242194780264242</v>
      </c>
      <c r="BB392" s="2284">
        <f>+BB390-BA390</f>
        <v>22.135936845084444</v>
      </c>
      <c r="BC392" s="1424">
        <f>+AVERAGE(AY392:BB392)</f>
        <v>22.487051412817834</v>
      </c>
      <c r="BE392" s="1425">
        <f>+BE390-BB390</f>
        <v>17.118699642886071</v>
      </c>
      <c r="BF392" s="1423">
        <f>+BF390-BE390</f>
        <v>17.814134217134637</v>
      </c>
      <c r="BG392" s="2284">
        <f>+BG390-BF390</f>
        <v>21.994708638982445</v>
      </c>
      <c r="BH392" s="2284">
        <f>+BH390-BG390</f>
        <v>20.971542856261408</v>
      </c>
      <c r="BI392" s="1424">
        <f>+AVERAGE(BE392:BH392)</f>
        <v>19.47477133881614</v>
      </c>
      <c r="BJ392" s="63"/>
      <c r="BK392" s="1425">
        <f>+BK390-BH390</f>
        <v>19.552204488484847</v>
      </c>
      <c r="BL392" s="1423">
        <f>+BL390-BK390</f>
        <v>17.30572672761059</v>
      </c>
      <c r="BM392" s="2284">
        <f>+BM390-BL390</f>
        <v>16.085865311837722</v>
      </c>
      <c r="BN392" s="2284">
        <f>+BN390-BM390</f>
        <v>15.993550987013009</v>
      </c>
      <c r="BO392" s="1424">
        <f>+AVERAGE(BK392:BN392)</f>
        <v>17.234336878736542</v>
      </c>
      <c r="BP392" s="63"/>
      <c r="BQ392" s="1425">
        <f>+BQ390-BN390</f>
        <v>17.562336529870151</v>
      </c>
      <c r="BR392" s="1423">
        <f>+BR390-BQ390</f>
        <v>16.445781710649328</v>
      </c>
      <c r="BS392" s="2284">
        <f>+BS390-BR390</f>
        <v>15.137570203285691</v>
      </c>
      <c r="BT392" s="2284">
        <f>+BT390-BS390</f>
        <v>14.499196371010726</v>
      </c>
      <c r="BU392" s="1424">
        <f>+AVERAGE(BQ392:BT392)</f>
        <v>15.911221203703974</v>
      </c>
      <c r="BV392" s="63"/>
      <c r="BW392" s="1425">
        <f>+BW390-BT390</f>
        <v>14.94267038431633</v>
      </c>
      <c r="BX392" s="1423">
        <f>+BX390-BW390</f>
        <v>15.397156281626735</v>
      </c>
      <c r="BY392" s="2284">
        <f>+BY390-BX390</f>
        <v>15.733168635883999</v>
      </c>
      <c r="BZ392" s="2284">
        <f>+BZ390-BY390</f>
        <v>16.080912866249491</v>
      </c>
      <c r="CA392" s="1424">
        <f>+AVERAGE(BW392:BZ392)</f>
        <v>15.538477042019139</v>
      </c>
      <c r="CB392" s="63"/>
      <c r="CC392" s="1425">
        <f>+CC390-BZ390</f>
        <v>16.603065558807202</v>
      </c>
      <c r="CD392" s="1423">
        <f>+CD390-CC390</f>
        <v>17.137714796522914</v>
      </c>
      <c r="CE392" s="2284">
        <f>+CE390-CD390</f>
        <v>17.522960498721488</v>
      </c>
      <c r="CF392" s="2284">
        <f>+CF390-CE390</f>
        <v>17.92151477035361</v>
      </c>
      <c r="CG392" s="1424">
        <f>+AVERAGE(CC392:CF392)</f>
        <v>17.296313906101304</v>
      </c>
      <c r="CH392" s="63"/>
      <c r="CI392" s="1425">
        <f>+CI390-CF390</f>
        <v>18.333802261327037</v>
      </c>
      <c r="CJ392" s="1423">
        <f>+CJ390-CI390</f>
        <v>18.760260536189207</v>
      </c>
      <c r="CK392" s="2284">
        <f>+CK390-CJ390</f>
        <v>20.542444792197102</v>
      </c>
      <c r="CL392" s="2284">
        <f>+CL390-CK390</f>
        <v>22.621610899609664</v>
      </c>
      <c r="CM392" s="1424">
        <f>+AVERAGE(CI392:CL392)</f>
        <v>20.064529622330753</v>
      </c>
      <c r="CN392" s="63"/>
      <c r="CO392" s="1425">
        <f>+CO390-CL390</f>
        <v>23.375237492936208</v>
      </c>
      <c r="CP392" s="1423">
        <f>+CP390-CO390</f>
        <v>23.863026385030935</v>
      </c>
      <c r="CQ392" s="2284">
        <f>+CQ390-CP390</f>
        <v>24.36738130436845</v>
      </c>
      <c r="CR392" s="2284">
        <f>+CR390-CQ390</f>
        <v>24.888825684254016</v>
      </c>
      <c r="CS392" s="1424">
        <f>+AVERAGE(CO392:CR392)</f>
        <v>24.123617716647402</v>
      </c>
    </row>
    <row r="393" spans="1:280">
      <c r="A393" s="1028" t="s">
        <v>428</v>
      </c>
      <c r="C393" s="1850"/>
      <c r="G393" s="736"/>
      <c r="H393" s="63"/>
      <c r="I393" s="1425"/>
      <c r="J393" s="6"/>
      <c r="K393" s="6"/>
      <c r="L393" s="6"/>
      <c r="M393" s="1841"/>
      <c r="N393" s="63"/>
      <c r="O393" s="1425"/>
      <c r="P393" s="2278"/>
      <c r="Q393" s="2278"/>
      <c r="R393" s="2278"/>
      <c r="S393" s="2279"/>
      <c r="T393" s="63"/>
      <c r="U393" s="1425"/>
      <c r="V393" s="2278"/>
      <c r="W393" s="2278"/>
      <c r="X393" s="2278"/>
      <c r="Y393" s="2279"/>
      <c r="Z393" s="63"/>
      <c r="AA393" s="1425"/>
      <c r="AB393" s="2278"/>
      <c r="AC393" s="2278"/>
      <c r="AD393" s="2278"/>
      <c r="AE393" s="2279"/>
      <c r="AF393" s="63"/>
      <c r="AG393" s="1425"/>
      <c r="AH393" s="2278"/>
      <c r="AI393" s="2278"/>
      <c r="AJ393" s="2278"/>
      <c r="AK393" s="2279"/>
      <c r="AL393" s="63"/>
      <c r="AM393" s="1425"/>
      <c r="AN393" s="2278"/>
      <c r="AO393" s="2278"/>
      <c r="AP393" s="2278"/>
      <c r="AQ393" s="2279"/>
      <c r="AR393" s="63"/>
      <c r="AS393" s="1425"/>
      <c r="AT393" s="2278"/>
      <c r="AU393" s="2278"/>
      <c r="AV393" s="2278"/>
      <c r="AW393" s="2279"/>
      <c r="AX393" s="63"/>
      <c r="AY393" s="1392">
        <f>+AY390/AS390-1</f>
        <v>1.292590783729497</v>
      </c>
      <c r="AZ393" s="154">
        <f>+AZ390/AT390-1</f>
        <v>1.1747837718505449</v>
      </c>
      <c r="BA393" s="154">
        <f>+BA390/AU390-1</f>
        <v>1.0076757262238942</v>
      </c>
      <c r="BB393" s="154">
        <f>+BB390/AV390-1</f>
        <v>0.85437979032288625</v>
      </c>
      <c r="BC393" s="1393">
        <f>+BC390/AW390-1</f>
        <v>1.0428391918991622</v>
      </c>
      <c r="BE393" s="1392">
        <f>+BE390/AY390-1</f>
        <v>0.6785850577200383</v>
      </c>
      <c r="BF393" s="154">
        <f>+BF390/AZ390-1</f>
        <v>0.5359458761610012</v>
      </c>
      <c r="BG393" s="154">
        <f>+BG390/BA390-1</f>
        <v>0.45677349048381255</v>
      </c>
      <c r="BH393" s="154">
        <f>+BH390/BB390-1</f>
        <v>0.39901767677262101</v>
      </c>
      <c r="BI393" s="1393">
        <f>+BI390/BC390-1</f>
        <v>0.50121202861839276</v>
      </c>
      <c r="BJ393" s="63"/>
      <c r="BK393" s="1392">
        <f>+BK390/BE390-1</f>
        <v>0.3783101430778415</v>
      </c>
      <c r="BL393" s="154">
        <f>+BL390/BF390-1</f>
        <v>0.34682041618195436</v>
      </c>
      <c r="BM393" s="154">
        <f>+BM390/BG390-1</f>
        <v>0.29313489086992939</v>
      </c>
      <c r="BN393" s="154">
        <f>+BN390/BH390-1</f>
        <v>0.25240104255901707</v>
      </c>
      <c r="BO393" s="1393">
        <f>+BO390/BI390-1</f>
        <v>0.31309526761636408</v>
      </c>
      <c r="BP393" s="63"/>
      <c r="BQ393" s="1392">
        <f>+BQ390/BK390-1</f>
        <v>0.22874072555909786</v>
      </c>
      <c r="BR393" s="154">
        <f>+BR390/BL390-1</f>
        <v>0.21319648180280937</v>
      </c>
      <c r="BS393" s="154">
        <f>+BS390/BM390-1</f>
        <v>0.19977070046563639</v>
      </c>
      <c r="BT393" s="154">
        <f>+BT390/BN390-1</f>
        <v>0.18606156075522695</v>
      </c>
      <c r="BU393" s="1393">
        <f>+BU390/BO390-1</f>
        <v>0.20602763121427481</v>
      </c>
      <c r="BV393" s="63"/>
      <c r="BW393" s="1392">
        <f>+BW390/BQ390-1</f>
        <v>0.16969082241051336</v>
      </c>
      <c r="BX393" s="154">
        <f>+BX390/BR390-1</f>
        <v>0.15948180215593299</v>
      </c>
      <c r="BY393" s="154">
        <f>+BY390/BS390-1</f>
        <v>0.15483321977475595</v>
      </c>
      <c r="BZ393" s="154">
        <f>+BZ390/BT390-1</f>
        <v>0.15319844798753879</v>
      </c>
      <c r="CA393" s="1393">
        <f>+CA390/BU390-1</f>
        <v>0.15902744796076651</v>
      </c>
      <c r="CB393" s="63"/>
      <c r="CC393" s="1392">
        <f>+CC390/BW390-1</f>
        <v>0.15170362561674966</v>
      </c>
      <c r="CD393" s="154">
        <f>+CD390/BX390-1</f>
        <v>0.15033853390620289</v>
      </c>
      <c r="CE393" s="154">
        <f>+CE390/BY390-1</f>
        <v>0.14906466659229189</v>
      </c>
      <c r="CF393" s="154">
        <f>+CF390/BZ390-1</f>
        <v>0.14787522705837053</v>
      </c>
      <c r="CG393" s="1393">
        <f>+CG390/CA390-1</f>
        <v>0.1496890136984772</v>
      </c>
      <c r="CH393" s="63"/>
      <c r="CI393" s="1392">
        <f>+CI390/CC390-1</f>
        <v>0.14637987709274913</v>
      </c>
      <c r="CJ393" s="154">
        <f>+CJ390/CD390-1</f>
        <v>0.14461339929410277</v>
      </c>
      <c r="CK393" s="154">
        <f>+CK390/CE390-1</f>
        <v>0.14554848884339733</v>
      </c>
      <c r="CL393" s="154">
        <f>+CL390/CF390-1</f>
        <v>0.14944320245764819</v>
      </c>
      <c r="CM393" s="1393">
        <f>+CM390/CG390-1</f>
        <v>0.1465402329090566</v>
      </c>
      <c r="CN393" s="63"/>
      <c r="CO393" s="1392">
        <f>+CO390/CI390-1</f>
        <v>0.15358733287478787</v>
      </c>
      <c r="CP393" s="154">
        <f>+CP390/CJ390-1</f>
        <v>0.15745646043767114</v>
      </c>
      <c r="CQ393" s="154">
        <f>+CQ390/CK390-1</f>
        <v>0.15844924942242788</v>
      </c>
      <c r="CR393" s="154">
        <f>+CR390/CL390-1</f>
        <v>0.15631552156541173</v>
      </c>
      <c r="CS393" s="1393">
        <f>+CS390/CM390-1</f>
        <v>0.15649009644104717</v>
      </c>
    </row>
    <row r="394" spans="1:280">
      <c r="A394" s="2296"/>
      <c r="C394" s="1850"/>
      <c r="G394" s="736"/>
      <c r="H394" s="63"/>
      <c r="I394" s="1425"/>
      <c r="J394" s="6"/>
      <c r="K394" s="6"/>
      <c r="L394" s="6"/>
      <c r="M394" s="1841"/>
      <c r="N394" s="63"/>
      <c r="O394" s="1425"/>
      <c r="P394" s="2278"/>
      <c r="Q394" s="2278"/>
      <c r="R394" s="2278"/>
      <c r="S394" s="2279"/>
      <c r="T394" s="63"/>
      <c r="U394" s="1425"/>
      <c r="V394" s="2278"/>
      <c r="W394" s="2278"/>
      <c r="X394" s="2278"/>
      <c r="Y394" s="2279"/>
      <c r="Z394" s="63"/>
      <c r="AA394" s="1425"/>
      <c r="AB394" s="2278"/>
      <c r="AC394" s="2278"/>
      <c r="AD394" s="2278"/>
      <c r="AE394" s="2279"/>
      <c r="AF394" s="63"/>
      <c r="AG394" s="1425"/>
      <c r="AH394" s="2278"/>
      <c r="AI394" s="2278"/>
      <c r="AJ394" s="2278"/>
      <c r="AK394" s="2279"/>
      <c r="AL394" s="63"/>
      <c r="AM394" s="1425"/>
      <c r="AN394" s="2278"/>
      <c r="AO394" s="2278"/>
      <c r="AP394" s="2278"/>
      <c r="AQ394" s="2279"/>
      <c r="AR394" s="63"/>
      <c r="AS394" s="1425"/>
      <c r="AT394" s="2278"/>
      <c r="AU394" s="2278"/>
      <c r="AV394" s="2278"/>
      <c r="AW394" s="2279"/>
      <c r="AX394" s="63"/>
      <c r="AY394" s="1392"/>
      <c r="AZ394" s="154"/>
      <c r="BA394" s="154"/>
      <c r="BB394" s="154"/>
      <c r="BC394" s="1393"/>
      <c r="BE394" s="1392"/>
      <c r="BF394" s="154"/>
      <c r="BG394" s="154"/>
      <c r="BH394" s="154"/>
      <c r="BI394" s="1393"/>
      <c r="BJ394" s="63"/>
      <c r="BK394" s="1392"/>
      <c r="BL394" s="154"/>
      <c r="BM394" s="154"/>
      <c r="BN394" s="154"/>
      <c r="BO394" s="1393"/>
      <c r="BP394" s="63"/>
      <c r="BQ394" s="1392"/>
      <c r="BR394" s="154"/>
      <c r="BS394" s="154"/>
      <c r="BT394" s="154"/>
      <c r="BU394" s="1393"/>
      <c r="BV394" s="63"/>
      <c r="BW394" s="1392"/>
      <c r="BX394" s="154"/>
      <c r="BY394" s="154"/>
      <c r="BZ394" s="154"/>
      <c r="CA394" s="1393"/>
      <c r="CB394" s="63"/>
      <c r="CC394" s="1392"/>
      <c r="CD394" s="154"/>
      <c r="CE394" s="154"/>
      <c r="CF394" s="154"/>
      <c r="CG394" s="1393"/>
      <c r="CH394" s="63"/>
      <c r="CI394" s="1392"/>
      <c r="CJ394" s="154"/>
      <c r="CK394" s="154"/>
      <c r="CL394" s="154"/>
      <c r="CM394" s="1393"/>
      <c r="CN394" s="63"/>
      <c r="CO394" s="1392"/>
      <c r="CP394" s="154"/>
      <c r="CQ394" s="154"/>
      <c r="CR394" s="154"/>
      <c r="CS394" s="1393"/>
    </row>
    <row r="395" spans="1:280">
      <c r="A395" s="2295" t="s">
        <v>698</v>
      </c>
      <c r="C395" s="1850"/>
      <c r="G395" s="736"/>
      <c r="H395" s="63"/>
      <c r="I395" s="1425"/>
      <c r="J395" s="6"/>
      <c r="K395" s="6"/>
      <c r="L395" s="6"/>
      <c r="M395" s="1841"/>
      <c r="N395" s="63"/>
      <c r="O395" s="1425"/>
      <c r="P395" s="2278"/>
      <c r="Q395" s="2278"/>
      <c r="R395" s="2278"/>
      <c r="S395" s="2279"/>
      <c r="T395" s="63"/>
      <c r="U395" s="1425"/>
      <c r="V395" s="2278"/>
      <c r="W395" s="2278"/>
      <c r="X395" s="2278"/>
      <c r="Y395" s="2279"/>
      <c r="Z395" s="63"/>
      <c r="AA395" s="1425"/>
      <c r="AB395" s="2278"/>
      <c r="AC395" s="2278"/>
      <c r="AD395" s="2278"/>
      <c r="AE395" s="2279"/>
      <c r="AF395" s="63"/>
      <c r="AG395" s="1425"/>
      <c r="AH395" s="2278"/>
      <c r="AI395" s="2278"/>
      <c r="AJ395" s="2278"/>
      <c r="AK395" s="2279"/>
      <c r="AL395" s="63"/>
      <c r="AM395" s="1425"/>
      <c r="AN395" s="2278"/>
      <c r="AO395" s="2278"/>
      <c r="AP395" s="2278"/>
      <c r="AQ395" s="2279"/>
      <c r="AR395" s="63"/>
      <c r="AS395" s="1425"/>
      <c r="AT395" s="2278"/>
      <c r="AU395" s="2278"/>
      <c r="AV395" s="2278"/>
      <c r="AW395" s="2279"/>
      <c r="AX395" s="63"/>
      <c r="AY395" s="1425"/>
      <c r="AZ395" s="2278"/>
      <c r="BA395" s="2278"/>
      <c r="BB395" s="2278"/>
      <c r="BC395" s="2279"/>
      <c r="BE395" s="1425"/>
      <c r="BF395" s="2278"/>
      <c r="BG395" s="2278"/>
      <c r="BH395" s="2278"/>
      <c r="BI395" s="2279"/>
      <c r="BJ395" s="63"/>
      <c r="BK395" s="1425"/>
      <c r="BL395" s="2278"/>
      <c r="BM395" s="2278"/>
      <c r="BN395" s="2278"/>
      <c r="BO395" s="2279"/>
      <c r="BP395" s="63"/>
      <c r="BQ395" s="1425"/>
      <c r="BR395" s="2278"/>
      <c r="BS395" s="2278"/>
      <c r="BT395" s="2278"/>
      <c r="BU395" s="2279"/>
      <c r="BV395" s="63"/>
      <c r="BW395" s="1425"/>
      <c r="BX395" s="2278"/>
      <c r="BY395" s="2278"/>
      <c r="BZ395" s="2278"/>
      <c r="CA395" s="2279"/>
      <c r="CB395" s="63"/>
      <c r="CC395" s="1425"/>
      <c r="CD395" s="2278"/>
      <c r="CE395" s="2278"/>
      <c r="CF395" s="2278"/>
      <c r="CG395" s="2279"/>
      <c r="CH395" s="63"/>
      <c r="CI395" s="1425"/>
      <c r="CJ395" s="2278"/>
      <c r="CK395" s="2278"/>
      <c r="CL395" s="2278"/>
      <c r="CM395" s="2279"/>
      <c r="CN395" s="63"/>
      <c r="CO395" s="1425"/>
      <c r="CP395" s="2278"/>
      <c r="CQ395" s="2278"/>
      <c r="CR395" s="2278"/>
      <c r="CS395" s="2279"/>
    </row>
    <row r="396" spans="1:280">
      <c r="A396" s="125" t="s">
        <v>703</v>
      </c>
      <c r="B396" s="3"/>
      <c r="C396" s="2246"/>
      <c r="D396" s="2292"/>
      <c r="E396" s="2293"/>
      <c r="F396" s="2293"/>
      <c r="G396" s="2290"/>
      <c r="H396" s="1588"/>
      <c r="I396" s="2246"/>
      <c r="J396" s="2292"/>
      <c r="K396" s="2293"/>
      <c r="L396" s="2293"/>
      <c r="M396" s="2290"/>
      <c r="N396" s="1588"/>
      <c r="O396" s="2246"/>
      <c r="P396" s="2292"/>
      <c r="Q396" s="2293"/>
      <c r="R396" s="2293"/>
      <c r="S396" s="2290"/>
      <c r="T396" s="1588"/>
      <c r="U396" s="2246"/>
      <c r="V396" s="2292"/>
      <c r="W396" s="2293"/>
      <c r="X396" s="2293"/>
      <c r="Y396" s="2290"/>
      <c r="Z396" s="1588"/>
      <c r="AA396" s="2246"/>
      <c r="AB396" s="2292"/>
      <c r="AC396" s="2293"/>
      <c r="AD396" s="2293"/>
      <c r="AE396" s="2290"/>
      <c r="AF396" s="1588"/>
      <c r="AG396" s="2246"/>
      <c r="AH396" s="2292"/>
      <c r="AI396" s="2293"/>
      <c r="AJ396" s="2293"/>
      <c r="AK396" s="2290"/>
      <c r="AL396" s="1588"/>
      <c r="AM396" s="2246"/>
      <c r="AN396" s="2292"/>
      <c r="AO396" s="2293"/>
      <c r="AP396" s="2293"/>
      <c r="AQ396" s="2290"/>
      <c r="AR396" s="1588"/>
      <c r="AS396" s="2246"/>
      <c r="AT396" s="2292"/>
      <c r="AU396" s="2293"/>
      <c r="AV396" s="2293"/>
      <c r="AW396" s="2290"/>
      <c r="AX396" s="1588"/>
      <c r="AY396" s="2299">
        <f>+AY369+AY372+AY359-AY363-(AY$81-AY$93+AY$91)</f>
        <v>0</v>
      </c>
      <c r="AZ396" s="2301">
        <f>+AZ369+AZ372+AZ359-AZ363-(AZ$81-AZ$93+AZ$91)</f>
        <v>0</v>
      </c>
      <c r="BA396" s="2300">
        <f>+BA369+BA372+BA359-BA363-(BA$81-BA$93+BA$91)</f>
        <v>0</v>
      </c>
      <c r="BB396" s="2300">
        <f>+BB369+BB372+BB359-BB363-(BB$81-BB$93+BB$91)</f>
        <v>0</v>
      </c>
      <c r="BC396" s="2302">
        <f>+BC369+BC372+BC359-BC363-(BC$81-BC$93+BC$91)</f>
        <v>0</v>
      </c>
      <c r="BE396" s="2299">
        <f>+BE369+BE372+BE359-BE363-(BE$81-BE$93+BE$91)</f>
        <v>0</v>
      </c>
      <c r="BF396" s="2301">
        <f>+BF369+BF372+BF359-BF363-(BF$81-BF$93+BF$91)</f>
        <v>54.032939849624057</v>
      </c>
      <c r="BG396" s="2300">
        <f>+BG369+BG372+BG359-BG363-(BG$81-BG$93+BG$91)</f>
        <v>66.925200000000004</v>
      </c>
      <c r="BH396" s="2300">
        <f>+BH369+BH372+BH359-BH363-(BH$81-BH$93+BH$91)</f>
        <v>68.736000000000004</v>
      </c>
      <c r="BI396" s="2302">
        <f>+BI369+BI372+BI359-BI363-(BI$81-BI$93+BI$91)</f>
        <v>189.69413984962409</v>
      </c>
      <c r="BK396" s="2299">
        <f>+BK369+BK372+BK359-BK363-(BK81-BK93+BK91)</f>
        <v>81.965000000000003</v>
      </c>
      <c r="BL396" s="2301">
        <f>+BL369+BL372+BL359-BL363-(BL81-BL93+BL91)</f>
        <v>89</v>
      </c>
      <c r="BM396" s="2300">
        <f>+BM369+BM372+BM359-BM363-(BM81-BM93+BM91)</f>
        <v>89</v>
      </c>
      <c r="BN396" s="2300">
        <f>+BN369+BN372+BN359-BN363-(BN81-BN93+BN91)</f>
        <v>89</v>
      </c>
      <c r="BO396" s="2302">
        <f>+SUM(BK396:BN396)</f>
        <v>348.96500000000003</v>
      </c>
      <c r="BQ396" s="2299">
        <f>+BQ369+BQ372+BQ359-BQ363-(BQ81-BQ93+BQ91)</f>
        <v>78</v>
      </c>
      <c r="BR396" s="2301">
        <f>+BR369+BR372+BR359-BR363-(BR81-BR93+BR91)</f>
        <v>78</v>
      </c>
      <c r="BS396" s="2300">
        <f>+BS369+BS372+BS359-BS363-(BS81-BS93+BS91)</f>
        <v>78</v>
      </c>
      <c r="BT396" s="2300">
        <f>+BT369+BT372+BT359-BT363-(BT81-BT93+BT91)</f>
        <v>78</v>
      </c>
      <c r="BU396" s="2302">
        <f>+SUM(BQ396:BT396)</f>
        <v>312</v>
      </c>
      <c r="BW396" s="2299">
        <f>+BW369+BW372+BW359-BW363-(BW81-BW93+BW91)</f>
        <v>78</v>
      </c>
      <c r="BX396" s="2301">
        <f>+BX369+BX372+BX359-BX363-(BX81-BX93+BX91)</f>
        <v>78</v>
      </c>
      <c r="BY396" s="2300">
        <f>+BY369+BY372+BY359-BY363-(BY81-BY93+BY91)</f>
        <v>78</v>
      </c>
      <c r="BZ396" s="2300">
        <f>+BZ369+BZ372+BZ359-BZ363-(BZ81-BZ93+BZ91)</f>
        <v>78</v>
      </c>
      <c r="CA396" s="2302">
        <f>+SUM(BW396:BZ396)</f>
        <v>312</v>
      </c>
      <c r="CC396" s="2299">
        <f>+CC369+CC372+CC359-CC363-(CC81-CC93+CC91)</f>
        <v>78</v>
      </c>
      <c r="CD396" s="2301">
        <f>+CD369+CD372+CD359-CD363-(CD81-CD93+CD91)</f>
        <v>78</v>
      </c>
      <c r="CE396" s="2300">
        <f>+CE369+CE372+CE359-CE363-(CE81-CE93+CE91)</f>
        <v>78</v>
      </c>
      <c r="CF396" s="2300">
        <f>+CF369+CF372+CF359-CF363-(CF81-CF93+CF91)</f>
        <v>78</v>
      </c>
      <c r="CG396" s="2302">
        <f>+SUM(CC396:CF396)</f>
        <v>312</v>
      </c>
      <c r="CI396" s="2299">
        <f>+CI369+CI372+CI359-CI363-(CI81-CI93+CI91)</f>
        <v>78</v>
      </c>
      <c r="CJ396" s="2301">
        <f>+CJ369+CJ372+CJ359-CJ363-(CJ81-CJ93+CJ91)</f>
        <v>78</v>
      </c>
      <c r="CK396" s="2300">
        <f>+CK369+CK372+CK359-CK363-(CK81-CK93+CK91)</f>
        <v>78</v>
      </c>
      <c r="CL396" s="2300">
        <f>+CL369+CL372+CL359-CL363-(CL81-CL93+CL91)</f>
        <v>78</v>
      </c>
      <c r="CM396" s="2302">
        <f>+SUM(CI396:CL396)</f>
        <v>312</v>
      </c>
      <c r="CO396" s="2299">
        <f>+CO369+CO372+CO359-CO363-(CO81-CO93+CO91)</f>
        <v>78</v>
      </c>
      <c r="CP396" s="2301">
        <f>+CP369+CP372+CP359-CP363-(CP81-CP93+CP91)</f>
        <v>78</v>
      </c>
      <c r="CQ396" s="2300">
        <f>+CQ369+CQ372+CQ359-CQ363-(CQ81-CQ93+CQ91)</f>
        <v>78</v>
      </c>
      <c r="CR396" s="2300">
        <f>+CR369+CR372+CR359-CR363-(CR81-CR93+CR91)</f>
        <v>78</v>
      </c>
      <c r="CS396" s="2302">
        <f>+SUM(CO396:CR396)</f>
        <v>312</v>
      </c>
    </row>
    <row r="397" spans="1:280" s="6" customFormat="1">
      <c r="A397" s="1991" t="s">
        <v>708</v>
      </c>
      <c r="B397" s="3"/>
      <c r="C397" s="2246"/>
      <c r="D397" s="2292"/>
      <c r="E397" s="2293"/>
      <c r="F397" s="2293"/>
      <c r="G397" s="2290"/>
      <c r="H397" s="1588"/>
      <c r="I397" s="2246"/>
      <c r="J397" s="2292"/>
      <c r="K397" s="2293"/>
      <c r="L397" s="2293"/>
      <c r="M397" s="2290"/>
      <c r="N397" s="1588"/>
      <c r="O397" s="2246"/>
      <c r="P397" s="2292"/>
      <c r="Q397" s="2293"/>
      <c r="R397" s="2293"/>
      <c r="S397" s="2290"/>
      <c r="T397" s="1588"/>
      <c r="U397" s="2246"/>
      <c r="V397" s="2292"/>
      <c r="W397" s="2293"/>
      <c r="X397" s="2293"/>
      <c r="Y397" s="2290"/>
      <c r="Z397" s="1588"/>
      <c r="AA397" s="2246"/>
      <c r="AB397" s="2292"/>
      <c r="AC397" s="2293"/>
      <c r="AD397" s="2293"/>
      <c r="AE397" s="2290"/>
      <c r="AF397" s="1588"/>
      <c r="AG397" s="1937">
        <f>+AG371+AG361+AG$417+AG$414</f>
        <v>3.3387151428172772E-2</v>
      </c>
      <c r="AH397" s="1938">
        <f>+AH371+AH361+AH$417+AH$414</f>
        <v>3.6916577879960374E-2</v>
      </c>
      <c r="AI397" s="1938">
        <f>+AI371+AI361+AI$417+AI$414</f>
        <v>5.4234717273977912E-2</v>
      </c>
      <c r="AJ397" s="1938">
        <f>+AJ371+AJ361+AJ$417+AJ$414</f>
        <v>4.5477682557431218E-2</v>
      </c>
      <c r="AK397" s="1936">
        <f>+AK371+AK361+AK$417+AK$414</f>
        <v>5.1706720300751047E-2</v>
      </c>
      <c r="AL397" s="1588"/>
      <c r="AM397" s="1937">
        <f>+AM371+AM361+AM$417+AM$414</f>
        <v>4.8687434651086686E-2</v>
      </c>
      <c r="AN397" s="1938">
        <f>+AN371+AN361+AN$417+AN$414</f>
        <v>5.5560206714412926E-2</v>
      </c>
      <c r="AO397" s="1938">
        <f>+AO371+AO361+AO$417+AO$414</f>
        <v>6.1288205986055125E-2</v>
      </c>
      <c r="AP397" s="1938">
        <f>+AP371+AP361+AP$417+AP$414</f>
        <v>5.0275496130824993E-2</v>
      </c>
      <c r="AQ397" s="1936">
        <f>+AQ371+AQ361+AQ$417+AQ$414</f>
        <v>5.3952835870594934E-2</v>
      </c>
      <c r="AR397" s="1588"/>
      <c r="AS397" s="1937">
        <f>+AS371+AS361+AS$417+AS$414</f>
        <v>4.8555504174069654E-2</v>
      </c>
      <c r="AT397" s="1938">
        <f>+AT371+AT361+AT$417+AT$414</f>
        <v>4.0132770066385035E-2</v>
      </c>
      <c r="AU397" s="1938">
        <f>+AU371+AU361+AU$417+AU$414</f>
        <v>3.8584276182187412E-2</v>
      </c>
      <c r="AV397" s="1938">
        <f>+AV371+AV361+AV$417+AV$414</f>
        <v>3.8865492049849591E-2</v>
      </c>
      <c r="AW397" s="1936">
        <f>+AW371+AW361+AW$417+AW$414</f>
        <v>4.1534510618122925E-2</v>
      </c>
      <c r="AX397" s="1588"/>
      <c r="AY397" s="1937">
        <f>+AY371+AY361+AY$417+AY$414</f>
        <v>4.3073263452247011E-2</v>
      </c>
      <c r="AZ397" s="1938">
        <f>+AZ371+AZ361+AZ$417+AZ$414</f>
        <v>4.7313990645672821E-2</v>
      </c>
      <c r="BA397" s="1938">
        <f>+BA371+BA361+BA$417+BA$414</f>
        <v>3.9317238579465258E-2</v>
      </c>
      <c r="BB397" s="1938">
        <f>+BB371+BB361+BB$417+BB$414</f>
        <v>3.0726775709719871E-2</v>
      </c>
      <c r="BC397" s="1936">
        <f>+BC371+BC361+BC$417+BC$414</f>
        <v>4.0107817096776244E-2</v>
      </c>
      <c r="BD397"/>
      <c r="BE397" s="1937">
        <f>+BE371+BE361+BE$417+BE$414</f>
        <v>2.5349922160887037E-2</v>
      </c>
      <c r="BF397" s="1938">
        <f>+BF371+BF361+BF$417+BF$414</f>
        <v>4.6461485280175442E-2</v>
      </c>
      <c r="BG397" s="1938">
        <f>+BG371+BG361+BG$417+BG$414</f>
        <v>4.6170253260185118E-2</v>
      </c>
      <c r="BH397" s="1938">
        <f>+BH371+BH361+BH$417+BH$414</f>
        <v>4.8675519130325008E-2</v>
      </c>
      <c r="BI397" s="1936">
        <f>+BI371+BI361+BI$417+BI$414</f>
        <v>4.1664294957893158E-2</v>
      </c>
      <c r="BJ397" s="1"/>
      <c r="BK397" s="1937">
        <f>+BK371+BK361+BK$417+BK$414</f>
        <v>4.7550360869598809E-2</v>
      </c>
      <c r="BL397" s="1938">
        <f>+BL371+BL361+BL$417+BL$414</f>
        <v>4.8063946941937316E-2</v>
      </c>
      <c r="BM397" s="1938">
        <f>+BM371+BM361+BM$417+BM$414</f>
        <v>4.8855470563848855E-2</v>
      </c>
      <c r="BN397" s="1938">
        <f>+BN371+BN361+BN$417+BN$414</f>
        <v>4.9480186169633109E-2</v>
      </c>
      <c r="BO397" s="1936">
        <f>+BO371+BO361+BO$417+BO$414</f>
        <v>4.8487491136254522E-2</v>
      </c>
      <c r="BP397" s="1"/>
      <c r="BQ397" s="1937">
        <f>+BQ371+BQ361+BQ$417+BQ$414</f>
        <v>4.385225705724044E-2</v>
      </c>
      <c r="BR397" s="1938">
        <f>+BR371+BR361+BR$417+BR$414</f>
        <v>4.4325742871891144E-2</v>
      </c>
      <c r="BS397" s="1938">
        <f>+BS371+BS361+BS$417+BS$414</f>
        <v>4.5890457183737202E-2</v>
      </c>
      <c r="BT397" s="1938">
        <f>+BT371+BT361+BT$417+BT$414</f>
        <v>4.9314036054144902E-2</v>
      </c>
      <c r="BU397" s="1936">
        <f>+BU371+BU361+BU$417+BU$414</f>
        <v>4.5845623291753422E-2</v>
      </c>
      <c r="BV397" s="1"/>
      <c r="BW397" s="1937">
        <f>+BW371+BW361+BW$417+BW$414</f>
        <v>5.3289616519556736E-2</v>
      </c>
      <c r="BX397" s="1938">
        <f>+BX371+BX361+BX$417+BX$414</f>
        <v>5.7619866034111393E-2</v>
      </c>
      <c r="BY397" s="1938">
        <f>+BY371+BY361+BY$417+BY$414</f>
        <v>6.2716100160206678E-2</v>
      </c>
      <c r="BZ397" s="1938">
        <f>+BZ371+BZ361+BZ$417+BZ$414</f>
        <v>6.8801283501141564E-2</v>
      </c>
      <c r="CA397" s="1936">
        <f>+CA371+CA361+CA$417+CA$414</f>
        <v>6.0606716553754096E-2</v>
      </c>
      <c r="CB397" s="1"/>
      <c r="CC397" s="1937">
        <f>+CC371+CC361+CC$417+CC$414</f>
        <v>7.6194213859874682E-2</v>
      </c>
      <c r="CD397" s="1938">
        <f>+CD371+CD361+CD$417+CD$414</f>
        <v>8.444302104511206E-2</v>
      </c>
      <c r="CE397" s="1938">
        <f>+CE371+CE361+CE$417+CE$414</f>
        <v>9.4694695629614675E-2</v>
      </c>
      <c r="CF397" s="1938">
        <f>+CF371+CF361+CF$417+CF$414</f>
        <v>0.10777949932688616</v>
      </c>
      <c r="CG397" s="1936">
        <f>+CG371+CG361+CG$417+CG$414</f>
        <v>9.0777857465371883E-2</v>
      </c>
      <c r="CH397" s="1"/>
      <c r="CI397" s="1937">
        <f>+CI371+CI361+CI$417+CI$414</f>
        <v>0.12506016908260231</v>
      </c>
      <c r="CJ397" s="1938">
        <f>+CJ371+CJ361+CJ$417+CJ$414</f>
        <v>0.14894029539750595</v>
      </c>
      <c r="CK397" s="1938">
        <f>+CK371+CK361+CK$417+CK$414</f>
        <v>0.20872369768544927</v>
      </c>
      <c r="CL397" s="1938">
        <f>+CL371+CL361+CL$417+CL$414</f>
        <v>0.30321430487343126</v>
      </c>
      <c r="CM397" s="1936">
        <f>+CM371+CM361+CM$417+CM$414</f>
        <v>0.19648461675974718</v>
      </c>
      <c r="CN397" s="1"/>
      <c r="CO397" s="1937">
        <f>+CO371+CO361+CO$417+CO$414</f>
        <v>0.37636831596409626</v>
      </c>
      <c r="CP397" s="1938">
        <f>+CP371+CP361+CP$417+CP$414</f>
        <v>0.37636831596409626</v>
      </c>
      <c r="CQ397" s="1938">
        <f>+CQ371+CQ361+CQ$417+CQ$414</f>
        <v>0.49604499509678579</v>
      </c>
      <c r="CR397" s="1938">
        <f>+CR371+CR361+CR$417+CR$414</f>
        <v>0.72731477250899301</v>
      </c>
      <c r="CS397" s="1936">
        <f>+CS371+CS361+CS$417+CS$414</f>
        <v>0.49402409988349283</v>
      </c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</row>
    <row r="398" spans="1:280" s="6" customFormat="1">
      <c r="A398" s="2291" t="s">
        <v>713</v>
      </c>
      <c r="B398" s="3"/>
      <c r="C398" s="2246"/>
      <c r="D398" s="2292"/>
      <c r="E398" s="2293"/>
      <c r="F398" s="2293"/>
      <c r="G398" s="2290"/>
      <c r="H398" s="1588"/>
      <c r="I398" s="2246"/>
      <c r="J398" s="2292"/>
      <c r="K398" s="2293"/>
      <c r="L398" s="2293"/>
      <c r="M398" s="2290"/>
      <c r="N398" s="1588"/>
      <c r="O398" s="2246"/>
      <c r="P398" s="2292"/>
      <c r="Q398" s="2293"/>
      <c r="R398" s="2293"/>
      <c r="S398" s="2290"/>
      <c r="T398" s="1588"/>
      <c r="U398" s="2246"/>
      <c r="V398" s="2292"/>
      <c r="W398" s="2293"/>
      <c r="X398" s="2293"/>
      <c r="Y398" s="2290"/>
      <c r="Z398" s="1588"/>
      <c r="AA398" s="2246"/>
      <c r="AB398" s="2292"/>
      <c r="AC398" s="2293"/>
      <c r="AD398" s="2293"/>
      <c r="AE398" s="2290"/>
      <c r="AF398" s="1588"/>
      <c r="AG398" s="760">
        <f>+AG368+AG358+AG$154+AG$152</f>
        <v>1069.98</v>
      </c>
      <c r="AH398" s="740">
        <f>+AH368+AH358+AH$154+AH$152</f>
        <v>1133.96</v>
      </c>
      <c r="AI398" s="740">
        <f>+AI368+AI358+AI$154+AI$152</f>
        <v>1198.3900000000001</v>
      </c>
      <c r="AJ398" s="740">
        <f>+AJ368+AJ358+AJ$154+AJ$152</f>
        <v>1252.8900000000001</v>
      </c>
      <c r="AK398" s="739">
        <f>+AJ398</f>
        <v>1252.8900000000001</v>
      </c>
      <c r="AL398" s="1588"/>
      <c r="AM398" s="760">
        <f>+AM368+AM358+AM$154+AM$152</f>
        <v>1313.89</v>
      </c>
      <c r="AN398" s="740">
        <f>+AN368+AN358+AN$154+AN$152</f>
        <v>1386.89</v>
      </c>
      <c r="AO398" s="740">
        <f>+AO368+AO358+AO$154+AO$152</f>
        <v>1471.89</v>
      </c>
      <c r="AP398" s="740">
        <f>+AP368+AP358+AP$154+AP$152</f>
        <v>1544.624060150376</v>
      </c>
      <c r="AQ398" s="739">
        <f>+AP398</f>
        <v>1544.624060150376</v>
      </c>
      <c r="AR398" s="1588"/>
      <c r="AS398" s="760">
        <f>+AS368+AS358+AS$154+AS$152</f>
        <v>1619.624060150376</v>
      </c>
      <c r="AT398" s="740">
        <f>+AT368+AT358+AT$154+AT$152</f>
        <v>1684.624060150376</v>
      </c>
      <c r="AU398" s="740">
        <f>+AU368+AU358+AU$154+AU$152</f>
        <v>1749.624060150376</v>
      </c>
      <c r="AV398" s="740">
        <f>+AV368+AV358+AV$154+AV$152</f>
        <v>1817.624060150376</v>
      </c>
      <c r="AW398" s="739">
        <f>+AV398</f>
        <v>1817.624060150376</v>
      </c>
      <c r="AX398" s="1588"/>
      <c r="AY398" s="760">
        <f>+AY368+AY358+AY$154+AY$152</f>
        <v>1877.624060150376</v>
      </c>
      <c r="AZ398" s="740">
        <f>+AZ368+AZ358+AZ$154+AZ$152</f>
        <v>1944.6240601503762</v>
      </c>
      <c r="BA398" s="740">
        <f>+BA368+BA358+BA$154+BA$152</f>
        <v>1999.624060150376</v>
      </c>
      <c r="BB398" s="740">
        <f>+BB368+BB358+BB$154+BB$152</f>
        <v>2052.624060150376</v>
      </c>
      <c r="BC398" s="739">
        <f>+BB398</f>
        <v>2052.624060150376</v>
      </c>
      <c r="BD398"/>
      <c r="BE398" s="760">
        <f>+BE368+BE358+BE$154+BE$152</f>
        <v>2001.657920300752</v>
      </c>
      <c r="BF398" s="740">
        <f>+BF368+BF358+BF$154+BF$152</f>
        <v>2046.657920300752</v>
      </c>
      <c r="BG398" s="740">
        <f>+BG368+BG358+BG$154+BG$152</f>
        <v>2072.6579203007523</v>
      </c>
      <c r="BH398" s="740">
        <f>+BH368+BH358+BH$154+BH$152</f>
        <v>2061.3939203007521</v>
      </c>
      <c r="BI398" s="739">
        <f>+BH398</f>
        <v>2061.3939203007521</v>
      </c>
      <c r="BJ398" s="1"/>
      <c r="BK398" s="760">
        <f>+BK368+BK358+BK$154+BK$152</f>
        <v>2123.3589203007523</v>
      </c>
      <c r="BL398" s="740">
        <f>+BL368+BL358+BL$154+BL$152</f>
        <v>2182.3589203007523</v>
      </c>
      <c r="BM398" s="740">
        <f>+BM368+BM358+BM$154+BM$152</f>
        <v>2248.3589203007523</v>
      </c>
      <c r="BN398" s="740">
        <f>+BN368+BN358+BN$154+BN$152</f>
        <v>2317.3589203007523</v>
      </c>
      <c r="BO398" s="739">
        <f>+BN398</f>
        <v>2317.3589203007523</v>
      </c>
      <c r="BP398" s="1"/>
      <c r="BQ398" s="760">
        <f>+BQ368+BQ358+BQ$154+BQ$152</f>
        <v>2376.3589203007523</v>
      </c>
      <c r="BR398" s="740">
        <f>+BR368+BR358+BR$154+BR$152</f>
        <v>2394.3589203007523</v>
      </c>
      <c r="BS398" s="740">
        <f>+BS368+BS358+BS$154+BS$152</f>
        <v>2354.3589203007523</v>
      </c>
      <c r="BT398" s="740">
        <f>+BT368+BT358+BT$154+BT$152</f>
        <v>2314.3589203007523</v>
      </c>
      <c r="BU398" s="739">
        <f>+BT398</f>
        <v>2314.3589203007523</v>
      </c>
      <c r="BV398" s="1"/>
      <c r="BW398" s="760">
        <f>+BW368+BW358+BW$154+BW$152</f>
        <v>2282.3589203007523</v>
      </c>
      <c r="BX398" s="740">
        <f>+BX368+BX358+BX$154+BX$152</f>
        <v>2250.3589203007523</v>
      </c>
      <c r="BY398" s="740">
        <f>+BY368+BY358+BY$154+BY$152</f>
        <v>2218.3589203007523</v>
      </c>
      <c r="BZ398" s="740">
        <f>+BZ368+BZ358+BZ$154+BZ$152</f>
        <v>2186.3589203007523</v>
      </c>
      <c r="CA398" s="739">
        <f>+BZ398</f>
        <v>2186.3589203007523</v>
      </c>
      <c r="CB398" s="1"/>
      <c r="CC398" s="760">
        <f>+CC368+CC358+CC$154+CC$152</f>
        <v>2164.3589203007523</v>
      </c>
      <c r="CD398" s="740">
        <f>+CD368+CD358+CD$154+CD$152</f>
        <v>2142.3589203007523</v>
      </c>
      <c r="CE398" s="740">
        <f>+CE368+CE358+CE$154+CE$152</f>
        <v>2120.3589203007523</v>
      </c>
      <c r="CF398" s="740">
        <f>+CF368+CF358+CF$154+CF$152</f>
        <v>2098.3589203007523</v>
      </c>
      <c r="CG398" s="739">
        <f>+CF398</f>
        <v>2098.3589203007523</v>
      </c>
      <c r="CH398" s="1"/>
      <c r="CI398" s="760">
        <f>+CI368+CI358+CI$154+CI$152</f>
        <v>2076.3589203007523</v>
      </c>
      <c r="CJ398" s="740">
        <f>+CJ368+CJ358+CJ$154+CJ$152</f>
        <v>2054.3589203007523</v>
      </c>
      <c r="CK398" s="740">
        <f>+CK368+CK358+CK$154+CK$152</f>
        <v>2115.061995488722</v>
      </c>
      <c r="CL398" s="740">
        <f>+CL368+CL358+CL$154+CL$152</f>
        <v>2193.061995488722</v>
      </c>
      <c r="CM398" s="739">
        <f>+CL398</f>
        <v>2193.061995488722</v>
      </c>
      <c r="CN398" s="1"/>
      <c r="CO398" s="760">
        <f>+CO368+CO358+CO$154+CO$152</f>
        <v>2271.061995488722</v>
      </c>
      <c r="CP398" s="740">
        <f>+CP368+CP358+CP$154+CP$152</f>
        <v>2349.061995488722</v>
      </c>
      <c r="CQ398" s="740">
        <f>+CQ368+CQ358+CQ$154+CQ$152</f>
        <v>2427.061995488722</v>
      </c>
      <c r="CR398" s="740">
        <f>+CR368+CR358+CR$154+CR$152</f>
        <v>2505.061995488722</v>
      </c>
      <c r="CS398" s="739">
        <f>+CR398</f>
        <v>2505.061995488722</v>
      </c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</row>
    <row r="399" spans="1:280">
      <c r="A399" s="125" t="s">
        <v>701</v>
      </c>
      <c r="C399" s="1850"/>
      <c r="G399" s="736"/>
      <c r="H399" s="63"/>
      <c r="I399" s="1425"/>
      <c r="J399" s="6"/>
      <c r="K399" s="6"/>
      <c r="L399" s="6"/>
      <c r="M399" s="1841"/>
      <c r="N399" s="63"/>
      <c r="O399" s="1425"/>
      <c r="P399" s="2278"/>
      <c r="Q399" s="2278"/>
      <c r="R399" s="2278"/>
      <c r="S399" s="2279"/>
      <c r="T399" s="63"/>
      <c r="U399" s="1425"/>
      <c r="V399" s="2278"/>
      <c r="W399" s="2278"/>
      <c r="X399" s="2278"/>
      <c r="Y399" s="2279"/>
      <c r="Z399" s="63"/>
      <c r="AA399" s="1425"/>
      <c r="AB399" s="2278"/>
      <c r="AC399" s="2278"/>
      <c r="AD399" s="2278"/>
      <c r="AE399" s="2279"/>
      <c r="AF399" s="63"/>
      <c r="AG399" s="1425"/>
      <c r="AH399" s="2278"/>
      <c r="AI399" s="2278"/>
      <c r="AJ399" s="2278"/>
      <c r="AK399" s="2279"/>
      <c r="AL399" s="63"/>
      <c r="AM399" s="1425"/>
      <c r="AN399" s="2278"/>
      <c r="AO399" s="2278"/>
      <c r="AP399" s="2278"/>
      <c r="AQ399" s="2279"/>
      <c r="AR399" s="63"/>
      <c r="AS399" s="1425"/>
      <c r="AT399" s="2278"/>
      <c r="AU399" s="2278"/>
      <c r="AV399" s="2278"/>
      <c r="AW399" s="2279"/>
      <c r="AX399" s="63"/>
      <c r="AY399" s="2246">
        <f>+AY391-AY$346</f>
        <v>0</v>
      </c>
      <c r="AZ399" s="2292">
        <f>+AZ391-AZ$346</f>
        <v>0</v>
      </c>
      <c r="BA399" s="2293">
        <f>+BA391-BA$346</f>
        <v>0</v>
      </c>
      <c r="BB399" s="2293">
        <f>+BB391-BB$346</f>
        <v>0</v>
      </c>
      <c r="BC399" s="2290">
        <f>+BC391-BC$346</f>
        <v>0</v>
      </c>
      <c r="BD399" s="3"/>
      <c r="BE399" s="2246">
        <f>+BE391-BE$346</f>
        <v>0</v>
      </c>
      <c r="BF399" s="2292">
        <f>+BF391-BF$346</f>
        <v>3.3114997791918768</v>
      </c>
      <c r="BG399" s="2293">
        <f>+BG391-BG$346</f>
        <v>10.773098691355074</v>
      </c>
      <c r="BH399" s="2293">
        <f>+BH391-BH$346</f>
        <v>19.093851932326515</v>
      </c>
      <c r="BI399" s="2290">
        <f>+BI391-BI$346</f>
        <v>8.2946126007183807</v>
      </c>
      <c r="BJ399" s="1588"/>
      <c r="BK399" s="2246">
        <f>+BK391-BK$346</f>
        <v>1.4163207546122862</v>
      </c>
      <c r="BL399" s="2292">
        <f>+BL391-BL$346</f>
        <v>-35.870658596008212</v>
      </c>
      <c r="BM399" s="2293">
        <f>+BM391-BM$346</f>
        <v>-124.82684607959999</v>
      </c>
      <c r="BN399" s="2293">
        <f>+BN391-BN$346</f>
        <v>-217.88218789199999</v>
      </c>
      <c r="BO399" s="2290">
        <f>+BO391-BO$346</f>
        <v>-94.290842953249069</v>
      </c>
      <c r="BP399" s="1588"/>
      <c r="BQ399" s="2246">
        <f>+BQ391-BQ$346</f>
        <v>-279.03662614285707</v>
      </c>
      <c r="BR399" s="2292">
        <f>+BR391-BR$346</f>
        <v>-319.61049685714283</v>
      </c>
      <c r="BS399" s="2293">
        <f>+BS391-BS$346</f>
        <v>-316.4452585714285</v>
      </c>
      <c r="BT399" s="2293">
        <f>+BT391-BT$346</f>
        <v>-312.20002028571423</v>
      </c>
      <c r="BU399" s="2290">
        <f>+BU391-BU$346</f>
        <v>-306.82310046428563</v>
      </c>
      <c r="BV399" s="1588"/>
      <c r="BW399" s="2246">
        <f>+BW391-BW$346</f>
        <v>-322.07890114285709</v>
      </c>
      <c r="BX399" s="2292">
        <f>+BX391-BX$346</f>
        <v>-331.15866364285705</v>
      </c>
      <c r="BY399" s="2293">
        <f>+BY391-BY$346</f>
        <v>-340.70550083035675</v>
      </c>
      <c r="BZ399" s="2293">
        <f>+BZ391-BZ$346</f>
        <v>-352.49310408816905</v>
      </c>
      <c r="CA399" s="2290">
        <f>+CA391-CA$346</f>
        <v>-336.60904242606</v>
      </c>
      <c r="CB399" s="1588"/>
      <c r="CC399" s="2246">
        <f>+CC391-CC$346</f>
        <v>-356.34197190184102</v>
      </c>
      <c r="CD399" s="2292">
        <f>+CD391-CD$346</f>
        <v>-365.39849467101101</v>
      </c>
      <c r="CE399" s="2293">
        <f>+CE391-CE$346</f>
        <v>-374.65955322191502</v>
      </c>
      <c r="CF399" s="2293">
        <f>+CF391-CF$346</f>
        <v>-384.1297140169093</v>
      </c>
      <c r="CG399" s="2290">
        <f>+CG391-CG$346</f>
        <v>-370.13243345291903</v>
      </c>
      <c r="CH399" s="1588"/>
      <c r="CI399" s="2246">
        <f>+CI391-CI$346</f>
        <v>-398.09036705133036</v>
      </c>
      <c r="CJ399" s="2292">
        <f>+CJ391-CJ$346</f>
        <v>-414.93962187705603</v>
      </c>
      <c r="CK399" s="2293">
        <f>+CK391-CK$346</f>
        <v>-426.71404401815505</v>
      </c>
      <c r="CL399" s="2293">
        <f>+CL391-CL$346</f>
        <v>-437.25753218196121</v>
      </c>
      <c r="CM399" s="2290">
        <f>+CM391-CM$346</f>
        <v>-419.25039128212563</v>
      </c>
      <c r="CN399" s="1588"/>
      <c r="CO399" s="2246">
        <f>+CO391-CO$346</f>
        <v>-454.24838700645159</v>
      </c>
      <c r="CP399" s="2292">
        <f>+CP391-CP$346</f>
        <v>-473.89756451147127</v>
      </c>
      <c r="CQ399" s="2293">
        <f>+CQ391-CQ$346</f>
        <v>-496.19617119043085</v>
      </c>
      <c r="CR399" s="2293">
        <f>+CR391-CR$346</f>
        <v>-521.19032396168336</v>
      </c>
      <c r="CS399" s="2290">
        <f>+CS391-CS$346</f>
        <v>-486.38311166750964</v>
      </c>
    </row>
    <row r="400" spans="1:280">
      <c r="A400" s="125" t="s">
        <v>702</v>
      </c>
      <c r="C400" s="1425"/>
      <c r="D400" s="1423"/>
      <c r="E400" s="2284"/>
      <c r="F400" s="2284"/>
      <c r="G400" s="1424"/>
      <c r="H400" s="63"/>
      <c r="I400" s="1425"/>
      <c r="J400" s="1423"/>
      <c r="K400" s="2284"/>
      <c r="L400" s="2284"/>
      <c r="M400" s="1424"/>
      <c r="N400" s="63"/>
      <c r="O400" s="1425"/>
      <c r="P400" s="1423"/>
      <c r="Q400" s="2284"/>
      <c r="R400" s="2284"/>
      <c r="S400" s="1424"/>
      <c r="T400" s="63"/>
      <c r="U400" s="1425"/>
      <c r="V400" s="1423"/>
      <c r="W400" s="2284"/>
      <c r="X400" s="2284"/>
      <c r="Y400" s="1424"/>
      <c r="Z400" s="63"/>
      <c r="AA400" s="1425"/>
      <c r="AB400" s="1423"/>
      <c r="AC400" s="2284"/>
      <c r="AD400" s="2284"/>
      <c r="AE400" s="1424"/>
      <c r="AF400" s="63"/>
      <c r="AG400" s="1425"/>
      <c r="AH400" s="1423"/>
      <c r="AI400" s="2284"/>
      <c r="AJ400" s="2284"/>
      <c r="AK400" s="1424"/>
      <c r="AL400" s="63"/>
      <c r="AM400" s="1425"/>
      <c r="AN400" s="1423"/>
      <c r="AO400" s="2284"/>
      <c r="AP400" s="2284"/>
      <c r="AQ400" s="1424"/>
      <c r="AR400" s="63"/>
      <c r="AS400" s="1425"/>
      <c r="AT400" s="1423"/>
      <c r="AU400" s="2284"/>
      <c r="AV400" s="2284"/>
      <c r="AW400" s="1424"/>
      <c r="AX400" s="63"/>
      <c r="AY400" s="2246">
        <f>+AY392-AY$347</f>
        <v>0</v>
      </c>
      <c r="AZ400" s="2292">
        <f>+AZ392-AZ$347</f>
        <v>-2.8421709430404007E-14</v>
      </c>
      <c r="BA400" s="2293">
        <f>+BA392-BA$347</f>
        <v>2.8421709430404007E-14</v>
      </c>
      <c r="BB400" s="2293">
        <f>+BB392-BB$347</f>
        <v>0</v>
      </c>
      <c r="BC400" s="2290"/>
      <c r="BD400" s="3"/>
      <c r="BE400" s="2246">
        <f>+BE392-BE$347</f>
        <v>0</v>
      </c>
      <c r="BF400" s="2292">
        <f>+BF392-BF$347</f>
        <v>3.3114997791918483</v>
      </c>
      <c r="BG400" s="2293">
        <f>+BG392-BG$347</f>
        <v>7.4615989121632254</v>
      </c>
      <c r="BH400" s="2293">
        <f>+BH392-BH$347</f>
        <v>8.3207532409714418</v>
      </c>
      <c r="BI400" s="2290"/>
      <c r="BJ400" s="1588"/>
      <c r="BK400" s="2246">
        <f>+BK392-BK$347</f>
        <v>-17.677531177714229</v>
      </c>
      <c r="BL400" s="2292">
        <f>+BL392-BL$347</f>
        <v>-33.97547957142865</v>
      </c>
      <c r="BM400" s="2293">
        <f>+BM392-BM$347</f>
        <v>-81.494588571428551</v>
      </c>
      <c r="BN400" s="2293">
        <f>+BN392-BN$347</f>
        <v>-84.73458857142856</v>
      </c>
      <c r="BO400" s="2290"/>
      <c r="BP400" s="1588"/>
      <c r="BQ400" s="2246">
        <f>+BQ392-BQ$347</f>
        <v>-78.831969428571313</v>
      </c>
      <c r="BR400" s="2292">
        <f>+BR392-BR$347</f>
        <v>-74.549350285714411</v>
      </c>
      <c r="BS400" s="2293">
        <f>+BS392-BS$347</f>
        <v>-78.329350285714213</v>
      </c>
      <c r="BT400" s="2293">
        <f>+BT392-BT$347</f>
        <v>-80.489350285714295</v>
      </c>
      <c r="BU400" s="2290"/>
      <c r="BV400" s="1588"/>
      <c r="BW400" s="2246">
        <f>+BW392-BW$347</f>
        <v>-88.710850285714173</v>
      </c>
      <c r="BX400" s="2292">
        <f>+BX392-BX$347</f>
        <v>-83.629112785714369</v>
      </c>
      <c r="BY400" s="2293">
        <f>+BY392-BY$347</f>
        <v>-87.876187473213918</v>
      </c>
      <c r="BZ400" s="2293">
        <f>+BZ392-BZ$347</f>
        <v>-92.276953543526588</v>
      </c>
      <c r="CA400" s="2290"/>
      <c r="CB400" s="1588"/>
      <c r="CC400" s="2246">
        <f>+CC392-CC$347</f>
        <v>-92.559718099386146</v>
      </c>
      <c r="CD400" s="2292">
        <f>+CD392-CD$347</f>
        <v>-92.685635554884357</v>
      </c>
      <c r="CE400" s="2293">
        <f>+CE392-CE$347</f>
        <v>-97.137246024117928</v>
      </c>
      <c r="CF400" s="2293">
        <f>+CF392-CF$347</f>
        <v>-101.74711433852087</v>
      </c>
      <c r="CG400" s="2290"/>
      <c r="CH400" s="1588"/>
      <c r="CI400" s="2246">
        <f>+CI392-CI$347</f>
        <v>-106.5203711338072</v>
      </c>
      <c r="CJ400" s="2292">
        <f>+CJ392-CJ$347</f>
        <v>-109.53489038061002</v>
      </c>
      <c r="CK400" s="2293">
        <f>+CK392-CK$347</f>
        <v>-108.91166816521695</v>
      </c>
      <c r="CL400" s="2293">
        <f>+CL392-CL$347</f>
        <v>-112.29060250232703</v>
      </c>
      <c r="CM400" s="2290"/>
      <c r="CN400" s="1588"/>
      <c r="CO400" s="2246">
        <f>+CO392-CO$347</f>
        <v>-123.51122595829759</v>
      </c>
      <c r="CP400" s="2292">
        <f>+CP392-CP$347</f>
        <v>-129.1840678856297</v>
      </c>
      <c r="CQ400" s="2293">
        <f>+CQ392-CQ$347</f>
        <v>-131.21027484417652</v>
      </c>
      <c r="CR400" s="2293">
        <f>+CR392-CR$347</f>
        <v>-137.28475527357955</v>
      </c>
      <c r="CS400" s="2290"/>
    </row>
    <row r="401" spans="1:280">
      <c r="A401" s="1930"/>
      <c r="C401" s="1850"/>
      <c r="G401" s="736"/>
      <c r="H401" s="63"/>
      <c r="I401" s="1425"/>
      <c r="J401" s="6"/>
      <c r="K401" s="6"/>
      <c r="L401" s="6"/>
      <c r="M401" s="1841"/>
      <c r="N401" s="63"/>
      <c r="O401" s="1425"/>
      <c r="P401" s="2278"/>
      <c r="Q401" s="2278"/>
      <c r="R401" s="2278"/>
      <c r="S401" s="2279"/>
      <c r="T401" s="63"/>
      <c r="U401" s="1425"/>
      <c r="V401" s="2278"/>
      <c r="W401" s="2278"/>
      <c r="X401" s="2278"/>
      <c r="Y401" s="2279"/>
      <c r="Z401" s="63"/>
      <c r="AA401" s="1425"/>
      <c r="AB401" s="2278"/>
      <c r="AC401" s="2278"/>
      <c r="AD401" s="2278"/>
      <c r="AE401" s="2279"/>
      <c r="AF401" s="63"/>
      <c r="AG401" s="1425"/>
      <c r="AH401" s="2278"/>
      <c r="AI401" s="2278"/>
      <c r="AJ401" s="2278"/>
      <c r="AK401" s="2279"/>
      <c r="AL401" s="63"/>
      <c r="AM401" s="1425"/>
      <c r="AN401" s="2278"/>
      <c r="AO401" s="2278"/>
      <c r="AP401" s="2278"/>
      <c r="AQ401" s="2279"/>
      <c r="AR401" s="63"/>
      <c r="AS401" s="1425"/>
      <c r="AT401" s="2278"/>
      <c r="AU401" s="2278"/>
      <c r="AV401" s="2278"/>
      <c r="AW401" s="2279"/>
      <c r="AX401" s="63"/>
      <c r="AY401" s="1425"/>
      <c r="AZ401" s="2278"/>
      <c r="BA401" s="2278"/>
      <c r="BB401" s="2278"/>
      <c r="BC401" s="2279"/>
      <c r="BE401" s="1425"/>
      <c r="BF401" s="2278"/>
      <c r="BG401" s="2278"/>
      <c r="BH401" s="2278"/>
      <c r="BI401" s="2279"/>
      <c r="BJ401" s="63"/>
      <c r="BK401" s="1425"/>
      <c r="BL401" s="2278"/>
      <c r="BM401" s="2278"/>
      <c r="BN401" s="2278"/>
      <c r="BO401" s="2279"/>
      <c r="BP401" s="63"/>
      <c r="BQ401" s="1425"/>
      <c r="BR401" s="2278"/>
      <c r="BS401" s="2278"/>
      <c r="BT401" s="2278"/>
      <c r="BU401" s="2279"/>
      <c r="BV401" s="63"/>
      <c r="BW401" s="1425"/>
      <c r="BX401" s="2278"/>
      <c r="BY401" s="2278"/>
      <c r="BZ401" s="2278"/>
      <c r="CA401" s="2279"/>
      <c r="CB401" s="63"/>
      <c r="CC401" s="1425"/>
      <c r="CD401" s="2278"/>
      <c r="CE401" s="2278"/>
      <c r="CF401" s="2278"/>
      <c r="CG401" s="2279"/>
      <c r="CH401" s="63"/>
      <c r="CI401" s="1425"/>
      <c r="CJ401" s="2278"/>
      <c r="CK401" s="2278"/>
      <c r="CL401" s="2278"/>
      <c r="CM401" s="2279"/>
      <c r="CN401" s="63"/>
      <c r="CO401" s="1425"/>
      <c r="CP401" s="2278"/>
      <c r="CQ401" s="2278"/>
      <c r="CR401" s="2278"/>
      <c r="CS401" s="2279"/>
    </row>
    <row r="402" spans="1:280">
      <c r="A402" s="1930" t="s">
        <v>693</v>
      </c>
      <c r="C402" s="1425"/>
      <c r="D402" s="6"/>
      <c r="E402" s="6"/>
      <c r="F402" s="6"/>
      <c r="G402" s="1841"/>
      <c r="H402" s="63"/>
      <c r="I402" s="1425"/>
      <c r="J402" s="6"/>
      <c r="K402" s="6"/>
      <c r="L402" s="6"/>
      <c r="M402" s="1841"/>
      <c r="N402" s="63"/>
      <c r="O402" s="1425"/>
      <c r="P402" s="6"/>
      <c r="Q402" s="6"/>
      <c r="R402" s="6"/>
      <c r="S402" s="1841"/>
      <c r="T402" s="63"/>
      <c r="U402" s="1425"/>
      <c r="V402" s="6"/>
      <c r="W402" s="6"/>
      <c r="X402" s="6"/>
      <c r="Y402" s="1841"/>
      <c r="Z402" s="63"/>
      <c r="AA402" s="1425"/>
      <c r="AB402" s="6"/>
      <c r="AC402" s="6"/>
      <c r="AD402" s="6"/>
      <c r="AE402" s="1841"/>
      <c r="AF402" s="63"/>
      <c r="AG402" s="1425"/>
      <c r="AH402" s="6"/>
      <c r="AI402" s="6"/>
      <c r="AJ402" s="6"/>
      <c r="AK402" s="1841"/>
      <c r="AL402" s="63"/>
      <c r="AM402" s="1425">
        <f>+AM$16</f>
        <v>330.95800000000003</v>
      </c>
      <c r="AN402" s="6">
        <f>+AN$16</f>
        <v>346.09399999999999</v>
      </c>
      <c r="AO402" s="6">
        <f>+AO$16</f>
        <v>356.8</v>
      </c>
      <c r="AP402" s="6">
        <f>+AP$16</f>
        <v>387.32600000000002</v>
      </c>
      <c r="AQ402" s="1841">
        <f>+SUM(AM402:AP402)</f>
        <v>1421.1780000000001</v>
      </c>
      <c r="AR402" s="63"/>
      <c r="AS402" s="1425">
        <f>+AS$16</f>
        <v>420.78100000000001</v>
      </c>
      <c r="AT402" s="6">
        <f>+AT$16</f>
        <v>447.56799999999998</v>
      </c>
      <c r="AU402" s="6">
        <f>+AU$16</f>
        <v>480.63</v>
      </c>
      <c r="AV402" s="6">
        <f>+AV$16</f>
        <v>512.37900000000002</v>
      </c>
      <c r="AW402" s="1841">
        <f>+SUM(AS402:AV402)</f>
        <v>1861.3579999999997</v>
      </c>
      <c r="AX402" s="63"/>
      <c r="AY402" s="1425">
        <f>+AY$16</f>
        <v>538.56500000000005</v>
      </c>
      <c r="AZ402" s="6">
        <f>+AZ$16</f>
        <v>539.33267000000001</v>
      </c>
      <c r="BA402" s="6">
        <f>+BA$16</f>
        <v>549.48800000000006</v>
      </c>
      <c r="BB402" s="6">
        <f>+BB$16</f>
        <v>591.548</v>
      </c>
      <c r="BC402" s="1841">
        <f>+SUM(AY402:BB402)</f>
        <v>2218.9336700000003</v>
      </c>
      <c r="BE402" s="1425">
        <f>+BE$16</f>
        <v>571.76300000000003</v>
      </c>
      <c r="BF402" s="6">
        <f>+BF$16</f>
        <v>600.0752225411585</v>
      </c>
      <c r="BG402" s="6">
        <f>+BG$16</f>
        <v>606.63298757678228</v>
      </c>
      <c r="BH402" s="6">
        <f>+BH$16</f>
        <v>619.30622034959219</v>
      </c>
      <c r="BI402" s="1841">
        <f>+SUM(BE402:BH402)</f>
        <v>2397.7774304675331</v>
      </c>
      <c r="BJ402" s="63"/>
      <c r="BK402" s="1425">
        <f>+BK$16</f>
        <v>598</v>
      </c>
      <c r="BL402" s="6">
        <f>+BL$16</f>
        <v>662.4</v>
      </c>
      <c r="BM402" s="6">
        <f>+BM$16</f>
        <v>714.1042179921875</v>
      </c>
      <c r="BN402" s="6">
        <f>+BN$16</f>
        <v>777.53614416875007</v>
      </c>
      <c r="BO402" s="1841">
        <f>+SUM(BK402:BN402)</f>
        <v>2752.0403621609375</v>
      </c>
      <c r="BP402" s="63"/>
      <c r="BQ402" s="1425">
        <f>+BQ$16</f>
        <v>782</v>
      </c>
      <c r="BR402" s="6">
        <f>+BR$16</f>
        <v>790.43216979006502</v>
      </c>
      <c r="BS402" s="6">
        <f>+BS$16</f>
        <v>805.6766484806891</v>
      </c>
      <c r="BT402" s="6">
        <f>+BT$16</f>
        <v>840.31812717131322</v>
      </c>
      <c r="BU402" s="1841">
        <f>+SUM(BQ402:BT402)</f>
        <v>3218.4269454420673</v>
      </c>
      <c r="BV402" s="63"/>
      <c r="BW402" s="1425">
        <f>+BW$16</f>
        <v>872.66311950238219</v>
      </c>
      <c r="BX402" s="6">
        <f>+BX$16</f>
        <v>870.22373106422003</v>
      </c>
      <c r="BY402" s="6">
        <f>+BY$16</f>
        <v>882.06875801067326</v>
      </c>
      <c r="BZ402" s="6">
        <f>+BZ$16</f>
        <v>917.82797726481908</v>
      </c>
      <c r="CA402" s="1841">
        <f>+SUM(BW402:BZ402)</f>
        <v>3542.7835858420949</v>
      </c>
      <c r="CB402" s="63"/>
      <c r="CC402" s="1425">
        <f>+CC$16</f>
        <v>961.28431101600609</v>
      </c>
      <c r="CD402" s="6">
        <f>+CD$16</f>
        <v>959.45288335890916</v>
      </c>
      <c r="CE402" s="6">
        <f>+CE$16</f>
        <v>972.24722094441574</v>
      </c>
      <c r="CF402" s="6">
        <f>+CF$16</f>
        <v>1013.0584482932361</v>
      </c>
      <c r="CG402" s="1841">
        <f>+SUM(CC402:CF402)</f>
        <v>3906.0428636125671</v>
      </c>
      <c r="CH402" s="63"/>
      <c r="CI402" s="1425">
        <f>+CI$16</f>
        <v>1061.5747363625551</v>
      </c>
      <c r="CJ402" s="6">
        <f>+CJ$16</f>
        <v>1059.36255204085</v>
      </c>
      <c r="CK402" s="6">
        <f>+CK$16</f>
        <v>1072.8875263874513</v>
      </c>
      <c r="CL402" s="6">
        <f>+CL$16</f>
        <v>1120.6718618303846</v>
      </c>
      <c r="CM402" s="1841">
        <f>+SUM(CI402:CL402)</f>
        <v>4314.496676621241</v>
      </c>
      <c r="CN402" s="63"/>
      <c r="CO402" s="1425">
        <f>+CO$16</f>
        <v>1167.3216847679541</v>
      </c>
      <c r="CP402" s="6">
        <f>+CP$16</f>
        <v>1169.9955643677147</v>
      </c>
      <c r="CQ402" s="6">
        <f>+CQ$16</f>
        <v>1189.2413465931577</v>
      </c>
      <c r="CR402" s="6">
        <f>+CR$16</f>
        <v>1243.6616641844498</v>
      </c>
      <c r="CS402" s="1841">
        <f>+SUM(CO402:CR402)</f>
        <v>4770.2202599132761</v>
      </c>
    </row>
    <row r="403" spans="1:280">
      <c r="A403" s="1930" t="s">
        <v>692</v>
      </c>
      <c r="C403" s="1425"/>
      <c r="D403" s="1423"/>
      <c r="E403" s="2284"/>
      <c r="F403" s="2284"/>
      <c r="G403" s="1424"/>
      <c r="H403" s="63"/>
      <c r="I403" s="1425"/>
      <c r="J403" s="1423"/>
      <c r="K403" s="2284"/>
      <c r="L403" s="2284"/>
      <c r="M403" s="1424"/>
      <c r="N403" s="63"/>
      <c r="O403" s="1425"/>
      <c r="P403" s="1423"/>
      <c r="Q403" s="2284"/>
      <c r="R403" s="2284"/>
      <c r="S403" s="1424"/>
      <c r="T403" s="63"/>
      <c r="U403" s="1425"/>
      <c r="V403" s="1423"/>
      <c r="W403" s="2284"/>
      <c r="X403" s="2284"/>
      <c r="Y403" s="1424"/>
      <c r="Z403" s="63"/>
      <c r="AA403" s="1425"/>
      <c r="AB403" s="1423"/>
      <c r="AC403" s="2284"/>
      <c r="AD403" s="2284"/>
      <c r="AE403" s="1424"/>
      <c r="AF403" s="63"/>
      <c r="AG403" s="1425"/>
      <c r="AH403" s="1423"/>
      <c r="AI403" s="2284"/>
      <c r="AJ403" s="2284"/>
      <c r="AK403" s="1424"/>
      <c r="AL403" s="63"/>
      <c r="AM403" s="1425">
        <f>+AM376+AM366</f>
        <v>0</v>
      </c>
      <c r="AN403" s="1423">
        <f>+AN376+AN366</f>
        <v>0</v>
      </c>
      <c r="AO403" s="2284">
        <f>+AO376+AO366</f>
        <v>0</v>
      </c>
      <c r="AP403" s="2284">
        <f>+AP376+AP366</f>
        <v>0</v>
      </c>
      <c r="AQ403" s="1424">
        <f>+SUM(AM403:AP403)</f>
        <v>0</v>
      </c>
      <c r="AR403" s="63"/>
      <c r="AS403" s="1425">
        <f>+AS376+AS366</f>
        <v>0</v>
      </c>
      <c r="AT403" s="1423">
        <f>+AT376+AT366</f>
        <v>0</v>
      </c>
      <c r="AU403" s="2284">
        <f>+AU376+AU366</f>
        <v>0</v>
      </c>
      <c r="AV403" s="2284">
        <f>+AV376+AV366</f>
        <v>0</v>
      </c>
      <c r="AW403" s="1424">
        <f>+SUM(AS403:AV403)</f>
        <v>0</v>
      </c>
      <c r="AX403" s="63"/>
      <c r="AY403" s="1425">
        <f>+AY376+AY366</f>
        <v>0</v>
      </c>
      <c r="AZ403" s="1423">
        <f>+AZ376+AZ366</f>
        <v>0</v>
      </c>
      <c r="BA403" s="2284">
        <f>+BA376+BA366</f>
        <v>0</v>
      </c>
      <c r="BB403" s="2284">
        <f>+BB376+BB366</f>
        <v>0</v>
      </c>
      <c r="BC403" s="1424">
        <f>+SUM(AY403:BB403)</f>
        <v>0</v>
      </c>
      <c r="BE403" s="1425">
        <f>+BE376+BE366</f>
        <v>0</v>
      </c>
      <c r="BF403" s="1423">
        <f>+BF376+BF366</f>
        <v>38.838588007518808</v>
      </c>
      <c r="BG403" s="2284">
        <f>+BG376+BG366</f>
        <v>52.146288833834582</v>
      </c>
      <c r="BH403" s="2284">
        <f>+BH376+BH366</f>
        <v>58.115610488721799</v>
      </c>
      <c r="BI403" s="1424">
        <f>+SUM(BE403:BH403)</f>
        <v>149.10048733007517</v>
      </c>
      <c r="BJ403" s="63"/>
      <c r="BK403" s="1425">
        <f>+BK376+BK366</f>
        <v>72.659460589285715</v>
      </c>
      <c r="BL403" s="1423">
        <f>+BL376+BL366</f>
        <v>84.026338714285714</v>
      </c>
      <c r="BM403" s="2284">
        <f>+BM376+BM366</f>
        <v>92.899833338345857</v>
      </c>
      <c r="BN403" s="2284">
        <f>+BN376+BN366</f>
        <v>101.65043011278195</v>
      </c>
      <c r="BO403" s="1424">
        <f>+SUM(BK403:BN403)</f>
        <v>351.23606275469922</v>
      </c>
      <c r="BP403" s="63"/>
      <c r="BQ403" s="1425">
        <f>+BQ376+BQ366</f>
        <v>98.521509413533821</v>
      </c>
      <c r="BR403" s="1423">
        <f>+BR376+BR366</f>
        <v>102.82986156390977</v>
      </c>
      <c r="BS403" s="2284">
        <f>+BS376+BS366</f>
        <v>106.74821371428571</v>
      </c>
      <c r="BT403" s="2284">
        <f>+BT376+BT366</f>
        <v>110.27656586466165</v>
      </c>
      <c r="BU403" s="1424">
        <f>+SUM(BQ403:BT403)</f>
        <v>418.37615055639094</v>
      </c>
      <c r="BV403" s="63"/>
      <c r="BW403" s="1425">
        <f>+BW376+BW366</f>
        <v>113.41491801503759</v>
      </c>
      <c r="BX403" s="1423">
        <f>+BX376+BX366</f>
        <v>116.16327016541354</v>
      </c>
      <c r="BY403" s="2284">
        <f>+BY376+BY366</f>
        <v>118.52162231578947</v>
      </c>
      <c r="BZ403" s="2284">
        <f>+BZ376+BZ366</f>
        <v>120.48997446616542</v>
      </c>
      <c r="CA403" s="1424">
        <f>+SUM(BW403:BZ403)</f>
        <v>468.58978496240604</v>
      </c>
      <c r="CB403" s="63"/>
      <c r="CC403" s="1425">
        <f>+CC376+CC366</f>
        <v>122.06832661654136</v>
      </c>
      <c r="CD403" s="1423">
        <f>+CD376+CD366</f>
        <v>123.2566787669173</v>
      </c>
      <c r="CE403" s="2284">
        <f>+CE376+CE366</f>
        <v>124.05503091729324</v>
      </c>
      <c r="CF403" s="2284">
        <f>+CF376+CF366</f>
        <v>124.46338306766917</v>
      </c>
      <c r="CG403" s="1424">
        <f>+SUM(CC403:CF403)</f>
        <v>493.84341936842105</v>
      </c>
      <c r="CH403" s="63"/>
      <c r="CI403" s="1425">
        <f>+CI376+CI366</f>
        <v>122.58966129323308</v>
      </c>
      <c r="CJ403" s="1423">
        <f>+CJ376+CJ366</f>
        <v>121.16218951879699</v>
      </c>
      <c r="CK403" s="2284">
        <f>+CK376+CK366</f>
        <v>120.82145003759396</v>
      </c>
      <c r="CL403" s="2284">
        <f>+CL376+CL366</f>
        <v>119.33636409774437</v>
      </c>
      <c r="CM403" s="1424">
        <f>+SUM(CI403:CL403)</f>
        <v>483.90966494736841</v>
      </c>
      <c r="CN403" s="63"/>
      <c r="CO403" s="1425">
        <f>+CO376+CO366</f>
        <v>115.21954586466165</v>
      </c>
      <c r="CP403" s="1423">
        <f>+CP376+CP366</f>
        <v>110.33022763157895</v>
      </c>
      <c r="CQ403" s="2284">
        <f>+CQ376+CQ366</f>
        <v>105.23090939849624</v>
      </c>
      <c r="CR403" s="2284">
        <f>+CR376+CR366</f>
        <v>99.171591165413531</v>
      </c>
      <c r="CS403" s="1424">
        <f>+SUM(CO403:CR403)</f>
        <v>429.95227406015039</v>
      </c>
    </row>
    <row r="404" spans="1:280">
      <c r="A404" s="1930" t="s">
        <v>29</v>
      </c>
      <c r="C404" s="1425"/>
      <c r="D404" s="6"/>
      <c r="E404" s="6"/>
      <c r="F404" s="6"/>
      <c r="G404" s="1841"/>
      <c r="H404" s="63"/>
      <c r="I404" s="1425"/>
      <c r="J404" s="6"/>
      <c r="K404" s="6"/>
      <c r="L404" s="6"/>
      <c r="M404" s="1841"/>
      <c r="N404" s="63"/>
      <c r="O404" s="1425"/>
      <c r="P404" s="6"/>
      <c r="Q404" s="6"/>
      <c r="R404" s="6"/>
      <c r="S404" s="1841"/>
      <c r="T404" s="63"/>
      <c r="U404" s="1425"/>
      <c r="V404" s="6"/>
      <c r="W404" s="6"/>
      <c r="X404" s="6"/>
      <c r="Y404" s="1841"/>
      <c r="Z404" s="63"/>
      <c r="AA404" s="1425"/>
      <c r="AB404" s="6"/>
      <c r="AC404" s="6"/>
      <c r="AD404" s="6"/>
      <c r="AE404" s="1841"/>
      <c r="AF404" s="63"/>
      <c r="AG404" s="1425"/>
      <c r="AH404" s="6"/>
      <c r="AI404" s="6"/>
      <c r="AJ404" s="6"/>
      <c r="AK404" s="1841"/>
      <c r="AL404" s="63"/>
      <c r="AM404" s="1425">
        <f>+AM403+AM402</f>
        <v>330.95800000000003</v>
      </c>
      <c r="AN404" s="6">
        <f>+AN403+AN402</f>
        <v>346.09399999999999</v>
      </c>
      <c r="AO404" s="6">
        <f>+AO403+AO402</f>
        <v>356.8</v>
      </c>
      <c r="AP404" s="6">
        <f>+AP403+AP402</f>
        <v>387.32600000000002</v>
      </c>
      <c r="AQ404" s="1841">
        <f>+AQ403+AQ402</f>
        <v>1421.1780000000001</v>
      </c>
      <c r="AR404" s="63"/>
      <c r="AS404" s="1425">
        <f>+AS403+AS402</f>
        <v>420.78100000000001</v>
      </c>
      <c r="AT404" s="6">
        <f>+AT403+AT402</f>
        <v>447.56799999999998</v>
      </c>
      <c r="AU404" s="6">
        <f>+AU403+AU402</f>
        <v>480.63</v>
      </c>
      <c r="AV404" s="6">
        <f>+AV403+AV402</f>
        <v>512.37900000000002</v>
      </c>
      <c r="AW404" s="1841">
        <f>+AW403+AW402</f>
        <v>1861.3579999999997</v>
      </c>
      <c r="AX404" s="63"/>
      <c r="AY404" s="1425">
        <f>+AY403+AY402</f>
        <v>538.56500000000005</v>
      </c>
      <c r="AZ404" s="6">
        <f>+AZ403+AZ402</f>
        <v>539.33267000000001</v>
      </c>
      <c r="BA404" s="6">
        <f>+BA403+BA402</f>
        <v>549.48800000000006</v>
      </c>
      <c r="BB404" s="6">
        <f>+BB403+BB402</f>
        <v>591.548</v>
      </c>
      <c r="BC404" s="1841">
        <f>+BC403+BC402</f>
        <v>2218.9336700000003</v>
      </c>
      <c r="BE404" s="1425">
        <f>+BE403+BE402</f>
        <v>571.76300000000003</v>
      </c>
      <c r="BF404" s="6">
        <f>+BF403+BF402</f>
        <v>638.91381054867725</v>
      </c>
      <c r="BG404" s="6">
        <f>+BG403+BG402</f>
        <v>658.77927641061683</v>
      </c>
      <c r="BH404" s="6">
        <f>+BH403+BH402</f>
        <v>677.42183083831401</v>
      </c>
      <c r="BI404" s="1841">
        <f>+BI403+BI402</f>
        <v>2546.8779177976085</v>
      </c>
      <c r="BJ404" s="63"/>
      <c r="BK404" s="1425">
        <f>+BK403+BK402</f>
        <v>670.65946058928569</v>
      </c>
      <c r="BL404" s="6">
        <f>+BL403+BL402</f>
        <v>746.42633871428575</v>
      </c>
      <c r="BM404" s="6">
        <f>+BM403+BM402</f>
        <v>807.00405133053334</v>
      </c>
      <c r="BN404" s="6">
        <f>+BN403+BN402</f>
        <v>879.18657428153199</v>
      </c>
      <c r="BO404" s="1841">
        <f>+BO403+BO402</f>
        <v>3103.2764249156367</v>
      </c>
      <c r="BP404" s="63"/>
      <c r="BQ404" s="1425">
        <f>+BQ403+BQ402</f>
        <v>880.52150941353386</v>
      </c>
      <c r="BR404" s="6">
        <f>+BR403+BR402</f>
        <v>893.26203135397475</v>
      </c>
      <c r="BS404" s="6">
        <f>+BS403+BS402</f>
        <v>912.42486219497482</v>
      </c>
      <c r="BT404" s="6">
        <f>+BT403+BT402</f>
        <v>950.59469303597484</v>
      </c>
      <c r="BU404" s="1841">
        <f>+BU403+BU402</f>
        <v>3636.803095998458</v>
      </c>
      <c r="BV404" s="63"/>
      <c r="BW404" s="1425">
        <f>+BW403+BW402</f>
        <v>986.07803751741972</v>
      </c>
      <c r="BX404" s="6">
        <f>+BX403+BX402</f>
        <v>986.3870012296336</v>
      </c>
      <c r="BY404" s="6">
        <f>+BY403+BY402</f>
        <v>1000.5903803264628</v>
      </c>
      <c r="BZ404" s="6">
        <f>+BZ403+BZ402</f>
        <v>1038.3179517309845</v>
      </c>
      <c r="CA404" s="1841">
        <f>+CA403+CA402</f>
        <v>4011.3733708045011</v>
      </c>
      <c r="CB404" s="63"/>
      <c r="CC404" s="1425">
        <f>+CC403+CC402</f>
        <v>1083.3526376325474</v>
      </c>
      <c r="CD404" s="6">
        <f>+CD403+CD402</f>
        <v>1082.7095621258266</v>
      </c>
      <c r="CE404" s="6">
        <f>+CE403+CE402</f>
        <v>1096.302251861709</v>
      </c>
      <c r="CF404" s="6">
        <f>+CF403+CF402</f>
        <v>1137.5218313609053</v>
      </c>
      <c r="CG404" s="1841">
        <f>+CG403+CG402</f>
        <v>4399.8862829809877</v>
      </c>
      <c r="CH404" s="63"/>
      <c r="CI404" s="1425">
        <f>+CI403+CI402</f>
        <v>1184.1643976557882</v>
      </c>
      <c r="CJ404" s="6">
        <f>+CJ403+CJ402</f>
        <v>1180.5247415596471</v>
      </c>
      <c r="CK404" s="6">
        <f>+CK403+CK402</f>
        <v>1193.7089764250452</v>
      </c>
      <c r="CL404" s="6">
        <f>+CL403+CL402</f>
        <v>1240.0082259281289</v>
      </c>
      <c r="CM404" s="1841">
        <f>+CM403+CM402</f>
        <v>4798.4063415686096</v>
      </c>
      <c r="CN404" s="63"/>
      <c r="CO404" s="1425">
        <f>+CO403+CO402</f>
        <v>1282.5412306326157</v>
      </c>
      <c r="CP404" s="6">
        <f>+CP403+CP402</f>
        <v>1280.3257919992936</v>
      </c>
      <c r="CQ404" s="6">
        <f>+CQ403+CQ402</f>
        <v>1294.472255991654</v>
      </c>
      <c r="CR404" s="6">
        <f>+CR403+CR402</f>
        <v>1342.8332553498633</v>
      </c>
      <c r="CS404" s="1841">
        <f>+CS403+CS402</f>
        <v>5200.1725339734267</v>
      </c>
    </row>
    <row r="405" spans="1:280">
      <c r="A405" s="1028" t="s">
        <v>428</v>
      </c>
      <c r="C405" s="1392"/>
      <c r="D405" s="154"/>
      <c r="E405" s="154"/>
      <c r="F405" s="154"/>
      <c r="G405" s="1393"/>
      <c r="H405" s="63"/>
      <c r="I405" s="1392"/>
      <c r="J405" s="154"/>
      <c r="K405" s="154"/>
      <c r="L405" s="154"/>
      <c r="M405" s="1393"/>
      <c r="N405" s="63"/>
      <c r="O405" s="1392"/>
      <c r="P405" s="154"/>
      <c r="Q405" s="154"/>
      <c r="R405" s="154"/>
      <c r="S405" s="1393"/>
      <c r="T405" s="63"/>
      <c r="U405" s="1392"/>
      <c r="V405" s="154"/>
      <c r="W405" s="154"/>
      <c r="X405" s="154"/>
      <c r="Y405" s="1393"/>
      <c r="Z405" s="63"/>
      <c r="AA405" s="1392"/>
      <c r="AB405" s="154"/>
      <c r="AC405" s="154"/>
      <c r="AD405" s="154"/>
      <c r="AE405" s="1393"/>
      <c r="AF405" s="63"/>
      <c r="AG405" s="1392"/>
      <c r="AH405" s="154"/>
      <c r="AI405" s="154"/>
      <c r="AJ405" s="154"/>
      <c r="AK405" s="1393"/>
      <c r="AL405" s="63"/>
      <c r="AM405" s="1392"/>
      <c r="AN405" s="154"/>
      <c r="AO405" s="154"/>
      <c r="AP405" s="154"/>
      <c r="AQ405" s="1393"/>
      <c r="AR405" s="63"/>
      <c r="AS405" s="1392">
        <f>+AS404/AM404-1</f>
        <v>0.27140301790559529</v>
      </c>
      <c r="AT405" s="154">
        <f>+AT404/AN404-1</f>
        <v>0.29319780175328081</v>
      </c>
      <c r="AU405" s="154">
        <f>+AU404/AO404-1</f>
        <v>0.34705717488789234</v>
      </c>
      <c r="AV405" s="154">
        <f>+AV404/AP404-1</f>
        <v>0.32286239498510305</v>
      </c>
      <c r="AW405" s="1393">
        <f>+AW404/AQ404-1</f>
        <v>0.30972897131815968</v>
      </c>
      <c r="AX405" s="63"/>
      <c r="AY405" s="1392">
        <f>+AY404/AS404-1</f>
        <v>0.27991758182997817</v>
      </c>
      <c r="AZ405" s="154">
        <f>+AZ404/AT404-1</f>
        <v>0.20502955975404857</v>
      </c>
      <c r="BA405" s="154">
        <f>+BA404/AU404-1</f>
        <v>0.14326612987121079</v>
      </c>
      <c r="BB405" s="154">
        <f>+BB404/AV404-1</f>
        <v>0.15451257760368775</v>
      </c>
      <c r="BC405" s="1393">
        <f>+BC404/AW404-1</f>
        <v>0.19210472676400814</v>
      </c>
      <c r="BE405" s="1392">
        <f>+BE404/AY404-1</f>
        <v>6.1641584581248354E-2</v>
      </c>
      <c r="BF405" s="154">
        <f>+BF404/AZ404-1</f>
        <v>0.18463769411312914</v>
      </c>
      <c r="BG405" s="154">
        <f>+BG404/BA404-1</f>
        <v>0.19889656627736496</v>
      </c>
      <c r="BH405" s="154">
        <f>+BH404/BB404-1</f>
        <v>0.14516798440416334</v>
      </c>
      <c r="BI405" s="1393">
        <f>+BI404/BC404-1</f>
        <v>0.14779362368123783</v>
      </c>
      <c r="BJ405" s="63"/>
      <c r="BK405" s="1392">
        <f>+BK404/BE404-1</f>
        <v>0.17296757675695296</v>
      </c>
      <c r="BL405" s="154">
        <f>+BL404/BF404-1</f>
        <v>0.16827391487011445</v>
      </c>
      <c r="BM405" s="154">
        <f>+BM404/BG404-1</f>
        <v>0.22499914649338182</v>
      </c>
      <c r="BN405" s="154">
        <f>+BN404/BH404-1</f>
        <v>0.2978421040749939</v>
      </c>
      <c r="BO405" s="1393">
        <f>+BO404/BI404-1</f>
        <v>0.21846296723918712</v>
      </c>
      <c r="BP405" s="63"/>
      <c r="BQ405" s="1392">
        <f>+BQ404/BK404-1</f>
        <v>0.31291894196176639</v>
      </c>
      <c r="BR405" s="154">
        <f>+BR404/BL404-1</f>
        <v>0.1967182627727373</v>
      </c>
      <c r="BS405" s="154">
        <f>+BS404/BM404-1</f>
        <v>0.13063231924378926</v>
      </c>
      <c r="BT405" s="154">
        <f>+BT404/BN404-1</f>
        <v>8.1220665605360676E-2</v>
      </c>
      <c r="BU405" s="1393">
        <f>+BU404/BO404-1</f>
        <v>0.17192366970574513</v>
      </c>
      <c r="BV405" s="63"/>
      <c r="BW405" s="1392">
        <f>+BW404/BQ404-1</f>
        <v>0.11987955657572891</v>
      </c>
      <c r="BX405" s="154">
        <f>+BX404/BR404-1</f>
        <v>0.10425269025988193</v>
      </c>
      <c r="BY405" s="154">
        <f>+BY404/BS404-1</f>
        <v>9.6627702493104595E-2</v>
      </c>
      <c r="BZ405" s="154">
        <f>+BZ404/BT404-1</f>
        <v>9.2282504139427068E-2</v>
      </c>
      <c r="CA405" s="1393">
        <f>+CA404/BU404-1</f>
        <v>0.10299437855686477</v>
      </c>
      <c r="CB405" s="63"/>
      <c r="CC405" s="1392">
        <f>+CC404/BW404-1</f>
        <v>9.8647973501193809E-2</v>
      </c>
      <c r="CD405" s="154">
        <f>+CD404/BX404-1</f>
        <v>9.7651896036866859E-2</v>
      </c>
      <c r="CE405" s="154">
        <f>+CE404/BY404-1</f>
        <v>9.565539846986959E-2</v>
      </c>
      <c r="CF405" s="154">
        <f>+CF404/BZ404-1</f>
        <v>9.5542872454952299E-2</v>
      </c>
      <c r="CG405" s="1393">
        <f>+CG404/CA404-1</f>
        <v>9.6852842222106217E-2</v>
      </c>
      <c r="CH405" s="63"/>
      <c r="CI405" s="1392">
        <f>+CI404/CC404-1</f>
        <v>9.3055351066061887E-2</v>
      </c>
      <c r="CJ405" s="154">
        <f>+CJ404/CD404-1</f>
        <v>9.0342953323296671E-2</v>
      </c>
      <c r="CK405" s="154">
        <f>+CK404/CE404-1</f>
        <v>8.8850245813071105E-2</v>
      </c>
      <c r="CL405" s="154">
        <f>+CL404/CF404-1</f>
        <v>9.0096200127087966E-2</v>
      </c>
      <c r="CM405" s="1393">
        <f>+CM404/CG404-1</f>
        <v>9.057508148088278E-2</v>
      </c>
      <c r="CN405" s="63"/>
      <c r="CO405" s="1392">
        <f>+CO404/CI404-1</f>
        <v>8.3077006175474866E-2</v>
      </c>
      <c r="CP405" s="154">
        <f>+CP404/CJ404-1</f>
        <v>8.4539566962226198E-2</v>
      </c>
      <c r="CQ405" s="154">
        <f>+CQ404/CK404-1</f>
        <v>8.4411930844633165E-2</v>
      </c>
      <c r="CR405" s="154">
        <f>+CR404/CL404-1</f>
        <v>8.2922860729227166E-2</v>
      </c>
      <c r="CS405" s="1393">
        <f>+CS404/CM404-1</f>
        <v>8.3729089161189929E-2</v>
      </c>
    </row>
    <row r="406" spans="1:280" s="6" customFormat="1">
      <c r="A406" s="2294" t="s">
        <v>696</v>
      </c>
      <c r="B406" s="5"/>
      <c r="C406" s="1392"/>
      <c r="D406" s="154"/>
      <c r="E406" s="154"/>
      <c r="F406" s="154"/>
      <c r="G406" s="1393"/>
      <c r="H406" s="5"/>
      <c r="I406" s="1392"/>
      <c r="J406" s="154"/>
      <c r="K406" s="154"/>
      <c r="L406" s="154"/>
      <c r="M406" s="1393"/>
      <c r="N406" s="5"/>
      <c r="O406" s="1392"/>
      <c r="P406" s="154"/>
      <c r="Q406" s="154"/>
      <c r="R406" s="154"/>
      <c r="S406" s="1393"/>
      <c r="T406" s="5"/>
      <c r="U406" s="1392"/>
      <c r="V406" s="154"/>
      <c r="W406" s="154"/>
      <c r="X406" s="154"/>
      <c r="Y406" s="1393"/>
      <c r="Z406" s="5"/>
      <c r="AA406" s="1392"/>
      <c r="AB406" s="154"/>
      <c r="AC406" s="154"/>
      <c r="AD406" s="154"/>
      <c r="AE406" s="1393"/>
      <c r="AF406" s="5"/>
      <c r="AG406" s="1392"/>
      <c r="AH406" s="154"/>
      <c r="AI406" s="154"/>
      <c r="AJ406" s="154"/>
      <c r="AK406" s="1393"/>
      <c r="AL406" s="5"/>
      <c r="AM406" s="1392"/>
      <c r="AN406" s="154"/>
      <c r="AO406" s="154"/>
      <c r="AP406" s="154"/>
      <c r="AQ406" s="1393"/>
      <c r="AR406" s="5"/>
      <c r="AS406" s="1392">
        <f>+AS404/AM402-1</f>
        <v>0.27140301790559529</v>
      </c>
      <c r="AT406" s="154">
        <f>+AT404/AN402-1</f>
        <v>0.29319780175328081</v>
      </c>
      <c r="AU406" s="154">
        <f>+AU404/AO402-1</f>
        <v>0.34705717488789234</v>
      </c>
      <c r="AV406" s="154">
        <f>+AV404/AP402-1</f>
        <v>0.32286239498510305</v>
      </c>
      <c r="AW406" s="1393">
        <f>+AW404/AQ402-1</f>
        <v>0.30972897131815968</v>
      </c>
      <c r="AX406" s="5"/>
      <c r="AY406" s="1392">
        <f>+AY404/AS402-1</f>
        <v>0.27991758182997817</v>
      </c>
      <c r="AZ406" s="154">
        <f>+AZ404/AT402-1</f>
        <v>0.20502955975404857</v>
      </c>
      <c r="BA406" s="154">
        <f>+BA404/AU402-1</f>
        <v>0.14326612987121079</v>
      </c>
      <c r="BB406" s="154">
        <f>+BB404/AV402-1</f>
        <v>0.15451257760368775</v>
      </c>
      <c r="BC406" s="1393">
        <f>+BC404/AW402-1</f>
        <v>0.19210472676400814</v>
      </c>
      <c r="BD406" s="5"/>
      <c r="BE406" s="1392">
        <f>+BE404/AY402-1</f>
        <v>6.1641584581248354E-2</v>
      </c>
      <c r="BF406" s="154">
        <f>+BF404/AZ402-1</f>
        <v>0.18463769411312914</v>
      </c>
      <c r="BG406" s="154">
        <f>+BG404/BA402-1</f>
        <v>0.19889656627736496</v>
      </c>
      <c r="BH406" s="154">
        <f>+BH404/BB402-1</f>
        <v>0.14516798440416334</v>
      </c>
      <c r="BI406" s="1393">
        <f>+BI404/BC402-1</f>
        <v>0.14779362368123783</v>
      </c>
      <c r="BJ406" s="5"/>
      <c r="BK406" s="1392">
        <f>+BK404/BE402-1</f>
        <v>0.17296757675695296</v>
      </c>
      <c r="BL406" s="154">
        <f>+BL404/BF402-1</f>
        <v>0.24388795050288747</v>
      </c>
      <c r="BM406" s="154">
        <f>+BM404/BG402-1</f>
        <v>0.33030030983666192</v>
      </c>
      <c r="BN406" s="154">
        <f>+BN404/BH402-1</f>
        <v>0.41963142851244073</v>
      </c>
      <c r="BO406" s="1393">
        <f>+BO404/BI402-1</f>
        <v>0.29423039248081539</v>
      </c>
      <c r="BP406" s="5"/>
      <c r="BQ406" s="1392">
        <f>+BQ404/BK402-1</f>
        <v>0.47244399567480588</v>
      </c>
      <c r="BR406" s="154">
        <f>+BR404/BL402-1</f>
        <v>0.34852359805853683</v>
      </c>
      <c r="BS406" s="154">
        <f>+BS404/BM402-1</f>
        <v>0.27771946895986122</v>
      </c>
      <c r="BT406" s="154">
        <f>+BT404/BN402-1</f>
        <v>0.22257299569300226</v>
      </c>
      <c r="BU406" s="1393">
        <f>+BU404/BO402-1</f>
        <v>0.32149337124648625</v>
      </c>
      <c r="BV406" s="5"/>
      <c r="BW406" s="1392">
        <f>+BW404/BQ402-1</f>
        <v>0.26096935743915561</v>
      </c>
      <c r="BX406" s="154">
        <f>+BX404/BR402-1</f>
        <v>0.24790847200919619</v>
      </c>
      <c r="BY406" s="154">
        <f>+BY404/BS402-1</f>
        <v>0.241925507228407</v>
      </c>
      <c r="BZ406" s="154">
        <f>+BZ404/BT402-1</f>
        <v>0.23562484035204645</v>
      </c>
      <c r="CA406" s="1393">
        <f>+CA404/BU402-1</f>
        <v>0.24637701548124413</v>
      </c>
      <c r="CB406" s="5"/>
      <c r="CC406" s="1392">
        <f>+CC404/BW402-1</f>
        <v>0.24143282031937652</v>
      </c>
      <c r="CD406" s="154">
        <f>+CD404/BX402-1</f>
        <v>0.24417379517075677</v>
      </c>
      <c r="CE406" s="154">
        <f>+CE404/BY402-1</f>
        <v>0.24287618386371124</v>
      </c>
      <c r="CF406" s="154">
        <f>+CF404/BZ402-1</f>
        <v>0.23936277770785175</v>
      </c>
      <c r="CG406" s="1393">
        <f>+CG404/CA402-1</f>
        <v>0.24192917133411784</v>
      </c>
      <c r="CH406" s="5"/>
      <c r="CI406" s="1392">
        <f>+CI404/CC402-1</f>
        <v>0.23185657363347012</v>
      </c>
      <c r="CJ406" s="154">
        <f>+CJ404/CD402-1</f>
        <v>0.23041450188444523</v>
      </c>
      <c r="CK406" s="154">
        <f>+CK404/CE402-1</f>
        <v>0.22778337722118369</v>
      </c>
      <c r="CL406" s="154">
        <f>+CL404/CF402-1</f>
        <v>0.2240243670217148</v>
      </c>
      <c r="CM406" s="1393">
        <f>+CM404/CG402-1</f>
        <v>0.22845716473544431</v>
      </c>
      <c r="CN406" s="5"/>
      <c r="CO406" s="1392">
        <f>+CO404/CI402-1</f>
        <v>0.20814972954913546</v>
      </c>
      <c r="CP406" s="154">
        <f>+CP404/CJ402-1</f>
        <v>0.2085813204674456</v>
      </c>
      <c r="CQ406" s="154">
        <f>+CQ404/CK402-1</f>
        <v>0.20653118258379477</v>
      </c>
      <c r="CR406" s="154">
        <f>+CR404/CL402-1</f>
        <v>0.1982394678462116</v>
      </c>
      <c r="CS406" s="1393">
        <f>+CS404/CM402-1</f>
        <v>0.20527906815906372</v>
      </c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</row>
    <row r="407" spans="1:280" s="6" customFormat="1">
      <c r="A407" s="2294" t="s">
        <v>697</v>
      </c>
      <c r="B407" s="5"/>
      <c r="C407" s="1392"/>
      <c r="D407" s="154"/>
      <c r="E407" s="154"/>
      <c r="F407" s="154"/>
      <c r="G407" s="1393"/>
      <c r="H407" s="5"/>
      <c r="I407" s="1392"/>
      <c r="J407" s="154"/>
      <c r="K407" s="154"/>
      <c r="L407" s="154"/>
      <c r="M407" s="1393"/>
      <c r="N407" s="5"/>
      <c r="O407" s="1392"/>
      <c r="P407" s="154"/>
      <c r="Q407" s="154"/>
      <c r="R407" s="154"/>
      <c r="S407" s="1393"/>
      <c r="T407" s="5"/>
      <c r="U407" s="1392"/>
      <c r="V407" s="154"/>
      <c r="W407" s="154"/>
      <c r="X407" s="154"/>
      <c r="Y407" s="1393"/>
      <c r="Z407" s="5"/>
      <c r="AA407" s="1392"/>
      <c r="AB407" s="154"/>
      <c r="AC407" s="154"/>
      <c r="AD407" s="154"/>
      <c r="AE407" s="1393"/>
      <c r="AF407" s="5"/>
      <c r="AG407" s="1392"/>
      <c r="AH407" s="154"/>
      <c r="AI407" s="154"/>
      <c r="AJ407" s="154"/>
      <c r="AK407" s="1393"/>
      <c r="AL407" s="5"/>
      <c r="AM407" s="1392"/>
      <c r="AN407" s="154"/>
      <c r="AO407" s="154"/>
      <c r="AP407" s="154"/>
      <c r="AQ407" s="1393"/>
      <c r="AR407" s="5"/>
      <c r="AS407" s="1392">
        <f>+AS402/AM402-1</f>
        <v>0.27140301790559529</v>
      </c>
      <c r="AT407" s="154">
        <f>+AT402/AN402-1</f>
        <v>0.29319780175328081</v>
      </c>
      <c r="AU407" s="154">
        <f>+AU402/AO402-1</f>
        <v>0.34705717488789234</v>
      </c>
      <c r="AV407" s="154">
        <f>+AV402/AP402-1</f>
        <v>0.32286239498510305</v>
      </c>
      <c r="AW407" s="1393">
        <f>+AW402/AQ402-1</f>
        <v>0.30972897131815968</v>
      </c>
      <c r="AX407" s="5"/>
      <c r="AY407" s="1392">
        <f>+AY402/AS402-1</f>
        <v>0.27991758182997817</v>
      </c>
      <c r="AZ407" s="154">
        <f>+AZ402/AT402-1</f>
        <v>0.20502955975404857</v>
      </c>
      <c r="BA407" s="154">
        <f>+BA402/AU402-1</f>
        <v>0.14326612987121079</v>
      </c>
      <c r="BB407" s="154">
        <f>+BB402/AV402-1</f>
        <v>0.15451257760368775</v>
      </c>
      <c r="BC407" s="1393">
        <f>+BC402/AW402-1</f>
        <v>0.19210472676400814</v>
      </c>
      <c r="BD407" s="5"/>
      <c r="BE407" s="1392">
        <f>+BE402/AY402-1</f>
        <v>6.1641584581248354E-2</v>
      </c>
      <c r="BF407" s="154">
        <f>+BF402/AZ402-1</f>
        <v>0.11262539044993969</v>
      </c>
      <c r="BG407" s="154">
        <f>+BG402/BA402-1</f>
        <v>0.10399678896860753</v>
      </c>
      <c r="BH407" s="154">
        <f>+BH402/BB402-1</f>
        <v>4.6924713378444727E-2</v>
      </c>
      <c r="BI407" s="1393">
        <f>+BI402/BC402-1</f>
        <v>8.059896647002196E-2</v>
      </c>
      <c r="BJ407" s="5"/>
      <c r="BK407" s="1392">
        <f>+BK402/BE402-1</f>
        <v>4.5887894109972072E-2</v>
      </c>
      <c r="BL407" s="154">
        <f>+BL402/BF402-1</f>
        <v>0.10386160787461396</v>
      </c>
      <c r="BM407" s="154">
        <f>+BM402/BG402-1</f>
        <v>0.17716021485198641</v>
      </c>
      <c r="BN407" s="154">
        <f>+BN402/BH402-1</f>
        <v>0.25549545381578542</v>
      </c>
      <c r="BO407" s="1393">
        <f>+BO402/BI402-1</f>
        <v>0.14774637845528815</v>
      </c>
      <c r="BP407" s="5"/>
      <c r="BQ407" s="1392">
        <f>+BQ402/BK402-1</f>
        <v>0.30769230769230771</v>
      </c>
      <c r="BR407" s="154">
        <f>+BR402/BL402-1</f>
        <v>0.19328528048017057</v>
      </c>
      <c r="BS407" s="154">
        <f>+BS402/BM402-1</f>
        <v>0.12823398627440041</v>
      </c>
      <c r="BT407" s="154">
        <f>+BT402/BN402-1</f>
        <v>8.0744777555880942E-2</v>
      </c>
      <c r="BU407" s="1393">
        <f>+BU402/BO402-1</f>
        <v>0.16946938340501561</v>
      </c>
      <c r="BV407" s="5"/>
      <c r="BW407" s="1392">
        <f>+BW402/BQ402-1</f>
        <v>0.11593749296979827</v>
      </c>
      <c r="BX407" s="154">
        <f>+BX402/BR402-1</f>
        <v>0.10094675333792047</v>
      </c>
      <c r="BY407" s="154">
        <f>+BY402/BS402-1</f>
        <v>9.4817331089390722E-2</v>
      </c>
      <c r="BZ407" s="154">
        <f>+BZ402/BT402-1</f>
        <v>9.2238698163539912E-2</v>
      </c>
      <c r="CA407" s="1393">
        <f>+CA402/BU402-1</f>
        <v>0.10078111011945801</v>
      </c>
      <c r="CB407" s="5"/>
      <c r="CC407" s="1392">
        <f>+CC402/BW402-1</f>
        <v>0.10155258029485448</v>
      </c>
      <c r="CD407" s="154">
        <f>+CD402/BX402-1</f>
        <v>0.10253587567138434</v>
      </c>
      <c r="CE407" s="154">
        <f>+CE402/BY402-1</f>
        <v>0.10223518531267528</v>
      </c>
      <c r="CF407" s="154">
        <f>+CF402/BZ402-1</f>
        <v>0.10375633930032224</v>
      </c>
      <c r="CG407" s="1393">
        <f>+CG402/CA402-1</f>
        <v>0.10253498949869622</v>
      </c>
      <c r="CH407" s="5"/>
      <c r="CI407" s="1392">
        <f>+CI402/CC402-1</f>
        <v>0.10432961840451704</v>
      </c>
      <c r="CJ407" s="154">
        <f>+CJ402/CD402-1</f>
        <v>0.10413191769477126</v>
      </c>
      <c r="CK407" s="154">
        <f>+CK402/CE402-1</f>
        <v>0.103513081112514</v>
      </c>
      <c r="CL407" s="154">
        <f>+CL402/CF402-1</f>
        <v>0.10622626336955343</v>
      </c>
      <c r="CM407" s="1393">
        <f>+CM402/CG402-1</f>
        <v>0.10456972113995411</v>
      </c>
      <c r="CN407" s="5"/>
      <c r="CO407" s="1392">
        <f>+CO402/CI402-1</f>
        <v>9.9613286547998392E-2</v>
      </c>
      <c r="CP407" s="154">
        <f>+CP402/CJ402-1</f>
        <v>0.10443356914375679</v>
      </c>
      <c r="CQ407" s="154">
        <f>+CQ402/CK402-1</f>
        <v>0.10844922449372163</v>
      </c>
      <c r="CR407" s="154">
        <f>+CR402/CL402-1</f>
        <v>0.10974648917586527</v>
      </c>
      <c r="CS407" s="1393">
        <f>+CS402/CM402-1</f>
        <v>0.10562612917549408</v>
      </c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</row>
    <row r="408" spans="1:280" s="6" customFormat="1">
      <c r="A408" s="2303" t="s">
        <v>691</v>
      </c>
      <c r="B408" s="2304"/>
      <c r="C408" s="2305"/>
      <c r="D408" s="2306"/>
      <c r="E408" s="2306"/>
      <c r="F408" s="2306"/>
      <c r="G408" s="1877"/>
      <c r="H408" s="2304"/>
      <c r="I408" s="2305"/>
      <c r="J408" s="2306"/>
      <c r="K408" s="2306"/>
      <c r="L408" s="2306"/>
      <c r="M408" s="1877"/>
      <c r="N408" s="2304"/>
      <c r="O408" s="2305"/>
      <c r="P408" s="2306"/>
      <c r="Q408" s="2306"/>
      <c r="R408" s="2306"/>
      <c r="S408" s="1877"/>
      <c r="T408" s="2304"/>
      <c r="U408" s="2305"/>
      <c r="V408" s="2306"/>
      <c r="W408" s="2306"/>
      <c r="X408" s="2306"/>
      <c r="Y408" s="1877"/>
      <c r="Z408" s="2304"/>
      <c r="AA408" s="2305"/>
      <c r="AB408" s="2306"/>
      <c r="AC408" s="2306"/>
      <c r="AD408" s="2306"/>
      <c r="AE408" s="1877"/>
      <c r="AF408" s="2304"/>
      <c r="AG408" s="2305"/>
      <c r="AH408" s="2306"/>
      <c r="AI408" s="2306"/>
      <c r="AJ408" s="2306"/>
      <c r="AK408" s="1877"/>
      <c r="AL408" s="2304"/>
      <c r="AM408" s="2305"/>
      <c r="AN408" s="2306"/>
      <c r="AO408" s="2306"/>
      <c r="AP408" s="2306"/>
      <c r="AQ408" s="1877"/>
      <c r="AR408" s="2304"/>
      <c r="AS408" s="2305">
        <f>+AS403/AM402</f>
        <v>0</v>
      </c>
      <c r="AT408" s="2306">
        <f>+AT403/AN402</f>
        <v>0</v>
      </c>
      <c r="AU408" s="2306">
        <f>+AU403/AO402</f>
        <v>0</v>
      </c>
      <c r="AV408" s="2306">
        <f>+AV403/AP402</f>
        <v>0</v>
      </c>
      <c r="AW408" s="1877">
        <f>+AW403/AQ402</f>
        <v>0</v>
      </c>
      <c r="AX408" s="2304"/>
      <c r="AY408" s="2305">
        <f>+AY403/AS402</f>
        <v>0</v>
      </c>
      <c r="AZ408" s="2306">
        <f>+AZ403/AT402</f>
        <v>0</v>
      </c>
      <c r="BA408" s="2306">
        <f>+BA403/AU402</f>
        <v>0</v>
      </c>
      <c r="BB408" s="2306">
        <f>+BB403/AV402</f>
        <v>0</v>
      </c>
      <c r="BC408" s="1877">
        <f>+BC403/AW402</f>
        <v>0</v>
      </c>
      <c r="BD408" s="2304"/>
      <c r="BE408" s="2305">
        <f>+BE403/AY402</f>
        <v>0</v>
      </c>
      <c r="BF408" s="2306">
        <f>+BF403/AZ402</f>
        <v>7.2012303663189559E-2</v>
      </c>
      <c r="BG408" s="2306">
        <f>+BG403/BA402</f>
        <v>9.4899777308757566E-2</v>
      </c>
      <c r="BH408" s="2306">
        <f>+BH403/BB402</f>
        <v>9.8243271025718615E-2</v>
      </c>
      <c r="BI408" s="1877">
        <f>+BI403/BC402</f>
        <v>6.7194657211215841E-2</v>
      </c>
      <c r="BJ408" s="2304"/>
      <c r="BK408" s="2305">
        <f>+BK403/BE402</f>
        <v>0.12707968264698086</v>
      </c>
      <c r="BL408" s="2306">
        <f>+BL403/BF402</f>
        <v>0.14002634262827349</v>
      </c>
      <c r="BM408" s="2306">
        <f>+BM403/BG402</f>
        <v>0.1531400949846754</v>
      </c>
      <c r="BN408" s="2306">
        <f>+BN403/BH402</f>
        <v>0.16413597469665539</v>
      </c>
      <c r="BO408" s="1877">
        <f>+BO403/BI402</f>
        <v>0.14648401402552741</v>
      </c>
      <c r="BP408" s="2304"/>
      <c r="BQ408" s="2305">
        <f>+BQ403/BK402</f>
        <v>0.16475168798249804</v>
      </c>
      <c r="BR408" s="2306">
        <f>+BR403/BL402</f>
        <v>0.1552383175783662</v>
      </c>
      <c r="BS408" s="2306">
        <f>+BS403/BM402</f>
        <v>0.14948548268546086</v>
      </c>
      <c r="BT408" s="2306">
        <f>+BT403/BN402</f>
        <v>0.14182821813712126</v>
      </c>
      <c r="BU408" s="1877">
        <f>+BU403/BO402</f>
        <v>0.15202398784147067</v>
      </c>
      <c r="BV408" s="2304"/>
      <c r="BW408" s="2305">
        <f>+BW403/BQ402</f>
        <v>0.14503186446935754</v>
      </c>
      <c r="BX408" s="2306">
        <f>+BX403/BR402</f>
        <v>0.14696171867127567</v>
      </c>
      <c r="BY408" s="2306">
        <f>+BY403/BS402</f>
        <v>0.14710817613901622</v>
      </c>
      <c r="BZ408" s="2306">
        <f>+BZ403/BT402</f>
        <v>0.14338614218850651</v>
      </c>
      <c r="CA408" s="1877">
        <f>+CA403/BU402</f>
        <v>0.14559590536178627</v>
      </c>
      <c r="CB408" s="2304"/>
      <c r="CC408" s="2305">
        <f>+CC403/BW402</f>
        <v>0.13988024002452201</v>
      </c>
      <c r="CD408" s="2306">
        <f>+CD403/BX402</f>
        <v>0.14163791949937218</v>
      </c>
      <c r="CE408" s="2306">
        <f>+CE403/BY402</f>
        <v>0.14064099855103601</v>
      </c>
      <c r="CF408" s="2306">
        <f>+CF403/BZ402</f>
        <v>0.13560643840752962</v>
      </c>
      <c r="CG408" s="1877">
        <f>+CG403/CA402</f>
        <v>0.1393941818354219</v>
      </c>
      <c r="CH408" s="2304"/>
      <c r="CI408" s="2305">
        <f>+CI403/CC402</f>
        <v>0.12752695522895294</v>
      </c>
      <c r="CJ408" s="2306">
        <f>+CJ403/CD402</f>
        <v>0.12628258418967409</v>
      </c>
      <c r="CK408" s="2306">
        <f>+CK403/CE402</f>
        <v>0.12427029610866991</v>
      </c>
      <c r="CL408" s="2306">
        <f>+CL403/CF402</f>
        <v>0.11779810365216135</v>
      </c>
      <c r="CM408" s="1877">
        <f>+CM403/CG402</f>
        <v>0.12388744359549007</v>
      </c>
      <c r="CN408" s="2304"/>
      <c r="CO408" s="2305">
        <f>+CO403/CI402</f>
        <v>0.10853644300113714</v>
      </c>
      <c r="CP408" s="2306">
        <f>+CP403/CJ402</f>
        <v>0.10414775132368896</v>
      </c>
      <c r="CQ408" s="2306">
        <f>+CQ403/CK402</f>
        <v>9.808195809007314E-2</v>
      </c>
      <c r="CR408" s="2306">
        <f>+CR403/CL402</f>
        <v>8.849297867034632E-2</v>
      </c>
      <c r="CS408" s="1877">
        <f>+CS403/CM402</f>
        <v>9.9652938983569611E-2</v>
      </c>
      <c r="CU408" s="2312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</row>
    <row r="410" spans="1:280">
      <c r="A410" s="1398" t="s">
        <v>70</v>
      </c>
      <c r="B410" s="1100"/>
      <c r="C410" s="1075"/>
      <c r="D410" s="1076"/>
      <c r="E410" s="1076"/>
      <c r="F410" s="1076"/>
      <c r="G410" s="1073"/>
      <c r="H410" s="1102"/>
      <c r="I410" s="1075"/>
      <c r="J410" s="1076"/>
      <c r="K410" s="1076"/>
      <c r="L410" s="1076"/>
      <c r="M410" s="1073"/>
      <c r="N410" s="1102"/>
      <c r="O410" s="1075"/>
      <c r="P410" s="1076"/>
      <c r="Q410" s="1076"/>
      <c r="R410" s="1076"/>
      <c r="S410" s="1073"/>
      <c r="T410" s="1102"/>
      <c r="U410" s="1075"/>
      <c r="V410" s="1076"/>
      <c r="W410" s="1076"/>
      <c r="X410" s="1076"/>
      <c r="Y410" s="1073"/>
      <c r="Z410" s="1107"/>
      <c r="AA410" s="1075"/>
      <c r="AB410" s="1076"/>
      <c r="AC410" s="1076"/>
      <c r="AD410" s="1076"/>
      <c r="AE410" s="1073"/>
      <c r="AF410" s="1107"/>
      <c r="AG410" s="1077"/>
      <c r="AH410" s="1074"/>
      <c r="AI410" s="1074"/>
      <c r="AJ410" s="1078"/>
      <c r="AK410" s="1079"/>
      <c r="AL410" s="1107"/>
      <c r="AM410" s="1077"/>
      <c r="AN410" s="1074"/>
      <c r="AO410" s="1074"/>
      <c r="AP410" s="1078"/>
      <c r="AQ410" s="1073"/>
      <c r="AR410" s="1107"/>
      <c r="AS410" s="1443"/>
      <c r="AT410" s="1074"/>
      <c r="AU410" s="1074"/>
      <c r="AV410" s="1714"/>
      <c r="AW410" s="1080"/>
      <c r="AX410" s="1733"/>
      <c r="AY410" s="1443"/>
      <c r="AZ410" s="1713"/>
      <c r="BA410" s="1713"/>
      <c r="BB410" s="1713"/>
      <c r="BC410" s="1080"/>
      <c r="BD410" s="1733"/>
      <c r="BE410" s="1443"/>
      <c r="BF410" s="1713"/>
      <c r="BG410" s="1713"/>
      <c r="BH410" s="1713"/>
      <c r="BI410" s="1080"/>
      <c r="BJ410" s="1733"/>
      <c r="BK410" s="1443"/>
      <c r="BL410" s="1713"/>
      <c r="BM410" s="1713"/>
      <c r="BN410" s="1713"/>
      <c r="BO410" s="1080"/>
      <c r="BP410" s="1733"/>
      <c r="BQ410" s="1443"/>
      <c r="BR410" s="1713"/>
      <c r="BS410" s="1713"/>
      <c r="BT410" s="1713"/>
      <c r="BU410" s="1080"/>
      <c r="BV410" s="1733"/>
      <c r="BW410" s="1443"/>
      <c r="BX410" s="1713"/>
      <c r="BY410" s="1713"/>
      <c r="BZ410" s="1713"/>
      <c r="CA410" s="1080"/>
      <c r="CB410" s="1733"/>
      <c r="CC410" s="1443"/>
      <c r="CD410" s="1713"/>
      <c r="CE410" s="1713"/>
      <c r="CF410" s="1713"/>
      <c r="CG410" s="1080"/>
      <c r="CH410" s="1733"/>
      <c r="CI410" s="1443"/>
      <c r="CJ410" s="1713"/>
      <c r="CK410" s="1713"/>
      <c r="CL410" s="1713"/>
      <c r="CM410" s="1080"/>
      <c r="CN410" s="1733"/>
      <c r="CO410" s="1443"/>
      <c r="CP410" s="1713"/>
      <c r="CQ410" s="1713"/>
      <c r="CR410" s="1713"/>
      <c r="CS410" s="1080"/>
    </row>
    <row r="411" spans="1:280" s="6" customFormat="1">
      <c r="A411" s="2271" t="s">
        <v>705</v>
      </c>
      <c r="B411"/>
      <c r="C411" s="1850"/>
      <c r="D411"/>
      <c r="E411"/>
      <c r="F411"/>
      <c r="G411" s="736"/>
      <c r="H411" s="63"/>
      <c r="I411" s="2277"/>
      <c r="J411" s="2278"/>
      <c r="K411" s="2278"/>
      <c r="L411" s="2278"/>
      <c r="M411" s="2279"/>
      <c r="N411" s="63"/>
      <c r="O411" s="2277"/>
      <c r="P411" s="2278"/>
      <c r="Q411" s="2278"/>
      <c r="R411" s="2278"/>
      <c r="S411" s="2279"/>
      <c r="T411" s="63"/>
      <c r="U411" s="2277"/>
      <c r="V411" s="2278"/>
      <c r="W411" s="2278"/>
      <c r="X411" s="2278"/>
      <c r="Y411" s="2279"/>
      <c r="Z411" s="63"/>
      <c r="AA411" s="2277"/>
      <c r="AB411" s="2278"/>
      <c r="AC411" s="2278"/>
      <c r="AD411" s="2278"/>
      <c r="AE411" s="2279"/>
      <c r="AF411" s="63"/>
      <c r="AG411" s="2277"/>
      <c r="AH411" s="2278"/>
      <c r="AI411" s="2278"/>
      <c r="AJ411" s="2278"/>
      <c r="AK411" s="2279"/>
      <c r="AL411" s="63"/>
      <c r="AM411" s="2277"/>
      <c r="AN411" s="2278"/>
      <c r="AO411" s="2278"/>
      <c r="AP411" s="2278"/>
      <c r="AQ411" s="2279"/>
      <c r="AR411" s="63"/>
      <c r="AS411" s="2277"/>
      <c r="AT411" s="2278"/>
      <c r="AU411" s="2278"/>
      <c r="AV411" s="2278"/>
      <c r="AW411" s="2279"/>
      <c r="AX411" s="63"/>
      <c r="AY411" s="2281"/>
      <c r="AZ411" s="2287"/>
      <c r="BA411" s="2282"/>
      <c r="BB411" s="2282"/>
      <c r="BC411" s="2283"/>
      <c r="BD411"/>
      <c r="BE411" s="2281"/>
      <c r="BF411" s="2287"/>
      <c r="BG411" s="2282"/>
      <c r="BH411" s="2282"/>
      <c r="BI411" s="2283"/>
      <c r="BJ411" s="63"/>
      <c r="BK411" s="2281"/>
      <c r="BL411" s="2287"/>
      <c r="BM411" s="2282"/>
      <c r="BN411" s="2282"/>
      <c r="BO411" s="2283"/>
      <c r="BP411" s="63"/>
      <c r="BQ411" s="2281"/>
      <c r="BR411" s="2287"/>
      <c r="BS411" s="2282"/>
      <c r="BT411" s="2282"/>
      <c r="BU411" s="2283"/>
      <c r="BV411" s="63"/>
      <c r="BW411" s="2281"/>
      <c r="BX411" s="2287"/>
      <c r="BY411" s="2282"/>
      <c r="BZ411" s="2282"/>
      <c r="CA411" s="2283"/>
      <c r="CB411" s="63"/>
      <c r="CC411" s="2281"/>
      <c r="CD411" s="2287"/>
      <c r="CE411" s="2282"/>
      <c r="CF411" s="2282"/>
      <c r="CG411" s="2283"/>
      <c r="CH411" s="63"/>
      <c r="CI411" s="2281"/>
      <c r="CJ411" s="2287"/>
      <c r="CK411" s="2282"/>
      <c r="CL411" s="2282"/>
      <c r="CM411" s="2283"/>
      <c r="CN411" s="63"/>
      <c r="CO411" s="2281"/>
      <c r="CP411" s="2287"/>
      <c r="CQ411" s="2282"/>
      <c r="CR411" s="2282"/>
      <c r="CS411" s="2283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</row>
    <row r="412" spans="1:280" s="6" customFormat="1" ht="12.75" hidden="1" customHeight="1" outlineLevel="1">
      <c r="A412" s="1930" t="s">
        <v>710</v>
      </c>
      <c r="B412"/>
      <c r="C412" s="1855"/>
      <c r="D412"/>
      <c r="E412"/>
      <c r="F412"/>
      <c r="G412" s="736"/>
      <c r="H412" s="63"/>
      <c r="I412" s="2277"/>
      <c r="J412" s="2278"/>
      <c r="K412" s="2278"/>
      <c r="L412" s="2278"/>
      <c r="M412" s="2279"/>
      <c r="N412" s="63"/>
      <c r="O412" s="2277"/>
      <c r="P412" s="2278"/>
      <c r="Q412" s="2278"/>
      <c r="R412" s="2278"/>
      <c r="S412" s="2279"/>
      <c r="T412" s="63"/>
      <c r="U412" s="2277"/>
      <c r="V412" s="2282">
        <f>+V64</f>
        <v>60</v>
      </c>
      <c r="W412" s="2282">
        <f>+W64</f>
        <v>75</v>
      </c>
      <c r="X412" s="2282">
        <f>+X64</f>
        <v>90</v>
      </c>
      <c r="Y412" s="2283">
        <f>+SUM(U412:X412)</f>
        <v>225</v>
      </c>
      <c r="Z412" s="63"/>
      <c r="AA412" s="2281">
        <f>+AA64</f>
        <v>93</v>
      </c>
      <c r="AB412" s="2282">
        <f>+AB64</f>
        <v>95</v>
      </c>
      <c r="AC412" s="2282">
        <f>+AC64</f>
        <v>80</v>
      </c>
      <c r="AD412" s="2282">
        <f>+AD64</f>
        <v>70</v>
      </c>
      <c r="AE412" s="2283">
        <f>+SUM(AA412:AD412)</f>
        <v>338</v>
      </c>
      <c r="AF412" s="63"/>
      <c r="AG412" s="2281">
        <f>+AG64</f>
        <v>33.5</v>
      </c>
      <c r="AH412" s="2282">
        <f>+AH64</f>
        <v>39.5</v>
      </c>
      <c r="AI412" s="2282">
        <f>+AI64</f>
        <v>59.5</v>
      </c>
      <c r="AJ412" s="2282">
        <f>+AJ64</f>
        <v>12.5</v>
      </c>
      <c r="AK412" s="2283">
        <f>+SUM(AG412:AJ412)</f>
        <v>145</v>
      </c>
      <c r="AL412" s="63"/>
      <c r="AM412" s="2281">
        <f>+AM64</f>
        <v>17</v>
      </c>
      <c r="AN412" s="2282">
        <f>+AN64</f>
        <v>17</v>
      </c>
      <c r="AO412" s="2282">
        <f>+AO64</f>
        <v>15</v>
      </c>
      <c r="AP412" s="2282">
        <f>+AP64</f>
        <v>4</v>
      </c>
      <c r="AQ412" s="2283">
        <f>+SUM(AM412:AP412)</f>
        <v>53</v>
      </c>
      <c r="AR412" s="63"/>
      <c r="AS412" s="2281">
        <f>+AS64</f>
        <v>4</v>
      </c>
      <c r="AT412" s="2282">
        <f>+AT64</f>
        <v>0</v>
      </c>
      <c r="AU412" s="2282">
        <f>+AU64</f>
        <v>0</v>
      </c>
      <c r="AV412" s="2282">
        <f>+AV64</f>
        <v>0</v>
      </c>
      <c r="AW412" s="2283">
        <f>+SUM(AS412:AV412)</f>
        <v>4</v>
      </c>
      <c r="AX412" s="63"/>
      <c r="AY412" s="2281">
        <f>+AY64</f>
        <v>0</v>
      </c>
      <c r="AZ412" s="2282">
        <f>+AZ64</f>
        <v>0</v>
      </c>
      <c r="BA412" s="2282">
        <f>+BA64</f>
        <v>0</v>
      </c>
      <c r="BB412" s="2282">
        <f>+BB64</f>
        <v>0</v>
      </c>
      <c r="BC412" s="2283">
        <f>+SUM(AY412:BB412)</f>
        <v>0</v>
      </c>
      <c r="BD412"/>
      <c r="BE412" s="2281">
        <f>+BE64</f>
        <v>0</v>
      </c>
      <c r="BF412" s="2282">
        <f>+BF64</f>
        <v>0</v>
      </c>
      <c r="BG412" s="2282">
        <f>+BG64</f>
        <v>0</v>
      </c>
      <c r="BH412" s="2282">
        <f>+BH64</f>
        <v>0</v>
      </c>
      <c r="BI412" s="2283">
        <f>+SUM(BE412:BH412)</f>
        <v>0</v>
      </c>
      <c r="BJ412" s="63"/>
      <c r="BK412" s="2281">
        <f>+BK64</f>
        <v>0</v>
      </c>
      <c r="BL412" s="2282">
        <f>+BL64</f>
        <v>0</v>
      </c>
      <c r="BM412" s="2282">
        <f>+BM64</f>
        <v>0</v>
      </c>
      <c r="BN412" s="2282">
        <f>+BN64</f>
        <v>0</v>
      </c>
      <c r="BO412" s="2283">
        <f>+SUM(BK412:BN412)</f>
        <v>0</v>
      </c>
      <c r="BP412" s="63"/>
      <c r="BQ412" s="2281">
        <f>+BQ64</f>
        <v>0</v>
      </c>
      <c r="BR412" s="2282">
        <f>+BR64</f>
        <v>0</v>
      </c>
      <c r="BS412" s="2282">
        <f>+BS64</f>
        <v>0</v>
      </c>
      <c r="BT412" s="2282">
        <f>+BT64</f>
        <v>0</v>
      </c>
      <c r="BU412" s="2283">
        <f>+SUM(BQ412:BT412)</f>
        <v>0</v>
      </c>
      <c r="BV412" s="63"/>
      <c r="BW412" s="2281">
        <f>+BW64</f>
        <v>0</v>
      </c>
      <c r="BX412" s="2282">
        <f>+BX64</f>
        <v>0</v>
      </c>
      <c r="BY412" s="2282">
        <f>+BY64</f>
        <v>0</v>
      </c>
      <c r="BZ412" s="2282">
        <f>+BZ64</f>
        <v>0</v>
      </c>
      <c r="CA412" s="2283">
        <f>+SUM(BW412:BZ412)</f>
        <v>0</v>
      </c>
      <c r="CB412" s="63"/>
      <c r="CC412" s="2281">
        <f>+CC64</f>
        <v>0</v>
      </c>
      <c r="CD412" s="2282">
        <f>+CD64</f>
        <v>0</v>
      </c>
      <c r="CE412" s="2282">
        <f>+CE64</f>
        <v>0</v>
      </c>
      <c r="CF412" s="2282">
        <f>+CF64</f>
        <v>0</v>
      </c>
      <c r="CG412" s="2283">
        <f>+SUM(CC412:CF412)</f>
        <v>0</v>
      </c>
      <c r="CH412" s="63"/>
      <c r="CI412" s="2281">
        <f>+CI64</f>
        <v>0</v>
      </c>
      <c r="CJ412" s="2282">
        <f>+CJ64</f>
        <v>0</v>
      </c>
      <c r="CK412" s="2282">
        <f>+CK64</f>
        <v>0</v>
      </c>
      <c r="CL412" s="2282">
        <f>+CL64</f>
        <v>0</v>
      </c>
      <c r="CM412" s="2283">
        <f>+SUM(CI412:CL412)</f>
        <v>0</v>
      </c>
      <c r="CN412" s="63"/>
      <c r="CO412" s="2281">
        <f>+CO64</f>
        <v>0</v>
      </c>
      <c r="CP412" s="2282">
        <f>+CP64</f>
        <v>0</v>
      </c>
      <c r="CQ412" s="2282">
        <f>+CQ64</f>
        <v>0</v>
      </c>
      <c r="CR412" s="2282">
        <f>+CR64</f>
        <v>0</v>
      </c>
      <c r="CS412" s="2283">
        <f>+SUM(CO412:CR412)</f>
        <v>0</v>
      </c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</row>
    <row r="413" spans="1:280" s="5" customFormat="1" ht="12.75" hidden="1" customHeight="1" outlineLevel="1">
      <c r="A413" s="2311" t="s">
        <v>709</v>
      </c>
      <c r="B413" s="8"/>
      <c r="C413" s="1855"/>
      <c r="D413" s="8"/>
      <c r="E413" s="8"/>
      <c r="F413"/>
      <c r="G413" s="736"/>
      <c r="H413" s="63"/>
      <c r="I413" s="2277"/>
      <c r="J413" s="2278"/>
      <c r="K413" s="2278"/>
      <c r="L413" s="2278"/>
      <c r="M413" s="2279"/>
      <c r="N413" s="63"/>
      <c r="O413" s="2277"/>
      <c r="P413" s="2278"/>
      <c r="Q413" s="2278"/>
      <c r="R413" s="2278"/>
      <c r="S413" s="2279"/>
      <c r="T413" s="60"/>
      <c r="U413" s="1937"/>
      <c r="V413" s="1938">
        <f>+V412/U152</f>
        <v>3.3333333333333335</v>
      </c>
      <c r="W413" s="1938">
        <f>+W412/V152</f>
        <v>0.61932287365813377</v>
      </c>
      <c r="X413" s="1938">
        <f>+X412/W152</f>
        <v>0.32885121309558607</v>
      </c>
      <c r="Y413" s="1936">
        <f>+AVERAGE(U413:X413)</f>
        <v>1.4271691400290178</v>
      </c>
      <c r="Z413" s="60"/>
      <c r="AA413" s="1937">
        <f>+AA412/X152</f>
        <v>0.20672179247799413</v>
      </c>
      <c r="AB413" s="1938">
        <f>+AB412/AA152</f>
        <v>0.14897287125607653</v>
      </c>
      <c r="AC413" s="1938">
        <f>+AC412/AB152</f>
        <v>9.9047411519709194E-2</v>
      </c>
      <c r="AD413" s="1938">
        <f>+AD412/AC152</f>
        <v>7.7133286318758806E-2</v>
      </c>
      <c r="AE413" s="1936">
        <f>+AVERAGE(AA413:AD413)</f>
        <v>0.13296884039313467</v>
      </c>
      <c r="AF413" s="60"/>
      <c r="AG413" s="1937">
        <f>+AG412/AD152</f>
        <v>3.3387151428172772E-2</v>
      </c>
      <c r="AH413" s="1938">
        <f>+AH412/AG152</f>
        <v>3.6916577879960374E-2</v>
      </c>
      <c r="AI413" s="1938">
        <f>+AI412/AH152</f>
        <v>5.2470986630921722E-2</v>
      </c>
      <c r="AJ413" s="1938">
        <f>+AJ412/AI152</f>
        <v>1.044809802823494E-2</v>
      </c>
      <c r="AK413" s="1936">
        <f>+AVERAGE(AG413:AJ413)</f>
        <v>3.330570349182245E-2</v>
      </c>
      <c r="AL413" s="60"/>
      <c r="AM413" s="1937">
        <f>+AM412/AJ152</f>
        <v>1.533064596127659E-2</v>
      </c>
      <c r="AN413" s="1938">
        <f>+AN412/AM152</f>
        <v>1.7243303005406281E-2</v>
      </c>
      <c r="AO413" s="1938">
        <f>+AO412/AN152</f>
        <v>1.6893984615211341E-2</v>
      </c>
      <c r="AP413" s="1938">
        <f>+AP412/AO152</f>
        <v>4.5824788919566033E-3</v>
      </c>
      <c r="AQ413" s="1936">
        <f>+AVERAGE(AM413:AP413)</f>
        <v>1.3512603118462703E-2</v>
      </c>
      <c r="AR413" s="60"/>
      <c r="AS413" s="1937">
        <f>+AS412/AP152</f>
        <v>4.5681704992357759E-3</v>
      </c>
      <c r="AT413" s="1938">
        <f>+AT412/AS152</f>
        <v>0</v>
      </c>
      <c r="AU413" s="1938">
        <f>+AU412/AT152</f>
        <v>0</v>
      </c>
      <c r="AV413" s="1938">
        <f>+AV412/AU152</f>
        <v>0</v>
      </c>
      <c r="AW413" s="1936">
        <f>+AVERAGE(AS413:AV413)</f>
        <v>1.142042624808944E-3</v>
      </c>
      <c r="AX413" s="60"/>
      <c r="AY413" s="1937">
        <f>+AY412/AV152</f>
        <v>0</v>
      </c>
      <c r="AZ413" s="1938">
        <f>+AZ412/AY152</f>
        <v>0</v>
      </c>
      <c r="BA413" s="1938">
        <f>+BA412/AZ152</f>
        <v>0</v>
      </c>
      <c r="BB413" s="1938">
        <f>+BB412/BA152</f>
        <v>0</v>
      </c>
      <c r="BC413" s="1936">
        <f>+AVERAGE(AY413:BB413)</f>
        <v>0</v>
      </c>
      <c r="BD413" s="8"/>
      <c r="BE413" s="1937">
        <f>+BE412/BB152</f>
        <v>0</v>
      </c>
      <c r="BF413" s="1938">
        <f>+BF412/BE152</f>
        <v>0</v>
      </c>
      <c r="BG413" s="1938">
        <f>+BG412/BF152</f>
        <v>0</v>
      </c>
      <c r="BH413" s="1938">
        <f>+BH412/BG152</f>
        <v>0</v>
      </c>
      <c r="BI413" s="1936">
        <f>+AVERAGE(BE413:BH413)</f>
        <v>0</v>
      </c>
      <c r="BJ413" s="60"/>
      <c r="BK413" s="1937">
        <f>+BK412/BH152</f>
        <v>0</v>
      </c>
      <c r="BL413" s="1938">
        <f>+BL412/BK152</f>
        <v>0</v>
      </c>
      <c r="BM413" s="1938">
        <f>+BM412/BL152</f>
        <v>0</v>
      </c>
      <c r="BN413" s="1938">
        <f>+BN412/BM152</f>
        <v>0</v>
      </c>
      <c r="BO413" s="1936">
        <f>+AVERAGE(BK413:BN413)</f>
        <v>0</v>
      </c>
      <c r="BP413" s="60"/>
      <c r="BQ413" s="1937">
        <f>+BQ412/BN152</f>
        <v>0</v>
      </c>
      <c r="BR413" s="1938">
        <f>+BR412/BQ152</f>
        <v>0</v>
      </c>
      <c r="BS413" s="1938">
        <f>+BS412/BR152</f>
        <v>0</v>
      </c>
      <c r="BT413" s="1938">
        <f>+BT412/BS152</f>
        <v>0</v>
      </c>
      <c r="BU413" s="1936">
        <f>+AVERAGE(BQ413:BT413)</f>
        <v>0</v>
      </c>
      <c r="BV413" s="60"/>
      <c r="BW413" s="1937">
        <f>+BW412/BT152</f>
        <v>0</v>
      </c>
      <c r="BX413" s="1938">
        <f>+BX412/BW152</f>
        <v>0</v>
      </c>
      <c r="BY413" s="1938">
        <f>+BY412/BX152</f>
        <v>0</v>
      </c>
      <c r="BZ413" s="1938">
        <f>+BZ412/BY152</f>
        <v>0</v>
      </c>
      <c r="CA413" s="1936">
        <f>+AVERAGE(BW413:BZ413)</f>
        <v>0</v>
      </c>
      <c r="CB413" s="60"/>
      <c r="CC413" s="1937">
        <f>+CC412/BZ152</f>
        <v>0</v>
      </c>
      <c r="CD413" s="1938">
        <f>+CD412/CC152</f>
        <v>0</v>
      </c>
      <c r="CE413" s="1938">
        <f>+CE412/CD152</f>
        <v>0</v>
      </c>
      <c r="CF413" s="1938">
        <f>+CF412/CE152</f>
        <v>0</v>
      </c>
      <c r="CG413" s="1936">
        <f>+AVERAGE(CC413:CF413)</f>
        <v>0</v>
      </c>
      <c r="CH413" s="60"/>
      <c r="CI413" s="1937">
        <f>+CI412/CF152</f>
        <v>0</v>
      </c>
      <c r="CJ413" s="1938">
        <f>+CJ412/CI152</f>
        <v>0</v>
      </c>
      <c r="CK413" s="1938">
        <f>+CK412/CJ152</f>
        <v>0</v>
      </c>
      <c r="CL413" s="1938" t="e">
        <f>+CL412/CK152</f>
        <v>#DIV/0!</v>
      </c>
      <c r="CM413" s="1936" t="e">
        <f>+AVERAGE(CI413:CL413)</f>
        <v>#DIV/0!</v>
      </c>
      <c r="CN413" s="60"/>
      <c r="CO413" s="1937" t="e">
        <f>+CO412/CL152</f>
        <v>#DIV/0!</v>
      </c>
      <c r="CP413" s="1938" t="e">
        <f>+CP412/CO152</f>
        <v>#DIV/0!</v>
      </c>
      <c r="CQ413" s="1938" t="e">
        <f>+CQ412/CP152</f>
        <v>#DIV/0!</v>
      </c>
      <c r="CR413" s="1938" t="e">
        <f>+CR412/CQ152</f>
        <v>#DIV/0!</v>
      </c>
      <c r="CS413" s="1936" t="e">
        <f>+AVERAGE(CO413:CR413)</f>
        <v>#DIV/0!</v>
      </c>
      <c r="FA413" s="8"/>
      <c r="FB413" s="8"/>
      <c r="FC413" s="8"/>
      <c r="FD413" s="8"/>
      <c r="FE413" s="8"/>
      <c r="FF413" s="8"/>
      <c r="FG413" s="8"/>
      <c r="FH413" s="8"/>
      <c r="FI413" s="8"/>
      <c r="FJ413" s="8"/>
      <c r="FK413" s="8"/>
      <c r="FL413" s="8"/>
      <c r="FM413" s="8"/>
      <c r="FN413" s="8"/>
      <c r="FO413" s="8"/>
      <c r="FP413" s="8"/>
      <c r="FQ413" s="8"/>
      <c r="FR413" s="8"/>
      <c r="FS413" s="8"/>
      <c r="FT413" s="8"/>
      <c r="FU413" s="8"/>
      <c r="FV413" s="8"/>
      <c r="FW413" s="8"/>
      <c r="FX413" s="8"/>
      <c r="FY413" s="8"/>
      <c r="FZ413" s="8"/>
      <c r="GA413" s="8"/>
      <c r="GB413" s="8"/>
      <c r="GC413" s="8"/>
      <c r="GD413" s="8"/>
      <c r="GE413" s="8"/>
      <c r="GF413" s="8"/>
      <c r="GG413" s="8"/>
      <c r="GH413" s="8"/>
      <c r="GI413" s="8"/>
      <c r="GJ413" s="8"/>
      <c r="GK413" s="8"/>
      <c r="GL413" s="8"/>
      <c r="GM413" s="8"/>
      <c r="GN413" s="8"/>
      <c r="GO413" s="8"/>
      <c r="GP413" s="8"/>
      <c r="GQ413" s="8"/>
      <c r="GR413" s="8"/>
      <c r="GS413" s="8"/>
      <c r="GT413" s="8"/>
      <c r="GU413" s="8"/>
      <c r="GV413" s="8"/>
      <c r="GW413" s="8"/>
      <c r="GX413" s="8"/>
      <c r="GY413" s="8"/>
      <c r="GZ413" s="8"/>
      <c r="HA413" s="8"/>
      <c r="HB413" s="8"/>
      <c r="HC413" s="8"/>
      <c r="HD413" s="8"/>
      <c r="HE413" s="8"/>
      <c r="HF413" s="8"/>
      <c r="HG413" s="8"/>
      <c r="HH413" s="8"/>
      <c r="HI413" s="8"/>
      <c r="HJ413" s="8"/>
      <c r="HK413" s="8"/>
      <c r="HL413" s="8"/>
      <c r="HM413" s="8"/>
      <c r="HN413" s="8"/>
      <c r="HO413" s="8"/>
      <c r="HP413" s="8"/>
      <c r="HQ413" s="8"/>
      <c r="HR413" s="8"/>
      <c r="HS413" s="8"/>
      <c r="HT413" s="8"/>
      <c r="HU413" s="8"/>
      <c r="HV413" s="8"/>
      <c r="HW413" s="8"/>
      <c r="HX413" s="8"/>
      <c r="HY413" s="8"/>
      <c r="HZ413" s="8"/>
      <c r="IA413" s="8"/>
      <c r="IB413" s="8"/>
      <c r="IC413" s="8"/>
      <c r="ID413" s="8"/>
      <c r="IE413" s="8"/>
      <c r="IF413" s="8"/>
      <c r="IG413" s="8"/>
      <c r="IH413" s="8"/>
      <c r="II413" s="8"/>
      <c r="IJ413" s="8"/>
      <c r="IK413" s="8"/>
      <c r="IL413" s="8"/>
      <c r="IM413" s="8"/>
      <c r="IN413" s="8"/>
      <c r="IO413" s="8"/>
      <c r="IP413" s="8"/>
      <c r="IQ413" s="8"/>
      <c r="IR413" s="8"/>
      <c r="IS413" s="8"/>
      <c r="IT413" s="8"/>
      <c r="IU413" s="8"/>
      <c r="IV413" s="8"/>
      <c r="IW413" s="8"/>
      <c r="IX413" s="8"/>
      <c r="IY413" s="8"/>
      <c r="IZ413" s="8"/>
      <c r="JA413" s="8"/>
      <c r="JB413" s="8"/>
      <c r="JC413" s="8"/>
      <c r="JD413" s="8"/>
      <c r="JE413" s="8"/>
      <c r="JF413" s="8"/>
      <c r="JG413" s="8"/>
      <c r="JH413" s="8"/>
      <c r="JI413" s="8"/>
      <c r="JJ413" s="8"/>
      <c r="JK413" s="8"/>
      <c r="JL413" s="8"/>
      <c r="JM413" s="8"/>
      <c r="JN413" s="8"/>
      <c r="JO413" s="8"/>
      <c r="JP413" s="8"/>
      <c r="JQ413" s="8"/>
      <c r="JR413" s="8"/>
      <c r="JS413" s="8"/>
      <c r="JT413" s="8"/>
    </row>
    <row r="414" spans="1:280" s="5" customFormat="1" ht="12.75" hidden="1" customHeight="1" outlineLevel="1">
      <c r="A414" s="1991" t="s">
        <v>708</v>
      </c>
      <c r="B414" s="8"/>
      <c r="C414" s="1855"/>
      <c r="D414" s="8"/>
      <c r="E414" s="8"/>
      <c r="F414"/>
      <c r="G414" s="736"/>
      <c r="H414" s="63"/>
      <c r="I414" s="2277"/>
      <c r="J414" s="2278"/>
      <c r="K414" s="2278"/>
      <c r="L414" s="2278"/>
      <c r="M414" s="2279"/>
      <c r="N414" s="63"/>
      <c r="O414" s="2277"/>
      <c r="P414" s="2278"/>
      <c r="Q414" s="2278"/>
      <c r="R414" s="2278"/>
      <c r="S414" s="2279"/>
      <c r="T414" s="60"/>
      <c r="U414" s="1937"/>
      <c r="V414" s="1938">
        <f>+V412/(U$152++U$154+U$156+U$158)</f>
        <v>3.3333333333333335</v>
      </c>
      <c r="W414" s="1938">
        <f>+W412/(V$152++V$154+V$156+V$158)</f>
        <v>0.61932287365813377</v>
      </c>
      <c r="X414" s="1938">
        <f>+X412/(W$152++W$154+W$156+W$158)</f>
        <v>0.32885121309558607</v>
      </c>
      <c r="Y414" s="1936">
        <f>+AVERAGE(U414:X414)</f>
        <v>1.4271691400290178</v>
      </c>
      <c r="Z414" s="60"/>
      <c r="AA414" s="1937">
        <f>+AA412/(X$152++X$154+X$156+X$158)</f>
        <v>0.20672179247799413</v>
      </c>
      <c r="AB414" s="1938">
        <f>+AB412/(AA$152++AA$154+AA$156+AA$158)</f>
        <v>0.14897287125607653</v>
      </c>
      <c r="AC414" s="1938">
        <f>+AC412/(AB$152++AB$154+AB$156+AB$158)</f>
        <v>9.9047411519709194E-2</v>
      </c>
      <c r="AD414" s="1938">
        <f>+AD412/(AC$152++AC$154+AC$156+AC$158)</f>
        <v>7.7133286318758806E-2</v>
      </c>
      <c r="AE414" s="1936">
        <f>+AVERAGE(AA414:AD414)</f>
        <v>0.13296884039313467</v>
      </c>
      <c r="AF414" s="60"/>
      <c r="AG414" s="1937">
        <f>+AG412/(AD$152++AD$154+AD$156+AD$158)</f>
        <v>3.3387151428172772E-2</v>
      </c>
      <c r="AH414" s="1938">
        <f>+AH412/(AG$152++AG$154+AG$156+AG$158)</f>
        <v>3.6916577879960374E-2</v>
      </c>
      <c r="AI414" s="1938">
        <f>+AI412/(AH$152++AH$154+AH$156+AH$158)</f>
        <v>5.2470986630921722E-2</v>
      </c>
      <c r="AJ414" s="1938">
        <f>+AJ412/(AI$152++AI$154+AI$156+AI$158)</f>
        <v>1.0430661137025508E-2</v>
      </c>
      <c r="AK414" s="1936">
        <f>+AVERAGE(AG414:AJ414)</f>
        <v>3.3301344269020094E-2</v>
      </c>
      <c r="AL414" s="60"/>
      <c r="AM414" s="1937">
        <f>+AM412/(AJ$152++AJ$154+AJ$156+AJ$158)</f>
        <v>1.3568629328991371E-2</v>
      </c>
      <c r="AN414" s="1938">
        <f>+AN412/(AM$152++AM$154+AM$156+AM$158)</f>
        <v>1.2938678275959174E-2</v>
      </c>
      <c r="AO414" s="1938">
        <f>+AO412/(AN$152++AN$154+AN$156+AN$158)</f>
        <v>1.0815565762245022E-2</v>
      </c>
      <c r="AP414" s="1938">
        <f>+AP412/(AO$152++AO$154+AO$156+AO$158)</f>
        <v>2.7175943854499994E-3</v>
      </c>
      <c r="AQ414" s="1936">
        <f>+AVERAGE(AM414:AP414)</f>
        <v>1.0010116938161392E-2</v>
      </c>
      <c r="AR414" s="60"/>
      <c r="AS414" s="1937">
        <f>+AS412/(AP$152++AP$154+AP$156+AP$158)</f>
        <v>2.5896268892837151E-3</v>
      </c>
      <c r="AT414" s="1938">
        <f>+AT412/(AS$152++AS$154+AS$156+AS$158)</f>
        <v>0</v>
      </c>
      <c r="AU414" s="1938">
        <f>+AU412/(AT$152++AT$154+AT$156+AT$158)</f>
        <v>0</v>
      </c>
      <c r="AV414" s="1938">
        <f>+AV412/(AU$152++AU$154+AU$156+AU$158)</f>
        <v>0</v>
      </c>
      <c r="AW414" s="1936">
        <f>+AVERAGE(AS414:AV414)</f>
        <v>6.4740672232092877E-4</v>
      </c>
      <c r="AX414" s="60"/>
      <c r="AY414" s="1937">
        <f>+AY412/(AV$152++AV$154+AV$156+AV$158)</f>
        <v>0</v>
      </c>
      <c r="AZ414" s="1938">
        <f>+AZ412/(AY$152++AY$154+AY$156+AY$158)</f>
        <v>0</v>
      </c>
      <c r="BA414" s="1938">
        <f>+BA412/(AZ$152++AZ$154+AZ$156+AZ$158)</f>
        <v>0</v>
      </c>
      <c r="BB414" s="1938">
        <f>+BB412/(BA$152++BA$154+BA$156+BA$158)</f>
        <v>0</v>
      </c>
      <c r="BC414" s="1936">
        <f>+AVERAGE(AY414:BB414)</f>
        <v>0</v>
      </c>
      <c r="BD414" s="8"/>
      <c r="BE414" s="1937">
        <f>+BE412/(BB$152++BB$154+BB$156+BB$158)</f>
        <v>0</v>
      </c>
      <c r="BF414" s="1938">
        <f>+BF412/(BE$152++BE$154+BE$156+BE$158)</f>
        <v>0</v>
      </c>
      <c r="BG414" s="1938">
        <f>+BG412/(BF$152++BF$154+BF$156+BF$158)</f>
        <v>0</v>
      </c>
      <c r="BH414" s="1938">
        <f>+BH412/(BG$152++BG$154+BG$156+BG$158)</f>
        <v>0</v>
      </c>
      <c r="BI414" s="1936">
        <f>+AVERAGE(BE414:BH414)</f>
        <v>0</v>
      </c>
      <c r="BJ414" s="60"/>
      <c r="BK414" s="1937">
        <f>+BK412/(BH$152++BH$154+BH$156+BH$158)</f>
        <v>0</v>
      </c>
      <c r="BL414" s="1938">
        <f>+BL412/(BK$152++BK$154+BK$156+BK$158)</f>
        <v>0</v>
      </c>
      <c r="BM414" s="1938">
        <f>+BM412/(BL$152++BL$154+BL$156+BL$158)</f>
        <v>0</v>
      </c>
      <c r="BN414" s="1938">
        <f>+BN412/(BM$152++BM$154+BM$156+BM$158)</f>
        <v>0</v>
      </c>
      <c r="BO414" s="1936">
        <f>+AVERAGE(BK414:BN414)</f>
        <v>0</v>
      </c>
      <c r="BP414" s="60"/>
      <c r="BQ414" s="1937">
        <f>+BQ412/(BN$152++BN$154+BN$156+BN$158)</f>
        <v>0</v>
      </c>
      <c r="BR414" s="1938">
        <f>+BR412/(BQ$152++BQ$154+BQ$156+BQ$158)</f>
        <v>0</v>
      </c>
      <c r="BS414" s="1938">
        <f>+BS412/(BR$152++BR$154+BR$156+BR$158)</f>
        <v>0</v>
      </c>
      <c r="BT414" s="1938">
        <f>+BT412/(BS$152++BS$154+BS$156+BS$158)</f>
        <v>0</v>
      </c>
      <c r="BU414" s="1936">
        <f>+AVERAGE(BQ414:BT414)</f>
        <v>0</v>
      </c>
      <c r="BV414" s="60"/>
      <c r="BW414" s="1937">
        <f>+BW412/(BT$152++BT$154+BT$156+BT$158)</f>
        <v>0</v>
      </c>
      <c r="BX414" s="1938">
        <f>+BX412/(BW$152++BW$154+BW$156+BW$158)</f>
        <v>0</v>
      </c>
      <c r="BY414" s="1938">
        <f>+BY412/(BX$152++BX$154+BX$156+BX$158)</f>
        <v>0</v>
      </c>
      <c r="BZ414" s="1938">
        <f>+BZ412/(BY$152++BY$154+BY$156+BY$158)</f>
        <v>0</v>
      </c>
      <c r="CA414" s="1936">
        <f>+AVERAGE(BW414:BZ414)</f>
        <v>0</v>
      </c>
      <c r="CB414" s="60"/>
      <c r="CC414" s="1937">
        <f>+CC412/(BZ$152++BZ$154+BZ$156+BZ$158)</f>
        <v>0</v>
      </c>
      <c r="CD414" s="1938">
        <f>+CD412/(CC$152++CC$154+CC$156+CC$158)</f>
        <v>0</v>
      </c>
      <c r="CE414" s="1938">
        <f>+CE412/(CD$152++CD$154+CD$156+CD$158)</f>
        <v>0</v>
      </c>
      <c r="CF414" s="1938">
        <f>+CF412/(CE$152++CE$154+CE$156+CE$158)</f>
        <v>0</v>
      </c>
      <c r="CG414" s="1936">
        <f>+AVERAGE(CC414:CF414)</f>
        <v>0</v>
      </c>
      <c r="CH414" s="60"/>
      <c r="CI414" s="1937">
        <f>+CI412/(CF$152++CF$154+CF$156+CF$158)</f>
        <v>0</v>
      </c>
      <c r="CJ414" s="1938">
        <f>+CJ412/(CI$152++CI$154+CI$156+CI$158)</f>
        <v>0</v>
      </c>
      <c r="CK414" s="1938">
        <f>+CK412/(CJ$152++CJ$154+CJ$156+CJ$158)</f>
        <v>0</v>
      </c>
      <c r="CL414" s="1938">
        <f>+CL412/(CK$152++CK$154+CK$156+CK$158)</f>
        <v>0</v>
      </c>
      <c r="CM414" s="1936">
        <f>+AVERAGE(CI414:CL414)</f>
        <v>0</v>
      </c>
      <c r="CN414" s="60"/>
      <c r="CO414" s="1937">
        <f>+CO412/(CL$152++CL$154+CL$156+CL$158)</f>
        <v>0</v>
      </c>
      <c r="CP414" s="1938">
        <f>+CP412/(CO$152++CO$154+CO$156+CO$158)</f>
        <v>0</v>
      </c>
      <c r="CQ414" s="1938">
        <f>+CQ412/(CP$152++CP$154+CP$156+CP$158)</f>
        <v>0</v>
      </c>
      <c r="CR414" s="1938">
        <f>+CR412/(CQ$152++CQ$154+CQ$156+CQ$158)</f>
        <v>0</v>
      </c>
      <c r="CS414" s="1936">
        <f>+AVERAGE(CO414:CR414)</f>
        <v>0</v>
      </c>
      <c r="FA414" s="8"/>
      <c r="FB414" s="8"/>
      <c r="FC414" s="8"/>
      <c r="FD414" s="8"/>
      <c r="FE414" s="8"/>
      <c r="FF414" s="8"/>
      <c r="FG414" s="8"/>
      <c r="FH414" s="8"/>
      <c r="FI414" s="8"/>
      <c r="FJ414" s="8"/>
      <c r="FK414" s="8"/>
      <c r="FL414" s="8"/>
      <c r="FM414" s="8"/>
      <c r="FN414" s="8"/>
      <c r="FO414" s="8"/>
      <c r="FP414" s="8"/>
      <c r="FQ414" s="8"/>
      <c r="FR414" s="8"/>
      <c r="FS414" s="8"/>
      <c r="FT414" s="8"/>
      <c r="FU414" s="8"/>
      <c r="FV414" s="8"/>
      <c r="FW414" s="8"/>
      <c r="FX414" s="8"/>
      <c r="FY414" s="8"/>
      <c r="FZ414" s="8"/>
      <c r="GA414" s="8"/>
      <c r="GB414" s="8"/>
      <c r="GC414" s="8"/>
      <c r="GD414" s="8"/>
      <c r="GE414" s="8"/>
      <c r="GF414" s="8"/>
      <c r="GG414" s="8"/>
      <c r="GH414" s="8"/>
      <c r="GI414" s="8"/>
      <c r="GJ414" s="8"/>
      <c r="GK414" s="8"/>
      <c r="GL414" s="8"/>
      <c r="GM414" s="8"/>
      <c r="GN414" s="8"/>
      <c r="GO414" s="8"/>
      <c r="GP414" s="8"/>
      <c r="GQ414" s="8"/>
      <c r="GR414" s="8"/>
      <c r="GS414" s="8"/>
      <c r="GT414" s="8"/>
      <c r="GU414" s="8"/>
      <c r="GV414" s="8"/>
      <c r="GW414" s="8"/>
      <c r="GX414" s="8"/>
      <c r="GY414" s="8"/>
      <c r="GZ414" s="8"/>
      <c r="HA414" s="8"/>
      <c r="HB414" s="8"/>
      <c r="HC414" s="8"/>
      <c r="HD414" s="8"/>
      <c r="HE414" s="8"/>
      <c r="HF414" s="8"/>
      <c r="HG414" s="8"/>
      <c r="HH414" s="8"/>
      <c r="HI414" s="8"/>
      <c r="HJ414" s="8"/>
      <c r="HK414" s="8"/>
      <c r="HL414" s="8"/>
      <c r="HM414" s="8"/>
      <c r="HN414" s="8"/>
      <c r="HO414" s="8"/>
      <c r="HP414" s="8"/>
      <c r="HQ414" s="8"/>
      <c r="HR414" s="8"/>
      <c r="HS414" s="8"/>
      <c r="HT414" s="8"/>
      <c r="HU414" s="8"/>
      <c r="HV414" s="8"/>
      <c r="HW414" s="8"/>
      <c r="HX414" s="8"/>
      <c r="HY414" s="8"/>
      <c r="HZ414" s="8"/>
      <c r="IA414" s="8"/>
      <c r="IB414" s="8"/>
      <c r="IC414" s="8"/>
      <c r="ID414" s="8"/>
      <c r="IE414" s="8"/>
      <c r="IF414" s="8"/>
      <c r="IG414" s="8"/>
      <c r="IH414" s="8"/>
      <c r="II414" s="8"/>
      <c r="IJ414" s="8"/>
      <c r="IK414" s="8"/>
      <c r="IL414" s="8"/>
      <c r="IM414" s="8"/>
      <c r="IN414" s="8"/>
      <c r="IO414" s="8"/>
      <c r="IP414" s="8"/>
      <c r="IQ414" s="8"/>
      <c r="IR414" s="8"/>
      <c r="IS414" s="8"/>
      <c r="IT414" s="8"/>
      <c r="IU414" s="8"/>
      <c r="IV414" s="8"/>
      <c r="IW414" s="8"/>
      <c r="IX414" s="8"/>
      <c r="IY414" s="8"/>
      <c r="IZ414" s="8"/>
      <c r="JA414" s="8"/>
      <c r="JB414" s="8"/>
      <c r="JC414" s="8"/>
      <c r="JD414" s="8"/>
      <c r="JE414" s="8"/>
      <c r="JF414" s="8"/>
      <c r="JG414" s="8"/>
      <c r="JH414" s="8"/>
      <c r="JI414" s="8"/>
      <c r="JJ414" s="8"/>
      <c r="JK414" s="8"/>
      <c r="JL414" s="8"/>
      <c r="JM414" s="8"/>
      <c r="JN414" s="8"/>
      <c r="JO414" s="8"/>
      <c r="JP414" s="8"/>
      <c r="JQ414" s="8"/>
      <c r="JR414" s="8"/>
      <c r="JS414" s="8"/>
      <c r="JT414" s="8"/>
    </row>
    <row r="415" spans="1:280" s="5" customFormat="1" collapsed="1">
      <c r="A415" s="1930" t="s">
        <v>711</v>
      </c>
      <c r="B415"/>
      <c r="C415" s="1855"/>
      <c r="D415"/>
      <c r="E415"/>
      <c r="F415"/>
      <c r="G415" s="736"/>
      <c r="H415" s="63"/>
      <c r="I415" s="2277"/>
      <c r="J415" s="2278"/>
      <c r="K415" s="2278"/>
      <c r="L415" s="2278"/>
      <c r="M415" s="2279"/>
      <c r="N415" s="63"/>
      <c r="O415" s="2277"/>
      <c r="P415" s="2278"/>
      <c r="Q415" s="2278"/>
      <c r="R415" s="2278"/>
      <c r="S415" s="2279"/>
      <c r="T415" s="63"/>
      <c r="U415" s="2277"/>
      <c r="V415" s="2282"/>
      <c r="W415" s="2282"/>
      <c r="X415" s="2282"/>
      <c r="Y415" s="2283"/>
      <c r="Z415" s="63"/>
      <c r="AA415" s="2281"/>
      <c r="AB415" s="2282"/>
      <c r="AC415" s="2282"/>
      <c r="AD415" s="2282"/>
      <c r="AE415" s="2283"/>
      <c r="AF415" s="63"/>
      <c r="AG415" s="2281">
        <f>+AG72</f>
        <v>0</v>
      </c>
      <c r="AH415" s="2282">
        <f>+AH72</f>
        <v>0</v>
      </c>
      <c r="AI415" s="2282">
        <f>+AI72</f>
        <v>2</v>
      </c>
      <c r="AJ415" s="2282">
        <f>+AJ72</f>
        <v>42</v>
      </c>
      <c r="AK415" s="2283">
        <f>+SUM(AG415:AJ415)</f>
        <v>44</v>
      </c>
      <c r="AL415" s="63"/>
      <c r="AM415" s="2281">
        <f>+AM72</f>
        <v>44</v>
      </c>
      <c r="AN415" s="2282">
        <f>+AN72</f>
        <v>56</v>
      </c>
      <c r="AO415" s="2282">
        <f>+AO72</f>
        <v>70</v>
      </c>
      <c r="AP415" s="2282">
        <f>+AP72</f>
        <v>70</v>
      </c>
      <c r="AQ415" s="2283">
        <f>+SUM(AM415:AP415)</f>
        <v>240</v>
      </c>
      <c r="AR415" s="63"/>
      <c r="AS415" s="2281">
        <f>+AS72</f>
        <v>71</v>
      </c>
      <c r="AT415" s="2282">
        <f>+AT72</f>
        <v>65</v>
      </c>
      <c r="AU415" s="2282">
        <f>+AU72</f>
        <v>65</v>
      </c>
      <c r="AV415" s="2282">
        <f>+AV72</f>
        <v>68</v>
      </c>
      <c r="AW415" s="2283">
        <f>+SUM(AS415:AV415)</f>
        <v>269</v>
      </c>
      <c r="AX415" s="63"/>
      <c r="AY415" s="2281">
        <f>+AY72</f>
        <v>15</v>
      </c>
      <c r="AZ415" s="2282">
        <f>+AZ72</f>
        <v>10</v>
      </c>
      <c r="BA415" s="2282">
        <f>+BA72</f>
        <v>0</v>
      </c>
      <c r="BB415" s="2282">
        <f>+BB72</f>
        <v>10</v>
      </c>
      <c r="BC415" s="2283">
        <f>+SUM(AY415:BB415)</f>
        <v>35</v>
      </c>
      <c r="BD415"/>
      <c r="BE415" s="2281">
        <f>+BE72</f>
        <v>8</v>
      </c>
      <c r="BF415" s="2282">
        <f>+BF72</f>
        <v>3</v>
      </c>
      <c r="BG415" s="2282">
        <f>+BG72</f>
        <v>2</v>
      </c>
      <c r="BH415" s="2282">
        <f>+BH72</f>
        <v>0</v>
      </c>
      <c r="BI415" s="2283">
        <f>+SUM(BE415:BH415)</f>
        <v>13</v>
      </c>
      <c r="BJ415" s="63"/>
      <c r="BK415" s="2281">
        <f>+BK72</f>
        <v>0</v>
      </c>
      <c r="BL415" s="2282">
        <f>+BL72</f>
        <v>0</v>
      </c>
      <c r="BM415" s="2282">
        <f>+BM72</f>
        <v>0</v>
      </c>
      <c r="BN415" s="2282">
        <f>+BN72</f>
        <v>0</v>
      </c>
      <c r="BO415" s="2283">
        <f>+SUM(BK415:BN415)</f>
        <v>0</v>
      </c>
      <c r="BP415" s="63"/>
      <c r="BQ415" s="2281">
        <f>+BQ72</f>
        <v>0</v>
      </c>
      <c r="BR415" s="2282">
        <f>+BR72</f>
        <v>0</v>
      </c>
      <c r="BS415" s="2282">
        <f>+BS72</f>
        <v>0</v>
      </c>
      <c r="BT415" s="2282">
        <f>+BT72</f>
        <v>0</v>
      </c>
      <c r="BU415" s="2283">
        <f>+SUM(BQ415:BT415)</f>
        <v>0</v>
      </c>
      <c r="BV415" s="63"/>
      <c r="BW415" s="2281">
        <f>+BW72</f>
        <v>0</v>
      </c>
      <c r="BX415" s="2282">
        <f>+BX72</f>
        <v>0</v>
      </c>
      <c r="BY415" s="2282">
        <f>+BY72</f>
        <v>0</v>
      </c>
      <c r="BZ415" s="2282">
        <f>+BZ72</f>
        <v>0</v>
      </c>
      <c r="CA415" s="2283">
        <f>+SUM(BW415:BZ415)</f>
        <v>0</v>
      </c>
      <c r="CB415" s="63"/>
      <c r="CC415" s="2281">
        <f>+CC72</f>
        <v>0</v>
      </c>
      <c r="CD415" s="2282">
        <f>+CD72</f>
        <v>0</v>
      </c>
      <c r="CE415" s="2282">
        <f>+CE72</f>
        <v>0</v>
      </c>
      <c r="CF415" s="2282">
        <f>+CF72</f>
        <v>0</v>
      </c>
      <c r="CG415" s="2283">
        <f>+SUM(CC415:CF415)</f>
        <v>0</v>
      </c>
      <c r="CH415" s="63"/>
      <c r="CI415" s="2281">
        <f>+CI72</f>
        <v>0</v>
      </c>
      <c r="CJ415" s="2282">
        <f>+CJ72</f>
        <v>0</v>
      </c>
      <c r="CK415" s="2282">
        <f>+CK72</f>
        <v>0</v>
      </c>
      <c r="CL415" s="2282">
        <f>+CL72</f>
        <v>0</v>
      </c>
      <c r="CM415" s="2283">
        <f>+SUM(CI415:CL415)</f>
        <v>0</v>
      </c>
      <c r="CN415" s="63"/>
      <c r="CO415" s="2281">
        <f>+CO72</f>
        <v>0</v>
      </c>
      <c r="CP415" s="2282">
        <f>+CP72</f>
        <v>0</v>
      </c>
      <c r="CQ415" s="2282">
        <f>+CQ72</f>
        <v>0</v>
      </c>
      <c r="CR415" s="2282">
        <f>+CR72</f>
        <v>0</v>
      </c>
      <c r="CS415" s="2283">
        <f>+SUM(CO415:CR415)</f>
        <v>0</v>
      </c>
      <c r="FA415" s="8"/>
      <c r="FB415" s="8"/>
      <c r="FC415" s="8"/>
      <c r="FD415" s="8"/>
      <c r="FE415" s="8"/>
      <c r="FF415" s="8"/>
      <c r="FG415" s="8"/>
      <c r="FH415" s="8"/>
      <c r="FI415" s="8"/>
      <c r="FJ415" s="8"/>
      <c r="FK415" s="8"/>
      <c r="FL415" s="8"/>
      <c r="FM415" s="8"/>
      <c r="FN415" s="8"/>
      <c r="FO415" s="8"/>
      <c r="FP415" s="8"/>
      <c r="FQ415" s="8"/>
      <c r="FR415" s="8"/>
      <c r="FS415" s="8"/>
      <c r="FT415" s="8"/>
      <c r="FU415" s="8"/>
      <c r="FV415" s="8"/>
      <c r="FW415" s="8"/>
      <c r="FX415" s="8"/>
      <c r="FY415" s="8"/>
      <c r="FZ415" s="8"/>
      <c r="GA415" s="8"/>
      <c r="GB415" s="8"/>
      <c r="GC415" s="8"/>
      <c r="GD415" s="8"/>
      <c r="GE415" s="8"/>
      <c r="GF415" s="8"/>
      <c r="GG415" s="8"/>
      <c r="GH415" s="8"/>
      <c r="GI415" s="8"/>
      <c r="GJ415" s="8"/>
      <c r="GK415" s="8"/>
      <c r="GL415" s="8"/>
      <c r="GM415" s="8"/>
      <c r="GN415" s="8"/>
      <c r="GO415" s="8"/>
      <c r="GP415" s="8"/>
      <c r="GQ415" s="8"/>
      <c r="GR415" s="8"/>
      <c r="GS415" s="8"/>
      <c r="GT415" s="8"/>
      <c r="GU415" s="8"/>
      <c r="GV415" s="8"/>
      <c r="GW415" s="8"/>
      <c r="GX415" s="8"/>
      <c r="GY415" s="8"/>
      <c r="GZ415" s="8"/>
      <c r="HA415" s="8"/>
      <c r="HB415" s="8"/>
      <c r="HC415" s="8"/>
      <c r="HD415" s="8"/>
      <c r="HE415" s="8"/>
      <c r="HF415" s="8"/>
      <c r="HG415" s="8"/>
      <c r="HH415" s="8"/>
      <c r="HI415" s="8"/>
      <c r="HJ415" s="8"/>
      <c r="HK415" s="8"/>
      <c r="HL415" s="8"/>
      <c r="HM415" s="8"/>
      <c r="HN415" s="8"/>
      <c r="HO415" s="8"/>
      <c r="HP415" s="8"/>
      <c r="HQ415" s="8"/>
      <c r="HR415" s="8"/>
      <c r="HS415" s="8"/>
      <c r="HT415" s="8"/>
      <c r="HU415" s="8"/>
      <c r="HV415" s="8"/>
      <c r="HW415" s="8"/>
      <c r="HX415" s="8"/>
      <c r="HY415" s="8"/>
      <c r="HZ415" s="8"/>
      <c r="IA415" s="8"/>
      <c r="IB415" s="8"/>
      <c r="IC415" s="8"/>
      <c r="ID415" s="8"/>
      <c r="IE415" s="8"/>
      <c r="IF415" s="8"/>
      <c r="IG415" s="8"/>
      <c r="IH415" s="8"/>
      <c r="II415" s="8"/>
      <c r="IJ415" s="8"/>
      <c r="IK415" s="8"/>
      <c r="IL415" s="8"/>
      <c r="IM415" s="8"/>
      <c r="IN415" s="8"/>
      <c r="IO415" s="8"/>
      <c r="IP415" s="8"/>
      <c r="IQ415" s="8"/>
      <c r="IR415" s="8"/>
      <c r="IS415" s="8"/>
      <c r="IT415" s="8"/>
      <c r="IU415" s="8"/>
      <c r="IV415" s="8"/>
      <c r="IW415" s="8"/>
      <c r="IX415" s="8"/>
      <c r="IY415" s="8"/>
      <c r="IZ415" s="8"/>
      <c r="JA415" s="8"/>
      <c r="JB415" s="8"/>
      <c r="JC415" s="8"/>
      <c r="JD415" s="8"/>
      <c r="JE415" s="8"/>
      <c r="JF415" s="8"/>
      <c r="JG415" s="8"/>
      <c r="JH415" s="8"/>
      <c r="JI415" s="8"/>
      <c r="JJ415" s="8"/>
      <c r="JK415" s="8"/>
      <c r="JL415" s="8"/>
      <c r="JM415" s="8"/>
      <c r="JN415" s="8"/>
      <c r="JO415" s="8"/>
      <c r="JP415" s="8"/>
      <c r="JQ415" s="8"/>
      <c r="JR415" s="8"/>
      <c r="JS415" s="8"/>
      <c r="JT415" s="8"/>
    </row>
    <row r="416" spans="1:280" s="5" customFormat="1" ht="12.75" hidden="1" customHeight="1" outlineLevel="1">
      <c r="A416" s="2311" t="s">
        <v>712</v>
      </c>
      <c r="B416" s="8"/>
      <c r="C416" s="1855"/>
      <c r="D416" s="8"/>
      <c r="E416" s="8"/>
      <c r="F416"/>
      <c r="G416" s="736"/>
      <c r="H416" s="63"/>
      <c r="I416" s="2277"/>
      <c r="J416" s="2278"/>
      <c r="K416" s="2278"/>
      <c r="L416" s="2278"/>
      <c r="M416" s="2279"/>
      <c r="N416" s="63"/>
      <c r="O416" s="2277"/>
      <c r="P416" s="2278"/>
      <c r="Q416" s="2278"/>
      <c r="R416" s="2278"/>
      <c r="S416" s="2279"/>
      <c r="T416" s="60"/>
      <c r="U416" s="1937"/>
      <c r="V416" s="1938"/>
      <c r="W416" s="1938"/>
      <c r="X416" s="1938"/>
      <c r="Y416" s="1936"/>
      <c r="Z416" s="60"/>
      <c r="AA416" s="1937"/>
      <c r="AB416" s="1938"/>
      <c r="AC416" s="1938"/>
      <c r="AD416" s="1938"/>
      <c r="AE416" s="1936"/>
      <c r="AF416" s="60"/>
      <c r="AG416" s="1937"/>
      <c r="AH416" s="1938"/>
      <c r="AI416" s="1938"/>
      <c r="AJ416" s="1938">
        <f>+AJ415/AI154</f>
        <v>21</v>
      </c>
      <c r="AK416" s="1936">
        <f>+AVERAGE(AG416:AJ416)</f>
        <v>21</v>
      </c>
      <c r="AL416" s="60"/>
      <c r="AM416" s="1937">
        <f>+AM415/AJ154</f>
        <v>0.30555555555555558</v>
      </c>
      <c r="AN416" s="1938">
        <f>+AN415/AM154</f>
        <v>0.17073170731707318</v>
      </c>
      <c r="AO416" s="1938">
        <f>+AO415/AN154</f>
        <v>0.14028056112224449</v>
      </c>
      <c r="AP416" s="1938">
        <f>+AP415/AO154</f>
        <v>0.11686143572621036</v>
      </c>
      <c r="AQ416" s="1936">
        <f>+AVERAGE(AM416:AP416)</f>
        <v>0.18335731493027091</v>
      </c>
      <c r="AR416" s="60"/>
      <c r="AS416" s="1937">
        <f>+AS415/AP154</f>
        <v>0.10612855007473841</v>
      </c>
      <c r="AT416" s="1938">
        <f>+AT415/AS154</f>
        <v>8.7837837837837843E-2</v>
      </c>
      <c r="AU416" s="1938">
        <f>+AU415/AT154</f>
        <v>8.0745341614906832E-2</v>
      </c>
      <c r="AV416" s="1938">
        <f>+AV415/AU154</f>
        <v>7.8160919540229884E-2</v>
      </c>
      <c r="AW416" s="1936">
        <f>+AVERAGE(AS416:AV416)</f>
        <v>8.8218162266928246E-2</v>
      </c>
      <c r="AX416" s="60"/>
      <c r="AY416" s="1937">
        <f>+AY415/AV154</f>
        <v>1.5991471215351813E-2</v>
      </c>
      <c r="AZ416" s="1938">
        <f>+AZ415/AY154</f>
        <v>1.0698516864607059E-2</v>
      </c>
      <c r="BA416" s="1938">
        <f>+BA415/AZ154</f>
        <v>0</v>
      </c>
      <c r="BB416" s="1938">
        <f>+BB415/BA154</f>
        <v>1.1068840439344415E-2</v>
      </c>
      <c r="BC416" s="1936">
        <f>+AVERAGE(AY416:BB416)</f>
        <v>9.4397071298258223E-3</v>
      </c>
      <c r="BD416" s="8"/>
      <c r="BE416" s="1937">
        <f>+BE415/BB154</f>
        <v>8.8398278443527316E-3</v>
      </c>
      <c r="BF416" s="1938">
        <f>+BF415/BE154</f>
        <v>3.4843407917583727E-3</v>
      </c>
      <c r="BG416" s="1938">
        <f>+BG415/BF154</f>
        <v>2.3923588059737199E-3</v>
      </c>
      <c r="BH416" s="1938">
        <f>+BH415/BG154</f>
        <v>0</v>
      </c>
      <c r="BI416" s="1936">
        <f>+AVERAGE(BE416:BH416)</f>
        <v>3.6791318605212059E-3</v>
      </c>
      <c r="BJ416" s="60"/>
      <c r="BK416" s="1937">
        <f>+BK415/BH154</f>
        <v>0</v>
      </c>
      <c r="BL416" s="1938">
        <f>+BL415/BK154</f>
        <v>0</v>
      </c>
      <c r="BM416" s="1938">
        <f>+BM415/BL154</f>
        <v>0</v>
      </c>
      <c r="BN416" s="1938">
        <f>+BN415/BM154</f>
        <v>0</v>
      </c>
      <c r="BO416" s="1936">
        <f>+AVERAGE(BK416:BN416)</f>
        <v>0</v>
      </c>
      <c r="BP416" s="60"/>
      <c r="BQ416" s="1937">
        <f>+BQ415/BN154</f>
        <v>0</v>
      </c>
      <c r="BR416" s="1938">
        <f>+BR415/BQ154</f>
        <v>0</v>
      </c>
      <c r="BS416" s="1938">
        <f>+BS415/BR154</f>
        <v>0</v>
      </c>
      <c r="BT416" s="1938">
        <f>+BT415/BS154</f>
        <v>0</v>
      </c>
      <c r="BU416" s="1936">
        <f>+AVERAGE(BQ416:BT416)</f>
        <v>0</v>
      </c>
      <c r="BV416" s="60"/>
      <c r="BW416" s="1937">
        <f>+BW415/BT154</f>
        <v>0</v>
      </c>
      <c r="BX416" s="1938">
        <f>+BX415/BW154</f>
        <v>0</v>
      </c>
      <c r="BY416" s="1938">
        <f>+BY415/BX154</f>
        <v>0</v>
      </c>
      <c r="BZ416" s="1938">
        <f>+BZ415/BY154</f>
        <v>0</v>
      </c>
      <c r="CA416" s="1936">
        <f>+AVERAGE(BW416:BZ416)</f>
        <v>0</v>
      </c>
      <c r="CB416" s="60"/>
      <c r="CC416" s="1937">
        <f>+CC415/BZ154</f>
        <v>0</v>
      </c>
      <c r="CD416" s="1938">
        <f>+CD415/CC154</f>
        <v>0</v>
      </c>
      <c r="CE416" s="1938">
        <f>+CE415/CD154</f>
        <v>0</v>
      </c>
      <c r="CF416" s="1938">
        <f>+CF415/CE154</f>
        <v>0</v>
      </c>
      <c r="CG416" s="1936">
        <f>+AVERAGE(CC416:CF416)</f>
        <v>0</v>
      </c>
      <c r="CH416" s="60"/>
      <c r="CI416" s="1937">
        <f>+CI415/CF154</f>
        <v>0</v>
      </c>
      <c r="CJ416" s="1938">
        <f>+CJ415/CI154</f>
        <v>0</v>
      </c>
      <c r="CK416" s="1938">
        <f>+CK415/CJ154</f>
        <v>0</v>
      </c>
      <c r="CL416" s="1938" t="e">
        <f>+CL415/CK154</f>
        <v>#DIV/0!</v>
      </c>
      <c r="CM416" s="1936" t="e">
        <f>+AVERAGE(CI416:CL416)</f>
        <v>#DIV/0!</v>
      </c>
      <c r="CN416" s="60"/>
      <c r="CO416" s="1937" t="e">
        <f>+CO415/CL154</f>
        <v>#DIV/0!</v>
      </c>
      <c r="CP416" s="1938" t="e">
        <f>+CP415/CO154</f>
        <v>#DIV/0!</v>
      </c>
      <c r="CQ416" s="1938" t="e">
        <f>+CQ415/CP154</f>
        <v>#DIV/0!</v>
      </c>
      <c r="CR416" s="1938" t="e">
        <f>+CR415/CQ154</f>
        <v>#DIV/0!</v>
      </c>
      <c r="CS416" s="1936" t="e">
        <f>+AVERAGE(CO416:CR416)</f>
        <v>#DIV/0!</v>
      </c>
      <c r="FA416" s="8"/>
      <c r="FB416" s="8"/>
      <c r="FC416" s="8"/>
      <c r="FD416" s="8"/>
      <c r="FE416" s="8"/>
      <c r="FF416" s="8"/>
      <c r="FG416" s="8"/>
      <c r="FH416" s="8"/>
      <c r="FI416" s="8"/>
      <c r="FJ416" s="8"/>
      <c r="FK416" s="8"/>
      <c r="FL416" s="8"/>
      <c r="FM416" s="8"/>
      <c r="FN416" s="8"/>
      <c r="FO416" s="8"/>
      <c r="FP416" s="8"/>
      <c r="FQ416" s="8"/>
      <c r="FR416" s="8"/>
      <c r="FS416" s="8"/>
      <c r="FT416" s="8"/>
      <c r="FU416" s="8"/>
      <c r="FV416" s="8"/>
      <c r="FW416" s="8"/>
      <c r="FX416" s="8"/>
      <c r="FY416" s="8"/>
      <c r="FZ416" s="8"/>
      <c r="GA416" s="8"/>
      <c r="GB416" s="8"/>
      <c r="GC416" s="8"/>
      <c r="GD416" s="8"/>
      <c r="GE416" s="8"/>
      <c r="GF416" s="8"/>
      <c r="GG416" s="8"/>
      <c r="GH416" s="8"/>
      <c r="GI416" s="8"/>
      <c r="GJ416" s="8"/>
      <c r="GK416" s="8"/>
      <c r="GL416" s="8"/>
      <c r="GM416" s="8"/>
      <c r="GN416" s="8"/>
      <c r="GO416" s="8"/>
      <c r="GP416" s="8"/>
      <c r="GQ416" s="8"/>
      <c r="GR416" s="8"/>
      <c r="GS416" s="8"/>
      <c r="GT416" s="8"/>
      <c r="GU416" s="8"/>
      <c r="GV416" s="8"/>
      <c r="GW416" s="8"/>
      <c r="GX416" s="8"/>
      <c r="GY416" s="8"/>
      <c r="GZ416" s="8"/>
      <c r="HA416" s="8"/>
      <c r="HB416" s="8"/>
      <c r="HC416" s="8"/>
      <c r="HD416" s="8"/>
      <c r="HE416" s="8"/>
      <c r="HF416" s="8"/>
      <c r="HG416" s="8"/>
      <c r="HH416" s="8"/>
      <c r="HI416" s="8"/>
      <c r="HJ416" s="8"/>
      <c r="HK416" s="8"/>
      <c r="HL416" s="8"/>
      <c r="HM416" s="8"/>
      <c r="HN416" s="8"/>
      <c r="HO416" s="8"/>
      <c r="HP416" s="8"/>
      <c r="HQ416" s="8"/>
      <c r="HR416" s="8"/>
      <c r="HS416" s="8"/>
      <c r="HT416" s="8"/>
      <c r="HU416" s="8"/>
      <c r="HV416" s="8"/>
      <c r="HW416" s="8"/>
      <c r="HX416" s="8"/>
      <c r="HY416" s="8"/>
      <c r="HZ416" s="8"/>
      <c r="IA416" s="8"/>
      <c r="IB416" s="8"/>
      <c r="IC416" s="8"/>
      <c r="ID416" s="8"/>
      <c r="IE416" s="8"/>
      <c r="IF416" s="8"/>
      <c r="IG416" s="8"/>
      <c r="IH416" s="8"/>
      <c r="II416" s="8"/>
      <c r="IJ416" s="8"/>
      <c r="IK416" s="8"/>
      <c r="IL416" s="8"/>
      <c r="IM416" s="8"/>
      <c r="IN416" s="8"/>
      <c r="IO416" s="8"/>
      <c r="IP416" s="8"/>
      <c r="IQ416" s="8"/>
      <c r="IR416" s="8"/>
      <c r="IS416" s="8"/>
      <c r="IT416" s="8"/>
      <c r="IU416" s="8"/>
      <c r="IV416" s="8"/>
      <c r="IW416" s="8"/>
      <c r="IX416" s="8"/>
      <c r="IY416" s="8"/>
      <c r="IZ416" s="8"/>
      <c r="JA416" s="8"/>
      <c r="JB416" s="8"/>
      <c r="JC416" s="8"/>
      <c r="JD416" s="8"/>
      <c r="JE416" s="8"/>
      <c r="JF416" s="8"/>
      <c r="JG416" s="8"/>
      <c r="JH416" s="8"/>
      <c r="JI416" s="8"/>
      <c r="JJ416" s="8"/>
      <c r="JK416" s="8"/>
      <c r="JL416" s="8"/>
      <c r="JM416" s="8"/>
      <c r="JN416" s="8"/>
      <c r="JO416" s="8"/>
      <c r="JP416" s="8"/>
      <c r="JQ416" s="8"/>
      <c r="JR416" s="8"/>
      <c r="JS416" s="8"/>
      <c r="JT416" s="8"/>
    </row>
    <row r="417" spans="1:280" s="6" customFormat="1" collapsed="1">
      <c r="A417" s="1991" t="s">
        <v>708</v>
      </c>
      <c r="B417" s="8"/>
      <c r="C417" s="1855"/>
      <c r="D417" s="8"/>
      <c r="E417" s="8"/>
      <c r="F417"/>
      <c r="G417" s="736"/>
      <c r="H417" s="63"/>
      <c r="I417" s="2277"/>
      <c r="J417" s="2278"/>
      <c r="K417" s="2278"/>
      <c r="L417" s="2278"/>
      <c r="M417" s="2279"/>
      <c r="N417" s="63"/>
      <c r="O417" s="2277"/>
      <c r="P417" s="2278"/>
      <c r="Q417" s="2278"/>
      <c r="R417" s="2278"/>
      <c r="S417" s="2279"/>
      <c r="T417" s="60"/>
      <c r="U417" s="1937"/>
      <c r="V417" s="1938"/>
      <c r="W417" s="1938"/>
      <c r="X417" s="1938"/>
      <c r="Y417" s="1936"/>
      <c r="Z417" s="60"/>
      <c r="AA417" s="1937"/>
      <c r="AB417" s="1938"/>
      <c r="AC417" s="1938"/>
      <c r="AD417" s="1938"/>
      <c r="AE417" s="1936"/>
      <c r="AF417" s="60"/>
      <c r="AG417" s="1937"/>
      <c r="AH417" s="1938"/>
      <c r="AI417" s="1938">
        <f>+AI415/(AH$152++AH$154+AH$156+AH$158)</f>
        <v>1.7637306430561923E-3</v>
      </c>
      <c r="AJ417" s="1938">
        <f>+AJ415/(AI$152++AI$154+AI$156+AI$158)</f>
        <v>3.5047021420405708E-2</v>
      </c>
      <c r="AK417" s="1936">
        <f>+AVERAGE(AG417:AJ417)</f>
        <v>1.8405376031730949E-2</v>
      </c>
      <c r="AL417" s="60"/>
      <c r="AM417" s="1937">
        <f>+AM415/(AJ$152++AJ$154+AJ$156+AJ$158)</f>
        <v>3.5118805322095312E-2</v>
      </c>
      <c r="AN417" s="1938">
        <f>+AN415/(AM$152++AM$154+AM$156+AM$158)</f>
        <v>4.2621528438453751E-2</v>
      </c>
      <c r="AO417" s="1938">
        <f>+AO415/(AN$152++AN$154+AN$156+AN$158)</f>
        <v>5.0472640223810102E-2</v>
      </c>
      <c r="AP417" s="1938">
        <f>+AP415/(AO$152++AO$154+AO$156+AO$158)</f>
        <v>4.7557901745374991E-2</v>
      </c>
      <c r="AQ417" s="1936">
        <f>+AVERAGE(AM417:AP417)</f>
        <v>4.3942718932433539E-2</v>
      </c>
      <c r="AR417" s="60"/>
      <c r="AS417" s="1937">
        <f>+AS415/(AP$152++AP$154+AP$156+AP$158)</f>
        <v>4.596587728478594E-2</v>
      </c>
      <c r="AT417" s="1938">
        <f>+AT415/(AS$152++AS$154+AS$156+AS$158)</f>
        <v>4.0132770066385035E-2</v>
      </c>
      <c r="AU417" s="1938">
        <f>+AU415/(AT$152++AT$154+AT$156+AT$158)</f>
        <v>3.8584276182187412E-2</v>
      </c>
      <c r="AV417" s="1938">
        <f>+AV415/(AU$152++AU$154+AU$156+AU$158)</f>
        <v>3.8865492049849591E-2</v>
      </c>
      <c r="AW417" s="1936">
        <f>+AVERAGE(AS417:AV417)</f>
        <v>4.0887103895801996E-2</v>
      </c>
      <c r="AX417" s="60"/>
      <c r="AY417" s="1937">
        <f>+AY415/(AV$152++AV$154+AV$156+AV$158)</f>
        <v>8.2525316036799259E-3</v>
      </c>
      <c r="AZ417" s="1938">
        <f>+AZ415/(AY$152++AY$154+AY$156+AY$158)</f>
        <v>5.3258797712674791E-3</v>
      </c>
      <c r="BA417" s="1938">
        <f>+BA415/(AZ$152++AZ$154+AZ$156+AZ$158)</f>
        <v>0</v>
      </c>
      <c r="BB417" s="1938">
        <f>+BB415/(BA$152++BA$154+BA$156+BA$158)</f>
        <v>5.000940026320737E-3</v>
      </c>
      <c r="BC417" s="1936">
        <f>+AVERAGE(AY417:BB417)</f>
        <v>4.6448378503170353E-3</v>
      </c>
      <c r="BD417" s="8"/>
      <c r="BE417" s="1937">
        <f>+BE415/(BB$152++BB$154+BB$156+BB$158)</f>
        <v>3.8974501738101605E-3</v>
      </c>
      <c r="BF417" s="1938">
        <f>+BF415/(BE$152++BE$154+BE$156+BE$158)</f>
        <v>1.4987575896830789E-3</v>
      </c>
      <c r="BG417" s="1938">
        <f>+BG415/(BF$152++BF$154+BF$156+BF$158)</f>
        <v>1.0037011578301112E-3</v>
      </c>
      <c r="BH417" s="1938">
        <f>+BH415/(BG$152++BG$154+BG$156+BG$158)</f>
        <v>0</v>
      </c>
      <c r="BI417" s="1936">
        <f>+AVERAGE(BE417:BH417)</f>
        <v>1.5999772303308376E-3</v>
      </c>
      <c r="BJ417" s="60"/>
      <c r="BK417" s="1937">
        <f>+BK415/(BH$152++BH$154+BH$156+BH$158)</f>
        <v>0</v>
      </c>
      <c r="BL417" s="1938">
        <f>+BL415/(BK$152++BK$154+BK$156+BK$158)</f>
        <v>0</v>
      </c>
      <c r="BM417" s="1938">
        <f>+BM415/(BL$152++BL$154+BL$156+BL$158)</f>
        <v>0</v>
      </c>
      <c r="BN417" s="1938">
        <f>+BN415/(BM$152++BM$154+BM$156+BM$158)</f>
        <v>0</v>
      </c>
      <c r="BO417" s="1936">
        <f>+AVERAGE(BK417:BN417)</f>
        <v>0</v>
      </c>
      <c r="BP417" s="60"/>
      <c r="BQ417" s="1937">
        <f>+BQ415/(BN$152++BN$154+BN$156+BN$158)</f>
        <v>0</v>
      </c>
      <c r="BR417" s="1938">
        <f>+BR415/(BQ$152++BQ$154+BQ$156+BQ$158)</f>
        <v>0</v>
      </c>
      <c r="BS417" s="1938">
        <f>+BS415/(BR$152++BR$154+BR$156+BR$158)</f>
        <v>0</v>
      </c>
      <c r="BT417" s="1938">
        <f>+BT415/(BS$152++BS$154+BS$156+BS$158)</f>
        <v>0</v>
      </c>
      <c r="BU417" s="1936">
        <f>+AVERAGE(BQ417:BT417)</f>
        <v>0</v>
      </c>
      <c r="BV417" s="60"/>
      <c r="BW417" s="1937">
        <f>+BW415/(BT$152++BT$154+BT$156+BT$158)</f>
        <v>0</v>
      </c>
      <c r="BX417" s="1938">
        <f>+BX415/(BW$152++BW$154+BW$156+BW$158)</f>
        <v>0</v>
      </c>
      <c r="BY417" s="1938">
        <f>+BY415/(BX$152++BX$154+BX$156+BX$158)</f>
        <v>0</v>
      </c>
      <c r="BZ417" s="1938">
        <f>+BZ415/(BY$152++BY$154+BY$156+BY$158)</f>
        <v>0</v>
      </c>
      <c r="CA417" s="1936">
        <f>+AVERAGE(BW417:BZ417)</f>
        <v>0</v>
      </c>
      <c r="CB417" s="60"/>
      <c r="CC417" s="1937">
        <f>+CC415/(BZ$152++BZ$154+BZ$156+BZ$158)</f>
        <v>0</v>
      </c>
      <c r="CD417" s="1938">
        <f>+CD415/(CC$152++CC$154+CC$156+CC$158)</f>
        <v>0</v>
      </c>
      <c r="CE417" s="1938">
        <f>+CE415/(CD$152++CD$154+CD$156+CD$158)</f>
        <v>0</v>
      </c>
      <c r="CF417" s="1938">
        <f>+CF415/(CE$152++CE$154+CE$156+CE$158)</f>
        <v>0</v>
      </c>
      <c r="CG417" s="1936">
        <f>+AVERAGE(CC417:CF417)</f>
        <v>0</v>
      </c>
      <c r="CH417" s="60"/>
      <c r="CI417" s="1937">
        <f>+CI415/(CF$152++CF$154+CF$156+CF$158)</f>
        <v>0</v>
      </c>
      <c r="CJ417" s="1938">
        <f>+CJ415/(CI$152++CI$154+CI$156+CI$158)</f>
        <v>0</v>
      </c>
      <c r="CK417" s="1938">
        <f>+CK415/(CJ$152++CJ$154+CJ$156+CJ$158)</f>
        <v>0</v>
      </c>
      <c r="CL417" s="1938">
        <f>+CL415/(CK$152++CK$154+CK$156+CK$158)</f>
        <v>0</v>
      </c>
      <c r="CM417" s="1936">
        <f>+AVERAGE(CI417:CL417)</f>
        <v>0</v>
      </c>
      <c r="CN417" s="60"/>
      <c r="CO417" s="1937">
        <f>+CO415/(CL$152++CL$154+CL$156+CL$158)</f>
        <v>0</v>
      </c>
      <c r="CP417" s="1938">
        <f>+CP415/(CO$152++CO$154+CO$156+CO$158)</f>
        <v>0</v>
      </c>
      <c r="CQ417" s="1938">
        <f>+CQ415/(CP$152++CP$154+CP$156+CP$158)</f>
        <v>0</v>
      </c>
      <c r="CR417" s="1938">
        <f>+CR415/(CQ$152++CQ$154+CQ$156+CQ$158)</f>
        <v>0</v>
      </c>
      <c r="CS417" s="1936">
        <f>+AVERAGE(CO417:CR417)</f>
        <v>0</v>
      </c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</row>
    <row r="418" spans="1:280" s="6" customFormat="1">
      <c r="A418" s="1930" t="s">
        <v>724</v>
      </c>
      <c r="B418" s="8"/>
      <c r="C418" s="1855"/>
      <c r="D418" s="8"/>
      <c r="E418" s="8"/>
      <c r="F418"/>
      <c r="G418" s="736"/>
      <c r="H418" s="63"/>
      <c r="I418" s="2277"/>
      <c r="J418" s="2278"/>
      <c r="K418" s="2278"/>
      <c r="L418" s="2278"/>
      <c r="M418" s="2279"/>
      <c r="N418" s="63"/>
      <c r="O418" s="2277"/>
      <c r="P418" s="2278"/>
      <c r="Q418" s="2278"/>
      <c r="R418" s="2278"/>
      <c r="S418" s="2279"/>
      <c r="T418" s="60"/>
      <c r="U418" s="1937"/>
      <c r="V418" s="1938"/>
      <c r="W418" s="1938"/>
      <c r="X418" s="1938"/>
      <c r="Y418" s="1936"/>
      <c r="Z418" s="60"/>
      <c r="AA418" s="1937"/>
      <c r="AB418" s="1938"/>
      <c r="AC418" s="1938"/>
      <c r="AD418" s="1938"/>
      <c r="AE418" s="1936"/>
      <c r="AF418" s="60"/>
      <c r="AG418" s="2281">
        <f>+AG83+AG85+AG87+AG94+AG96</f>
        <v>0</v>
      </c>
      <c r="AH418" s="2282">
        <f>+AH83+AH85+AH87+AH94+AH96</f>
        <v>0</v>
      </c>
      <c r="AI418" s="2282">
        <f>+AI83+AI85+AI87+AI94+AI96</f>
        <v>0</v>
      </c>
      <c r="AJ418" s="2282">
        <f>+AJ83+AJ85+AJ87+AJ94+AJ96</f>
        <v>0</v>
      </c>
      <c r="AK418" s="2283">
        <f>+SUM(AG418:AJ418)</f>
        <v>0</v>
      </c>
      <c r="AL418" s="60"/>
      <c r="AM418" s="2281">
        <f>+AM83+AM85+AM87+AM94+AM96</f>
        <v>0</v>
      </c>
      <c r="AN418" s="2282">
        <f>+AN83+AN85+AN87+AN94+AN96</f>
        <v>0</v>
      </c>
      <c r="AO418" s="2282">
        <f>+AO83+AO85+AO87+AO94+AO96</f>
        <v>0</v>
      </c>
      <c r="AP418" s="2282">
        <f>+AP83+AP85+AP87+AP94+AP96</f>
        <v>0</v>
      </c>
      <c r="AQ418" s="2283">
        <f>+SUM(AM418:AP418)</f>
        <v>0</v>
      </c>
      <c r="AR418" s="60"/>
      <c r="AS418" s="2281">
        <f>+AS83+AS85+AS87+AS94+AS96</f>
        <v>0</v>
      </c>
      <c r="AT418" s="2282">
        <f>+AT83+AT85+AT87+AT94+AT96</f>
        <v>0</v>
      </c>
      <c r="AU418" s="2282">
        <f>+AU83+AU85+AU87+AU94+AU96</f>
        <v>0</v>
      </c>
      <c r="AV418" s="2282">
        <f>+AV83+AV85+AV87+AV94+AV96</f>
        <v>0</v>
      </c>
      <c r="AW418" s="2283">
        <f>+SUM(AS418:AV418)</f>
        <v>0</v>
      </c>
      <c r="AX418" s="60"/>
      <c r="AY418" s="2281">
        <f>+AY83+AY85+AY87+AY94+AY96</f>
        <v>63.291000000000004</v>
      </c>
      <c r="AZ418" s="2282">
        <f>+AZ83+AZ85+AZ87+AZ94+AZ96</f>
        <v>78.837887218045111</v>
      </c>
      <c r="BA418" s="2282">
        <f>+BA83+BA85+BA87+BA94+BA96</f>
        <v>76.457248120300761</v>
      </c>
      <c r="BB418" s="2282">
        <f>+BB83+BB85+BB87+BB94+BB96</f>
        <v>51.442</v>
      </c>
      <c r="BC418" s="2283">
        <f>+SUM(AY418:BB418)</f>
        <v>270.02813533834586</v>
      </c>
      <c r="BD418" s="8"/>
      <c r="BE418" s="2281">
        <f>+BE83+BE85+BE87+BE94+BE96</f>
        <v>44.033860150375943</v>
      </c>
      <c r="BF418" s="2282">
        <f>+BF83+BF85+BF87+BF94+BF96</f>
        <v>35.967060150375943</v>
      </c>
      <c r="BG418" s="2282">
        <f>+BG83+BG85+BG87+BG94+BG96</f>
        <v>23.0748</v>
      </c>
      <c r="BH418" s="2282">
        <f>+BH83+BH85+BH87+BH94+BH96</f>
        <v>26.263999999999999</v>
      </c>
      <c r="BI418" s="2283">
        <f>+SUM(BE418:BH418)</f>
        <v>129.33972030075188</v>
      </c>
      <c r="BJ418" s="60"/>
      <c r="BK418" s="2281">
        <f>+BK83+BK85+BK87+BK94+BK96</f>
        <v>7.0350000000000001</v>
      </c>
      <c r="BL418" s="2282">
        <f>+BL83+BL85+BL87+BL94+BL96</f>
        <v>0</v>
      </c>
      <c r="BM418" s="2282">
        <f>+BM83+BM85+BM87+BM94+BM96</f>
        <v>0</v>
      </c>
      <c r="BN418" s="2282">
        <f>+BN83+BN85+BN87+BN94+BN96</f>
        <v>0</v>
      </c>
      <c r="BO418" s="2283">
        <f>+SUM(BK418:BN418)</f>
        <v>7.0350000000000001</v>
      </c>
      <c r="BP418" s="60"/>
      <c r="BQ418" s="2281">
        <f>+BQ83+BQ85+BQ87+BQ94+BQ96</f>
        <v>0</v>
      </c>
      <c r="BR418" s="2282">
        <f>+BR83+BR85+BR87+BR94+BR96</f>
        <v>0</v>
      </c>
      <c r="BS418" s="2282">
        <f>+BS83+BS85+BS87+BS94+BS96</f>
        <v>0</v>
      </c>
      <c r="BT418" s="2282">
        <f>+BT83+BT85+BT87+BT94+BT96</f>
        <v>0</v>
      </c>
      <c r="BU418" s="2283">
        <f>+SUM(BQ418:BT418)</f>
        <v>0</v>
      </c>
      <c r="BV418" s="60"/>
      <c r="BW418" s="2281">
        <f>+BW83+BW85+BW87+BW94+BW96</f>
        <v>0</v>
      </c>
      <c r="BX418" s="2282">
        <f>+BX83+BX85+BX87+BX94+BX96</f>
        <v>0</v>
      </c>
      <c r="BY418" s="2282">
        <f>+BY83+BY85+BY87+BY94+BY96</f>
        <v>0</v>
      </c>
      <c r="BZ418" s="2282">
        <f>+BZ83+BZ85+BZ87+BZ94+BZ96</f>
        <v>0</v>
      </c>
      <c r="CA418" s="2283">
        <f>+SUM(BW418:BZ418)</f>
        <v>0</v>
      </c>
      <c r="CB418" s="60"/>
      <c r="CC418" s="2281">
        <f>+CC83+CC85+CC87+CC94+CC96</f>
        <v>0</v>
      </c>
      <c r="CD418" s="2282">
        <f>+CD83+CD85+CD87+CD94+CD96</f>
        <v>0</v>
      </c>
      <c r="CE418" s="2282">
        <f>+CE83+CE85+CE87+CE94+CE96</f>
        <v>0</v>
      </c>
      <c r="CF418" s="2282">
        <f>+CF83+CF85+CF87+CF94+CF96</f>
        <v>0</v>
      </c>
      <c r="CG418" s="2283">
        <f>+SUM(CC418:CF418)</f>
        <v>0</v>
      </c>
      <c r="CH418" s="60"/>
      <c r="CI418" s="2281">
        <f>+CI83+CI85+CI87+CI94+CI96</f>
        <v>0</v>
      </c>
      <c r="CJ418" s="2282">
        <f>+CJ83+CJ85+CJ87+CJ94+CJ96</f>
        <v>0</v>
      </c>
      <c r="CK418" s="2282">
        <f>+CK83+CK85+CK87+CK94+CK96</f>
        <v>0</v>
      </c>
      <c r="CL418" s="2282">
        <f>+CL83+CL85+CL87+CL94+CL96</f>
        <v>0</v>
      </c>
      <c r="CM418" s="2283">
        <f>+SUM(CI418:CL418)</f>
        <v>0</v>
      </c>
      <c r="CN418" s="60"/>
      <c r="CO418" s="2281">
        <f>+CO83+CO85+CO87+CO94+CO96</f>
        <v>0</v>
      </c>
      <c r="CP418" s="2282">
        <f>+CP83+CP85+CP87+CP94+CP96</f>
        <v>0</v>
      </c>
      <c r="CQ418" s="2282">
        <f>+CQ83+CQ85+CQ87+CQ94+CQ96</f>
        <v>0</v>
      </c>
      <c r="CR418" s="2282">
        <f>+CR83+CR85+CR87+CR94+CR96</f>
        <v>0</v>
      </c>
      <c r="CS418" s="2283">
        <f>+SUM(CO418:CR418)</f>
        <v>0</v>
      </c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  <c r="HB418"/>
      <c r="HC418"/>
      <c r="HD418"/>
      <c r="HE418"/>
      <c r="HF418"/>
      <c r="HG418"/>
      <c r="HH418"/>
      <c r="HI418"/>
      <c r="HJ418"/>
      <c r="HK418"/>
      <c r="HL418"/>
      <c r="HM418"/>
      <c r="HN418"/>
      <c r="HO418"/>
      <c r="HP418"/>
      <c r="HQ418"/>
      <c r="HR418"/>
      <c r="HS418"/>
      <c r="HT418"/>
      <c r="HU418"/>
      <c r="HV418"/>
      <c r="HW418"/>
      <c r="HX418"/>
      <c r="HY418"/>
      <c r="HZ418"/>
      <c r="IA418"/>
      <c r="IB418"/>
      <c r="IC418"/>
      <c r="ID418"/>
      <c r="IE418"/>
      <c r="IF418"/>
      <c r="IG418"/>
      <c r="IH418"/>
      <c r="II418"/>
      <c r="IJ418"/>
      <c r="IK418"/>
      <c r="IL418"/>
      <c r="IM418"/>
      <c r="IN418"/>
      <c r="IO418"/>
      <c r="IP418"/>
      <c r="IQ418"/>
      <c r="IR418"/>
      <c r="IS418"/>
      <c r="IT418"/>
      <c r="IU418"/>
      <c r="IV418"/>
      <c r="IW418"/>
      <c r="IX418"/>
      <c r="IY418"/>
      <c r="IZ418"/>
      <c r="JA418"/>
      <c r="JB418"/>
      <c r="JC418"/>
      <c r="JD418"/>
      <c r="JE418"/>
      <c r="JF418"/>
      <c r="JG418"/>
      <c r="JH418"/>
      <c r="JI418"/>
      <c r="JJ418"/>
      <c r="JK418"/>
      <c r="JL418"/>
      <c r="JM418"/>
      <c r="JN418"/>
      <c r="JO418"/>
      <c r="JP418"/>
      <c r="JQ418"/>
      <c r="JR418"/>
      <c r="JS418"/>
      <c r="JT418"/>
    </row>
    <row r="419" spans="1:280" s="6" customFormat="1">
      <c r="A419" s="1991" t="s">
        <v>708</v>
      </c>
      <c r="B419" s="8"/>
      <c r="C419" s="1855"/>
      <c r="D419" s="8"/>
      <c r="E419" s="8"/>
      <c r="F419"/>
      <c r="G419" s="736"/>
      <c r="H419" s="63"/>
      <c r="I419" s="2277"/>
      <c r="J419" s="2278"/>
      <c r="K419" s="2278"/>
      <c r="L419" s="2278"/>
      <c r="M419" s="2279"/>
      <c r="N419" s="63"/>
      <c r="O419" s="2277"/>
      <c r="P419" s="2278"/>
      <c r="Q419" s="2278"/>
      <c r="R419" s="2278"/>
      <c r="S419" s="2279"/>
      <c r="T419" s="60"/>
      <c r="U419" s="1937"/>
      <c r="V419" s="1938"/>
      <c r="W419" s="1938"/>
      <c r="X419" s="1938"/>
      <c r="Y419" s="1936"/>
      <c r="Z419" s="60"/>
      <c r="AA419" s="1937"/>
      <c r="AB419" s="1938"/>
      <c r="AC419" s="1938"/>
      <c r="AD419" s="1938"/>
      <c r="AE419" s="1936"/>
      <c r="AF419" s="60"/>
      <c r="AG419" s="1937">
        <f>+AG418/(AD$152++AD$154+AD$156+AD$158)</f>
        <v>0</v>
      </c>
      <c r="AH419" s="1938">
        <f>+AH418/(AG$152++AG$154+AG$156+AG$158)</f>
        <v>0</v>
      </c>
      <c r="AI419" s="1938">
        <f t="shared" ref="AI419" si="1054">+AI418/(AH$152++AH$154+AH$156+AH$158)</f>
        <v>0</v>
      </c>
      <c r="AJ419" s="1938">
        <f t="shared" ref="AJ419" si="1055">+AJ418/(AI$152++AI$154+AI$156+AI$158)</f>
        <v>0</v>
      </c>
      <c r="AK419" s="1936">
        <f>+AVERAGE(AG419:AJ419)</f>
        <v>0</v>
      </c>
      <c r="AL419" s="60"/>
      <c r="AM419" s="1937">
        <f>+AM418/(AJ$152++AJ$154+AJ$156+AJ$158)</f>
        <v>0</v>
      </c>
      <c r="AN419" s="1938">
        <f>+AN418/(AM$152++AM$154+AM$156+AM$158)</f>
        <v>0</v>
      </c>
      <c r="AO419" s="1938">
        <f t="shared" ref="AO419" si="1056">+AO418/(AN$152++AN$154+AN$156+AN$158)</f>
        <v>0</v>
      </c>
      <c r="AP419" s="1938">
        <f t="shared" ref="AP419" si="1057">+AP418/(AO$152++AO$154+AO$156+AO$158)</f>
        <v>0</v>
      </c>
      <c r="AQ419" s="1936">
        <f>+AVERAGE(AM419:AP419)</f>
        <v>0</v>
      </c>
      <c r="AR419" s="60"/>
      <c r="AS419" s="1937">
        <f>+AS418/(AP$152++AP$154+AP$156+AP$158)</f>
        <v>0</v>
      </c>
      <c r="AT419" s="1938">
        <f>+AT418/(AS$152++AS$154+AS$156+AS$158)</f>
        <v>0</v>
      </c>
      <c r="AU419" s="1938">
        <f t="shared" ref="AU419" si="1058">+AU418/(AT$152++AT$154+AT$156+AT$158)</f>
        <v>0</v>
      </c>
      <c r="AV419" s="1938">
        <f t="shared" ref="AV419" si="1059">+AV418/(AU$152++AU$154+AU$156+AU$158)</f>
        <v>0</v>
      </c>
      <c r="AW419" s="1936">
        <f>+AVERAGE(AS419:AV419)</f>
        <v>0</v>
      </c>
      <c r="AX419" s="60"/>
      <c r="AY419" s="1937">
        <f>+AY418/(AV$152++AV$154+AV$156+AV$158)</f>
        <v>3.4820731848567078E-2</v>
      </c>
      <c r="AZ419" s="1938">
        <f>+AZ418/(AY$152++AY$154+AY$156+AY$158)</f>
        <v>4.1988110874405342E-2</v>
      </c>
      <c r="BA419" s="1938">
        <f t="shared" ref="BA419" si="1060">+BA418/(AZ$152++AZ$154+AZ$156+AZ$158)</f>
        <v>3.9317238579465265E-2</v>
      </c>
      <c r="BB419" s="1938">
        <f t="shared" ref="BB419" si="1061">+BB418/(BA$152++BA$154+BA$156+BA$158)</f>
        <v>2.5725835683399135E-2</v>
      </c>
      <c r="BC419" s="1936">
        <f>+AVERAGE(AY419:BB419)</f>
        <v>3.5462979246459206E-2</v>
      </c>
      <c r="BD419" s="8"/>
      <c r="BE419" s="1937">
        <f>+BE418/(BB$152++BB$154+BB$156+BB$158)</f>
        <v>2.1452471987076876E-2</v>
      </c>
      <c r="BF419" s="1938">
        <f>+BF418/(BE$152++BE$154+BE$156+BE$158)</f>
        <v>1.7968634792987923E-2</v>
      </c>
      <c r="BG419" s="1938">
        <f t="shared" ref="BG419:BH419" si="1062">+BG418/(BF$152++BF$154+BF$156+BF$158)</f>
        <v>1.1580101738349126E-2</v>
      </c>
      <c r="BH419" s="1938">
        <f t="shared" si="1062"/>
        <v>1.3456987730935325E-2</v>
      </c>
      <c r="BI419" s="1936">
        <f>+AVERAGE(BE419:BH419)</f>
        <v>1.6114549062337315E-2</v>
      </c>
      <c r="BJ419" s="60"/>
      <c r="BK419" s="1937">
        <f>+BK418/(BH$152++BH$154+BH$156+BH$158)</f>
        <v>3.7586156035688502E-3</v>
      </c>
      <c r="BL419" s="1938">
        <f>+BL418/(BK$152++BK$154+BK$156+BK$158)</f>
        <v>0</v>
      </c>
      <c r="BM419" s="1938">
        <f t="shared" ref="BM419" si="1063">+BM418/(BL$152++BL$154+BL$156+BL$158)</f>
        <v>0</v>
      </c>
      <c r="BN419" s="1938">
        <f t="shared" ref="BN419" si="1064">+BN418/(BM$152++BM$154+BM$156+BM$158)</f>
        <v>0</v>
      </c>
      <c r="BO419" s="1936">
        <f>+AVERAGE(BK419:BN419)</f>
        <v>9.3965390089221254E-4</v>
      </c>
      <c r="BP419" s="60"/>
      <c r="BQ419" s="1937">
        <f>+BQ418/(BN$152++BN$154+BN$156+BN$158)</f>
        <v>0</v>
      </c>
      <c r="BR419" s="1938">
        <f>+BR418/(BQ$152++BQ$154+BQ$156+BQ$158)</f>
        <v>0</v>
      </c>
      <c r="BS419" s="1938">
        <f t="shared" ref="BS419" si="1065">+BS418/(BR$152++BR$154+BR$156+BR$158)</f>
        <v>0</v>
      </c>
      <c r="BT419" s="1938">
        <f t="shared" ref="BT419" si="1066">+BT418/(BS$152++BS$154+BS$156+BS$158)</f>
        <v>0</v>
      </c>
      <c r="BU419" s="1936">
        <f>+AVERAGE(BQ419:BT419)</f>
        <v>0</v>
      </c>
      <c r="BV419" s="60"/>
      <c r="BW419" s="1937">
        <f>+BW418/(BT$152++BT$154+BT$156+BT$158)</f>
        <v>0</v>
      </c>
      <c r="BX419" s="1938">
        <f>+BX418/(BW$152++BW$154+BW$156+BW$158)</f>
        <v>0</v>
      </c>
      <c r="BY419" s="1938">
        <f t="shared" ref="BY419" si="1067">+BY418/(BX$152++BX$154+BX$156+BX$158)</f>
        <v>0</v>
      </c>
      <c r="BZ419" s="1938">
        <f t="shared" ref="BZ419" si="1068">+BZ418/(BY$152++BY$154+BY$156+BY$158)</f>
        <v>0</v>
      </c>
      <c r="CA419" s="1936">
        <f>+AVERAGE(BW419:BZ419)</f>
        <v>0</v>
      </c>
      <c r="CB419" s="60"/>
      <c r="CC419" s="1937">
        <f>+CC418/(BZ$152++BZ$154+BZ$156+BZ$158)</f>
        <v>0</v>
      </c>
      <c r="CD419" s="1938">
        <f>+CD418/(CC$152++CC$154+CC$156+CC$158)</f>
        <v>0</v>
      </c>
      <c r="CE419" s="1938">
        <f t="shared" ref="CE419" si="1069">+CE418/(CD$152++CD$154+CD$156+CD$158)</f>
        <v>0</v>
      </c>
      <c r="CF419" s="1938">
        <f t="shared" ref="CF419" si="1070">+CF418/(CE$152++CE$154+CE$156+CE$158)</f>
        <v>0</v>
      </c>
      <c r="CG419" s="1936">
        <f>+AVERAGE(CC419:CF419)</f>
        <v>0</v>
      </c>
      <c r="CH419" s="60"/>
      <c r="CI419" s="1937">
        <f>+CI418/(CF$152++CF$154+CF$156+CF$158)</f>
        <v>0</v>
      </c>
      <c r="CJ419" s="1938">
        <f>+CJ418/(CI$152++CI$154+CI$156+CI$158)</f>
        <v>0</v>
      </c>
      <c r="CK419" s="1938">
        <f t="shared" ref="CK419" si="1071">+CK418/(CJ$152++CJ$154+CJ$156+CJ$158)</f>
        <v>0</v>
      </c>
      <c r="CL419" s="1938">
        <f t="shared" ref="CL419" si="1072">+CL418/(CK$152++CK$154+CK$156+CK$158)</f>
        <v>0</v>
      </c>
      <c r="CM419" s="1936">
        <f>+AVERAGE(CI419:CL419)</f>
        <v>0</v>
      </c>
      <c r="CN419" s="60"/>
      <c r="CO419" s="1937">
        <f>+CO418/(CL$152++CL$154+CL$156+CL$158)</f>
        <v>0</v>
      </c>
      <c r="CP419" s="1938">
        <f>+CP418/(CO$152++CO$154+CO$156+CO$158)</f>
        <v>0</v>
      </c>
      <c r="CQ419" s="1938">
        <f t="shared" ref="CQ419" si="1073">+CQ418/(CP$152++CP$154+CP$156+CP$158)</f>
        <v>0</v>
      </c>
      <c r="CR419" s="1938">
        <f t="shared" ref="CR419" si="1074">+CR418/(CQ$152++CQ$154+CQ$156+CQ$158)</f>
        <v>0</v>
      </c>
      <c r="CS419" s="1936">
        <f>+AVERAGE(CO419:CR419)</f>
        <v>0</v>
      </c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  <c r="HB419"/>
      <c r="HC419"/>
      <c r="HD419"/>
      <c r="HE419"/>
      <c r="HF419"/>
      <c r="HG419"/>
      <c r="HH419"/>
      <c r="HI419"/>
      <c r="HJ419"/>
      <c r="HK419"/>
      <c r="HL419"/>
      <c r="HM419"/>
      <c r="HN419"/>
      <c r="HO419"/>
      <c r="HP419"/>
      <c r="HQ419"/>
      <c r="HR419"/>
      <c r="HS419"/>
      <c r="HT419"/>
      <c r="HU419"/>
      <c r="HV419"/>
      <c r="HW419"/>
      <c r="HX419"/>
      <c r="HY419"/>
      <c r="HZ419"/>
      <c r="IA419"/>
      <c r="IB419"/>
      <c r="IC419"/>
      <c r="ID419"/>
      <c r="IE419"/>
      <c r="IF419"/>
      <c r="IG419"/>
      <c r="IH419"/>
      <c r="II419"/>
      <c r="IJ419"/>
      <c r="IK419"/>
      <c r="IL419"/>
      <c r="IM419"/>
      <c r="IN419"/>
      <c r="IO419"/>
      <c r="IP419"/>
      <c r="IQ419"/>
      <c r="IR419"/>
      <c r="IS419"/>
      <c r="IT419"/>
      <c r="IU419"/>
      <c r="IV419"/>
      <c r="IW419"/>
      <c r="IX419"/>
      <c r="IY419"/>
      <c r="IZ419"/>
      <c r="JA419"/>
      <c r="JB419"/>
      <c r="JC419"/>
      <c r="JD419"/>
      <c r="JE419"/>
      <c r="JF419"/>
      <c r="JG419"/>
      <c r="JH419"/>
      <c r="JI419"/>
      <c r="JJ419"/>
      <c r="JK419"/>
      <c r="JL419"/>
      <c r="JM419"/>
      <c r="JN419"/>
      <c r="JO419"/>
      <c r="JP419"/>
      <c r="JQ419"/>
      <c r="JR419"/>
      <c r="JS419"/>
      <c r="JT419"/>
    </row>
    <row r="420" spans="1:280" s="6" customFormat="1">
      <c r="A420" s="1991" t="s">
        <v>725</v>
      </c>
      <c r="B420" s="8"/>
      <c r="C420" s="1855"/>
      <c r="D420" s="8"/>
      <c r="E420" s="8"/>
      <c r="F420"/>
      <c r="G420" s="736"/>
      <c r="H420" s="63"/>
      <c r="I420" s="2277"/>
      <c r="J420" s="2278"/>
      <c r="K420" s="2278"/>
      <c r="L420" s="2278"/>
      <c r="M420" s="2279"/>
      <c r="N420" s="63"/>
      <c r="O420" s="2277"/>
      <c r="P420" s="2278"/>
      <c r="Q420" s="2278"/>
      <c r="R420" s="2278"/>
      <c r="S420" s="2279"/>
      <c r="T420" s="60"/>
      <c r="U420" s="1937"/>
      <c r="V420" s="1938"/>
      <c r="W420" s="1938"/>
      <c r="X420" s="1938"/>
      <c r="Y420" s="1936"/>
      <c r="Z420" s="60"/>
      <c r="AA420" s="1937"/>
      <c r="AB420" s="1938"/>
      <c r="AC420" s="1938"/>
      <c r="AD420" s="1938"/>
      <c r="AE420" s="1936"/>
      <c r="AF420" s="60"/>
      <c r="AG420" s="1937">
        <f>+AG419+AG417+AG414</f>
        <v>3.3387151428172772E-2</v>
      </c>
      <c r="AH420" s="1938">
        <f t="shared" ref="AH420:AK420" si="1075">+AH419+AH417+AH414</f>
        <v>3.6916577879960374E-2</v>
      </c>
      <c r="AI420" s="1938">
        <f t="shared" si="1075"/>
        <v>5.4234717273977912E-2</v>
      </c>
      <c r="AJ420" s="1938">
        <f t="shared" si="1075"/>
        <v>4.5477682557431218E-2</v>
      </c>
      <c r="AK420" s="1936">
        <f t="shared" si="1075"/>
        <v>5.1706720300751047E-2</v>
      </c>
      <c r="AL420" s="60"/>
      <c r="AM420" s="1937">
        <f>+AM419+AM417+AM414</f>
        <v>4.8687434651086686E-2</v>
      </c>
      <c r="AN420" s="1938">
        <f t="shared" ref="AN420" si="1076">+AN419+AN417+AN414</f>
        <v>5.5560206714412926E-2</v>
      </c>
      <c r="AO420" s="1938">
        <f t="shared" ref="AO420" si="1077">+AO419+AO417+AO414</f>
        <v>6.1288205986055125E-2</v>
      </c>
      <c r="AP420" s="1938">
        <f t="shared" ref="AP420" si="1078">+AP419+AP417+AP414</f>
        <v>5.0275496130824993E-2</v>
      </c>
      <c r="AQ420" s="1936">
        <f t="shared" ref="AQ420" si="1079">+AQ419+AQ417+AQ414</f>
        <v>5.3952835870594934E-2</v>
      </c>
      <c r="AR420" s="60"/>
      <c r="AS420" s="1937">
        <f>+AS419+AS417+AS414</f>
        <v>4.8555504174069654E-2</v>
      </c>
      <c r="AT420" s="1938">
        <f t="shared" ref="AT420" si="1080">+AT419+AT417+AT414</f>
        <v>4.0132770066385035E-2</v>
      </c>
      <c r="AU420" s="1938">
        <f t="shared" ref="AU420" si="1081">+AU419+AU417+AU414</f>
        <v>3.8584276182187412E-2</v>
      </c>
      <c r="AV420" s="1938">
        <f t="shared" ref="AV420" si="1082">+AV419+AV417+AV414</f>
        <v>3.8865492049849591E-2</v>
      </c>
      <c r="AW420" s="1936">
        <f t="shared" ref="AW420" si="1083">+AW419+AW417+AW414</f>
        <v>4.1534510618122925E-2</v>
      </c>
      <c r="AX420" s="60"/>
      <c r="AY420" s="1937">
        <f>+AY419+AY417+AY414</f>
        <v>4.3073263452247004E-2</v>
      </c>
      <c r="AZ420" s="1938">
        <f t="shared" ref="AZ420" si="1084">+AZ419+AZ417+AZ414</f>
        <v>4.7313990645672821E-2</v>
      </c>
      <c r="BA420" s="1938">
        <f t="shared" ref="BA420" si="1085">+BA419+BA417+BA414</f>
        <v>3.9317238579465265E-2</v>
      </c>
      <c r="BB420" s="1938">
        <f t="shared" ref="BB420" si="1086">+BB419+BB417+BB414</f>
        <v>3.0726775709719871E-2</v>
      </c>
      <c r="BC420" s="1936">
        <f t="shared" ref="BC420" si="1087">+BC419+BC417+BC414</f>
        <v>4.0107817096776244E-2</v>
      </c>
      <c r="BD420" s="60"/>
      <c r="BE420" s="1937">
        <f>+BE419+BE417+BE414</f>
        <v>2.5349922160887037E-2</v>
      </c>
      <c r="BF420" s="1938">
        <f t="shared" ref="BF420" si="1088">+BF419+BF417+BF414</f>
        <v>1.9467392382671003E-2</v>
      </c>
      <c r="BG420" s="1938">
        <f t="shared" ref="BG420" si="1089">+BG419+BG417+BG414</f>
        <v>1.2583802896179237E-2</v>
      </c>
      <c r="BH420" s="1938">
        <f t="shared" ref="BH420" si="1090">+BH419+BH417+BH414</f>
        <v>1.3456987730935325E-2</v>
      </c>
      <c r="BI420" s="1936">
        <f t="shared" ref="BI420" si="1091">+BI419+BI417+BI414</f>
        <v>1.7714526292668151E-2</v>
      </c>
      <c r="BJ420" s="60"/>
      <c r="BK420" s="1937">
        <f>+BK419+BK417+BK414</f>
        <v>3.7586156035688502E-3</v>
      </c>
      <c r="BL420" s="1938">
        <f t="shared" ref="BL420" si="1092">+BL419+BL417+BL414</f>
        <v>0</v>
      </c>
      <c r="BM420" s="1938">
        <f t="shared" ref="BM420" si="1093">+BM419+BM417+BM414</f>
        <v>0</v>
      </c>
      <c r="BN420" s="1938">
        <f t="shared" ref="BN420" si="1094">+BN419+BN417+BN414</f>
        <v>0</v>
      </c>
      <c r="BO420" s="1936">
        <f t="shared" ref="BO420" si="1095">+BO419+BO417+BO414</f>
        <v>9.3965390089221254E-4</v>
      </c>
      <c r="BP420" s="60"/>
      <c r="BQ420" s="1937">
        <f>+BQ419+BQ417+BQ414</f>
        <v>0</v>
      </c>
      <c r="BR420" s="1938">
        <f t="shared" ref="BR420" si="1096">+BR419+BR417+BR414</f>
        <v>0</v>
      </c>
      <c r="BS420" s="1938">
        <f t="shared" ref="BS420" si="1097">+BS419+BS417+BS414</f>
        <v>0</v>
      </c>
      <c r="BT420" s="1938">
        <f t="shared" ref="BT420" si="1098">+BT419+BT417+BT414</f>
        <v>0</v>
      </c>
      <c r="BU420" s="1936">
        <f t="shared" ref="BU420" si="1099">+BU419+BU417+BU414</f>
        <v>0</v>
      </c>
      <c r="BV420" s="60"/>
      <c r="BW420" s="1937">
        <f>+BW419+BW417+BW414</f>
        <v>0</v>
      </c>
      <c r="BX420" s="1938">
        <f t="shared" ref="BX420:CA420" si="1100">+BX419+BX417+BX414</f>
        <v>0</v>
      </c>
      <c r="BY420" s="1938">
        <f t="shared" si="1100"/>
        <v>0</v>
      </c>
      <c r="BZ420" s="1938">
        <f t="shared" si="1100"/>
        <v>0</v>
      </c>
      <c r="CA420" s="1936">
        <f t="shared" si="1100"/>
        <v>0</v>
      </c>
      <c r="CB420" s="60"/>
      <c r="CC420" s="1937">
        <f>+CC419+CC417+CC414</f>
        <v>0</v>
      </c>
      <c r="CD420" s="1938">
        <f t="shared" ref="CD420:CG420" si="1101">+CD419+CD417+CD414</f>
        <v>0</v>
      </c>
      <c r="CE420" s="1938">
        <f t="shared" si="1101"/>
        <v>0</v>
      </c>
      <c r="CF420" s="1938">
        <f t="shared" si="1101"/>
        <v>0</v>
      </c>
      <c r="CG420" s="1936">
        <f t="shared" si="1101"/>
        <v>0</v>
      </c>
      <c r="CH420" s="60"/>
      <c r="CI420" s="1937">
        <f>+CI419+CI417+CI414</f>
        <v>0</v>
      </c>
      <c r="CJ420" s="1938">
        <f t="shared" ref="CJ420:CM420" si="1102">+CJ419+CJ417+CJ414</f>
        <v>0</v>
      </c>
      <c r="CK420" s="1938">
        <f t="shared" si="1102"/>
        <v>0</v>
      </c>
      <c r="CL420" s="1938">
        <f t="shared" si="1102"/>
        <v>0</v>
      </c>
      <c r="CM420" s="1936">
        <f t="shared" si="1102"/>
        <v>0</v>
      </c>
      <c r="CN420" s="60"/>
      <c r="CO420" s="1937">
        <f>+CO419+CO417+CO414</f>
        <v>0</v>
      </c>
      <c r="CP420" s="1938">
        <f t="shared" ref="CP420:CS420" si="1103">+CP419+CP417+CP414</f>
        <v>0</v>
      </c>
      <c r="CQ420" s="1938">
        <f t="shared" si="1103"/>
        <v>0</v>
      </c>
      <c r="CR420" s="1938">
        <f t="shared" si="1103"/>
        <v>0</v>
      </c>
      <c r="CS420" s="1936">
        <f t="shared" si="1103"/>
        <v>0</v>
      </c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  <c r="HB420"/>
      <c r="HC420"/>
      <c r="HD420"/>
      <c r="HE420"/>
      <c r="HF420"/>
      <c r="HG420"/>
      <c r="HH420"/>
      <c r="HI420"/>
      <c r="HJ420"/>
      <c r="HK420"/>
      <c r="HL420"/>
      <c r="HM420"/>
      <c r="HN420"/>
      <c r="HO420"/>
      <c r="HP420"/>
      <c r="HQ420"/>
      <c r="HR420"/>
      <c r="HS420"/>
      <c r="HT420"/>
      <c r="HU420"/>
      <c r="HV420"/>
      <c r="HW420"/>
      <c r="HX420"/>
      <c r="HY420"/>
      <c r="HZ420"/>
      <c r="IA420"/>
      <c r="IB420"/>
      <c r="IC420"/>
      <c r="ID420"/>
      <c r="IE420"/>
      <c r="IF420"/>
      <c r="IG420"/>
      <c r="IH420"/>
      <c r="II420"/>
      <c r="IJ420"/>
      <c r="IK420"/>
      <c r="IL420"/>
      <c r="IM420"/>
      <c r="IN420"/>
      <c r="IO420"/>
      <c r="IP420"/>
      <c r="IQ420"/>
      <c r="IR420"/>
      <c r="IS420"/>
      <c r="IT420"/>
      <c r="IU420"/>
      <c r="IV420"/>
      <c r="IW420"/>
      <c r="IX420"/>
      <c r="IY420"/>
      <c r="IZ420"/>
      <c r="JA420"/>
      <c r="JB420"/>
      <c r="JC420"/>
      <c r="JD420"/>
      <c r="JE420"/>
      <c r="JF420"/>
      <c r="JG420"/>
      <c r="JH420"/>
      <c r="JI420"/>
      <c r="JJ420"/>
      <c r="JK420"/>
      <c r="JL420"/>
      <c r="JM420"/>
      <c r="JN420"/>
      <c r="JO420"/>
      <c r="JP420"/>
      <c r="JQ420"/>
      <c r="JR420"/>
      <c r="JS420"/>
      <c r="JT420"/>
    </row>
    <row r="421" spans="1:280">
      <c r="A421" s="2271" t="s">
        <v>694</v>
      </c>
      <c r="B421" s="2238"/>
      <c r="C421" s="1425"/>
      <c r="D421" s="1422"/>
      <c r="E421" s="1422"/>
      <c r="F421" s="1422"/>
      <c r="G421" s="1841"/>
      <c r="H421" s="2238"/>
      <c r="I421" s="1425"/>
      <c r="J421" s="1422"/>
      <c r="K421" s="1422"/>
      <c r="L421" s="1422"/>
      <c r="M421" s="1841"/>
      <c r="N421" s="2238"/>
      <c r="O421" s="1425"/>
      <c r="P421" s="1422"/>
      <c r="Q421" s="1422"/>
      <c r="R421" s="1422"/>
      <c r="S421" s="1841"/>
      <c r="T421" s="2238"/>
      <c r="U421" s="1425"/>
      <c r="V421" s="1422"/>
      <c r="W421" s="1422"/>
      <c r="X421" s="1422"/>
      <c r="Y421" s="1841"/>
      <c r="Z421" s="2238"/>
      <c r="AA421" s="1425"/>
      <c r="AB421" s="1422"/>
      <c r="AC421" s="1422"/>
      <c r="AD421" s="1422"/>
      <c r="AE421" s="1841"/>
      <c r="AF421" s="2238"/>
      <c r="AG421" s="1425"/>
      <c r="AH421" s="1422"/>
      <c r="AI421" s="1422"/>
      <c r="AJ421" s="1422"/>
      <c r="AK421" s="1841"/>
      <c r="AL421" s="2238"/>
      <c r="AM421" s="1425"/>
      <c r="AN421" s="1422"/>
      <c r="AO421" s="1422"/>
      <c r="AP421" s="1422"/>
      <c r="AQ421" s="1841"/>
      <c r="AR421" s="2238"/>
      <c r="AS421" s="1425"/>
      <c r="AT421" s="1422"/>
      <c r="AU421" s="1422"/>
      <c r="AV421" s="1422"/>
      <c r="AW421" s="1841"/>
      <c r="AX421" s="2238"/>
      <c r="AY421" s="1425"/>
      <c r="AZ421" s="1422"/>
      <c r="BA421" s="1422"/>
      <c r="BB421" s="1422"/>
      <c r="BC421" s="1841"/>
      <c r="BD421" s="2238"/>
      <c r="BE421" s="1425"/>
      <c r="BF421" s="1422"/>
      <c r="BG421" s="1422"/>
      <c r="BH421" s="1422"/>
      <c r="BI421" s="1841"/>
      <c r="BJ421" s="1"/>
      <c r="BK421" s="1425"/>
      <c r="BL421" s="1422"/>
      <c r="BM421" s="1422"/>
      <c r="BN421" s="1422"/>
      <c r="BO421" s="1841"/>
      <c r="BP421" s="1"/>
      <c r="BQ421" s="1425"/>
      <c r="BR421" s="1422"/>
      <c r="BS421" s="1422"/>
      <c r="BT421" s="1422"/>
      <c r="BU421" s="1841"/>
      <c r="BV421" s="1"/>
      <c r="BW421" s="1425"/>
      <c r="BX421" s="1422"/>
      <c r="BY421" s="1422"/>
      <c r="BZ421" s="1422"/>
      <c r="CA421" s="1841"/>
      <c r="CB421" s="1"/>
      <c r="CC421" s="1425"/>
      <c r="CD421" s="1422"/>
      <c r="CE421" s="1422"/>
      <c r="CF421" s="1422"/>
      <c r="CG421" s="1841"/>
      <c r="CH421" s="1"/>
      <c r="CI421" s="1425"/>
      <c r="CJ421" s="1422"/>
      <c r="CK421" s="1422"/>
      <c r="CL421" s="1422"/>
      <c r="CM421" s="1841"/>
      <c r="CN421" s="1"/>
      <c r="CO421" s="1425"/>
      <c r="CP421" s="1422"/>
      <c r="CQ421" s="1422"/>
      <c r="CR421" s="1422"/>
      <c r="CS421" s="1841"/>
    </row>
    <row r="422" spans="1:280" s="6" customFormat="1">
      <c r="A422" s="2291" t="s">
        <v>681</v>
      </c>
      <c r="B422"/>
      <c r="C422" s="1850"/>
      <c r="D422"/>
      <c r="E422"/>
      <c r="F422"/>
      <c r="G422" s="736"/>
      <c r="H422" s="63"/>
      <c r="I422" s="2277"/>
      <c r="J422" s="2278"/>
      <c r="K422" s="2278"/>
      <c r="L422" s="2278"/>
      <c r="M422" s="2279"/>
      <c r="N422" s="63"/>
      <c r="O422" s="2277"/>
      <c r="P422" s="2278"/>
      <c r="Q422" s="2278"/>
      <c r="R422" s="2278"/>
      <c r="S422" s="2279"/>
      <c r="T422" s="63"/>
      <c r="U422" s="2277"/>
      <c r="V422" s="2278"/>
      <c r="W422" s="2278"/>
      <c r="X422" s="2278"/>
      <c r="Y422" s="2279"/>
      <c r="Z422" s="63"/>
      <c r="AA422" s="2277"/>
      <c r="AB422" s="2278"/>
      <c r="AC422" s="2278"/>
      <c r="AD422" s="2278"/>
      <c r="AE422" s="2279"/>
      <c r="AF422" s="63"/>
      <c r="AG422" s="2277">
        <f>+AG$156</f>
        <v>0</v>
      </c>
      <c r="AH422" s="2278">
        <f>+AH$156</f>
        <v>0</v>
      </c>
      <c r="AI422" s="2278">
        <f>+AI$156</f>
        <v>0</v>
      </c>
      <c r="AJ422" s="2278">
        <f>+AJ$156</f>
        <v>0</v>
      </c>
      <c r="AK422" s="2279">
        <f>+AK$156</f>
        <v>0</v>
      </c>
      <c r="AL422" s="63"/>
      <c r="AM422" s="2277">
        <f>+AM$156</f>
        <v>0</v>
      </c>
      <c r="AN422" s="2278">
        <f>+AN$156</f>
        <v>0</v>
      </c>
      <c r="AO422" s="2278">
        <f>+AO$156</f>
        <v>0</v>
      </c>
      <c r="AP422" s="2278">
        <f>+AP$156</f>
        <v>0</v>
      </c>
      <c r="AQ422" s="2279">
        <f>+AQ$156</f>
        <v>0</v>
      </c>
      <c r="AR422" s="63"/>
      <c r="AS422" s="2277">
        <f>+AS$156</f>
        <v>0</v>
      </c>
      <c r="AT422" s="2278">
        <f>+AT$156</f>
        <v>0</v>
      </c>
      <c r="AU422" s="2278">
        <f>+AU$156</f>
        <v>0</v>
      </c>
      <c r="AV422" s="2278">
        <f>+AV$156</f>
        <v>0</v>
      </c>
      <c r="AW422" s="2279">
        <f>+AW$156</f>
        <v>0</v>
      </c>
      <c r="AX422" s="63"/>
      <c r="AY422" s="2281">
        <f>+AY423+AW422-AY427</f>
        <v>16.876000000000001</v>
      </c>
      <c r="AZ422" s="2287">
        <f>+AZ423+AY422-AZ427</f>
        <v>40.891887218045113</v>
      </c>
      <c r="BA422" s="2282">
        <f>+BA423+AZ422-BA427</f>
        <v>67.341135338345865</v>
      </c>
      <c r="BB422" s="2282">
        <f>+BB423+BA422-BB427</f>
        <v>79.217135338345869</v>
      </c>
      <c r="BC422" s="2283">
        <f>+BB422</f>
        <v>79.217135338345869</v>
      </c>
      <c r="BD422"/>
      <c r="BE422" s="2281">
        <f>+BE423+BC422-BE427</f>
        <v>93.17299548872181</v>
      </c>
      <c r="BF422" s="2287">
        <f>+BF423+BE422-BF427</f>
        <v>100.17962716992481</v>
      </c>
      <c r="BG422" s="2282">
        <f>+BG423+BF422-BG427</f>
        <v>106.07031190457745</v>
      </c>
      <c r="BH422" s="2282">
        <f>+BH423+BG422-BH427</f>
        <v>112.76812211710731</v>
      </c>
      <c r="BI422" s="2283">
        <f>+BH422</f>
        <v>112.76812211710731</v>
      </c>
      <c r="BJ422" s="63"/>
      <c r="BK422" s="2281">
        <f>+BK423+BI422-BK427</f>
        <v>120.1024588113374</v>
      </c>
      <c r="BL422" s="2287">
        <f>+BL423+BK422-BL427</f>
        <v>127.38733019912134</v>
      </c>
      <c r="BM422" s="2282">
        <f>+BM423+BL422-BM427</f>
        <v>134.61048055800754</v>
      </c>
      <c r="BN422" s="2282">
        <f>+BN423+BM422-BN427</f>
        <v>138.79941611976483</v>
      </c>
      <c r="BO422" s="2283">
        <f>+BN422</f>
        <v>138.79941611976483</v>
      </c>
      <c r="BP422" s="63"/>
      <c r="BQ422" s="2281">
        <f>+BQ423+BO422-BQ427</f>
        <v>145.96586316601619</v>
      </c>
      <c r="BR422" s="2287">
        <f>+BR423+BQ422-BR427</f>
        <v>153.11364178863755</v>
      </c>
      <c r="BS422" s="2282">
        <f>+BS423+BR422-BS427</f>
        <v>160.07860264023989</v>
      </c>
      <c r="BT422" s="2282">
        <f>+BT423+BS422-BT427</f>
        <v>166.62728317865503</v>
      </c>
      <c r="BU422" s="2283">
        <f>+BT422</f>
        <v>166.62728317865503</v>
      </c>
      <c r="BV422" s="63"/>
      <c r="BW422" s="2281">
        <f>+BW423+BU422-BW427</f>
        <v>172.75635316137752</v>
      </c>
      <c r="BX422" s="2287">
        <f>+BX423+BW422-BX427</f>
        <v>178.49445570396176</v>
      </c>
      <c r="BY422" s="2282">
        <f>+BY423+BX422-BY427</f>
        <v>183.8384630668867</v>
      </c>
      <c r="BZ422" s="2282">
        <f>+BZ423+BY422-BZ427</f>
        <v>188.78522248871502</v>
      </c>
      <c r="CA422" s="2283">
        <f>+BZ422</f>
        <v>188.78522248871502</v>
      </c>
      <c r="CB422" s="63"/>
      <c r="CC422" s="2281">
        <f>+CC423+CA422-CC427</f>
        <v>193.33155598591799</v>
      </c>
      <c r="CD422" s="2287">
        <f>+CD423+CC422-CD427</f>
        <v>197.51426015109857</v>
      </c>
      <c r="CE422" s="2282">
        <f>+CE423+CD422-CE427</f>
        <v>201.3304259496006</v>
      </c>
      <c r="CF422" s="2282">
        <f>+CF423+CE422-CF427</f>
        <v>204.77712107449062</v>
      </c>
      <c r="CG422" s="2283">
        <f>+CF422</f>
        <v>204.77712107449062</v>
      </c>
      <c r="CH422" s="63"/>
      <c r="CI422" s="2281">
        <f>+CI423+CG422-CI427</f>
        <v>207.85138976037979</v>
      </c>
      <c r="CJ422" s="2287">
        <f>+CJ423+CI422-CJ427</f>
        <v>210.55025259575606</v>
      </c>
      <c r="CK422" s="2282">
        <f>+CK423+CJ422-CK427</f>
        <v>212.87070633381535</v>
      </c>
      <c r="CL422" s="2282">
        <f>+CL423+CK422-CL427</f>
        <v>215.14053600253098</v>
      </c>
      <c r="CM422" s="2283">
        <f>+CL422</f>
        <v>215.14053600253098</v>
      </c>
      <c r="CN422" s="63"/>
      <c r="CO422" s="2281">
        <f>+CO423+CM422-CO427</f>
        <v>217.42852430859634</v>
      </c>
      <c r="CP422" s="2287">
        <f>+CP423+CO422-CP427</f>
        <v>219.73481652111022</v>
      </c>
      <c r="CQ422" s="2282">
        <f>+CQ423+CP422-CQ427</f>
        <v>222.0595590713242</v>
      </c>
      <c r="CR422" s="2282">
        <f>+CR423+CQ422-CR427</f>
        <v>224.4028995619399</v>
      </c>
      <c r="CS422" s="2283">
        <f>+CR422</f>
        <v>224.4028995619399</v>
      </c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  <c r="HB422"/>
      <c r="HC422"/>
      <c r="HD422"/>
      <c r="HE422"/>
      <c r="HF422"/>
      <c r="HG422"/>
      <c r="HH422"/>
      <c r="HI422"/>
      <c r="HJ422"/>
      <c r="HK422"/>
      <c r="HL422"/>
      <c r="HM422"/>
      <c r="HN422"/>
      <c r="HO422"/>
      <c r="HP422"/>
      <c r="HQ422"/>
      <c r="HR422"/>
      <c r="HS422"/>
      <c r="HT422"/>
      <c r="HU422"/>
      <c r="HV422"/>
      <c r="HW422"/>
      <c r="HX422"/>
      <c r="HY422"/>
      <c r="HZ422"/>
      <c r="IA422"/>
      <c r="IB422"/>
      <c r="IC422"/>
      <c r="ID422"/>
      <c r="IE422"/>
      <c r="IF422"/>
      <c r="IG422"/>
      <c r="IH422"/>
      <c r="II422"/>
      <c r="IJ422"/>
      <c r="IK422"/>
      <c r="IL422"/>
      <c r="IM422"/>
      <c r="IN422"/>
      <c r="IO422"/>
      <c r="IP422"/>
      <c r="IQ422"/>
      <c r="IR422"/>
      <c r="IS422"/>
      <c r="IT422"/>
      <c r="IU422"/>
      <c r="IV422"/>
      <c r="IW422"/>
      <c r="IX422"/>
      <c r="IY422"/>
      <c r="IZ422"/>
      <c r="JA422"/>
      <c r="JB422"/>
      <c r="JC422"/>
      <c r="JD422"/>
      <c r="JE422"/>
      <c r="JF422"/>
      <c r="JG422"/>
      <c r="JH422"/>
      <c r="JI422"/>
      <c r="JJ422"/>
      <c r="JK422"/>
      <c r="JL422"/>
      <c r="JM422"/>
      <c r="JN422"/>
      <c r="JO422"/>
      <c r="JP422"/>
      <c r="JQ422"/>
      <c r="JR422"/>
      <c r="JS422"/>
      <c r="JT422"/>
    </row>
    <row r="423" spans="1:280" s="6" customFormat="1">
      <c r="A423" s="2291" t="s">
        <v>682</v>
      </c>
      <c r="B423"/>
      <c r="C423" s="1850"/>
      <c r="D423"/>
      <c r="E423"/>
      <c r="F423"/>
      <c r="G423" s="736"/>
      <c r="H423" s="63"/>
      <c r="I423" s="2277"/>
      <c r="J423" s="2278"/>
      <c r="K423" s="2278"/>
      <c r="L423" s="2278"/>
      <c r="M423" s="2279"/>
      <c r="N423" s="63"/>
      <c r="O423" s="2277"/>
      <c r="P423" s="2278"/>
      <c r="Q423" s="2278"/>
      <c r="R423" s="2278"/>
      <c r="S423" s="2279"/>
      <c r="T423" s="63"/>
      <c r="U423" s="2277"/>
      <c r="V423" s="2278"/>
      <c r="W423" s="2278"/>
      <c r="X423" s="2278"/>
      <c r="Y423" s="2279"/>
      <c r="Z423" s="63"/>
      <c r="AA423" s="2277"/>
      <c r="AB423" s="2278"/>
      <c r="AC423" s="2278"/>
      <c r="AD423" s="2278"/>
      <c r="AE423" s="2279"/>
      <c r="AF423" s="63"/>
      <c r="AG423" s="2277"/>
      <c r="AH423" s="2278"/>
      <c r="AI423" s="2278"/>
      <c r="AJ423" s="2278"/>
      <c r="AK423" s="2279"/>
      <c r="AL423" s="63"/>
      <c r="AM423" s="2277"/>
      <c r="AN423" s="2278"/>
      <c r="AO423" s="2278"/>
      <c r="AP423" s="2278"/>
      <c r="AQ423" s="2279"/>
      <c r="AR423" s="63"/>
      <c r="AS423" s="2277"/>
      <c r="AT423" s="2278"/>
      <c r="AU423" s="2278"/>
      <c r="AV423" s="2278"/>
      <c r="AW423" s="2279"/>
      <c r="AX423" s="63"/>
      <c r="AY423" s="2285">
        <f>+AY$81</f>
        <v>16.876000000000001</v>
      </c>
      <c r="AZ423" s="2286">
        <f>+AZ$81</f>
        <v>24.015887218045112</v>
      </c>
      <c r="BA423" s="2286">
        <f>+BA$81</f>
        <v>26.449248120300751</v>
      </c>
      <c r="BB423" s="2286">
        <f>+BB$81</f>
        <v>11.875999999999999</v>
      </c>
      <c r="BC423" s="2283">
        <f>+SUM(AY423:BB423)</f>
        <v>79.217135338345869</v>
      </c>
      <c r="BD423"/>
      <c r="BE423" s="2285">
        <f>+BE$81</f>
        <v>14.955860150375941</v>
      </c>
      <c r="BF423" s="2287">
        <f>+(BE$152++BE$154+BE$422+BE$432)*BF425</f>
        <v>8.0066316812030092</v>
      </c>
      <c r="BG423" s="2282">
        <f>+(BF$152++BF$154+BF$422+BF$432)*BG425</f>
        <v>7.8906847346526323</v>
      </c>
      <c r="BH423" s="2282">
        <f>+(BG$152++BG$154+BG$422+BG$432)*BH425</f>
        <v>7.6978102125298538</v>
      </c>
      <c r="BI423" s="2283">
        <f>+SUM(BE423:BH423)</f>
        <v>38.550986778761434</v>
      </c>
      <c r="BJ423" s="63"/>
      <c r="BK423" s="2281">
        <f>+(BH$152++BH$154+BH$422+BH$432)*BK425</f>
        <v>7.3343366942300916</v>
      </c>
      <c r="BL423" s="2287">
        <f>+(BK$152++BK$154+BK$422+BK$432)*BL425</f>
        <v>7.2848713877839328</v>
      </c>
      <c r="BM423" s="2282">
        <f>+(BL$152++BL$154+BL$422+BL$432)*BM425</f>
        <v>7.2231503588862056</v>
      </c>
      <c r="BN423" s="2282">
        <f>+(BM$152++BM$154+BM$422+BM$432)*BN425</f>
        <v>7.1889355617572948</v>
      </c>
      <c r="BO423" s="2283">
        <f>+SUM(BK423:BN423)</f>
        <v>29.031294002657525</v>
      </c>
      <c r="BP423" s="63"/>
      <c r="BQ423" s="2281">
        <f>+(BN$152++BN$154+BN$422+BN$432)*BQ425</f>
        <v>7.1664470462513528</v>
      </c>
      <c r="BR423" s="2287">
        <f>+(BQ$152++BQ$154+BQ$422+BQ$432)*BR425</f>
        <v>7.1477786226213631</v>
      </c>
      <c r="BS423" s="2282">
        <f>+(BR$152++BR$154+BR$422+BR$432)*BS425</f>
        <v>6.9649608516023349</v>
      </c>
      <c r="BT423" s="2282">
        <f>+(BS$152++BS$154+BS$422+BS$432)*BT425</f>
        <v>6.5486805384151534</v>
      </c>
      <c r="BU423" s="2283">
        <f>+SUM(BQ423:BT423)</f>
        <v>27.827867058890206</v>
      </c>
      <c r="BV423" s="63"/>
      <c r="BW423" s="2281">
        <f>+(BT$152++BT$154+BT$422+BT$432)*BW425</f>
        <v>6.1290699827224744</v>
      </c>
      <c r="BX423" s="2287">
        <f>+(BW$152++BW$154+BW$422+BW$432)*BX425</f>
        <v>5.7381025425842527</v>
      </c>
      <c r="BY423" s="2282">
        <f>+(BX$152++BX$154+BX$422+BX$432)*BY425</f>
        <v>5.3440073629249278</v>
      </c>
      <c r="BZ423" s="2282">
        <f>+(BY$152++BY$154+BY$422+BY$432)*BZ425</f>
        <v>4.9467594218283271</v>
      </c>
      <c r="CA423" s="2283">
        <f>+SUM(BW423:BZ423)</f>
        <v>22.15793931005998</v>
      </c>
      <c r="CB423" s="63"/>
      <c r="CC423" s="2281">
        <f>+(BZ$152++BZ$154+BZ$422+BZ$432)*CC425</f>
        <v>4.5463334972029532</v>
      </c>
      <c r="CD423" s="2287">
        <f>+(CC$152++CC$154+CC$422+CC$432)*CD425</f>
        <v>4.1827041651805779</v>
      </c>
      <c r="CE423" s="2282">
        <f>+(CD$152++CD$154+CD$422+CD$432)*CE425</f>
        <v>3.8161657985020221</v>
      </c>
      <c r="CF423" s="2282">
        <f>+(CE$152++CE$154+CE$422+CE$432)*CF425</f>
        <v>3.4466951248900379</v>
      </c>
      <c r="CG423" s="2283">
        <f>+SUM(CC423:CF423)</f>
        <v>15.991898585775591</v>
      </c>
      <c r="CH423" s="63"/>
      <c r="CI423" s="2281">
        <f>+(CF$152++CF$154+CF$422+CF$432)*CI425</f>
        <v>3.0742686858891584</v>
      </c>
      <c r="CJ423" s="2287">
        <f>+(CI$152++CI$154+CI$422+CI$432)*CJ425</f>
        <v>2.6988628353762714</v>
      </c>
      <c r="CK423" s="2282">
        <f>+(CJ$152++CJ$154+CJ$422+CJ$432)*CK425</f>
        <v>2.3204537380592813</v>
      </c>
      <c r="CL423" s="2282">
        <f>+(CK$152++CK$154+CK$422+CK$432)*CL425</f>
        <v>2.2698296687156354</v>
      </c>
      <c r="CM423" s="2283">
        <f>+SUM(CI423:CL423)</f>
        <v>10.363414928040347</v>
      </c>
      <c r="CN423" s="63"/>
      <c r="CO423" s="2281">
        <f>+(CL$152++CL$154+CL$422+CL$432)*CO425</f>
        <v>2.2879883060653601</v>
      </c>
      <c r="CP423" s="2287">
        <f>+(CO$152++CO$154+CO$422+CO$432)*CP425</f>
        <v>2.3062922125138829</v>
      </c>
      <c r="CQ423" s="2282">
        <f>+(CP$152++CP$154+CP$422+CP$432)*CQ425</f>
        <v>2.324742550213994</v>
      </c>
      <c r="CR423" s="2282">
        <f>+(CQ$152++CQ$154+CQ$422+CQ$432)*CR425</f>
        <v>2.3433404906157063</v>
      </c>
      <c r="CS423" s="2283">
        <f>+SUM(CO423:CR423)</f>
        <v>9.2623635594089428</v>
      </c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  <c r="HB423"/>
      <c r="HC423"/>
      <c r="HD423"/>
      <c r="HE423"/>
      <c r="HF423"/>
      <c r="HG423"/>
      <c r="HH423"/>
      <c r="HI423"/>
      <c r="HJ423"/>
      <c r="HK423"/>
      <c r="HL423"/>
      <c r="HM423"/>
      <c r="HN423"/>
      <c r="HO423"/>
      <c r="HP423"/>
      <c r="HQ423"/>
      <c r="HR423"/>
      <c r="HS423"/>
      <c r="HT423"/>
      <c r="HU423"/>
      <c r="HV423"/>
      <c r="HW423"/>
      <c r="HX423"/>
      <c r="HY423"/>
      <c r="HZ423"/>
      <c r="IA423"/>
      <c r="IB423"/>
      <c r="IC423"/>
      <c r="ID423"/>
      <c r="IE423"/>
      <c r="IF423"/>
      <c r="IG423"/>
      <c r="IH423"/>
      <c r="II423"/>
      <c r="IJ423"/>
      <c r="IK423"/>
      <c r="IL423"/>
      <c r="IM423"/>
      <c r="IN423"/>
      <c r="IO423"/>
      <c r="IP423"/>
      <c r="IQ423"/>
      <c r="IR423"/>
      <c r="IS423"/>
      <c r="IT423"/>
      <c r="IU423"/>
      <c r="IV423"/>
      <c r="IW423"/>
      <c r="IX423"/>
      <c r="IY423"/>
      <c r="IZ423"/>
      <c r="JA423"/>
      <c r="JB423"/>
      <c r="JC423"/>
      <c r="JD423"/>
      <c r="JE423"/>
      <c r="JF423"/>
      <c r="JG423"/>
      <c r="JH423"/>
      <c r="JI423"/>
      <c r="JJ423"/>
      <c r="JK423"/>
      <c r="JL423"/>
      <c r="JM423"/>
      <c r="JN423"/>
      <c r="JO423"/>
      <c r="JP423"/>
      <c r="JQ423"/>
      <c r="JR423"/>
      <c r="JS423"/>
      <c r="JT423"/>
    </row>
    <row r="424" spans="1:280" s="6" customFormat="1" ht="12.75" hidden="1" customHeight="1" outlineLevel="1">
      <c r="A424" s="1991" t="s">
        <v>706</v>
      </c>
      <c r="B424"/>
      <c r="C424" s="1850"/>
      <c r="D424"/>
      <c r="E424"/>
      <c r="F424"/>
      <c r="G424" s="736"/>
      <c r="H424" s="63"/>
      <c r="I424" s="2277"/>
      <c r="J424" s="2278"/>
      <c r="K424" s="2278"/>
      <c r="L424" s="2278"/>
      <c r="M424" s="2279"/>
      <c r="N424" s="63"/>
      <c r="O424" s="2277"/>
      <c r="P424" s="2278"/>
      <c r="Q424" s="2278"/>
      <c r="R424" s="2278"/>
      <c r="S424" s="2279"/>
      <c r="T424" s="63"/>
      <c r="U424" s="2277"/>
      <c r="V424" s="2278"/>
      <c r="W424" s="2278"/>
      <c r="X424" s="2278"/>
      <c r="Y424" s="2279"/>
      <c r="Z424" s="63"/>
      <c r="AA424" s="2277"/>
      <c r="AB424" s="2278"/>
      <c r="AC424" s="2278"/>
      <c r="AD424" s="2278"/>
      <c r="AE424" s="2279"/>
      <c r="AF424" s="63"/>
      <c r="AG424" s="2277"/>
      <c r="AH424" s="2278"/>
      <c r="AI424"/>
      <c r="AJ424"/>
      <c r="AK424" s="1420"/>
      <c r="AL424"/>
      <c r="AM424" s="1419"/>
      <c r="AN424"/>
      <c r="AO424"/>
      <c r="AP424"/>
      <c r="AQ424" s="1420"/>
      <c r="AR424"/>
      <c r="AS424" s="1419"/>
      <c r="AT424"/>
      <c r="AU424"/>
      <c r="AV424"/>
      <c r="AW424" s="1420"/>
      <c r="AX424" s="63"/>
      <c r="AY424" s="1937"/>
      <c r="AZ424" s="1938">
        <f>+AZ423/AY422</f>
        <v>1.4230793563667403</v>
      </c>
      <c r="BA424" s="1938">
        <f>+BA423/AZ422</f>
        <v>0.64680918195991222</v>
      </c>
      <c r="BB424" s="1938">
        <f>+BB423/BA422</f>
        <v>0.17635580303674334</v>
      </c>
      <c r="BC424" s="1936">
        <f>+AVERAGE(AY424:BB424)</f>
        <v>0.7487481137877986</v>
      </c>
      <c r="BD424" s="8"/>
      <c r="BE424" s="1937">
        <f>+BE423/BC422</f>
        <v>0.18879577109797863</v>
      </c>
      <c r="BF424" s="1938">
        <f>+BF423/BE422</f>
        <v>8.5932964151315475E-2</v>
      </c>
      <c r="BG424" s="1938">
        <f>+BG423/BF422</f>
        <v>7.8765363353453521E-2</v>
      </c>
      <c r="BH424" s="1938">
        <f>+BH423/BG422</f>
        <v>7.2572712140744219E-2</v>
      </c>
      <c r="BI424" s="1936">
        <f>+AVERAGE(BE424:BH424)</f>
        <v>0.10651670268587296</v>
      </c>
      <c r="BJ424" s="60"/>
      <c r="BK424" s="1937">
        <f>+BK423/BI422</f>
        <v>6.5039095770465502E-2</v>
      </c>
      <c r="BL424" s="1938">
        <f>+BL423/BK422</f>
        <v>6.0655472501419408E-2</v>
      </c>
      <c r="BM424" s="1938">
        <f>+BM423/BL422</f>
        <v>5.6702266603716196E-2</v>
      </c>
      <c r="BN424" s="1938">
        <f>+BN423/BM422</f>
        <v>5.3405466884574232E-2</v>
      </c>
      <c r="BO424" s="1936">
        <f>+AVERAGE(BK424:BN424)</f>
        <v>5.8950575440043833E-2</v>
      </c>
      <c r="BP424" s="60"/>
      <c r="BQ424" s="1937">
        <f>+BQ423/BO422</f>
        <v>5.1631680064617082E-2</v>
      </c>
      <c r="BR424" s="1938">
        <f>+BR423/BQ422</f>
        <v>4.8968837422567378E-2</v>
      </c>
      <c r="BS424" s="1938">
        <f>+BS423/BR422</f>
        <v>4.5488832805746768E-2</v>
      </c>
      <c r="BT424" s="1938">
        <f>+BT423/BS422</f>
        <v>4.090915606711433E-2</v>
      </c>
      <c r="BU424" s="1936">
        <f>+AVERAGE(BQ424:BT424)</f>
        <v>4.6749626590011389E-2</v>
      </c>
      <c r="BV424" s="60"/>
      <c r="BW424" s="1937">
        <f>+BW423/BU422</f>
        <v>3.6783111779785702E-2</v>
      </c>
      <c r="BX424" s="1938">
        <f>+BX423/BW422</f>
        <v>3.3215001576376746E-2</v>
      </c>
      <c r="BY424" s="1938">
        <f>+BY423/BX422</f>
        <v>2.9939346529553386E-2</v>
      </c>
      <c r="BZ424" s="1938">
        <f>+BZ423/BY422</f>
        <v>2.690818525842727E-2</v>
      </c>
      <c r="CA424" s="1936">
        <f>+AVERAGE(BW424:BZ424)</f>
        <v>3.171141128603578E-2</v>
      </c>
      <c r="CB424" s="60"/>
      <c r="CC424" s="1937">
        <f>+CC423/CA422</f>
        <v>2.4082041153802271E-2</v>
      </c>
      <c r="CD424" s="1938">
        <f>+CD423/CC422</f>
        <v>2.1634875609676675E-2</v>
      </c>
      <c r="CE424" s="1938">
        <f>+CE423/CD422</f>
        <v>1.9320963436172418E-2</v>
      </c>
      <c r="CF424" s="1938">
        <f>+CF423/CE422</f>
        <v>1.7119593864828236E-2</v>
      </c>
      <c r="CG424" s="1936">
        <f>+AVERAGE(CC424:CF424)</f>
        <v>2.0539368516119899E-2</v>
      </c>
      <c r="CH424" s="60"/>
      <c r="CI424" s="1937">
        <f>+CI423/CG422</f>
        <v>1.5012754695241803E-2</v>
      </c>
      <c r="CJ424" s="1938">
        <f>+CJ423/CI422</f>
        <v>1.2984579215407889E-2</v>
      </c>
      <c r="CK424" s="1938">
        <f>+CK423/CJ422</f>
        <v>1.1020902181078899E-2</v>
      </c>
      <c r="CL424" s="1938">
        <f>+CL423/CK422</f>
        <v>1.0662949861951316E-2</v>
      </c>
      <c r="CM424" s="1936">
        <f>+AVERAGE(CI424:CL424)</f>
        <v>1.2420296488419977E-2</v>
      </c>
      <c r="CN424" s="60"/>
      <c r="CO424" s="1937">
        <f>+CO423/CM422</f>
        <v>1.0634854540096727E-2</v>
      </c>
      <c r="CP424" s="1938">
        <f>+CP423/CO422</f>
        <v>1.0607128111859702E-2</v>
      </c>
      <c r="CQ424" s="1938">
        <f>+CQ423/CP422</f>
        <v>1.0579764222255842E-2</v>
      </c>
      <c r="CR424" s="1938">
        <f>+CR423/CQ422</f>
        <v>1.0552756658690109E-2</v>
      </c>
      <c r="CS424" s="1936">
        <f>+AVERAGE(CO424:CR424)</f>
        <v>1.0593625883225596E-2</v>
      </c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  <c r="HB424"/>
      <c r="HC424"/>
      <c r="HD424"/>
      <c r="HE424"/>
      <c r="HF424"/>
      <c r="HG424"/>
      <c r="HH424"/>
      <c r="HI424"/>
      <c r="HJ424"/>
      <c r="HK424"/>
      <c r="HL424"/>
      <c r="HM424"/>
      <c r="HN424"/>
      <c r="HO424"/>
      <c r="HP424"/>
      <c r="HQ424"/>
      <c r="HR424"/>
      <c r="HS424"/>
      <c r="HT424"/>
      <c r="HU424"/>
      <c r="HV424"/>
      <c r="HW424"/>
      <c r="HX424"/>
      <c r="HY424"/>
      <c r="HZ424"/>
      <c r="IA424"/>
      <c r="IB424"/>
      <c r="IC424"/>
      <c r="ID424"/>
      <c r="IE424"/>
      <c r="IF424"/>
      <c r="IG424"/>
      <c r="IH424"/>
      <c r="II424"/>
      <c r="IJ424"/>
      <c r="IK424"/>
      <c r="IL424"/>
      <c r="IM424"/>
      <c r="IN424"/>
      <c r="IO424"/>
      <c r="IP424"/>
      <c r="IQ424"/>
      <c r="IR424"/>
      <c r="IS424"/>
      <c r="IT424"/>
      <c r="IU424"/>
      <c r="IV424"/>
      <c r="IW424"/>
      <c r="IX424"/>
      <c r="IY424"/>
      <c r="IZ424"/>
      <c r="JA424"/>
      <c r="JB424"/>
      <c r="JC424"/>
      <c r="JD424"/>
      <c r="JE424"/>
      <c r="JF424"/>
      <c r="JG424"/>
      <c r="JH424"/>
      <c r="JI424"/>
      <c r="JJ424"/>
      <c r="JK424"/>
      <c r="JL424"/>
      <c r="JM424"/>
      <c r="JN424"/>
      <c r="JO424"/>
      <c r="JP424"/>
      <c r="JQ424"/>
      <c r="JR424"/>
      <c r="JS424"/>
      <c r="JT424"/>
    </row>
    <row r="425" spans="1:280" collapsed="1">
      <c r="A425" s="1991" t="s">
        <v>708</v>
      </c>
      <c r="C425" s="1850"/>
      <c r="G425" s="736"/>
      <c r="H425" s="63"/>
      <c r="I425" s="2277"/>
      <c r="J425" s="2278"/>
      <c r="K425" s="2278"/>
      <c r="L425" s="2278"/>
      <c r="M425" s="2279"/>
      <c r="N425" s="63"/>
      <c r="O425" s="2277"/>
      <c r="P425" s="2278"/>
      <c r="Q425" s="2278"/>
      <c r="R425" s="2278"/>
      <c r="S425" s="2279"/>
      <c r="T425" s="63"/>
      <c r="U425" s="2277"/>
      <c r="V425" s="2278"/>
      <c r="W425" s="2278"/>
      <c r="X425" s="2278"/>
      <c r="Y425" s="2279"/>
      <c r="Z425" s="63"/>
      <c r="AA425" s="2277"/>
      <c r="AB425" s="2278"/>
      <c r="AC425" s="2278"/>
      <c r="AD425" s="2278"/>
      <c r="AE425" s="2279"/>
      <c r="AF425" s="63"/>
      <c r="AG425" s="2277"/>
      <c r="AH425" s="2278"/>
      <c r="AK425" s="1420"/>
      <c r="AM425" s="1419"/>
      <c r="AQ425" s="1420"/>
      <c r="AS425" s="1419"/>
      <c r="AW425" s="1420"/>
      <c r="AX425" s="63"/>
      <c r="AY425" s="1937">
        <f>+AY423/(AV$152++AV$154+AV$156+AV$158)</f>
        <v>9.2846482229134962E-3</v>
      </c>
      <c r="AZ425" s="1938">
        <f>+AZ423/(AY$152++AY$154+AY$156+AY$158)</f>
        <v>1.2790572792362767E-2</v>
      </c>
      <c r="BA425" s="1938">
        <f>+BA423/(AZ$152++AZ$154+AZ$156+AZ$158)</f>
        <v>1.3601214066155002E-2</v>
      </c>
      <c r="BB425" s="1938">
        <f>+BB423/(BA$152++BA$154+BA$156+BA$158)</f>
        <v>5.9391163752585069E-3</v>
      </c>
      <c r="BC425" s="1936">
        <f>+AVERAGE(AY425:BB425)</f>
        <v>1.0403887864172444E-2</v>
      </c>
      <c r="BE425" s="1937">
        <f>+BE423/(BB$152++BB$154+BB$156+BB$158)</f>
        <v>7.2862149678203951E-3</v>
      </c>
      <c r="BF425" s="2307">
        <v>4.0000000000000001E-3</v>
      </c>
      <c r="BG425" s="2307">
        <v>4.0000000000000001E-3</v>
      </c>
      <c r="BH425" s="2307">
        <v>4.0000000000000001E-3</v>
      </c>
      <c r="BI425" s="1936">
        <f>+AVERAGE(BE425:BH425)</f>
        <v>4.821553741955099E-3</v>
      </c>
      <c r="BJ425" s="1"/>
      <c r="BK425" s="2308">
        <v>4.0000000000000001E-3</v>
      </c>
      <c r="BL425" s="2307">
        <v>4.0000000000000001E-3</v>
      </c>
      <c r="BM425" s="2307">
        <v>4.0000000000000001E-3</v>
      </c>
      <c r="BN425" s="2307">
        <v>4.0000000000000001E-3</v>
      </c>
      <c r="BO425" s="1936">
        <f>+AVERAGE(BK425:BN425)</f>
        <v>4.0000000000000001E-3</v>
      </c>
      <c r="BP425" s="1"/>
      <c r="BQ425" s="2308">
        <v>4.0000000000000001E-3</v>
      </c>
      <c r="BR425" s="2307">
        <v>4.0000000000000001E-3</v>
      </c>
      <c r="BS425" s="2307">
        <v>4.0000000000000001E-3</v>
      </c>
      <c r="BT425" s="2307">
        <v>4.0000000000000001E-3</v>
      </c>
      <c r="BU425" s="1936">
        <f>+AVERAGE(BQ425:BT425)</f>
        <v>4.0000000000000001E-3</v>
      </c>
      <c r="BV425" s="1"/>
      <c r="BW425" s="2308">
        <v>4.0000000000000001E-3</v>
      </c>
      <c r="BX425" s="2307">
        <v>4.0000000000000001E-3</v>
      </c>
      <c r="BY425" s="2307">
        <v>4.0000000000000001E-3</v>
      </c>
      <c r="BZ425" s="2307">
        <v>4.0000000000000001E-3</v>
      </c>
      <c r="CA425" s="1936">
        <f>+AVERAGE(BW425:BZ425)</f>
        <v>4.0000000000000001E-3</v>
      </c>
      <c r="CB425" s="1"/>
      <c r="CC425" s="2308">
        <v>4.0000000000000001E-3</v>
      </c>
      <c r="CD425" s="2307">
        <v>4.0000000000000001E-3</v>
      </c>
      <c r="CE425" s="2307">
        <v>4.0000000000000001E-3</v>
      </c>
      <c r="CF425" s="2307">
        <v>4.0000000000000001E-3</v>
      </c>
      <c r="CG425" s="1936">
        <f>+AVERAGE(CC425:CF425)</f>
        <v>4.0000000000000001E-3</v>
      </c>
      <c r="CH425" s="1"/>
      <c r="CI425" s="2308">
        <v>4.0000000000000001E-3</v>
      </c>
      <c r="CJ425" s="2307">
        <v>4.0000000000000001E-3</v>
      </c>
      <c r="CK425" s="2307">
        <v>4.0000000000000001E-3</v>
      </c>
      <c r="CL425" s="2307">
        <v>4.0000000000000001E-3</v>
      </c>
      <c r="CM425" s="1936">
        <f>+AVERAGE(CI425:CL425)</f>
        <v>4.0000000000000001E-3</v>
      </c>
      <c r="CN425" s="1"/>
      <c r="CO425" s="2308">
        <v>4.0000000000000001E-3</v>
      </c>
      <c r="CP425" s="2307">
        <v>4.0000000000000001E-3</v>
      </c>
      <c r="CQ425" s="2307">
        <v>4.0000000000000001E-3</v>
      </c>
      <c r="CR425" s="2307">
        <v>4.0000000000000001E-3</v>
      </c>
      <c r="CS425" s="1936">
        <f>+AVERAGE(CO425:CR425)</f>
        <v>4.0000000000000001E-3</v>
      </c>
    </row>
    <row r="426" spans="1:280" s="6" customFormat="1">
      <c r="A426" s="2280" t="s">
        <v>683</v>
      </c>
      <c r="B426"/>
      <c r="C426" s="1850"/>
      <c r="D426"/>
      <c r="E426"/>
      <c r="F426"/>
      <c r="G426" s="736"/>
      <c r="H426" s="63"/>
      <c r="I426" s="1425"/>
      <c r="M426" s="1841"/>
      <c r="N426" s="63"/>
      <c r="O426" s="1425"/>
      <c r="P426" s="2278"/>
      <c r="Q426" s="2278"/>
      <c r="R426" s="2278"/>
      <c r="S426" s="2279"/>
      <c r="T426" s="63"/>
      <c r="U426" s="1425"/>
      <c r="V426" s="2278"/>
      <c r="W426" s="2278"/>
      <c r="X426" s="2278"/>
      <c r="Y426" s="2279"/>
      <c r="Z426" s="63"/>
      <c r="AA426" s="1425"/>
      <c r="AB426" s="2278"/>
      <c r="AC426" s="2278"/>
      <c r="AD426" s="2278"/>
      <c r="AE426" s="2279"/>
      <c r="AF426" s="63"/>
      <c r="AG426" s="1425">
        <f>+AVERAGE(AG422,AD422)</f>
        <v>0</v>
      </c>
      <c r="AH426" s="2278">
        <f>+AVERAGE(AH422,AG422)</f>
        <v>0</v>
      </c>
      <c r="AI426" s="2278">
        <f>+AVERAGE(AI422,AH422)</f>
        <v>0</v>
      </c>
      <c r="AJ426" s="2278">
        <f>+AVERAGE(AJ422,AI422)</f>
        <v>0</v>
      </c>
      <c r="AK426" s="2279">
        <f>+AVERAGE(AK422,AJ422)</f>
        <v>0</v>
      </c>
      <c r="AL426" s="63"/>
      <c r="AM426" s="1425">
        <f>+AVERAGE(AM422,AJ422)</f>
        <v>0</v>
      </c>
      <c r="AN426" s="2278">
        <f>+AVERAGE(AN422,AM422)</f>
        <v>0</v>
      </c>
      <c r="AO426" s="2278">
        <f>+AVERAGE(AO422,AN422)</f>
        <v>0</v>
      </c>
      <c r="AP426" s="2278">
        <f>+AVERAGE(AP422,AO422)</f>
        <v>0</v>
      </c>
      <c r="AQ426" s="2279">
        <f>+AVERAGE(AQ422,AP422)</f>
        <v>0</v>
      </c>
      <c r="AR426" s="63"/>
      <c r="AS426" s="1425">
        <f>+AVERAGE(AS422,AP422)</f>
        <v>0</v>
      </c>
      <c r="AT426" s="2278">
        <f>+AVERAGE(AT422,AS422)</f>
        <v>0</v>
      </c>
      <c r="AU426" s="2278">
        <f>+AVERAGE(AU422,AT422)</f>
        <v>0</v>
      </c>
      <c r="AV426" s="2278">
        <f>+AVERAGE(AV422,AU422)</f>
        <v>0</v>
      </c>
      <c r="AW426" s="2279">
        <f>+AVERAGE(AW422,AV422)</f>
        <v>0</v>
      </c>
      <c r="AX426" s="63"/>
      <c r="AY426" s="2281">
        <f>+AVERAGE(AY422,AV422)</f>
        <v>8.4380000000000006</v>
      </c>
      <c r="AZ426" s="2282">
        <f>+AVERAGE(AZ422,AY422)</f>
        <v>28.883943609022559</v>
      </c>
      <c r="BA426" s="2282">
        <f>+AVERAGE(BA422,AZ422)</f>
        <v>54.116511278195489</v>
      </c>
      <c r="BB426" s="2282">
        <f>+AVERAGE(BB422,BA422)</f>
        <v>73.279135338345867</v>
      </c>
      <c r="BC426" s="2283">
        <f>+AVERAGE(BC422,AW422)</f>
        <v>39.608567669172935</v>
      </c>
      <c r="BD426"/>
      <c r="BE426" s="2281">
        <f>+AVERAGE(BE422,BB422)</f>
        <v>86.19506541353384</v>
      </c>
      <c r="BF426" s="2282">
        <f>+AVERAGE(BF422,BE422)</f>
        <v>96.676311329323312</v>
      </c>
      <c r="BG426" s="2282">
        <f>+AVERAGE(BG422,BF422)</f>
        <v>103.12496953725113</v>
      </c>
      <c r="BH426" s="2282">
        <f>+AVERAGE(BH422,BG422)</f>
        <v>109.41921701084237</v>
      </c>
      <c r="BI426" s="2283">
        <f>+AVERAGE(BI422,BC422)</f>
        <v>95.992628727726583</v>
      </c>
      <c r="BJ426" s="63"/>
      <c r="BK426" s="2281">
        <f>+AVERAGE(BK422,BH422)</f>
        <v>116.43529046422236</v>
      </c>
      <c r="BL426" s="2282">
        <f>+AVERAGE(BL422,BK422)</f>
        <v>123.74489450522937</v>
      </c>
      <c r="BM426" s="2282">
        <f>+AVERAGE(BM422,BL422)</f>
        <v>130.99890537856444</v>
      </c>
      <c r="BN426" s="2282">
        <f>+AVERAGE(BN422,BM422)</f>
        <v>136.7049483388862</v>
      </c>
      <c r="BO426" s="2283">
        <f>+AVERAGE(BO422,BI422)</f>
        <v>125.78376911843607</v>
      </c>
      <c r="BP426" s="63"/>
      <c r="BQ426" s="2281">
        <f>+AVERAGE(BQ422,BN422)</f>
        <v>142.38263964289052</v>
      </c>
      <c r="BR426" s="2282">
        <f>+AVERAGE(BR422,BQ422)</f>
        <v>149.53975247732689</v>
      </c>
      <c r="BS426" s="2282">
        <f>+AVERAGE(BS422,BR422)</f>
        <v>156.59612221443871</v>
      </c>
      <c r="BT426" s="2282">
        <f>+AVERAGE(BT422,BS422)</f>
        <v>163.35294290944745</v>
      </c>
      <c r="BU426" s="2283">
        <f>+AVERAGE(BU422,BO422)</f>
        <v>152.71334964920993</v>
      </c>
      <c r="BV426" s="63"/>
      <c r="BW426" s="2281">
        <f>+AVERAGE(BW422,BT422)</f>
        <v>169.69181817001629</v>
      </c>
      <c r="BX426" s="2282">
        <f>+AVERAGE(BX422,BW422)</f>
        <v>175.62540443266965</v>
      </c>
      <c r="BY426" s="2282">
        <f>+AVERAGE(BY422,BX422)</f>
        <v>181.16645938542422</v>
      </c>
      <c r="BZ426" s="2282">
        <f>+AVERAGE(BZ422,BY422)</f>
        <v>186.31184277780085</v>
      </c>
      <c r="CA426" s="2283">
        <f>+AVERAGE(CA422,BU422)</f>
        <v>177.70625283368503</v>
      </c>
      <c r="CB426" s="63"/>
      <c r="CC426" s="2281">
        <f>+AVERAGE(CC422,BZ422)</f>
        <v>191.0583892373165</v>
      </c>
      <c r="CD426" s="2282">
        <f>+AVERAGE(CD422,CC422)</f>
        <v>195.42290806850826</v>
      </c>
      <c r="CE426" s="2282">
        <f>+AVERAGE(CE422,CD422)</f>
        <v>199.42234305034958</v>
      </c>
      <c r="CF426" s="2282">
        <f>+AVERAGE(CF422,CE422)</f>
        <v>203.05377351204561</v>
      </c>
      <c r="CG426" s="2283">
        <f>+AVERAGE(CG422,CA422)</f>
        <v>196.78117178160284</v>
      </c>
      <c r="CH426" s="63"/>
      <c r="CI426" s="2281">
        <f>+AVERAGE(CI422,CF422)</f>
        <v>206.31425541743522</v>
      </c>
      <c r="CJ426" s="2282">
        <f>+AVERAGE(CJ422,CI422)</f>
        <v>209.20082117806794</v>
      </c>
      <c r="CK426" s="2282">
        <f>+AVERAGE(CK422,CJ422)</f>
        <v>211.71047946478569</v>
      </c>
      <c r="CL426" s="2282">
        <f>+AVERAGE(CL422,CK422)</f>
        <v>214.00562116817315</v>
      </c>
      <c r="CM426" s="2283">
        <f>+AVERAGE(CM422,CG422)</f>
        <v>209.9588285385108</v>
      </c>
      <c r="CN426" s="63"/>
      <c r="CO426" s="2281">
        <f>+AVERAGE(CO422,CL422)</f>
        <v>216.28453015556366</v>
      </c>
      <c r="CP426" s="2282">
        <f>+AVERAGE(CP422,CO422)</f>
        <v>218.58167041485328</v>
      </c>
      <c r="CQ426" s="2282">
        <f>+AVERAGE(CQ422,CP422)</f>
        <v>220.89718779621722</v>
      </c>
      <c r="CR426" s="2282">
        <f>+AVERAGE(CR422,CQ422)</f>
        <v>223.23122931663204</v>
      </c>
      <c r="CS426" s="2283">
        <f>+AVERAGE(CS422,CM422)</f>
        <v>219.77171778223544</v>
      </c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  <c r="HB426"/>
      <c r="HC426"/>
      <c r="HD426"/>
      <c r="HE426"/>
      <c r="HF426"/>
      <c r="HG426"/>
      <c r="HH426"/>
      <c r="HI426"/>
      <c r="HJ426"/>
      <c r="HK426"/>
      <c r="HL426"/>
      <c r="HM426"/>
      <c r="HN426"/>
      <c r="HO426"/>
      <c r="HP426"/>
      <c r="HQ426"/>
      <c r="HR426"/>
      <c r="HS426"/>
      <c r="HT426"/>
      <c r="HU426"/>
      <c r="HV426"/>
      <c r="HW426"/>
      <c r="HX426"/>
      <c r="HY426"/>
      <c r="HZ426"/>
      <c r="IA426"/>
      <c r="IB426"/>
      <c r="IC426"/>
      <c r="ID426"/>
      <c r="IE426"/>
      <c r="IF426"/>
      <c r="IG426"/>
      <c r="IH426"/>
      <c r="II426"/>
      <c r="IJ426"/>
      <c r="IK426"/>
      <c r="IL426"/>
      <c r="IM426"/>
      <c r="IN426"/>
      <c r="IO426"/>
      <c r="IP426"/>
      <c r="IQ426"/>
      <c r="IR426"/>
      <c r="IS426"/>
      <c r="IT426"/>
      <c r="IU426"/>
      <c r="IV426"/>
      <c r="IW426"/>
      <c r="IX426"/>
      <c r="IY426"/>
      <c r="IZ426"/>
      <c r="JA426"/>
      <c r="JB426"/>
      <c r="JC426"/>
      <c r="JD426"/>
      <c r="JE426"/>
      <c r="JF426"/>
      <c r="JG426"/>
      <c r="JH426"/>
      <c r="JI426"/>
      <c r="JJ426"/>
      <c r="JK426"/>
      <c r="JL426"/>
      <c r="JM426"/>
      <c r="JN426"/>
      <c r="JO426"/>
      <c r="JP426"/>
      <c r="JQ426"/>
      <c r="JR426"/>
      <c r="JS426"/>
      <c r="JT426"/>
    </row>
    <row r="427" spans="1:280" s="6" customFormat="1">
      <c r="A427" s="2291" t="s">
        <v>686</v>
      </c>
      <c r="B427"/>
      <c r="C427" s="1850"/>
      <c r="D427"/>
      <c r="E427"/>
      <c r="F427"/>
      <c r="G427" s="736"/>
      <c r="H427" s="63"/>
      <c r="I427" s="1425"/>
      <c r="M427" s="1841"/>
      <c r="N427" s="63"/>
      <c r="O427" s="1425"/>
      <c r="P427" s="2278"/>
      <c r="Q427" s="2278"/>
      <c r="R427" s="2278"/>
      <c r="S427" s="2279"/>
      <c r="T427" s="63"/>
      <c r="U427" s="1425"/>
      <c r="V427" s="2278"/>
      <c r="W427" s="2278"/>
      <c r="X427" s="2278"/>
      <c r="Y427" s="2279"/>
      <c r="Z427" s="63"/>
      <c r="AA427" s="1425"/>
      <c r="AB427" s="2278"/>
      <c r="AC427" s="2278"/>
      <c r="AD427" s="2278"/>
      <c r="AE427" s="2279"/>
      <c r="AF427" s="63"/>
      <c r="AG427" s="1425"/>
      <c r="AH427" s="2278"/>
      <c r="AI427" s="2278"/>
      <c r="AJ427" s="2278"/>
      <c r="AK427" s="2279"/>
      <c r="AL427" s="63"/>
      <c r="AM427" s="1425"/>
      <c r="AN427" s="2278"/>
      <c r="AO427" s="2278"/>
      <c r="AP427" s="2278"/>
      <c r="AQ427" s="2279"/>
      <c r="AR427" s="63"/>
      <c r="AS427" s="1425"/>
      <c r="AT427" s="2278"/>
      <c r="AU427" s="2278"/>
      <c r="AV427" s="2278"/>
      <c r="AW427" s="2279"/>
      <c r="AX427" s="63"/>
      <c r="AY427" s="2281">
        <f>+AY$93</f>
        <v>0</v>
      </c>
      <c r="AZ427" s="2287">
        <f>+AZ$93</f>
        <v>0</v>
      </c>
      <c r="BA427" s="2282">
        <f>+BA$93</f>
        <v>0</v>
      </c>
      <c r="BB427" s="2282">
        <f>+BB$93</f>
        <v>0</v>
      </c>
      <c r="BC427" s="2283">
        <f>+SUM(AY427:BB427)</f>
        <v>0</v>
      </c>
      <c r="BD427"/>
      <c r="BE427" s="2281">
        <f>+BE$93</f>
        <v>1</v>
      </c>
      <c r="BF427" s="2287">
        <f>+BF$93</f>
        <v>1</v>
      </c>
      <c r="BG427" s="2282">
        <f>+BG$93</f>
        <v>2</v>
      </c>
      <c r="BH427" s="2282">
        <f>+BH$93</f>
        <v>1</v>
      </c>
      <c r="BI427" s="2283">
        <f>+SUM(BE427:BH427)</f>
        <v>5</v>
      </c>
      <c r="BJ427"/>
      <c r="BK427" s="2281">
        <f>+BK$93</f>
        <v>0</v>
      </c>
      <c r="BL427" s="2287">
        <f>+BL$93</f>
        <v>0</v>
      </c>
      <c r="BM427" s="2282">
        <f>+BM$93</f>
        <v>0</v>
      </c>
      <c r="BN427" s="2282">
        <f>+BN$93</f>
        <v>3</v>
      </c>
      <c r="BO427" s="2283">
        <f>+SUM(BK427:BN427)</f>
        <v>3</v>
      </c>
      <c r="BP427"/>
      <c r="BQ427" s="2281">
        <f>+BQ$93</f>
        <v>0</v>
      </c>
      <c r="BR427" s="2287">
        <f>+BR$93</f>
        <v>0</v>
      </c>
      <c r="BS427" s="2282">
        <f>+BS$93</f>
        <v>0</v>
      </c>
      <c r="BT427" s="2282">
        <f>+BT$93</f>
        <v>0</v>
      </c>
      <c r="BU427" s="2283">
        <f>+SUM(BQ427:BT427)</f>
        <v>0</v>
      </c>
      <c r="BV427"/>
      <c r="BW427" s="2281">
        <f>+BW$93</f>
        <v>0</v>
      </c>
      <c r="BX427" s="2287">
        <f>+BX$93</f>
        <v>0</v>
      </c>
      <c r="BY427" s="2282">
        <f>+BY$93</f>
        <v>0</v>
      </c>
      <c r="BZ427" s="2282">
        <f>+BZ$93</f>
        <v>0</v>
      </c>
      <c r="CA427" s="2283">
        <f>+SUM(BW427:BZ427)</f>
        <v>0</v>
      </c>
      <c r="CB427"/>
      <c r="CC427" s="2281">
        <f>+CC$93</f>
        <v>0</v>
      </c>
      <c r="CD427" s="2287">
        <f>+CD$93</f>
        <v>0</v>
      </c>
      <c r="CE427" s="2282">
        <f>+CE$93</f>
        <v>0</v>
      </c>
      <c r="CF427" s="2282">
        <f>+CF$93</f>
        <v>0</v>
      </c>
      <c r="CG427" s="2283">
        <f>+SUM(CC427:CF427)</f>
        <v>0</v>
      </c>
      <c r="CH427"/>
      <c r="CI427" s="2281">
        <f>+CI$93</f>
        <v>0</v>
      </c>
      <c r="CJ427" s="2287">
        <f>+CJ$93</f>
        <v>0</v>
      </c>
      <c r="CK427" s="2282">
        <f>+CK$93</f>
        <v>0</v>
      </c>
      <c r="CL427" s="2282">
        <f>+CL$93</f>
        <v>0</v>
      </c>
      <c r="CM427" s="2283">
        <f>+SUM(CI427:CL427)</f>
        <v>0</v>
      </c>
      <c r="CN427"/>
      <c r="CO427" s="2281">
        <f>+CO$93</f>
        <v>0</v>
      </c>
      <c r="CP427" s="2287">
        <f>+CP$93</f>
        <v>0</v>
      </c>
      <c r="CQ427" s="2282">
        <f>+CQ$93</f>
        <v>0</v>
      </c>
      <c r="CR427" s="2282">
        <f>+CR$93</f>
        <v>0</v>
      </c>
      <c r="CS427" s="2283">
        <f>+SUM(CO427:CR427)</f>
        <v>0</v>
      </c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  <c r="HE427"/>
      <c r="HF427"/>
      <c r="HG427"/>
      <c r="HH427"/>
      <c r="HI427"/>
      <c r="HJ427"/>
      <c r="HK427"/>
      <c r="HL427"/>
      <c r="HM427"/>
      <c r="HN427"/>
      <c r="HO427"/>
      <c r="HP427"/>
      <c r="HQ427"/>
      <c r="HR427"/>
      <c r="HS427"/>
      <c r="HT427"/>
      <c r="HU427"/>
      <c r="HV427"/>
      <c r="HW427"/>
      <c r="HX427"/>
      <c r="HY427"/>
      <c r="HZ427"/>
      <c r="IA427"/>
      <c r="IB427"/>
      <c r="IC427"/>
      <c r="ID427"/>
      <c r="IE427"/>
      <c r="IF427"/>
      <c r="IG427"/>
      <c r="IH427"/>
      <c r="II427"/>
      <c r="IJ427"/>
      <c r="IK427"/>
      <c r="IL427"/>
      <c r="IM427"/>
      <c r="IN427"/>
      <c r="IO427"/>
      <c r="IP427"/>
      <c r="IQ427"/>
      <c r="IR427"/>
      <c r="IS427"/>
      <c r="IT427"/>
      <c r="IU427"/>
      <c r="IV427"/>
      <c r="IW427"/>
      <c r="IX427"/>
      <c r="IY427"/>
      <c r="IZ427"/>
      <c r="JA427"/>
      <c r="JB427"/>
      <c r="JC427"/>
      <c r="JD427"/>
      <c r="JE427"/>
      <c r="JF427"/>
      <c r="JG427"/>
      <c r="JH427"/>
      <c r="JI427"/>
      <c r="JJ427"/>
      <c r="JK427"/>
      <c r="JL427"/>
      <c r="JM427"/>
      <c r="JN427"/>
      <c r="JO427"/>
      <c r="JP427"/>
      <c r="JQ427"/>
      <c r="JR427"/>
      <c r="JS427"/>
      <c r="JT427"/>
    </row>
    <row r="428" spans="1:280" s="6" customFormat="1">
      <c r="A428" s="1930" t="s">
        <v>684</v>
      </c>
      <c r="B428"/>
      <c r="C428" s="1850"/>
      <c r="D428"/>
      <c r="E428"/>
      <c r="F428"/>
      <c r="G428" s="736"/>
      <c r="H428" s="63"/>
      <c r="I428" s="1425"/>
      <c r="M428" s="1841"/>
      <c r="N428" s="63"/>
      <c r="O428" s="1425"/>
      <c r="P428" s="2278"/>
      <c r="Q428" s="2278"/>
      <c r="R428" s="2278"/>
      <c r="S428" s="2279"/>
      <c r="T428" s="63"/>
      <c r="U428" s="1425"/>
      <c r="V428" s="2278"/>
      <c r="W428" s="2278"/>
      <c r="X428" s="2278"/>
      <c r="Y428" s="2279"/>
      <c r="Z428" s="63"/>
      <c r="AA428" s="1425"/>
      <c r="AB428" s="2278"/>
      <c r="AC428" s="2278"/>
      <c r="AD428" s="2278"/>
      <c r="AE428" s="2279"/>
      <c r="AF428" s="63"/>
      <c r="AG428" s="1425"/>
      <c r="AH428" s="2278"/>
      <c r="AI428" s="2278"/>
      <c r="AJ428" s="2278"/>
      <c r="AK428" s="2279"/>
      <c r="AL428" s="63"/>
      <c r="AM428" s="1425"/>
      <c r="AN428" s="2278"/>
      <c r="AO428" s="2278"/>
      <c r="AP428" s="2278"/>
      <c r="AQ428" s="2279"/>
      <c r="AR428" s="63"/>
      <c r="AS428" s="1425"/>
      <c r="AT428" s="2278"/>
      <c r="AU428" s="2278"/>
      <c r="AV428" s="2278"/>
      <c r="AW428" s="2279"/>
      <c r="AX428" s="63"/>
      <c r="AY428" s="1425">
        <f>+(AY423*AY$79)/1000</f>
        <v>9.7037000000000013</v>
      </c>
      <c r="AZ428" s="2284">
        <f>+(AZ423*AZ$79)/1000</f>
        <v>13.809135150375941</v>
      </c>
      <c r="BA428" s="2284">
        <f>+(BA423*BA$79)/1000</f>
        <v>15.340563909774435</v>
      </c>
      <c r="BB428" s="2284">
        <f>+(BB423*BB$79)/1000</f>
        <v>6.8880799999999995</v>
      </c>
      <c r="BC428" s="1424">
        <f>+SUM(AY428:BB428)</f>
        <v>45.741479060150382</v>
      </c>
      <c r="BD428"/>
      <c r="BE428" s="1425">
        <f>+(BE423*BE$79)/1000</f>
        <v>8.5996195864661651</v>
      </c>
      <c r="BF428" s="2284">
        <f>+(BF423*BF$79)/1000</f>
        <v>4.60381321669173</v>
      </c>
      <c r="BG428" s="2284">
        <f>+(BG423*BG$79)/1000</f>
        <v>4.5371437224252631</v>
      </c>
      <c r="BH428" s="2284">
        <f>+(BH423*BH$79)/1000</f>
        <v>4.4262408722046658</v>
      </c>
      <c r="BI428" s="1424">
        <f>+SUM(BE428:BH428)</f>
        <v>22.166817397787824</v>
      </c>
      <c r="BJ428" s="63"/>
      <c r="BK428" s="1425">
        <f>+(BK423*BK$79)/1000</f>
        <v>4.2172435991823027</v>
      </c>
      <c r="BL428" s="2284">
        <f>+(BL423*BL$79)/1000</f>
        <v>4.1888010479757609</v>
      </c>
      <c r="BM428" s="2284">
        <f>+(BM423*BM$79)/1000</f>
        <v>4.1533114563595683</v>
      </c>
      <c r="BN428" s="2284">
        <f>+(BN423*BN$79)/1000</f>
        <v>4.1336379480104446</v>
      </c>
      <c r="BO428" s="1424">
        <f>+SUM(BK428:BN428)</f>
        <v>16.692994051528078</v>
      </c>
      <c r="BP428" s="63"/>
      <c r="BQ428" s="1425">
        <f>+(BQ423*BQ$79)/1000</f>
        <v>4.1207070515945281</v>
      </c>
      <c r="BR428" s="2284">
        <f>+(BR423*BR$79)/1000</f>
        <v>4.1099727080072839</v>
      </c>
      <c r="BS428" s="2284">
        <f>+(BS423*BS$79)/1000</f>
        <v>4.0048524896713422</v>
      </c>
      <c r="BT428" s="2284">
        <f>+(BT423*BT$79)/1000</f>
        <v>3.7654913095887133</v>
      </c>
      <c r="BU428" s="1424">
        <f>+SUM(BQ428:BT428)</f>
        <v>16.001023558861871</v>
      </c>
      <c r="BV428" s="63"/>
      <c r="BW428" s="1425">
        <f>+(BW423*BW$79)/1000</f>
        <v>3.5242152400654225</v>
      </c>
      <c r="BX428" s="2284">
        <f>+(BX423*BX$79)/1000</f>
        <v>3.2994089619859452</v>
      </c>
      <c r="BY428" s="2284">
        <f>+(BY423*BY$79)/1000</f>
        <v>3.0728042336818335</v>
      </c>
      <c r="BZ428" s="2284">
        <f>+(BZ423*BZ$79)/1000</f>
        <v>2.8443866675512881</v>
      </c>
      <c r="CA428" s="1424">
        <f>+SUM(BW428:BZ428)</f>
        <v>12.74081510328449</v>
      </c>
      <c r="CB428" s="63"/>
      <c r="CC428" s="1425">
        <f>+(CC423*CC$79)/1000</f>
        <v>2.6141417608916981</v>
      </c>
      <c r="CD428" s="2284">
        <f>+(CD423*CD$79)/1000</f>
        <v>2.4050548949788322</v>
      </c>
      <c r="CE428" s="2284">
        <f>+(CE423*CE$79)/1000</f>
        <v>2.1942953341386628</v>
      </c>
      <c r="CF428" s="2284">
        <f>+(CF423*CF$79)/1000</f>
        <v>1.9818496968117718</v>
      </c>
      <c r="CG428" s="1424">
        <f>+SUM(CC428:CF428)</f>
        <v>9.1953416868209654</v>
      </c>
      <c r="CH428" s="63"/>
      <c r="CI428" s="1425">
        <f>+(CI423*CI$79)/1000</f>
        <v>1.7677044943862661</v>
      </c>
      <c r="CJ428" s="2284">
        <f>+(CJ423*CJ$79)/1000</f>
        <v>1.551846130341356</v>
      </c>
      <c r="CK428" s="2284">
        <f>+(CK423*CK$79)/1000</f>
        <v>1.3342608993840868</v>
      </c>
      <c r="CL428" s="2284">
        <f>+(CL423*CL$79)/1000</f>
        <v>1.3051520595114903</v>
      </c>
      <c r="CM428" s="1424">
        <f>+SUM(CI428:CL428)</f>
        <v>5.9589635836231993</v>
      </c>
      <c r="CN428" s="63"/>
      <c r="CO428" s="1425">
        <f>+(CO423*CO$79)/1000</f>
        <v>1.3155932759875821</v>
      </c>
      <c r="CP428" s="2284">
        <f>+(CP423*CP$79)/1000</f>
        <v>1.3261180221954825</v>
      </c>
      <c r="CQ428" s="2284">
        <f>+(CQ423*CQ$79)/1000</f>
        <v>1.3367269663730466</v>
      </c>
      <c r="CR428" s="2284">
        <f>+(CR423*CR$79)/1000</f>
        <v>1.3474207821040312</v>
      </c>
      <c r="CS428" s="1424">
        <f>+SUM(CO428:CR428)</f>
        <v>5.3258590466601428</v>
      </c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  <c r="HE428"/>
      <c r="HF428"/>
      <c r="HG428"/>
      <c r="HH428"/>
      <c r="HI428"/>
      <c r="HJ428"/>
      <c r="HK428"/>
      <c r="HL428"/>
      <c r="HM428"/>
      <c r="HN428"/>
      <c r="HO428"/>
      <c r="HP428"/>
      <c r="HQ428"/>
      <c r="HR428"/>
      <c r="HS428"/>
      <c r="HT428"/>
      <c r="HU428"/>
      <c r="HV428"/>
      <c r="HW428"/>
      <c r="HX428"/>
      <c r="HY428"/>
      <c r="HZ428"/>
      <c r="IA428"/>
      <c r="IB428"/>
      <c r="IC428"/>
      <c r="ID428"/>
      <c r="IE428"/>
      <c r="IF428"/>
      <c r="IG428"/>
      <c r="IH428"/>
      <c r="II428"/>
      <c r="IJ428"/>
      <c r="IK428"/>
      <c r="IL428"/>
      <c r="IM428"/>
      <c r="IN428"/>
      <c r="IO428"/>
      <c r="IP428"/>
      <c r="IQ428"/>
      <c r="IR428"/>
      <c r="IS428"/>
      <c r="IT428"/>
      <c r="IU428"/>
      <c r="IV428"/>
      <c r="IW428"/>
      <c r="IX428"/>
      <c r="IY428"/>
      <c r="IZ428"/>
      <c r="JA428"/>
      <c r="JB428"/>
      <c r="JC428"/>
      <c r="JD428"/>
      <c r="JE428"/>
      <c r="JF428"/>
      <c r="JG428"/>
      <c r="JH428"/>
      <c r="JI428"/>
      <c r="JJ428"/>
      <c r="JK428"/>
      <c r="JL428"/>
      <c r="JM428"/>
      <c r="JN428"/>
      <c r="JO428"/>
      <c r="JP428"/>
      <c r="JQ428"/>
      <c r="JR428"/>
      <c r="JS428"/>
      <c r="JT428"/>
    </row>
    <row r="429" spans="1:280" s="6" customFormat="1">
      <c r="A429" s="1930" t="s">
        <v>685</v>
      </c>
      <c r="B429"/>
      <c r="C429" s="1850"/>
      <c r="D429"/>
      <c r="E429"/>
      <c r="F429"/>
      <c r="G429" s="736"/>
      <c r="H429" s="63"/>
      <c r="I429" s="1425"/>
      <c r="M429" s="1841"/>
      <c r="N429" s="63"/>
      <c r="O429" s="1425"/>
      <c r="P429" s="2278"/>
      <c r="Q429" s="2278"/>
      <c r="R429" s="2278"/>
      <c r="S429" s="2279"/>
      <c r="T429" s="63"/>
      <c r="U429" s="1425"/>
      <c r="V429" s="2278"/>
      <c r="W429" s="2278"/>
      <c r="X429" s="2278"/>
      <c r="Y429" s="2279"/>
      <c r="Z429" s="63"/>
      <c r="AA429" s="1425"/>
      <c r="AB429" s="2278"/>
      <c r="AC429" s="2278"/>
      <c r="AD429" s="2278"/>
      <c r="AE429" s="2279"/>
      <c r="AF429" s="63"/>
      <c r="AG429" s="1425"/>
      <c r="AH429" s="2278"/>
      <c r="AI429" s="2278"/>
      <c r="AJ429" s="2278"/>
      <c r="AK429" s="2279"/>
      <c r="AL429" s="63"/>
      <c r="AM429" s="1425"/>
      <c r="AN429" s="2278"/>
      <c r="AO429" s="2278"/>
      <c r="AP429" s="2278"/>
      <c r="AQ429" s="2279"/>
      <c r="AR429" s="63"/>
      <c r="AS429" s="1425"/>
      <c r="AT429" s="2278"/>
      <c r="AU429" s="2278"/>
      <c r="AV429" s="2278"/>
      <c r="AW429" s="2279"/>
      <c r="AX429" s="63"/>
      <c r="AY429" s="1425">
        <f>+(AY426*AY$195)/(4*1000)</f>
        <v>0.71723000000000003</v>
      </c>
      <c r="AZ429" s="2284">
        <f>+(AZ426*AZ$195)/(4*1000)</f>
        <v>2.3107154887218049</v>
      </c>
      <c r="BA429" s="2284">
        <f>+(BA426*BA$195)/(4*1000)</f>
        <v>4.7351947368421055</v>
      </c>
      <c r="BB429" s="2284">
        <f>+(BB426*BB$195)/(4*1000)</f>
        <v>5.6791329887218041</v>
      </c>
      <c r="BC429" s="1424">
        <f>+SUM(AY429:BB429)</f>
        <v>13.442273214285715</v>
      </c>
      <c r="BD429"/>
      <c r="BE429" s="1425">
        <f>+(BE426*BE$195)/(4*1000)</f>
        <v>6.4646299060150376</v>
      </c>
      <c r="BF429" s="2284">
        <f>+(BF426*BF$195)/(4*1000)</f>
        <v>7.7341049063458653</v>
      </c>
      <c r="BG429" s="2284">
        <f>+(BG426*BG$195)/(4*1000)</f>
        <v>7.6570289881408966</v>
      </c>
      <c r="BH429" s="2284">
        <f>+(BH426*BH$195)/(4*1000)</f>
        <v>8.2064412758131784</v>
      </c>
      <c r="BI429" s="1424">
        <f>+SUM(BE429:BH429)</f>
        <v>30.062205076314982</v>
      </c>
      <c r="BJ429" s="63"/>
      <c r="BK429" s="1425">
        <f>+(BK426*BK$195)/(4*1000)</f>
        <v>8.2960144455758442</v>
      </c>
      <c r="BL429" s="2284">
        <f>+(BL426*BL$195)/(4*1000)</f>
        <v>8.8168237334975927</v>
      </c>
      <c r="BM429" s="2284">
        <f>+(BM426*BM$195)/(4*1000)</f>
        <v>10.152415166838743</v>
      </c>
      <c r="BN429" s="2284">
        <f>+(BN426*BN$195)/(4*1000)</f>
        <v>11.107277052534505</v>
      </c>
      <c r="BO429" s="1424">
        <f>+SUM(BK429:BN429)</f>
        <v>38.372530398446685</v>
      </c>
      <c r="BP429" s="63"/>
      <c r="BQ429" s="1425">
        <f>+(BQ426*BQ$195)/(4*1000)</f>
        <v>10.856676272770402</v>
      </c>
      <c r="BR429" s="2284">
        <f>+(BR426*BR$195)/(4*1000)</f>
        <v>11.028556745202858</v>
      </c>
      <c r="BS429" s="2284">
        <f>+(BS426*BS$195)/(4*1000)</f>
        <v>11.157473707778758</v>
      </c>
      <c r="BT429" s="2284">
        <f>+(BT426*BT$195)/(4*1000)</f>
        <v>11.230514825024512</v>
      </c>
      <c r="BU429" s="1424">
        <f>+SUM(BQ429:BT429)</f>
        <v>44.273221550776533</v>
      </c>
      <c r="BV429" s="63"/>
      <c r="BW429" s="1425">
        <f>+(BW426*BW$195)/(4*1000)</f>
        <v>11.24208295376358</v>
      </c>
      <c r="BX429" s="2284">
        <f>+(BX426*BX$195)/(4*1000)</f>
        <v>11.19611953258269</v>
      </c>
      <c r="BY429" s="2284">
        <f>+(BY426*BY$195)/(4*1000)</f>
        <v>11.096445637357235</v>
      </c>
      <c r="BZ429" s="2284">
        <f>+(BZ426*BZ$195)/(4*1000)</f>
        <v>10.945820763195799</v>
      </c>
      <c r="CA429" s="1424">
        <f>+SUM(BW429:BZ429)</f>
        <v>44.480468886899303</v>
      </c>
      <c r="CB429" s="63"/>
      <c r="CC429" s="1425">
        <f>+(CC426*CC$195)/(4*1000)</f>
        <v>10.747034394599053</v>
      </c>
      <c r="CD429" s="2284">
        <f>+(CD426*CD$195)/(4*1000)</f>
        <v>10.50398130868232</v>
      </c>
      <c r="CE429" s="2284">
        <f>+(CE426*CE$195)/(4*1000)</f>
        <v>10.220395081330416</v>
      </c>
      <c r="CF429" s="2284">
        <f>+(CF426*CF$195)/(4*1000)</f>
        <v>9.8988714587122235</v>
      </c>
      <c r="CG429" s="1424">
        <f>+SUM(CC429:CF429)</f>
        <v>41.370282243324013</v>
      </c>
      <c r="CH429" s="63"/>
      <c r="CI429" s="1425">
        <f>+(CI426*CI$195)/(4*1000)</f>
        <v>9.2841414937845865</v>
      </c>
      <c r="CJ429" s="2284">
        <f>+(CJ426*CJ$195)/(4*1000)</f>
        <v>8.6295338735953031</v>
      </c>
      <c r="CK429" s="2284">
        <f>+(CK426*CK$195)/(4*1000)</f>
        <v>7.9391429799294642</v>
      </c>
      <c r="CL429" s="2284">
        <f>+(CL426*CL$195)/(4*1000)</f>
        <v>7.2226897144258437</v>
      </c>
      <c r="CM429" s="1424">
        <f>+SUM(CI429:CL429)</f>
        <v>33.075508061735192</v>
      </c>
      <c r="CN429" s="63"/>
      <c r="CO429" s="1425">
        <f>+(CO426*CO$195)/(4*1000)</f>
        <v>6.48853590466691</v>
      </c>
      <c r="CP429" s="2284">
        <f>+(CP426*CP$195)/(4*1000)</f>
        <v>5.7377688483898979</v>
      </c>
      <c r="CQ429" s="2284">
        <f>+(CQ426*CQ$195)/(4*1000)</f>
        <v>4.9701867254148873</v>
      </c>
      <c r="CR429" s="2284">
        <f>+(CR426*CR$195)/(4*1000)</f>
        <v>4.1855855496868504</v>
      </c>
      <c r="CS429" s="1424">
        <f>+SUM(CO429:CR429)</f>
        <v>21.382077028158548</v>
      </c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  <c r="HE429"/>
      <c r="HF429"/>
      <c r="HG429"/>
      <c r="HH429"/>
      <c r="HI429"/>
      <c r="HJ429"/>
      <c r="HK429"/>
      <c r="HL429"/>
      <c r="HM429"/>
      <c r="HN429"/>
      <c r="HO429"/>
      <c r="HP429"/>
      <c r="HQ429"/>
      <c r="HR429"/>
      <c r="HS429"/>
      <c r="HT429"/>
      <c r="HU429"/>
      <c r="HV429"/>
      <c r="HW429"/>
      <c r="HX429"/>
      <c r="HY429"/>
      <c r="HZ429"/>
      <c r="IA429"/>
      <c r="IB429"/>
      <c r="IC429"/>
      <c r="ID429"/>
      <c r="IE429"/>
      <c r="IF429"/>
      <c r="IG429"/>
      <c r="IH429"/>
      <c r="II429"/>
      <c r="IJ429"/>
      <c r="IK429"/>
      <c r="IL429"/>
      <c r="IM429"/>
      <c r="IN429"/>
      <c r="IO429"/>
      <c r="IP429"/>
      <c r="IQ429"/>
      <c r="IR429"/>
      <c r="IS429"/>
      <c r="IT429"/>
      <c r="IU429"/>
      <c r="IV429"/>
      <c r="IW429"/>
      <c r="IX429"/>
      <c r="IY429"/>
      <c r="IZ429"/>
      <c r="JA429"/>
      <c r="JB429"/>
      <c r="JC429"/>
      <c r="JD429"/>
      <c r="JE429"/>
      <c r="JF429"/>
      <c r="JG429"/>
      <c r="JH429"/>
      <c r="JI429"/>
      <c r="JJ429"/>
      <c r="JK429"/>
      <c r="JL429"/>
      <c r="JM429"/>
      <c r="JN429"/>
      <c r="JO429"/>
      <c r="JP429"/>
      <c r="JQ429"/>
      <c r="JR429"/>
      <c r="JS429"/>
      <c r="JT429"/>
    </row>
    <row r="430" spans="1:280" s="6" customFormat="1">
      <c r="A430" s="125" t="s">
        <v>699</v>
      </c>
      <c r="B430" s="3"/>
      <c r="C430" s="2246"/>
      <c r="D430" s="3"/>
      <c r="E430" s="3"/>
      <c r="F430" s="3"/>
      <c r="G430" s="2247"/>
      <c r="H430" s="1588"/>
      <c r="I430" s="2246"/>
      <c r="J430" s="1336"/>
      <c r="K430" s="1336"/>
      <c r="L430" s="1336"/>
      <c r="M430" s="2247"/>
      <c r="N430" s="1588"/>
      <c r="O430" s="2246"/>
      <c r="P430" s="2288"/>
      <c r="Q430" s="2288"/>
      <c r="R430" s="2288"/>
      <c r="S430" s="2289"/>
      <c r="T430" s="1588"/>
      <c r="U430" s="2246"/>
      <c r="V430" s="2288"/>
      <c r="W430" s="2288"/>
      <c r="X430" s="2288"/>
      <c r="Y430" s="2289"/>
      <c r="Z430" s="1588"/>
      <c r="AA430" s="2246"/>
      <c r="AB430" s="2288"/>
      <c r="AC430" s="2288"/>
      <c r="AD430" s="2288"/>
      <c r="AE430" s="2289"/>
      <c r="AF430" s="1588"/>
      <c r="AG430" s="2246"/>
      <c r="AH430" s="2288"/>
      <c r="AI430" s="2288"/>
      <c r="AJ430" s="2288"/>
      <c r="AK430" s="2289"/>
      <c r="AL430" s="1588"/>
      <c r="AM430" s="2246"/>
      <c r="AN430" s="2288"/>
      <c r="AO430" s="2288"/>
      <c r="AP430" s="2288"/>
      <c r="AQ430" s="2289"/>
      <c r="AR430" s="1588"/>
      <c r="AS430" s="2246"/>
      <c r="AT430" s="2288"/>
      <c r="AU430" s="2288"/>
      <c r="AV430" s="2288"/>
      <c r="AW430" s="2289"/>
      <c r="AX430" s="1588"/>
      <c r="AY430" s="2246">
        <f>-AY$78-AY$182+AY429+AY428</f>
        <v>0</v>
      </c>
      <c r="AZ430" s="2288">
        <f>-AZ$78-AZ$182+AZ429+AZ428</f>
        <v>0</v>
      </c>
      <c r="BA430" s="2288">
        <f>-BA$78-BA$182+BA429+BA428</f>
        <v>0</v>
      </c>
      <c r="BB430" s="2288">
        <f>-BB$78-BB$182+BB429+BB428</f>
        <v>0</v>
      </c>
      <c r="BC430" s="2290">
        <f>-BC$78-BC$182+BC429+BC428</f>
        <v>0</v>
      </c>
      <c r="BD430" s="3"/>
      <c r="BE430" s="2246">
        <f>-BE$78-BE$182+BE429+BE428</f>
        <v>0</v>
      </c>
      <c r="BF430" s="2293">
        <f>-BF$78-BF$182+BF429+BF428</f>
        <v>-4.9375085413521091E-3</v>
      </c>
      <c r="BG430" s="2293">
        <f>-BG$78-BG$182+BG429+BG428</f>
        <v>2.3605443043631515</v>
      </c>
      <c r="BH430" s="2293">
        <f>-BH$78-BH$182+BH429+BH428</f>
        <v>4.4290779750855123</v>
      </c>
      <c r="BI430" s="2290">
        <f>-BI$78-BI$182+BI429+BI428</f>
        <v>6.7846847709073188</v>
      </c>
      <c r="BJ430" s="3"/>
      <c r="BK430" s="2246">
        <f>-BK$78-BK$182+BK429+BK428</f>
        <v>5.2344253304724315</v>
      </c>
      <c r="BL430" s="2293">
        <f>-BL$78-BL$182+BL429+BL428</f>
        <v>5.7267920671876382</v>
      </c>
      <c r="BM430" s="2293">
        <f>-BM$78-BM$182+BM429+BM428</f>
        <v>6.3883998111682354</v>
      </c>
      <c r="BN430" s="2293">
        <f>-BN$78-BN$182+BN429+BN428</f>
        <v>7.0623667298682564</v>
      </c>
      <c r="BO430" s="2290">
        <f>-BO$78-BO$182+BO429+BO428</f>
        <v>24.411983938696562</v>
      </c>
      <c r="BP430" s="3"/>
      <c r="BQ430" s="2246">
        <f>-BQ$78-BQ$182+BQ429+BQ428</f>
        <v>7.4165053318837257</v>
      </c>
      <c r="BR430" s="2293">
        <f>-BR$78-BR$182+BR429+BR428</f>
        <v>7.8255490998266826</v>
      </c>
      <c r="BS430" s="2293">
        <f>-BS$78-BS$182+BS429+BS428</f>
        <v>8.0972434831643838</v>
      </c>
      <c r="BT430" s="2293">
        <f>-BT$78-BT$182+BT429+BT428</f>
        <v>8.1788210594252551</v>
      </c>
      <c r="BU430" s="2290">
        <f>-BU$78-BU$182+BU429+BU428</f>
        <v>31.518118974300055</v>
      </c>
      <c r="BV430" s="3"/>
      <c r="BW430" s="2246">
        <f>-BW$78-BW$182+BW429+BW428</f>
        <v>8.1970107577387772</v>
      </c>
      <c r="BX430" s="2293">
        <f>-BX$78-BX$182+BX429+BX428</f>
        <v>8.1741386975761543</v>
      </c>
      <c r="BY430" s="2293">
        <f>-BY$78-BY$182+BY429+BY428</f>
        <v>8.0957577131443301</v>
      </c>
      <c r="BZ430" s="2293">
        <f>-BZ$78-BZ$182+BZ429+BZ428</f>
        <v>7.9646129119500939</v>
      </c>
      <c r="CA430" s="2290">
        <f>-CA$78-CA$182+CA429+CA428</f>
        <v>32.431520080409356</v>
      </c>
      <c r="CB430" s="3"/>
      <c r="CC430" s="2246">
        <f>-CC$78-CC$182+CC429+CC428</f>
        <v>7.7834792757915023</v>
      </c>
      <c r="CD430" s="2293">
        <f>-CD$78-CD$182+CD429+CD428</f>
        <v>7.5792369630596479</v>
      </c>
      <c r="CE430" s="2293">
        <f>-CE$78-CE$182+CE429+CE428</f>
        <v>7.3327888139653181</v>
      </c>
      <c r="CF430" s="2293">
        <f>-CF$78-CF$182+CF429+CF428</f>
        <v>7.0467171931179795</v>
      </c>
      <c r="CG430" s="2290">
        <f>-CG$78-CG$182+CG429+CG428</f>
        <v>29.74222224593445</v>
      </c>
      <c r="CH430" s="3"/>
      <c r="CI430" s="2246">
        <f>-CI$78-CI$182+CI429+CI428</f>
        <v>6.5896884844114538</v>
      </c>
      <c r="CJ430" s="2293">
        <f>-CJ$78-CJ$182+CJ429+CJ428</f>
        <v>7.1223189588238762</v>
      </c>
      <c r="CK430" s="2293">
        <f>-CK$78-CK$182+CK429+CK428</f>
        <v>8.3516715860804673</v>
      </c>
      <c r="CL430" s="2293">
        <f>-CL$78-CL$182+CL429+CL428</f>
        <v>8.5278417739373342</v>
      </c>
      <c r="CM430" s="2290">
        <f>-CM$78-CM$182+CM429+CM428</f>
        <v>30.591520803253125</v>
      </c>
      <c r="CN430" s="3"/>
      <c r="CO430" s="2246">
        <f>-CO$78-CO$182+CO429+CO428</f>
        <v>7.8041291806544919</v>
      </c>
      <c r="CP430" s="2293">
        <f>-CP$78-CP$182+CP429+CP428</f>
        <v>7.0638868705853799</v>
      </c>
      <c r="CQ430" s="2293">
        <f>-CQ$78-CQ$182+CQ429+CQ428</f>
        <v>6.3069136917879334</v>
      </c>
      <c r="CR430" s="2293">
        <f>-CR$78-CR$182+CR429+CR428</f>
        <v>5.5330063317908813</v>
      </c>
      <c r="CS430" s="2290">
        <f>-CS$78-CS$182+CS429+CS428</f>
        <v>26.70793607481869</v>
      </c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  <c r="HE430"/>
      <c r="HF430"/>
      <c r="HG430"/>
      <c r="HH430"/>
      <c r="HI430"/>
      <c r="HJ430"/>
      <c r="HK430"/>
      <c r="HL430"/>
      <c r="HM430"/>
      <c r="HN430"/>
      <c r="HO430"/>
      <c r="HP430"/>
      <c r="HQ430"/>
      <c r="HR430"/>
      <c r="HS430"/>
      <c r="HT430"/>
      <c r="HU430"/>
      <c r="HV430"/>
      <c r="HW430"/>
      <c r="HX430"/>
      <c r="HY430"/>
      <c r="HZ430"/>
      <c r="IA430"/>
      <c r="IB430"/>
      <c r="IC430"/>
      <c r="ID430"/>
      <c r="IE430"/>
      <c r="IF430"/>
      <c r="IG430"/>
      <c r="IH430"/>
      <c r="II430"/>
      <c r="IJ430"/>
      <c r="IK430"/>
      <c r="IL430"/>
      <c r="IM430"/>
      <c r="IN430"/>
      <c r="IO430"/>
      <c r="IP430"/>
      <c r="IQ430"/>
      <c r="IR430"/>
      <c r="IS430"/>
      <c r="IT430"/>
      <c r="IU430"/>
      <c r="IV430"/>
      <c r="IW430"/>
      <c r="IX430"/>
      <c r="IY430"/>
      <c r="IZ430"/>
      <c r="JA430"/>
      <c r="JB430"/>
      <c r="JC430"/>
      <c r="JD430"/>
      <c r="JE430"/>
      <c r="JF430"/>
      <c r="JG430"/>
      <c r="JH430"/>
      <c r="JI430"/>
      <c r="JJ430"/>
      <c r="JK430"/>
      <c r="JL430"/>
      <c r="JM430"/>
      <c r="JN430"/>
      <c r="JO430"/>
      <c r="JP430"/>
      <c r="JQ430"/>
      <c r="JR430"/>
      <c r="JS430"/>
      <c r="JT430"/>
    </row>
    <row r="431" spans="1:280" s="6" customFormat="1">
      <c r="A431" s="1930" t="s">
        <v>680</v>
      </c>
      <c r="B431"/>
      <c r="C431" s="1850"/>
      <c r="D431"/>
      <c r="E431"/>
      <c r="F431"/>
      <c r="G431" s="736"/>
      <c r="H431" s="63"/>
      <c r="I431" s="1425"/>
      <c r="M431" s="1841"/>
      <c r="N431" s="63"/>
      <c r="O431" s="1425"/>
      <c r="P431" s="2278"/>
      <c r="Q431" s="2278"/>
      <c r="R431" s="2278"/>
      <c r="S431" s="2279"/>
      <c r="T431" s="63"/>
      <c r="U431" s="1425"/>
      <c r="V431" s="2278"/>
      <c r="W431" s="2278"/>
      <c r="X431" s="2278"/>
      <c r="Y431" s="2279"/>
      <c r="Z431" s="63"/>
      <c r="AA431" s="1425"/>
      <c r="AB431" s="2278"/>
      <c r="AC431" s="2278"/>
      <c r="AD431" s="2278"/>
      <c r="AE431" s="2279"/>
      <c r="AF431" s="63"/>
      <c r="AG431" s="1425"/>
      <c r="AH431" s="2278"/>
      <c r="AI431" s="2278"/>
      <c r="AJ431" s="2278"/>
      <c r="AK431" s="2279"/>
      <c r="AL431" s="63"/>
      <c r="AM431" s="1425"/>
      <c r="AN431" s="2278"/>
      <c r="AO431" s="2278"/>
      <c r="AP431" s="2278"/>
      <c r="AQ431" s="2279"/>
      <c r="AR431" s="63"/>
      <c r="AS431" s="1425"/>
      <c r="AT431" s="2278"/>
      <c r="AU431" s="2278"/>
      <c r="AV431" s="2278"/>
      <c r="AW431" s="2279"/>
      <c r="AX431" s="63"/>
      <c r="AY431" s="1425">
        <f>+(AY426*AY$326*360)/1000000</f>
        <v>0.65054086971428571</v>
      </c>
      <c r="AZ431" s="1423">
        <f>+(AZ426*AZ$326*360)/1000000</f>
        <v>2.226853021591837</v>
      </c>
      <c r="BA431" s="2284">
        <f>+(BA426*BA$326*360)/1000000</f>
        <v>4.1721974772244899</v>
      </c>
      <c r="BB431" s="2284">
        <f>+(BB426*BB$326*360)/1000000</f>
        <v>5.6495700918367344</v>
      </c>
      <c r="BC431" s="1424">
        <f>+(SUMPRODUCT(AY426:BB426,AY$326:BB$326)*360)/(1000000*4)</f>
        <v>3.1747903650918365</v>
      </c>
      <c r="BD431"/>
      <c r="BE431" s="1425">
        <f>+(BE426*BE$326*360)/1000000</f>
        <v>6.6453440174448977</v>
      </c>
      <c r="BF431" s="1423">
        <f>+(BF426*BF$326*360)/1000000</f>
        <v>7.4534121418519828</v>
      </c>
      <c r="BG431" s="2284">
        <f>+(BG426*BG$326*360)/1000000</f>
        <v>7.9505815799979347</v>
      </c>
      <c r="BH431" s="2284">
        <f>+(BH426*BH$326*360)/1000000</f>
        <v>8.4358464799347672</v>
      </c>
      <c r="BI431" s="1424">
        <f>+(SUMPRODUCT(BE426:BH426,BE$326:BH$326)*360)/(1000000*4)</f>
        <v>7.621296054807396</v>
      </c>
      <c r="BJ431"/>
      <c r="BK431" s="1425">
        <f>+(BK426*BK$326*360)/1000000</f>
        <v>8.9767616880813819</v>
      </c>
      <c r="BL431" s="1423">
        <f>+(BL426*BL$326*360)/1000000</f>
        <v>9.540307098143451</v>
      </c>
      <c r="BM431" s="2284">
        <f>+(BM426*BM$326*360)/1000000</f>
        <v>10.099566465583163</v>
      </c>
      <c r="BN431" s="2284">
        <f>+(BN426*BN$326*360)/1000000</f>
        <v>10.539482814248105</v>
      </c>
      <c r="BO431" s="1424">
        <f>+(SUMPRODUCT(BK426:BN426,BK$326:BN$326)*360)/(1000000*4)</f>
        <v>9.7890295165140255</v>
      </c>
      <c r="BP431"/>
      <c r="BQ431" s="1425">
        <f>+(BQ426*BQ$326*360)/1000000</f>
        <v>10.977213347416654</v>
      </c>
      <c r="BR431" s="1423">
        <f>+(BR426*BR$326*360)/1000000</f>
        <v>11.529002208279122</v>
      </c>
      <c r="BS431" s="2284">
        <f>+(BS426*BS$326*360)/1000000</f>
        <v>12.073024121742774</v>
      </c>
      <c r="BT431" s="2284">
        <f>+(BT426*BT$326*360)/1000000</f>
        <v>12.593951831085567</v>
      </c>
      <c r="BU431" s="1424">
        <f>+(SUMPRODUCT(BQ426:BT426,BQ$326:BT$326)*360)/(1000000*4)</f>
        <v>11.793297877131028</v>
      </c>
      <c r="BV431"/>
      <c r="BW431" s="1425">
        <f>+(BW426*BW$326*360)/1000000</f>
        <v>13.082657380388815</v>
      </c>
      <c r="BX431" s="1423">
        <f>+(BX426*BX$326*360)/1000000</f>
        <v>13.540116537515061</v>
      </c>
      <c r="BY431" s="2284">
        <f>+(BY426*BY$326*360)/1000000</f>
        <v>13.967312876469743</v>
      </c>
      <c r="BZ431" s="2284">
        <f>+(BZ426*BZ$326*360)/1000000</f>
        <v>14.364004294707492</v>
      </c>
      <c r="CA431" s="1424">
        <f>+(SUMPRODUCT(BW426:BZ426,BW$326:BZ$326)*360)/(1000000*4)</f>
        <v>13.738522772270278</v>
      </c>
      <c r="CB431"/>
      <c r="CC431" s="1425">
        <f>+(CC426*CC$326*360)/1000000</f>
        <v>14.729946752862572</v>
      </c>
      <c r="CD431" s="1423">
        <f>+(CD426*CD$326*360)/1000000</f>
        <v>15.066436190682895</v>
      </c>
      <c r="CE431" s="2284">
        <f>+(CE426*CE$326*360)/1000000</f>
        <v>15.374778915434351</v>
      </c>
      <c r="CF431" s="2284">
        <f>+(CF426*CF$326*360)/1000000</f>
        <v>15.654749753412387</v>
      </c>
      <c r="CG431" s="1424">
        <f>+(SUMPRODUCT(CC426:CF426,CC$326:CF$326)*360)/(1000000*4)</f>
        <v>15.206477903098051</v>
      </c>
      <c r="CH431"/>
      <c r="CI431" s="1425">
        <f>+(CI426*CI$326*360)/1000000</f>
        <v>15.906121729522825</v>
      </c>
      <c r="CJ431" s="1423">
        <f>+(CJ426*CJ$326*360)/1000000</f>
        <v>16.128666052870713</v>
      </c>
      <c r="CK431" s="2284">
        <f>+(CK426*CK$326*360)/1000000</f>
        <v>16.322152102233954</v>
      </c>
      <c r="CL431" s="2284">
        <f>+(CL426*CL$326*360)/1000000</f>
        <v>16.499099658507859</v>
      </c>
      <c r="CM431" s="1424">
        <f>+(SUMPRODUCT(CI426:CL426,CI$326:CL$326)*360)/(1000000*4)</f>
        <v>16.214009885783838</v>
      </c>
      <c r="CN431"/>
      <c r="CO431" s="1425">
        <f>+(CO426*CO$326*360)/1000000</f>
        <v>16.674795728033423</v>
      </c>
      <c r="CP431" s="1423">
        <f>+(CP426*CP$326*360)/1000000</f>
        <v>16.851897366115193</v>
      </c>
      <c r="CQ431" s="2284">
        <f>+(CQ426*CQ$326*360)/1000000</f>
        <v>17.030415817301616</v>
      </c>
      <c r="CR431" s="2284">
        <f>+(CR426*CR$326*360)/1000000</f>
        <v>17.210362416097528</v>
      </c>
      <c r="CS431" s="1424">
        <f>+(SUMPRODUCT(CO426:CR426,CO$326:CR$326)*360)/(1000000*4)</f>
        <v>16.941867831886938</v>
      </c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  <c r="HE431"/>
      <c r="HF431"/>
      <c r="HG431"/>
      <c r="HH431"/>
      <c r="HI431"/>
      <c r="HJ431"/>
      <c r="HK431"/>
      <c r="HL431"/>
      <c r="HM431"/>
      <c r="HN431"/>
      <c r="HO431"/>
      <c r="HP431"/>
      <c r="HQ431"/>
      <c r="HR431"/>
      <c r="HS431"/>
      <c r="HT431"/>
      <c r="HU431"/>
      <c r="HV431"/>
      <c r="HW431"/>
      <c r="HX431"/>
      <c r="HY431"/>
      <c r="HZ431"/>
      <c r="IA431"/>
      <c r="IB431"/>
      <c r="IC431"/>
      <c r="ID431"/>
      <c r="IE431"/>
      <c r="IF431"/>
      <c r="IG431"/>
      <c r="IH431"/>
      <c r="II431"/>
      <c r="IJ431"/>
      <c r="IK431"/>
      <c r="IL431"/>
      <c r="IM431"/>
      <c r="IN431"/>
      <c r="IO431"/>
      <c r="IP431"/>
      <c r="IQ431"/>
      <c r="IR431"/>
      <c r="IS431"/>
      <c r="IT431"/>
      <c r="IU431"/>
      <c r="IV431"/>
      <c r="IW431"/>
      <c r="IX431"/>
      <c r="IY431"/>
      <c r="IZ431"/>
      <c r="JA431"/>
      <c r="JB431"/>
      <c r="JC431"/>
      <c r="JD431"/>
      <c r="JE431"/>
      <c r="JF431"/>
      <c r="JG431"/>
      <c r="JH431"/>
      <c r="JI431"/>
      <c r="JJ431"/>
      <c r="JK431"/>
      <c r="JL431"/>
      <c r="JM431"/>
      <c r="JN431"/>
      <c r="JO431"/>
      <c r="JP431"/>
      <c r="JQ431"/>
      <c r="JR431"/>
      <c r="JS431"/>
      <c r="JT431"/>
    </row>
    <row r="432" spans="1:280" s="6" customFormat="1">
      <c r="A432" s="2291" t="s">
        <v>687</v>
      </c>
      <c r="B432"/>
      <c r="C432" s="1850"/>
      <c r="D432"/>
      <c r="E432"/>
      <c r="F432"/>
      <c r="G432" s="736"/>
      <c r="H432" s="63"/>
      <c r="I432" s="2277"/>
      <c r="J432" s="2278"/>
      <c r="K432" s="2278"/>
      <c r="L432" s="2278"/>
      <c r="M432" s="2279"/>
      <c r="N432" s="63"/>
      <c r="O432" s="2277"/>
      <c r="P432" s="2278"/>
      <c r="Q432" s="2278"/>
      <c r="R432" s="2278"/>
      <c r="S432" s="2279"/>
      <c r="T432" s="63"/>
      <c r="U432" s="2277"/>
      <c r="V432" s="2278"/>
      <c r="W432" s="2278"/>
      <c r="X432" s="2278"/>
      <c r="Y432" s="2279"/>
      <c r="Z432" s="63"/>
      <c r="AA432" s="2277"/>
      <c r="AB432" s="2278"/>
      <c r="AC432" s="2278"/>
      <c r="AD432" s="2278"/>
      <c r="AE432" s="2279"/>
      <c r="AF432" s="63"/>
      <c r="AG432" s="2277">
        <f>+AG$158</f>
        <v>0</v>
      </c>
      <c r="AH432" s="2278">
        <f>+AH$158</f>
        <v>0</v>
      </c>
      <c r="AI432" s="2278">
        <f>+AI$158</f>
        <v>0</v>
      </c>
      <c r="AJ432" s="2278">
        <f>+AJ$158</f>
        <v>0</v>
      </c>
      <c r="AK432" s="2279">
        <f>+AK$158</f>
        <v>0</v>
      </c>
      <c r="AL432" s="63"/>
      <c r="AM432" s="2277">
        <f>+AM$158</f>
        <v>0</v>
      </c>
      <c r="AN432" s="2278">
        <f>+AN$158</f>
        <v>0</v>
      </c>
      <c r="AO432" s="2278">
        <f>+AO$158</f>
        <v>0</v>
      </c>
      <c r="AP432" s="2278">
        <f>+AP$158</f>
        <v>0</v>
      </c>
      <c r="AQ432" s="2279">
        <f>+AQ$158</f>
        <v>0</v>
      </c>
      <c r="AR432" s="63"/>
      <c r="AS432" s="2277">
        <f>+AS$158</f>
        <v>0</v>
      </c>
      <c r="AT432" s="2278">
        <f>+AT$158</f>
        <v>0</v>
      </c>
      <c r="AU432" s="2278">
        <f>+AU$158</f>
        <v>0</v>
      </c>
      <c r="AV432" s="2278">
        <f>+AV$158</f>
        <v>0</v>
      </c>
      <c r="AW432" s="2279">
        <f>+AW$158</f>
        <v>0</v>
      </c>
      <c r="AX432" s="63"/>
      <c r="AY432" s="2281">
        <f>+AY436+AW432+AY433</f>
        <v>46.415000000000006</v>
      </c>
      <c r="AZ432" s="2287">
        <f>+AZ436+AY432+AZ433</f>
        <v>101.23700000000001</v>
      </c>
      <c r="BA432" s="2282">
        <f>+BA436+AZ432+BA433</f>
        <v>151.245</v>
      </c>
      <c r="BB432" s="2282">
        <f>+BB436+BA432+BB433</f>
        <v>190.81100000000001</v>
      </c>
      <c r="BC432" s="2283">
        <f>+BB432</f>
        <v>190.81100000000001</v>
      </c>
      <c r="BD432"/>
      <c r="BE432" s="2281">
        <f>+BE436+BC432+BE433</f>
        <v>220.88900000000001</v>
      </c>
      <c r="BF432" s="2287">
        <f>+BF436+BE432+BF433</f>
        <v>229.89563168120301</v>
      </c>
      <c r="BG432" s="2282">
        <f>+BG436+BF432+BG433</f>
        <v>239.78631641585565</v>
      </c>
      <c r="BH432" s="2282">
        <f>+BH436+BG432+BH433</f>
        <v>248.4841266283855</v>
      </c>
      <c r="BI432" s="2283">
        <f>+BH432</f>
        <v>248.4841266283855</v>
      </c>
      <c r="BJ432" s="63"/>
      <c r="BK432" s="2281">
        <f>+BK436+BI432+BK433</f>
        <v>255.8184633226156</v>
      </c>
      <c r="BL432" s="2287">
        <f>+BL436+BK432+BL433</f>
        <v>263.10333471039951</v>
      </c>
      <c r="BM432" s="2282">
        <f>+BM436+BL432+BM433</f>
        <v>270.3264850692857</v>
      </c>
      <c r="BN432" s="2282">
        <f>+BN436+BM432+BN433</f>
        <v>280.51542063104301</v>
      </c>
      <c r="BO432" s="2283">
        <f>+BN432</f>
        <v>280.51542063104301</v>
      </c>
      <c r="BP432" s="63"/>
      <c r="BQ432" s="2281">
        <f>+BQ436+BO432+BQ433</f>
        <v>287.68186767729435</v>
      </c>
      <c r="BR432" s="2287">
        <f>+BR436+BQ432+BR433</f>
        <v>294.82964629991574</v>
      </c>
      <c r="BS432" s="2282">
        <f>+BS436+BR432+BS433</f>
        <v>301.79460715151805</v>
      </c>
      <c r="BT432" s="2282">
        <f>+BT436+BS432+BT433</f>
        <v>308.34328768993322</v>
      </c>
      <c r="BU432" s="2283">
        <f>+BT432</f>
        <v>308.34328768993322</v>
      </c>
      <c r="BV432" s="63"/>
      <c r="BW432" s="2281">
        <f>+BW436+BU432+BW433</f>
        <v>314.47235767265568</v>
      </c>
      <c r="BX432" s="2287">
        <f>+BX436+BW432+BX433</f>
        <v>320.21046021523995</v>
      </c>
      <c r="BY432" s="2282">
        <f>+BY436+BX432+BY433</f>
        <v>325.55446757816486</v>
      </c>
      <c r="BZ432" s="2282">
        <f>+BZ436+BY432+BZ433</f>
        <v>330.50122699999321</v>
      </c>
      <c r="CA432" s="2283">
        <f>+BZ432</f>
        <v>330.50122699999321</v>
      </c>
      <c r="CB432" s="63"/>
      <c r="CC432" s="2281">
        <f>+CC436+CA432+CC433</f>
        <v>335.04756049719617</v>
      </c>
      <c r="CD432" s="2287">
        <f>+CD436+CC432+CD433</f>
        <v>339.23026466237673</v>
      </c>
      <c r="CE432" s="2282">
        <f>+CE436+CD432+CE433</f>
        <v>343.04643046087875</v>
      </c>
      <c r="CF432" s="2282">
        <f>+CF436+CE432+CF433</f>
        <v>346.49312558576878</v>
      </c>
      <c r="CG432" s="2283">
        <f>+CF432</f>
        <v>346.49312558576878</v>
      </c>
      <c r="CH432" s="63"/>
      <c r="CI432" s="2281">
        <f>+CI436+CG432+CI433</f>
        <v>349.56739427165792</v>
      </c>
      <c r="CJ432" s="2287">
        <f>+CJ436+CI432+CJ433</f>
        <v>352.26625710703416</v>
      </c>
      <c r="CK432" s="2282">
        <f>+CK436+CJ432+CK433</f>
        <v>354.58671084509342</v>
      </c>
      <c r="CL432" s="2282">
        <f>+CL436+CK432+CL433</f>
        <v>356.85654051380908</v>
      </c>
      <c r="CM432" s="2283">
        <f>+CL432</f>
        <v>356.85654051380908</v>
      </c>
      <c r="CN432" s="63"/>
      <c r="CO432" s="2281">
        <f>+CO436+CM432+CO433</f>
        <v>359.14452881987444</v>
      </c>
      <c r="CP432" s="2287">
        <f>+CP436+CO432+CP433</f>
        <v>361.45082103238832</v>
      </c>
      <c r="CQ432" s="2282">
        <f>+CQ436+CP432+CQ433</f>
        <v>363.77556358260233</v>
      </c>
      <c r="CR432" s="2282">
        <f>+CR436+CQ432+CR433</f>
        <v>366.11890407321806</v>
      </c>
      <c r="CS432" s="2283">
        <f>+CR432</f>
        <v>366.11890407321806</v>
      </c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  <c r="HE432"/>
      <c r="HF432"/>
      <c r="HG432"/>
      <c r="HH432"/>
      <c r="HI432"/>
      <c r="HJ432"/>
      <c r="HK432"/>
      <c r="HL432"/>
      <c r="HM432"/>
      <c r="HN432"/>
      <c r="HO432"/>
      <c r="HP432"/>
      <c r="HQ432"/>
      <c r="HR432"/>
      <c r="HS432"/>
      <c r="HT432"/>
      <c r="HU432"/>
      <c r="HV432"/>
      <c r="HW432"/>
      <c r="HX432"/>
      <c r="HY432"/>
      <c r="HZ432"/>
      <c r="IA432"/>
      <c r="IB432"/>
      <c r="IC432"/>
      <c r="ID432"/>
      <c r="IE432"/>
      <c r="IF432"/>
      <c r="IG432"/>
      <c r="IH432"/>
      <c r="II432"/>
      <c r="IJ432"/>
      <c r="IK432"/>
      <c r="IL432"/>
      <c r="IM432"/>
      <c r="IN432"/>
      <c r="IO432"/>
      <c r="IP432"/>
      <c r="IQ432"/>
      <c r="IR432"/>
      <c r="IS432"/>
      <c r="IT432"/>
      <c r="IU432"/>
      <c r="IV432"/>
      <c r="IW432"/>
      <c r="IX432"/>
      <c r="IY432"/>
      <c r="IZ432"/>
      <c r="JA432"/>
      <c r="JB432"/>
      <c r="JC432"/>
      <c r="JD432"/>
      <c r="JE432"/>
      <c r="JF432"/>
      <c r="JG432"/>
      <c r="JH432"/>
      <c r="JI432"/>
      <c r="JJ432"/>
      <c r="JK432"/>
      <c r="JL432"/>
      <c r="JM432"/>
      <c r="JN432"/>
      <c r="JO432"/>
      <c r="JP432"/>
      <c r="JQ432"/>
      <c r="JR432"/>
      <c r="JS432"/>
      <c r="JT432"/>
    </row>
    <row r="433" spans="1:280" s="6" customFormat="1">
      <c r="A433" s="2291" t="s">
        <v>688</v>
      </c>
      <c r="B433"/>
      <c r="C433" s="1850"/>
      <c r="D433"/>
      <c r="E433"/>
      <c r="F433"/>
      <c r="G433" s="736"/>
      <c r="H433" s="63"/>
      <c r="I433" s="2277"/>
      <c r="J433" s="2278"/>
      <c r="K433" s="2278"/>
      <c r="L433" s="2278"/>
      <c r="M433" s="2279"/>
      <c r="N433" s="63"/>
      <c r="O433" s="2277"/>
      <c r="P433" s="2278"/>
      <c r="Q433" s="2278"/>
      <c r="R433" s="2278"/>
      <c r="S433" s="2279"/>
      <c r="T433" s="63"/>
      <c r="U433" s="2277"/>
      <c r="V433" s="2278"/>
      <c r="W433" s="2278"/>
      <c r="X433" s="2278"/>
      <c r="Y433" s="2279"/>
      <c r="Z433" s="63"/>
      <c r="AA433" s="2277"/>
      <c r="AB433" s="2278"/>
      <c r="AC433" s="2278"/>
      <c r="AD433" s="2278"/>
      <c r="AE433" s="2279"/>
      <c r="AF433" s="63"/>
      <c r="AG433" s="2277"/>
      <c r="AH433" s="2278"/>
      <c r="AI433" s="2278"/>
      <c r="AJ433" s="2278"/>
      <c r="AK433" s="2279"/>
      <c r="AL433" s="63"/>
      <c r="AM433" s="2277"/>
      <c r="AN433" s="2278"/>
      <c r="AO433" s="2278"/>
      <c r="AP433" s="2278"/>
      <c r="AQ433" s="2279"/>
      <c r="AR433" s="63"/>
      <c r="AS433" s="2277"/>
      <c r="AT433" s="2278"/>
      <c r="AU433" s="2278"/>
      <c r="AV433" s="2278"/>
      <c r="AW433" s="2279"/>
      <c r="AX433" s="63"/>
      <c r="AY433" s="2285">
        <f>+AY$94+AY$96</f>
        <v>46.415000000000006</v>
      </c>
      <c r="AZ433" s="2286">
        <f>+AZ$94+AZ$96</f>
        <v>54.822000000000003</v>
      </c>
      <c r="BA433" s="2286">
        <f>+BA$94+BA$96</f>
        <v>50.008000000000003</v>
      </c>
      <c r="BB433" s="2286">
        <f>+BB$94+BB$96</f>
        <v>39.566000000000003</v>
      </c>
      <c r="BC433" s="2283">
        <f>+SUM(AY433:BB433)</f>
        <v>190.81100000000001</v>
      </c>
      <c r="BD433"/>
      <c r="BE433" s="2285">
        <f>+BE$94+BE$96</f>
        <v>29.077999999999999</v>
      </c>
      <c r="BF433" s="2287">
        <f>+(BE$152++BE$154+BE$422+BE$432)*BF435</f>
        <v>8.0066316812030092</v>
      </c>
      <c r="BG433" s="2282">
        <f>+(BF$152++BF$154+BF$422+BF$432)*BG435</f>
        <v>7.8906847346526323</v>
      </c>
      <c r="BH433" s="2282">
        <f>+(BG$152++BG$154+BG$422+BG$432)*BH435</f>
        <v>7.6978102125298538</v>
      </c>
      <c r="BI433" s="2283">
        <f>+SUM(BE433:BH433)</f>
        <v>52.673126628385489</v>
      </c>
      <c r="BJ433" s="63"/>
      <c r="BK433" s="2281">
        <f>+(BH$152++BH$154+BH$422+BH$432)*BK435</f>
        <v>7.3343366942300916</v>
      </c>
      <c r="BL433" s="2287">
        <f>+(BK$152++BK$154+BK$422+BK$432)*BL435</f>
        <v>7.2848713877839328</v>
      </c>
      <c r="BM433" s="2282">
        <f>+(BL$152++BL$154+BL$422+BL$432)*BM435</f>
        <v>7.2231503588862056</v>
      </c>
      <c r="BN433" s="2282">
        <f>+(BM$152++BM$154+BM$422+BM$432)*BN435</f>
        <v>7.1889355617572948</v>
      </c>
      <c r="BO433" s="2283">
        <f>+SUM(BK433:BN433)</f>
        <v>29.031294002657525</v>
      </c>
      <c r="BP433" s="63"/>
      <c r="BQ433" s="2281">
        <f>+(BN$152++BN$154+BN$422+BN$432)*BQ435</f>
        <v>7.1664470462513528</v>
      </c>
      <c r="BR433" s="2287">
        <f>+(BQ$152++BQ$154+BQ$422+BQ$432)*BR435</f>
        <v>7.1477786226213631</v>
      </c>
      <c r="BS433" s="2282">
        <f>+(BR$152++BR$154+BR$422+BR$432)*BS435</f>
        <v>6.9649608516023349</v>
      </c>
      <c r="BT433" s="2282">
        <f>+(BS$152++BS$154+BS$422+BS$432)*BT435</f>
        <v>6.5486805384151534</v>
      </c>
      <c r="BU433" s="2283">
        <f>+SUM(BQ433:BT433)</f>
        <v>27.827867058890206</v>
      </c>
      <c r="BV433" s="63"/>
      <c r="BW433" s="2281">
        <f>+(BT$152++BT$154+BT$422+BT$432)*BW435</f>
        <v>6.1290699827224744</v>
      </c>
      <c r="BX433" s="2287">
        <f>+(BW$152++BW$154+BW$422+BW$432)*BX435</f>
        <v>5.7381025425842527</v>
      </c>
      <c r="BY433" s="2282">
        <f>+(BX$152++BX$154+BX$422+BX$432)*BY435</f>
        <v>5.3440073629249278</v>
      </c>
      <c r="BZ433" s="2282">
        <f>+(BY$152++BY$154+BY$422+BY$432)*BZ435</f>
        <v>4.9467594218283271</v>
      </c>
      <c r="CA433" s="2283">
        <f>+SUM(BW433:BZ433)</f>
        <v>22.15793931005998</v>
      </c>
      <c r="CB433" s="63"/>
      <c r="CC433" s="2281">
        <f>+(BZ$152++BZ$154+BZ$422+BZ$432)*CC435</f>
        <v>4.5463334972029532</v>
      </c>
      <c r="CD433" s="2287">
        <f>+(CC$152++CC$154+CC$422+CC$432)*CD435</f>
        <v>4.1827041651805779</v>
      </c>
      <c r="CE433" s="2282">
        <f>+(CD$152++CD$154+CD$422+CD$432)*CE435</f>
        <v>3.8161657985020221</v>
      </c>
      <c r="CF433" s="2282">
        <f>+(CE$152++CE$154+CE$422+CE$432)*CF435</f>
        <v>3.4466951248900379</v>
      </c>
      <c r="CG433" s="2283">
        <f>+SUM(CC433:CF433)</f>
        <v>15.991898585775591</v>
      </c>
      <c r="CH433" s="63"/>
      <c r="CI433" s="2281">
        <f>+(CF$152++CF$154+CF$422+CF$432)*CI435</f>
        <v>3.0742686858891584</v>
      </c>
      <c r="CJ433" s="2287">
        <f>+(CI$152++CI$154+CI$422+CI$432)*CJ435</f>
        <v>2.6988628353762714</v>
      </c>
      <c r="CK433" s="2282">
        <f>+(CJ$152++CJ$154+CJ$422+CJ$432)*CK435</f>
        <v>2.3204537380592813</v>
      </c>
      <c r="CL433" s="2282">
        <f>+(CK$152++CK$154+CK$422+CK$432)*CL435</f>
        <v>2.2698296687156354</v>
      </c>
      <c r="CM433" s="2283">
        <f>+SUM(CI433:CL433)</f>
        <v>10.363414928040347</v>
      </c>
      <c r="CN433" s="63"/>
      <c r="CO433" s="2281">
        <f>+(CL$152++CL$154+CL$422+CL$432)*CO435</f>
        <v>2.2879883060653601</v>
      </c>
      <c r="CP433" s="2287">
        <f>+(CO$152++CO$154+CO$422+CO$432)*CP435</f>
        <v>2.3062922125138829</v>
      </c>
      <c r="CQ433" s="2282">
        <f>+(CP$152++CP$154+CP$422+CP$432)*CQ435</f>
        <v>2.324742550213994</v>
      </c>
      <c r="CR433" s="2282">
        <f>+(CQ$152++CQ$154+CQ$422+CQ$432)*CR435</f>
        <v>2.3433404906157063</v>
      </c>
      <c r="CS433" s="2283">
        <f>+SUM(CO433:CR433)</f>
        <v>9.2623635594089428</v>
      </c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  <c r="HE433"/>
      <c r="HF433"/>
      <c r="HG433"/>
      <c r="HH433"/>
      <c r="HI433"/>
      <c r="HJ433"/>
      <c r="HK433"/>
      <c r="HL433"/>
      <c r="HM433"/>
      <c r="HN433"/>
      <c r="HO433"/>
      <c r="HP433"/>
      <c r="HQ433"/>
      <c r="HR433"/>
      <c r="HS433"/>
      <c r="HT433"/>
      <c r="HU433"/>
      <c r="HV433"/>
      <c r="HW433"/>
      <c r="HX433"/>
      <c r="HY433"/>
      <c r="HZ433"/>
      <c r="IA433"/>
      <c r="IB433"/>
      <c r="IC433"/>
      <c r="ID433"/>
      <c r="IE433"/>
      <c r="IF433"/>
      <c r="IG433"/>
      <c r="IH433"/>
      <c r="II433"/>
      <c r="IJ433"/>
      <c r="IK433"/>
      <c r="IL433"/>
      <c r="IM433"/>
      <c r="IN433"/>
      <c r="IO433"/>
      <c r="IP433"/>
      <c r="IQ433"/>
      <c r="IR433"/>
      <c r="IS433"/>
      <c r="IT433"/>
      <c r="IU433"/>
      <c r="IV433"/>
      <c r="IW433"/>
      <c r="IX433"/>
      <c r="IY433"/>
      <c r="IZ433"/>
      <c r="JA433"/>
      <c r="JB433"/>
      <c r="JC433"/>
      <c r="JD433"/>
      <c r="JE433"/>
      <c r="JF433"/>
      <c r="JG433"/>
      <c r="JH433"/>
      <c r="JI433"/>
      <c r="JJ433"/>
      <c r="JK433"/>
      <c r="JL433"/>
      <c r="JM433"/>
      <c r="JN433"/>
      <c r="JO433"/>
      <c r="JP433"/>
      <c r="JQ433"/>
      <c r="JR433"/>
      <c r="JS433"/>
      <c r="JT433"/>
    </row>
    <row r="434" spans="1:280" s="6" customFormat="1" ht="12.75" hidden="1" customHeight="1" outlineLevel="1">
      <c r="A434" s="1991" t="s">
        <v>707</v>
      </c>
      <c r="B434"/>
      <c r="C434" s="1850"/>
      <c r="D434"/>
      <c r="E434"/>
      <c r="F434"/>
      <c r="G434" s="736"/>
      <c r="H434" s="63"/>
      <c r="I434" s="2277"/>
      <c r="J434" s="2278"/>
      <c r="K434" s="2278"/>
      <c r="L434" s="2278"/>
      <c r="M434" s="2279"/>
      <c r="N434" s="63"/>
      <c r="O434" s="2277"/>
      <c r="P434" s="2278"/>
      <c r="Q434" s="2278"/>
      <c r="R434" s="2278"/>
      <c r="S434" s="2279"/>
      <c r="T434" s="63"/>
      <c r="U434" s="2277"/>
      <c r="V434" s="2278"/>
      <c r="W434" s="2278"/>
      <c r="X434" s="2278"/>
      <c r="Y434" s="2279"/>
      <c r="Z434" s="63"/>
      <c r="AA434" s="2277"/>
      <c r="AB434" s="2278"/>
      <c r="AC434" s="2278"/>
      <c r="AD434" s="2278"/>
      <c r="AE434" s="2279"/>
      <c r="AF434" s="63"/>
      <c r="AG434" s="2277"/>
      <c r="AH434" s="2278"/>
      <c r="AI434" s="2278"/>
      <c r="AJ434" s="2278"/>
      <c r="AK434" s="2279"/>
      <c r="AL434" s="63"/>
      <c r="AM434" s="2277"/>
      <c r="AN434" s="2278"/>
      <c r="AO434" s="2278"/>
      <c r="AP434" s="2278"/>
      <c r="AQ434" s="2279"/>
      <c r="AR434" s="63"/>
      <c r="AS434" s="2277"/>
      <c r="AT434" s="2278"/>
      <c r="AU434" s="2278"/>
      <c r="AV434" s="2278"/>
      <c r="AW434" s="2279"/>
      <c r="AX434" s="63"/>
      <c r="AY434" s="1937"/>
      <c r="AZ434" s="1938">
        <f>+AZ433/AY432</f>
        <v>1.1811267909081116</v>
      </c>
      <c r="BA434" s="1938">
        <f>+BA433/AZ432</f>
        <v>0.49396959609628888</v>
      </c>
      <c r="BB434" s="1938">
        <f>+BB433/BA432</f>
        <v>0.26160203643095642</v>
      </c>
      <c r="BC434" s="1936">
        <f>+AVERAGE(AY434:BB434)</f>
        <v>0.6455661411451189</v>
      </c>
      <c r="BD434" s="8"/>
      <c r="BE434" s="1937">
        <f>+BE433/BC432</f>
        <v>0.152391633606029</v>
      </c>
      <c r="BF434" s="1938">
        <f>+BF433/BE432</f>
        <v>3.6247308291508441E-2</v>
      </c>
      <c r="BG434" s="1938">
        <f>+BG433/BF432</f>
        <v>3.4322899817403531E-2</v>
      </c>
      <c r="BH434" s="1938">
        <f>+BH433/BG432</f>
        <v>3.2102791884002779E-2</v>
      </c>
      <c r="BI434" s="1936">
        <f>+AVERAGE(BE434:BH434)</f>
        <v>6.3766158399735928E-2</v>
      </c>
      <c r="BJ434" s="60"/>
      <c r="BK434" s="1937">
        <f>+BK433/BI432</f>
        <v>2.9516318783608997E-2</v>
      </c>
      <c r="BL434" s="1938">
        <f>+BL433/BK432</f>
        <v>2.847672248971685E-2</v>
      </c>
      <c r="BM434" s="1938">
        <f>+BM433/BL432</f>
        <v>2.7453663279626617E-2</v>
      </c>
      <c r="BN434" s="1938">
        <f>+BN433/BM432</f>
        <v>2.6593530263654127E-2</v>
      </c>
      <c r="BO434" s="1936">
        <f>+AVERAGE(BK434:BN434)</f>
        <v>2.8010058704151648E-2</v>
      </c>
      <c r="BP434" s="60"/>
      <c r="BQ434" s="1937">
        <f>+BQ433/BO432</f>
        <v>2.5547426341588738E-2</v>
      </c>
      <c r="BR434" s="1938">
        <f>+BR433/BQ432</f>
        <v>2.4846121447735271E-2</v>
      </c>
      <c r="BS434" s="1938">
        <f>+BS433/BR432</f>
        <v>2.3623678754873999E-2</v>
      </c>
      <c r="BT434" s="1938">
        <f>+BT433/BS432</f>
        <v>2.169913041264963E-2</v>
      </c>
      <c r="BU434" s="1936">
        <f>+AVERAGE(BQ434:BT434)</f>
        <v>2.3929089239211911E-2</v>
      </c>
      <c r="BV434" s="60"/>
      <c r="BW434" s="1937">
        <f>+BW433/BU432</f>
        <v>1.9877423078156327E-2</v>
      </c>
      <c r="BX434" s="1938">
        <f>+BX433/BW432</f>
        <v>1.8246762879417296E-2</v>
      </c>
      <c r="BY434" s="1938">
        <f>+BY433/BX432</f>
        <v>1.6689046820434216E-2</v>
      </c>
      <c r="BZ434" s="1938">
        <f>+BZ433/BY432</f>
        <v>1.519487494251825E-2</v>
      </c>
      <c r="CA434" s="1936">
        <f>+AVERAGE(BW434:BZ434)</f>
        <v>1.7502026930131524E-2</v>
      </c>
      <c r="CB434" s="60"/>
      <c r="CC434" s="1937">
        <f>+CC433/CA432</f>
        <v>1.3755874791965739E-2</v>
      </c>
      <c r="CD434" s="1938">
        <f>+CD433/CC432</f>
        <v>1.2483911713828403E-2</v>
      </c>
      <c r="CE434" s="1938">
        <f>+CE433/CD432</f>
        <v>1.1249485072624962E-2</v>
      </c>
      <c r="CF434" s="1938">
        <f>+CF433/CE432</f>
        <v>1.0047313771081787E-2</v>
      </c>
      <c r="CG434" s="1936">
        <f>+AVERAGE(CC434:CF434)</f>
        <v>1.1884146337375223E-2</v>
      </c>
      <c r="CH434" s="60"/>
      <c r="CI434" s="1937">
        <f>+CI433/CG432</f>
        <v>8.8725243269744836E-3</v>
      </c>
      <c r="CJ434" s="1938">
        <f>+CJ433/CI432</f>
        <v>7.7205794350456922E-3</v>
      </c>
      <c r="CK434" s="1938">
        <f>+CK433/CJ432</f>
        <v>6.5872154691053028E-3</v>
      </c>
      <c r="CL434" s="1938">
        <f>+CL433/CK432</f>
        <v>6.4013387961040788E-3</v>
      </c>
      <c r="CM434" s="1936">
        <f>+AVERAGE(CI434:CL434)</f>
        <v>7.3954145068073889E-3</v>
      </c>
      <c r="CN434" s="60"/>
      <c r="CO434" s="1937">
        <f>+CO433/CM432</f>
        <v>6.4115072762042404E-3</v>
      </c>
      <c r="CP434" s="1938">
        <f>+CP433/CO432</f>
        <v>6.4216270260115315E-3</v>
      </c>
      <c r="CQ434" s="1938">
        <f>+CQ433/CP432</f>
        <v>6.4316980760314333E-3</v>
      </c>
      <c r="CR434" s="1938">
        <f>+CR433/CQ432</f>
        <v>6.4417204595536423E-3</v>
      </c>
      <c r="CS434" s="1936">
        <f>+AVERAGE(CO434:CR434)</f>
        <v>6.4266382094502125E-3</v>
      </c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  <c r="HE434"/>
      <c r="HF434"/>
      <c r="HG434"/>
      <c r="HH434"/>
      <c r="HI434"/>
      <c r="HJ434"/>
      <c r="HK434"/>
      <c r="HL434"/>
      <c r="HM434"/>
      <c r="HN434"/>
      <c r="HO434"/>
      <c r="HP434"/>
      <c r="HQ434"/>
      <c r="HR434"/>
      <c r="HS434"/>
      <c r="HT434"/>
      <c r="HU434"/>
      <c r="HV434"/>
      <c r="HW434"/>
      <c r="HX434"/>
      <c r="HY434"/>
      <c r="HZ434"/>
      <c r="IA434"/>
      <c r="IB434"/>
      <c r="IC434"/>
      <c r="ID434"/>
      <c r="IE434"/>
      <c r="IF434"/>
      <c r="IG434"/>
      <c r="IH434"/>
      <c r="II434"/>
      <c r="IJ434"/>
      <c r="IK434"/>
      <c r="IL434"/>
      <c r="IM434"/>
      <c r="IN434"/>
      <c r="IO434"/>
      <c r="IP434"/>
      <c r="IQ434"/>
      <c r="IR434"/>
      <c r="IS434"/>
      <c r="IT434"/>
      <c r="IU434"/>
      <c r="IV434"/>
      <c r="IW434"/>
      <c r="IX434"/>
      <c r="IY434"/>
      <c r="IZ434"/>
      <c r="JA434"/>
      <c r="JB434"/>
      <c r="JC434"/>
      <c r="JD434"/>
      <c r="JE434"/>
      <c r="JF434"/>
      <c r="JG434"/>
      <c r="JH434"/>
      <c r="JI434"/>
      <c r="JJ434"/>
      <c r="JK434"/>
      <c r="JL434"/>
      <c r="JM434"/>
      <c r="JN434"/>
      <c r="JO434"/>
      <c r="JP434"/>
      <c r="JQ434"/>
      <c r="JR434"/>
      <c r="JS434"/>
      <c r="JT434"/>
    </row>
    <row r="435" spans="1:280" collapsed="1">
      <c r="A435" s="1991" t="s">
        <v>708</v>
      </c>
      <c r="C435" s="1850"/>
      <c r="G435" s="736"/>
      <c r="H435" s="63"/>
      <c r="I435" s="2277"/>
      <c r="J435" s="2278"/>
      <c r="K435" s="2278"/>
      <c r="L435" s="2278"/>
      <c r="M435" s="2279"/>
      <c r="N435" s="63"/>
      <c r="O435" s="2277"/>
      <c r="P435" s="2278"/>
      <c r="Q435" s="2278"/>
      <c r="R435" s="2278"/>
      <c r="S435" s="2279"/>
      <c r="T435" s="63"/>
      <c r="U435" s="2277"/>
      <c r="V435" s="2278"/>
      <c r="W435" s="2278"/>
      <c r="X435" s="2278"/>
      <c r="Y435" s="2279"/>
      <c r="Z435" s="63"/>
      <c r="AA435" s="2277"/>
      <c r="AB435" s="2278"/>
      <c r="AC435" s="2278"/>
      <c r="AD435" s="2278"/>
      <c r="AE435" s="2279"/>
      <c r="AF435" s="63"/>
      <c r="AG435" s="2277"/>
      <c r="AH435" s="2278"/>
      <c r="AK435" s="1420"/>
      <c r="AM435" s="1419"/>
      <c r="AQ435" s="1420"/>
      <c r="AS435" s="1419"/>
      <c r="AW435" s="1420"/>
      <c r="AX435" s="63"/>
      <c r="AY435" s="1937">
        <f>+AY433/(AV$152++AV$154+AV$156+AV$158)</f>
        <v>2.5536083625653586E-2</v>
      </c>
      <c r="AZ435" s="1938">
        <f>+AZ433/(AY$152++AY$154+AY$156+AY$158)</f>
        <v>2.9197538082042576E-2</v>
      </c>
      <c r="BA435" s="1938">
        <f>+BA433/(AZ$152++AZ$154+AZ$156+AZ$158)</f>
        <v>2.5716024513310259E-2</v>
      </c>
      <c r="BB435" s="1938">
        <f>+BB433/(BA$152++BA$154+BA$156+BA$158)</f>
        <v>1.9786719308140629E-2</v>
      </c>
      <c r="BC435" s="1936">
        <f>+AVERAGE(AY435:BB435)</f>
        <v>2.5059091382286763E-2</v>
      </c>
      <c r="BE435" s="1937">
        <f>+BE433/(BB$152++BB$154+BB$156+BB$158)</f>
        <v>1.416625701925648E-2</v>
      </c>
      <c r="BF435" s="2307">
        <v>4.0000000000000001E-3</v>
      </c>
      <c r="BG435" s="2307">
        <v>4.0000000000000001E-3</v>
      </c>
      <c r="BH435" s="2307">
        <v>4.0000000000000001E-3</v>
      </c>
      <c r="BI435" s="1936">
        <f>+AVERAGE(BE435:BH435)</f>
        <v>6.54156425481412E-3</v>
      </c>
      <c r="BJ435" s="1"/>
      <c r="BK435" s="2308">
        <v>4.0000000000000001E-3</v>
      </c>
      <c r="BL435" s="2307">
        <v>4.0000000000000001E-3</v>
      </c>
      <c r="BM435" s="2307">
        <v>4.0000000000000001E-3</v>
      </c>
      <c r="BN435" s="2307">
        <v>4.0000000000000001E-3</v>
      </c>
      <c r="BO435" s="1936">
        <f>+AVERAGE(BK435:BN435)</f>
        <v>4.0000000000000001E-3</v>
      </c>
      <c r="BP435" s="1"/>
      <c r="BQ435" s="2308">
        <v>4.0000000000000001E-3</v>
      </c>
      <c r="BR435" s="2307">
        <v>4.0000000000000001E-3</v>
      </c>
      <c r="BS435" s="2307">
        <v>4.0000000000000001E-3</v>
      </c>
      <c r="BT435" s="2307">
        <v>4.0000000000000001E-3</v>
      </c>
      <c r="BU435" s="1936">
        <f>+AVERAGE(BQ435:BT435)</f>
        <v>4.0000000000000001E-3</v>
      </c>
      <c r="BV435" s="1"/>
      <c r="BW435" s="2308">
        <v>4.0000000000000001E-3</v>
      </c>
      <c r="BX435" s="2307">
        <v>4.0000000000000001E-3</v>
      </c>
      <c r="BY435" s="2307">
        <v>4.0000000000000001E-3</v>
      </c>
      <c r="BZ435" s="2307">
        <v>4.0000000000000001E-3</v>
      </c>
      <c r="CA435" s="1936">
        <f>+AVERAGE(BW435:BZ435)</f>
        <v>4.0000000000000001E-3</v>
      </c>
      <c r="CB435" s="1"/>
      <c r="CC435" s="2308">
        <v>4.0000000000000001E-3</v>
      </c>
      <c r="CD435" s="2307">
        <v>4.0000000000000001E-3</v>
      </c>
      <c r="CE435" s="2307">
        <v>4.0000000000000001E-3</v>
      </c>
      <c r="CF435" s="2307">
        <v>4.0000000000000001E-3</v>
      </c>
      <c r="CG435" s="1936">
        <f>+AVERAGE(CC435:CF435)</f>
        <v>4.0000000000000001E-3</v>
      </c>
      <c r="CH435" s="1"/>
      <c r="CI435" s="2308">
        <v>4.0000000000000001E-3</v>
      </c>
      <c r="CJ435" s="2307">
        <v>4.0000000000000001E-3</v>
      </c>
      <c r="CK435" s="2307">
        <v>4.0000000000000001E-3</v>
      </c>
      <c r="CL435" s="2307">
        <v>4.0000000000000001E-3</v>
      </c>
      <c r="CM435" s="1936">
        <f>+AVERAGE(CI435:CL435)</f>
        <v>4.0000000000000001E-3</v>
      </c>
      <c r="CN435" s="1"/>
      <c r="CO435" s="2308">
        <v>4.0000000000000001E-3</v>
      </c>
      <c r="CP435" s="2307">
        <v>4.0000000000000001E-3</v>
      </c>
      <c r="CQ435" s="2307">
        <v>4.0000000000000001E-3</v>
      </c>
      <c r="CR435" s="2307">
        <v>4.0000000000000001E-3</v>
      </c>
      <c r="CS435" s="1936">
        <f>+AVERAGE(CO435:CR435)</f>
        <v>4.0000000000000001E-3</v>
      </c>
    </row>
    <row r="436" spans="1:280" s="6" customFormat="1">
      <c r="A436" s="2291" t="s">
        <v>686</v>
      </c>
      <c r="B436"/>
      <c r="C436" s="1850"/>
      <c r="D436"/>
      <c r="E436"/>
      <c r="F436"/>
      <c r="G436" s="736"/>
      <c r="H436" s="63"/>
      <c r="I436" s="1425"/>
      <c r="M436" s="1841"/>
      <c r="N436" s="63"/>
      <c r="O436" s="1425"/>
      <c r="P436" s="2278"/>
      <c r="Q436" s="2278"/>
      <c r="R436" s="2278"/>
      <c r="S436" s="2279"/>
      <c r="T436" s="63"/>
      <c r="U436" s="1425"/>
      <c r="V436" s="2278"/>
      <c r="W436" s="2278"/>
      <c r="X436" s="2278"/>
      <c r="Y436" s="2279"/>
      <c r="Z436" s="63"/>
      <c r="AA436" s="1425"/>
      <c r="AB436" s="2278"/>
      <c r="AC436" s="2278"/>
      <c r="AD436" s="2278"/>
      <c r="AE436" s="2279"/>
      <c r="AF436" s="63"/>
      <c r="AG436" s="1425"/>
      <c r="AH436" s="2278"/>
      <c r="AI436" s="2278"/>
      <c r="AJ436" s="2278"/>
      <c r="AK436" s="2279"/>
      <c r="AL436" s="63"/>
      <c r="AM436" s="1425"/>
      <c r="AN436" s="2278"/>
      <c r="AO436" s="2278"/>
      <c r="AP436" s="2278"/>
      <c r="AQ436" s="2279"/>
      <c r="AR436" s="63"/>
      <c r="AS436" s="1425"/>
      <c r="AT436" s="2278"/>
      <c r="AU436" s="2278"/>
      <c r="AV436" s="2278"/>
      <c r="AW436" s="2279"/>
      <c r="AX436" s="63"/>
      <c r="AY436" s="2281">
        <f>+AY$93</f>
        <v>0</v>
      </c>
      <c r="AZ436" s="2287">
        <f>+AZ$93</f>
        <v>0</v>
      </c>
      <c r="BA436" s="2282">
        <f>+BA$93</f>
        <v>0</v>
      </c>
      <c r="BB436" s="2282">
        <f>+BB$93</f>
        <v>0</v>
      </c>
      <c r="BC436" s="2283">
        <f>+SUM(AY436:BB436)</f>
        <v>0</v>
      </c>
      <c r="BD436"/>
      <c r="BE436" s="2281">
        <f>+BE$93</f>
        <v>1</v>
      </c>
      <c r="BF436" s="2287">
        <f>+BF$93</f>
        <v>1</v>
      </c>
      <c r="BG436" s="2282">
        <f>+BG$93</f>
        <v>2</v>
      </c>
      <c r="BH436" s="2282">
        <f>+BH$93</f>
        <v>1</v>
      </c>
      <c r="BI436" s="2283">
        <f>+SUM(BE436:BH436)</f>
        <v>5</v>
      </c>
      <c r="BJ436"/>
      <c r="BK436" s="2281">
        <f>+BK$93</f>
        <v>0</v>
      </c>
      <c r="BL436" s="2287">
        <f>+BL$93</f>
        <v>0</v>
      </c>
      <c r="BM436" s="2282">
        <f>+BM$93</f>
        <v>0</v>
      </c>
      <c r="BN436" s="2282">
        <f>+BN$93</f>
        <v>3</v>
      </c>
      <c r="BO436" s="2283">
        <f>+SUM(BK436:BN436)</f>
        <v>3</v>
      </c>
      <c r="BP436"/>
      <c r="BQ436" s="2281">
        <f>+BQ$93</f>
        <v>0</v>
      </c>
      <c r="BR436" s="2287">
        <f>+BR$93</f>
        <v>0</v>
      </c>
      <c r="BS436" s="2282">
        <f>+BS$93</f>
        <v>0</v>
      </c>
      <c r="BT436" s="2282">
        <f>+BT$93</f>
        <v>0</v>
      </c>
      <c r="BU436" s="2283">
        <f>+SUM(BQ436:BT436)</f>
        <v>0</v>
      </c>
      <c r="BV436"/>
      <c r="BW436" s="2281">
        <f>+BW$93</f>
        <v>0</v>
      </c>
      <c r="BX436" s="2287">
        <f>+BX$93</f>
        <v>0</v>
      </c>
      <c r="BY436" s="2282">
        <f>+BY$93</f>
        <v>0</v>
      </c>
      <c r="BZ436" s="2282">
        <f>+BZ$93</f>
        <v>0</v>
      </c>
      <c r="CA436" s="2283">
        <f>+SUM(BW436:BZ436)</f>
        <v>0</v>
      </c>
      <c r="CB436"/>
      <c r="CC436" s="2281">
        <f>+CC$93</f>
        <v>0</v>
      </c>
      <c r="CD436" s="2287">
        <f>+CD$93</f>
        <v>0</v>
      </c>
      <c r="CE436" s="2282">
        <f>+CE$93</f>
        <v>0</v>
      </c>
      <c r="CF436" s="2282">
        <f>+CF$93</f>
        <v>0</v>
      </c>
      <c r="CG436" s="2283">
        <f>+SUM(CC436:CF436)</f>
        <v>0</v>
      </c>
      <c r="CH436"/>
      <c r="CI436" s="2281">
        <f>+CI$93</f>
        <v>0</v>
      </c>
      <c r="CJ436" s="2287">
        <f>+CJ$93</f>
        <v>0</v>
      </c>
      <c r="CK436" s="2282">
        <f>+CK$93</f>
        <v>0</v>
      </c>
      <c r="CL436" s="2282">
        <f>+CL$93</f>
        <v>0</v>
      </c>
      <c r="CM436" s="2283">
        <f>+SUM(CI436:CL436)</f>
        <v>0</v>
      </c>
      <c r="CN436"/>
      <c r="CO436" s="2281">
        <f>+CO$93</f>
        <v>0</v>
      </c>
      <c r="CP436" s="2287">
        <f>+CP$93</f>
        <v>0</v>
      </c>
      <c r="CQ436" s="2282">
        <f>+CQ$93</f>
        <v>0</v>
      </c>
      <c r="CR436" s="2282">
        <f>+CR$93</f>
        <v>0</v>
      </c>
      <c r="CS436" s="2283">
        <f>+SUM(CO436:CR436)</f>
        <v>0</v>
      </c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  <c r="HB436"/>
      <c r="HC436"/>
      <c r="HD436"/>
      <c r="HE436"/>
      <c r="HF436"/>
      <c r="HG436"/>
      <c r="HH436"/>
      <c r="HI436"/>
      <c r="HJ436"/>
      <c r="HK436"/>
      <c r="HL436"/>
      <c r="HM436"/>
      <c r="HN436"/>
      <c r="HO436"/>
      <c r="HP436"/>
      <c r="HQ436"/>
      <c r="HR436"/>
      <c r="HS436"/>
      <c r="HT436"/>
      <c r="HU436"/>
      <c r="HV436"/>
      <c r="HW436"/>
      <c r="HX436"/>
      <c r="HY436"/>
      <c r="HZ436"/>
      <c r="IA436"/>
      <c r="IB436"/>
      <c r="IC436"/>
      <c r="ID436"/>
      <c r="IE436"/>
      <c r="IF436"/>
      <c r="IG436"/>
      <c r="IH436"/>
      <c r="II436"/>
      <c r="IJ436"/>
      <c r="IK436"/>
      <c r="IL436"/>
      <c r="IM436"/>
      <c r="IN436"/>
      <c r="IO436"/>
      <c r="IP436"/>
      <c r="IQ436"/>
      <c r="IR436"/>
      <c r="IS436"/>
      <c r="IT436"/>
      <c r="IU436"/>
      <c r="IV436"/>
      <c r="IW436"/>
      <c r="IX436"/>
      <c r="IY436"/>
      <c r="IZ436"/>
      <c r="JA436"/>
      <c r="JB436"/>
      <c r="JC436"/>
      <c r="JD436"/>
      <c r="JE436"/>
      <c r="JF436"/>
      <c r="JG436"/>
      <c r="JH436"/>
      <c r="JI436"/>
      <c r="JJ436"/>
      <c r="JK436"/>
      <c r="JL436"/>
      <c r="JM436"/>
      <c r="JN436"/>
      <c r="JO436"/>
      <c r="JP436"/>
      <c r="JQ436"/>
      <c r="JR436"/>
      <c r="JS436"/>
      <c r="JT436"/>
    </row>
    <row r="437" spans="1:280" s="6" customFormat="1">
      <c r="A437" s="2280" t="s">
        <v>689</v>
      </c>
      <c r="B437"/>
      <c r="C437" s="1850"/>
      <c r="D437"/>
      <c r="E437"/>
      <c r="F437"/>
      <c r="G437" s="736"/>
      <c r="H437" s="63"/>
      <c r="I437" s="1425"/>
      <c r="M437" s="1841"/>
      <c r="N437" s="63"/>
      <c r="O437" s="1425"/>
      <c r="P437" s="2278"/>
      <c r="Q437" s="2278"/>
      <c r="R437" s="2278"/>
      <c r="S437" s="2279"/>
      <c r="T437" s="63"/>
      <c r="U437" s="1425"/>
      <c r="V437" s="2278"/>
      <c r="W437" s="2278"/>
      <c r="X437" s="2278"/>
      <c r="Y437" s="2279"/>
      <c r="Z437" s="63"/>
      <c r="AA437" s="1425"/>
      <c r="AB437" s="2278"/>
      <c r="AC437" s="2278"/>
      <c r="AD437" s="2278"/>
      <c r="AE437" s="2279"/>
      <c r="AF437" s="63"/>
      <c r="AG437" s="1425">
        <f>+AVERAGE(AG432,AD432)</f>
        <v>0</v>
      </c>
      <c r="AH437" s="2278">
        <f>+AVERAGE(AH432,AG432)</f>
        <v>0</v>
      </c>
      <c r="AI437" s="2278">
        <f>+AVERAGE(AI432,AH432)</f>
        <v>0</v>
      </c>
      <c r="AJ437" s="2278">
        <f>+AVERAGE(AJ432,AI432)</f>
        <v>0</v>
      </c>
      <c r="AK437" s="2279">
        <f>+AVERAGE(AK432,AJ432)</f>
        <v>0</v>
      </c>
      <c r="AL437" s="63"/>
      <c r="AM437" s="1425">
        <f>+AVERAGE(AM432,AJ432)</f>
        <v>0</v>
      </c>
      <c r="AN437" s="2278">
        <f>+AVERAGE(AN432,AM432)</f>
        <v>0</v>
      </c>
      <c r="AO437" s="2278">
        <f>+AVERAGE(AO432,AN432)</f>
        <v>0</v>
      </c>
      <c r="AP437" s="2278">
        <f>+AVERAGE(AP432,AO432)</f>
        <v>0</v>
      </c>
      <c r="AQ437" s="2279">
        <f>+AVERAGE(AQ432,AP432)</f>
        <v>0</v>
      </c>
      <c r="AR437" s="63"/>
      <c r="AS437" s="1425">
        <f>+AVERAGE(AS432,AP432)</f>
        <v>0</v>
      </c>
      <c r="AT437" s="2278">
        <f>+AVERAGE(AT432,AS432)</f>
        <v>0</v>
      </c>
      <c r="AU437" s="2278">
        <f>+AVERAGE(AU432,AT432)</f>
        <v>0</v>
      </c>
      <c r="AV437" s="2278">
        <f>+AVERAGE(AV432,AU432)</f>
        <v>0</v>
      </c>
      <c r="AW437" s="2279">
        <f>+AVERAGE(AW432,AV432)</f>
        <v>0</v>
      </c>
      <c r="AX437" s="63"/>
      <c r="AY437" s="2281">
        <f>+AVERAGE(AY432,AV432)</f>
        <v>23.207500000000003</v>
      </c>
      <c r="AZ437" s="2282">
        <f>+AVERAGE(AZ432,AY432)</f>
        <v>73.826000000000008</v>
      </c>
      <c r="BA437" s="2282">
        <f>+AVERAGE(BA432,AZ432)</f>
        <v>126.24100000000001</v>
      </c>
      <c r="BB437" s="2282">
        <f>+AVERAGE(BB432,BA432)</f>
        <v>171.02800000000002</v>
      </c>
      <c r="BC437" s="2283">
        <f>+AVERAGE(BC432,AW432)</f>
        <v>95.405500000000004</v>
      </c>
      <c r="BD437"/>
      <c r="BE437" s="2281">
        <f>+AVERAGE(BE432,BB432)</f>
        <v>205.85000000000002</v>
      </c>
      <c r="BF437" s="2282">
        <f>+AVERAGE(BF432,BE432)</f>
        <v>225.3923158406015</v>
      </c>
      <c r="BG437" s="2282">
        <f>+AVERAGE(BG432,BF432)</f>
        <v>234.84097404852935</v>
      </c>
      <c r="BH437" s="2282">
        <f>+AVERAGE(BH432,BG432)</f>
        <v>244.13522152212056</v>
      </c>
      <c r="BI437" s="2283">
        <f>+AVERAGE(BI432,BC432)</f>
        <v>219.64756331419275</v>
      </c>
      <c r="BJ437" s="63"/>
      <c r="BK437" s="2281">
        <f>+AVERAGE(BK432,BH432)</f>
        <v>252.15129497550055</v>
      </c>
      <c r="BL437" s="2282">
        <f>+AVERAGE(BL432,BK432)</f>
        <v>259.46089901650754</v>
      </c>
      <c r="BM437" s="2282">
        <f>+AVERAGE(BM432,BL432)</f>
        <v>266.7149098898426</v>
      </c>
      <c r="BN437" s="2282">
        <f>+AVERAGE(BN432,BM432)</f>
        <v>275.42095285016433</v>
      </c>
      <c r="BO437" s="2283">
        <f>+AVERAGE(BO432,BI432)</f>
        <v>264.49977362971424</v>
      </c>
      <c r="BP437" s="63"/>
      <c r="BQ437" s="2281">
        <f>+AVERAGE(BQ432,BN432)</f>
        <v>284.09864415416871</v>
      </c>
      <c r="BR437" s="2282">
        <f>+AVERAGE(BR432,BQ432)</f>
        <v>291.25575698860507</v>
      </c>
      <c r="BS437" s="2282">
        <f>+AVERAGE(BS432,BR432)</f>
        <v>298.31212672571689</v>
      </c>
      <c r="BT437" s="2282">
        <f>+AVERAGE(BT432,BS432)</f>
        <v>305.06894742072564</v>
      </c>
      <c r="BU437" s="2283">
        <f>+AVERAGE(BU432,BO432)</f>
        <v>294.42935416048812</v>
      </c>
      <c r="BV437" s="63"/>
      <c r="BW437" s="2281">
        <f>+AVERAGE(BW432,BT432)</f>
        <v>311.40782268129442</v>
      </c>
      <c r="BX437" s="2282">
        <f>+AVERAGE(BX432,BW432)</f>
        <v>317.34140894394784</v>
      </c>
      <c r="BY437" s="2282">
        <f>+AVERAGE(BY432,BX432)</f>
        <v>322.8824638967024</v>
      </c>
      <c r="BZ437" s="2282">
        <f>+AVERAGE(BZ432,BY432)</f>
        <v>328.02784728907903</v>
      </c>
      <c r="CA437" s="2283">
        <f>+AVERAGE(CA432,BU432)</f>
        <v>319.42225734496321</v>
      </c>
      <c r="CB437" s="63"/>
      <c r="CC437" s="2281">
        <f>+AVERAGE(CC432,BZ432)</f>
        <v>332.77439374859466</v>
      </c>
      <c r="CD437" s="2282">
        <f>+AVERAGE(CD432,CC432)</f>
        <v>337.13891257978645</v>
      </c>
      <c r="CE437" s="2282">
        <f>+AVERAGE(CE432,CD432)</f>
        <v>341.13834756162771</v>
      </c>
      <c r="CF437" s="2282">
        <f>+AVERAGE(CF432,CE432)</f>
        <v>344.76977802332374</v>
      </c>
      <c r="CG437" s="2283">
        <f>+AVERAGE(CG432,CA432)</f>
        <v>338.49717629288102</v>
      </c>
      <c r="CH437" s="63"/>
      <c r="CI437" s="2281">
        <f>+AVERAGE(CI432,CF432)</f>
        <v>348.03025992871335</v>
      </c>
      <c r="CJ437" s="2282">
        <f>+AVERAGE(CJ432,CI432)</f>
        <v>350.91682568934607</v>
      </c>
      <c r="CK437" s="2282">
        <f>+AVERAGE(CK432,CJ432)</f>
        <v>353.42648397606376</v>
      </c>
      <c r="CL437" s="2282">
        <f>+AVERAGE(CL432,CK432)</f>
        <v>355.72162567945122</v>
      </c>
      <c r="CM437" s="2283">
        <f>+AVERAGE(CM432,CG432)</f>
        <v>351.67483304978896</v>
      </c>
      <c r="CN437" s="63"/>
      <c r="CO437" s="2281">
        <f>+AVERAGE(CO432,CL432)</f>
        <v>358.00053466684176</v>
      </c>
      <c r="CP437" s="2282">
        <f>+AVERAGE(CP432,CO432)</f>
        <v>360.29767492613138</v>
      </c>
      <c r="CQ437" s="2282">
        <f>+AVERAGE(CQ432,CP432)</f>
        <v>362.6131923074953</v>
      </c>
      <c r="CR437" s="2282">
        <f>+AVERAGE(CR432,CQ432)</f>
        <v>364.94723382791017</v>
      </c>
      <c r="CS437" s="2283">
        <f>+AVERAGE(CS432,CM432)</f>
        <v>361.48772229351357</v>
      </c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  <c r="HB437"/>
      <c r="HC437"/>
      <c r="HD437"/>
      <c r="HE437"/>
      <c r="HF437"/>
      <c r="HG437"/>
      <c r="HH437"/>
      <c r="HI437"/>
      <c r="HJ437"/>
      <c r="HK437"/>
      <c r="HL437"/>
      <c r="HM437"/>
      <c r="HN437"/>
      <c r="HO437"/>
      <c r="HP437"/>
      <c r="HQ437"/>
      <c r="HR437"/>
      <c r="HS437"/>
      <c r="HT437"/>
      <c r="HU437"/>
      <c r="HV437"/>
      <c r="HW437"/>
      <c r="HX437"/>
      <c r="HY437"/>
      <c r="HZ437"/>
      <c r="IA437"/>
      <c r="IB437"/>
      <c r="IC437"/>
      <c r="ID437"/>
      <c r="IE437"/>
      <c r="IF437"/>
      <c r="IG437"/>
      <c r="IH437"/>
      <c r="II437"/>
      <c r="IJ437"/>
      <c r="IK437"/>
      <c r="IL437"/>
      <c r="IM437"/>
      <c r="IN437"/>
      <c r="IO437"/>
      <c r="IP437"/>
      <c r="IQ437"/>
      <c r="IR437"/>
      <c r="IS437"/>
      <c r="IT437"/>
      <c r="IU437"/>
      <c r="IV437"/>
      <c r="IW437"/>
      <c r="IX437"/>
      <c r="IY437"/>
      <c r="IZ437"/>
      <c r="JA437"/>
      <c r="JB437"/>
      <c r="JC437"/>
      <c r="JD437"/>
      <c r="JE437"/>
      <c r="JF437"/>
      <c r="JG437"/>
      <c r="JH437"/>
      <c r="JI437"/>
      <c r="JJ437"/>
      <c r="JK437"/>
      <c r="JL437"/>
      <c r="JM437"/>
      <c r="JN437"/>
      <c r="JO437"/>
      <c r="JP437"/>
      <c r="JQ437"/>
      <c r="JR437"/>
      <c r="JS437"/>
      <c r="JT437"/>
    </row>
    <row r="438" spans="1:280" s="6" customFormat="1">
      <c r="A438" s="1930" t="s">
        <v>684</v>
      </c>
      <c r="B438"/>
      <c r="C438" s="1850"/>
      <c r="D438"/>
      <c r="E438"/>
      <c r="F438"/>
      <c r="G438" s="736"/>
      <c r="H438" s="63"/>
      <c r="I438" s="1425"/>
      <c r="M438" s="1841"/>
      <c r="N438" s="63"/>
      <c r="O438" s="1425"/>
      <c r="P438" s="2278"/>
      <c r="Q438" s="2278"/>
      <c r="R438" s="2278"/>
      <c r="S438" s="2279"/>
      <c r="T438" s="63"/>
      <c r="U438" s="1425"/>
      <c r="V438" s="2278"/>
      <c r="W438" s="2278"/>
      <c r="X438" s="2278"/>
      <c r="Y438" s="2279"/>
      <c r="Z438" s="63"/>
      <c r="AA438" s="1425"/>
      <c r="AB438" s="2278"/>
      <c r="AC438" s="2278"/>
      <c r="AD438" s="2278"/>
      <c r="AE438" s="2279"/>
      <c r="AF438" s="63"/>
      <c r="AG438" s="1425"/>
      <c r="AH438" s="2278"/>
      <c r="AI438" s="2278"/>
      <c r="AJ438" s="2278"/>
      <c r="AK438" s="2279"/>
      <c r="AL438" s="63"/>
      <c r="AM438" s="1425"/>
      <c r="AN438" s="2278"/>
      <c r="AO438" s="2278"/>
      <c r="AP438" s="2278"/>
      <c r="AQ438" s="2279"/>
      <c r="AR438" s="63"/>
      <c r="AS438" s="1425"/>
      <c r="AT438" s="2278"/>
      <c r="AU438" s="2278"/>
      <c r="AV438" s="2278"/>
      <c r="AW438" s="2279"/>
      <c r="AX438" s="63"/>
      <c r="AY438" s="1425">
        <f>+(AY433*AY$89+AY436*AY$90)/1000</f>
        <v>30.169750000000004</v>
      </c>
      <c r="AZ438" s="2284">
        <f>+(AZ433*AZ$89+AZ436*AZ$90)/1000</f>
        <v>40.680665099999999</v>
      </c>
      <c r="BA438" s="2284">
        <f>+(BA433*BA$89+BA436*BA$90)/1000</f>
        <v>37.108436400000002</v>
      </c>
      <c r="BB438" s="2284">
        <f>+(BB433*BB$89+BB436*BB$90)/1000</f>
        <v>29.359950300000001</v>
      </c>
      <c r="BC438" s="1424">
        <f>+SUM(AY438:BB438)</f>
        <v>137.31880180000002</v>
      </c>
      <c r="BD438"/>
      <c r="BE438" s="1425">
        <f>+(BE433*BE$89+BE436*BE$90)/1000</f>
        <v>22.1585</v>
      </c>
      <c r="BF438" s="2284">
        <f>+(BF433*BF$89+BF436*BF$90)/1000</f>
        <v>6.354973760902257</v>
      </c>
      <c r="BG438" s="2284">
        <f>+(BG433*BG$89+BG436*BG$90)/1000</f>
        <v>6.6180135509894749</v>
      </c>
      <c r="BH438" s="2284">
        <f>+(BH433*BH$89+BH436*BH$90)/1000</f>
        <v>6.1233576593973904</v>
      </c>
      <c r="BI438" s="1424">
        <f>+SUM(BE438:BH438)</f>
        <v>41.254844971289124</v>
      </c>
      <c r="BJ438" s="63"/>
      <c r="BK438" s="1425">
        <f>+(BK433*BK$89+BK436*BK$90)/1000</f>
        <v>5.5007525206725685</v>
      </c>
      <c r="BL438" s="2284">
        <f>+(BL433*BL$89+BL436*BL$90)/1000</f>
        <v>5.4636535408379494</v>
      </c>
      <c r="BM438" s="2284">
        <f>+(BM433*BM$89+BM436*BM$90)/1000</f>
        <v>5.4173627691646544</v>
      </c>
      <c r="BN438" s="2284">
        <f>+(BN433*BN$89+BN436*BN$90)/1000</f>
        <v>6.4417016713179711</v>
      </c>
      <c r="BO438" s="1424">
        <f>+SUM(BK438:BN438)</f>
        <v>22.823470501993143</v>
      </c>
      <c r="BP438" s="63"/>
      <c r="BQ438" s="1425">
        <f>+(BQ433*BQ$89+BQ436*BQ$90)/1000</f>
        <v>5.3748352846885146</v>
      </c>
      <c r="BR438" s="2284">
        <f>+(BR433*BR$89+BR436*BR$90)/1000</f>
        <v>5.3608339669660223</v>
      </c>
      <c r="BS438" s="2284">
        <f>+(BS433*BS$89+BS436*BS$90)/1000</f>
        <v>5.2237206387017512</v>
      </c>
      <c r="BT438" s="2284">
        <f>+(BT433*BT$89+BT436*BT$90)/1000</f>
        <v>4.9115104038113646</v>
      </c>
      <c r="BU438" s="1424">
        <f>+SUM(BQ438:BT438)</f>
        <v>20.870900294167654</v>
      </c>
      <c r="BV438" s="63"/>
      <c r="BW438" s="1425">
        <f>+(BW433*BW$89+BW436*BW$90)/1000</f>
        <v>4.596802487041856</v>
      </c>
      <c r="BX438" s="2284">
        <f>+(BX433*BX$89+BX436*BX$90)/1000</f>
        <v>4.3035769069381891</v>
      </c>
      <c r="BY438" s="2284">
        <f>+(BY433*BY$89+BY436*BY$90)/1000</f>
        <v>4.0080055221936961</v>
      </c>
      <c r="BZ438" s="2284">
        <f>+(BZ433*BZ$89+BZ436*BZ$90)/1000</f>
        <v>3.7100695663712453</v>
      </c>
      <c r="CA438" s="1424">
        <f>+SUM(BW438:BZ438)</f>
        <v>16.618454482544987</v>
      </c>
      <c r="CB438" s="63"/>
      <c r="CC438" s="1425">
        <f>+(CC433*CC$89+CC436*CC$90)/1000</f>
        <v>3.4097501229022149</v>
      </c>
      <c r="CD438" s="2284">
        <f>+(CD433*CD$89+CD436*CD$90)/1000</f>
        <v>3.1370281238854334</v>
      </c>
      <c r="CE438" s="2284">
        <f>+(CE433*CE$89+CE436*CE$90)/1000</f>
        <v>2.8621243488765167</v>
      </c>
      <c r="CF438" s="2284">
        <f>+(CF433*CF$89+CF436*CF$90)/1000</f>
        <v>2.5850213436675284</v>
      </c>
      <c r="CG438" s="1424">
        <f>+SUM(CC438:CF438)</f>
        <v>11.993923939331694</v>
      </c>
      <c r="CH438" s="63"/>
      <c r="CI438" s="1425">
        <f>+(CI433*CI$89+CI436*CI$90)/1000</f>
        <v>2.3057015144168687</v>
      </c>
      <c r="CJ438" s="2284">
        <f>+(CJ433*CJ$89+CJ436*CJ$90)/1000</f>
        <v>2.0241471265322035</v>
      </c>
      <c r="CK438" s="2284">
        <f>+(CK433*CK$89+CK436*CK$90)/1000</f>
        <v>1.7403403035444609</v>
      </c>
      <c r="CL438" s="2284">
        <f>+(CL433*CL$89+CL436*CL$90)/1000</f>
        <v>1.7023722515367266</v>
      </c>
      <c r="CM438" s="1424">
        <f>+SUM(CI438:CL438)</f>
        <v>7.7725611960302583</v>
      </c>
      <c r="CN438" s="63"/>
      <c r="CO438" s="1425">
        <f>+(CO433*CO$89+CO436*CO$90)/1000</f>
        <v>1.7159912295490201</v>
      </c>
      <c r="CP438" s="2284">
        <f>+(CP433*CP$89+CP436*CP$90)/1000</f>
        <v>1.7297191593854122</v>
      </c>
      <c r="CQ438" s="2284">
        <f>+(CQ433*CQ$89+CQ436*CQ$90)/1000</f>
        <v>1.7435569126604955</v>
      </c>
      <c r="CR438" s="2284">
        <f>+(CR433*CR$89+CR436*CR$90)/1000</f>
        <v>1.7575053679617798</v>
      </c>
      <c r="CS438" s="1424">
        <f>+SUM(CO438:CR438)</f>
        <v>6.946772669556708</v>
      </c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  <c r="HB438"/>
      <c r="HC438"/>
      <c r="HD438"/>
      <c r="HE438"/>
      <c r="HF438"/>
      <c r="HG438"/>
      <c r="HH438"/>
      <c r="HI438"/>
      <c r="HJ438"/>
      <c r="HK438"/>
      <c r="HL438"/>
      <c r="HM438"/>
      <c r="HN438"/>
      <c r="HO438"/>
      <c r="HP438"/>
      <c r="HQ438"/>
      <c r="HR438"/>
      <c r="HS438"/>
      <c r="HT438"/>
      <c r="HU438"/>
      <c r="HV438"/>
      <c r="HW438"/>
      <c r="HX438"/>
      <c r="HY438"/>
      <c r="HZ438"/>
      <c r="IA438"/>
      <c r="IB438"/>
      <c r="IC438"/>
      <c r="ID438"/>
      <c r="IE438"/>
      <c r="IF438"/>
      <c r="IG438"/>
      <c r="IH438"/>
      <c r="II438"/>
      <c r="IJ438"/>
      <c r="IK438"/>
      <c r="IL438"/>
      <c r="IM438"/>
      <c r="IN438"/>
      <c r="IO438"/>
      <c r="IP438"/>
      <c r="IQ438"/>
      <c r="IR438"/>
      <c r="IS438"/>
      <c r="IT438"/>
      <c r="IU438"/>
      <c r="IV438"/>
      <c r="IW438"/>
      <c r="IX438"/>
      <c r="IY438"/>
      <c r="IZ438"/>
      <c r="JA438"/>
      <c r="JB438"/>
      <c r="JC438"/>
      <c r="JD438"/>
      <c r="JE438"/>
      <c r="JF438"/>
      <c r="JG438"/>
      <c r="JH438"/>
      <c r="JI438"/>
      <c r="JJ438"/>
      <c r="JK438"/>
      <c r="JL438"/>
      <c r="JM438"/>
      <c r="JN438"/>
      <c r="JO438"/>
      <c r="JP438"/>
      <c r="JQ438"/>
      <c r="JR438"/>
      <c r="JS438"/>
      <c r="JT438"/>
    </row>
    <row r="439" spans="1:280" s="6" customFormat="1">
      <c r="A439" s="1930" t="s">
        <v>685</v>
      </c>
      <c r="B439"/>
      <c r="C439" s="1850"/>
      <c r="D439"/>
      <c r="E439"/>
      <c r="F439"/>
      <c r="G439" s="736"/>
      <c r="H439" s="63"/>
      <c r="I439" s="1425"/>
      <c r="M439" s="1841"/>
      <c r="N439" s="63"/>
      <c r="O439" s="1425"/>
      <c r="P439" s="2278"/>
      <c r="Q439" s="2278"/>
      <c r="R439" s="2278"/>
      <c r="S439" s="2279"/>
      <c r="T439" s="63"/>
      <c r="U439" s="1425"/>
      <c r="V439" s="2278"/>
      <c r="W439" s="2278"/>
      <c r="X439" s="2278"/>
      <c r="Y439" s="2279"/>
      <c r="Z439" s="63"/>
      <c r="AA439" s="1425"/>
      <c r="AB439" s="2278"/>
      <c r="AC439" s="2278"/>
      <c r="AD439" s="2278"/>
      <c r="AE439" s="2279"/>
      <c r="AF439" s="63"/>
      <c r="AG439" s="1425"/>
      <c r="AH439" s="2278"/>
      <c r="AI439" s="2278"/>
      <c r="AJ439" s="2278"/>
      <c r="AK439" s="2279"/>
      <c r="AL439" s="63"/>
      <c r="AM439" s="1425"/>
      <c r="AN439" s="2278"/>
      <c r="AO439" s="2278"/>
      <c r="AP439" s="2278"/>
      <c r="AQ439" s="2279"/>
      <c r="AR439" s="63"/>
      <c r="AS439" s="1425"/>
      <c r="AT439" s="2278"/>
      <c r="AU439" s="2278"/>
      <c r="AV439" s="2278"/>
      <c r="AW439" s="2279"/>
      <c r="AX439" s="63"/>
      <c r="AY439" s="1425">
        <f>+(AY437*AY$196)/(4*1000)</f>
        <v>1.9726375000000003</v>
      </c>
      <c r="AZ439" s="2284">
        <f>+(AZ437*AZ$196)/(4*1000)</f>
        <v>5.9060800000000011</v>
      </c>
      <c r="BA439" s="2284">
        <f>+(BA437*BA$196)/(4*1000)</f>
        <v>11.046087500000002</v>
      </c>
      <c r="BB439" s="2284">
        <f>+(BB437*BB$196)/(4*1000)</f>
        <v>13.254670000000003</v>
      </c>
      <c r="BC439" s="1424">
        <f>+SUM(AY439:BB439)</f>
        <v>32.179475000000004</v>
      </c>
      <c r="BD439"/>
      <c r="BE439" s="1425">
        <f>+(BE437*BE$196)/(4*1000)</f>
        <v>15.438750000000002</v>
      </c>
      <c r="BF439" s="2284">
        <f>+(BF437*BF$196)/(4*1000)</f>
        <v>18.031385267248119</v>
      </c>
      <c r="BG439" s="2284">
        <f>+(BG437*BG$196)/(4*1000)</f>
        <v>17.436942323103302</v>
      </c>
      <c r="BH439" s="2284">
        <f>+(BH437*BH$196)/(4*1000)</f>
        <v>18.310141614159043</v>
      </c>
      <c r="BI439" s="1424">
        <f>+SUM(BE439:BH439)</f>
        <v>69.217219204510471</v>
      </c>
      <c r="BJ439" s="63"/>
      <c r="BK439" s="1425">
        <f>+(BK437*BK$196)/(4*1000)</f>
        <v>17.965779767004413</v>
      </c>
      <c r="BL439" s="2284">
        <f>+(BL437*BL$196)/(4*1000)</f>
        <v>18.486589054926164</v>
      </c>
      <c r="BM439" s="2284">
        <f>+(BM437*BM$196)/(4*1000)</f>
        <v>20.6704055164628</v>
      </c>
      <c r="BN439" s="2284">
        <f>+(BN437*BN$196)/(4*1000)</f>
        <v>22.377952419075854</v>
      </c>
      <c r="BO439" s="1424">
        <f>+SUM(BK439:BN439)</f>
        <v>79.500726757469238</v>
      </c>
      <c r="BP439" s="63"/>
      <c r="BQ439" s="1425">
        <f>+(BQ437*BQ$196)/(4*1000)</f>
        <v>21.662521616755363</v>
      </c>
      <c r="BR439" s="2284">
        <f>+(BR437*BR$196)/(4*1000)</f>
        <v>21.480112077909624</v>
      </c>
      <c r="BS439" s="2284">
        <f>+(BS437*BS$196)/(4*1000)</f>
        <v>21.254739029207329</v>
      </c>
      <c r="BT439" s="2284">
        <f>+(BT437*BT$196)/(4*1000)</f>
        <v>20.973490135174888</v>
      </c>
      <c r="BU439" s="1424">
        <f>+SUM(BQ439:BT439)</f>
        <v>85.370862859047193</v>
      </c>
      <c r="BV439" s="63"/>
      <c r="BW439" s="1425">
        <f>+(BW437*BW$196)/(4*1000)</f>
        <v>20.630768252635757</v>
      </c>
      <c r="BX439" s="2284">
        <f>+(BX437*BX$196)/(4*1000)</f>
        <v>20.230514820176676</v>
      </c>
      <c r="BY439" s="2284">
        <f>+(BY437*BY$196)/(4*1000)</f>
        <v>19.77655091367302</v>
      </c>
      <c r="BZ439" s="2284">
        <f>+(BZ437*BZ$196)/(4*1000)</f>
        <v>19.271636028233392</v>
      </c>
      <c r="CA439" s="1424">
        <f>+SUM(BW439:BZ439)</f>
        <v>79.909470014718849</v>
      </c>
      <c r="CB439" s="63"/>
      <c r="CC439" s="1425">
        <f>+(CC437*CC$196)/(4*1000)</f>
        <v>18.718559648358447</v>
      </c>
      <c r="CD439" s="2284">
        <f>+(CD437*CD$196)/(4*1000)</f>
        <v>18.121216551163521</v>
      </c>
      <c r="CE439" s="2284">
        <f>+(CE437*CE$196)/(4*1000)</f>
        <v>17.483340312533418</v>
      </c>
      <c r="CF439" s="2284">
        <f>+(CF437*CF$196)/(4*1000)</f>
        <v>16.807526678637036</v>
      </c>
      <c r="CG439" s="1424">
        <f>+SUM(CC439:CF439)</f>
        <v>71.13064319069241</v>
      </c>
      <c r="CH439" s="63"/>
      <c r="CI439" s="1425">
        <f>+(CI437*CI$196)/(4*1000)</f>
        <v>15.661361696792101</v>
      </c>
      <c r="CJ439" s="2284">
        <f>+(CJ437*CJ$196)/(4*1000)</f>
        <v>14.475319059685525</v>
      </c>
      <c r="CK439" s="2284">
        <f>+(CK437*CK$196)/(4*1000)</f>
        <v>13.253493149102392</v>
      </c>
      <c r="CL439" s="2284">
        <f>+(CL437*CL$196)/(4*1000)</f>
        <v>12.005604866681479</v>
      </c>
      <c r="CM439" s="1424">
        <f>+SUM(CI439:CL439)</f>
        <v>55.395778772261494</v>
      </c>
      <c r="CN439" s="63"/>
      <c r="CO439" s="1425">
        <f>+(CO437*CO$196)/(4*1000)</f>
        <v>10.740016040005251</v>
      </c>
      <c r="CP439" s="2284">
        <f>+(CP437*CP$196)/(4*1000)</f>
        <v>9.4578139668109493</v>
      </c>
      <c r="CQ439" s="2284">
        <f>+(CQ437*CQ$196)/(4*1000)</f>
        <v>8.1587968269186444</v>
      </c>
      <c r="CR439" s="2284">
        <f>+(CR437*CR$196)/(4*1000)</f>
        <v>6.8427606342733158</v>
      </c>
      <c r="CS439" s="1424">
        <f>+SUM(CO439:CR439)</f>
        <v>35.199387468008162</v>
      </c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  <c r="HB439"/>
      <c r="HC439"/>
      <c r="HD439"/>
      <c r="HE439"/>
      <c r="HF439"/>
      <c r="HG439"/>
      <c r="HH439"/>
      <c r="HI439"/>
      <c r="HJ439"/>
      <c r="HK439"/>
      <c r="HL439"/>
      <c r="HM439"/>
      <c r="HN439"/>
      <c r="HO439"/>
      <c r="HP439"/>
      <c r="HQ439"/>
      <c r="HR439"/>
      <c r="HS439"/>
      <c r="HT439"/>
      <c r="HU439"/>
      <c r="HV439"/>
      <c r="HW439"/>
      <c r="HX439"/>
      <c r="HY439"/>
      <c r="HZ439"/>
      <c r="IA439"/>
      <c r="IB439"/>
      <c r="IC439"/>
      <c r="ID439"/>
      <c r="IE439"/>
      <c r="IF439"/>
      <c r="IG439"/>
      <c r="IH439"/>
      <c r="II439"/>
      <c r="IJ439"/>
      <c r="IK439"/>
      <c r="IL439"/>
      <c r="IM439"/>
      <c r="IN439"/>
      <c r="IO439"/>
      <c r="IP439"/>
      <c r="IQ439"/>
      <c r="IR439"/>
      <c r="IS439"/>
      <c r="IT439"/>
      <c r="IU439"/>
      <c r="IV439"/>
      <c r="IW439"/>
      <c r="IX439"/>
      <c r="IY439"/>
      <c r="IZ439"/>
      <c r="JA439"/>
      <c r="JB439"/>
      <c r="JC439"/>
      <c r="JD439"/>
      <c r="JE439"/>
      <c r="JF439"/>
      <c r="JG439"/>
      <c r="JH439"/>
      <c r="JI439"/>
      <c r="JJ439"/>
      <c r="JK439"/>
      <c r="JL439"/>
      <c r="JM439"/>
      <c r="JN439"/>
      <c r="JO439"/>
      <c r="JP439"/>
      <c r="JQ439"/>
      <c r="JR439"/>
      <c r="JS439"/>
      <c r="JT439"/>
    </row>
    <row r="440" spans="1:280" s="6" customFormat="1">
      <c r="A440" s="125" t="s">
        <v>700</v>
      </c>
      <c r="B440" s="3"/>
      <c r="C440" s="2246"/>
      <c r="D440" s="3"/>
      <c r="E440" s="3"/>
      <c r="F440" s="3"/>
      <c r="G440" s="2247"/>
      <c r="H440" s="1588"/>
      <c r="I440" s="2246"/>
      <c r="J440" s="1336"/>
      <c r="K440" s="1336"/>
      <c r="L440" s="1336"/>
      <c r="M440" s="2247"/>
      <c r="N440" s="1588"/>
      <c r="O440" s="2246"/>
      <c r="P440" s="2288"/>
      <c r="Q440" s="2288"/>
      <c r="R440" s="2288"/>
      <c r="S440" s="2289"/>
      <c r="T440" s="1588"/>
      <c r="U440" s="2246"/>
      <c r="V440" s="2288"/>
      <c r="W440" s="2288"/>
      <c r="X440" s="2288"/>
      <c r="Y440" s="2289"/>
      <c r="Z440" s="1588"/>
      <c r="AA440" s="2246"/>
      <c r="AB440" s="2288"/>
      <c r="AC440" s="2288"/>
      <c r="AD440" s="2288"/>
      <c r="AE440" s="2289"/>
      <c r="AF440" s="1588"/>
      <c r="AG440" s="2246"/>
      <c r="AH440" s="2288"/>
      <c r="AI440" s="2288"/>
      <c r="AJ440" s="2288"/>
      <c r="AK440" s="2289"/>
      <c r="AL440" s="1588"/>
      <c r="AM440" s="2246"/>
      <c r="AN440" s="2288"/>
      <c r="AO440" s="2288"/>
      <c r="AP440" s="2288"/>
      <c r="AQ440" s="2289"/>
      <c r="AR440" s="1588"/>
      <c r="AS440" s="2246"/>
      <c r="AT440" s="2288"/>
      <c r="AU440" s="2288"/>
      <c r="AV440" s="2288"/>
      <c r="AW440" s="2289"/>
      <c r="AX440" s="1588"/>
      <c r="AY440" s="2246">
        <f>-AY$88-AY$183+AY439+AY438</f>
        <v>0</v>
      </c>
      <c r="AZ440" s="2288">
        <f>-AZ$88-AZ$183+AZ439+AZ438</f>
        <v>0</v>
      </c>
      <c r="BA440" s="2288">
        <f>-BA$88-BA$183+BA439+BA438</f>
        <v>0</v>
      </c>
      <c r="BB440" s="2288">
        <f>-BB$88-BB$183+BB439+BB438</f>
        <v>0</v>
      </c>
      <c r="BC440" s="2290">
        <f>-BC$88-BC$183+BC439+BC438</f>
        <v>0</v>
      </c>
      <c r="BD440" s="3"/>
      <c r="BE440" s="2246">
        <f>-BE$88-BE$183+BE439+BE438</f>
        <v>0</v>
      </c>
      <c r="BF440" s="2293">
        <f>-BF$88-BF$183+BF439+BF438</f>
        <v>-15.757156971849621</v>
      </c>
      <c r="BG440" s="2293">
        <f>-BG$88-BG$183+BG439+BG438</f>
        <v>-10.257980050907229</v>
      </c>
      <c r="BH440" s="2293">
        <f>-BH$88-BH$183+BH439+BH438</f>
        <v>-16.214435726443568</v>
      </c>
      <c r="BI440" s="2290">
        <f>-BI$88-BI$183+BI439+BI438</f>
        <v>-42.229572749200408</v>
      </c>
      <c r="BJ440" s="3"/>
      <c r="BK440" s="2246">
        <f>-BK$88-BK$183+BK439+BK438</f>
        <v>-3.2364665873230205</v>
      </c>
      <c r="BL440" s="2293">
        <f>-BL$88-BL$183+BL439+BL438</f>
        <v>2.2728718457641079</v>
      </c>
      <c r="BM440" s="2293">
        <f>-BM$88-BM$183+BM439+BM438</f>
        <v>2.5088737856274506</v>
      </c>
      <c r="BN440" s="2293">
        <f>-BN$88-BN$183+BN439+BN438</f>
        <v>2.9279703403938155</v>
      </c>
      <c r="BO440" s="2290">
        <f>-BO$88-BO$183+BO439+BO438</f>
        <v>4.4732493844623633</v>
      </c>
      <c r="BP440" s="3"/>
      <c r="BQ440" s="2246">
        <f>-BQ$88-BQ$183+BQ439+BQ438</f>
        <v>3.6100171514438726</v>
      </c>
      <c r="BR440" s="2293">
        <f>-BR$88-BR$183+BR439+BR438</f>
        <v>4.1817157948756423</v>
      </c>
      <c r="BS440" s="2293">
        <f>-BS$88-BS$183+BS439+BS438</f>
        <v>4.587338917909074</v>
      </c>
      <c r="BT440" s="2293">
        <f>-BT$88-BT$183+BT439+BT438</f>
        <v>4.7619892889862445</v>
      </c>
      <c r="BU440" s="2290">
        <f>-BU$88-BU$183+BU439+BU438</f>
        <v>17.141061153214821</v>
      </c>
      <c r="BV440" s="3"/>
      <c r="BW440" s="2246">
        <f>-BW$88-BW$183+BW439+BW438</f>
        <v>4.8726689896776101</v>
      </c>
      <c r="BX440" s="2293">
        <f>-BX$88-BX$183+BX439+BX438</f>
        <v>4.9472994771148597</v>
      </c>
      <c r="BY440" s="2293">
        <f>-BY$88-BY$183+BY439+BY438</f>
        <v>4.9658736858667121</v>
      </c>
      <c r="BZ440" s="2293">
        <f>-BZ$88-BZ$183+BZ439+BZ438</f>
        <v>4.9311323446046309</v>
      </c>
      <c r="CA440" s="2290">
        <f>-CA$88-CA$183+CA439+CA438</f>
        <v>19.716974497263816</v>
      </c>
      <c r="CB440" s="3"/>
      <c r="CC440" s="2246">
        <f>-CC$88-CC$183+CC439+CC438</f>
        <v>4.8458460212606607</v>
      </c>
      <c r="CD440" s="2293">
        <f>-CD$88-CD$183+CD439+CD438</f>
        <v>4.7438904250489502</v>
      </c>
      <c r="CE440" s="2293">
        <f>-CE$88-CE$183+CE439+CE438</f>
        <v>4.5992199114099304</v>
      </c>
      <c r="CF440" s="2293">
        <f>-CF$88-CF$183+CF439+CF438</f>
        <v>4.4144127723045612</v>
      </c>
      <c r="CG440" s="2290">
        <f>-CG$88-CG$183+CG439+CG438</f>
        <v>18.603369130024092</v>
      </c>
      <c r="CH440" s="3"/>
      <c r="CI440" s="2246">
        <f>-CI$88-CI$183+CI439+CI438</f>
        <v>4.1410922112089672</v>
      </c>
      <c r="CJ440" s="2293">
        <f>-CJ$88-CJ$183+CJ439+CJ438</f>
        <v>3.8256594362177241</v>
      </c>
      <c r="CK440" s="2293">
        <f>-CK$88-CK$183+CK439+CK438</f>
        <v>4.409690952646848</v>
      </c>
      <c r="CL440" s="2293">
        <f>-CL$88-CL$183+CL439+CL438</f>
        <v>5.8697488682182026</v>
      </c>
      <c r="CM440" s="2290">
        <f>-CM$88-CM$183+CM439+CM438</f>
        <v>18.246191468291741</v>
      </c>
      <c r="CN440" s="3"/>
      <c r="CO440" s="2246">
        <f>-CO$88-CO$183+CO439+CO438</f>
        <v>6.2386932695542701</v>
      </c>
      <c r="CP440" s="2293">
        <f>-CP$88-CP$183+CP439+CP438</f>
        <v>6.4036333761963586</v>
      </c>
      <c r="CQ440" s="2293">
        <f>-CQ$88-CQ$183+CQ439+CQ438</f>
        <v>6.9268682395791386</v>
      </c>
      <c r="CR440" s="2293">
        <f>-CR$88-CR$183+CR439+CR438</f>
        <v>7.0581947522350941</v>
      </c>
      <c r="CS440" s="2290">
        <f>-CS$88-CS$183+CS439+CS438</f>
        <v>26.62738963756486</v>
      </c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  <c r="HB440"/>
      <c r="HC440"/>
      <c r="HD440"/>
      <c r="HE440"/>
      <c r="HF440"/>
      <c r="HG440"/>
      <c r="HH440"/>
      <c r="HI440"/>
      <c r="HJ440"/>
      <c r="HK440"/>
      <c r="HL440"/>
      <c r="HM440"/>
      <c r="HN440"/>
      <c r="HO440"/>
      <c r="HP440"/>
      <c r="HQ440"/>
      <c r="HR440"/>
      <c r="HS440"/>
      <c r="HT440"/>
      <c r="HU440"/>
      <c r="HV440"/>
      <c r="HW440"/>
      <c r="HX440"/>
      <c r="HY440"/>
      <c r="HZ440"/>
      <c r="IA440"/>
      <c r="IB440"/>
      <c r="IC440"/>
      <c r="ID440"/>
      <c r="IE440"/>
      <c r="IF440"/>
      <c r="IG440"/>
      <c r="IH440"/>
      <c r="II440"/>
      <c r="IJ440"/>
      <c r="IK440"/>
      <c r="IL440"/>
      <c r="IM440"/>
      <c r="IN440"/>
      <c r="IO440"/>
      <c r="IP440"/>
      <c r="IQ440"/>
      <c r="IR440"/>
      <c r="IS440"/>
      <c r="IT440"/>
      <c r="IU440"/>
      <c r="IV440"/>
      <c r="IW440"/>
      <c r="IX440"/>
      <c r="IY440"/>
      <c r="IZ440"/>
      <c r="JA440"/>
      <c r="JB440"/>
      <c r="JC440"/>
      <c r="JD440"/>
      <c r="JE440"/>
      <c r="JF440"/>
      <c r="JG440"/>
      <c r="JH440"/>
      <c r="JI440"/>
      <c r="JJ440"/>
      <c r="JK440"/>
      <c r="JL440"/>
      <c r="JM440"/>
      <c r="JN440"/>
      <c r="JO440"/>
      <c r="JP440"/>
      <c r="JQ440"/>
      <c r="JR440"/>
      <c r="JS440"/>
      <c r="JT440"/>
    </row>
    <row r="441" spans="1:280" s="6" customFormat="1">
      <c r="A441" s="1930" t="s">
        <v>690</v>
      </c>
      <c r="B441"/>
      <c r="C441" s="1850"/>
      <c r="D441"/>
      <c r="E441"/>
      <c r="F441"/>
      <c r="G441" s="736"/>
      <c r="H441" s="63"/>
      <c r="I441" s="1425"/>
      <c r="M441" s="1841"/>
      <c r="N441" s="63"/>
      <c r="O441" s="1425"/>
      <c r="P441" s="2278"/>
      <c r="Q441" s="2278"/>
      <c r="R441" s="2278"/>
      <c r="S441" s="2279"/>
      <c r="T441" s="63"/>
      <c r="U441" s="1425"/>
      <c r="V441" s="2278"/>
      <c r="W441" s="2278"/>
      <c r="X441" s="2278"/>
      <c r="Y441" s="2279"/>
      <c r="Z441" s="63"/>
      <c r="AA441" s="1425"/>
      <c r="AB441" s="2278"/>
      <c r="AC441" s="2278"/>
      <c r="AD441" s="2278"/>
      <c r="AE441" s="2279"/>
      <c r="AF441" s="63"/>
      <c r="AG441" s="1425"/>
      <c r="AH441" s="2278"/>
      <c r="AI441" s="2278"/>
      <c r="AJ441" s="2278"/>
      <c r="AK441" s="2279"/>
      <c r="AL441" s="63"/>
      <c r="AM441" s="1425"/>
      <c r="AN441" s="2278"/>
      <c r="AO441" s="2278"/>
      <c r="AP441" s="2278"/>
      <c r="AQ441" s="2279"/>
      <c r="AR441" s="63"/>
      <c r="AS441" s="1425"/>
      <c r="AT441" s="2278"/>
      <c r="AU441" s="2278"/>
      <c r="AV441" s="2278"/>
      <c r="AW441" s="2279"/>
      <c r="AX441" s="63"/>
      <c r="AY441" s="1425">
        <f>+(AY437*AY$327*360)/1000000</f>
        <v>3.5686504285714289</v>
      </c>
      <c r="AZ441" s="1423">
        <f>+(AZ437*AZ$327*360)/1000000</f>
        <v>11.352329485714286</v>
      </c>
      <c r="BA441" s="2284">
        <f>+(BA437*BA$327*360)/1000000</f>
        <v>19.412258914285715</v>
      </c>
      <c r="BB441" s="2284">
        <f>+(BB437*BB$327*360)/1000000</f>
        <v>26.299219885714294</v>
      </c>
      <c r="BC441" s="1424">
        <f>+(SUMPRODUCT(AY437:BB437,AY$327:BB$327)*360)/(1000000*4)</f>
        <v>15.158114678571433</v>
      </c>
      <c r="BD441"/>
      <c r="BE441" s="1425">
        <f>+(BE437*BE$327*360)/1000000</f>
        <v>31.653848571428579</v>
      </c>
      <c r="BF441" s="1423">
        <f>+(BF437*BF$327*360)/1000000</f>
        <v>34.658898395831919</v>
      </c>
      <c r="BG441" s="2284">
        <f>+(BG437*BG$327*360)/1000000</f>
        <v>36.111832066548146</v>
      </c>
      <c r="BH441" s="2284">
        <f>+(BH437*BH$327*360)/1000000</f>
        <v>37.541021778058656</v>
      </c>
      <c r="BI441" s="1424">
        <f>+(SUMPRODUCT(BE437:BH437,BE$327:BH$327)*360)/(1000000*4)</f>
        <v>34.991400202966823</v>
      </c>
      <c r="BJ441"/>
      <c r="BK441" s="1425">
        <f>+(BK437*BK$327*360)/1000000</f>
        <v>38.7736648445184</v>
      </c>
      <c r="BL441" s="1423">
        <f>+(BL437*BL$327*360)/1000000</f>
        <v>39.897673100195533</v>
      </c>
      <c r="BM441" s="2284">
        <f>+(BM437*BM$327*360)/1000000</f>
        <v>41.013132715060941</v>
      </c>
      <c r="BN441" s="2284">
        <f>+(BN437*BN$327*360)/1000000</f>
        <v>42.351873378273844</v>
      </c>
      <c r="BO441" s="1424">
        <f>+(SUMPRODUCT(BK437:BN437,BK$327:BN$327)*360)/(1000000*4)</f>
        <v>40.509086009512181</v>
      </c>
      <c r="BP441"/>
      <c r="BQ441" s="1425">
        <f>+(BQ437*BQ$327*360)/1000000</f>
        <v>43.686254366792461</v>
      </c>
      <c r="BR441" s="1423">
        <f>+(BR437*BR$327*360)/1000000</f>
        <v>44.786813831790646</v>
      </c>
      <c r="BS441" s="2284">
        <f>+(BS437*BS$327*360)/1000000</f>
        <v>45.871881886794526</v>
      </c>
      <c r="BT441" s="2284">
        <f>+(BT437*BT$327*360)/1000000</f>
        <v>46.910887857667014</v>
      </c>
      <c r="BU441" s="1424">
        <f>+(SUMPRODUCT(BQ437:BT437,BQ$327:BT$327)*360)/(1000000*4)</f>
        <v>45.31395948576116</v>
      </c>
      <c r="BV441"/>
      <c r="BW441" s="1425">
        <f>+(BW437*BW$327*360)/1000000</f>
        <v>47.885625762020759</v>
      </c>
      <c r="BX441" s="1423">
        <f>+(BX437*BX$327*360)/1000000</f>
        <v>48.798041798180776</v>
      </c>
      <c r="BY441" s="2284">
        <f>+(BY437*BY$327*360)/1000000</f>
        <v>49.65009773405864</v>
      </c>
      <c r="BZ441" s="2284">
        <f>+(BZ437*BZ$327*360)/1000000</f>
        <v>50.441310688852091</v>
      </c>
      <c r="CA441" s="1424">
        <f>+(SUMPRODUCT(BW437:BZ437,BW$327:BZ$327)*360)/(1000000*4)</f>
        <v>49.193768995778072</v>
      </c>
      <c r="CB441"/>
      <c r="CC441" s="1425">
        <f>+(CC437*CC$327*360)/1000000</f>
        <v>51.171193918712476</v>
      </c>
      <c r="CD441" s="1423">
        <f>+(CD437*CD$327*360)/1000000</f>
        <v>51.842332214411734</v>
      </c>
      <c r="CE441" s="2284">
        <f>+(CE437*CE$327*360)/1000000</f>
        <v>52.457331045048015</v>
      </c>
      <c r="CF441" s="2284">
        <f>+(CF437*CF$327*360)/1000000</f>
        <v>53.015741294900813</v>
      </c>
      <c r="CG441" s="1424">
        <f>+(SUMPRODUCT(CC437:CF437,CC$327:CF$327)*360)/(1000000*4)</f>
        <v>52.12164961826825</v>
      </c>
      <c r="CH441"/>
      <c r="CI441" s="1425">
        <f>+(CI437*CI$327*360)/1000000</f>
        <v>53.517110255323871</v>
      </c>
      <c r="CJ441" s="1423">
        <f>+(CJ437*CJ$327*360)/1000000</f>
        <v>53.96098159600173</v>
      </c>
      <c r="CK441" s="2284">
        <f>+(CK437*CK$327*360)/1000000</f>
        <v>54.346895335976434</v>
      </c>
      <c r="CL441" s="2284">
        <f>+(CL437*CL$327*360)/1000000</f>
        <v>54.699822554480185</v>
      </c>
      <c r="CM441" s="1424">
        <f>+(SUMPRODUCT(CI437:CL437,CI$327:CL$327)*360)/(1000000*4)</f>
        <v>54.131202435445552</v>
      </c>
      <c r="CN441"/>
      <c r="CO441" s="1425">
        <f>+(CO437*CO$327*360)/1000000</f>
        <v>55.050253645055506</v>
      </c>
      <c r="CP441" s="1423">
        <f>+(CP437*CP$327*360)/1000000</f>
        <v>55.40348818435541</v>
      </c>
      <c r="CQ441" s="2284">
        <f>+(CQ437*CQ$327*360)/1000000</f>
        <v>55.759548599969712</v>
      </c>
      <c r="CR441" s="2284">
        <f>+(CR437*CR$327*360)/1000000</f>
        <v>56.118457498908938</v>
      </c>
      <c r="CS441" s="1424">
        <f>+(SUMPRODUCT(CO437:CR437,CO$327:CR$327)*360)/(1000000*4)</f>
        <v>55.582936982072383</v>
      </c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  <c r="HB441"/>
      <c r="HC441"/>
      <c r="HD441"/>
      <c r="HE441"/>
      <c r="HF441"/>
      <c r="HG441"/>
      <c r="HH441"/>
      <c r="HI441"/>
      <c r="HJ441"/>
      <c r="HK441"/>
      <c r="HL441"/>
      <c r="HM441"/>
      <c r="HN441"/>
      <c r="HO441"/>
      <c r="HP441"/>
      <c r="HQ441"/>
      <c r="HR441"/>
      <c r="HS441"/>
      <c r="HT441"/>
      <c r="HU441"/>
      <c r="HV441"/>
      <c r="HW441"/>
      <c r="HX441"/>
      <c r="HY441"/>
      <c r="HZ441"/>
      <c r="IA441"/>
      <c r="IB441"/>
      <c r="IC441"/>
      <c r="ID441"/>
      <c r="IE441"/>
      <c r="IF441"/>
      <c r="IG441"/>
      <c r="IH441"/>
      <c r="II441"/>
      <c r="IJ441"/>
      <c r="IK441"/>
      <c r="IL441"/>
      <c r="IM441"/>
      <c r="IN441"/>
      <c r="IO441"/>
      <c r="IP441"/>
      <c r="IQ441"/>
      <c r="IR441"/>
      <c r="IS441"/>
      <c r="IT441"/>
      <c r="IU441"/>
      <c r="IV441"/>
      <c r="IW441"/>
      <c r="IX441"/>
      <c r="IY441"/>
      <c r="IZ441"/>
      <c r="JA441"/>
      <c r="JB441"/>
      <c r="JC441"/>
      <c r="JD441"/>
      <c r="JE441"/>
      <c r="JF441"/>
      <c r="JG441"/>
      <c r="JH441"/>
      <c r="JI441"/>
      <c r="JJ441"/>
      <c r="JK441"/>
      <c r="JL441"/>
      <c r="JM441"/>
      <c r="JN441"/>
      <c r="JO441"/>
      <c r="JP441"/>
      <c r="JQ441"/>
      <c r="JR441"/>
      <c r="JS441"/>
      <c r="JT441"/>
    </row>
    <row r="442" spans="1:280" s="6" customFormat="1">
      <c r="A442" s="1930"/>
      <c r="B442"/>
      <c r="C442" s="1850"/>
      <c r="D442"/>
      <c r="E442"/>
      <c r="F442"/>
      <c r="G442" s="736"/>
      <c r="H442" s="63"/>
      <c r="I442" s="1425"/>
      <c r="M442" s="1841"/>
      <c r="N442" s="63"/>
      <c r="O442" s="1425"/>
      <c r="P442" s="2278"/>
      <c r="Q442" s="2278"/>
      <c r="R442" s="2278"/>
      <c r="S442" s="2279"/>
      <c r="T442" s="63"/>
      <c r="U442" s="1425"/>
      <c r="V442" s="2278"/>
      <c r="W442" s="2278"/>
      <c r="X442" s="2278"/>
      <c r="Y442" s="2279"/>
      <c r="Z442" s="63"/>
      <c r="AA442" s="1425"/>
      <c r="AB442" s="2278"/>
      <c r="AC442" s="2278"/>
      <c r="AD442" s="2278"/>
      <c r="AE442" s="2279"/>
      <c r="AF442" s="63"/>
      <c r="AG442" s="1425"/>
      <c r="AH442" s="2278"/>
      <c r="AI442" s="2278"/>
      <c r="AJ442" s="2278"/>
      <c r="AK442" s="2279"/>
      <c r="AL442" s="63"/>
      <c r="AM442" s="1425"/>
      <c r="AN442" s="2278"/>
      <c r="AO442" s="2278"/>
      <c r="AP442" s="2278"/>
      <c r="AQ442" s="2279"/>
      <c r="AR442" s="63"/>
      <c r="AS442" s="1425"/>
      <c r="AT442" s="2278"/>
      <c r="AU442" s="2278"/>
      <c r="AV442" s="2278"/>
      <c r="AW442" s="2279"/>
      <c r="AX442" s="63"/>
      <c r="AY442" s="1425"/>
      <c r="AZ442" s="1423"/>
      <c r="BA442" s="2284"/>
      <c r="BB442" s="2284"/>
      <c r="BC442" s="1424"/>
      <c r="BD442"/>
      <c r="BE442" s="1425"/>
      <c r="BF442" s="1423"/>
      <c r="BG442" s="2284"/>
      <c r="BH442" s="2284"/>
      <c r="BI442" s="1424"/>
      <c r="BJ442"/>
      <c r="BK442" s="1425"/>
      <c r="BL442" s="1423"/>
      <c r="BM442" s="2284"/>
      <c r="BN442" s="2284"/>
      <c r="BO442" s="1424"/>
      <c r="BP442"/>
      <c r="BQ442" s="1425"/>
      <c r="BR442" s="1423"/>
      <c r="BS442" s="2284"/>
      <c r="BT442" s="2284"/>
      <c r="BU442" s="1424"/>
      <c r="BV442"/>
      <c r="BW442" s="1425"/>
      <c r="BX442" s="1423"/>
      <c r="BY442" s="2284"/>
      <c r="BZ442" s="2284"/>
      <c r="CA442" s="1424"/>
      <c r="CB442"/>
      <c r="CC442" s="1425"/>
      <c r="CD442" s="1423"/>
      <c r="CE442" s="2284"/>
      <c r="CF442" s="2284"/>
      <c r="CG442" s="1424"/>
      <c r="CH442"/>
      <c r="CI442" s="1425"/>
      <c r="CJ442" s="1423"/>
      <c r="CK442" s="2284"/>
      <c r="CL442" s="2284"/>
      <c r="CM442" s="1424"/>
      <c r="CN442"/>
      <c r="CO442" s="1425"/>
      <c r="CP442" s="1423"/>
      <c r="CQ442" s="2284"/>
      <c r="CR442" s="2284"/>
      <c r="CS442" s="1424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  <c r="HB442"/>
      <c r="HC442"/>
      <c r="HD442"/>
      <c r="HE442"/>
      <c r="HF442"/>
      <c r="HG442"/>
      <c r="HH442"/>
      <c r="HI442"/>
      <c r="HJ442"/>
      <c r="HK442"/>
      <c r="HL442"/>
      <c r="HM442"/>
      <c r="HN442"/>
      <c r="HO442"/>
      <c r="HP442"/>
      <c r="HQ442"/>
      <c r="HR442"/>
      <c r="HS442"/>
      <c r="HT442"/>
      <c r="HU442"/>
      <c r="HV442"/>
      <c r="HW442"/>
      <c r="HX442"/>
      <c r="HY442"/>
      <c r="HZ442"/>
      <c r="IA442"/>
      <c r="IB442"/>
      <c r="IC442"/>
      <c r="ID442"/>
      <c r="IE442"/>
      <c r="IF442"/>
      <c r="IG442"/>
      <c r="IH442"/>
      <c r="II442"/>
      <c r="IJ442"/>
      <c r="IK442"/>
      <c r="IL442"/>
      <c r="IM442"/>
      <c r="IN442"/>
      <c r="IO442"/>
      <c r="IP442"/>
      <c r="IQ442"/>
      <c r="IR442"/>
      <c r="IS442"/>
      <c r="IT442"/>
      <c r="IU442"/>
      <c r="IV442"/>
      <c r="IW442"/>
      <c r="IX442"/>
      <c r="IY442"/>
      <c r="IZ442"/>
      <c r="JA442"/>
      <c r="JB442"/>
      <c r="JC442"/>
      <c r="JD442"/>
      <c r="JE442"/>
      <c r="JF442"/>
      <c r="JG442"/>
      <c r="JH442"/>
      <c r="JI442"/>
      <c r="JJ442"/>
      <c r="JK442"/>
      <c r="JL442"/>
      <c r="JM442"/>
      <c r="JN442"/>
      <c r="JO442"/>
      <c r="JP442"/>
      <c r="JQ442"/>
      <c r="JR442"/>
      <c r="JS442"/>
      <c r="JT442"/>
    </row>
    <row r="443" spans="1:280" s="6" customFormat="1">
      <c r="A443" s="2295" t="s">
        <v>695</v>
      </c>
      <c r="B443"/>
      <c r="C443" s="1850"/>
      <c r="D443"/>
      <c r="E443"/>
      <c r="F443"/>
      <c r="G443" s="736"/>
      <c r="H443" s="63"/>
      <c r="I443" s="1425"/>
      <c r="M443" s="1841"/>
      <c r="N443" s="63"/>
      <c r="O443" s="1425"/>
      <c r="P443" s="2278"/>
      <c r="Q443" s="2278"/>
      <c r="R443" s="2278"/>
      <c r="S443" s="2279"/>
      <c r="T443" s="63"/>
      <c r="U443" s="1425"/>
      <c r="V443" s="2278"/>
      <c r="W443" s="2278"/>
      <c r="X443" s="2278"/>
      <c r="Y443" s="2279"/>
      <c r="Z443" s="63"/>
      <c r="AA443" s="1425"/>
      <c r="AB443" s="2278"/>
      <c r="AC443" s="2278"/>
      <c r="AD443" s="2278"/>
      <c r="AE443" s="2279"/>
      <c r="AF443" s="63"/>
      <c r="AG443" s="1425"/>
      <c r="AH443" s="2278"/>
      <c r="AI443" s="2278"/>
      <c r="AJ443" s="2278"/>
      <c r="AK443" s="2279"/>
      <c r="AL443" s="63"/>
      <c r="AM443" s="1425"/>
      <c r="AN443" s="2278"/>
      <c r="AO443" s="2278"/>
      <c r="AP443" s="2278"/>
      <c r="AQ443" s="2279"/>
      <c r="AR443" s="63"/>
      <c r="AS443" s="1425"/>
      <c r="AT443" s="2278"/>
      <c r="AU443" s="2278"/>
      <c r="AV443" s="2278"/>
      <c r="AW443" s="2279"/>
      <c r="AX443" s="63"/>
      <c r="AY443" s="1425"/>
      <c r="AZ443" s="1423"/>
      <c r="BA443" s="2284"/>
      <c r="BB443" s="2284"/>
      <c r="BC443" s="1424"/>
      <c r="BD443"/>
      <c r="BE443" s="1425"/>
      <c r="BF443" s="1423"/>
      <c r="BG443" s="2284"/>
      <c r="BH443" s="2284"/>
      <c r="BI443" s="1424"/>
      <c r="BJ443"/>
      <c r="BK443" s="1425"/>
      <c r="BL443" s="1423"/>
      <c r="BM443" s="2284"/>
      <c r="BN443" s="2284"/>
      <c r="BO443" s="1424"/>
      <c r="BP443"/>
      <c r="BQ443" s="1425"/>
      <c r="BR443" s="1423"/>
      <c r="BS443" s="2284"/>
      <c r="BT443" s="2284"/>
      <c r="BU443" s="1424"/>
      <c r="BV443"/>
      <c r="BW443" s="1425"/>
      <c r="BX443" s="1423"/>
      <c r="BY443" s="2284"/>
      <c r="BZ443" s="2284"/>
      <c r="CA443" s="1424"/>
      <c r="CB443"/>
      <c r="CC443" s="1425"/>
      <c r="CD443" s="1423"/>
      <c r="CE443" s="2284"/>
      <c r="CF443" s="2284"/>
      <c r="CG443" s="1424"/>
      <c r="CH443"/>
      <c r="CI443" s="1425"/>
      <c r="CJ443" s="1423"/>
      <c r="CK443" s="2284"/>
      <c r="CL443" s="2284"/>
      <c r="CM443" s="1424"/>
      <c r="CN443"/>
      <c r="CO443" s="1425"/>
      <c r="CP443" s="1423"/>
      <c r="CQ443" s="2284"/>
      <c r="CR443" s="2284"/>
      <c r="CS443" s="1424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  <c r="HB443"/>
      <c r="HC443"/>
      <c r="HD443"/>
      <c r="HE443"/>
      <c r="HF443"/>
      <c r="HG443"/>
      <c r="HH443"/>
      <c r="HI443"/>
      <c r="HJ443"/>
      <c r="HK443"/>
      <c r="HL443"/>
      <c r="HM443"/>
      <c r="HN443"/>
      <c r="HO443"/>
      <c r="HP443"/>
      <c r="HQ443"/>
      <c r="HR443"/>
      <c r="HS443"/>
      <c r="HT443"/>
      <c r="HU443"/>
      <c r="HV443"/>
      <c r="HW443"/>
      <c r="HX443"/>
      <c r="HY443"/>
      <c r="HZ443"/>
      <c r="IA443"/>
      <c r="IB443"/>
      <c r="IC443"/>
      <c r="ID443"/>
      <c r="IE443"/>
      <c r="IF443"/>
      <c r="IG443"/>
      <c r="IH443"/>
      <c r="II443"/>
      <c r="IJ443"/>
      <c r="IK443"/>
      <c r="IL443"/>
      <c r="IM443"/>
      <c r="IN443"/>
      <c r="IO443"/>
      <c r="IP443"/>
      <c r="IQ443"/>
      <c r="IR443"/>
      <c r="IS443"/>
      <c r="IT443"/>
      <c r="IU443"/>
      <c r="IV443"/>
      <c r="IW443"/>
      <c r="IX443"/>
      <c r="IY443"/>
      <c r="IZ443"/>
      <c r="JA443"/>
      <c r="JB443"/>
      <c r="JC443"/>
      <c r="JD443"/>
      <c r="JE443"/>
      <c r="JF443"/>
      <c r="JG443"/>
      <c r="JH443"/>
      <c r="JI443"/>
      <c r="JJ443"/>
      <c r="JK443"/>
      <c r="JL443"/>
      <c r="JM443"/>
      <c r="JN443"/>
      <c r="JO443"/>
      <c r="JP443"/>
      <c r="JQ443"/>
      <c r="JR443"/>
      <c r="JS443"/>
      <c r="JT443"/>
    </row>
    <row r="444" spans="1:280" s="6" customFormat="1">
      <c r="A444" s="1930" t="str">
        <f t="shared" ref="A444:A453" si="1104">+A387</f>
        <v>HiSeq 4000</v>
      </c>
      <c r="B444"/>
      <c r="C444" s="1850"/>
      <c r="D444"/>
      <c r="E444"/>
      <c r="F444"/>
      <c r="G444" s="736"/>
      <c r="H444" s="63"/>
      <c r="I444" s="1425"/>
      <c r="M444" s="1841"/>
      <c r="N444" s="63"/>
      <c r="O444" s="1425"/>
      <c r="P444" s="2278"/>
      <c r="Q444" s="2278"/>
      <c r="R444" s="2278"/>
      <c r="S444" s="2279"/>
      <c r="T444" s="63"/>
      <c r="U444" s="1425"/>
      <c r="V444" s="2278"/>
      <c r="W444" s="2278"/>
      <c r="X444" s="2278"/>
      <c r="Y444" s="2279"/>
      <c r="Z444" s="63"/>
      <c r="AA444" s="1425"/>
      <c r="AB444" s="2278"/>
      <c r="AC444" s="2278"/>
      <c r="AD444" s="2278"/>
      <c r="AE444" s="2279"/>
      <c r="AF444" s="63"/>
      <c r="AG444" s="1425">
        <f>+AG$333</f>
        <v>1.0088711999999995</v>
      </c>
      <c r="AH444" s="1423">
        <f>+AH$333</f>
        <v>0.92508479999999949</v>
      </c>
      <c r="AI444" s="2284">
        <f>+AI$333</f>
        <v>0.87388199999999938</v>
      </c>
      <c r="AJ444" s="2284">
        <f>+AJ$333</f>
        <v>0.85991759999999939</v>
      </c>
      <c r="AK444" s="1424">
        <f>+AK$333</f>
        <v>0.91693889999999945</v>
      </c>
      <c r="AL444" s="63"/>
      <c r="AM444" s="1425">
        <f>+AM$333</f>
        <v>0.85991759999999939</v>
      </c>
      <c r="AN444" s="1423">
        <f>+AN$333</f>
        <v>0.85991759999999939</v>
      </c>
      <c r="AO444" s="2284">
        <f>+AO$333</f>
        <v>0.85991759999999939</v>
      </c>
      <c r="AP444" s="2284">
        <f>+AP$333</f>
        <v>0.85991759999999939</v>
      </c>
      <c r="AQ444" s="1424">
        <f>+AQ$333</f>
        <v>0.8599175999999995</v>
      </c>
      <c r="AR444" s="63"/>
      <c r="AS444" s="1425">
        <f>+AS$333</f>
        <v>0.85991759999999939</v>
      </c>
      <c r="AT444" s="1423">
        <f>+AT$333</f>
        <v>0.85991759999999939</v>
      </c>
      <c r="AU444" s="2284">
        <f>+AU$333</f>
        <v>0.85991759999999939</v>
      </c>
      <c r="AV444" s="2284">
        <f>+AV$333</f>
        <v>0.85991759999999939</v>
      </c>
      <c r="AW444" s="1424">
        <f>+AW$333</f>
        <v>0.8599175999999995</v>
      </c>
      <c r="AX444" s="63"/>
      <c r="AY444" s="1425">
        <f>+AY$333</f>
        <v>0.85991759999999939</v>
      </c>
      <c r="AZ444" s="1423">
        <f>+AZ$333</f>
        <v>0.85991759999999939</v>
      </c>
      <c r="BA444" s="2284">
        <f>+BA$333</f>
        <v>0.85991759999999939</v>
      </c>
      <c r="BB444" s="2284">
        <f>+BB$333</f>
        <v>0.85991759999999939</v>
      </c>
      <c r="BC444" s="1424">
        <f>+BC$333</f>
        <v>0.8599175999999995</v>
      </c>
      <c r="BD444"/>
      <c r="BE444" s="1425">
        <f>+BE$333</f>
        <v>0.85991759999999939</v>
      </c>
      <c r="BF444" s="1423">
        <f>+BF$333</f>
        <v>0.85991759999999939</v>
      </c>
      <c r="BG444" s="2284">
        <f>+BG$333</f>
        <v>0.85991759999999939</v>
      </c>
      <c r="BH444" s="2284">
        <f>+BH$333</f>
        <v>0.85991759999999939</v>
      </c>
      <c r="BI444" s="1424">
        <f>+BI$333</f>
        <v>0.8599175999999995</v>
      </c>
      <c r="BJ444"/>
      <c r="BK444" s="1425">
        <f>+BK$333</f>
        <v>0.85991759999999939</v>
      </c>
      <c r="BL444" s="1423">
        <f>+BL$333</f>
        <v>0.85991759999999939</v>
      </c>
      <c r="BM444" s="2284">
        <f>+BM$333</f>
        <v>0.85991759999999939</v>
      </c>
      <c r="BN444" s="2284">
        <f>+BN$333</f>
        <v>0.85991759999999939</v>
      </c>
      <c r="BO444" s="1424">
        <f>+BO$333</f>
        <v>0.8599175999999995</v>
      </c>
      <c r="BP444"/>
      <c r="BQ444" s="1425">
        <f>+BQ$333</f>
        <v>0.85991759999999939</v>
      </c>
      <c r="BR444" s="1423">
        <f>+BR$333</f>
        <v>0.85991759999999939</v>
      </c>
      <c r="BS444" s="2284">
        <f>+BS$333</f>
        <v>0.85991759999999939</v>
      </c>
      <c r="BT444" s="2284">
        <f>+BT$333</f>
        <v>0.85991759999999939</v>
      </c>
      <c r="BU444" s="1424">
        <f>+BU$333</f>
        <v>0.8599175999999995</v>
      </c>
      <c r="BV444"/>
      <c r="BW444" s="1425">
        <f>+BW$333</f>
        <v>0.85991759999999939</v>
      </c>
      <c r="BX444" s="1423">
        <f>+BX$333</f>
        <v>0.85991759999999939</v>
      </c>
      <c r="BY444" s="2284">
        <f>+BY$333</f>
        <v>0.85991759999999939</v>
      </c>
      <c r="BZ444" s="2284">
        <f>+BZ$333</f>
        <v>0.85991759999999939</v>
      </c>
      <c r="CA444" s="1424">
        <f>+CA$333</f>
        <v>0.8599175999999995</v>
      </c>
      <c r="CB444"/>
      <c r="CC444" s="1425">
        <f>+CC$333</f>
        <v>0.85991759999999939</v>
      </c>
      <c r="CD444" s="1423">
        <f>+CD$333</f>
        <v>0.85991759999999939</v>
      </c>
      <c r="CE444" s="2284">
        <f>+CE$333</f>
        <v>0.85991759999999939</v>
      </c>
      <c r="CF444" s="2284">
        <f>+CF$333</f>
        <v>0.85991759999999939</v>
      </c>
      <c r="CG444" s="1424">
        <f>+CG$333</f>
        <v>0.8599175999999995</v>
      </c>
      <c r="CH444"/>
      <c r="CI444" s="1425">
        <f>+CI$333</f>
        <v>0.85991759999999939</v>
      </c>
      <c r="CJ444" s="1423">
        <f>+CJ$333</f>
        <v>0.85991759999999939</v>
      </c>
      <c r="CK444" s="2284">
        <f>+CK$333</f>
        <v>0.85991759999999939</v>
      </c>
      <c r="CL444" s="2284">
        <f>+CL$333</f>
        <v>0.85991759999999939</v>
      </c>
      <c r="CM444" s="1424">
        <f>+CM$333</f>
        <v>0.8599175999999995</v>
      </c>
      <c r="CN444"/>
      <c r="CO444" s="1425">
        <f>+CO$333</f>
        <v>0.85991759999999939</v>
      </c>
      <c r="CP444" s="1423">
        <f>+CP$333</f>
        <v>0.85991759999999939</v>
      </c>
      <c r="CQ444" s="2284">
        <f>+CQ$333</f>
        <v>0.85991759999999939</v>
      </c>
      <c r="CR444" s="2284">
        <f>+CR$333</f>
        <v>0.85991759999999939</v>
      </c>
      <c r="CS444" s="1424">
        <f>+CS$333</f>
        <v>0.8599175999999995</v>
      </c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  <c r="HF444"/>
      <c r="HG444"/>
      <c r="HH444"/>
      <c r="HI444"/>
      <c r="HJ444"/>
      <c r="HK444"/>
      <c r="HL444"/>
      <c r="HM444"/>
      <c r="HN444"/>
      <c r="HO444"/>
      <c r="HP444"/>
      <c r="HQ444"/>
      <c r="HR444"/>
      <c r="HS444"/>
      <c r="HT444"/>
      <c r="HU444"/>
      <c r="HV444"/>
      <c r="HW444"/>
      <c r="HX444"/>
      <c r="HY444"/>
      <c r="HZ444"/>
      <c r="IA444"/>
      <c r="IB444"/>
      <c r="IC444"/>
      <c r="ID444"/>
      <c r="IE444"/>
      <c r="IF444"/>
      <c r="IG444"/>
      <c r="IH444"/>
      <c r="II444"/>
      <c r="IJ444"/>
      <c r="IK444"/>
      <c r="IL444"/>
      <c r="IM444"/>
      <c r="IN444"/>
      <c r="IO444"/>
      <c r="IP444"/>
      <c r="IQ444"/>
      <c r="IR444"/>
      <c r="IS444"/>
      <c r="IT444"/>
      <c r="IU444"/>
      <c r="IV444"/>
      <c r="IW444"/>
      <c r="IX444"/>
      <c r="IY444"/>
      <c r="IZ444"/>
      <c r="JA444"/>
      <c r="JB444"/>
      <c r="JC444"/>
      <c r="JD444"/>
      <c r="JE444"/>
      <c r="JF444"/>
      <c r="JG444"/>
      <c r="JH444"/>
      <c r="JI444"/>
      <c r="JJ444"/>
      <c r="JK444"/>
      <c r="JL444"/>
      <c r="JM444"/>
      <c r="JN444"/>
      <c r="JO444"/>
      <c r="JP444"/>
      <c r="JQ444"/>
      <c r="JR444"/>
      <c r="JS444"/>
      <c r="JT444"/>
    </row>
    <row r="445" spans="1:280" s="6" customFormat="1">
      <c r="A445" s="1930" t="str">
        <f t="shared" si="1104"/>
        <v>XFive</v>
      </c>
      <c r="B445"/>
      <c r="C445" s="1850"/>
      <c r="D445"/>
      <c r="E445"/>
      <c r="F445"/>
      <c r="G445" s="736"/>
      <c r="H445" s="63"/>
      <c r="I445" s="1425"/>
      <c r="M445" s="1841"/>
      <c r="N445" s="63"/>
      <c r="O445" s="1425"/>
      <c r="P445" s="2278"/>
      <c r="Q445" s="2278"/>
      <c r="R445" s="2278"/>
      <c r="S445" s="2279"/>
      <c r="T445" s="63"/>
      <c r="U445" s="1425"/>
      <c r="V445" s="2278"/>
      <c r="W445" s="2278"/>
      <c r="X445" s="2278"/>
      <c r="Y445" s="2279"/>
      <c r="Z445" s="63"/>
      <c r="AA445" s="1425"/>
      <c r="AB445" s="2278"/>
      <c r="AC445" s="2278"/>
      <c r="AD445" s="2278"/>
      <c r="AE445" s="2279"/>
      <c r="AF445" s="63"/>
      <c r="AG445" s="1425">
        <f>+AG$334</f>
        <v>0</v>
      </c>
      <c r="AH445" s="1423">
        <f>+AH$334</f>
        <v>0</v>
      </c>
      <c r="AI445" s="2284">
        <f>+AI$334</f>
        <v>0</v>
      </c>
      <c r="AJ445" s="2284">
        <f>+AJ$334</f>
        <v>0</v>
      </c>
      <c r="AK445" s="1424">
        <f>+AK$334</f>
        <v>0</v>
      </c>
      <c r="AL445" s="63"/>
      <c r="AM445" s="1425">
        <f>+AM$334</f>
        <v>0</v>
      </c>
      <c r="AN445" s="1423">
        <f>+AN$334</f>
        <v>0</v>
      </c>
      <c r="AO445" s="2284">
        <f>+AO$334</f>
        <v>0</v>
      </c>
      <c r="AP445" s="2284">
        <f>+AP$334</f>
        <v>0</v>
      </c>
      <c r="AQ445" s="1424">
        <f>+AQ$334</f>
        <v>0</v>
      </c>
      <c r="AR445" s="63"/>
      <c r="AS445" s="1425">
        <f>+AS$334</f>
        <v>0</v>
      </c>
      <c r="AT445" s="1423">
        <f>+AT$334</f>
        <v>0</v>
      </c>
      <c r="AU445" s="2284">
        <f>+AU$334</f>
        <v>0</v>
      </c>
      <c r="AV445" s="2284">
        <f>+AV$334</f>
        <v>0</v>
      </c>
      <c r="AW445" s="1424">
        <f>+AW$334</f>
        <v>0</v>
      </c>
      <c r="AX445" s="63"/>
      <c r="AY445" s="1425">
        <f>+AY$334</f>
        <v>0</v>
      </c>
      <c r="AZ445" s="1423">
        <f>+AZ$334</f>
        <v>0</v>
      </c>
      <c r="BA445" s="2284">
        <f>+BA$334</f>
        <v>0</v>
      </c>
      <c r="BB445" s="2284">
        <f>+BB$334</f>
        <v>0</v>
      </c>
      <c r="BC445" s="1424">
        <f>+BC$334</f>
        <v>0</v>
      </c>
      <c r="BD445"/>
      <c r="BE445" s="1425">
        <f>+BE$334</f>
        <v>0.11752363636363639</v>
      </c>
      <c r="BF445" s="1423">
        <f>+BF$334</f>
        <v>0.15949636363636369</v>
      </c>
      <c r="BG445" s="2284">
        <f>+BG$334</f>
        <v>0.25743272727272731</v>
      </c>
      <c r="BH445" s="2284">
        <f>+BH$334</f>
        <v>0.39174545454545462</v>
      </c>
      <c r="BI445" s="1424">
        <f>+BI$334</f>
        <v>0.23154954545454545</v>
      </c>
      <c r="BJ445"/>
      <c r="BK445" s="1425">
        <f>+BK$334</f>
        <v>0.52605818181818187</v>
      </c>
      <c r="BL445" s="1423">
        <f>+BL$334</f>
        <v>0.63798545454545474</v>
      </c>
      <c r="BM445" s="2284">
        <f>+BM$334</f>
        <v>0.7499127272727274</v>
      </c>
      <c r="BN445" s="2284">
        <f>+BN$334</f>
        <v>0.86184000000000016</v>
      </c>
      <c r="BO445" s="1424">
        <f>+BO$334</f>
        <v>0.69394909090909107</v>
      </c>
      <c r="BP445"/>
      <c r="BQ445" s="1425">
        <f>+BQ$334</f>
        <v>0.97376727272727293</v>
      </c>
      <c r="BR445" s="1423">
        <f>+BR$334</f>
        <v>1.0912909090909093</v>
      </c>
      <c r="BS445" s="2284">
        <f>+BS$334</f>
        <v>1.2144109090909094</v>
      </c>
      <c r="BT445" s="2284">
        <f>+BT$334</f>
        <v>1.3375309090909093</v>
      </c>
      <c r="BU445" s="1424">
        <f>+BU$334</f>
        <v>1.15425</v>
      </c>
      <c r="BV445"/>
      <c r="BW445" s="1425">
        <f>+BW$334</f>
        <v>1.4606509090909094</v>
      </c>
      <c r="BX445" s="1423">
        <f>+BX$334</f>
        <v>1.5837709090909093</v>
      </c>
      <c r="BY445" s="2284">
        <f>+BY$334</f>
        <v>1.7068909090909095</v>
      </c>
      <c r="BZ445" s="2284">
        <f>+BZ$334</f>
        <v>1.8300109090909094</v>
      </c>
      <c r="CA445" s="1424">
        <f>+CA$334</f>
        <v>1.6453309090909094</v>
      </c>
      <c r="CB445"/>
      <c r="CC445" s="1425">
        <f>+CC$334</f>
        <v>1.9531309090909095</v>
      </c>
      <c r="CD445" s="1423">
        <f>+CD$334</f>
        <v>2.0762509090909096</v>
      </c>
      <c r="CE445" s="2284">
        <f>+CE$334</f>
        <v>2.1993709090909097</v>
      </c>
      <c r="CF445" s="2284">
        <f>+CF$334</f>
        <v>2.3224909090909098</v>
      </c>
      <c r="CG445" s="1424">
        <f>+CG$334</f>
        <v>2.1378109090909092</v>
      </c>
      <c r="CH445"/>
      <c r="CI445" s="1425">
        <f>+CI$334</f>
        <v>2.4456109090909095</v>
      </c>
      <c r="CJ445" s="1423">
        <f>+CJ$334</f>
        <v>2.5687309090909096</v>
      </c>
      <c r="CK445" s="2284">
        <f>+CK$334</f>
        <v>2.6918509090909097</v>
      </c>
      <c r="CL445" s="2284">
        <f>+CL$334</f>
        <v>2.8149709090909099</v>
      </c>
      <c r="CM445" s="1424">
        <f>+CM$334</f>
        <v>2.6302909090909092</v>
      </c>
      <c r="CN445"/>
      <c r="CO445" s="1425">
        <f>+CO$334</f>
        <v>2.9380909090909095</v>
      </c>
      <c r="CP445" s="1423">
        <f>+CP$334</f>
        <v>3.0612109090909096</v>
      </c>
      <c r="CQ445" s="2284">
        <f>+CQ$334</f>
        <v>3.1843309090909098</v>
      </c>
      <c r="CR445" s="2284">
        <f>+CR$334</f>
        <v>3.3074509090909094</v>
      </c>
      <c r="CS445" s="1424">
        <f>+CS$334</f>
        <v>3.1227709090909097</v>
      </c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  <c r="HF445"/>
      <c r="HG445"/>
      <c r="HH445"/>
      <c r="HI445"/>
      <c r="HJ445"/>
      <c r="HK445"/>
      <c r="HL445"/>
      <c r="HM445"/>
      <c r="HN445"/>
      <c r="HO445"/>
      <c r="HP445"/>
      <c r="HQ445"/>
      <c r="HR445"/>
      <c r="HS445"/>
      <c r="HT445"/>
      <c r="HU445"/>
      <c r="HV445"/>
      <c r="HW445"/>
      <c r="HX445"/>
      <c r="HY445"/>
      <c r="HZ445"/>
      <c r="IA445"/>
      <c r="IB445"/>
      <c r="IC445"/>
      <c r="ID445"/>
      <c r="IE445"/>
      <c r="IF445"/>
      <c r="IG445"/>
      <c r="IH445"/>
      <c r="II445"/>
      <c r="IJ445"/>
      <c r="IK445"/>
      <c r="IL445"/>
      <c r="IM445"/>
      <c r="IN445"/>
      <c r="IO445"/>
      <c r="IP445"/>
      <c r="IQ445"/>
      <c r="IR445"/>
      <c r="IS445"/>
      <c r="IT445"/>
      <c r="IU445"/>
      <c r="IV445"/>
      <c r="IW445"/>
      <c r="IX445"/>
      <c r="IY445"/>
      <c r="IZ445"/>
      <c r="JA445"/>
      <c r="JB445"/>
      <c r="JC445"/>
      <c r="JD445"/>
      <c r="JE445"/>
      <c r="JF445"/>
      <c r="JG445"/>
      <c r="JH445"/>
      <c r="JI445"/>
      <c r="JJ445"/>
      <c r="JK445"/>
      <c r="JL445"/>
      <c r="JM445"/>
      <c r="JN445"/>
      <c r="JO445"/>
      <c r="JP445"/>
      <c r="JQ445"/>
      <c r="JR445"/>
      <c r="JS445"/>
      <c r="JT445"/>
    </row>
    <row r="446" spans="1:280" s="6" customFormat="1">
      <c r="A446" s="1930" t="str">
        <f t="shared" si="1104"/>
        <v>XTen</v>
      </c>
      <c r="B446"/>
      <c r="C446" s="1850"/>
      <c r="D446"/>
      <c r="E446"/>
      <c r="F446"/>
      <c r="G446" s="736"/>
      <c r="H446" s="63"/>
      <c r="I446" s="1425"/>
      <c r="M446" s="1841"/>
      <c r="N446" s="63"/>
      <c r="O446" s="1425"/>
      <c r="P446" s="2278"/>
      <c r="Q446" s="2278"/>
      <c r="R446" s="2278"/>
      <c r="S446" s="2279"/>
      <c r="T446" s="63"/>
      <c r="U446" s="1425"/>
      <c r="V446" s="2278"/>
      <c r="W446" s="2278"/>
      <c r="X446" s="2278"/>
      <c r="Y446" s="2279"/>
      <c r="Z446" s="63"/>
      <c r="AA446" s="1425"/>
      <c r="AB446" s="2278"/>
      <c r="AC446" s="2278"/>
      <c r="AD446" s="2278"/>
      <c r="AE446" s="2279"/>
      <c r="AF446" s="63"/>
      <c r="AG446" s="1425">
        <f>+AG$335</f>
        <v>0.75222</v>
      </c>
      <c r="AH446" s="1423">
        <f>+AH$335</f>
        <v>1.3444199999999999</v>
      </c>
      <c r="AI446" s="2284">
        <f>+AI$335</f>
        <v>1.9530000000000001</v>
      </c>
      <c r="AJ446" s="2284">
        <f>+AJ$335</f>
        <v>2.6019000000000001</v>
      </c>
      <c r="AK446" s="1424">
        <f>+AK$335</f>
        <v>1.6628849999999999</v>
      </c>
      <c r="AL446" s="63"/>
      <c r="AM446" s="1425">
        <f>+AM$335</f>
        <v>3.2507999999999999</v>
      </c>
      <c r="AN446" s="1423">
        <f>+AN$335</f>
        <v>3.9060000000000001</v>
      </c>
      <c r="AO446" s="2284">
        <f>+AO$335</f>
        <v>4.5612000000000004</v>
      </c>
      <c r="AP446" s="2284">
        <f>+AP$335</f>
        <v>5.2416</v>
      </c>
      <c r="AQ446" s="1424">
        <f>+AQ$335</f>
        <v>4.2398999999999996</v>
      </c>
      <c r="AR446" s="63"/>
      <c r="AS446" s="1425">
        <f>+AS$335</f>
        <v>5.9724000000000004</v>
      </c>
      <c r="AT446" s="1423">
        <f>+AT$335</f>
        <v>6.7031999999999998</v>
      </c>
      <c r="AU446" s="2284">
        <f>+AU$335</f>
        <v>7.3898999999999999</v>
      </c>
      <c r="AV446" s="2284">
        <f>+AV$335</f>
        <v>8.1081000000000003</v>
      </c>
      <c r="AW446" s="1424">
        <f>+AW$335</f>
        <v>7.0434000000000001</v>
      </c>
      <c r="AX446" s="63"/>
      <c r="AY446" s="1425">
        <f>+AY$335</f>
        <v>8.8452000000000002</v>
      </c>
      <c r="AZ446" s="1423">
        <f>+AZ$335</f>
        <v>9.5129999999999999</v>
      </c>
      <c r="BA446" s="2284">
        <f>+BA$335</f>
        <v>10.092599999999999</v>
      </c>
      <c r="BB446" s="2284">
        <f>+BB$335</f>
        <v>10.75032</v>
      </c>
      <c r="BC446" s="1424">
        <f>+BC$335</f>
        <v>9.8002800000000008</v>
      </c>
      <c r="BD446"/>
      <c r="BE446" s="1425">
        <f>+BE$335</f>
        <v>11.45844</v>
      </c>
      <c r="BF446" s="1423">
        <f>+BF$335</f>
        <v>12.08844</v>
      </c>
      <c r="BG446" s="2284">
        <f>+BG$335</f>
        <v>12.718439999999999</v>
      </c>
      <c r="BH446" s="2284">
        <f>+BH$335</f>
        <v>13.32324</v>
      </c>
      <c r="BI446" s="1424">
        <f>+BI$335</f>
        <v>12.39714</v>
      </c>
      <c r="BJ446"/>
      <c r="BK446" s="1425">
        <f>+BK$335</f>
        <v>13.928039999999999</v>
      </c>
      <c r="BL446" s="1423">
        <f>+BL$335</f>
        <v>14.48874</v>
      </c>
      <c r="BM446" s="2284">
        <f>+BM$335</f>
        <v>14.98014</v>
      </c>
      <c r="BN446" s="2284">
        <f>+BN$335</f>
        <v>15.45894</v>
      </c>
      <c r="BO446" s="1424">
        <f>+BO$335</f>
        <v>14.713965</v>
      </c>
      <c r="BP446"/>
      <c r="BQ446" s="1425">
        <f>+BQ$335</f>
        <v>15.93144</v>
      </c>
      <c r="BR446" s="1423">
        <f>+BR$335</f>
        <v>16.422840000000001</v>
      </c>
      <c r="BS446" s="2284">
        <f>+BS$335</f>
        <v>16.926839999999999</v>
      </c>
      <c r="BT446" s="2284">
        <f>+BT$335</f>
        <v>17.43084</v>
      </c>
      <c r="BU446" s="1424">
        <f>+BU$335</f>
        <v>16.677990000000001</v>
      </c>
      <c r="BV446"/>
      <c r="BW446" s="1425">
        <f>+BW$335</f>
        <v>17.934840000000001</v>
      </c>
      <c r="BX446" s="1423">
        <f>+BX$335</f>
        <v>18.438839999999999</v>
      </c>
      <c r="BY446" s="2284">
        <f>+BY$335</f>
        <v>18.94284</v>
      </c>
      <c r="BZ446" s="2284">
        <f>+BZ$335</f>
        <v>19.446840000000002</v>
      </c>
      <c r="CA446" s="1424">
        <f>+CA$335</f>
        <v>18.690840000000001</v>
      </c>
      <c r="CB446"/>
      <c r="CC446" s="1425">
        <f>+CC$335</f>
        <v>19.950839999999999</v>
      </c>
      <c r="CD446" s="1423">
        <f>+CD$335</f>
        <v>20.454840000000001</v>
      </c>
      <c r="CE446" s="2284">
        <f>+CE$335</f>
        <v>20.958839999999999</v>
      </c>
      <c r="CF446" s="2284">
        <f>+CF$335</f>
        <v>21.46284</v>
      </c>
      <c r="CG446" s="1424">
        <f>+CG$335</f>
        <v>20.70684</v>
      </c>
      <c r="CH446"/>
      <c r="CI446" s="1425">
        <f>+CI$335</f>
        <v>21.966840000000001</v>
      </c>
      <c r="CJ446" s="1423">
        <f>+CJ$335</f>
        <v>22.470839999999999</v>
      </c>
      <c r="CK446" s="2284">
        <f>+CK$335</f>
        <v>22.97484</v>
      </c>
      <c r="CL446" s="2284">
        <f>+CL$335</f>
        <v>23.478840000000002</v>
      </c>
      <c r="CM446" s="1424">
        <f>+CM$335</f>
        <v>22.722840000000001</v>
      </c>
      <c r="CN446"/>
      <c r="CO446" s="1425">
        <f>+CO$335</f>
        <v>23.982839999999999</v>
      </c>
      <c r="CP446" s="1423">
        <f>+CP$335</f>
        <v>24.486840000000001</v>
      </c>
      <c r="CQ446" s="2284">
        <f>+CQ$335</f>
        <v>24.990839999999999</v>
      </c>
      <c r="CR446" s="2284">
        <f>+CR$335</f>
        <v>25.49484</v>
      </c>
      <c r="CS446" s="1424">
        <f>+CS$335</f>
        <v>24.73884</v>
      </c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  <c r="HF446"/>
      <c r="HG446"/>
      <c r="HH446"/>
      <c r="HI446"/>
      <c r="HJ446"/>
      <c r="HK446"/>
      <c r="HL446"/>
      <c r="HM446"/>
      <c r="HN446"/>
      <c r="HO446"/>
      <c r="HP446"/>
      <c r="HQ446"/>
      <c r="HR446"/>
      <c r="HS446"/>
      <c r="HT446"/>
      <c r="HU446"/>
      <c r="HV446"/>
      <c r="HW446"/>
      <c r="HX446"/>
      <c r="HY446"/>
      <c r="HZ446"/>
      <c r="IA446"/>
      <c r="IB446"/>
      <c r="IC446"/>
      <c r="ID446"/>
      <c r="IE446"/>
      <c r="IF446"/>
      <c r="IG446"/>
      <c r="IH446"/>
      <c r="II446"/>
      <c r="IJ446"/>
      <c r="IK446"/>
      <c r="IL446"/>
      <c r="IM446"/>
      <c r="IN446"/>
      <c r="IO446"/>
      <c r="IP446"/>
      <c r="IQ446"/>
      <c r="IR446"/>
      <c r="IS446"/>
      <c r="IT446"/>
      <c r="IU446"/>
      <c r="IV446"/>
      <c r="IW446"/>
      <c r="IX446"/>
      <c r="IY446"/>
      <c r="IZ446"/>
      <c r="JA446"/>
      <c r="JB446"/>
      <c r="JC446"/>
      <c r="JD446"/>
      <c r="JE446"/>
      <c r="JF446"/>
      <c r="JG446"/>
      <c r="JH446"/>
      <c r="JI446"/>
      <c r="JJ446"/>
      <c r="JK446"/>
      <c r="JL446"/>
      <c r="JM446"/>
      <c r="JN446"/>
      <c r="JO446"/>
      <c r="JP446"/>
      <c r="JQ446"/>
      <c r="JR446"/>
      <c r="JS446"/>
      <c r="JT446"/>
    </row>
    <row r="447" spans="1:280" s="6" customFormat="1">
      <c r="A447" s="1930" t="str">
        <f t="shared" si="1104"/>
        <v>Total</v>
      </c>
      <c r="B447"/>
      <c r="C447" s="1850"/>
      <c r="D447"/>
      <c r="E447"/>
      <c r="F447"/>
      <c r="G447" s="736"/>
      <c r="H447" s="63"/>
      <c r="I447" s="1425"/>
      <c r="M447" s="1841"/>
      <c r="N447" s="63"/>
      <c r="O447" s="1425"/>
      <c r="P447" s="2278"/>
      <c r="Q447" s="2278"/>
      <c r="R447" s="2278"/>
      <c r="S447" s="2279"/>
      <c r="T447" s="63"/>
      <c r="U447" s="1425"/>
      <c r="V447" s="2278"/>
      <c r="W447" s="2278"/>
      <c r="X447" s="2278"/>
      <c r="Y447" s="2279"/>
      <c r="Z447" s="63"/>
      <c r="AA447" s="1425"/>
      <c r="AB447" s="2278"/>
      <c r="AC447" s="2278"/>
      <c r="AD447" s="2278"/>
      <c r="AE447" s="2279"/>
      <c r="AF447" s="63"/>
      <c r="AG447" s="1425">
        <f>+AG$336</f>
        <v>0</v>
      </c>
      <c r="AH447" s="1423">
        <f>+AH$336</f>
        <v>0</v>
      </c>
      <c r="AI447" s="2284">
        <f>+AI$336</f>
        <v>0</v>
      </c>
      <c r="AJ447" s="2284">
        <f>+AJ$336</f>
        <v>0</v>
      </c>
      <c r="AK447" s="1424">
        <f>+AK$336</f>
        <v>0</v>
      </c>
      <c r="AL447" s="63"/>
      <c r="AM447" s="1425">
        <f>+AM$336</f>
        <v>0</v>
      </c>
      <c r="AN447" s="1423">
        <f>+AN$336</f>
        <v>0</v>
      </c>
      <c r="AO447" s="2284">
        <f>+AO$336</f>
        <v>0</v>
      </c>
      <c r="AP447" s="2284">
        <f>+AP$336</f>
        <v>0</v>
      </c>
      <c r="AQ447" s="1424">
        <f>+AQ$336</f>
        <v>0</v>
      </c>
      <c r="AR447" s="63"/>
      <c r="AS447" s="1425">
        <f>+AS$336</f>
        <v>0</v>
      </c>
      <c r="AT447" s="1423">
        <f>+AT$336</f>
        <v>4.3502400000000003</v>
      </c>
      <c r="AU447" s="2284">
        <f>+AU$336</f>
        <v>9.1108799999999999</v>
      </c>
      <c r="AV447" s="2284">
        <f>+AV$336</f>
        <v>14.577408</v>
      </c>
      <c r="AW447" s="1424">
        <f>+AW$336</f>
        <v>7.0096319999999999</v>
      </c>
      <c r="AX447" s="63"/>
      <c r="AY447" s="1425">
        <f>+AY$336</f>
        <v>19.715616000000001</v>
      </c>
      <c r="AZ447" s="1423">
        <f>+AZ$336</f>
        <v>24.476255999999999</v>
      </c>
      <c r="BA447" s="2284">
        <f>+BA$336</f>
        <v>29.318975999999999</v>
      </c>
      <c r="BB447" s="2284">
        <f>+BB$336</f>
        <v>34.900416</v>
      </c>
      <c r="BC447" s="1424">
        <f>+BC$336</f>
        <v>27.102816000000004</v>
      </c>
      <c r="BD447"/>
      <c r="BE447" s="1425">
        <f>+BE$336</f>
        <v>40.646016000000003</v>
      </c>
      <c r="BF447" s="1423">
        <f>+BF$336</f>
        <v>45.734976000000003</v>
      </c>
      <c r="BG447" s="2284">
        <f>+BG$336</f>
        <v>51.070175999999996</v>
      </c>
      <c r="BH447" s="2284">
        <f>+BH$336</f>
        <v>56.241216000000001</v>
      </c>
      <c r="BI447" s="1424">
        <f>+BI$336</f>
        <v>48.423096000000001</v>
      </c>
      <c r="BJ447"/>
      <c r="BK447" s="1425">
        <f>+BK$336</f>
        <v>61.412255999999999</v>
      </c>
      <c r="BL447" s="1423">
        <f>+BL$336</f>
        <v>66.337056000000004</v>
      </c>
      <c r="BM447" s="2284">
        <f>+BM$336</f>
        <v>70.687296000000003</v>
      </c>
      <c r="BN447" s="2284">
        <f>+BN$336</f>
        <v>75.201695999999998</v>
      </c>
      <c r="BO447" s="1424">
        <f>+BO$336</f>
        <v>68.409576000000001</v>
      </c>
      <c r="BP447"/>
      <c r="BQ447" s="1425">
        <f>+BQ$336</f>
        <v>81.877262399999992</v>
      </c>
      <c r="BR447" s="1423">
        <f>+BR$336</f>
        <v>88.753370759999996</v>
      </c>
      <c r="BS447" s="2284">
        <f>+BS$336</f>
        <v>95.922111248999968</v>
      </c>
      <c r="BT447" s="2284">
        <f>+BT$336</f>
        <v>103.39381790572496</v>
      </c>
      <c r="BU447" s="1424">
        <f>+BU$336</f>
        <v>92.486640578681232</v>
      </c>
      <c r="BV447"/>
      <c r="BW447" s="1425">
        <f>+BW$336</f>
        <v>111.17915857575557</v>
      </c>
      <c r="BX447" s="1423">
        <f>+BX$336</f>
        <v>119.28914514309665</v>
      </c>
      <c r="BY447" s="2284">
        <f>+BY$336</f>
        <v>127.73514406469492</v>
      </c>
      <c r="BZ447" s="2284">
        <f>+BZ$336</f>
        <v>136.52888721665866</v>
      </c>
      <c r="CA447" s="1424">
        <f>+CA$336</f>
        <v>123.68308375005145</v>
      </c>
      <c r="CB447"/>
      <c r="CC447" s="1425">
        <f>+CC$336</f>
        <v>145.68248306118014</v>
      </c>
      <c r="CD447" s="1423">
        <f>+CD$336</f>
        <v>155.20842814341731</v>
      </c>
      <c r="CE447" s="2284">
        <f>+CE$336</f>
        <v>165.11961892785311</v>
      </c>
      <c r="CF447" s="2284">
        <f>+CF$336</f>
        <v>175.42936398392101</v>
      </c>
      <c r="CG447" s="1424">
        <f>+CG$336</f>
        <v>160.35997352909291</v>
      </c>
      <c r="CH447"/>
      <c r="CI447" s="1425">
        <f>+CI$336</f>
        <v>186.15139653096247</v>
      </c>
      <c r="CJ447" s="1423">
        <f>+CJ$336</f>
        <v>197.29988735286597</v>
      </c>
      <c r="CK447" s="2284">
        <f>+CK$336</f>
        <v>208.88945809303283</v>
      </c>
      <c r="CL447" s="2284">
        <f>+CL$336</f>
        <v>220.93519494061249</v>
      </c>
      <c r="CM447" s="1424">
        <f>+CM$336</f>
        <v>203.31898422936848</v>
      </c>
      <c r="CN447"/>
      <c r="CO447" s="1425">
        <f>+CO$336</f>
        <v>233.45266271926297</v>
      </c>
      <c r="CP447" s="1423">
        <f>+CP$336</f>
        <v>246.45791939000816</v>
      </c>
      <c r="CQ447" s="2284">
        <f>+CQ$336</f>
        <v>259.967530980091</v>
      </c>
      <c r="CR447" s="2284">
        <f>+CR$336</f>
        <v>273.99858695005923</v>
      </c>
      <c r="CS447" s="1424">
        <f>+CS$336</f>
        <v>253.46917500985529</v>
      </c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  <c r="HF447"/>
      <c r="HG447"/>
      <c r="HH447"/>
      <c r="HI447"/>
      <c r="HJ447"/>
      <c r="HK447"/>
      <c r="HL447"/>
      <c r="HM447"/>
      <c r="HN447"/>
      <c r="HO447"/>
      <c r="HP447"/>
      <c r="HQ447"/>
      <c r="HR447"/>
      <c r="HS447"/>
      <c r="HT447"/>
      <c r="HU447"/>
      <c r="HV447"/>
      <c r="HW447"/>
      <c r="HX447"/>
      <c r="HY447"/>
      <c r="HZ447"/>
      <c r="IA447"/>
      <c r="IB447"/>
      <c r="IC447"/>
      <c r="ID447"/>
      <c r="IE447"/>
      <c r="IF447"/>
      <c r="IG447"/>
      <c r="IH447"/>
      <c r="II447"/>
      <c r="IJ447"/>
      <c r="IK447"/>
      <c r="IL447"/>
      <c r="IM447"/>
      <c r="IN447"/>
      <c r="IO447"/>
      <c r="IP447"/>
      <c r="IQ447"/>
      <c r="IR447"/>
      <c r="IS447"/>
      <c r="IT447"/>
      <c r="IU447"/>
      <c r="IV447"/>
      <c r="IW447"/>
      <c r="IX447"/>
      <c r="IY447"/>
      <c r="IZ447"/>
      <c r="JA447"/>
      <c r="JB447"/>
      <c r="JC447"/>
      <c r="JD447"/>
      <c r="JE447"/>
      <c r="JF447"/>
      <c r="JG447"/>
      <c r="JH447"/>
      <c r="JI447"/>
      <c r="JJ447"/>
      <c r="JK447"/>
      <c r="JL447"/>
      <c r="JM447"/>
      <c r="JN447"/>
      <c r="JO447"/>
      <c r="JP447"/>
      <c r="JQ447"/>
      <c r="JR447"/>
      <c r="JS447"/>
      <c r="JT447"/>
    </row>
    <row r="448" spans="1:280" s="6" customFormat="1">
      <c r="A448" s="1930" t="str">
        <f t="shared" si="1104"/>
        <v>Yr/Yr Growth</v>
      </c>
      <c r="B448"/>
      <c r="C448" s="1850"/>
      <c r="D448"/>
      <c r="E448"/>
      <c r="F448"/>
      <c r="G448" s="736"/>
      <c r="H448" s="63"/>
      <c r="I448" s="1425"/>
      <c r="M448" s="1841"/>
      <c r="N448" s="63"/>
      <c r="O448" s="1425"/>
      <c r="P448" s="2278"/>
      <c r="Q448" s="2278"/>
      <c r="R448" s="2278"/>
      <c r="S448" s="2279"/>
      <c r="T448" s="63"/>
      <c r="U448" s="1425"/>
      <c r="V448" s="2278"/>
      <c r="W448" s="2278"/>
      <c r="X448" s="2278"/>
      <c r="Y448" s="2279"/>
      <c r="Z448" s="63"/>
      <c r="AA448" s="1425"/>
      <c r="AB448" s="2278"/>
      <c r="AC448" s="2278"/>
      <c r="AD448" s="2278"/>
      <c r="AE448" s="2279"/>
      <c r="AF448" s="63"/>
      <c r="AG448" s="1425">
        <f>+AG$337</f>
        <v>8.2105056000000012</v>
      </c>
      <c r="AH448" s="1423">
        <f>+AH$337</f>
        <v>8.7276024000000003</v>
      </c>
      <c r="AI448" s="2284">
        <f>+AI$337</f>
        <v>9.2281860000000027</v>
      </c>
      <c r="AJ448" s="2284">
        <f>+AJ$337</f>
        <v>9.1289088000000014</v>
      </c>
      <c r="AK448" s="1424">
        <f>+AK$337</f>
        <v>8.8238007000000014</v>
      </c>
      <c r="AL448" s="63"/>
      <c r="AM448" s="1425">
        <f>+AM$337</f>
        <v>8.2953288000000001</v>
      </c>
      <c r="AN448" s="1423">
        <f>+AN$337</f>
        <v>7.4201688000000008</v>
      </c>
      <c r="AO448" s="2284">
        <f>+AO$337</f>
        <v>6.9726888000000011</v>
      </c>
      <c r="AP448" s="2284">
        <f>+AP$337</f>
        <v>6.9241156781954896</v>
      </c>
      <c r="AQ448" s="1424">
        <f>+AQ$337</f>
        <v>7.4030755195488727</v>
      </c>
      <c r="AR448" s="63"/>
      <c r="AS448" s="1425">
        <f>+AS$337</f>
        <v>6.9507825563909771</v>
      </c>
      <c r="AT448" s="1423">
        <f>+AT$337</f>
        <v>6.9666225563909778</v>
      </c>
      <c r="AU448" s="2284">
        <f>+AU$337</f>
        <v>6.9666225563909778</v>
      </c>
      <c r="AV448" s="2284">
        <f>+AV$337</f>
        <v>6.9666225563909778</v>
      </c>
      <c r="AW448" s="1424">
        <f>+AW$337</f>
        <v>6.9626625563909776</v>
      </c>
      <c r="AX448" s="63"/>
      <c r="AY448" s="1425">
        <f>+AY$337</f>
        <v>6.9666225563909778</v>
      </c>
      <c r="AZ448" s="1423">
        <f>+AZ$337</f>
        <v>6.9655775630075194</v>
      </c>
      <c r="BA448" s="2284">
        <f>+BA$337</f>
        <v>6.9575659470676694</v>
      </c>
      <c r="BB448" s="2284">
        <f>+BB$337</f>
        <v>6.9505993245112787</v>
      </c>
      <c r="BC448" s="1424">
        <f>+BC$337</f>
        <v>6.9600913477443616</v>
      </c>
      <c r="BD448"/>
      <c r="BE448" s="1425">
        <f>+BE$337</f>
        <v>6.7486393245112781</v>
      </c>
      <c r="BF448" s="1423">
        <f>+BF$337</f>
        <v>6.4674793245112783</v>
      </c>
      <c r="BG448" s="2284">
        <f>+BG$337</f>
        <v>6.2694793245112788</v>
      </c>
      <c r="BH448" s="2284">
        <f>+BH$337</f>
        <v>5.9922793245112782</v>
      </c>
      <c r="BI448" s="1424">
        <f>+BI$337</f>
        <v>6.3694693245112788</v>
      </c>
      <c r="BJ448"/>
      <c r="BK448" s="1425">
        <f>+BK$337</f>
        <v>5.7942793245112787</v>
      </c>
      <c r="BL448" s="1423">
        <f>+BL$337</f>
        <v>5.6952793245112785</v>
      </c>
      <c r="BM448" s="2284">
        <f>+BM$337</f>
        <v>5.5764793245112783</v>
      </c>
      <c r="BN448" s="2284">
        <f>+BN$337</f>
        <v>5.4774793245112781</v>
      </c>
      <c r="BO448" s="1424">
        <f>+BO$337</f>
        <v>5.6358793245112793</v>
      </c>
      <c r="BP448"/>
      <c r="BQ448" s="1425">
        <f>+BQ$337</f>
        <v>5.3982793245112788</v>
      </c>
      <c r="BR448" s="1423">
        <f>+BR$337</f>
        <v>5.2398793245112785</v>
      </c>
      <c r="BS448" s="2284">
        <f>+BS$337</f>
        <v>4.8874393245112788</v>
      </c>
      <c r="BT448" s="2284">
        <f>+BT$337</f>
        <v>4.4201593245112782</v>
      </c>
      <c r="BU448" s="1424">
        <f>+BU$337</f>
        <v>4.986439324511279</v>
      </c>
      <c r="BV448"/>
      <c r="BW448" s="1425">
        <f>+BW$337</f>
        <v>3.9687193245112788</v>
      </c>
      <c r="BX448" s="1423">
        <f>+BX$337</f>
        <v>3.5331193245112789</v>
      </c>
      <c r="BY448" s="2284">
        <f>+BY$337</f>
        <v>3.0975193245112789</v>
      </c>
      <c r="BZ448" s="2284">
        <f>+BZ$337</f>
        <v>2.6619193245112789</v>
      </c>
      <c r="CA448" s="1424">
        <f>+CA$337</f>
        <v>3.3153193245112789</v>
      </c>
      <c r="CB448"/>
      <c r="CC448" s="1425">
        <f>+CC$337</f>
        <v>2.2461193245112789</v>
      </c>
      <c r="CD448" s="1423">
        <f>+CD$337</f>
        <v>1.8501193245112786</v>
      </c>
      <c r="CE448" s="2284">
        <f>+CE$337</f>
        <v>1.4541193245112787</v>
      </c>
      <c r="CF448" s="2284">
        <f>+CF$337</f>
        <v>1.0581193245112785</v>
      </c>
      <c r="CG448" s="1424">
        <f>+CG$337</f>
        <v>1.6521193245112789</v>
      </c>
      <c r="CH448"/>
      <c r="CI448" s="1425">
        <f>+CI$337</f>
        <v>0.66211932451127875</v>
      </c>
      <c r="CJ448" s="1423">
        <f>+CJ$337</f>
        <v>0.26611932451127873</v>
      </c>
      <c r="CK448" s="2284">
        <f>+CK$337</f>
        <v>3.4059662255639368E-2</v>
      </c>
      <c r="CL448" s="2284">
        <f>+CL$337</f>
        <v>0</v>
      </c>
      <c r="CM448" s="1424">
        <f>+CM$337</f>
        <v>0.24057457781954925</v>
      </c>
      <c r="CN448"/>
      <c r="CO448" s="1425">
        <f>+CO$337</f>
        <v>0</v>
      </c>
      <c r="CP448" s="1423">
        <f>+CP$337</f>
        <v>0</v>
      </c>
      <c r="CQ448" s="2284">
        <f>+CQ$337</f>
        <v>0</v>
      </c>
      <c r="CR448" s="2284">
        <f>+CR$337</f>
        <v>0</v>
      </c>
      <c r="CS448" s="1424">
        <f>+CS$337</f>
        <v>0</v>
      </c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  <c r="HF448"/>
      <c r="HG448"/>
      <c r="HH448"/>
      <c r="HI448"/>
      <c r="HJ448"/>
      <c r="HK448"/>
      <c r="HL448"/>
      <c r="HM448"/>
      <c r="HN448"/>
      <c r="HO448"/>
      <c r="HP448"/>
      <c r="HQ448"/>
      <c r="HR448"/>
      <c r="HS448"/>
      <c r="HT448"/>
      <c r="HU448"/>
      <c r="HV448"/>
      <c r="HW448"/>
      <c r="HX448"/>
      <c r="HY448"/>
      <c r="HZ448"/>
      <c r="IA448"/>
      <c r="IB448"/>
      <c r="IC448"/>
      <c r="ID448"/>
      <c r="IE448"/>
      <c r="IF448"/>
      <c r="IG448"/>
      <c r="IH448"/>
      <c r="II448"/>
      <c r="IJ448"/>
      <c r="IK448"/>
      <c r="IL448"/>
      <c r="IM448"/>
      <c r="IN448"/>
      <c r="IO448"/>
      <c r="IP448"/>
      <c r="IQ448"/>
      <c r="IR448"/>
      <c r="IS448"/>
      <c r="IT448"/>
      <c r="IU448"/>
      <c r="IV448"/>
      <c r="IW448"/>
      <c r="IX448"/>
      <c r="IY448"/>
      <c r="IZ448"/>
      <c r="JA448"/>
      <c r="JB448"/>
      <c r="JC448"/>
      <c r="JD448"/>
      <c r="JE448"/>
      <c r="JF448"/>
      <c r="JG448"/>
      <c r="JH448"/>
      <c r="JI448"/>
      <c r="JJ448"/>
      <c r="JK448"/>
      <c r="JL448"/>
      <c r="JM448"/>
      <c r="JN448"/>
      <c r="JO448"/>
      <c r="JP448"/>
      <c r="JQ448"/>
      <c r="JR448"/>
      <c r="JS448"/>
      <c r="JT448"/>
    </row>
    <row r="449" spans="1:280" s="6" customFormat="1">
      <c r="A449" s="1930" t="str">
        <f t="shared" si="1104"/>
        <v>Qr/Qr Growth</v>
      </c>
      <c r="B449"/>
      <c r="C449" s="1850"/>
      <c r="D449"/>
      <c r="E449"/>
      <c r="F449"/>
      <c r="G449" s="736"/>
      <c r="H449" s="63"/>
      <c r="I449" s="1425"/>
      <c r="M449" s="1841"/>
      <c r="N449" s="63"/>
      <c r="O449" s="1425"/>
      <c r="P449" s="2278"/>
      <c r="Q449" s="2278"/>
      <c r="R449" s="2278"/>
      <c r="S449" s="2279"/>
      <c r="T449" s="63"/>
      <c r="U449" s="1425"/>
      <c r="V449" s="2278"/>
      <c r="W449" s="2278"/>
      <c r="X449" s="2278"/>
      <c r="Y449" s="2279"/>
      <c r="Z449" s="63"/>
      <c r="AA449" s="1425"/>
      <c r="AB449" s="2278"/>
      <c r="AC449" s="2278"/>
      <c r="AD449" s="2278"/>
      <c r="AE449" s="2279"/>
      <c r="AF449" s="63"/>
      <c r="AG449" s="1425">
        <f>+AG$338</f>
        <v>0</v>
      </c>
      <c r="AH449" s="1423">
        <f>+AH$338</f>
        <v>0</v>
      </c>
      <c r="AI449" s="2284">
        <f>+AI$338</f>
        <v>5.7000000000000002E-2</v>
      </c>
      <c r="AJ449" s="2284">
        <f>+AJ$338</f>
        <v>4.1609999999999996</v>
      </c>
      <c r="AK449" s="1424">
        <f>+AK$338</f>
        <v>1.0545</v>
      </c>
      <c r="AL449" s="63"/>
      <c r="AM449" s="1425">
        <f>+AM$338</f>
        <v>13.452</v>
      </c>
      <c r="AN449" s="1423">
        <f>+AN$338</f>
        <v>23.569500000000001</v>
      </c>
      <c r="AO449" s="2284">
        <f>+AO$338</f>
        <v>31.292999999999999</v>
      </c>
      <c r="AP449" s="2284">
        <f>+AP$338</f>
        <v>36.137999999999998</v>
      </c>
      <c r="AQ449" s="1424">
        <f>+AQ$338</f>
        <v>26.113125000000004</v>
      </c>
      <c r="AR449" s="63"/>
      <c r="AS449" s="1425">
        <f>+AS$338</f>
        <v>40.156500000000001</v>
      </c>
      <c r="AT449" s="1423">
        <f>+AT$338</f>
        <v>44.032499999999999</v>
      </c>
      <c r="AU449" s="2284">
        <f>+AU$338</f>
        <v>47.737499999999997</v>
      </c>
      <c r="AV449" s="2284">
        <f>+AV$338</f>
        <v>51.527999999999999</v>
      </c>
      <c r="AW449" s="1424">
        <f>+AW$338</f>
        <v>45.863624999999999</v>
      </c>
      <c r="AX449" s="63"/>
      <c r="AY449" s="1425">
        <f>+AY$338</f>
        <v>53.372206499999997</v>
      </c>
      <c r="AZ449" s="1423">
        <f>+AZ$338</f>
        <v>52.948554000000001</v>
      </c>
      <c r="BA449" s="2284">
        <f>+BA$338</f>
        <v>52.057302</v>
      </c>
      <c r="BB449" s="2284">
        <f>+BB$338</f>
        <v>51.540312</v>
      </c>
      <c r="BC449" s="1424">
        <f>+BC$338</f>
        <v>52.479593625000007</v>
      </c>
      <c r="BD449"/>
      <c r="BE449" s="1425">
        <f>+BE$338</f>
        <v>50.330714999999998</v>
      </c>
      <c r="BF449" s="1423">
        <f>+BF$338</f>
        <v>48.364215000000002</v>
      </c>
      <c r="BG449" s="2284">
        <f>+BG$338</f>
        <v>46.682715000000002</v>
      </c>
      <c r="BH449" s="2284">
        <f>+BH$338</f>
        <v>43.825190999999997</v>
      </c>
      <c r="BI449" s="1424">
        <f>+BI$338</f>
        <v>47.300709000000012</v>
      </c>
      <c r="BJ449"/>
      <c r="BK449" s="1425">
        <f>+BK$338</f>
        <v>41.451169500000006</v>
      </c>
      <c r="BL449" s="1423">
        <f>+BL$338</f>
        <v>40.538172000000003</v>
      </c>
      <c r="BM449" s="2284">
        <f>+BM$338</f>
        <v>39.882671999999999</v>
      </c>
      <c r="BN449" s="2284">
        <f>+BN$338</f>
        <v>39.369672000000001</v>
      </c>
      <c r="BO449" s="1424">
        <f>+BO$338</f>
        <v>40.310421374999997</v>
      </c>
      <c r="BP449"/>
      <c r="BQ449" s="1425">
        <f>+BQ$338</f>
        <v>38.828172000000002</v>
      </c>
      <c r="BR449" s="1423">
        <f>+BR$338</f>
        <v>37.716672000000003</v>
      </c>
      <c r="BS449" s="2284">
        <f>+BS$338</f>
        <v>35.180171999999999</v>
      </c>
      <c r="BT449" s="2284">
        <f>+BT$338</f>
        <v>31.817171999999999</v>
      </c>
      <c r="BU449" s="1424">
        <f>+BU$338</f>
        <v>35.88554700000001</v>
      </c>
      <c r="BV449"/>
      <c r="BW449" s="1425">
        <f>+BW$338</f>
        <v>28.568172000000001</v>
      </c>
      <c r="BX449" s="1423">
        <f>+BX$338</f>
        <v>25.433171999999999</v>
      </c>
      <c r="BY449" s="2284">
        <f>+BY$338</f>
        <v>22.298172000000001</v>
      </c>
      <c r="BZ449" s="2284">
        <f>+BZ$338</f>
        <v>19.163171999999999</v>
      </c>
      <c r="CA449" s="1424">
        <f>+CA$338</f>
        <v>23.865672000000004</v>
      </c>
      <c r="CB449"/>
      <c r="CC449" s="1425">
        <f>+CC$338</f>
        <v>16.170672000000003</v>
      </c>
      <c r="CD449" s="1423">
        <f>+CD$338</f>
        <v>13.320672000000002</v>
      </c>
      <c r="CE449" s="2284">
        <f>+CE$338</f>
        <v>10.470672000000002</v>
      </c>
      <c r="CF449" s="2284">
        <f>+CF$338</f>
        <v>7.6206720000000017</v>
      </c>
      <c r="CG449" s="1424">
        <f>+CG$338</f>
        <v>11.895672000000001</v>
      </c>
      <c r="CH449"/>
      <c r="CI449" s="1425">
        <f>+CI$338</f>
        <v>4.770672000000002</v>
      </c>
      <c r="CJ449" s="1423">
        <f>+CJ$338</f>
        <v>1.9206720000000015</v>
      </c>
      <c r="CK449" s="2284">
        <f>+CK$338</f>
        <v>0.24783600000000075</v>
      </c>
      <c r="CL449" s="2284">
        <f>+CL$338</f>
        <v>0</v>
      </c>
      <c r="CM449" s="1424">
        <f>+CM$338</f>
        <v>1.734795000000001</v>
      </c>
      <c r="CN449"/>
      <c r="CO449" s="1425">
        <f>+CO$338</f>
        <v>0</v>
      </c>
      <c r="CP449" s="1423">
        <f>+CP$338</f>
        <v>0</v>
      </c>
      <c r="CQ449" s="2284">
        <f>+CQ$338</f>
        <v>0</v>
      </c>
      <c r="CR449" s="2284">
        <f>+CR$338</f>
        <v>0</v>
      </c>
      <c r="CS449" s="1424">
        <f>+CS$338</f>
        <v>0</v>
      </c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</row>
    <row r="450" spans="1:280" s="6" customFormat="1">
      <c r="A450" s="1930" t="str">
        <f t="shared" si="1104"/>
        <v>% Growth (Y/Y)</v>
      </c>
      <c r="B450"/>
      <c r="C450" s="1850"/>
      <c r="D450"/>
      <c r="E450"/>
      <c r="F450"/>
      <c r="G450" s="736"/>
      <c r="H450" s="63"/>
      <c r="I450" s="1425"/>
      <c r="M450" s="1841"/>
      <c r="N450" s="63"/>
      <c r="O450" s="1425"/>
      <c r="P450" s="2278"/>
      <c r="Q450" s="2278"/>
      <c r="R450" s="2278"/>
      <c r="S450" s="2279"/>
      <c r="T450" s="63"/>
      <c r="U450" s="1425"/>
      <c r="V450" s="2278"/>
      <c r="W450" s="2278"/>
      <c r="X450" s="2278"/>
      <c r="Y450" s="2279"/>
      <c r="Z450" s="63"/>
      <c r="AA450" s="1425"/>
      <c r="AB450" s="2278"/>
      <c r="AC450" s="2278"/>
      <c r="AD450" s="2278"/>
      <c r="AE450" s="2279"/>
      <c r="AF450" s="63"/>
      <c r="AG450" s="1425">
        <f>+AG$339</f>
        <v>0</v>
      </c>
      <c r="AH450" s="1423">
        <f>+AH$339</f>
        <v>0</v>
      </c>
      <c r="AI450" s="2284">
        <f>+AI$339</f>
        <v>0</v>
      </c>
      <c r="AJ450" s="2284">
        <f>+AJ$339</f>
        <v>0</v>
      </c>
      <c r="AK450" s="1424">
        <f>+AK431</f>
        <v>0</v>
      </c>
      <c r="AL450" s="63"/>
      <c r="AM450" s="1425">
        <f>+AM$339</f>
        <v>0</v>
      </c>
      <c r="AN450" s="1423">
        <f>+AN$339</f>
        <v>0</v>
      </c>
      <c r="AO450" s="2284">
        <f>+AO$339</f>
        <v>0</v>
      </c>
      <c r="AP450" s="2284">
        <f>+AP$339</f>
        <v>0</v>
      </c>
      <c r="AQ450" s="1424">
        <f>+AQ431</f>
        <v>0</v>
      </c>
      <c r="AR450" s="63"/>
      <c r="AS450" s="1425">
        <f>+AS$339</f>
        <v>0</v>
      </c>
      <c r="AT450" s="1423">
        <f>+AT$339</f>
        <v>0</v>
      </c>
      <c r="AU450" s="2284">
        <f>+AU$339</f>
        <v>0</v>
      </c>
      <c r="AV450" s="2284">
        <f>+AV$339</f>
        <v>0</v>
      </c>
      <c r="AW450" s="1424">
        <f>+AW431</f>
        <v>0</v>
      </c>
      <c r="AX450" s="63"/>
      <c r="AY450" s="1425">
        <f>+AY431</f>
        <v>0.65054086971428571</v>
      </c>
      <c r="AZ450" s="1423">
        <f>+AZ431</f>
        <v>2.226853021591837</v>
      </c>
      <c r="BA450" s="2284">
        <f>+BA431</f>
        <v>4.1721974772244899</v>
      </c>
      <c r="BB450" s="2284">
        <f>+BB431</f>
        <v>5.6495700918367344</v>
      </c>
      <c r="BC450" s="1424">
        <f>+BC431</f>
        <v>3.1747903650918365</v>
      </c>
      <c r="BD450"/>
      <c r="BE450" s="1425">
        <f>+BE431</f>
        <v>6.6453440174448977</v>
      </c>
      <c r="BF450" s="1423">
        <f>+BF431</f>
        <v>7.4534121418519828</v>
      </c>
      <c r="BG450" s="2284">
        <f>+BG431</f>
        <v>7.9505815799979347</v>
      </c>
      <c r="BH450" s="2284">
        <f>+BH431</f>
        <v>8.4358464799347672</v>
      </c>
      <c r="BI450" s="1424">
        <f>+BI431</f>
        <v>7.621296054807396</v>
      </c>
      <c r="BJ450"/>
      <c r="BK450" s="1425">
        <f>+BK431</f>
        <v>8.9767616880813819</v>
      </c>
      <c r="BL450" s="1423">
        <f>+BL431</f>
        <v>9.540307098143451</v>
      </c>
      <c r="BM450" s="2284">
        <f>+BM431</f>
        <v>10.099566465583163</v>
      </c>
      <c r="BN450" s="2284">
        <f>+BN431</f>
        <v>10.539482814248105</v>
      </c>
      <c r="BO450" s="1424">
        <f>+BO431</f>
        <v>9.7890295165140255</v>
      </c>
      <c r="BP450"/>
      <c r="BQ450" s="1425">
        <f>+BQ431</f>
        <v>10.977213347416654</v>
      </c>
      <c r="BR450" s="1423">
        <f>+BR431</f>
        <v>11.529002208279122</v>
      </c>
      <c r="BS450" s="2284">
        <f>+BS431</f>
        <v>12.073024121742774</v>
      </c>
      <c r="BT450" s="2284">
        <f>+BT431</f>
        <v>12.593951831085567</v>
      </c>
      <c r="BU450" s="1424">
        <f>+BU431</f>
        <v>11.793297877131028</v>
      </c>
      <c r="BV450"/>
      <c r="BW450" s="1425">
        <f>+BW431</f>
        <v>13.082657380388815</v>
      </c>
      <c r="BX450" s="1423">
        <f>+BX431</f>
        <v>13.540116537515061</v>
      </c>
      <c r="BY450" s="2284">
        <f>+BY431</f>
        <v>13.967312876469743</v>
      </c>
      <c r="BZ450" s="2284">
        <f>+BZ431</f>
        <v>14.364004294707492</v>
      </c>
      <c r="CA450" s="1424">
        <f>+CA431</f>
        <v>13.738522772270278</v>
      </c>
      <c r="CB450"/>
      <c r="CC450" s="1425">
        <f>+CC431</f>
        <v>14.729946752862572</v>
      </c>
      <c r="CD450" s="1423">
        <f>+CD431</f>
        <v>15.066436190682895</v>
      </c>
      <c r="CE450" s="2284">
        <f>+CE431</f>
        <v>15.374778915434351</v>
      </c>
      <c r="CF450" s="2284">
        <f>+CF431</f>
        <v>15.654749753412387</v>
      </c>
      <c r="CG450" s="1424">
        <f>+CG431</f>
        <v>15.206477903098051</v>
      </c>
      <c r="CH450"/>
      <c r="CI450" s="1425">
        <f>+CI431</f>
        <v>15.906121729522825</v>
      </c>
      <c r="CJ450" s="1423">
        <f>+CJ431</f>
        <v>16.128666052870713</v>
      </c>
      <c r="CK450" s="2284">
        <f>+CK431</f>
        <v>16.322152102233954</v>
      </c>
      <c r="CL450" s="2284">
        <f>+CL431</f>
        <v>16.499099658507859</v>
      </c>
      <c r="CM450" s="1424">
        <f>+CM431</f>
        <v>16.214009885783838</v>
      </c>
      <c r="CN450"/>
      <c r="CO450" s="1425">
        <f>+CO431</f>
        <v>16.674795728033423</v>
      </c>
      <c r="CP450" s="1423">
        <f>+CP431</f>
        <v>16.851897366115193</v>
      </c>
      <c r="CQ450" s="2284">
        <f>+CQ431</f>
        <v>17.030415817301616</v>
      </c>
      <c r="CR450" s="2284">
        <f>+CR431</f>
        <v>17.210362416097528</v>
      </c>
      <c r="CS450" s="1424">
        <f>+CS431</f>
        <v>16.941867831886938</v>
      </c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</row>
    <row r="451" spans="1:280" s="6" customFormat="1">
      <c r="A451" s="1930">
        <f t="shared" si="1104"/>
        <v>0</v>
      </c>
      <c r="B451"/>
      <c r="C451" s="1850"/>
      <c r="D451"/>
      <c r="E451"/>
      <c r="F451"/>
      <c r="G451" s="736"/>
      <c r="H451" s="63"/>
      <c r="I451" s="1425"/>
      <c r="M451" s="1841"/>
      <c r="N451" s="63"/>
      <c r="O451" s="1425"/>
      <c r="P451" s="2278"/>
      <c r="Q451" s="2278"/>
      <c r="R451" s="2278"/>
      <c r="S451" s="2279"/>
      <c r="T451" s="63"/>
      <c r="U451" s="1425"/>
      <c r="V451" s="2278"/>
      <c r="W451" s="2278"/>
      <c r="X451" s="2278"/>
      <c r="Y451" s="2279"/>
      <c r="Z451" s="63"/>
      <c r="AA451" s="1425"/>
      <c r="AB451" s="2278"/>
      <c r="AC451" s="2278"/>
      <c r="AD451" s="2278"/>
      <c r="AE451" s="2279"/>
      <c r="AF451" s="63"/>
      <c r="AG451" s="1425">
        <f>+AG$340</f>
        <v>0</v>
      </c>
      <c r="AH451" s="1423">
        <f>+AH$340</f>
        <v>0</v>
      </c>
      <c r="AI451" s="2284">
        <f>+AI$340</f>
        <v>0</v>
      </c>
      <c r="AJ451" s="2284">
        <f>+AJ$340</f>
        <v>0</v>
      </c>
      <c r="AK451" s="1424">
        <f>+AK441</f>
        <v>0</v>
      </c>
      <c r="AL451" s="63"/>
      <c r="AM451" s="1425">
        <f>+AM$340</f>
        <v>0</v>
      </c>
      <c r="AN451" s="1423">
        <f>+AN$340</f>
        <v>0</v>
      </c>
      <c r="AO451" s="2284">
        <f>+AO$340</f>
        <v>0</v>
      </c>
      <c r="AP451" s="2284">
        <f>+AP$340</f>
        <v>0</v>
      </c>
      <c r="AQ451" s="1424">
        <f>+AQ441</f>
        <v>0</v>
      </c>
      <c r="AR451" s="63"/>
      <c r="AS451" s="1425">
        <f>+AS$340</f>
        <v>0</v>
      </c>
      <c r="AT451" s="1423">
        <f>+AT$340</f>
        <v>0</v>
      </c>
      <c r="AU451" s="2284">
        <f>+AU$340</f>
        <v>0</v>
      </c>
      <c r="AV451" s="2284">
        <f>+AV$340</f>
        <v>0</v>
      </c>
      <c r="AW451" s="1424">
        <f>+AW441</f>
        <v>0</v>
      </c>
      <c r="AX451" s="63"/>
      <c r="AY451" s="1425">
        <f>+AY441</f>
        <v>3.5686504285714289</v>
      </c>
      <c r="AZ451" s="1423">
        <f>+AZ441</f>
        <v>11.352329485714286</v>
      </c>
      <c r="BA451" s="2284">
        <f>+BA441</f>
        <v>19.412258914285715</v>
      </c>
      <c r="BB451" s="2284">
        <f>+BB441</f>
        <v>26.299219885714294</v>
      </c>
      <c r="BC451" s="1424">
        <f>+BC441</f>
        <v>15.158114678571433</v>
      </c>
      <c r="BD451"/>
      <c r="BE451" s="1425">
        <f>+BE441</f>
        <v>31.653848571428579</v>
      </c>
      <c r="BF451" s="1423">
        <f>+BF441</f>
        <v>34.658898395831919</v>
      </c>
      <c r="BG451" s="2284">
        <f>+BG441</f>
        <v>36.111832066548146</v>
      </c>
      <c r="BH451" s="2284">
        <f>+BH441</f>
        <v>37.541021778058656</v>
      </c>
      <c r="BI451" s="1424">
        <f>+BI441</f>
        <v>34.991400202966823</v>
      </c>
      <c r="BJ451"/>
      <c r="BK451" s="1425">
        <f>+BK441</f>
        <v>38.7736648445184</v>
      </c>
      <c r="BL451" s="1423">
        <f>+BL441</f>
        <v>39.897673100195533</v>
      </c>
      <c r="BM451" s="2284">
        <f>+BM441</f>
        <v>41.013132715060941</v>
      </c>
      <c r="BN451" s="2284">
        <f>+BN441</f>
        <v>42.351873378273844</v>
      </c>
      <c r="BO451" s="1424">
        <f>+BO441</f>
        <v>40.509086009512181</v>
      </c>
      <c r="BP451"/>
      <c r="BQ451" s="1425">
        <f>+BQ441</f>
        <v>43.686254366792461</v>
      </c>
      <c r="BR451" s="1423">
        <f>+BR441</f>
        <v>44.786813831790646</v>
      </c>
      <c r="BS451" s="2284">
        <f>+BS441</f>
        <v>45.871881886794526</v>
      </c>
      <c r="BT451" s="2284">
        <f>+BT441</f>
        <v>46.910887857667014</v>
      </c>
      <c r="BU451" s="1424">
        <f>+BU441</f>
        <v>45.31395948576116</v>
      </c>
      <c r="BV451"/>
      <c r="BW451" s="1425">
        <f>+BW441</f>
        <v>47.885625762020759</v>
      </c>
      <c r="BX451" s="1423">
        <f>+BX441</f>
        <v>48.798041798180776</v>
      </c>
      <c r="BY451" s="2284">
        <f>+BY441</f>
        <v>49.65009773405864</v>
      </c>
      <c r="BZ451" s="2284">
        <f>+BZ441</f>
        <v>50.441310688852091</v>
      </c>
      <c r="CA451" s="1424">
        <f>+CA441</f>
        <v>49.193768995778072</v>
      </c>
      <c r="CB451"/>
      <c r="CC451" s="1425">
        <f>+CC441</f>
        <v>51.171193918712476</v>
      </c>
      <c r="CD451" s="1423">
        <f>+CD441</f>
        <v>51.842332214411734</v>
      </c>
      <c r="CE451" s="2284">
        <f>+CE441</f>
        <v>52.457331045048015</v>
      </c>
      <c r="CF451" s="2284">
        <f>+CF441</f>
        <v>53.015741294900813</v>
      </c>
      <c r="CG451" s="1424">
        <f>+CG441</f>
        <v>52.12164961826825</v>
      </c>
      <c r="CH451"/>
      <c r="CI451" s="1425">
        <f>+CI441</f>
        <v>53.517110255323871</v>
      </c>
      <c r="CJ451" s="1423">
        <f>+CJ441</f>
        <v>53.96098159600173</v>
      </c>
      <c r="CK451" s="2284">
        <f>+CK441</f>
        <v>54.346895335976434</v>
      </c>
      <c r="CL451" s="2284">
        <f>+CL441</f>
        <v>54.699822554480185</v>
      </c>
      <c r="CM451" s="1424">
        <f>+CM441</f>
        <v>54.131202435445552</v>
      </c>
      <c r="CN451"/>
      <c r="CO451" s="1425">
        <f>+CO441</f>
        <v>55.050253645055506</v>
      </c>
      <c r="CP451" s="1423">
        <f>+CP441</f>
        <v>55.40348818435541</v>
      </c>
      <c r="CQ451" s="2284">
        <f>+CQ441</f>
        <v>55.759548599969712</v>
      </c>
      <c r="CR451" s="2284">
        <f>+CR441</f>
        <v>56.118457498908938</v>
      </c>
      <c r="CS451" s="1424">
        <f>+CS441</f>
        <v>55.582936982072383</v>
      </c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</row>
    <row r="452" spans="1:280" s="6" customFormat="1">
      <c r="A452" s="1930" t="str">
        <f t="shared" si="1104"/>
        <v>Revised Forecasts</v>
      </c>
      <c r="B452"/>
      <c r="C452" s="1850"/>
      <c r="D452"/>
      <c r="E452"/>
      <c r="F452"/>
      <c r="G452" s="736"/>
      <c r="H452" s="63"/>
      <c r="I452" s="1425"/>
      <c r="M452" s="1841"/>
      <c r="N452" s="63"/>
      <c r="O452" s="1425"/>
      <c r="P452" s="2278"/>
      <c r="Q452" s="2278"/>
      <c r="R452" s="2278"/>
      <c r="S452" s="2279"/>
      <c r="T452" s="63"/>
      <c r="U452" s="1425"/>
      <c r="V452" s="2278"/>
      <c r="W452" s="2278"/>
      <c r="X452" s="2278"/>
      <c r="Y452" s="2279"/>
      <c r="Z452" s="63"/>
      <c r="AA452" s="1425"/>
      <c r="AB452" s="2278"/>
      <c r="AC452" s="2278"/>
      <c r="AD452" s="2278"/>
      <c r="AE452" s="2279"/>
      <c r="AF452" s="63"/>
      <c r="AG452" s="1425">
        <f>+AG$341</f>
        <v>0</v>
      </c>
      <c r="AH452" s="1423">
        <f>+AH$341</f>
        <v>0</v>
      </c>
      <c r="AI452" s="2284">
        <f>+AI$341</f>
        <v>0</v>
      </c>
      <c r="AJ452" s="2284">
        <f>+AJ$341</f>
        <v>0</v>
      </c>
      <c r="AK452" s="1424">
        <f>+AK$341</f>
        <v>0</v>
      </c>
      <c r="AL452" s="63"/>
      <c r="AM452" s="1425">
        <f>+AM$341</f>
        <v>0</v>
      </c>
      <c r="AN452" s="1423">
        <f>+AN$341</f>
        <v>0</v>
      </c>
      <c r="AO452" s="2284">
        <f>+AO$341</f>
        <v>0</v>
      </c>
      <c r="AP452" s="2284">
        <f>+AP$341</f>
        <v>0</v>
      </c>
      <c r="AQ452" s="1424">
        <f>+AQ$341</f>
        <v>0</v>
      </c>
      <c r="AR452" s="63"/>
      <c r="AS452" s="1425">
        <f>+AS$341</f>
        <v>0</v>
      </c>
      <c r="AT452" s="1423">
        <f>+AT$341</f>
        <v>0</v>
      </c>
      <c r="AU452" s="2284">
        <f>+AU$341</f>
        <v>0</v>
      </c>
      <c r="AV452" s="2284">
        <f>+AV$341</f>
        <v>0</v>
      </c>
      <c r="AW452" s="1424">
        <f>+AW$341</f>
        <v>0</v>
      </c>
      <c r="AX452" s="63"/>
      <c r="AY452" s="1425">
        <f>+AY$341</f>
        <v>0</v>
      </c>
      <c r="AZ452" s="1423">
        <f>+AZ$341</f>
        <v>0.61970400000000014</v>
      </c>
      <c r="BA452" s="2284">
        <f>+BA$341</f>
        <v>1.8900972000000005</v>
      </c>
      <c r="BB452" s="2284">
        <f>+BB$341</f>
        <v>3.2720371200000007</v>
      </c>
      <c r="BC452" s="1424">
        <f>+BC$341</f>
        <v>1.4454595800000001</v>
      </c>
      <c r="BD452"/>
      <c r="BE452" s="1425">
        <f>+BE$341</f>
        <v>5.0617422720000009</v>
      </c>
      <c r="BF452" s="1423">
        <f>+BF$341</f>
        <v>7.4304575280000016</v>
      </c>
      <c r="BG452" s="2284">
        <f>+BG$341</f>
        <v>9.7716827145600007</v>
      </c>
      <c r="BH452" s="2284">
        <f>+BH$341</f>
        <v>11.834436720153603</v>
      </c>
      <c r="BI452" s="1424">
        <f>+BI$341</f>
        <v>8.5245798086784017</v>
      </c>
      <c r="BJ452"/>
      <c r="BK452" s="1425">
        <f>+BK$341</f>
        <v>13.100829045027842</v>
      </c>
      <c r="BL452" s="1423">
        <f>+BL$341</f>
        <v>13.335431726868482</v>
      </c>
      <c r="BM452" s="2284">
        <f>+BM$341</f>
        <v>13.335431726868482</v>
      </c>
      <c r="BN452" s="2284">
        <f>+BN$341</f>
        <v>13.335431726868482</v>
      </c>
      <c r="BO452" s="1424">
        <f>+BO$341</f>
        <v>13.276781056408323</v>
      </c>
      <c r="BP452"/>
      <c r="BQ452" s="1425">
        <f>+BQ$341</f>
        <v>13.335431726868482</v>
      </c>
      <c r="BR452" s="1423">
        <f>+BR$341</f>
        <v>13.335431726868482</v>
      </c>
      <c r="BS452" s="2284">
        <f>+BS$341</f>
        <v>13.335431726868482</v>
      </c>
      <c r="BT452" s="2284">
        <f>+BT$341</f>
        <v>13.335431726868482</v>
      </c>
      <c r="BU452" s="1424">
        <f>+BU$341</f>
        <v>13.335431726868482</v>
      </c>
      <c r="BV452"/>
      <c r="BW452" s="1425">
        <f>+BW$341</f>
        <v>13.335431726868482</v>
      </c>
      <c r="BX452" s="1423">
        <f>+BX$341</f>
        <v>13.335431726868482</v>
      </c>
      <c r="BY452" s="2284">
        <f>+BY$341</f>
        <v>13.335431726868482</v>
      </c>
      <c r="BZ452" s="2284">
        <f>+BZ$341</f>
        <v>13.335431726868482</v>
      </c>
      <c r="CA452" s="1424">
        <f>+CA$341</f>
        <v>13.335431726868482</v>
      </c>
      <c r="CB452"/>
      <c r="CC452" s="1425">
        <f>+CC$341</f>
        <v>13.335431726868482</v>
      </c>
      <c r="CD452" s="1423">
        <f>+CD$341</f>
        <v>13.335431726868482</v>
      </c>
      <c r="CE452" s="2284">
        <f>+CE$341</f>
        <v>13.335431726868482</v>
      </c>
      <c r="CF452" s="2284">
        <f>+CF$341</f>
        <v>13.335431726868482</v>
      </c>
      <c r="CG452" s="1424">
        <f>+CG$341</f>
        <v>13.335431726868482</v>
      </c>
      <c r="CH452"/>
      <c r="CI452" s="1425">
        <f>+CI$341</f>
        <v>13.335431726868482</v>
      </c>
      <c r="CJ452" s="1423">
        <f>+CJ$341</f>
        <v>13.335431726868482</v>
      </c>
      <c r="CK452" s="2284">
        <f>+CK$341</f>
        <v>13.335431726868482</v>
      </c>
      <c r="CL452" s="2284">
        <f>+CL$341</f>
        <v>13.335431726868482</v>
      </c>
      <c r="CM452" s="1424">
        <f>+CM$341</f>
        <v>13.335431726868482</v>
      </c>
      <c r="CN452"/>
      <c r="CO452" s="1425">
        <f>+CO$341</f>
        <v>13.335431726868482</v>
      </c>
      <c r="CP452" s="1423">
        <f>+CP$341</f>
        <v>13.335431726868482</v>
      </c>
      <c r="CQ452" s="2284">
        <f>+CQ$341</f>
        <v>13.335431726868482</v>
      </c>
      <c r="CR452" s="2284">
        <f>+CR$341</f>
        <v>13.335431726868482</v>
      </c>
      <c r="CS452" s="1424">
        <f>+CS$341</f>
        <v>13.335431726868482</v>
      </c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</row>
    <row r="453" spans="1:280" s="6" customFormat="1">
      <c r="A453" s="1930" t="str">
        <f t="shared" si="1104"/>
        <v>Incremental Placements (#)</v>
      </c>
      <c r="B453"/>
      <c r="C453" s="1850"/>
      <c r="D453"/>
      <c r="E453"/>
      <c r="F453"/>
      <c r="G453" s="736"/>
      <c r="H453" s="63"/>
      <c r="I453" s="1425"/>
      <c r="M453" s="1841"/>
      <c r="N453" s="63"/>
      <c r="O453" s="1425"/>
      <c r="P453" s="2278"/>
      <c r="Q453" s="2278"/>
      <c r="R453" s="2278"/>
      <c r="S453" s="2279"/>
      <c r="T453" s="63"/>
      <c r="U453" s="1425"/>
      <c r="V453" s="2278"/>
      <c r="W453" s="2278"/>
      <c r="X453" s="2278"/>
      <c r="Y453" s="2279"/>
      <c r="Z453" s="63"/>
      <c r="AA453" s="1425"/>
      <c r="AB453" s="2278"/>
      <c r="AC453" s="2278"/>
      <c r="AD453" s="2278"/>
      <c r="AE453" s="2279"/>
      <c r="AF453" s="63"/>
      <c r="AG453" s="1425">
        <f>+AG$342</f>
        <v>0</v>
      </c>
      <c r="AH453" s="1423">
        <f>+AH$342</f>
        <v>0</v>
      </c>
      <c r="AI453" s="2284">
        <f>+AI$342</f>
        <v>0</v>
      </c>
      <c r="AJ453" s="2284">
        <f>+AJ$342</f>
        <v>0</v>
      </c>
      <c r="AK453" s="1424">
        <f>+AK$342</f>
        <v>0</v>
      </c>
      <c r="AL453" s="63"/>
      <c r="AM453" s="1425">
        <f>+AM$342</f>
        <v>0</v>
      </c>
      <c r="AN453" s="1423">
        <f>+AN$342</f>
        <v>0</v>
      </c>
      <c r="AO453" s="2284">
        <f>+AO$342</f>
        <v>0</v>
      </c>
      <c r="AP453" s="2284">
        <f>+AP$342</f>
        <v>0</v>
      </c>
      <c r="AQ453" s="1424">
        <f>+AQ$342</f>
        <v>0</v>
      </c>
      <c r="AR453" s="63"/>
      <c r="AS453" s="1425">
        <f>+AS$342</f>
        <v>1.2394080000000003</v>
      </c>
      <c r="AT453" s="1423">
        <f>+AT$342</f>
        <v>5.9904720000000014</v>
      </c>
      <c r="AU453" s="2284">
        <f>+AU$342</f>
        <v>14.149908000000002</v>
      </c>
      <c r="AV453" s="2284">
        <f>+AV$342</f>
        <v>23.238900000000005</v>
      </c>
      <c r="AW453" s="1424">
        <f>+AW$342</f>
        <v>11.154672000000001</v>
      </c>
      <c r="AX453" s="63"/>
      <c r="AY453" s="1425">
        <f>+AY$342</f>
        <v>32.524131600000004</v>
      </c>
      <c r="AZ453" s="1423">
        <f>+AZ$342</f>
        <v>40.88683051200001</v>
      </c>
      <c r="BA453" s="2284">
        <f>+BA$342</f>
        <v>48.33030182400001</v>
      </c>
      <c r="BB453" s="2284">
        <f>+BB$342</f>
        <v>55.004761785600003</v>
      </c>
      <c r="BC453" s="1424">
        <f>+BC$342</f>
        <v>44.186506430400009</v>
      </c>
      <c r="BD453"/>
      <c r="BE453" s="1425">
        <f>+BE$342</f>
        <v>58.823667028800003</v>
      </c>
      <c r="BF453" s="1423">
        <f>+BF$342</f>
        <v>62.097341406768003</v>
      </c>
      <c r="BG453" s="2284">
        <f>+BG$342</f>
        <v>65.912993352696972</v>
      </c>
      <c r="BH453" s="2284">
        <f>+BH$342</f>
        <v>70.007729761806345</v>
      </c>
      <c r="BI453" s="1424">
        <f>+BI$342</f>
        <v>64.210432887517825</v>
      </c>
      <c r="BJ453" s="63"/>
      <c r="BK453" s="1425">
        <f>+BK$342</f>
        <v>73.070347555287015</v>
      </c>
      <c r="BL453" s="1423">
        <f>+BL$342</f>
        <v>74.170630399758323</v>
      </c>
      <c r="BM453" s="2284">
        <f>+BM$342</f>
        <v>74.691817010297356</v>
      </c>
      <c r="BN453" s="2284">
        <f>+BN$342</f>
        <v>74.691817010297356</v>
      </c>
      <c r="BO453" s="1424">
        <f>+BO$342</f>
        <v>74.156152993909998</v>
      </c>
      <c r="BP453" s="63"/>
      <c r="BQ453" s="1425">
        <f>+BQ$342</f>
        <v>74.691817010297356</v>
      </c>
      <c r="BR453" s="1423">
        <f>+BR$342</f>
        <v>74.691817010297356</v>
      </c>
      <c r="BS453" s="2284">
        <f>+BS$342</f>
        <v>74.691817010297356</v>
      </c>
      <c r="BT453" s="2284">
        <f>+BT$342</f>
        <v>74.691817010297356</v>
      </c>
      <c r="BU453" s="1424">
        <f>+BU$342</f>
        <v>74.691817010297342</v>
      </c>
      <c r="BV453" s="63"/>
      <c r="BW453" s="1425">
        <f>+BW$342</f>
        <v>74.691817010297356</v>
      </c>
      <c r="BX453" s="1423">
        <f>+BX$342</f>
        <v>74.691817010297356</v>
      </c>
      <c r="BY453" s="2284">
        <f>+BY$342</f>
        <v>74.691817010297356</v>
      </c>
      <c r="BZ453" s="2284">
        <f>+BZ$342</f>
        <v>74.691817010297356</v>
      </c>
      <c r="CA453" s="1424">
        <f>+CA$342</f>
        <v>74.691817010297342</v>
      </c>
      <c r="CB453" s="63"/>
      <c r="CC453" s="1425">
        <f>+CC$342</f>
        <v>74.691817010297356</v>
      </c>
      <c r="CD453" s="1423">
        <f>+CD$342</f>
        <v>74.691817010297356</v>
      </c>
      <c r="CE453" s="2284">
        <f>+CE$342</f>
        <v>74.691817010297356</v>
      </c>
      <c r="CF453" s="2284">
        <f>+CF$342</f>
        <v>74.691817010297356</v>
      </c>
      <c r="CG453" s="1424">
        <f>+CG$342</f>
        <v>74.691817010297342</v>
      </c>
      <c r="CH453" s="63"/>
      <c r="CI453" s="1425">
        <f>+CI$342</f>
        <v>74.691817010297356</v>
      </c>
      <c r="CJ453" s="1423">
        <f>+CJ$342</f>
        <v>74.691817010297356</v>
      </c>
      <c r="CK453" s="2284">
        <f>+CK$342</f>
        <v>74.691817010297356</v>
      </c>
      <c r="CL453" s="2284">
        <f>+CL$342</f>
        <v>74.691817010297356</v>
      </c>
      <c r="CM453" s="1424">
        <f>+CM$342</f>
        <v>74.691817010297342</v>
      </c>
      <c r="CN453" s="63"/>
      <c r="CO453" s="1425">
        <f>+CO$342</f>
        <v>74.691817010297356</v>
      </c>
      <c r="CP453" s="1423">
        <f>+CP$342</f>
        <v>74.691817010297356</v>
      </c>
      <c r="CQ453" s="2284">
        <f>+CQ$342</f>
        <v>74.691817010297356</v>
      </c>
      <c r="CR453" s="2284">
        <f>+CR$342</f>
        <v>74.691817010297356</v>
      </c>
      <c r="CS453" s="1424">
        <f>+CS$342</f>
        <v>74.691817010297342</v>
      </c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  <c r="JO453"/>
      <c r="JP453"/>
      <c r="JQ453"/>
      <c r="JR453"/>
      <c r="JS453"/>
      <c r="JT453"/>
    </row>
    <row r="454" spans="1:280" s="6" customFormat="1">
      <c r="A454" s="125" t="s">
        <v>221</v>
      </c>
      <c r="B454"/>
      <c r="C454" s="1850"/>
      <c r="D454"/>
      <c r="E454"/>
      <c r="F454"/>
      <c r="G454" s="736"/>
      <c r="H454" s="63"/>
      <c r="I454" s="1425"/>
      <c r="M454" s="1841"/>
      <c r="N454" s="63"/>
      <c r="O454" s="1425"/>
      <c r="P454" s="2278"/>
      <c r="Q454" s="2278"/>
      <c r="R454" s="2278"/>
      <c r="S454" s="2279"/>
      <c r="T454" s="63"/>
      <c r="U454" s="1425"/>
      <c r="V454" s="2278"/>
      <c r="W454" s="2278"/>
      <c r="X454" s="2278"/>
      <c r="Y454" s="2279"/>
      <c r="Z454" s="63"/>
      <c r="AA454" s="1425"/>
      <c r="AB454" s="2278"/>
      <c r="AC454" s="2278"/>
      <c r="AD454" s="2278"/>
      <c r="AE454" s="2279"/>
      <c r="AF454" s="63"/>
      <c r="AG454" s="2246">
        <f>+SUM(AG444:AG453)</f>
        <v>9.9715968000000004</v>
      </c>
      <c r="AH454" s="2292">
        <f>+SUM(AH444:AH453)</f>
        <v>10.9971072</v>
      </c>
      <c r="AI454" s="2293">
        <f>+SUM(AI444:AI453)</f>
        <v>12.112068000000002</v>
      </c>
      <c r="AJ454" s="2293">
        <f>+SUM(AJ444:AJ453)</f>
        <v>16.751726400000003</v>
      </c>
      <c r="AK454" s="2290">
        <f>+SUM(AK444:AK453)</f>
        <v>12.458124600000001</v>
      </c>
      <c r="AL454" s="63"/>
      <c r="AM454" s="2246">
        <f>+SUM(AM444:AM453)</f>
        <v>25.858046399999999</v>
      </c>
      <c r="AN454" s="2292">
        <f>+SUM(AN444:AN453)</f>
        <v>35.755586399999999</v>
      </c>
      <c r="AO454" s="2293">
        <f>+SUM(AO444:AO453)</f>
        <v>43.686806400000002</v>
      </c>
      <c r="AP454" s="2293">
        <f>+SUM(AP444:AP453)</f>
        <v>49.163633278195491</v>
      </c>
      <c r="AQ454" s="2290">
        <f>+SUM(AQ444:AQ453)</f>
        <v>38.616018119548876</v>
      </c>
      <c r="AR454" s="63"/>
      <c r="AS454" s="2246">
        <f>+SUM(AS444:AS453)</f>
        <v>55.179008156390978</v>
      </c>
      <c r="AT454" s="2292">
        <f>+SUM(AT444:AT453)</f>
        <v>68.902952156390981</v>
      </c>
      <c r="AU454" s="2293">
        <f>+SUM(AU444:AU453)</f>
        <v>86.214728156390976</v>
      </c>
      <c r="AV454" s="2293">
        <f>+SUM(AV444:AV453)</f>
        <v>105.27894815639098</v>
      </c>
      <c r="AW454" s="2290">
        <f>+SUM(AW444:AW453)</f>
        <v>78.893909156390976</v>
      </c>
      <c r="AX454" s="1588"/>
      <c r="AY454" s="2246">
        <f>+SUM(AY444:AY453)</f>
        <v>126.50288555467671</v>
      </c>
      <c r="AZ454" s="2292">
        <f>+SUM(AZ444:AZ453)</f>
        <v>149.84902218231363</v>
      </c>
      <c r="BA454" s="2293">
        <f>+SUM(BA444:BA453)</f>
        <v>173.09121696257787</v>
      </c>
      <c r="BB454" s="2293">
        <f>+SUM(BB444:BB453)</f>
        <v>195.22715380766232</v>
      </c>
      <c r="BC454" s="2290">
        <f>+SUM(BC444:BC453)</f>
        <v>161.16756962680765</v>
      </c>
      <c r="BD454" s="3"/>
      <c r="BE454" s="2246">
        <f>+SUM(BE444:BE453)</f>
        <v>212.34585345054839</v>
      </c>
      <c r="BF454" s="2292">
        <f>+SUM(BF444:BF453)</f>
        <v>225.31463376059958</v>
      </c>
      <c r="BG454" s="2293">
        <f>+SUM(BG444:BG453)</f>
        <v>237.60525036558704</v>
      </c>
      <c r="BH454" s="2293">
        <f>+SUM(BH444:BH453)</f>
        <v>248.45262411901007</v>
      </c>
      <c r="BI454" s="2290">
        <f>+SUM(BI444:BI453)</f>
        <v>230.9295904239363</v>
      </c>
      <c r="BJ454" s="1588"/>
      <c r="BK454" s="2246">
        <f>+SUM(BK444:BK453)</f>
        <v>257.89332373924412</v>
      </c>
      <c r="BL454" s="2292">
        <f>+SUM(BL444:BL453)</f>
        <v>265.50119270402251</v>
      </c>
      <c r="BM454" s="2293">
        <f>+SUM(BM444:BM453)</f>
        <v>271.87636556959393</v>
      </c>
      <c r="BN454" s="2293">
        <f>+SUM(BN444:BN453)</f>
        <v>278.14814985419906</v>
      </c>
      <c r="BO454" s="2290">
        <f>+SUM(BO444:BO453)</f>
        <v>268.35475796676491</v>
      </c>
      <c r="BP454" s="1588"/>
      <c r="BQ454" s="2246">
        <f>+SUM(BQ444:BQ453)</f>
        <v>286.5595550486135</v>
      </c>
      <c r="BR454" s="2292">
        <f>+SUM(BR444:BR453)</f>
        <v>294.42703537083781</v>
      </c>
      <c r="BS454" s="2293">
        <f>+SUM(BS444:BS453)</f>
        <v>300.96304582830533</v>
      </c>
      <c r="BT454" s="2293">
        <f>+SUM(BT444:BT453)</f>
        <v>306.79152616524556</v>
      </c>
      <c r="BU454" s="2290">
        <f>+SUM(BU444:BU453)</f>
        <v>297.18529060325056</v>
      </c>
      <c r="BV454" s="1588"/>
      <c r="BW454" s="2246">
        <f>+SUM(BW444:BW453)</f>
        <v>312.96699028893318</v>
      </c>
      <c r="BX454" s="2292">
        <f>+SUM(BX444:BX453)</f>
        <v>319.50337204956054</v>
      </c>
      <c r="BY454" s="2293">
        <f>+SUM(BY444:BY453)</f>
        <v>326.28514324599132</v>
      </c>
      <c r="BZ454" s="2293">
        <f>+SUM(BZ444:BZ453)</f>
        <v>333.32331077098627</v>
      </c>
      <c r="CA454" s="2290">
        <f>+SUM(CA444:CA453)</f>
        <v>323.0197040888678</v>
      </c>
      <c r="CB454" s="1588"/>
      <c r="CC454" s="2246">
        <f>+SUM(CC444:CC453)</f>
        <v>340.79155230352325</v>
      </c>
      <c r="CD454" s="2292">
        <f>+SUM(CD444:CD453)</f>
        <v>348.70624511927997</v>
      </c>
      <c r="CE454" s="2293">
        <f>+SUM(CE444:CE453)</f>
        <v>356.92189745910349</v>
      </c>
      <c r="CF454" s="2293">
        <f>+SUM(CF444:CF453)</f>
        <v>365.45114360300227</v>
      </c>
      <c r="CG454" s="2290">
        <f>+SUM(CG444:CG453)</f>
        <v>352.96770962122719</v>
      </c>
      <c r="CH454" s="1588"/>
      <c r="CI454" s="2246">
        <f>+SUM(CI444:CI453)</f>
        <v>374.30703708657717</v>
      </c>
      <c r="CJ454" s="2292">
        <f>+SUM(CJ444:CJ453)</f>
        <v>383.50306357250639</v>
      </c>
      <c r="CK454" s="2293">
        <f>+SUM(CK444:CK453)</f>
        <v>394.39425843975562</v>
      </c>
      <c r="CL454" s="2293">
        <f>+SUM(CL444:CL453)</f>
        <v>407.31509439985729</v>
      </c>
      <c r="CM454" s="2290">
        <f>+SUM(CM444:CM453)</f>
        <v>389.87986337467419</v>
      </c>
      <c r="CN454" s="1588"/>
      <c r="CO454" s="2246">
        <f>+SUM(CO444:CO453)</f>
        <v>420.9858093386087</v>
      </c>
      <c r="CP454" s="2292">
        <f>+SUM(CP444:CP453)</f>
        <v>435.14852218673548</v>
      </c>
      <c r="CQ454" s="2293">
        <f>+SUM(CQ444:CQ453)</f>
        <v>449.81983264361907</v>
      </c>
      <c r="CR454" s="2293">
        <f>+SUM(CR444:CR453)</f>
        <v>465.01686411132249</v>
      </c>
      <c r="CS454" s="2290">
        <f>+SUM(CS444:CS453)</f>
        <v>442.74275707007132</v>
      </c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  <c r="JO454"/>
      <c r="JP454"/>
      <c r="JQ454"/>
      <c r="JR454"/>
      <c r="JS454"/>
      <c r="JT454"/>
    </row>
    <row r="455" spans="1:280" s="6" customFormat="1">
      <c r="A455" s="1930" t="s">
        <v>659</v>
      </c>
      <c r="B455"/>
      <c r="C455" s="1850"/>
      <c r="D455"/>
      <c r="E455"/>
      <c r="F455"/>
      <c r="G455" s="736"/>
      <c r="H455" s="63"/>
      <c r="I455" s="1425"/>
      <c r="M455" s="1841"/>
      <c r="N455" s="63"/>
      <c r="O455" s="1425"/>
      <c r="P455" s="2278"/>
      <c r="Q455" s="2278"/>
      <c r="R455" s="2278"/>
      <c r="S455" s="2279"/>
      <c r="T455" s="63"/>
      <c r="U455" s="1425"/>
      <c r="V455" s="2278"/>
      <c r="W455" s="2278"/>
      <c r="X455" s="2278"/>
      <c r="Y455" s="2279"/>
      <c r="Z455" s="63"/>
      <c r="AA455" s="1425"/>
      <c r="AB455" s="2278"/>
      <c r="AC455" s="2278"/>
      <c r="AD455" s="2278"/>
      <c r="AE455" s="2279"/>
      <c r="AF455" s="63"/>
      <c r="AG455" s="1425">
        <f>+AG454-AA454</f>
        <v>9.9715968000000004</v>
      </c>
      <c r="AH455" s="1423">
        <f>+AH454-AB454</f>
        <v>10.9971072</v>
      </c>
      <c r="AI455" s="2284">
        <f>+AI454-AC454</f>
        <v>12.112068000000002</v>
      </c>
      <c r="AJ455" s="2284">
        <f>+AJ454-AD454</f>
        <v>16.751726400000003</v>
      </c>
      <c r="AK455" s="1424">
        <f>+AK454-AE454</f>
        <v>12.458124600000001</v>
      </c>
      <c r="AL455" s="63"/>
      <c r="AM455" s="1425">
        <f>+AM454-AG454</f>
        <v>15.886449599999999</v>
      </c>
      <c r="AN455" s="1423">
        <f>+AN454-AH454</f>
        <v>24.758479199999996</v>
      </c>
      <c r="AO455" s="2284">
        <f>+AO454-AI454</f>
        <v>31.574738400000001</v>
      </c>
      <c r="AP455" s="2284">
        <f>+AP454-AJ454</f>
        <v>32.411906878195488</v>
      </c>
      <c r="AQ455" s="1424">
        <f>+AQ454-AK454</f>
        <v>26.157893519548875</v>
      </c>
      <c r="AR455" s="63"/>
      <c r="AS455" s="1425">
        <f>+AS454-AM454</f>
        <v>29.320961756390979</v>
      </c>
      <c r="AT455" s="1423">
        <f>+AT454-AN454</f>
        <v>33.147365756390982</v>
      </c>
      <c r="AU455" s="2284">
        <f>+AU454-AO454</f>
        <v>42.527921756390974</v>
      </c>
      <c r="AV455" s="2284">
        <f>+AV454-AP454</f>
        <v>56.115314878195491</v>
      </c>
      <c r="AW455" s="1424">
        <f>+AW454-AQ454</f>
        <v>40.277891036842099</v>
      </c>
      <c r="AX455" s="63"/>
      <c r="AY455" s="1425">
        <f>+AY454-AS454</f>
        <v>71.323877398285731</v>
      </c>
      <c r="AZ455" s="1423">
        <f>+AZ454-AT454</f>
        <v>80.946070025922651</v>
      </c>
      <c r="BA455" s="2284">
        <f>+BA454-AU454</f>
        <v>86.876488806186899</v>
      </c>
      <c r="BB455" s="2284">
        <f>+BB454-AV454</f>
        <v>89.948205651271337</v>
      </c>
      <c r="BC455" s="1424">
        <f>+BC454-AW454</f>
        <v>82.273660470416672</v>
      </c>
      <c r="BD455"/>
      <c r="BE455" s="1425">
        <f>+BE454-AY454</f>
        <v>85.842967895871681</v>
      </c>
      <c r="BF455" s="1423">
        <f>+BF454-AZ454</f>
        <v>75.465611578285944</v>
      </c>
      <c r="BG455" s="2284">
        <f>+BG454-BA454</f>
        <v>64.514033403009165</v>
      </c>
      <c r="BH455" s="2284">
        <f>+BH454-BB454</f>
        <v>53.225470311347749</v>
      </c>
      <c r="BI455" s="1424">
        <f>+BI454-BC454</f>
        <v>69.762020797128656</v>
      </c>
      <c r="BJ455" s="63"/>
      <c r="BK455" s="1425">
        <f>+BK454-BE454</f>
        <v>45.547470288695735</v>
      </c>
      <c r="BL455" s="1423">
        <f>+BL454-BF454</f>
        <v>40.186558943422938</v>
      </c>
      <c r="BM455" s="2284">
        <f>+BM454-BG454</f>
        <v>34.27111520400689</v>
      </c>
      <c r="BN455" s="2284">
        <f>+BN454-BH454</f>
        <v>29.695525735188994</v>
      </c>
      <c r="BO455" s="1424">
        <f>+BO454-BI454</f>
        <v>37.425167542828603</v>
      </c>
      <c r="BP455" s="63"/>
      <c r="BQ455" s="1425">
        <f>+BQ454-BK454</f>
        <v>28.66623130936938</v>
      </c>
      <c r="BR455" s="1423">
        <f>+BR454-BL454</f>
        <v>28.925842666815299</v>
      </c>
      <c r="BS455" s="2284">
        <f>+BS454-BM454</f>
        <v>29.086680258711397</v>
      </c>
      <c r="BT455" s="2284">
        <f>+BT454-BN454</f>
        <v>28.643376311046495</v>
      </c>
      <c r="BU455" s="1424">
        <f>+BU454-BO454</f>
        <v>28.830532636485657</v>
      </c>
      <c r="BV455" s="63"/>
      <c r="BW455" s="1425">
        <f>+BW454-BQ454</f>
        <v>26.407435240319671</v>
      </c>
      <c r="BX455" s="1423">
        <f>+BX454-BR454</f>
        <v>25.076336678722726</v>
      </c>
      <c r="BY455" s="2284">
        <f>+BY454-BS454</f>
        <v>25.322097417685995</v>
      </c>
      <c r="BZ455" s="2284">
        <f>+BZ454-BT454</f>
        <v>26.531784605740711</v>
      </c>
      <c r="CA455" s="1424">
        <f>+CA454-BU454</f>
        <v>25.834413485617233</v>
      </c>
      <c r="CB455" s="63"/>
      <c r="CC455" s="1425">
        <f>+CC454-BW454</f>
        <v>27.824562014590072</v>
      </c>
      <c r="CD455" s="1423">
        <f>+CD454-BX454</f>
        <v>29.202873069719431</v>
      </c>
      <c r="CE455" s="2284">
        <f>+CE454-BY454</f>
        <v>30.63675421311217</v>
      </c>
      <c r="CF455" s="2284">
        <f>+CF454-BZ454</f>
        <v>32.127832832015997</v>
      </c>
      <c r="CG455" s="1424">
        <f>+CG454-CA454</f>
        <v>29.948005532359389</v>
      </c>
      <c r="CH455" s="63"/>
      <c r="CI455" s="1425">
        <f>+CI454-CC454</f>
        <v>33.515484783053921</v>
      </c>
      <c r="CJ455" s="1423">
        <f>+CJ454-CD454</f>
        <v>34.796818453226422</v>
      </c>
      <c r="CK455" s="2284">
        <f>+CK454-CE454</f>
        <v>37.472360980652127</v>
      </c>
      <c r="CL455" s="2284">
        <f>+CL454-CF454</f>
        <v>41.863950796855022</v>
      </c>
      <c r="CM455" s="1424">
        <f>+CM454-CG454</f>
        <v>36.912153753447001</v>
      </c>
      <c r="CN455" s="63"/>
      <c r="CO455" s="1425">
        <f>+CO454-CI454</f>
        <v>46.678772252031536</v>
      </c>
      <c r="CP455" s="1423">
        <f>+CP454-CJ454</f>
        <v>51.645458614229085</v>
      </c>
      <c r="CQ455" s="2284">
        <f>+CQ454-CK454</f>
        <v>55.425574203863448</v>
      </c>
      <c r="CR455" s="2284">
        <f>+CR454-CL454</f>
        <v>57.701769711465204</v>
      </c>
      <c r="CS455" s="1424">
        <f>+CS454-CM454</f>
        <v>52.862893695397133</v>
      </c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  <c r="JO455"/>
      <c r="JP455"/>
      <c r="JQ455"/>
      <c r="JR455"/>
      <c r="JS455"/>
      <c r="JT455"/>
    </row>
    <row r="456" spans="1:280" s="6" customFormat="1">
      <c r="A456" s="1930" t="s">
        <v>662</v>
      </c>
      <c r="B456"/>
      <c r="C456" s="1850"/>
      <c r="D456"/>
      <c r="E456"/>
      <c r="F456"/>
      <c r="G456" s="736"/>
      <c r="H456" s="63"/>
      <c r="I456" s="1425"/>
      <c r="M456" s="1841"/>
      <c r="N456" s="63"/>
      <c r="O456" s="1425"/>
      <c r="P456" s="2278"/>
      <c r="Q456" s="2278"/>
      <c r="R456" s="2278"/>
      <c r="S456" s="2279"/>
      <c r="T456" s="63"/>
      <c r="U456" s="1425"/>
      <c r="V456" s="2278"/>
      <c r="W456" s="2278"/>
      <c r="X456" s="2278"/>
      <c r="Y456" s="2279"/>
      <c r="Z456" s="63"/>
      <c r="AA456" s="1425"/>
      <c r="AB456" s="2278"/>
      <c r="AC456" s="2278"/>
      <c r="AD456" s="2278"/>
      <c r="AE456" s="2279"/>
      <c r="AF456" s="63"/>
      <c r="AG456" s="1425">
        <f>+AG454-AD454</f>
        <v>9.9715968000000004</v>
      </c>
      <c r="AH456" s="1423">
        <f>+AH454-AG454</f>
        <v>1.0255103999999999</v>
      </c>
      <c r="AI456" s="2284">
        <f>+AI454-AH454</f>
        <v>1.1149608000000022</v>
      </c>
      <c r="AJ456" s="2284">
        <f>+AJ454-AI454</f>
        <v>4.6396584000000001</v>
      </c>
      <c r="AK456" s="1424">
        <f>+AVERAGE(AG456:AJ456)</f>
        <v>4.1879316000000006</v>
      </c>
      <c r="AL456" s="63"/>
      <c r="AM456" s="1425">
        <f>+AM454-AJ454</f>
        <v>9.1063199999999966</v>
      </c>
      <c r="AN456" s="1423">
        <f>+AN454-AM454</f>
        <v>9.8975399999999993</v>
      </c>
      <c r="AO456" s="2284">
        <f>+AO454-AN454</f>
        <v>7.9312200000000033</v>
      </c>
      <c r="AP456" s="2284">
        <f>+AP454-AO454</f>
        <v>5.4768268781954887</v>
      </c>
      <c r="AQ456" s="1424">
        <f>+AVERAGE(AM456:AP456)</f>
        <v>8.102976719548872</v>
      </c>
      <c r="AR456" s="63"/>
      <c r="AS456" s="1425">
        <f>+AS454-AP454</f>
        <v>6.0153748781954874</v>
      </c>
      <c r="AT456" s="1423">
        <f>+AT454-AS454</f>
        <v>13.723944000000003</v>
      </c>
      <c r="AU456" s="2284">
        <f>+AU454-AT454</f>
        <v>17.311775999999995</v>
      </c>
      <c r="AV456" s="2284">
        <f>+AV454-AU454</f>
        <v>19.064220000000006</v>
      </c>
      <c r="AW456" s="1424">
        <f>+AVERAGE(AS456:AV456)</f>
        <v>14.028828719548873</v>
      </c>
      <c r="AX456" s="63"/>
      <c r="AY456" s="1425">
        <f>+AY454-AV454</f>
        <v>21.223937398285727</v>
      </c>
      <c r="AZ456" s="1423">
        <f>+AZ454-AY454</f>
        <v>23.346136627636923</v>
      </c>
      <c r="BA456" s="2284">
        <f>+BA454-AZ454</f>
        <v>23.242194780264242</v>
      </c>
      <c r="BB456" s="2284">
        <f>+BB454-BA454</f>
        <v>22.135936845084444</v>
      </c>
      <c r="BC456" s="1424">
        <f>+AVERAGE(AY456:BB456)</f>
        <v>22.487051412817834</v>
      </c>
      <c r="BD456"/>
      <c r="BE456" s="1425">
        <f>+BE454-BB454</f>
        <v>17.118699642886071</v>
      </c>
      <c r="BF456" s="1423">
        <f>+BF454-BE454</f>
        <v>12.968780310051187</v>
      </c>
      <c r="BG456" s="2284">
        <f>+BG454-BF454</f>
        <v>12.290616604987463</v>
      </c>
      <c r="BH456" s="2284">
        <f>+BH454-BG454</f>
        <v>10.847373753423028</v>
      </c>
      <c r="BI456" s="1424">
        <f>+AVERAGE(BE456:BH456)</f>
        <v>13.306367577836937</v>
      </c>
      <c r="BJ456" s="63"/>
      <c r="BK456" s="1425">
        <f>+BK454-BH454</f>
        <v>9.4406996202340565</v>
      </c>
      <c r="BL456" s="1423">
        <f>+BL454-BK454</f>
        <v>7.6078689647783904</v>
      </c>
      <c r="BM456" s="2284">
        <f>+BM454-BL454</f>
        <v>6.3751728655714146</v>
      </c>
      <c r="BN456" s="2284">
        <f>+BN454-BM454</f>
        <v>6.2717842846051326</v>
      </c>
      <c r="BO456" s="1424">
        <f>+AVERAGE(BK456:BN456)</f>
        <v>7.4238814337972485</v>
      </c>
      <c r="BP456" s="63"/>
      <c r="BQ456" s="1425">
        <f>+BQ454-BN454</f>
        <v>8.4114051944144421</v>
      </c>
      <c r="BR456" s="1423">
        <f>+BR454-BQ454</f>
        <v>7.8674803222243099</v>
      </c>
      <c r="BS456" s="2284">
        <f>+BS454-BR454</f>
        <v>6.536010457467512</v>
      </c>
      <c r="BT456" s="2284">
        <f>+BT454-BS454</f>
        <v>5.8284803369402312</v>
      </c>
      <c r="BU456" s="1424">
        <f>+AVERAGE(BQ456:BT456)</f>
        <v>7.1608440777616238</v>
      </c>
      <c r="BV456" s="63"/>
      <c r="BW456" s="1425">
        <f>+BW454-BT454</f>
        <v>6.1754641236876182</v>
      </c>
      <c r="BX456" s="1423">
        <f>+BX454-BW454</f>
        <v>6.5363817606273642</v>
      </c>
      <c r="BY456" s="2284">
        <f>+BY454-BX454</f>
        <v>6.7817711964307819</v>
      </c>
      <c r="BZ456" s="2284">
        <f>+BZ454-BY454</f>
        <v>7.0381675249949467</v>
      </c>
      <c r="CA456" s="1424">
        <f>+AVERAGE(BW456:BZ456)</f>
        <v>6.6329461514351777</v>
      </c>
      <c r="CB456" s="63"/>
      <c r="CC456" s="1425">
        <f>+CC454-BZ454</f>
        <v>7.4682415325369789</v>
      </c>
      <c r="CD456" s="1423">
        <f>+CD454-CC454</f>
        <v>7.9146928157567231</v>
      </c>
      <c r="CE456" s="2284">
        <f>+CE454-CD454</f>
        <v>8.2156523398235208</v>
      </c>
      <c r="CF456" s="2284">
        <f>+CF454-CE454</f>
        <v>8.5292461438987743</v>
      </c>
      <c r="CG456" s="1424">
        <f>+AVERAGE(CC456:CF456)</f>
        <v>8.0319582080039993</v>
      </c>
      <c r="CH456" s="63"/>
      <c r="CI456" s="1425">
        <f>+CI454-CF454</f>
        <v>8.8558934835749028</v>
      </c>
      <c r="CJ456" s="1423">
        <f>+CJ454-CI454</f>
        <v>9.1960264859292238</v>
      </c>
      <c r="CK456" s="2284">
        <f>+CK454-CJ454</f>
        <v>10.891194867249226</v>
      </c>
      <c r="CL456" s="2284">
        <f>+CL454-CK454</f>
        <v>12.92083596010167</v>
      </c>
      <c r="CM456" s="1424">
        <f>+AVERAGE(CI456:CL456)</f>
        <v>10.465987699213755</v>
      </c>
      <c r="CN456" s="63"/>
      <c r="CO456" s="1425">
        <f>+CO454-CL454</f>
        <v>13.670714938751416</v>
      </c>
      <c r="CP456" s="1423">
        <f>+CP454-CO454</f>
        <v>14.162712848126773</v>
      </c>
      <c r="CQ456" s="2284">
        <f>+CQ454-CP454</f>
        <v>14.671310456883589</v>
      </c>
      <c r="CR456" s="2284">
        <f>+CR454-CQ454</f>
        <v>15.197031467703425</v>
      </c>
      <c r="CS456" s="1424">
        <f>+AVERAGE(CO456:CR456)</f>
        <v>14.425442427866301</v>
      </c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  <c r="HB456"/>
      <c r="HC456"/>
      <c r="HD456"/>
      <c r="HE456"/>
      <c r="HF456"/>
      <c r="HG456"/>
      <c r="HH456"/>
      <c r="HI456"/>
      <c r="HJ456"/>
      <c r="HK456"/>
      <c r="HL456"/>
      <c r="HM456"/>
      <c r="HN456"/>
      <c r="HO456"/>
      <c r="HP456"/>
      <c r="HQ456"/>
      <c r="HR456"/>
      <c r="HS456"/>
      <c r="HT456"/>
      <c r="HU456"/>
      <c r="HV456"/>
      <c r="HW456"/>
      <c r="HX456"/>
      <c r="HY456"/>
      <c r="HZ456"/>
      <c r="IA456"/>
      <c r="IB456"/>
      <c r="IC456"/>
      <c r="ID456"/>
      <c r="IE456"/>
      <c r="IF456"/>
      <c r="IG456"/>
      <c r="IH456"/>
      <c r="II456"/>
      <c r="IJ456"/>
      <c r="IK456"/>
      <c r="IL456"/>
      <c r="IM456"/>
      <c r="IN456"/>
      <c r="IO456"/>
      <c r="IP456"/>
      <c r="IQ456"/>
      <c r="IR456"/>
      <c r="IS456"/>
      <c r="IT456"/>
      <c r="IU456"/>
      <c r="IV456"/>
      <c r="IW456"/>
      <c r="IX456"/>
      <c r="IY456"/>
      <c r="IZ456"/>
      <c r="JA456"/>
      <c r="JB456"/>
      <c r="JC456"/>
      <c r="JD456"/>
      <c r="JE456"/>
      <c r="JF456"/>
      <c r="JG456"/>
      <c r="JH456"/>
      <c r="JI456"/>
      <c r="JJ456"/>
      <c r="JK456"/>
      <c r="JL456"/>
      <c r="JM456"/>
      <c r="JN456"/>
      <c r="JO456"/>
      <c r="JP456"/>
      <c r="JQ456"/>
      <c r="JR456"/>
      <c r="JS456"/>
      <c r="JT456"/>
    </row>
    <row r="457" spans="1:280" s="6" customFormat="1">
      <c r="A457" s="1028" t="s">
        <v>428</v>
      </c>
      <c r="B457"/>
      <c r="C457" s="1850"/>
      <c r="D457"/>
      <c r="E457"/>
      <c r="F457"/>
      <c r="G457" s="736"/>
      <c r="H457" s="63"/>
      <c r="I457" s="1425"/>
      <c r="M457" s="1841"/>
      <c r="N457" s="63"/>
      <c r="O457" s="1425"/>
      <c r="P457" s="2278"/>
      <c r="Q457" s="2278"/>
      <c r="R457" s="2278"/>
      <c r="S457" s="2279"/>
      <c r="T457" s="63"/>
      <c r="U457" s="1425"/>
      <c r="V457" s="2278"/>
      <c r="W457" s="2278"/>
      <c r="X457" s="2278"/>
      <c r="Y457" s="2279"/>
      <c r="Z457" s="63"/>
      <c r="AA457" s="1425"/>
      <c r="AB457" s="2278"/>
      <c r="AC457" s="2278"/>
      <c r="AD457" s="2278"/>
      <c r="AE457" s="2279"/>
      <c r="AF457" s="63"/>
      <c r="AG457" s="1425"/>
      <c r="AH457" s="2278"/>
      <c r="AI457" s="2278"/>
      <c r="AJ457" s="2278"/>
      <c r="AK457" s="2279"/>
      <c r="AL457" s="63"/>
      <c r="AM457" s="1425"/>
      <c r="AN457" s="2278"/>
      <c r="AO457" s="2278"/>
      <c r="AP457" s="2278"/>
      <c r="AQ457" s="2279"/>
      <c r="AR457" s="63"/>
      <c r="AS457" s="1425"/>
      <c r="AT457" s="2278"/>
      <c r="AU457" s="2278"/>
      <c r="AV457" s="2278"/>
      <c r="AW457" s="2279"/>
      <c r="AX457" s="63"/>
      <c r="AY457" s="1392">
        <f>+AY454/AS454-1</f>
        <v>1.292590783729497</v>
      </c>
      <c r="AZ457" s="154">
        <f>+AZ454/AT454-1</f>
        <v>1.1747837718505449</v>
      </c>
      <c r="BA457" s="154">
        <f>+BA454/AU454-1</f>
        <v>1.0076757262238942</v>
      </c>
      <c r="BB457" s="154">
        <f>+BB454/AV454-1</f>
        <v>0.85437979032288625</v>
      </c>
      <c r="BC457" s="1393">
        <f>+BC454/AW454-1</f>
        <v>1.0428391918991622</v>
      </c>
      <c r="BD457"/>
      <c r="BE457" s="1392">
        <f>+BE454/AY454-1</f>
        <v>0.6785850577200383</v>
      </c>
      <c r="BF457" s="154">
        <f>+BF454/AZ454-1</f>
        <v>0.50361097109109454</v>
      </c>
      <c r="BG457" s="154">
        <f>+BG454/BA454-1</f>
        <v>0.37271696701373958</v>
      </c>
      <c r="BH457" s="154">
        <f>+BH454/BB454-1</f>
        <v>0.27263354135555073</v>
      </c>
      <c r="BI457" s="1393">
        <f>+BI454/BC454-1</f>
        <v>0.43285396037593937</v>
      </c>
      <c r="BJ457" s="63"/>
      <c r="BK457" s="1392">
        <f>+BK454/BE454-1</f>
        <v>0.21449663154973231</v>
      </c>
      <c r="BL457" s="154">
        <f>+BL454/BF454-1</f>
        <v>0.17835751842963643</v>
      </c>
      <c r="BM457" s="154">
        <f>+BM454/BG454-1</f>
        <v>0.14423551310956406</v>
      </c>
      <c r="BN457" s="154">
        <f>+BN454/BH454-1</f>
        <v>0.11952188406335651</v>
      </c>
      <c r="BO457" s="1393">
        <f>+BO454/BI454-1</f>
        <v>0.16206310968691429</v>
      </c>
      <c r="BP457" s="63"/>
      <c r="BQ457" s="1392">
        <f>+BQ454/BK454-1</f>
        <v>0.1111553835273138</v>
      </c>
      <c r="BR457" s="154">
        <f>+BR454/BL454-1</f>
        <v>0.10894807052359079</v>
      </c>
      <c r="BS457" s="154">
        <f>+BS454/BM454-1</f>
        <v>0.10698495324436674</v>
      </c>
      <c r="BT457" s="154">
        <f>+BT454/BN454-1</f>
        <v>0.10297884895535314</v>
      </c>
      <c r="BU457" s="1393">
        <f>+BU454/BO454-1</f>
        <v>0.10743440084656997</v>
      </c>
      <c r="BV457" s="63"/>
      <c r="BW457" s="1392">
        <f>+BW454/BQ454-1</f>
        <v>9.2153392811626045E-2</v>
      </c>
      <c r="BX457" s="154">
        <f>+BX454/BR454-1</f>
        <v>8.5169952708787466E-2</v>
      </c>
      <c r="BY457" s="154">
        <f>+BY454/BS454-1</f>
        <v>8.4136899093358641E-2</v>
      </c>
      <c r="BZ457" s="154">
        <f>+BZ454/BT454-1</f>
        <v>8.6481477951415142E-2</v>
      </c>
      <c r="CA457" s="1393">
        <f>+CA454/BU454-1</f>
        <v>8.6930323614525129E-2</v>
      </c>
      <c r="CB457" s="63"/>
      <c r="CC457" s="1392">
        <f>+CC454/BW454-1</f>
        <v>8.8905740470911265E-2</v>
      </c>
      <c r="CD457" s="154">
        <f>+CD454/BX454-1</f>
        <v>9.140082898777524E-2</v>
      </c>
      <c r="CE457" s="154">
        <f>+CE454/BY454-1</f>
        <v>9.3895645717508636E-2</v>
      </c>
      <c r="CF457" s="154">
        <f>+CF454/BZ454-1</f>
        <v>9.6386396612056391E-2</v>
      </c>
      <c r="CG457" s="1393">
        <f>+CG454/CA454-1</f>
        <v>9.2712627599089714E-2</v>
      </c>
      <c r="CH457" s="63"/>
      <c r="CI457" s="1392">
        <f>+CI454/CC454-1</f>
        <v>9.8345996420720061E-2</v>
      </c>
      <c r="CJ457" s="154">
        <f>+CJ454/CD454-1</f>
        <v>9.9788343169258997E-2</v>
      </c>
      <c r="CK457" s="154">
        <f>+CK454/CE454-1</f>
        <v>0.10498756519959884</v>
      </c>
      <c r="CL457" s="154">
        <f>+CL454/CF454-1</f>
        <v>0.11455416552843722</v>
      </c>
      <c r="CM457" s="1393">
        <f>+CM454/CG454-1</f>
        <v>0.10457657385446884</v>
      </c>
      <c r="CN457" s="63"/>
      <c r="CO457" s="1392">
        <f>+CO454/CI454-1</f>
        <v>0.1247071725270148</v>
      </c>
      <c r="CP457" s="154">
        <f>+CP454/CJ454-1</f>
        <v>0.13466765593246643</v>
      </c>
      <c r="CQ457" s="154">
        <f>+CQ454/CK454-1</f>
        <v>0.14053342060082197</v>
      </c>
      <c r="CR457" s="154">
        <f>+CR454/CL454-1</f>
        <v>0.14166371564619684</v>
      </c>
      <c r="CS457" s="1393">
        <f>+CS454/CM454-1</f>
        <v>0.13558764804581847</v>
      </c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  <c r="HB457"/>
      <c r="HC457"/>
      <c r="HD457"/>
      <c r="HE457"/>
      <c r="HF457"/>
      <c r="HG457"/>
      <c r="HH457"/>
      <c r="HI457"/>
      <c r="HJ457"/>
      <c r="HK457"/>
      <c r="HL457"/>
      <c r="HM457"/>
      <c r="HN457"/>
      <c r="HO457"/>
      <c r="HP457"/>
      <c r="HQ457"/>
      <c r="HR457"/>
      <c r="HS457"/>
      <c r="HT457"/>
      <c r="HU457"/>
      <c r="HV457"/>
      <c r="HW457"/>
      <c r="HX457"/>
      <c r="HY457"/>
      <c r="HZ457"/>
      <c r="IA457"/>
      <c r="IB457"/>
      <c r="IC457"/>
      <c r="ID457"/>
      <c r="IE457"/>
      <c r="IF457"/>
      <c r="IG457"/>
      <c r="IH457"/>
      <c r="II457"/>
      <c r="IJ457"/>
      <c r="IK457"/>
      <c r="IL457"/>
      <c r="IM457"/>
      <c r="IN457"/>
      <c r="IO457"/>
      <c r="IP457"/>
      <c r="IQ457"/>
      <c r="IR457"/>
      <c r="IS457"/>
      <c r="IT457"/>
      <c r="IU457"/>
      <c r="IV457"/>
      <c r="IW457"/>
      <c r="IX457"/>
      <c r="IY457"/>
      <c r="IZ457"/>
      <c r="JA457"/>
      <c r="JB457"/>
      <c r="JC457"/>
      <c r="JD457"/>
      <c r="JE457"/>
      <c r="JF457"/>
      <c r="JG457"/>
      <c r="JH457"/>
      <c r="JI457"/>
      <c r="JJ457"/>
      <c r="JK457"/>
      <c r="JL457"/>
      <c r="JM457"/>
      <c r="JN457"/>
      <c r="JO457"/>
      <c r="JP457"/>
      <c r="JQ457"/>
      <c r="JR457"/>
      <c r="JS457"/>
      <c r="JT457"/>
    </row>
    <row r="458" spans="1:280" s="6" customFormat="1">
      <c r="A458" s="2296"/>
      <c r="B458"/>
      <c r="C458" s="1850"/>
      <c r="D458"/>
      <c r="E458"/>
      <c r="F458"/>
      <c r="G458" s="736"/>
      <c r="H458" s="63"/>
      <c r="I458" s="1425"/>
      <c r="M458" s="1841"/>
      <c r="N458" s="63"/>
      <c r="O458" s="1425"/>
      <c r="P458" s="2278"/>
      <c r="Q458" s="2278"/>
      <c r="R458" s="2278"/>
      <c r="S458" s="2279"/>
      <c r="T458" s="63"/>
      <c r="U458" s="1425"/>
      <c r="V458" s="2278"/>
      <c r="W458" s="2278"/>
      <c r="X458" s="2278"/>
      <c r="Y458" s="2279"/>
      <c r="Z458" s="63"/>
      <c r="AA458" s="1425"/>
      <c r="AB458" s="2278"/>
      <c r="AC458" s="2278"/>
      <c r="AD458" s="2278"/>
      <c r="AE458" s="2279"/>
      <c r="AF458" s="63"/>
      <c r="AG458" s="1425"/>
      <c r="AH458" s="2278"/>
      <c r="AI458" s="2278"/>
      <c r="AJ458" s="2278"/>
      <c r="AK458" s="2279"/>
      <c r="AL458" s="63"/>
      <c r="AM458" s="1425"/>
      <c r="AN458" s="2278"/>
      <c r="AO458" s="2278"/>
      <c r="AP458" s="2278"/>
      <c r="AQ458" s="2279"/>
      <c r="AR458" s="63"/>
      <c r="AS458" s="1425"/>
      <c r="AT458" s="2278"/>
      <c r="AU458" s="2278"/>
      <c r="AV458" s="2278"/>
      <c r="AW458" s="2279"/>
      <c r="AX458" s="63"/>
      <c r="AY458" s="1392"/>
      <c r="AZ458" s="154"/>
      <c r="BA458" s="154"/>
      <c r="BB458" s="154"/>
      <c r="BC458" s="1393"/>
      <c r="BD458"/>
      <c r="BE458" s="1392"/>
      <c r="BF458" s="154"/>
      <c r="BG458" s="154"/>
      <c r="BH458" s="154"/>
      <c r="BI458" s="1393"/>
      <c r="BJ458" s="63"/>
      <c r="BK458" s="1392"/>
      <c r="BL458" s="154"/>
      <c r="BM458" s="154"/>
      <c r="BN458" s="154"/>
      <c r="BO458" s="1393"/>
      <c r="BP458" s="63"/>
      <c r="BQ458" s="1392"/>
      <c r="BR458" s="154"/>
      <c r="BS458" s="154"/>
      <c r="BT458" s="154"/>
      <c r="BU458" s="1393"/>
      <c r="BV458" s="63"/>
      <c r="BW458" s="1392"/>
      <c r="BX458" s="154"/>
      <c r="BY458" s="154"/>
      <c r="BZ458" s="154"/>
      <c r="CA458" s="1393"/>
      <c r="CB458" s="63"/>
      <c r="CC458" s="1392"/>
      <c r="CD458" s="154"/>
      <c r="CE458" s="154"/>
      <c r="CF458" s="154"/>
      <c r="CG458" s="1393"/>
      <c r="CH458" s="63"/>
      <c r="CI458" s="1392"/>
      <c r="CJ458" s="154"/>
      <c r="CK458" s="154"/>
      <c r="CL458" s="154"/>
      <c r="CM458" s="1393"/>
      <c r="CN458" s="63"/>
      <c r="CO458" s="1392"/>
      <c r="CP458" s="154"/>
      <c r="CQ458" s="154"/>
      <c r="CR458" s="154"/>
      <c r="CS458" s="1393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  <c r="HB458"/>
      <c r="HC458"/>
      <c r="HD458"/>
      <c r="HE458"/>
      <c r="HF458"/>
      <c r="HG458"/>
      <c r="HH458"/>
      <c r="HI458"/>
      <c r="HJ458"/>
      <c r="HK458"/>
      <c r="HL458"/>
      <c r="HM458"/>
      <c r="HN458"/>
      <c r="HO458"/>
      <c r="HP458"/>
      <c r="HQ458"/>
      <c r="HR458"/>
      <c r="HS458"/>
      <c r="HT458"/>
      <c r="HU458"/>
      <c r="HV458"/>
      <c r="HW458"/>
      <c r="HX458"/>
      <c r="HY458"/>
      <c r="HZ458"/>
      <c r="IA458"/>
      <c r="IB458"/>
      <c r="IC458"/>
      <c r="ID458"/>
      <c r="IE458"/>
      <c r="IF458"/>
      <c r="IG458"/>
      <c r="IH458"/>
      <c r="II458"/>
      <c r="IJ458"/>
      <c r="IK458"/>
      <c r="IL458"/>
      <c r="IM458"/>
      <c r="IN458"/>
      <c r="IO458"/>
      <c r="IP458"/>
      <c r="IQ458"/>
      <c r="IR458"/>
      <c r="IS458"/>
      <c r="IT458"/>
      <c r="IU458"/>
      <c r="IV458"/>
      <c r="IW458"/>
      <c r="IX458"/>
      <c r="IY458"/>
      <c r="IZ458"/>
      <c r="JA458"/>
      <c r="JB458"/>
      <c r="JC458"/>
      <c r="JD458"/>
      <c r="JE458"/>
      <c r="JF458"/>
      <c r="JG458"/>
      <c r="JH458"/>
      <c r="JI458"/>
      <c r="JJ458"/>
      <c r="JK458"/>
      <c r="JL458"/>
      <c r="JM458"/>
      <c r="JN458"/>
      <c r="JO458"/>
      <c r="JP458"/>
      <c r="JQ458"/>
      <c r="JR458"/>
      <c r="JS458"/>
      <c r="JT458"/>
    </row>
    <row r="459" spans="1:280" s="6" customFormat="1">
      <c r="A459" s="2295" t="s">
        <v>698</v>
      </c>
      <c r="B459"/>
      <c r="C459" s="1850"/>
      <c r="D459"/>
      <c r="E459"/>
      <c r="F459"/>
      <c r="G459" s="736"/>
      <c r="H459" s="63"/>
      <c r="I459" s="1425"/>
      <c r="M459" s="1841"/>
      <c r="N459" s="63"/>
      <c r="O459" s="1425"/>
      <c r="P459" s="2278"/>
      <c r="Q459" s="2278"/>
      <c r="R459" s="2278"/>
      <c r="S459" s="2279"/>
      <c r="T459" s="63"/>
      <c r="U459" s="1425"/>
      <c r="V459" s="2278"/>
      <c r="W459" s="2278"/>
      <c r="X459" s="2278"/>
      <c r="Y459" s="2279"/>
      <c r="Z459" s="63"/>
      <c r="AA459" s="1425"/>
      <c r="AB459" s="2278"/>
      <c r="AC459" s="2278"/>
      <c r="AD459" s="2278"/>
      <c r="AE459" s="2279"/>
      <c r="AF459" s="63"/>
      <c r="AG459" s="1425"/>
      <c r="AH459" s="2278"/>
      <c r="AI459" s="2278"/>
      <c r="AJ459" s="2278"/>
      <c r="AK459" s="2279"/>
      <c r="AL459" s="63"/>
      <c r="AM459" s="1425"/>
      <c r="AN459" s="2278"/>
      <c r="AO459" s="2278"/>
      <c r="AP459" s="2278"/>
      <c r="AQ459" s="2279"/>
      <c r="AR459" s="63"/>
      <c r="AS459" s="1425"/>
      <c r="AT459" s="2278"/>
      <c r="AU459" s="2278"/>
      <c r="AV459" s="2278"/>
      <c r="AW459" s="2279"/>
      <c r="AX459" s="63"/>
      <c r="AY459" s="1425"/>
      <c r="AZ459" s="2278"/>
      <c r="BA459" s="2278"/>
      <c r="BB459" s="2278"/>
      <c r="BC459" s="2279"/>
      <c r="BD459"/>
      <c r="BE459" s="1425"/>
      <c r="BF459" s="2278"/>
      <c r="BG459" s="2278"/>
      <c r="BH459" s="2278"/>
      <c r="BI459" s="2279"/>
      <c r="BJ459" s="63"/>
      <c r="BK459" s="1425"/>
      <c r="BL459" s="2278"/>
      <c r="BM459" s="2278"/>
      <c r="BN459" s="2278"/>
      <c r="BO459" s="2279"/>
      <c r="BP459" s="63"/>
      <c r="BQ459" s="1425"/>
      <c r="BR459" s="2278"/>
      <c r="BS459" s="2278"/>
      <c r="BT459" s="2278"/>
      <c r="BU459" s="2279"/>
      <c r="BV459" s="63"/>
      <c r="BW459" s="1425"/>
      <c r="BX459" s="2278"/>
      <c r="BY459" s="2278"/>
      <c r="BZ459" s="2278"/>
      <c r="CA459" s="2279"/>
      <c r="CB459" s="63"/>
      <c r="CC459" s="1425"/>
      <c r="CD459" s="2278"/>
      <c r="CE459" s="2278"/>
      <c r="CF459" s="2278"/>
      <c r="CG459" s="2279"/>
      <c r="CH459" s="63"/>
      <c r="CI459" s="1425"/>
      <c r="CJ459" s="2278"/>
      <c r="CK459" s="2278"/>
      <c r="CL459" s="2278"/>
      <c r="CM459" s="2279"/>
      <c r="CN459" s="63"/>
      <c r="CO459" s="1425"/>
      <c r="CP459" s="2278"/>
      <c r="CQ459" s="2278"/>
      <c r="CR459" s="2278"/>
      <c r="CS459" s="227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  <c r="HB459"/>
      <c r="HC459"/>
      <c r="HD459"/>
      <c r="HE459"/>
      <c r="HF459"/>
      <c r="HG459"/>
      <c r="HH459"/>
      <c r="HI459"/>
      <c r="HJ459"/>
      <c r="HK459"/>
      <c r="HL459"/>
      <c r="HM459"/>
      <c r="HN459"/>
      <c r="HO459"/>
      <c r="HP459"/>
      <c r="HQ459"/>
      <c r="HR459"/>
      <c r="HS459"/>
      <c r="HT459"/>
      <c r="HU459"/>
      <c r="HV459"/>
      <c r="HW459"/>
      <c r="HX459"/>
      <c r="HY459"/>
      <c r="HZ459"/>
      <c r="IA459"/>
      <c r="IB459"/>
      <c r="IC459"/>
      <c r="ID459"/>
      <c r="IE459"/>
      <c r="IF459"/>
      <c r="IG459"/>
      <c r="IH459"/>
      <c r="II459"/>
      <c r="IJ459"/>
      <c r="IK459"/>
      <c r="IL459"/>
      <c r="IM459"/>
      <c r="IN459"/>
      <c r="IO459"/>
      <c r="IP459"/>
      <c r="IQ459"/>
      <c r="IR459"/>
      <c r="IS459"/>
      <c r="IT459"/>
      <c r="IU459"/>
      <c r="IV459"/>
      <c r="IW459"/>
      <c r="IX459"/>
      <c r="IY459"/>
      <c r="IZ459"/>
      <c r="JA459"/>
      <c r="JB459"/>
      <c r="JC459"/>
      <c r="JD459"/>
      <c r="JE459"/>
      <c r="JF459"/>
      <c r="JG459"/>
      <c r="JH459"/>
      <c r="JI459"/>
      <c r="JJ459"/>
      <c r="JK459"/>
      <c r="JL459"/>
      <c r="JM459"/>
      <c r="JN459"/>
      <c r="JO459"/>
      <c r="JP459"/>
      <c r="JQ459"/>
      <c r="JR459"/>
      <c r="JS459"/>
      <c r="JT459"/>
    </row>
    <row r="460" spans="1:280" s="6" customFormat="1">
      <c r="A460" s="125" t="s">
        <v>703</v>
      </c>
      <c r="B460" s="3"/>
      <c r="C460" s="2246"/>
      <c r="D460" s="2292"/>
      <c r="E460" s="2293"/>
      <c r="F460" s="2293"/>
      <c r="G460" s="2290"/>
      <c r="H460" s="1588"/>
      <c r="I460" s="2246"/>
      <c r="J460" s="2292"/>
      <c r="K460" s="2293"/>
      <c r="L460" s="2293"/>
      <c r="M460" s="2290"/>
      <c r="N460" s="1588"/>
      <c r="O460" s="2246"/>
      <c r="P460" s="2292"/>
      <c r="Q460" s="2293"/>
      <c r="R460" s="2293"/>
      <c r="S460" s="2290"/>
      <c r="T460" s="1588"/>
      <c r="U460" s="2246"/>
      <c r="V460" s="2292"/>
      <c r="W460" s="2293"/>
      <c r="X460" s="2293"/>
      <c r="Y460" s="2290"/>
      <c r="Z460" s="1588"/>
      <c r="AA460" s="2246"/>
      <c r="AB460" s="2292"/>
      <c r="AC460" s="2293"/>
      <c r="AD460" s="2293"/>
      <c r="AE460" s="2290"/>
      <c r="AF460" s="1588"/>
      <c r="AG460" s="2246"/>
      <c r="AH460" s="2292"/>
      <c r="AI460" s="2293"/>
      <c r="AJ460" s="2293"/>
      <c r="AK460" s="2290"/>
      <c r="AL460" s="1588"/>
      <c r="AM460" s="2246"/>
      <c r="AN460" s="2292"/>
      <c r="AO460" s="2293"/>
      <c r="AP460" s="2293"/>
      <c r="AQ460" s="2290"/>
      <c r="AR460" s="1588"/>
      <c r="AS460" s="2246"/>
      <c r="AT460" s="2292"/>
      <c r="AU460" s="2293"/>
      <c r="AV460" s="2293"/>
      <c r="AW460" s="2290"/>
      <c r="AX460" s="1588"/>
      <c r="AY460" s="2299">
        <f>+AY433+AY436+AY423-AY427-(AY$81-AY$93+AY$91)</f>
        <v>0</v>
      </c>
      <c r="AZ460" s="2301">
        <f>+AZ433+AZ436+AZ423-AZ427-(AZ$81-AZ$93+AZ$91)</f>
        <v>0</v>
      </c>
      <c r="BA460" s="2300">
        <f>+BA433+BA436+BA423-BA427-(BA$81-BA$93+BA$91)</f>
        <v>0</v>
      </c>
      <c r="BB460" s="2300">
        <f>+BB433+BB436+BB423-BB427-(BB$81-BB$93+BB$91)</f>
        <v>0</v>
      </c>
      <c r="BC460" s="2302">
        <f>+BC433+BC436+BC423-BC427-(BC$81-BC$93+BC$91)</f>
        <v>0</v>
      </c>
      <c r="BD460"/>
      <c r="BE460" s="2299">
        <f>+BE433+BE436+BE423-BE427-(BE$81-BE$93+BE$91)</f>
        <v>0</v>
      </c>
      <c r="BF460" s="2301">
        <f>+BF433+BF436+BF423-BF427-(BF$81-BF$93+BF$91)</f>
        <v>-19.953796787969925</v>
      </c>
      <c r="BG460" s="2300">
        <f>+BG433+BG436+BG423-BG427-(BG$81-BG$93+BG$91)</f>
        <v>-7.2934305306947351</v>
      </c>
      <c r="BH460" s="2300">
        <f>+BH433+BH436+BH423-BH427-(BH$81-BH$93+BH$91)</f>
        <v>-10.868379574940292</v>
      </c>
      <c r="BI460" s="2302">
        <f>+BI433+BI436+BI423-BI427-(BI$81-BI$93+BI$91)</f>
        <v>-38.115606893604962</v>
      </c>
      <c r="BJ460"/>
      <c r="BK460" s="2299">
        <f>+BK433+BK436+BK423-BK427-(BK$81-BK$93+BK$91)</f>
        <v>7.6336733884601831</v>
      </c>
      <c r="BL460" s="2301">
        <f>+BL433+BL436+BL423-BL427-(BL$81-BL$93+BL$91)</f>
        <v>14.569742775567866</v>
      </c>
      <c r="BM460" s="2300">
        <f>+BM433+BM436+BM423-BM427-(BM$81-BM$93+BM$91)</f>
        <v>14.446300717772411</v>
      </c>
      <c r="BN460" s="2300">
        <f>+BN433+BN436+BN423-BN427-(BN$81-BN$93+BN$91)</f>
        <v>14.377871123514588</v>
      </c>
      <c r="BO460" s="2302">
        <f>+BO433+BO436+BO423-BO427-(BO$81-BO$93+BO$91)</f>
        <v>51.027588005315053</v>
      </c>
      <c r="BP460"/>
      <c r="BQ460" s="2299">
        <f>+BQ433+BQ436+BQ423-BQ427-(BQ$81-BQ$93+BQ$91)</f>
        <v>14.332894092502706</v>
      </c>
      <c r="BR460" s="2301">
        <f>+BR433+BR436+BR423-BR427-(BR$81-BR$93+BR$91)</f>
        <v>14.295557245242726</v>
      </c>
      <c r="BS460" s="2300">
        <f>+BS433+BS436+BS423-BS427-(BS$81-BS$93+BS$91)</f>
        <v>13.92992170320467</v>
      </c>
      <c r="BT460" s="2300">
        <f>+BT433+BT436+BT423-BT427-(BT$81-BT$93+BT$91)</f>
        <v>13.097361076830307</v>
      </c>
      <c r="BU460" s="2302">
        <f>+BU433+BU436+BU423-BU427-(BU$81-BU$93+BU$91)</f>
        <v>55.655734117780412</v>
      </c>
      <c r="BV460"/>
      <c r="BW460" s="2299">
        <f>+BW433+BW436+BW423-BW427-(BW$81-BW$93+BW$91)</f>
        <v>12.258139965444949</v>
      </c>
      <c r="BX460" s="2301">
        <f>+BX433+BX436+BX423-BX427-(BX$81-BX$93+BX$91)</f>
        <v>11.476205085168505</v>
      </c>
      <c r="BY460" s="2300">
        <f>+BY433+BY436+BY423-BY427-(BY$81-BY$93+BY$91)</f>
        <v>10.688014725849856</v>
      </c>
      <c r="BZ460" s="2300">
        <f>+BZ433+BZ436+BZ423-BZ427-(BZ$81-BZ$93+BZ$91)</f>
        <v>9.8935188436566541</v>
      </c>
      <c r="CA460" s="2302">
        <f>+CA433+CA436+CA423-CA427-(CA$81-CA$93+CA$91)</f>
        <v>44.31587862011996</v>
      </c>
      <c r="CB460"/>
      <c r="CC460" s="2299">
        <f>+CC433+CC436+CC423-CC427-(CC$81-CC$93+CC$91)</f>
        <v>9.0926669944059064</v>
      </c>
      <c r="CD460" s="2301">
        <f>+CD433+CD436+CD423-CD427-(CD$81-CD$93+CD$91)</f>
        <v>8.3654083303611557</v>
      </c>
      <c r="CE460" s="2300">
        <f>+CE433+CE436+CE423-CE427-(CE$81-CE$93+CE$91)</f>
        <v>7.6323315970040442</v>
      </c>
      <c r="CF460" s="2300">
        <f>+CF433+CF436+CF423-CF427-(CF$81-CF$93+CF$91)</f>
        <v>6.8933902497800759</v>
      </c>
      <c r="CG460" s="2302">
        <f>+CG433+CG436+CG423-CG427-(CG$81-CG$93+CG$91)</f>
        <v>31.983797171551181</v>
      </c>
      <c r="CH460"/>
      <c r="CI460" s="2299">
        <f>+CI433+CI436+CI423-CI427-(CI$81-CI$93+CI$91)</f>
        <v>6.1485373717783167</v>
      </c>
      <c r="CJ460" s="2301">
        <f>+CJ433+CJ436+CJ423-CJ427-(CJ$81-CJ$93+CJ$91)</f>
        <v>5.3977256707525427</v>
      </c>
      <c r="CK460" s="2300">
        <f>+CK433+CK436+CK423-CK427-(CK$81-CK$93+CK$91)</f>
        <v>4.6409074761185627</v>
      </c>
      <c r="CL460" s="2300">
        <f>+CL433+CL436+CL423-CL427-(CL$81-CL$93+CL$91)</f>
        <v>4.5396593374312708</v>
      </c>
      <c r="CM460" s="2302">
        <f>+CM433+CM436+CM423-CM427-(CM$81-CM$93+CM$91)</f>
        <v>20.726829856080695</v>
      </c>
      <c r="CN460"/>
      <c r="CO460" s="2299">
        <f>+CO433+CO436+CO423-CO427-(CO$81-CO$93+CO$91)</f>
        <v>4.5759766121307202</v>
      </c>
      <c r="CP460" s="2301">
        <f>+CP433+CP436+CP423-CP427-(CP$81-CP$93+CP$91)</f>
        <v>4.6125844250277659</v>
      </c>
      <c r="CQ460" s="2300">
        <f>+CQ433+CQ436+CQ423-CQ427-(CQ$81-CQ$93+CQ$91)</f>
        <v>4.649485100427988</v>
      </c>
      <c r="CR460" s="2300">
        <f>+CR433+CR436+CR423-CR427-(CR$81-CR$93+CR$91)</f>
        <v>4.6866809812314125</v>
      </c>
      <c r="CS460" s="2302">
        <f>+CS433+CS436+CS423-CS427-(CS$81-CS$93+CS$91)</f>
        <v>18.524727118817886</v>
      </c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  <c r="HB460"/>
      <c r="HC460"/>
      <c r="HD460"/>
      <c r="HE460"/>
      <c r="HF460"/>
      <c r="HG460"/>
      <c r="HH460"/>
      <c r="HI460"/>
      <c r="HJ460"/>
      <c r="HK460"/>
      <c r="HL460"/>
      <c r="HM460"/>
      <c r="HN460"/>
      <c r="HO460"/>
      <c r="HP460"/>
      <c r="HQ460"/>
      <c r="HR460"/>
      <c r="HS460"/>
      <c r="HT460"/>
      <c r="HU460"/>
      <c r="HV460"/>
      <c r="HW460"/>
      <c r="HX460"/>
      <c r="HY460"/>
      <c r="HZ460"/>
      <c r="IA460"/>
      <c r="IB460"/>
      <c r="IC460"/>
      <c r="ID460"/>
      <c r="IE460"/>
      <c r="IF460"/>
      <c r="IG460"/>
      <c r="IH460"/>
      <c r="II460"/>
      <c r="IJ460"/>
      <c r="IK460"/>
      <c r="IL460"/>
      <c r="IM460"/>
      <c r="IN460"/>
      <c r="IO460"/>
      <c r="IP460"/>
      <c r="IQ460"/>
      <c r="IR460"/>
      <c r="IS460"/>
      <c r="IT460"/>
      <c r="IU460"/>
      <c r="IV460"/>
      <c r="IW460"/>
      <c r="IX460"/>
      <c r="IY460"/>
      <c r="IZ460"/>
      <c r="JA460"/>
      <c r="JB460"/>
      <c r="JC460"/>
      <c r="JD460"/>
      <c r="JE460"/>
      <c r="JF460"/>
      <c r="JG460"/>
      <c r="JH460"/>
      <c r="JI460"/>
      <c r="JJ460"/>
      <c r="JK460"/>
      <c r="JL460"/>
      <c r="JM460"/>
      <c r="JN460"/>
      <c r="JO460"/>
      <c r="JP460"/>
      <c r="JQ460"/>
      <c r="JR460"/>
      <c r="JS460"/>
      <c r="JT460"/>
    </row>
    <row r="461" spans="1:280" s="6" customFormat="1">
      <c r="A461" s="1991" t="s">
        <v>708</v>
      </c>
      <c r="B461" s="3"/>
      <c r="C461" s="2246"/>
      <c r="D461" s="2292"/>
      <c r="E461" s="2293"/>
      <c r="F461" s="2293"/>
      <c r="G461" s="2290"/>
      <c r="H461" s="1588"/>
      <c r="I461" s="2246"/>
      <c r="J461" s="2292"/>
      <c r="K461" s="2293"/>
      <c r="L461" s="2293"/>
      <c r="M461" s="2290"/>
      <c r="N461" s="1588"/>
      <c r="O461" s="2246"/>
      <c r="P461" s="2292"/>
      <c r="Q461" s="2293"/>
      <c r="R461" s="2293"/>
      <c r="S461" s="2290"/>
      <c r="T461" s="1588"/>
      <c r="U461" s="2246"/>
      <c r="V461" s="2292"/>
      <c r="W461" s="2293"/>
      <c r="X461" s="2293"/>
      <c r="Y461" s="2290"/>
      <c r="Z461" s="1588"/>
      <c r="AA461" s="2246"/>
      <c r="AB461" s="2292"/>
      <c r="AC461" s="2293"/>
      <c r="AD461" s="2293"/>
      <c r="AE461" s="2290"/>
      <c r="AF461" s="1588"/>
      <c r="AG461" s="1937">
        <f>+AG435+AG425+AG$417+AG$414</f>
        <v>3.3387151428172772E-2</v>
      </c>
      <c r="AH461" s="1938">
        <f>+AH435+AH425+AH$417+AH$414</f>
        <v>3.6916577879960374E-2</v>
      </c>
      <c r="AI461" s="1938">
        <f>+AI435+AI425+AI$417+AI$414</f>
        <v>5.4234717273977912E-2</v>
      </c>
      <c r="AJ461" s="1938">
        <f>+AJ435+AJ425+AJ$417+AJ$414</f>
        <v>4.5477682557431218E-2</v>
      </c>
      <c r="AK461" s="1936">
        <f>+AK435+AK425+AK$417+AK$414</f>
        <v>5.1706720300751047E-2</v>
      </c>
      <c r="AL461" s="1588"/>
      <c r="AM461" s="1937">
        <f>+AM435+AM425+AM$417+AM$414</f>
        <v>4.8687434651086686E-2</v>
      </c>
      <c r="AN461" s="1938">
        <f>+AN435+AN425+AN$417+AN$414</f>
        <v>5.5560206714412926E-2</v>
      </c>
      <c r="AO461" s="1938">
        <f>+AO435+AO425+AO$417+AO$414</f>
        <v>6.1288205986055125E-2</v>
      </c>
      <c r="AP461" s="1938">
        <f>+AP435+AP425+AP$417+AP$414</f>
        <v>5.0275496130824993E-2</v>
      </c>
      <c r="AQ461" s="1936">
        <f>+AQ435+AQ425+AQ$417+AQ$414</f>
        <v>5.3952835870594934E-2</v>
      </c>
      <c r="AR461" s="1588"/>
      <c r="AS461" s="1937">
        <f>+AS435+AS425+AS$417+AS$414</f>
        <v>4.8555504174069654E-2</v>
      </c>
      <c r="AT461" s="1938">
        <f>+AT435+AT425+AT$417+AT$414</f>
        <v>4.0132770066385035E-2</v>
      </c>
      <c r="AU461" s="1938">
        <f>+AU435+AU425+AU$417+AU$414</f>
        <v>3.8584276182187412E-2</v>
      </c>
      <c r="AV461" s="1938">
        <f>+AV435+AV425+AV$417+AV$414</f>
        <v>3.8865492049849591E-2</v>
      </c>
      <c r="AW461" s="1936">
        <f>+AW435+AW425+AW$417+AW$414</f>
        <v>4.1534510618122925E-2</v>
      </c>
      <c r="AX461" s="1588"/>
      <c r="AY461" s="1937">
        <f>+AY435+AY425+AY$417+AY$414</f>
        <v>4.3073263452247011E-2</v>
      </c>
      <c r="AZ461" s="1938">
        <f>+AZ435+AZ425+AZ$417+AZ$414</f>
        <v>4.7313990645672821E-2</v>
      </c>
      <c r="BA461" s="1938">
        <f>+BA435+BA425+BA$417+BA$414</f>
        <v>3.9317238579465258E-2</v>
      </c>
      <c r="BB461" s="1938">
        <f>+BB435+BB425+BB$417+BB$414</f>
        <v>3.0726775709719871E-2</v>
      </c>
      <c r="BC461" s="1936">
        <f>+BC435+BC425+BC$417+BC$414</f>
        <v>4.0107817096776244E-2</v>
      </c>
      <c r="BD461"/>
      <c r="BE461" s="1937">
        <f>+BE435+BE425+BE$417+BE$414</f>
        <v>2.5349922160887037E-2</v>
      </c>
      <c r="BF461" s="1938">
        <f>+BF435+BF425+BF$417+BF$414</f>
        <v>9.4987575896830784E-3</v>
      </c>
      <c r="BG461" s="1938">
        <f>+BG435+BG425+BG$417+BG$414</f>
        <v>9.0037011578301112E-3</v>
      </c>
      <c r="BH461" s="1938">
        <f>+BH435+BH425+BH$417+BH$414</f>
        <v>8.0000000000000002E-3</v>
      </c>
      <c r="BI461" s="1936">
        <f>+BI435+BI425+BI$417+BI$414</f>
        <v>1.2963095227100055E-2</v>
      </c>
      <c r="BJ461" s="1"/>
      <c r="BK461" s="1937">
        <f>+BK435+BK425+BK$417+BK$414</f>
        <v>8.0000000000000002E-3</v>
      </c>
      <c r="BL461" s="1938">
        <f>+BL435+BL425+BL$417+BL$414</f>
        <v>8.0000000000000002E-3</v>
      </c>
      <c r="BM461" s="1938">
        <f>+BM435+BM425+BM$417+BM$414</f>
        <v>8.0000000000000002E-3</v>
      </c>
      <c r="BN461" s="1938">
        <f>+BN435+BN425+BN$417+BN$414</f>
        <v>8.0000000000000002E-3</v>
      </c>
      <c r="BO461" s="1936">
        <f>+BO435+BO425+BO$417+BO$414</f>
        <v>8.0000000000000002E-3</v>
      </c>
      <c r="BP461" s="1"/>
      <c r="BQ461" s="1937">
        <f>+BQ435+BQ425+BQ$417+BQ$414</f>
        <v>8.0000000000000002E-3</v>
      </c>
      <c r="BR461" s="1938">
        <f>+BR435+BR425+BR$417+BR$414</f>
        <v>8.0000000000000002E-3</v>
      </c>
      <c r="BS461" s="1938">
        <f>+BS435+BS425+BS$417+BS$414</f>
        <v>8.0000000000000002E-3</v>
      </c>
      <c r="BT461" s="1938">
        <f>+BT435+BT425+BT$417+BT$414</f>
        <v>8.0000000000000002E-3</v>
      </c>
      <c r="BU461" s="1936">
        <f>+BU435+BU425+BU$417+BU$414</f>
        <v>8.0000000000000002E-3</v>
      </c>
      <c r="BV461" s="1"/>
      <c r="BW461" s="1937">
        <f>+BW435+BW425+BW$417+BW$414</f>
        <v>8.0000000000000002E-3</v>
      </c>
      <c r="BX461" s="1938">
        <f>+BX435+BX425+BX$417+BX$414</f>
        <v>8.0000000000000002E-3</v>
      </c>
      <c r="BY461" s="1938">
        <f>+BY435+BY425+BY$417+BY$414</f>
        <v>8.0000000000000002E-3</v>
      </c>
      <c r="BZ461" s="1938">
        <f>+BZ435+BZ425+BZ$417+BZ$414</f>
        <v>8.0000000000000002E-3</v>
      </c>
      <c r="CA461" s="1936">
        <f>+CA435+CA425+CA$417+CA$414</f>
        <v>8.0000000000000002E-3</v>
      </c>
      <c r="CB461" s="1"/>
      <c r="CC461" s="1937">
        <f>+CC435+CC425+CC$417+CC$414</f>
        <v>8.0000000000000002E-3</v>
      </c>
      <c r="CD461" s="1938">
        <f>+CD435+CD425+CD$417+CD$414</f>
        <v>8.0000000000000002E-3</v>
      </c>
      <c r="CE461" s="1938">
        <f>+CE435+CE425+CE$417+CE$414</f>
        <v>8.0000000000000002E-3</v>
      </c>
      <c r="CF461" s="1938">
        <f>+CF435+CF425+CF$417+CF$414</f>
        <v>8.0000000000000002E-3</v>
      </c>
      <c r="CG461" s="1936">
        <f>+CG435+CG425+CG$417+CG$414</f>
        <v>8.0000000000000002E-3</v>
      </c>
      <c r="CH461" s="1"/>
      <c r="CI461" s="1937">
        <f>+CI435+CI425+CI$417+CI$414</f>
        <v>8.0000000000000002E-3</v>
      </c>
      <c r="CJ461" s="1938">
        <f>+CJ435+CJ425+CJ$417+CJ$414</f>
        <v>8.0000000000000002E-3</v>
      </c>
      <c r="CK461" s="1938">
        <f>+CK435+CK425+CK$417+CK$414</f>
        <v>8.0000000000000002E-3</v>
      </c>
      <c r="CL461" s="1938">
        <f>+CL435+CL425+CL$417+CL$414</f>
        <v>8.0000000000000002E-3</v>
      </c>
      <c r="CM461" s="1936">
        <f>+CM435+CM425+CM$417+CM$414</f>
        <v>8.0000000000000002E-3</v>
      </c>
      <c r="CN461" s="1"/>
      <c r="CO461" s="1937">
        <f>+CO435+CO425+CO$417+CO$414</f>
        <v>8.0000000000000002E-3</v>
      </c>
      <c r="CP461" s="1938">
        <f>+CP435+CP425+CP$417+CP$414</f>
        <v>8.0000000000000002E-3</v>
      </c>
      <c r="CQ461" s="1938">
        <f>+CQ435+CQ425+CQ$417+CQ$414</f>
        <v>8.0000000000000002E-3</v>
      </c>
      <c r="CR461" s="1938">
        <f>+CR435+CR425+CR$417+CR$414</f>
        <v>8.0000000000000002E-3</v>
      </c>
      <c r="CS461" s="1936">
        <f>+CS435+CS425+CS$417+CS$414</f>
        <v>8.0000000000000002E-3</v>
      </c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  <c r="HB461"/>
      <c r="HC461"/>
      <c r="HD461"/>
      <c r="HE461"/>
      <c r="HF461"/>
      <c r="HG461"/>
      <c r="HH461"/>
      <c r="HI461"/>
      <c r="HJ461"/>
      <c r="HK461"/>
      <c r="HL461"/>
      <c r="HM461"/>
      <c r="HN461"/>
      <c r="HO461"/>
      <c r="HP461"/>
      <c r="HQ461"/>
      <c r="HR461"/>
      <c r="HS461"/>
      <c r="HT461"/>
      <c r="HU461"/>
      <c r="HV461"/>
      <c r="HW461"/>
      <c r="HX461"/>
      <c r="HY461"/>
      <c r="HZ461"/>
      <c r="IA461"/>
      <c r="IB461"/>
      <c r="IC461"/>
      <c r="ID461"/>
      <c r="IE461"/>
      <c r="IF461"/>
      <c r="IG461"/>
      <c r="IH461"/>
      <c r="II461"/>
      <c r="IJ461"/>
      <c r="IK461"/>
      <c r="IL461"/>
      <c r="IM461"/>
      <c r="IN461"/>
      <c r="IO461"/>
      <c r="IP461"/>
      <c r="IQ461"/>
      <c r="IR461"/>
      <c r="IS461"/>
      <c r="IT461"/>
      <c r="IU461"/>
      <c r="IV461"/>
      <c r="IW461"/>
      <c r="IX461"/>
      <c r="IY461"/>
      <c r="IZ461"/>
      <c r="JA461"/>
      <c r="JB461"/>
      <c r="JC461"/>
      <c r="JD461"/>
      <c r="JE461"/>
      <c r="JF461"/>
      <c r="JG461"/>
      <c r="JH461"/>
      <c r="JI461"/>
      <c r="JJ461"/>
      <c r="JK461"/>
      <c r="JL461"/>
      <c r="JM461"/>
      <c r="JN461"/>
      <c r="JO461"/>
      <c r="JP461"/>
      <c r="JQ461"/>
      <c r="JR461"/>
      <c r="JS461"/>
      <c r="JT461"/>
    </row>
    <row r="462" spans="1:280" s="6" customFormat="1">
      <c r="A462" s="2291" t="s">
        <v>713</v>
      </c>
      <c r="B462" s="3"/>
      <c r="C462" s="2246"/>
      <c r="D462" s="2292"/>
      <c r="E462" s="2293"/>
      <c r="F462" s="2293"/>
      <c r="G462" s="2290"/>
      <c r="H462" s="1588"/>
      <c r="I462" s="2246"/>
      <c r="J462" s="2292"/>
      <c r="K462" s="2293"/>
      <c r="L462" s="2293"/>
      <c r="M462" s="2290"/>
      <c r="N462" s="1588"/>
      <c r="O462" s="2246"/>
      <c r="P462" s="2292"/>
      <c r="Q462" s="2293"/>
      <c r="R462" s="2293"/>
      <c r="S462" s="2290"/>
      <c r="T462" s="1588"/>
      <c r="U462" s="2246"/>
      <c r="V462" s="2292"/>
      <c r="W462" s="2293"/>
      <c r="X462" s="2293"/>
      <c r="Y462" s="2290"/>
      <c r="Z462" s="1588"/>
      <c r="AA462" s="2246"/>
      <c r="AB462" s="2292"/>
      <c r="AC462" s="2293"/>
      <c r="AD462" s="2293"/>
      <c r="AE462" s="2290"/>
      <c r="AF462" s="1588"/>
      <c r="AG462" s="760">
        <f>+AG432+AG422+AG$154+AG$152</f>
        <v>1069.98</v>
      </c>
      <c r="AH462" s="740">
        <f>+AH432+AH422+AH$154+AH$152</f>
        <v>1133.96</v>
      </c>
      <c r="AI462" s="740">
        <f>+AI432+AI422+AI$154+AI$152</f>
        <v>1198.3900000000001</v>
      </c>
      <c r="AJ462" s="740">
        <f>+AJ432+AJ422+AJ$154+AJ$152</f>
        <v>1252.8900000000001</v>
      </c>
      <c r="AK462" s="739">
        <f>+AJ462</f>
        <v>1252.8900000000001</v>
      </c>
      <c r="AL462" s="1588"/>
      <c r="AM462" s="760">
        <f>+AM432+AM422+AM$154+AM$152</f>
        <v>1313.89</v>
      </c>
      <c r="AN462" s="740">
        <f>+AN432+AN422+AN$154+AN$152</f>
        <v>1386.89</v>
      </c>
      <c r="AO462" s="740">
        <f>+AO432+AO422+AO$154+AO$152</f>
        <v>1471.89</v>
      </c>
      <c r="AP462" s="740">
        <f>+AP432+AP422+AP$154+AP$152</f>
        <v>1544.624060150376</v>
      </c>
      <c r="AQ462" s="739">
        <f>+AP462</f>
        <v>1544.624060150376</v>
      </c>
      <c r="AR462" s="1588"/>
      <c r="AS462" s="760">
        <f>+AS432+AS422+AS$154+AS$152</f>
        <v>1619.624060150376</v>
      </c>
      <c r="AT462" s="740">
        <f>+AT432+AT422+AT$154+AT$152</f>
        <v>1684.624060150376</v>
      </c>
      <c r="AU462" s="740">
        <f>+AU432+AU422+AU$154+AU$152</f>
        <v>1749.624060150376</v>
      </c>
      <c r="AV462" s="740">
        <f>+AV432+AV422+AV$154+AV$152</f>
        <v>1817.624060150376</v>
      </c>
      <c r="AW462" s="739">
        <f>+AV462</f>
        <v>1817.624060150376</v>
      </c>
      <c r="AX462" s="1588"/>
      <c r="AY462" s="760">
        <f>+AY432+AY422+AY$154+AY$152</f>
        <v>1877.624060150376</v>
      </c>
      <c r="AZ462" s="740">
        <f>+AZ432+AZ422+AZ$154+AZ$152</f>
        <v>1944.6240601503762</v>
      </c>
      <c r="BA462" s="740">
        <f>+BA432+BA422+BA$154+BA$152</f>
        <v>1999.624060150376</v>
      </c>
      <c r="BB462" s="740">
        <f>+BB432+BB422+BB$154+BB$152</f>
        <v>2052.624060150376</v>
      </c>
      <c r="BC462" s="739">
        <f>+BB462</f>
        <v>2052.624060150376</v>
      </c>
      <c r="BD462"/>
      <c r="BE462" s="760">
        <f>+BE432+BE422+BE$154+BE$152</f>
        <v>2001.657920300752</v>
      </c>
      <c r="BF462" s="740">
        <f>+BF432+BF422+BF$154+BF$152</f>
        <v>1972.671183663158</v>
      </c>
      <c r="BG462" s="740">
        <f>+BG432+BG422+BG$154+BG$152</f>
        <v>1924.4525531324632</v>
      </c>
      <c r="BH462" s="740">
        <f>+BH432+BH422+BH$154+BH$152</f>
        <v>1833.5841735575229</v>
      </c>
      <c r="BI462" s="739">
        <f>+BH462</f>
        <v>1833.5841735575229</v>
      </c>
      <c r="BJ462" s="1"/>
      <c r="BK462" s="760">
        <f>+BK432+BK422+BK$154+BK$152</f>
        <v>1821.2178469459832</v>
      </c>
      <c r="BL462" s="740">
        <f>+BL432+BL422+BL$154+BL$152</f>
        <v>1805.7875897215511</v>
      </c>
      <c r="BM462" s="740">
        <f>+BM432+BM422+BM$154+BM$152</f>
        <v>1797.2338904393234</v>
      </c>
      <c r="BN462" s="740">
        <f>+BN432+BN422+BN$154+BN$152</f>
        <v>1791.611761562838</v>
      </c>
      <c r="BO462" s="739">
        <f>+BN462</f>
        <v>1791.611761562838</v>
      </c>
      <c r="BP462" s="1"/>
      <c r="BQ462" s="760">
        <f>+BQ432+BQ422+BQ$154+BQ$152</f>
        <v>1786.9446556553407</v>
      </c>
      <c r="BR462" s="740">
        <f>+BR432+BR422+BR$154+BR$152</f>
        <v>1741.2402129005834</v>
      </c>
      <c r="BS462" s="740">
        <f>+BS432+BS422+BS$154+BS$152</f>
        <v>1637.1701346037883</v>
      </c>
      <c r="BT462" s="740">
        <f>+BT432+BT422+BT$154+BT$152</f>
        <v>1532.2674956806184</v>
      </c>
      <c r="BU462" s="739">
        <f>+BT462</f>
        <v>1532.2674956806184</v>
      </c>
      <c r="BV462" s="1"/>
      <c r="BW462" s="760">
        <f>+BW432+BW422+BW$154+BW$152</f>
        <v>1434.5256356460634</v>
      </c>
      <c r="BX462" s="740">
        <f>+BX432+BX422+BX$154+BX$152</f>
        <v>1336.0018407312318</v>
      </c>
      <c r="BY462" s="740">
        <f>+BY432+BY422+BY$154+BY$152</f>
        <v>1236.6898554570816</v>
      </c>
      <c r="BZ462" s="740">
        <f>+BZ432+BZ422+BZ$154+BZ$152</f>
        <v>1136.5833743007383</v>
      </c>
      <c r="CA462" s="739">
        <f>+BZ462</f>
        <v>1136.5833743007383</v>
      </c>
      <c r="CB462" s="1"/>
      <c r="CC462" s="760">
        <f>+CC432+CC422+CC$154+CC$152</f>
        <v>1045.6760412951444</v>
      </c>
      <c r="CD462" s="740">
        <f>+CD432+CD422+CD$154+CD$152</f>
        <v>954.04144962550549</v>
      </c>
      <c r="CE462" s="740">
        <f>+CE432+CE422+CE$154+CE$152</f>
        <v>861.67378122250955</v>
      </c>
      <c r="CF462" s="740">
        <f>+CF432+CF422+CF$154+CF$152</f>
        <v>768.5671714722896</v>
      </c>
      <c r="CG462" s="739">
        <f>+CF462</f>
        <v>768.5671714722896</v>
      </c>
      <c r="CH462" s="1"/>
      <c r="CI462" s="760">
        <f>+CI432+CI422+CI$154+CI$152</f>
        <v>674.71570884406788</v>
      </c>
      <c r="CJ462" s="740">
        <f>+CJ432+CJ422+CJ$154+CJ$152</f>
        <v>580.11343451482037</v>
      </c>
      <c r="CK462" s="740">
        <f>+CK432+CK422+CK$154+CK$152</f>
        <v>567.45741717890883</v>
      </c>
      <c r="CL462" s="740">
        <f>+CL432+CL422+CL$154+CL$152</f>
        <v>571.99707651634003</v>
      </c>
      <c r="CM462" s="739">
        <f>+CL462</f>
        <v>571.99707651634003</v>
      </c>
      <c r="CN462" s="1"/>
      <c r="CO462" s="760">
        <f>+CO432+CO422+CO$154+CO$152</f>
        <v>576.57305312847075</v>
      </c>
      <c r="CP462" s="740">
        <f>+CP432+CP422+CP$154+CP$152</f>
        <v>581.18563755349851</v>
      </c>
      <c r="CQ462" s="740">
        <f>+CQ432+CQ422+CQ$154+CQ$152</f>
        <v>585.83512265392653</v>
      </c>
      <c r="CR462" s="740">
        <f>+CR432+CR422+CR$154+CR$152</f>
        <v>590.52180363515799</v>
      </c>
      <c r="CS462" s="739">
        <f>+CR462</f>
        <v>590.52180363515799</v>
      </c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  <c r="HB462"/>
      <c r="HC462"/>
      <c r="HD462"/>
      <c r="HE462"/>
      <c r="HF462"/>
      <c r="HG462"/>
      <c r="HH462"/>
      <c r="HI462"/>
      <c r="HJ462"/>
      <c r="HK462"/>
      <c r="HL462"/>
      <c r="HM462"/>
      <c r="HN462"/>
      <c r="HO462"/>
      <c r="HP462"/>
      <c r="HQ462"/>
      <c r="HR462"/>
      <c r="HS462"/>
      <c r="HT462"/>
      <c r="HU462"/>
      <c r="HV462"/>
      <c r="HW462"/>
      <c r="HX462"/>
      <c r="HY462"/>
      <c r="HZ462"/>
      <c r="IA462"/>
      <c r="IB462"/>
      <c r="IC462"/>
      <c r="ID462"/>
      <c r="IE462"/>
      <c r="IF462"/>
      <c r="IG462"/>
      <c r="IH462"/>
      <c r="II462"/>
      <c r="IJ462"/>
      <c r="IK462"/>
      <c r="IL462"/>
      <c r="IM462"/>
      <c r="IN462"/>
      <c r="IO462"/>
      <c r="IP462"/>
      <c r="IQ462"/>
      <c r="IR462"/>
      <c r="IS462"/>
      <c r="IT462"/>
      <c r="IU462"/>
      <c r="IV462"/>
      <c r="IW462"/>
      <c r="IX462"/>
      <c r="IY462"/>
      <c r="IZ462"/>
      <c r="JA462"/>
      <c r="JB462"/>
      <c r="JC462"/>
      <c r="JD462"/>
      <c r="JE462"/>
      <c r="JF462"/>
      <c r="JG462"/>
      <c r="JH462"/>
      <c r="JI462"/>
      <c r="JJ462"/>
      <c r="JK462"/>
      <c r="JL462"/>
      <c r="JM462"/>
      <c r="JN462"/>
      <c r="JO462"/>
      <c r="JP462"/>
      <c r="JQ462"/>
      <c r="JR462"/>
      <c r="JS462"/>
      <c r="JT462"/>
    </row>
    <row r="463" spans="1:280" s="6" customFormat="1">
      <c r="A463" s="125" t="s">
        <v>701</v>
      </c>
      <c r="B463"/>
      <c r="C463" s="1850"/>
      <c r="D463"/>
      <c r="E463"/>
      <c r="F463"/>
      <c r="G463" s="736"/>
      <c r="H463" s="63"/>
      <c r="I463" s="1425"/>
      <c r="M463" s="1841"/>
      <c r="N463" s="63"/>
      <c r="O463" s="1425"/>
      <c r="P463" s="2278"/>
      <c r="Q463" s="2278"/>
      <c r="R463" s="2278"/>
      <c r="S463" s="2279"/>
      <c r="T463" s="63"/>
      <c r="U463" s="1425"/>
      <c r="V463" s="2278"/>
      <c r="W463" s="2278"/>
      <c r="X463" s="2278"/>
      <c r="Y463" s="2279"/>
      <c r="Z463" s="63"/>
      <c r="AA463" s="1425"/>
      <c r="AB463" s="2278"/>
      <c r="AC463" s="2278"/>
      <c r="AD463" s="2278"/>
      <c r="AE463" s="2279"/>
      <c r="AF463" s="63"/>
      <c r="AG463" s="1425"/>
      <c r="AH463" s="2278"/>
      <c r="AI463" s="2278"/>
      <c r="AJ463" s="2278"/>
      <c r="AK463" s="2279"/>
      <c r="AL463" s="63"/>
      <c r="AM463" s="1425"/>
      <c r="AN463" s="2278"/>
      <c r="AO463" s="2278"/>
      <c r="AP463" s="2278"/>
      <c r="AQ463" s="2279"/>
      <c r="AR463" s="63"/>
      <c r="AS463" s="1425"/>
      <c r="AT463" s="2278"/>
      <c r="AU463" s="2278"/>
      <c r="AV463" s="2278"/>
      <c r="AW463" s="2279"/>
      <c r="AX463" s="63"/>
      <c r="AY463" s="2246">
        <f>+AY455-AY$346</f>
        <v>0</v>
      </c>
      <c r="AZ463" s="2292">
        <f>+AZ455-AZ$346</f>
        <v>0</v>
      </c>
      <c r="BA463" s="2293">
        <f>+BA455-BA$346</f>
        <v>0</v>
      </c>
      <c r="BB463" s="2293">
        <f>+BB455-BB$346</f>
        <v>0</v>
      </c>
      <c r="BC463" s="2290">
        <f>+BC455-BC$346</f>
        <v>0</v>
      </c>
      <c r="BD463" s="3"/>
      <c r="BE463" s="2246">
        <f>+BE455-BE$346</f>
        <v>0</v>
      </c>
      <c r="BF463" s="2292">
        <f>+BF455-BF$346</f>
        <v>-1.5338541278915727</v>
      </c>
      <c r="BG463" s="2293">
        <f>+BG455-BG$346</f>
        <v>-3.7763472497233579</v>
      </c>
      <c r="BH463" s="2293">
        <f>+BH455-BH$346</f>
        <v>-5.5797631115902959</v>
      </c>
      <c r="BI463" s="2290">
        <f>+BI455-BI$346</f>
        <v>-2.7224911223012782</v>
      </c>
      <c r="BJ463" s="1588"/>
      <c r="BK463" s="2246">
        <f>+BK455-BK$346</f>
        <v>-33.368799157555316</v>
      </c>
      <c r="BL463" s="2292">
        <f>+BL455-BL$346</f>
        <v>-75.508282363924565</v>
      </c>
      <c r="BM463" s="2293">
        <f>+BM455-BM$346</f>
        <v>-164.47107025978767</v>
      </c>
      <c r="BN463" s="2293">
        <f>+BN455-BN$346</f>
        <v>-257.12400967175716</v>
      </c>
      <c r="BO463" s="2290">
        <f>+BO455-BO$346</f>
        <v>-132.61804036325623</v>
      </c>
      <c r="BP463" s="1588"/>
      <c r="BQ463" s="2246">
        <f>+BQ455-BQ$346</f>
        <v>-317.31787438981917</v>
      </c>
      <c r="BR463" s="2292">
        <f>+BR455-BR$346</f>
        <v>-356.77218872969775</v>
      </c>
      <c r="BS463" s="2293">
        <f>+BS455-BS$346</f>
        <v>-352.49781774353528</v>
      </c>
      <c r="BT463" s="2293">
        <f>+BT455-BT$346</f>
        <v>-347.20152878948363</v>
      </c>
      <c r="BU463" s="2290">
        <f>+BU455-BU$346</f>
        <v>-343.44735241313396</v>
      </c>
      <c r="BV463" s="1588"/>
      <c r="BW463" s="2246">
        <f>+BW455-BW$346</f>
        <v>-356.69668457179949</v>
      </c>
      <c r="BX463" s="2292">
        <f>+BX455-BX$346</f>
        <v>-366.05892020437381</v>
      </c>
      <c r="BY463" s="2293">
        <f>+BY455-BY$346</f>
        <v>-375.95559508550855</v>
      </c>
      <c r="BZ463" s="2293">
        <f>+BZ455-BZ$346</f>
        <v>-388.11522765050489</v>
      </c>
      <c r="CA463" s="2290">
        <f>+CA455-CA$346</f>
        <v>-371.70660687804673</v>
      </c>
      <c r="CB463" s="1588"/>
      <c r="CC463" s="2246">
        <f>+CC455-CC$346</f>
        <v>-392.33171322981838</v>
      </c>
      <c r="CD463" s="2292">
        <f>+CD455-CD$346</f>
        <v>-401.75048345875518</v>
      </c>
      <c r="CE463" s="2293">
        <f>+CE455-CE$346</f>
        <v>-411.36745272910395</v>
      </c>
      <c r="CF463" s="2293">
        <f>+CF455-CF$346</f>
        <v>-421.18713680929852</v>
      </c>
      <c r="CG463" s="2290">
        <f>+CG455-CG$346</f>
        <v>-406.65919655674395</v>
      </c>
      <c r="CH463" s="1588"/>
      <c r="CI463" s="2246">
        <f>+CI455-CI$346</f>
        <v>-435.49087459520149</v>
      </c>
      <c r="CJ463" s="2292">
        <f>+CJ455-CJ$346</f>
        <v>-452.68134149042095</v>
      </c>
      <c r="CK463" s="2293">
        <f>+CK455-CK$346</f>
        <v>-464.79970539756988</v>
      </c>
      <c r="CL463" s="2293">
        <f>+CL455-CL$346</f>
        <v>-475.6516998744292</v>
      </c>
      <c r="CM463" s="2290">
        <f>+CM455-CM$346</f>
        <v>-457.15590533940531</v>
      </c>
      <c r="CN463" s="1588"/>
      <c r="CO463" s="2246">
        <f>+CO455-CO$346</f>
        <v>-492.86916847535224</v>
      </c>
      <c r="CP463" s="2292">
        <f>+CP455-CP$346</f>
        <v>-512.65442546701615</v>
      </c>
      <c r="CQ463" s="2293">
        <f>+CQ455-CQ$346</f>
        <v>-534.99785306851265</v>
      </c>
      <c r="CR463" s="2293">
        <f>+CR455-CR$346</f>
        <v>-559.98302511680777</v>
      </c>
      <c r="CS463" s="2290">
        <f>+CS455-CS$346</f>
        <v>-525.12611803192272</v>
      </c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  <c r="HB463"/>
      <c r="HC463"/>
      <c r="HD463"/>
      <c r="HE463"/>
      <c r="HF463"/>
      <c r="HG463"/>
      <c r="HH463"/>
      <c r="HI463"/>
      <c r="HJ463"/>
      <c r="HK463"/>
      <c r="HL463"/>
      <c r="HM463"/>
      <c r="HN463"/>
      <c r="HO463"/>
      <c r="HP463"/>
      <c r="HQ463"/>
      <c r="HR463"/>
      <c r="HS463"/>
      <c r="HT463"/>
      <c r="HU463"/>
      <c r="HV463"/>
      <c r="HW463"/>
      <c r="HX463"/>
      <c r="HY463"/>
      <c r="HZ463"/>
      <c r="IA463"/>
      <c r="IB463"/>
      <c r="IC463"/>
      <c r="ID463"/>
      <c r="IE463"/>
      <c r="IF463"/>
      <c r="IG463"/>
      <c r="IH463"/>
      <c r="II463"/>
      <c r="IJ463"/>
      <c r="IK463"/>
      <c r="IL463"/>
      <c r="IM463"/>
      <c r="IN463"/>
      <c r="IO463"/>
      <c r="IP463"/>
      <c r="IQ463"/>
      <c r="IR463"/>
      <c r="IS463"/>
      <c r="IT463"/>
      <c r="IU463"/>
      <c r="IV463"/>
      <c r="IW463"/>
      <c r="IX463"/>
      <c r="IY463"/>
      <c r="IZ463"/>
      <c r="JA463"/>
      <c r="JB463"/>
      <c r="JC463"/>
      <c r="JD463"/>
      <c r="JE463"/>
      <c r="JF463"/>
      <c r="JG463"/>
      <c r="JH463"/>
      <c r="JI463"/>
      <c r="JJ463"/>
      <c r="JK463"/>
      <c r="JL463"/>
      <c r="JM463"/>
      <c r="JN463"/>
      <c r="JO463"/>
      <c r="JP463"/>
      <c r="JQ463"/>
      <c r="JR463"/>
      <c r="JS463"/>
      <c r="JT463"/>
    </row>
    <row r="464" spans="1:280" s="6" customFormat="1">
      <c r="A464" s="125" t="s">
        <v>702</v>
      </c>
      <c r="B464"/>
      <c r="C464" s="1425"/>
      <c r="D464" s="1423"/>
      <c r="E464" s="2284"/>
      <c r="F464" s="2284"/>
      <c r="G464" s="1424"/>
      <c r="H464" s="63"/>
      <c r="I464" s="1425"/>
      <c r="J464" s="1423"/>
      <c r="K464" s="2284"/>
      <c r="L464" s="2284"/>
      <c r="M464" s="1424"/>
      <c r="N464" s="63"/>
      <c r="O464" s="1425"/>
      <c r="P464" s="1423"/>
      <c r="Q464" s="2284"/>
      <c r="R464" s="2284"/>
      <c r="S464" s="1424"/>
      <c r="T464" s="63"/>
      <c r="U464" s="1425"/>
      <c r="V464" s="1423"/>
      <c r="W464" s="2284"/>
      <c r="X464" s="2284"/>
      <c r="Y464" s="1424"/>
      <c r="Z464" s="63"/>
      <c r="AA464" s="1425"/>
      <c r="AB464" s="1423"/>
      <c r="AC464" s="2284"/>
      <c r="AD464" s="2284"/>
      <c r="AE464" s="1424"/>
      <c r="AF464" s="63"/>
      <c r="AG464" s="1425"/>
      <c r="AH464" s="1423"/>
      <c r="AI464" s="2284"/>
      <c r="AJ464" s="2284"/>
      <c r="AK464" s="1424"/>
      <c r="AL464" s="63"/>
      <c r="AM464" s="1425"/>
      <c r="AN464" s="1423"/>
      <c r="AO464" s="2284"/>
      <c r="AP464" s="2284"/>
      <c r="AQ464" s="1424"/>
      <c r="AR464" s="63"/>
      <c r="AS464" s="1425"/>
      <c r="AT464" s="1423"/>
      <c r="AU464" s="2284"/>
      <c r="AV464" s="2284"/>
      <c r="AW464" s="1424"/>
      <c r="AX464" s="63"/>
      <c r="AY464" s="2246">
        <f>+AY456-AY$347</f>
        <v>0</v>
      </c>
      <c r="AZ464" s="2292">
        <f>+AZ456-AZ$347</f>
        <v>-2.8421709430404007E-14</v>
      </c>
      <c r="BA464" s="2293">
        <f>+BA456-BA$347</f>
        <v>2.8421709430404007E-14</v>
      </c>
      <c r="BB464" s="2293">
        <f>+BB456-BB$347</f>
        <v>0</v>
      </c>
      <c r="BC464" s="2290"/>
      <c r="BD464" s="3"/>
      <c r="BE464" s="2246">
        <f>+BE456-BE$347</f>
        <v>0</v>
      </c>
      <c r="BF464" s="2292">
        <f>+BF456-BF$347</f>
        <v>-1.5338541278916011</v>
      </c>
      <c r="BG464" s="2293">
        <f>+BG456-BG$347</f>
        <v>-2.2424931218317568</v>
      </c>
      <c r="BH464" s="2293">
        <f>+BH456-BH$347</f>
        <v>-1.803415861866938</v>
      </c>
      <c r="BI464" s="2290"/>
      <c r="BJ464" s="1588"/>
      <c r="BK464" s="2246">
        <f>+BK456-BK$347</f>
        <v>-27.78903604596502</v>
      </c>
      <c r="BL464" s="2292">
        <f>+BL456-BL$347</f>
        <v>-43.67333733426085</v>
      </c>
      <c r="BM464" s="2293">
        <f>+BM456-BM$347</f>
        <v>-91.205281017694858</v>
      </c>
      <c r="BN464" s="2293">
        <f>+BN456-BN$347</f>
        <v>-94.456355273836436</v>
      </c>
      <c r="BO464" s="2290"/>
      <c r="BP464" s="1588"/>
      <c r="BQ464" s="2246">
        <f>+BQ456-BQ$347</f>
        <v>-87.982900764027022</v>
      </c>
      <c r="BR464" s="2292">
        <f>+BR456-BR$347</f>
        <v>-83.127651674139429</v>
      </c>
      <c r="BS464" s="2293">
        <f>+BS456-BS$347</f>
        <v>-86.930910031532392</v>
      </c>
      <c r="BT464" s="2293">
        <f>+BT456-BT$347</f>
        <v>-89.160066319784789</v>
      </c>
      <c r="BU464" s="2290"/>
      <c r="BV464" s="1588"/>
      <c r="BW464" s="2246">
        <f>+BW456-BW$347</f>
        <v>-97.478056546342884</v>
      </c>
      <c r="BX464" s="2292">
        <f>+BX456-BX$347</f>
        <v>-92.48988730671374</v>
      </c>
      <c r="BY464" s="2293">
        <f>+BY456-BY$347</f>
        <v>-96.827584912667135</v>
      </c>
      <c r="BZ464" s="2293">
        <f>+BZ456-BZ$347</f>
        <v>-101.31969888478113</v>
      </c>
      <c r="CA464" s="2290"/>
      <c r="CB464" s="1588"/>
      <c r="CC464" s="2246">
        <f>+CC456-CC$347</f>
        <v>-101.69454212565637</v>
      </c>
      <c r="CD464" s="2292">
        <f>+CD456-CD$347</f>
        <v>-101.90865753565055</v>
      </c>
      <c r="CE464" s="2293">
        <f>+CE456-CE$347</f>
        <v>-106.4445541830159</v>
      </c>
      <c r="CF464" s="2293">
        <f>+CF456-CF$347</f>
        <v>-111.13938296497571</v>
      </c>
      <c r="CG464" s="2290"/>
      <c r="CH464" s="1588"/>
      <c r="CI464" s="2246">
        <f>+CI456-CI$347</f>
        <v>-115.99827991155934</v>
      </c>
      <c r="CJ464" s="2292">
        <f>+CJ456-CJ$347</f>
        <v>-119.09912443087001</v>
      </c>
      <c r="CK464" s="2293">
        <f>+CK456-CK$347</f>
        <v>-118.56291809016483</v>
      </c>
      <c r="CL464" s="2293">
        <f>+CL456-CL$347</f>
        <v>-121.99137744183503</v>
      </c>
      <c r="CM464" s="2290"/>
      <c r="CN464" s="1588"/>
      <c r="CO464" s="2246">
        <f>+CO456-CO$347</f>
        <v>-133.21574851248238</v>
      </c>
      <c r="CP464" s="2292">
        <f>+CP456-CP$347</f>
        <v>-138.88438142253386</v>
      </c>
      <c r="CQ464" s="2293">
        <f>+CQ456-CQ$347</f>
        <v>-140.90634569166139</v>
      </c>
      <c r="CR464" s="2293">
        <f>+CR456-CR$347</f>
        <v>-146.97654949013014</v>
      </c>
      <c r="CS464" s="2290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  <c r="HB464"/>
      <c r="HC464"/>
      <c r="HD464"/>
      <c r="HE464"/>
      <c r="HF464"/>
      <c r="HG464"/>
      <c r="HH464"/>
      <c r="HI464"/>
      <c r="HJ464"/>
      <c r="HK464"/>
      <c r="HL464"/>
      <c r="HM464"/>
      <c r="HN464"/>
      <c r="HO464"/>
      <c r="HP464"/>
      <c r="HQ464"/>
      <c r="HR464"/>
      <c r="HS464"/>
      <c r="HT464"/>
      <c r="HU464"/>
      <c r="HV464"/>
      <c r="HW464"/>
      <c r="HX464"/>
      <c r="HY464"/>
      <c r="HZ464"/>
      <c r="IA464"/>
      <c r="IB464"/>
      <c r="IC464"/>
      <c r="ID464"/>
      <c r="IE464"/>
      <c r="IF464"/>
      <c r="IG464"/>
      <c r="IH464"/>
      <c r="II464"/>
      <c r="IJ464"/>
      <c r="IK464"/>
      <c r="IL464"/>
      <c r="IM464"/>
      <c r="IN464"/>
      <c r="IO464"/>
      <c r="IP464"/>
      <c r="IQ464"/>
      <c r="IR464"/>
      <c r="IS464"/>
      <c r="IT464"/>
      <c r="IU464"/>
      <c r="IV464"/>
      <c r="IW464"/>
      <c r="IX464"/>
      <c r="IY464"/>
      <c r="IZ464"/>
      <c r="JA464"/>
      <c r="JB464"/>
      <c r="JC464"/>
      <c r="JD464"/>
      <c r="JE464"/>
      <c r="JF464"/>
      <c r="JG464"/>
      <c r="JH464"/>
      <c r="JI464"/>
      <c r="JJ464"/>
      <c r="JK464"/>
      <c r="JL464"/>
      <c r="JM464"/>
      <c r="JN464"/>
      <c r="JO464"/>
      <c r="JP464"/>
      <c r="JQ464"/>
      <c r="JR464"/>
      <c r="JS464"/>
      <c r="JT464"/>
    </row>
    <row r="465" spans="1:280" s="6" customFormat="1">
      <c r="A465" s="1930"/>
      <c r="B465"/>
      <c r="C465" s="1850"/>
      <c r="D465"/>
      <c r="E465"/>
      <c r="F465"/>
      <c r="G465" s="736"/>
      <c r="H465" s="63"/>
      <c r="I465" s="1425"/>
      <c r="M465" s="1841"/>
      <c r="N465" s="63"/>
      <c r="O465" s="1425"/>
      <c r="P465" s="2278"/>
      <c r="Q465" s="2278"/>
      <c r="R465" s="2278"/>
      <c r="S465" s="2279"/>
      <c r="T465" s="63"/>
      <c r="U465" s="1425"/>
      <c r="V465" s="2278"/>
      <c r="W465" s="2278"/>
      <c r="X465" s="2278"/>
      <c r="Y465" s="2279"/>
      <c r="Z465" s="63"/>
      <c r="AA465" s="1425"/>
      <c r="AB465" s="2278"/>
      <c r="AC465" s="2278"/>
      <c r="AD465" s="2278"/>
      <c r="AE465" s="2279"/>
      <c r="AF465" s="63"/>
      <c r="AG465" s="1425"/>
      <c r="AH465" s="2278"/>
      <c r="AI465" s="2278"/>
      <c r="AJ465" s="2278"/>
      <c r="AK465" s="2279"/>
      <c r="AL465" s="63"/>
      <c r="AM465" s="1425"/>
      <c r="AN465" s="2278"/>
      <c r="AO465" s="2278"/>
      <c r="AP465" s="2278"/>
      <c r="AQ465" s="2279"/>
      <c r="AR465" s="63"/>
      <c r="AS465" s="1425"/>
      <c r="AT465" s="2278"/>
      <c r="AU465" s="2278"/>
      <c r="AV465" s="2278"/>
      <c r="AW465" s="2279"/>
      <c r="AX465" s="63"/>
      <c r="AY465" s="1425"/>
      <c r="AZ465" s="2278"/>
      <c r="BA465" s="2278"/>
      <c r="BB465" s="2278"/>
      <c r="BC465" s="2279"/>
      <c r="BD465"/>
      <c r="BE465" s="1425"/>
      <c r="BF465" s="2278"/>
      <c r="BG465" s="2278"/>
      <c r="BH465" s="2278"/>
      <c r="BI465" s="2279"/>
      <c r="BJ465" s="63"/>
      <c r="BK465" s="1425"/>
      <c r="BL465" s="2278"/>
      <c r="BM465" s="2278"/>
      <c r="BN465" s="2278"/>
      <c r="BO465" s="2279"/>
      <c r="BP465" s="63"/>
      <c r="BQ465" s="1425"/>
      <c r="BR465" s="2278"/>
      <c r="BS465" s="2278"/>
      <c r="BT465" s="2278"/>
      <c r="BU465" s="2279"/>
      <c r="BV465" s="63"/>
      <c r="BW465" s="1425"/>
      <c r="BX465" s="2278"/>
      <c r="BY465" s="2278"/>
      <c r="BZ465" s="2278"/>
      <c r="CA465" s="2279"/>
      <c r="CB465" s="63"/>
      <c r="CC465" s="1425"/>
      <c r="CD465" s="2278"/>
      <c r="CE465" s="2278"/>
      <c r="CF465" s="2278"/>
      <c r="CG465" s="2279"/>
      <c r="CH465" s="63"/>
      <c r="CI465" s="1425"/>
      <c r="CJ465" s="2278"/>
      <c r="CK465" s="2278"/>
      <c r="CL465" s="2278"/>
      <c r="CM465" s="2279"/>
      <c r="CN465" s="63"/>
      <c r="CO465" s="1425"/>
      <c r="CP465" s="2278"/>
      <c r="CQ465" s="2278"/>
      <c r="CR465" s="2278"/>
      <c r="CS465" s="2279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  <c r="HB465"/>
      <c r="HC465"/>
      <c r="HD465"/>
      <c r="HE465"/>
      <c r="HF465"/>
      <c r="HG465"/>
      <c r="HH465"/>
      <c r="HI465"/>
      <c r="HJ465"/>
      <c r="HK465"/>
      <c r="HL465"/>
      <c r="HM465"/>
      <c r="HN465"/>
      <c r="HO465"/>
      <c r="HP465"/>
      <c r="HQ465"/>
      <c r="HR465"/>
      <c r="HS465"/>
      <c r="HT465"/>
      <c r="HU465"/>
      <c r="HV465"/>
      <c r="HW465"/>
      <c r="HX465"/>
      <c r="HY465"/>
      <c r="HZ465"/>
      <c r="IA465"/>
      <c r="IB465"/>
      <c r="IC465"/>
      <c r="ID465"/>
      <c r="IE465"/>
      <c r="IF465"/>
      <c r="IG465"/>
      <c r="IH465"/>
      <c r="II465"/>
      <c r="IJ465"/>
      <c r="IK465"/>
      <c r="IL465"/>
      <c r="IM465"/>
      <c r="IN465"/>
      <c r="IO465"/>
      <c r="IP465"/>
      <c r="IQ465"/>
      <c r="IR465"/>
      <c r="IS465"/>
      <c r="IT465"/>
      <c r="IU465"/>
      <c r="IV465"/>
      <c r="IW465"/>
      <c r="IX465"/>
      <c r="IY465"/>
      <c r="IZ465"/>
      <c r="JA465"/>
      <c r="JB465"/>
      <c r="JC465"/>
      <c r="JD465"/>
      <c r="JE465"/>
      <c r="JF465"/>
      <c r="JG465"/>
      <c r="JH465"/>
      <c r="JI465"/>
      <c r="JJ465"/>
      <c r="JK465"/>
      <c r="JL465"/>
      <c r="JM465"/>
      <c r="JN465"/>
      <c r="JO465"/>
      <c r="JP465"/>
      <c r="JQ465"/>
      <c r="JR465"/>
      <c r="JS465"/>
      <c r="JT465"/>
    </row>
    <row r="466" spans="1:280" s="6" customFormat="1">
      <c r="A466" s="1930" t="s">
        <v>693</v>
      </c>
      <c r="B466"/>
      <c r="C466" s="1425"/>
      <c r="G466" s="1841"/>
      <c r="H466" s="63"/>
      <c r="I466" s="1425"/>
      <c r="M466" s="1841"/>
      <c r="N466" s="63"/>
      <c r="O466" s="1425"/>
      <c r="S466" s="1841"/>
      <c r="T466" s="63"/>
      <c r="U466" s="1425"/>
      <c r="Y466" s="1841"/>
      <c r="Z466" s="63"/>
      <c r="AA466" s="1425"/>
      <c r="AE466" s="1841"/>
      <c r="AF466" s="63"/>
      <c r="AG466" s="1425"/>
      <c r="AK466" s="1841"/>
      <c r="AL466" s="63"/>
      <c r="AM466" s="1425">
        <f>+AM$16</f>
        <v>330.95800000000003</v>
      </c>
      <c r="AN466" s="6">
        <f>+AN$16</f>
        <v>346.09399999999999</v>
      </c>
      <c r="AO466" s="6">
        <f>+AO$16</f>
        <v>356.8</v>
      </c>
      <c r="AP466" s="6">
        <f>+AP$16</f>
        <v>387.32600000000002</v>
      </c>
      <c r="AQ466" s="1841">
        <f>+SUM(AM466:AP466)</f>
        <v>1421.1780000000001</v>
      </c>
      <c r="AR466" s="63"/>
      <c r="AS466" s="1425">
        <f>+AS$16</f>
        <v>420.78100000000001</v>
      </c>
      <c r="AT466" s="6">
        <f>+AT$16</f>
        <v>447.56799999999998</v>
      </c>
      <c r="AU466" s="6">
        <f>+AU$16</f>
        <v>480.63</v>
      </c>
      <c r="AV466" s="6">
        <f>+AV$16</f>
        <v>512.37900000000002</v>
      </c>
      <c r="AW466" s="1841">
        <f>+SUM(AS466:AV466)</f>
        <v>1861.3579999999997</v>
      </c>
      <c r="AX466" s="63"/>
      <c r="AY466" s="1425">
        <f>+AY$16</f>
        <v>538.56500000000005</v>
      </c>
      <c r="AZ466" s="6">
        <f>+AZ$16</f>
        <v>539.33267000000001</v>
      </c>
      <c r="BA466" s="6">
        <f>+BA$16</f>
        <v>549.48800000000006</v>
      </c>
      <c r="BB466" s="6">
        <f>+BB$16</f>
        <v>591.548</v>
      </c>
      <c r="BC466" s="1841">
        <f>+SUM(AY466:BB466)</f>
        <v>2218.9336700000003</v>
      </c>
      <c r="BD466"/>
      <c r="BE466" s="1425">
        <f>+BE$16</f>
        <v>571.76300000000003</v>
      </c>
      <c r="BF466" s="6">
        <f>+BF$16</f>
        <v>600.0752225411585</v>
      </c>
      <c r="BG466" s="6">
        <f>+BG$16</f>
        <v>606.63298757678228</v>
      </c>
      <c r="BH466" s="6">
        <f>+BH$16</f>
        <v>619.30622034959219</v>
      </c>
      <c r="BI466" s="1841">
        <f>+SUM(BE466:BH466)</f>
        <v>2397.7774304675331</v>
      </c>
      <c r="BJ466" s="63"/>
      <c r="BK466" s="1425">
        <f>+BK$16</f>
        <v>598</v>
      </c>
      <c r="BL466" s="6">
        <f>+BL$16</f>
        <v>662.4</v>
      </c>
      <c r="BM466" s="6">
        <f>+BM$16</f>
        <v>714.1042179921875</v>
      </c>
      <c r="BN466" s="6">
        <f>+BN$16</f>
        <v>777.53614416875007</v>
      </c>
      <c r="BO466" s="1841">
        <f>+SUM(BK466:BN466)</f>
        <v>2752.0403621609375</v>
      </c>
      <c r="BP466" s="63"/>
      <c r="BQ466" s="1425">
        <f>+BQ$16</f>
        <v>782</v>
      </c>
      <c r="BR466" s="6">
        <f>+BR$16</f>
        <v>790.43216979006502</v>
      </c>
      <c r="BS466" s="6">
        <f>+BS$16</f>
        <v>805.6766484806891</v>
      </c>
      <c r="BT466" s="6">
        <f>+BT$16</f>
        <v>840.31812717131322</v>
      </c>
      <c r="BU466" s="1841">
        <f>+SUM(BQ466:BT466)</f>
        <v>3218.4269454420673</v>
      </c>
      <c r="BV466" s="63"/>
      <c r="BW466" s="1425">
        <f>+BW$16</f>
        <v>872.66311950238219</v>
      </c>
      <c r="BX466" s="6">
        <f>+BX$16</f>
        <v>870.22373106422003</v>
      </c>
      <c r="BY466" s="6">
        <f>+BY$16</f>
        <v>882.06875801067326</v>
      </c>
      <c r="BZ466" s="6">
        <f>+BZ$16</f>
        <v>917.82797726481908</v>
      </c>
      <c r="CA466" s="1841">
        <f>+SUM(BW466:BZ466)</f>
        <v>3542.7835858420949</v>
      </c>
      <c r="CB466" s="63"/>
      <c r="CC466" s="1425">
        <f>+CC$16</f>
        <v>961.28431101600609</v>
      </c>
      <c r="CD466" s="6">
        <f>+CD$16</f>
        <v>959.45288335890916</v>
      </c>
      <c r="CE466" s="6">
        <f>+CE$16</f>
        <v>972.24722094441574</v>
      </c>
      <c r="CF466" s="6">
        <f>+CF$16</f>
        <v>1013.0584482932361</v>
      </c>
      <c r="CG466" s="1841">
        <f>+SUM(CC466:CF466)</f>
        <v>3906.0428636125671</v>
      </c>
      <c r="CH466" s="63"/>
      <c r="CI466" s="1425">
        <f>+CI$16</f>
        <v>1061.5747363625551</v>
      </c>
      <c r="CJ466" s="6">
        <f>+CJ$16</f>
        <v>1059.36255204085</v>
      </c>
      <c r="CK466" s="6">
        <f>+CK$16</f>
        <v>1072.8875263874513</v>
      </c>
      <c r="CL466" s="6">
        <f>+CL$16</f>
        <v>1120.6718618303846</v>
      </c>
      <c r="CM466" s="1841">
        <f>+SUM(CI466:CL466)</f>
        <v>4314.496676621241</v>
      </c>
      <c r="CN466" s="63"/>
      <c r="CO466" s="1425">
        <f>+CO$16</f>
        <v>1167.3216847679541</v>
      </c>
      <c r="CP466" s="6">
        <f>+CP$16</f>
        <v>1169.9955643677147</v>
      </c>
      <c r="CQ466" s="6">
        <f>+CQ$16</f>
        <v>1189.2413465931577</v>
      </c>
      <c r="CR466" s="6">
        <f>+CR$16</f>
        <v>1243.6616641844498</v>
      </c>
      <c r="CS466" s="1841">
        <f>+SUM(CO466:CR466)</f>
        <v>4770.2202599132761</v>
      </c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  <c r="HB466"/>
      <c r="HC466"/>
      <c r="HD466"/>
      <c r="HE466"/>
      <c r="HF466"/>
      <c r="HG466"/>
      <c r="HH466"/>
      <c r="HI466"/>
      <c r="HJ466"/>
      <c r="HK466"/>
      <c r="HL466"/>
      <c r="HM466"/>
      <c r="HN466"/>
      <c r="HO466"/>
      <c r="HP466"/>
      <c r="HQ466"/>
      <c r="HR466"/>
      <c r="HS466"/>
      <c r="HT466"/>
      <c r="HU466"/>
      <c r="HV466"/>
      <c r="HW466"/>
      <c r="HX466"/>
      <c r="HY466"/>
      <c r="HZ466"/>
      <c r="IA466"/>
      <c r="IB466"/>
      <c r="IC466"/>
      <c r="ID466"/>
      <c r="IE466"/>
      <c r="IF466"/>
      <c r="IG466"/>
      <c r="IH466"/>
      <c r="II466"/>
      <c r="IJ466"/>
      <c r="IK466"/>
      <c r="IL466"/>
      <c r="IM466"/>
      <c r="IN466"/>
      <c r="IO466"/>
      <c r="IP466"/>
      <c r="IQ466"/>
      <c r="IR466"/>
      <c r="IS466"/>
      <c r="IT466"/>
      <c r="IU466"/>
      <c r="IV466"/>
      <c r="IW466"/>
      <c r="IX466"/>
      <c r="IY466"/>
      <c r="IZ466"/>
      <c r="JA466"/>
      <c r="JB466"/>
      <c r="JC466"/>
      <c r="JD466"/>
      <c r="JE466"/>
      <c r="JF466"/>
      <c r="JG466"/>
      <c r="JH466"/>
      <c r="JI466"/>
      <c r="JJ466"/>
      <c r="JK466"/>
      <c r="JL466"/>
      <c r="JM466"/>
      <c r="JN466"/>
      <c r="JO466"/>
      <c r="JP466"/>
      <c r="JQ466"/>
      <c r="JR466"/>
      <c r="JS466"/>
      <c r="JT466"/>
    </row>
    <row r="467" spans="1:280" s="6" customFormat="1">
      <c r="A467" s="1930" t="s">
        <v>692</v>
      </c>
      <c r="B467"/>
      <c r="C467" s="1425"/>
      <c r="D467" s="1423"/>
      <c r="E467" s="2284"/>
      <c r="F467" s="2284"/>
      <c r="G467" s="1424"/>
      <c r="H467" s="63"/>
      <c r="I467" s="1425"/>
      <c r="J467" s="1423"/>
      <c r="K467" s="2284"/>
      <c r="L467" s="2284"/>
      <c r="M467" s="1424"/>
      <c r="N467" s="63"/>
      <c r="O467" s="1425"/>
      <c r="P467" s="1423"/>
      <c r="Q467" s="2284"/>
      <c r="R467" s="2284"/>
      <c r="S467" s="1424"/>
      <c r="T467" s="63"/>
      <c r="U467" s="1425"/>
      <c r="V467" s="1423"/>
      <c r="W467" s="2284"/>
      <c r="X467" s="2284"/>
      <c r="Y467" s="1424"/>
      <c r="Z467" s="63"/>
      <c r="AA467" s="1425"/>
      <c r="AB467" s="1423"/>
      <c r="AC467" s="2284"/>
      <c r="AD467" s="2284"/>
      <c r="AE467" s="1424"/>
      <c r="AF467" s="63"/>
      <c r="AG467" s="1425"/>
      <c r="AH467" s="1423"/>
      <c r="AI467" s="2284"/>
      <c r="AJ467" s="2284"/>
      <c r="AK467" s="1424"/>
      <c r="AL467" s="63"/>
      <c r="AM467" s="1425">
        <f>+AM440+AM430</f>
        <v>0</v>
      </c>
      <c r="AN467" s="1423">
        <f>+AN440+AN430</f>
        <v>0</v>
      </c>
      <c r="AO467" s="2284">
        <f>+AO440+AO430</f>
        <v>0</v>
      </c>
      <c r="AP467" s="2284">
        <f>+AP440+AP430</f>
        <v>0</v>
      </c>
      <c r="AQ467" s="1424">
        <f>+SUM(AM467:AP467)</f>
        <v>0</v>
      </c>
      <c r="AR467" s="63"/>
      <c r="AS467" s="1425">
        <f>+AS440+AS430</f>
        <v>0</v>
      </c>
      <c r="AT467" s="1423">
        <f>+AT440+AT430</f>
        <v>0</v>
      </c>
      <c r="AU467" s="2284">
        <f>+AU440+AU430</f>
        <v>0</v>
      </c>
      <c r="AV467" s="2284">
        <f>+AV440+AV430</f>
        <v>0</v>
      </c>
      <c r="AW467" s="1424">
        <f>+SUM(AS467:AV467)</f>
        <v>0</v>
      </c>
      <c r="AX467" s="63"/>
      <c r="AY467" s="1425">
        <f>+AY440+AY430</f>
        <v>0</v>
      </c>
      <c r="AZ467" s="1423">
        <f>+AZ440+AZ430</f>
        <v>0</v>
      </c>
      <c r="BA467" s="2284">
        <f>+BA440+BA430</f>
        <v>0</v>
      </c>
      <c r="BB467" s="2284">
        <f>+BB440+BB430</f>
        <v>0</v>
      </c>
      <c r="BC467" s="1424">
        <f>+SUM(AY467:BB467)</f>
        <v>0</v>
      </c>
      <c r="BD467"/>
      <c r="BE467" s="1425">
        <f>+BE440+BE430</f>
        <v>0</v>
      </c>
      <c r="BF467" s="1423">
        <f>+BF440+BF430</f>
        <v>-15.762094480390974</v>
      </c>
      <c r="BG467" s="2284">
        <f>+BG440+BG430</f>
        <v>-7.897435746544077</v>
      </c>
      <c r="BH467" s="2284">
        <f>+BH440+BH430</f>
        <v>-11.785357751358056</v>
      </c>
      <c r="BI467" s="1424">
        <f>+SUM(BE467:BH467)</f>
        <v>-35.44488797829311</v>
      </c>
      <c r="BJ467" s="63"/>
      <c r="BK467" s="1425">
        <f>+BK440+BK430</f>
        <v>1.997958743149411</v>
      </c>
      <c r="BL467" s="1423">
        <f>+BL440+BL430</f>
        <v>7.9996639129517462</v>
      </c>
      <c r="BM467" s="2284">
        <f>+BM440+BM430</f>
        <v>8.8972735967956851</v>
      </c>
      <c r="BN467" s="2284">
        <f>+BN440+BN430</f>
        <v>9.990337070262072</v>
      </c>
      <c r="BO467" s="1424">
        <f>+SUM(BK467:BN467)</f>
        <v>28.885233323158914</v>
      </c>
      <c r="BP467" s="63"/>
      <c r="BQ467" s="1425">
        <f>+BQ440+BQ430</f>
        <v>11.026522483327598</v>
      </c>
      <c r="BR467" s="1423">
        <f>+BR440+BR430</f>
        <v>12.007264894702324</v>
      </c>
      <c r="BS467" s="2284">
        <f>+BS440+BS430</f>
        <v>12.684582401073458</v>
      </c>
      <c r="BT467" s="2284">
        <f>+BT440+BT430</f>
        <v>12.9408103484115</v>
      </c>
      <c r="BU467" s="1424">
        <f>+SUM(BQ467:BT467)</f>
        <v>48.659180127514873</v>
      </c>
      <c r="BV467" s="63"/>
      <c r="BW467" s="1425">
        <f>+BW440+BW430</f>
        <v>13.069679747416387</v>
      </c>
      <c r="BX467" s="1423">
        <f>+BX440+BX430</f>
        <v>13.121438174691015</v>
      </c>
      <c r="BY467" s="2284">
        <f>+BY440+BY430</f>
        <v>13.061631399011041</v>
      </c>
      <c r="BZ467" s="2284">
        <f>+BZ440+BZ430</f>
        <v>12.895745256554726</v>
      </c>
      <c r="CA467" s="1424">
        <f>+SUM(BW467:BZ467)</f>
        <v>52.148494577673169</v>
      </c>
      <c r="CB467" s="63"/>
      <c r="CC467" s="1425">
        <f>+CC440+CC430</f>
        <v>12.629325297052162</v>
      </c>
      <c r="CD467" s="1423">
        <f>+CD440+CD430</f>
        <v>12.323127388108599</v>
      </c>
      <c r="CE467" s="2284">
        <f>+CE440+CE430</f>
        <v>11.932008725375248</v>
      </c>
      <c r="CF467" s="2284">
        <f>+CF440+CF430</f>
        <v>11.46112996542254</v>
      </c>
      <c r="CG467" s="1424">
        <f>+SUM(CC467:CF467)</f>
        <v>48.345591375958548</v>
      </c>
      <c r="CH467" s="63"/>
      <c r="CI467" s="1425">
        <f>+CI440+CI430</f>
        <v>10.730780695620421</v>
      </c>
      <c r="CJ467" s="1423">
        <f>+CJ440+CJ430</f>
        <v>10.9479783950416</v>
      </c>
      <c r="CK467" s="2284">
        <f>+CK440+CK430</f>
        <v>12.761362538727315</v>
      </c>
      <c r="CL467" s="2284">
        <f>+CL440+CL430</f>
        <v>14.397590642155537</v>
      </c>
      <c r="CM467" s="1424">
        <f>+SUM(CI467:CL467)</f>
        <v>48.837712271544873</v>
      </c>
      <c r="CN467" s="63"/>
      <c r="CO467" s="1425">
        <f>+CO440+CO430</f>
        <v>14.042822450208762</v>
      </c>
      <c r="CP467" s="1423">
        <f>+CP440+CP430</f>
        <v>13.467520246781739</v>
      </c>
      <c r="CQ467" s="2284">
        <f>+CQ440+CQ430</f>
        <v>13.233781931367073</v>
      </c>
      <c r="CR467" s="2284">
        <f>+CR440+CR430</f>
        <v>12.591201084025975</v>
      </c>
      <c r="CS467" s="1424">
        <f>+SUM(CO467:CR467)</f>
        <v>53.335325712383543</v>
      </c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  <c r="HB467"/>
      <c r="HC467"/>
      <c r="HD467"/>
      <c r="HE467"/>
      <c r="HF467"/>
      <c r="HG467"/>
      <c r="HH467"/>
      <c r="HI467"/>
      <c r="HJ467"/>
      <c r="HK467"/>
      <c r="HL467"/>
      <c r="HM467"/>
      <c r="HN467"/>
      <c r="HO467"/>
      <c r="HP467"/>
      <c r="HQ467"/>
      <c r="HR467"/>
      <c r="HS467"/>
      <c r="HT467"/>
      <c r="HU467"/>
      <c r="HV467"/>
      <c r="HW467"/>
      <c r="HX467"/>
      <c r="HY467"/>
      <c r="HZ467"/>
      <c r="IA467"/>
      <c r="IB467"/>
      <c r="IC467"/>
      <c r="ID467"/>
      <c r="IE467"/>
      <c r="IF467"/>
      <c r="IG467"/>
      <c r="IH467"/>
      <c r="II467"/>
      <c r="IJ467"/>
      <c r="IK467"/>
      <c r="IL467"/>
      <c r="IM467"/>
      <c r="IN467"/>
      <c r="IO467"/>
      <c r="IP467"/>
      <c r="IQ467"/>
      <c r="IR467"/>
      <c r="IS467"/>
      <c r="IT467"/>
      <c r="IU467"/>
      <c r="IV467"/>
      <c r="IW467"/>
      <c r="IX467"/>
      <c r="IY467"/>
      <c r="IZ467"/>
      <c r="JA467"/>
      <c r="JB467"/>
      <c r="JC467"/>
      <c r="JD467"/>
      <c r="JE467"/>
      <c r="JF467"/>
      <c r="JG467"/>
      <c r="JH467"/>
      <c r="JI467"/>
      <c r="JJ467"/>
      <c r="JK467"/>
      <c r="JL467"/>
      <c r="JM467"/>
      <c r="JN467"/>
      <c r="JO467"/>
      <c r="JP467"/>
      <c r="JQ467"/>
      <c r="JR467"/>
      <c r="JS467"/>
      <c r="JT467"/>
    </row>
    <row r="468" spans="1:280" s="6" customFormat="1">
      <c r="A468" s="1930" t="s">
        <v>29</v>
      </c>
      <c r="B468"/>
      <c r="C468" s="1425"/>
      <c r="G468" s="1841"/>
      <c r="H468" s="63"/>
      <c r="I468" s="1425"/>
      <c r="M468" s="1841"/>
      <c r="N468" s="63"/>
      <c r="O468" s="1425"/>
      <c r="S468" s="1841"/>
      <c r="T468" s="63"/>
      <c r="U468" s="1425"/>
      <c r="Y468" s="1841"/>
      <c r="Z468" s="63"/>
      <c r="AA468" s="1425"/>
      <c r="AE468" s="1841"/>
      <c r="AF468" s="63"/>
      <c r="AG468" s="1425"/>
      <c r="AK468" s="1841"/>
      <c r="AL468" s="63"/>
      <c r="AM468" s="1425">
        <f>+AM467+AM466</f>
        <v>330.95800000000003</v>
      </c>
      <c r="AN468" s="6">
        <f>+AN467+AN466</f>
        <v>346.09399999999999</v>
      </c>
      <c r="AO468" s="6">
        <f>+AO467+AO466</f>
        <v>356.8</v>
      </c>
      <c r="AP468" s="6">
        <f>+AP467+AP466</f>
        <v>387.32600000000002</v>
      </c>
      <c r="AQ468" s="1841">
        <f>+AQ467+AQ466</f>
        <v>1421.1780000000001</v>
      </c>
      <c r="AR468" s="63"/>
      <c r="AS468" s="1425">
        <f>+AS467+AS466</f>
        <v>420.78100000000001</v>
      </c>
      <c r="AT468" s="6">
        <f>+AT467+AT466</f>
        <v>447.56799999999998</v>
      </c>
      <c r="AU468" s="6">
        <f>+AU467+AU466</f>
        <v>480.63</v>
      </c>
      <c r="AV468" s="6">
        <f>+AV467+AV466</f>
        <v>512.37900000000002</v>
      </c>
      <c r="AW468" s="1841">
        <f>+AW467+AW466</f>
        <v>1861.3579999999997</v>
      </c>
      <c r="AX468" s="63"/>
      <c r="AY468" s="1425">
        <f>+AY467+AY466</f>
        <v>538.56500000000005</v>
      </c>
      <c r="AZ468" s="6">
        <f>+AZ467+AZ466</f>
        <v>539.33267000000001</v>
      </c>
      <c r="BA468" s="6">
        <f>+BA467+BA466</f>
        <v>549.48800000000006</v>
      </c>
      <c r="BB468" s="6">
        <f>+BB467+BB466</f>
        <v>591.548</v>
      </c>
      <c r="BC468" s="1841">
        <f>+BC467+BC466</f>
        <v>2218.9336700000003</v>
      </c>
      <c r="BD468"/>
      <c r="BE468" s="1425">
        <f>+BE467+BE466</f>
        <v>571.76300000000003</v>
      </c>
      <c r="BF468" s="6">
        <f>+BF467+BF466</f>
        <v>584.31312806076755</v>
      </c>
      <c r="BG468" s="6">
        <f>+BG467+BG466</f>
        <v>598.73555183023825</v>
      </c>
      <c r="BH468" s="6">
        <f>+BH467+BH466</f>
        <v>607.52086259823409</v>
      </c>
      <c r="BI468" s="1841">
        <f>+BI467+BI466</f>
        <v>2362.33254248924</v>
      </c>
      <c r="BJ468" s="63"/>
      <c r="BK468" s="1425">
        <f>+BK467+BK466</f>
        <v>599.99795874314941</v>
      </c>
      <c r="BL468" s="6">
        <f>+BL467+BL466</f>
        <v>670.39966391295172</v>
      </c>
      <c r="BM468" s="6">
        <f>+BM467+BM466</f>
        <v>723.00149158898319</v>
      </c>
      <c r="BN468" s="6">
        <f>+BN467+BN466</f>
        <v>787.52648123901213</v>
      </c>
      <c r="BO468" s="1841">
        <f>+BO467+BO466</f>
        <v>2780.9255954840964</v>
      </c>
      <c r="BP468" s="63"/>
      <c r="BQ468" s="1425">
        <f>+BQ467+BQ466</f>
        <v>793.02652248332765</v>
      </c>
      <c r="BR468" s="6">
        <f>+BR467+BR466</f>
        <v>802.43943468476732</v>
      </c>
      <c r="BS468" s="6">
        <f>+BS467+BS466</f>
        <v>818.36123088176259</v>
      </c>
      <c r="BT468" s="6">
        <f>+BT467+BT466</f>
        <v>853.25893751972467</v>
      </c>
      <c r="BU468" s="1841">
        <f>+BU467+BU466</f>
        <v>3267.0861255695822</v>
      </c>
      <c r="BV468" s="63"/>
      <c r="BW468" s="1425">
        <f>+BW467+BW466</f>
        <v>885.73279924979852</v>
      </c>
      <c r="BX468" s="6">
        <f>+BX467+BX466</f>
        <v>883.34516923891101</v>
      </c>
      <c r="BY468" s="6">
        <f>+BY467+BY466</f>
        <v>895.13038940968431</v>
      </c>
      <c r="BZ468" s="6">
        <f>+BZ467+BZ466</f>
        <v>930.72372252137382</v>
      </c>
      <c r="CA468" s="1841">
        <f>+CA467+CA466</f>
        <v>3594.9320804197682</v>
      </c>
      <c r="CB468" s="63"/>
      <c r="CC468" s="1425">
        <f>+CC467+CC466</f>
        <v>973.9136363130583</v>
      </c>
      <c r="CD468" s="6">
        <f>+CD467+CD466</f>
        <v>971.77601074701772</v>
      </c>
      <c r="CE468" s="6">
        <f>+CE467+CE466</f>
        <v>984.17922966979097</v>
      </c>
      <c r="CF468" s="6">
        <f>+CF467+CF466</f>
        <v>1024.5195782586586</v>
      </c>
      <c r="CG468" s="1841">
        <f>+CG467+CG466</f>
        <v>3954.3884549885256</v>
      </c>
      <c r="CH468" s="63"/>
      <c r="CI468" s="1425">
        <f>+CI467+CI466</f>
        <v>1072.3055170581756</v>
      </c>
      <c r="CJ468" s="6">
        <f>+CJ467+CJ466</f>
        <v>1070.3105304358917</v>
      </c>
      <c r="CK468" s="6">
        <f>+CK467+CK466</f>
        <v>1085.6488889261786</v>
      </c>
      <c r="CL468" s="6">
        <f>+CL467+CL466</f>
        <v>1135.0694524725402</v>
      </c>
      <c r="CM468" s="1841">
        <f>+CM467+CM466</f>
        <v>4363.3343888927857</v>
      </c>
      <c r="CN468" s="63"/>
      <c r="CO468" s="1425">
        <f>+CO467+CO466</f>
        <v>1181.364507218163</v>
      </c>
      <c r="CP468" s="6">
        <f>+CP467+CP466</f>
        <v>1183.4630846144964</v>
      </c>
      <c r="CQ468" s="6">
        <f>+CQ467+CQ466</f>
        <v>1202.4751285245247</v>
      </c>
      <c r="CR468" s="6">
        <f>+CR467+CR466</f>
        <v>1256.2528652684757</v>
      </c>
      <c r="CS468" s="1841">
        <f>+CS467+CS466</f>
        <v>4823.5555856256597</v>
      </c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  <c r="HB468"/>
      <c r="HC468"/>
      <c r="HD468"/>
      <c r="HE468"/>
      <c r="HF468"/>
      <c r="HG468"/>
      <c r="HH468"/>
      <c r="HI468"/>
      <c r="HJ468"/>
      <c r="HK468"/>
      <c r="HL468"/>
      <c r="HM468"/>
      <c r="HN468"/>
      <c r="HO468"/>
      <c r="HP468"/>
      <c r="HQ468"/>
      <c r="HR468"/>
      <c r="HS468"/>
      <c r="HT468"/>
      <c r="HU468"/>
      <c r="HV468"/>
      <c r="HW468"/>
      <c r="HX468"/>
      <c r="HY468"/>
      <c r="HZ468"/>
      <c r="IA468"/>
      <c r="IB468"/>
      <c r="IC468"/>
      <c r="ID468"/>
      <c r="IE468"/>
      <c r="IF468"/>
      <c r="IG468"/>
      <c r="IH468"/>
      <c r="II468"/>
      <c r="IJ468"/>
      <c r="IK468"/>
      <c r="IL468"/>
      <c r="IM468"/>
      <c r="IN468"/>
      <c r="IO468"/>
      <c r="IP468"/>
      <c r="IQ468"/>
      <c r="IR468"/>
      <c r="IS468"/>
      <c r="IT468"/>
      <c r="IU468"/>
      <c r="IV468"/>
      <c r="IW468"/>
      <c r="IX468"/>
      <c r="IY468"/>
      <c r="IZ468"/>
      <c r="JA468"/>
      <c r="JB468"/>
      <c r="JC468"/>
      <c r="JD468"/>
      <c r="JE468"/>
      <c r="JF468"/>
      <c r="JG468"/>
      <c r="JH468"/>
      <c r="JI468"/>
      <c r="JJ468"/>
      <c r="JK468"/>
      <c r="JL468"/>
      <c r="JM468"/>
      <c r="JN468"/>
      <c r="JO468"/>
      <c r="JP468"/>
      <c r="JQ468"/>
      <c r="JR468"/>
      <c r="JS468"/>
      <c r="JT468"/>
    </row>
    <row r="469" spans="1:280" s="6" customFormat="1">
      <c r="A469" s="1028" t="s">
        <v>428</v>
      </c>
      <c r="B469"/>
      <c r="C469" s="1392"/>
      <c r="D469" s="154"/>
      <c r="E469" s="154"/>
      <c r="F469" s="154"/>
      <c r="G469" s="1393"/>
      <c r="H469" s="63"/>
      <c r="I469" s="1392"/>
      <c r="J469" s="154"/>
      <c r="K469" s="154"/>
      <c r="L469" s="154"/>
      <c r="M469" s="1393"/>
      <c r="N469" s="63"/>
      <c r="O469" s="1392"/>
      <c r="P469" s="154"/>
      <c r="Q469" s="154"/>
      <c r="R469" s="154"/>
      <c r="S469" s="1393"/>
      <c r="T469" s="63"/>
      <c r="U469" s="1392"/>
      <c r="V469" s="154"/>
      <c r="W469" s="154"/>
      <c r="X469" s="154"/>
      <c r="Y469" s="1393"/>
      <c r="Z469" s="63"/>
      <c r="AA469" s="1392"/>
      <c r="AB469" s="154"/>
      <c r="AC469" s="154"/>
      <c r="AD469" s="154"/>
      <c r="AE469" s="1393"/>
      <c r="AF469" s="63"/>
      <c r="AG469" s="1392"/>
      <c r="AH469" s="154"/>
      <c r="AI469" s="154"/>
      <c r="AJ469" s="154"/>
      <c r="AK469" s="1393"/>
      <c r="AL469" s="63"/>
      <c r="AM469" s="1392"/>
      <c r="AN469" s="154"/>
      <c r="AO469" s="154"/>
      <c r="AP469" s="154"/>
      <c r="AQ469" s="1393"/>
      <c r="AR469" s="63"/>
      <c r="AS469" s="1392">
        <f>+AS468/AM468-1</f>
        <v>0.27140301790559529</v>
      </c>
      <c r="AT469" s="154">
        <f>+AT468/AN468-1</f>
        <v>0.29319780175328081</v>
      </c>
      <c r="AU469" s="154">
        <f>+AU468/AO468-1</f>
        <v>0.34705717488789234</v>
      </c>
      <c r="AV469" s="154">
        <f>+AV468/AP468-1</f>
        <v>0.32286239498510305</v>
      </c>
      <c r="AW469" s="1393">
        <f>+AW468/AQ468-1</f>
        <v>0.30972897131815968</v>
      </c>
      <c r="AX469" s="63"/>
      <c r="AY469" s="1392">
        <f>+AY468/AS468-1</f>
        <v>0.27991758182997817</v>
      </c>
      <c r="AZ469" s="154">
        <f>+AZ468/AT468-1</f>
        <v>0.20502955975404857</v>
      </c>
      <c r="BA469" s="154">
        <f>+BA468/AU468-1</f>
        <v>0.14326612987121079</v>
      </c>
      <c r="BB469" s="154">
        <f>+BB468/AV468-1</f>
        <v>0.15451257760368775</v>
      </c>
      <c r="BC469" s="1393">
        <f>+BC468/AW468-1</f>
        <v>0.19210472676400814</v>
      </c>
      <c r="BD469"/>
      <c r="BE469" s="1392">
        <f>+BE468/AY468-1</f>
        <v>6.1641584581248354E-2</v>
      </c>
      <c r="BF469" s="154">
        <f>+BF468/AZ468-1</f>
        <v>8.3400210227886795E-2</v>
      </c>
      <c r="BG469" s="154">
        <f>+BG468/BA468-1</f>
        <v>8.9624435529507718E-2</v>
      </c>
      <c r="BH469" s="154">
        <f>+BH468/BB468-1</f>
        <v>2.7001803062869145E-2</v>
      </c>
      <c r="BI469" s="1393">
        <f>+BI468/BC468-1</f>
        <v>6.4625128018918954E-2</v>
      </c>
      <c r="BJ469" s="63"/>
      <c r="BK469" s="1392">
        <f>+BK468/BE468-1</f>
        <v>4.9382276823000781E-2</v>
      </c>
      <c r="BL469" s="154">
        <f>+BL468/BF468-1</f>
        <v>0.14732945696067157</v>
      </c>
      <c r="BM469" s="154">
        <f>+BM468/BG468-1</f>
        <v>0.20754728757776952</v>
      </c>
      <c r="BN469" s="154">
        <f>+BN468/BH468-1</f>
        <v>0.29629536979344762</v>
      </c>
      <c r="BO469" s="1393">
        <f>+BO468/BI468-1</f>
        <v>0.17719480448496716</v>
      </c>
      <c r="BP469" s="63"/>
      <c r="BQ469" s="1392">
        <f>+BQ468/BK468-1</f>
        <v>0.3217153674064599</v>
      </c>
      <c r="BR469" s="154">
        <f>+BR468/BL468-1</f>
        <v>0.19695679738431426</v>
      </c>
      <c r="BS469" s="154">
        <f>+BS468/BM468-1</f>
        <v>0.13189424973827046</v>
      </c>
      <c r="BT469" s="154">
        <f>+BT468/BN468-1</f>
        <v>8.3466979011671993E-2</v>
      </c>
      <c r="BU469" s="1393">
        <f>+BU468/BO468-1</f>
        <v>0.1748196826534858</v>
      </c>
      <c r="BV469" s="63"/>
      <c r="BW469" s="1392">
        <f>+BW468/BQ468-1</f>
        <v>0.11690186158738447</v>
      </c>
      <c r="BX469" s="154">
        <f>+BX468/BR468-1</f>
        <v>0.10082472403157383</v>
      </c>
      <c r="BY469" s="154">
        <f>+BY468/BS468-1</f>
        <v>9.3808401022620558E-2</v>
      </c>
      <c r="BZ469" s="154">
        <f>+BZ468/BT468-1</f>
        <v>9.0786959966485448E-2</v>
      </c>
      <c r="CA469" s="1393">
        <f>+CA468/BU468-1</f>
        <v>0.10034812130734072</v>
      </c>
      <c r="CB469" s="63"/>
      <c r="CC469" s="1392">
        <f>+CC468/BW468-1</f>
        <v>9.9556928610916806E-2</v>
      </c>
      <c r="CD469" s="154">
        <f>+CD468/BX468-1</f>
        <v>0.10010904523799979</v>
      </c>
      <c r="CE469" s="154">
        <f>+CE468/BY468-1</f>
        <v>9.9481417806440486E-2</v>
      </c>
      <c r="CF469" s="154">
        <f>+CF468/BZ468-1</f>
        <v>0.10077733431268676</v>
      </c>
      <c r="CG469" s="1393">
        <f>+CG468/CA468-1</f>
        <v>9.9989754055877622E-2</v>
      </c>
      <c r="CH469" s="63"/>
      <c r="CI469" s="1392">
        <f>+CI468/CC468-1</f>
        <v>0.10102731605401805</v>
      </c>
      <c r="CJ469" s="154">
        <f>+CJ468/CD468-1</f>
        <v>0.10139632857692082</v>
      </c>
      <c r="CK469" s="154">
        <f>+CK468/CE468-1</f>
        <v>0.10310079322689281</v>
      </c>
      <c r="CL469" s="154">
        <f>+CL468/CF468-1</f>
        <v>0.10790411092170582</v>
      </c>
      <c r="CM469" s="1393">
        <f>+CM468/CG468-1</f>
        <v>0.10341572118145548</v>
      </c>
      <c r="CN469" s="63"/>
      <c r="CO469" s="1392">
        <f>+CO468/CI468-1</f>
        <v>0.10170514692415833</v>
      </c>
      <c r="CP469" s="154">
        <f>+CP468/CJ468-1</f>
        <v>0.10571936924933611</v>
      </c>
      <c r="CQ469" s="154">
        <f>+CQ468/CK468-1</f>
        <v>0.10760959716349872</v>
      </c>
      <c r="CR469" s="154">
        <f>+CR468/CL468-1</f>
        <v>0.10676299369343401</v>
      </c>
      <c r="CS469" s="1393">
        <f>+CS468/CM468-1</f>
        <v>0.10547465669933609</v>
      </c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  <c r="HB469"/>
      <c r="HC469"/>
      <c r="HD469"/>
      <c r="HE469"/>
      <c r="HF469"/>
      <c r="HG469"/>
      <c r="HH469"/>
      <c r="HI469"/>
      <c r="HJ469"/>
      <c r="HK469"/>
      <c r="HL469"/>
      <c r="HM469"/>
      <c r="HN469"/>
      <c r="HO469"/>
      <c r="HP469"/>
      <c r="HQ469"/>
      <c r="HR469"/>
      <c r="HS469"/>
      <c r="HT469"/>
      <c r="HU469"/>
      <c r="HV469"/>
      <c r="HW469"/>
      <c r="HX469"/>
      <c r="HY469"/>
      <c r="HZ469"/>
      <c r="IA469"/>
      <c r="IB469"/>
      <c r="IC469"/>
      <c r="ID469"/>
      <c r="IE469"/>
      <c r="IF469"/>
      <c r="IG469"/>
      <c r="IH469"/>
      <c r="II469"/>
      <c r="IJ469"/>
      <c r="IK469"/>
      <c r="IL469"/>
      <c r="IM469"/>
      <c r="IN469"/>
      <c r="IO469"/>
      <c r="IP469"/>
      <c r="IQ469"/>
      <c r="IR469"/>
      <c r="IS469"/>
      <c r="IT469"/>
      <c r="IU469"/>
      <c r="IV469"/>
      <c r="IW469"/>
      <c r="IX469"/>
      <c r="IY469"/>
      <c r="IZ469"/>
      <c r="JA469"/>
      <c r="JB469"/>
      <c r="JC469"/>
      <c r="JD469"/>
      <c r="JE469"/>
      <c r="JF469"/>
      <c r="JG469"/>
      <c r="JH469"/>
      <c r="JI469"/>
      <c r="JJ469"/>
      <c r="JK469"/>
      <c r="JL469"/>
      <c r="JM469"/>
      <c r="JN469"/>
      <c r="JO469"/>
      <c r="JP469"/>
      <c r="JQ469"/>
      <c r="JR469"/>
      <c r="JS469"/>
      <c r="JT469"/>
    </row>
    <row r="470" spans="1:280" s="6" customFormat="1">
      <c r="A470" s="2294" t="s">
        <v>696</v>
      </c>
      <c r="B470" s="5"/>
      <c r="C470" s="1392"/>
      <c r="D470" s="154"/>
      <c r="E470" s="154"/>
      <c r="F470" s="154"/>
      <c r="G470" s="1393"/>
      <c r="H470" s="5"/>
      <c r="I470" s="1392"/>
      <c r="J470" s="154"/>
      <c r="K470" s="154"/>
      <c r="L470" s="154"/>
      <c r="M470" s="1393"/>
      <c r="N470" s="5"/>
      <c r="O470" s="1392"/>
      <c r="P470" s="154"/>
      <c r="Q470" s="154"/>
      <c r="R470" s="154"/>
      <c r="S470" s="1393"/>
      <c r="T470" s="5"/>
      <c r="U470" s="1392"/>
      <c r="V470" s="154"/>
      <c r="W470" s="154"/>
      <c r="X470" s="154"/>
      <c r="Y470" s="1393"/>
      <c r="Z470" s="5"/>
      <c r="AA470" s="1392"/>
      <c r="AB470" s="154"/>
      <c r="AC470" s="154"/>
      <c r="AD470" s="154"/>
      <c r="AE470" s="1393"/>
      <c r="AF470" s="5"/>
      <c r="AG470" s="1392"/>
      <c r="AH470" s="154"/>
      <c r="AI470" s="154"/>
      <c r="AJ470" s="154"/>
      <c r="AK470" s="1393"/>
      <c r="AL470" s="5"/>
      <c r="AM470" s="1392"/>
      <c r="AN470" s="154"/>
      <c r="AO470" s="154"/>
      <c r="AP470" s="154"/>
      <c r="AQ470" s="1393"/>
      <c r="AR470" s="5"/>
      <c r="AS470" s="1392">
        <f>+AS468/AM466-1</f>
        <v>0.27140301790559529</v>
      </c>
      <c r="AT470" s="154">
        <f>+AT468/AN466-1</f>
        <v>0.29319780175328081</v>
      </c>
      <c r="AU470" s="154">
        <f>+AU468/AO466-1</f>
        <v>0.34705717488789234</v>
      </c>
      <c r="AV470" s="154">
        <f>+AV468/AP466-1</f>
        <v>0.32286239498510305</v>
      </c>
      <c r="AW470" s="1393">
        <f>+AW468/AQ466-1</f>
        <v>0.30972897131815968</v>
      </c>
      <c r="AX470" s="5"/>
      <c r="AY470" s="1392">
        <f>+AY468/AS466-1</f>
        <v>0.27991758182997817</v>
      </c>
      <c r="AZ470" s="154">
        <f>+AZ468/AT466-1</f>
        <v>0.20502955975404857</v>
      </c>
      <c r="BA470" s="154">
        <f>+BA468/AU466-1</f>
        <v>0.14326612987121079</v>
      </c>
      <c r="BB470" s="154">
        <f>+BB468/AV466-1</f>
        <v>0.15451257760368775</v>
      </c>
      <c r="BC470" s="1393">
        <f>+BC468/AW466-1</f>
        <v>0.19210472676400814</v>
      </c>
      <c r="BD470" s="5"/>
      <c r="BE470" s="1392">
        <f>+BE468/AY466-1</f>
        <v>6.1641584581248354E-2</v>
      </c>
      <c r="BF470" s="154">
        <f>+BF468/AZ466-1</f>
        <v>8.3400210227886795E-2</v>
      </c>
      <c r="BG470" s="154">
        <f>+BG468/BA466-1</f>
        <v>8.9624435529507718E-2</v>
      </c>
      <c r="BH470" s="154">
        <f>+BH468/BB466-1</f>
        <v>2.7001803062869145E-2</v>
      </c>
      <c r="BI470" s="1393">
        <f>+BI468/BC466-1</f>
        <v>6.4625128018918954E-2</v>
      </c>
      <c r="BJ470" s="5"/>
      <c r="BK470" s="1392">
        <f>+BK468/BE466-1</f>
        <v>4.9382276823000781E-2</v>
      </c>
      <c r="BL470" s="154">
        <f>+BL468/BF466-1</f>
        <v>0.11719270973060336</v>
      </c>
      <c r="BM470" s="154">
        <f>+BM468/BG466-1</f>
        <v>0.19182686466992038</v>
      </c>
      <c r="BN470" s="154">
        <f>+BN468/BH466-1</f>
        <v>0.27162695184049857</v>
      </c>
      <c r="BO470" s="1393">
        <f>+BO468/BI466-1</f>
        <v>0.15979304840727226</v>
      </c>
      <c r="BP470" s="5"/>
      <c r="BQ470" s="1392">
        <f>+BQ468/BK466-1</f>
        <v>0.32613130850054795</v>
      </c>
      <c r="BR470" s="154">
        <f>+BR468/BL466-1</f>
        <v>0.21141219004342893</v>
      </c>
      <c r="BS470" s="154">
        <f>+BS468/BM466-1</f>
        <v>0.14599691510394597</v>
      </c>
      <c r="BT470" s="154">
        <f>+BT468/BN466-1</f>
        <v>9.7388132910436465E-2</v>
      </c>
      <c r="BU470" s="1393">
        <f>+BU468/BO466-1</f>
        <v>0.18715051221277301</v>
      </c>
      <c r="BV470" s="5"/>
      <c r="BW470" s="1392">
        <f>+BW468/BQ466-1</f>
        <v>0.13265063842685243</v>
      </c>
      <c r="BX470" s="154">
        <f>+BX468/BR466-1</f>
        <v>0.11754708753000687</v>
      </c>
      <c r="BY470" s="154">
        <f>+BY468/BS466-1</f>
        <v>0.11102933304283202</v>
      </c>
      <c r="BZ470" s="154">
        <f>+BZ468/BT466-1</f>
        <v>0.1075849638688442</v>
      </c>
      <c r="CA470" s="1393">
        <f>+CA468/BU466-1</f>
        <v>0.11698421041089868</v>
      </c>
      <c r="CB470" s="5"/>
      <c r="CC470" s="1392">
        <f>+CC468/BW466-1</f>
        <v>0.11602474603076174</v>
      </c>
      <c r="CD470" s="154">
        <f>+CD468/BX466-1</f>
        <v>0.11669674827024856</v>
      </c>
      <c r="CE470" s="154">
        <f>+CE468/BY466-1</f>
        <v>0.11576248532983646</v>
      </c>
      <c r="CF470" s="154">
        <f>+CF468/BZ466-1</f>
        <v>0.11624357029493337</v>
      </c>
      <c r="CG470" s="1393">
        <f>+CG468/CA466-1</f>
        <v>0.11618120587193448</v>
      </c>
      <c r="CH470" s="5"/>
      <c r="CI470" s="1392">
        <f>+CI468/CC466-1</f>
        <v>0.11549258088361847</v>
      </c>
      <c r="CJ470" s="154">
        <f>+CJ468/CD466-1</f>
        <v>0.11554256493438797</v>
      </c>
      <c r="CK470" s="154">
        <f>+CK468/CE466-1</f>
        <v>0.11663871651040303</v>
      </c>
      <c r="CL470" s="154">
        <f>+CL468/CF466-1</f>
        <v>0.12043826729332729</v>
      </c>
      <c r="CM470" s="1393">
        <f>+CM468/CG466-1</f>
        <v>0.11707283848321248</v>
      </c>
      <c r="CN470" s="5"/>
      <c r="CO470" s="1392">
        <f>+CO468/CI466-1</f>
        <v>0.11284158029802316</v>
      </c>
      <c r="CP470" s="154">
        <f>+CP468/CJ466-1</f>
        <v>0.11714642200120085</v>
      </c>
      <c r="CQ470" s="154">
        <f>+CQ468/CK466-1</f>
        <v>0.12078395819682175</v>
      </c>
      <c r="CR470" s="154">
        <f>+CR468/CL466-1</f>
        <v>0.12098189314457097</v>
      </c>
      <c r="CS470" s="1393">
        <f>+CS468/CM466-1</f>
        <v>0.11798801741181819</v>
      </c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  <c r="HB470"/>
      <c r="HC470"/>
      <c r="HD470"/>
      <c r="HE470"/>
      <c r="HF470"/>
      <c r="HG470"/>
      <c r="HH470"/>
      <c r="HI470"/>
      <c r="HJ470"/>
      <c r="HK470"/>
      <c r="HL470"/>
      <c r="HM470"/>
      <c r="HN470"/>
      <c r="HO470"/>
      <c r="HP470"/>
      <c r="HQ470"/>
      <c r="HR470"/>
      <c r="HS470"/>
      <c r="HT470"/>
      <c r="HU470"/>
      <c r="HV470"/>
      <c r="HW470"/>
      <c r="HX470"/>
      <c r="HY470"/>
      <c r="HZ470"/>
      <c r="IA470"/>
      <c r="IB470"/>
      <c r="IC470"/>
      <c r="ID470"/>
      <c r="IE470"/>
      <c r="IF470"/>
      <c r="IG470"/>
      <c r="IH470"/>
      <c r="II470"/>
      <c r="IJ470"/>
      <c r="IK470"/>
      <c r="IL470"/>
      <c r="IM470"/>
      <c r="IN470"/>
      <c r="IO470"/>
      <c r="IP470"/>
      <c r="IQ470"/>
      <c r="IR470"/>
      <c r="IS470"/>
      <c r="IT470"/>
      <c r="IU470"/>
      <c r="IV470"/>
      <c r="IW470"/>
      <c r="IX470"/>
      <c r="IY470"/>
      <c r="IZ470"/>
      <c r="JA470"/>
      <c r="JB470"/>
      <c r="JC470"/>
      <c r="JD470"/>
      <c r="JE470"/>
      <c r="JF470"/>
      <c r="JG470"/>
      <c r="JH470"/>
      <c r="JI470"/>
      <c r="JJ470"/>
      <c r="JK470"/>
      <c r="JL470"/>
      <c r="JM470"/>
      <c r="JN470"/>
      <c r="JO470"/>
      <c r="JP470"/>
      <c r="JQ470"/>
      <c r="JR470"/>
      <c r="JS470"/>
      <c r="JT470"/>
    </row>
    <row r="471" spans="1:280" s="6" customFormat="1">
      <c r="A471" s="2294" t="s">
        <v>697</v>
      </c>
      <c r="B471" s="5"/>
      <c r="C471" s="1392"/>
      <c r="D471" s="154"/>
      <c r="E471" s="154"/>
      <c r="F471" s="154"/>
      <c r="G471" s="1393"/>
      <c r="H471" s="5"/>
      <c r="I471" s="1392"/>
      <c r="J471" s="154"/>
      <c r="K471" s="154"/>
      <c r="L471" s="154"/>
      <c r="M471" s="1393"/>
      <c r="N471" s="5"/>
      <c r="O471" s="1392"/>
      <c r="P471" s="154"/>
      <c r="Q471" s="154"/>
      <c r="R471" s="154"/>
      <c r="S471" s="1393"/>
      <c r="T471" s="5"/>
      <c r="U471" s="1392"/>
      <c r="V471" s="154"/>
      <c r="W471" s="154"/>
      <c r="X471" s="154"/>
      <c r="Y471" s="1393"/>
      <c r="Z471" s="5"/>
      <c r="AA471" s="1392"/>
      <c r="AB471" s="154"/>
      <c r="AC471" s="154"/>
      <c r="AD471" s="154"/>
      <c r="AE471" s="1393"/>
      <c r="AF471" s="5"/>
      <c r="AG471" s="1392"/>
      <c r="AH471" s="154"/>
      <c r="AI471" s="154"/>
      <c r="AJ471" s="154"/>
      <c r="AK471" s="1393"/>
      <c r="AL471" s="5"/>
      <c r="AM471" s="1392"/>
      <c r="AN471" s="154"/>
      <c r="AO471" s="154"/>
      <c r="AP471" s="154"/>
      <c r="AQ471" s="1393"/>
      <c r="AR471" s="5"/>
      <c r="AS471" s="1392">
        <f>+AS466/AM466-1</f>
        <v>0.27140301790559529</v>
      </c>
      <c r="AT471" s="154">
        <f>+AT466/AN466-1</f>
        <v>0.29319780175328081</v>
      </c>
      <c r="AU471" s="154">
        <f>+AU466/AO466-1</f>
        <v>0.34705717488789234</v>
      </c>
      <c r="AV471" s="154">
        <f>+AV466/AP466-1</f>
        <v>0.32286239498510305</v>
      </c>
      <c r="AW471" s="1393">
        <f>+AW466/AQ466-1</f>
        <v>0.30972897131815968</v>
      </c>
      <c r="AX471" s="5"/>
      <c r="AY471" s="1392">
        <f>+AY466/AS466-1</f>
        <v>0.27991758182997817</v>
      </c>
      <c r="AZ471" s="154">
        <f>+AZ466/AT466-1</f>
        <v>0.20502955975404857</v>
      </c>
      <c r="BA471" s="154">
        <f>+BA466/AU466-1</f>
        <v>0.14326612987121079</v>
      </c>
      <c r="BB471" s="154">
        <f>+BB466/AV466-1</f>
        <v>0.15451257760368775</v>
      </c>
      <c r="BC471" s="1393">
        <f>+BC466/AW466-1</f>
        <v>0.19210472676400814</v>
      </c>
      <c r="BD471" s="5"/>
      <c r="BE471" s="1392">
        <f>+BE466/AY466-1</f>
        <v>6.1641584581248354E-2</v>
      </c>
      <c r="BF471" s="154">
        <f>+BF466/AZ466-1</f>
        <v>0.11262539044993969</v>
      </c>
      <c r="BG471" s="154">
        <f>+BG466/BA466-1</f>
        <v>0.10399678896860753</v>
      </c>
      <c r="BH471" s="154">
        <f>+BH466/BB466-1</f>
        <v>4.6924713378444727E-2</v>
      </c>
      <c r="BI471" s="1393">
        <f>+BI466/BC466-1</f>
        <v>8.059896647002196E-2</v>
      </c>
      <c r="BJ471" s="5"/>
      <c r="BK471" s="1392">
        <f>+BK466/BE466-1</f>
        <v>4.5887894109972072E-2</v>
      </c>
      <c r="BL471" s="154">
        <f>+BL466/BF466-1</f>
        <v>0.10386160787461396</v>
      </c>
      <c r="BM471" s="154">
        <f>+BM466/BG466-1</f>
        <v>0.17716021485198641</v>
      </c>
      <c r="BN471" s="154">
        <f>+BN466/BH466-1</f>
        <v>0.25549545381578542</v>
      </c>
      <c r="BO471" s="1393">
        <f>+BO466/BI466-1</f>
        <v>0.14774637845528815</v>
      </c>
      <c r="BP471" s="5"/>
      <c r="BQ471" s="1392">
        <f>+BQ466/BK466-1</f>
        <v>0.30769230769230771</v>
      </c>
      <c r="BR471" s="154">
        <f>+BR466/BL466-1</f>
        <v>0.19328528048017057</v>
      </c>
      <c r="BS471" s="154">
        <f>+BS466/BM466-1</f>
        <v>0.12823398627440041</v>
      </c>
      <c r="BT471" s="154">
        <f>+BT466/BN466-1</f>
        <v>8.0744777555880942E-2</v>
      </c>
      <c r="BU471" s="1393">
        <f>+BU466/BO466-1</f>
        <v>0.16946938340501561</v>
      </c>
      <c r="BV471" s="5"/>
      <c r="BW471" s="1392">
        <f>+BW466/BQ466-1</f>
        <v>0.11593749296979827</v>
      </c>
      <c r="BX471" s="154">
        <f>+BX466/BR466-1</f>
        <v>0.10094675333792047</v>
      </c>
      <c r="BY471" s="154">
        <f>+BY466/BS466-1</f>
        <v>9.4817331089390722E-2</v>
      </c>
      <c r="BZ471" s="154">
        <f>+BZ466/BT466-1</f>
        <v>9.2238698163539912E-2</v>
      </c>
      <c r="CA471" s="1393">
        <f>+CA466/BU466-1</f>
        <v>0.10078111011945801</v>
      </c>
      <c r="CB471" s="5"/>
      <c r="CC471" s="1392">
        <f>+CC466/BW466-1</f>
        <v>0.10155258029485448</v>
      </c>
      <c r="CD471" s="154">
        <f>+CD466/BX466-1</f>
        <v>0.10253587567138434</v>
      </c>
      <c r="CE471" s="154">
        <f>+CE466/BY466-1</f>
        <v>0.10223518531267528</v>
      </c>
      <c r="CF471" s="154">
        <f>+CF466/BZ466-1</f>
        <v>0.10375633930032224</v>
      </c>
      <c r="CG471" s="1393">
        <f>+CG466/CA466-1</f>
        <v>0.10253498949869622</v>
      </c>
      <c r="CH471" s="5"/>
      <c r="CI471" s="1392">
        <f>+CI466/CC466-1</f>
        <v>0.10432961840451704</v>
      </c>
      <c r="CJ471" s="154">
        <f>+CJ466/CD466-1</f>
        <v>0.10413191769477126</v>
      </c>
      <c r="CK471" s="154">
        <f>+CK466/CE466-1</f>
        <v>0.103513081112514</v>
      </c>
      <c r="CL471" s="154">
        <f>+CL466/CF466-1</f>
        <v>0.10622626336955343</v>
      </c>
      <c r="CM471" s="1393">
        <f>+CM466/CG466-1</f>
        <v>0.10456972113995411</v>
      </c>
      <c r="CN471" s="5"/>
      <c r="CO471" s="1392">
        <f>+CO466/CI466-1</f>
        <v>9.9613286547998392E-2</v>
      </c>
      <c r="CP471" s="154">
        <f>+CP466/CJ466-1</f>
        <v>0.10443356914375679</v>
      </c>
      <c r="CQ471" s="154">
        <f>+CQ466/CK466-1</f>
        <v>0.10844922449372163</v>
      </c>
      <c r="CR471" s="154">
        <f>+CR466/CL466-1</f>
        <v>0.10974648917586527</v>
      </c>
      <c r="CS471" s="1393">
        <f>+CS466/CM466-1</f>
        <v>0.10562612917549408</v>
      </c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  <c r="HB471"/>
      <c r="HC471"/>
      <c r="HD471"/>
      <c r="HE471"/>
      <c r="HF471"/>
      <c r="HG471"/>
      <c r="HH471"/>
      <c r="HI471"/>
      <c r="HJ471"/>
      <c r="HK471"/>
      <c r="HL471"/>
      <c r="HM471"/>
      <c r="HN471"/>
      <c r="HO471"/>
      <c r="HP471"/>
      <c r="HQ471"/>
      <c r="HR471"/>
      <c r="HS471"/>
      <c r="HT471"/>
      <c r="HU471"/>
      <c r="HV471"/>
      <c r="HW471"/>
      <c r="HX471"/>
      <c r="HY471"/>
      <c r="HZ471"/>
      <c r="IA471"/>
      <c r="IB471"/>
      <c r="IC471"/>
      <c r="ID471"/>
      <c r="IE471"/>
      <c r="IF471"/>
      <c r="IG471"/>
      <c r="IH471"/>
      <c r="II471"/>
      <c r="IJ471"/>
      <c r="IK471"/>
      <c r="IL471"/>
      <c r="IM471"/>
      <c r="IN471"/>
      <c r="IO471"/>
      <c r="IP471"/>
      <c r="IQ471"/>
      <c r="IR471"/>
      <c r="IS471"/>
      <c r="IT471"/>
      <c r="IU471"/>
      <c r="IV471"/>
      <c r="IW471"/>
      <c r="IX471"/>
      <c r="IY471"/>
      <c r="IZ471"/>
      <c r="JA471"/>
      <c r="JB471"/>
      <c r="JC471"/>
      <c r="JD471"/>
      <c r="JE471"/>
      <c r="JF471"/>
      <c r="JG471"/>
      <c r="JH471"/>
      <c r="JI471"/>
      <c r="JJ471"/>
      <c r="JK471"/>
      <c r="JL471"/>
      <c r="JM471"/>
      <c r="JN471"/>
      <c r="JO471"/>
      <c r="JP471"/>
      <c r="JQ471"/>
      <c r="JR471"/>
      <c r="JS471"/>
      <c r="JT471"/>
    </row>
    <row r="472" spans="1:280" s="6" customFormat="1">
      <c r="A472" s="2303" t="s">
        <v>704</v>
      </c>
      <c r="B472" s="2304"/>
      <c r="C472" s="2305"/>
      <c r="D472" s="2306"/>
      <c r="E472" s="2306"/>
      <c r="F472" s="2306"/>
      <c r="G472" s="1877"/>
      <c r="H472" s="2304"/>
      <c r="I472" s="2305"/>
      <c r="J472" s="2306"/>
      <c r="K472" s="2306"/>
      <c r="L472" s="2306"/>
      <c r="M472" s="1877"/>
      <c r="N472" s="2304"/>
      <c r="O472" s="2305"/>
      <c r="P472" s="2306"/>
      <c r="Q472" s="2306"/>
      <c r="R472" s="2306"/>
      <c r="S472" s="1877"/>
      <c r="T472" s="2304"/>
      <c r="U472" s="2305"/>
      <c r="V472" s="2306"/>
      <c r="W472" s="2306"/>
      <c r="X472" s="2306"/>
      <c r="Y472" s="1877"/>
      <c r="Z472" s="2304"/>
      <c r="AA472" s="2305"/>
      <c r="AB472" s="2306"/>
      <c r="AC472" s="2306"/>
      <c r="AD472" s="2306"/>
      <c r="AE472" s="1877"/>
      <c r="AF472" s="2304"/>
      <c r="AG472" s="2305"/>
      <c r="AH472" s="2306"/>
      <c r="AI472" s="2306"/>
      <c r="AJ472" s="2306"/>
      <c r="AK472" s="1877"/>
      <c r="AL472" s="2304"/>
      <c r="AM472" s="2305"/>
      <c r="AN472" s="2306"/>
      <c r="AO472" s="2306"/>
      <c r="AP472" s="2306"/>
      <c r="AQ472" s="1877"/>
      <c r="AR472" s="2304"/>
      <c r="AS472" s="2305">
        <f>+AS467/AM466</f>
        <v>0</v>
      </c>
      <c r="AT472" s="2306">
        <f>+AT467/AN466</f>
        <v>0</v>
      </c>
      <c r="AU472" s="2306">
        <f>+AU467/AO466</f>
        <v>0</v>
      </c>
      <c r="AV472" s="2306">
        <f>+AV467/AP466</f>
        <v>0</v>
      </c>
      <c r="AW472" s="1877">
        <f>+AW467/AQ466</f>
        <v>0</v>
      </c>
      <c r="AX472" s="2304"/>
      <c r="AY472" s="2305">
        <f>+AY467/AS466</f>
        <v>0</v>
      </c>
      <c r="AZ472" s="2306">
        <f>+AZ467/AT466</f>
        <v>0</v>
      </c>
      <c r="BA472" s="2306">
        <f>+BA467/AU466</f>
        <v>0</v>
      </c>
      <c r="BB472" s="2306">
        <f>+BB467/AV466</f>
        <v>0</v>
      </c>
      <c r="BC472" s="1877">
        <f>+BC467/AW466</f>
        <v>0</v>
      </c>
      <c r="BD472" s="2304"/>
      <c r="BE472" s="2305">
        <f>+BE467/AY466</f>
        <v>0</v>
      </c>
      <c r="BF472" s="2306">
        <f>+BF467/AZ466</f>
        <v>-2.9225180222052883E-2</v>
      </c>
      <c r="BG472" s="2306">
        <f>+BG467/BA466</f>
        <v>-1.437235343909981E-2</v>
      </c>
      <c r="BH472" s="2306">
        <f>+BH467/BB466</f>
        <v>-1.9922910315575502E-2</v>
      </c>
      <c r="BI472" s="1877">
        <f>+BI467/BC466</f>
        <v>-1.5973838451103003E-2</v>
      </c>
      <c r="BJ472" s="2304"/>
      <c r="BK472" s="2305">
        <f>+BK467/BE466</f>
        <v>3.494382713028669E-3</v>
      </c>
      <c r="BL472" s="2306">
        <f>+BL467/BF466</f>
        <v>1.3331101855989493E-2</v>
      </c>
      <c r="BM472" s="2306">
        <f>+BM467/BG466</f>
        <v>1.4666649817933856E-2</v>
      </c>
      <c r="BN472" s="2306">
        <f>+BN467/BH466</f>
        <v>1.6131498024713246E-2</v>
      </c>
      <c r="BO472" s="1877">
        <f>+BO467/BI466</f>
        <v>1.2046669951984116E-2</v>
      </c>
      <c r="BP472" s="2304"/>
      <c r="BQ472" s="2305">
        <f>+BQ467/BK466</f>
        <v>1.8439000808240132E-2</v>
      </c>
      <c r="BR472" s="2306">
        <f>+BR467/BL466</f>
        <v>1.8126909563258339E-2</v>
      </c>
      <c r="BS472" s="2306">
        <f>+BS467/BM466</f>
        <v>1.7762928829545482E-2</v>
      </c>
      <c r="BT472" s="2306">
        <f>+BT467/BN466</f>
        <v>1.6643355354555623E-2</v>
      </c>
      <c r="BU472" s="1877">
        <f>+BU467/BO466</f>
        <v>1.7681128807757403E-2</v>
      </c>
      <c r="BV472" s="2304"/>
      <c r="BW472" s="2305">
        <f>+BW467/BQ466</f>
        <v>1.6713145457054202E-2</v>
      </c>
      <c r="BX472" s="2306">
        <f>+BX467/BR466</f>
        <v>1.6600334192086345E-2</v>
      </c>
      <c r="BY472" s="2306">
        <f>+BY467/BS466</f>
        <v>1.6212001953441389E-2</v>
      </c>
      <c r="BZ472" s="2306">
        <f>+BZ467/BT466</f>
        <v>1.5346265705304377E-2</v>
      </c>
      <c r="CA472" s="1877">
        <f>+CA467/BU466</f>
        <v>1.6203100291440765E-2</v>
      </c>
      <c r="CB472" s="2304"/>
      <c r="CC472" s="2305">
        <f>+CC467/BW466</f>
        <v>1.447216573590708E-2</v>
      </c>
      <c r="CD472" s="2306">
        <f>+CD467/BX466</f>
        <v>1.4160872598864104E-2</v>
      </c>
      <c r="CE472" s="2306">
        <f>+CE467/BY466</f>
        <v>1.3527300017161323E-2</v>
      </c>
      <c r="CF472" s="2306">
        <f>+CF467/BZ466</f>
        <v>1.2487230994611185E-2</v>
      </c>
      <c r="CG472" s="1877">
        <f>+CG467/CA466</f>
        <v>1.3646216373238372E-2</v>
      </c>
      <c r="CH472" s="2304"/>
      <c r="CI472" s="2305">
        <f>+CI467/CC466</f>
        <v>1.1162962479101301E-2</v>
      </c>
      <c r="CJ472" s="2306">
        <f>+CJ467/CD466</f>
        <v>1.1410647239616678E-2</v>
      </c>
      <c r="CK472" s="2306">
        <f>+CK467/CE466</f>
        <v>1.3125635397889086E-2</v>
      </c>
      <c r="CL472" s="2306">
        <f>+CL467/CF466</f>
        <v>1.421200392377367E-2</v>
      </c>
      <c r="CM472" s="1877">
        <f>+CM467/CG466</f>
        <v>1.2503117343258369E-2</v>
      </c>
      <c r="CN472" s="2304"/>
      <c r="CO472" s="2305">
        <f>+CO467/CI466</f>
        <v>1.3228293750024564E-2</v>
      </c>
      <c r="CP472" s="2306">
        <f>+CP467/CJ466</f>
        <v>1.2712852857444048E-2</v>
      </c>
      <c r="CQ472" s="2306">
        <f>+CQ467/CK466</f>
        <v>1.2334733703100174E-2</v>
      </c>
      <c r="CR472" s="2306">
        <f>+CR467/CL466</f>
        <v>1.1235403968705759E-2</v>
      </c>
      <c r="CS472" s="1877">
        <f>+CS467/CM466</f>
        <v>1.2361888236324101E-2</v>
      </c>
      <c r="CU472" s="6">
        <f>+AVERAGE(BK472:BN472,BE472:BH472)</f>
        <v>-1.9871014456328663E-3</v>
      </c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  <c r="HB472"/>
      <c r="HC472"/>
      <c r="HD472"/>
      <c r="HE472"/>
      <c r="HF472"/>
      <c r="HG472"/>
      <c r="HH472"/>
      <c r="HI472"/>
      <c r="HJ472"/>
      <c r="HK472"/>
      <c r="HL472"/>
      <c r="HM472"/>
      <c r="HN472"/>
      <c r="HO472"/>
      <c r="HP472"/>
      <c r="HQ472"/>
      <c r="HR472"/>
      <c r="HS472"/>
      <c r="HT472"/>
      <c r="HU472"/>
      <c r="HV472"/>
      <c r="HW472"/>
      <c r="HX472"/>
      <c r="HY472"/>
      <c r="HZ472"/>
      <c r="IA472"/>
      <c r="IB472"/>
      <c r="IC472"/>
      <c r="ID472"/>
      <c r="IE472"/>
      <c r="IF472"/>
      <c r="IG472"/>
      <c r="IH472"/>
      <c r="II472"/>
      <c r="IJ472"/>
      <c r="IK472"/>
      <c r="IL472"/>
      <c r="IM472"/>
      <c r="IN472"/>
      <c r="IO472"/>
      <c r="IP472"/>
      <c r="IQ472"/>
      <c r="IR472"/>
      <c r="IS472"/>
      <c r="IT472"/>
      <c r="IU472"/>
      <c r="IV472"/>
      <c r="IW472"/>
      <c r="IX472"/>
      <c r="IY472"/>
      <c r="IZ472"/>
      <c r="JA472"/>
      <c r="JB472"/>
      <c r="JC472"/>
      <c r="JD472"/>
      <c r="JE472"/>
      <c r="JF472"/>
      <c r="JG472"/>
      <c r="JH472"/>
      <c r="JI472"/>
      <c r="JJ472"/>
      <c r="JK472"/>
      <c r="JL472"/>
      <c r="JM472"/>
      <c r="JN472"/>
      <c r="JO472"/>
      <c r="JP472"/>
      <c r="JQ472"/>
      <c r="JR472"/>
      <c r="JS472"/>
      <c r="JT472"/>
    </row>
    <row r="473" spans="1:280" s="6" customFormat="1"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  <c r="HB473"/>
      <c r="HC473"/>
      <c r="HD473"/>
      <c r="HE473"/>
      <c r="HF473"/>
      <c r="HG473"/>
      <c r="HH473"/>
      <c r="HI473"/>
      <c r="HJ473"/>
      <c r="HK473"/>
      <c r="HL473"/>
      <c r="HM473"/>
      <c r="HN473"/>
      <c r="HO473"/>
      <c r="HP473"/>
      <c r="HQ473"/>
      <c r="HR473"/>
      <c r="HS473"/>
      <c r="HT473"/>
      <c r="HU473"/>
      <c r="HV473"/>
      <c r="HW473"/>
      <c r="HX473"/>
      <c r="HY473"/>
      <c r="HZ473"/>
      <c r="IA473"/>
      <c r="IB473"/>
      <c r="IC473"/>
      <c r="ID473"/>
      <c r="IE473"/>
      <c r="IF473"/>
      <c r="IG473"/>
      <c r="IH473"/>
      <c r="II473"/>
      <c r="IJ473"/>
      <c r="IK473"/>
      <c r="IL473"/>
      <c r="IM473"/>
      <c r="IN473"/>
      <c r="IO473"/>
      <c r="IP473"/>
      <c r="IQ473"/>
      <c r="IR473"/>
      <c r="IS473"/>
      <c r="IT473"/>
      <c r="IU473"/>
      <c r="IV473"/>
      <c r="IW473"/>
      <c r="IX473"/>
      <c r="IY473"/>
      <c r="IZ473"/>
      <c r="JA473"/>
      <c r="JB473"/>
      <c r="JC473"/>
      <c r="JD473"/>
      <c r="JE473"/>
      <c r="JF473"/>
      <c r="JG473"/>
      <c r="JH473"/>
      <c r="JI473"/>
      <c r="JJ473"/>
      <c r="JK473"/>
      <c r="JL473"/>
      <c r="JM473"/>
      <c r="JN473"/>
      <c r="JO473"/>
      <c r="JP473"/>
      <c r="JQ473"/>
      <c r="JR473"/>
      <c r="JS473"/>
      <c r="JT473"/>
    </row>
    <row r="474" spans="1:280" ht="13.5" customHeight="1">
      <c r="A474" s="1958" t="s">
        <v>668</v>
      </c>
      <c r="B474" s="972"/>
      <c r="C474" s="973"/>
      <c r="D474" s="972"/>
      <c r="E474" s="972"/>
      <c r="F474" s="972"/>
      <c r="G474" s="974"/>
      <c r="H474" s="972"/>
      <c r="I474" s="973"/>
      <c r="J474" s="972"/>
      <c r="K474" s="972"/>
      <c r="L474" s="975"/>
      <c r="M474" s="974"/>
      <c r="N474" s="972"/>
      <c r="O474" s="973"/>
      <c r="P474" s="972"/>
      <c r="Q474" s="972"/>
      <c r="R474" s="975"/>
      <c r="S474" s="974"/>
      <c r="T474" s="972"/>
      <c r="U474" s="973"/>
      <c r="V474" s="972"/>
      <c r="W474" s="972"/>
      <c r="X474" s="972"/>
      <c r="Y474" s="974"/>
      <c r="Z474" s="972"/>
      <c r="AA474" s="973"/>
      <c r="AB474" s="972"/>
      <c r="AC474" s="972"/>
      <c r="AD474" s="975"/>
      <c r="AE474" s="974"/>
      <c r="AF474" s="972"/>
      <c r="AG474" s="973"/>
      <c r="AH474" s="972"/>
      <c r="AI474" s="972"/>
      <c r="AJ474" s="972"/>
      <c r="AK474" s="974"/>
      <c r="AL474" s="972"/>
      <c r="AM474" s="973"/>
      <c r="AN474" s="972"/>
      <c r="AO474" s="972"/>
      <c r="AP474" s="975"/>
      <c r="AQ474" s="974"/>
      <c r="AR474" s="972"/>
      <c r="AS474" s="973"/>
      <c r="AT474" s="972"/>
      <c r="AU474" s="972"/>
      <c r="AV474" s="1415"/>
      <c r="AW474" s="1417"/>
      <c r="AX474" s="1415"/>
      <c r="AY474" s="1416"/>
      <c r="AZ474" s="1415"/>
      <c r="BA474" s="1415"/>
      <c r="BB474" s="1418"/>
      <c r="BC474" s="1417"/>
      <c r="BD474" s="1415"/>
      <c r="BE474" s="1416"/>
      <c r="BF474" s="1415"/>
      <c r="BG474" s="1415"/>
      <c r="BH474" s="1418"/>
      <c r="BI474" s="1417"/>
      <c r="BJ474" s="1415"/>
      <c r="BK474" s="1416"/>
      <c r="BL474" s="1415"/>
      <c r="BM474" s="1415"/>
      <c r="BN474" s="1415"/>
      <c r="BO474" s="1417"/>
      <c r="BP474" s="1415"/>
      <c r="BQ474" s="1416"/>
      <c r="BR474" s="1415"/>
      <c r="BS474" s="1415"/>
      <c r="BT474" s="1415"/>
      <c r="BU474" s="1417"/>
      <c r="BV474" s="1415"/>
      <c r="BW474" s="1416"/>
      <c r="BX474" s="1415"/>
      <c r="BY474" s="1415"/>
      <c r="BZ474" s="1415"/>
      <c r="CA474" s="1417"/>
      <c r="CB474" s="1415"/>
      <c r="CC474" s="1416"/>
      <c r="CD474" s="1415"/>
      <c r="CE474" s="1415"/>
      <c r="CF474" s="1415"/>
      <c r="CG474" s="1417"/>
      <c r="CH474" s="1415"/>
      <c r="CI474" s="1416"/>
      <c r="CJ474" s="1415"/>
      <c r="CK474" s="1415"/>
      <c r="CL474" s="1415"/>
      <c r="CM474" s="1417"/>
      <c r="CN474" s="1415"/>
      <c r="CO474" s="1416"/>
      <c r="CP474" s="1415"/>
      <c r="CQ474" s="1415"/>
      <c r="CR474" s="1415"/>
      <c r="CS474" s="1417"/>
      <c r="CT474" s="815"/>
      <c r="CU474" s="68"/>
      <c r="CV474" s="68"/>
      <c r="CW474" s="68"/>
      <c r="CX474" s="68"/>
      <c r="CY474" s="68"/>
      <c r="CZ474" s="68"/>
      <c r="DA474" s="68"/>
      <c r="DB474" s="68"/>
      <c r="DC474" s="68"/>
      <c r="DD474" s="68"/>
      <c r="DE474" s="68"/>
      <c r="DF474" s="68"/>
      <c r="DG474" s="68"/>
      <c r="DH474" s="68"/>
      <c r="DI474" s="68"/>
      <c r="DJ474" s="68"/>
      <c r="DK474" s="68"/>
      <c r="DL474" s="68"/>
      <c r="DM474" s="68"/>
      <c r="DN474" s="68"/>
      <c r="DO474" s="68"/>
      <c r="DP474" s="68"/>
      <c r="DQ474" s="68"/>
      <c r="DR474" s="68"/>
      <c r="DS474" s="68"/>
      <c r="DT474" s="68"/>
    </row>
    <row r="475" spans="1:280" s="6" customFormat="1">
      <c r="A475" s="1336" t="s">
        <v>615</v>
      </c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  <c r="HB475"/>
      <c r="HC475"/>
      <c r="HD475"/>
      <c r="HE475"/>
      <c r="HF475"/>
      <c r="HG475"/>
      <c r="HH475"/>
      <c r="HI475"/>
      <c r="HJ475"/>
      <c r="HK475"/>
      <c r="HL475"/>
      <c r="HM475"/>
      <c r="HN475"/>
      <c r="HO475"/>
      <c r="HP475"/>
      <c r="HQ475"/>
      <c r="HR475"/>
      <c r="HS475"/>
      <c r="HT475"/>
      <c r="HU475"/>
      <c r="HV475"/>
      <c r="HW475"/>
      <c r="HX475"/>
      <c r="HY475"/>
      <c r="HZ475"/>
      <c r="IA475"/>
      <c r="IB475"/>
      <c r="IC475"/>
      <c r="ID475"/>
      <c r="IE475"/>
      <c r="IF475"/>
      <c r="IG475"/>
      <c r="IH475"/>
      <c r="II475"/>
      <c r="IJ475"/>
      <c r="IK475"/>
      <c r="IL475"/>
      <c r="IM475"/>
      <c r="IN475"/>
      <c r="IO475"/>
      <c r="IP475"/>
      <c r="IQ475"/>
      <c r="IR475"/>
      <c r="IS475"/>
      <c r="IT475"/>
      <c r="IU475"/>
      <c r="IV475"/>
      <c r="IW475"/>
      <c r="IX475"/>
      <c r="IY475"/>
      <c r="IZ475"/>
      <c r="JA475"/>
      <c r="JB475"/>
      <c r="JC475"/>
      <c r="JD475"/>
      <c r="JE475"/>
      <c r="JF475"/>
      <c r="JG475"/>
      <c r="JH475"/>
      <c r="JI475"/>
      <c r="JJ475"/>
      <c r="JK475"/>
      <c r="JL475"/>
      <c r="JM475"/>
      <c r="JN475"/>
      <c r="JO475"/>
      <c r="JP475"/>
      <c r="JQ475"/>
      <c r="JR475"/>
      <c r="JS475"/>
      <c r="JT475"/>
    </row>
    <row r="476" spans="1:280" s="6" customFormat="1">
      <c r="A476" s="6" t="s">
        <v>669</v>
      </c>
      <c r="BC476" s="2276">
        <v>200</v>
      </c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  <c r="HB476"/>
      <c r="HC476"/>
      <c r="HD476"/>
      <c r="HE476"/>
      <c r="HF476"/>
      <c r="HG476"/>
      <c r="HH476"/>
      <c r="HI476"/>
      <c r="HJ476"/>
      <c r="HK476"/>
      <c r="HL476"/>
      <c r="HM476"/>
      <c r="HN476"/>
      <c r="HO476"/>
      <c r="HP476"/>
      <c r="HQ476"/>
      <c r="HR476"/>
      <c r="HS476"/>
      <c r="HT476"/>
      <c r="HU476"/>
      <c r="HV476"/>
      <c r="HW476"/>
      <c r="HX476"/>
      <c r="HY476"/>
      <c r="HZ476"/>
      <c r="IA476"/>
      <c r="IB476"/>
      <c r="IC476"/>
      <c r="ID476"/>
      <c r="IE476"/>
      <c r="IF476"/>
      <c r="IG476"/>
      <c r="IH476"/>
      <c r="II476"/>
      <c r="IJ476"/>
      <c r="IK476"/>
      <c r="IL476"/>
      <c r="IM476"/>
      <c r="IN476"/>
      <c r="IO476"/>
      <c r="IP476"/>
      <c r="IQ476"/>
      <c r="IR476"/>
      <c r="IS476"/>
      <c r="IT476"/>
      <c r="IU476"/>
      <c r="IV476"/>
      <c r="IW476"/>
      <c r="IX476"/>
      <c r="IY476"/>
      <c r="IZ476"/>
      <c r="JA476"/>
      <c r="JB476"/>
      <c r="JC476"/>
      <c r="JD476"/>
      <c r="JE476"/>
      <c r="JF476"/>
      <c r="JG476"/>
      <c r="JH476"/>
      <c r="JI476"/>
      <c r="JJ476"/>
      <c r="JK476"/>
      <c r="JL476"/>
      <c r="JM476"/>
      <c r="JN476"/>
      <c r="JO476"/>
      <c r="JP476"/>
      <c r="JQ476"/>
      <c r="JR476"/>
      <c r="JS476"/>
      <c r="JT476"/>
    </row>
    <row r="477" spans="1:280" s="6" customFormat="1">
      <c r="A477" s="6" t="s">
        <v>670</v>
      </c>
      <c r="BC477" s="2276">
        <v>12</v>
      </c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  <c r="HB477"/>
      <c r="HC477"/>
      <c r="HD477"/>
      <c r="HE477"/>
      <c r="HF477"/>
      <c r="HG477"/>
      <c r="HH477"/>
      <c r="HI477"/>
      <c r="HJ477"/>
      <c r="HK477"/>
      <c r="HL477"/>
      <c r="HM477"/>
      <c r="HN477"/>
      <c r="HO477"/>
      <c r="HP477"/>
      <c r="HQ477"/>
      <c r="HR477"/>
      <c r="HS477"/>
      <c r="HT477"/>
      <c r="HU477"/>
      <c r="HV477"/>
      <c r="HW477"/>
      <c r="HX477"/>
      <c r="HY477"/>
      <c r="HZ477"/>
      <c r="IA477"/>
      <c r="IB477"/>
      <c r="IC477"/>
      <c r="ID477"/>
      <c r="IE477"/>
      <c r="IF477"/>
      <c r="IG477"/>
      <c r="IH477"/>
      <c r="II477"/>
      <c r="IJ477"/>
      <c r="IK477"/>
      <c r="IL477"/>
      <c r="IM477"/>
      <c r="IN477"/>
      <c r="IO477"/>
      <c r="IP477"/>
      <c r="IQ477"/>
      <c r="IR477"/>
      <c r="IS477"/>
      <c r="IT477"/>
      <c r="IU477"/>
      <c r="IV477"/>
      <c r="IW477"/>
      <c r="IX477"/>
      <c r="IY477"/>
      <c r="IZ477"/>
      <c r="JA477"/>
      <c r="JB477"/>
      <c r="JC477"/>
      <c r="JD477"/>
      <c r="JE477"/>
      <c r="JF477"/>
      <c r="JG477"/>
      <c r="JH477"/>
      <c r="JI477"/>
      <c r="JJ477"/>
      <c r="JK477"/>
      <c r="JL477"/>
      <c r="JM477"/>
      <c r="JN477"/>
      <c r="JO477"/>
      <c r="JP477"/>
      <c r="JQ477"/>
      <c r="JR477"/>
      <c r="JS477"/>
      <c r="JT477"/>
    </row>
    <row r="478" spans="1:280" s="6" customFormat="1">
      <c r="A478" s="6" t="s">
        <v>671</v>
      </c>
      <c r="BC478" s="2276">
        <v>15</v>
      </c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  <c r="HB478"/>
      <c r="HC478"/>
      <c r="HD478"/>
      <c r="HE478"/>
      <c r="HF478"/>
      <c r="HG478"/>
      <c r="HH478"/>
      <c r="HI478"/>
      <c r="HJ478"/>
      <c r="HK478"/>
      <c r="HL478"/>
      <c r="HM478"/>
      <c r="HN478"/>
      <c r="HO478"/>
      <c r="HP478"/>
      <c r="HQ478"/>
      <c r="HR478"/>
      <c r="HS478"/>
      <c r="HT478"/>
      <c r="HU478"/>
      <c r="HV478"/>
      <c r="HW478"/>
      <c r="HX478"/>
      <c r="HY478"/>
      <c r="HZ478"/>
      <c r="IA478"/>
      <c r="IB478"/>
      <c r="IC478"/>
      <c r="ID478"/>
      <c r="IE478"/>
      <c r="IF478"/>
      <c r="IG478"/>
      <c r="IH478"/>
      <c r="II478"/>
      <c r="IJ478"/>
      <c r="IK478"/>
      <c r="IL478"/>
      <c r="IM478"/>
      <c r="IN478"/>
      <c r="IO478"/>
      <c r="IP478"/>
      <c r="IQ478"/>
      <c r="IR478"/>
      <c r="IS478"/>
      <c r="IT478"/>
      <c r="IU478"/>
      <c r="IV478"/>
      <c r="IW478"/>
      <c r="IX478"/>
      <c r="IY478"/>
      <c r="IZ478"/>
      <c r="JA478"/>
      <c r="JB478"/>
      <c r="JC478"/>
      <c r="JD478"/>
      <c r="JE478"/>
      <c r="JF478"/>
      <c r="JG478"/>
      <c r="JH478"/>
      <c r="JI478"/>
      <c r="JJ478"/>
      <c r="JK478"/>
      <c r="JL478"/>
      <c r="JM478"/>
      <c r="JN478"/>
      <c r="JO478"/>
      <c r="JP478"/>
      <c r="JQ478"/>
      <c r="JR478"/>
      <c r="JS478"/>
      <c r="JT478"/>
    </row>
    <row r="479" spans="1:280" s="6" customFormat="1">
      <c r="A479" s="6" t="s">
        <v>674</v>
      </c>
      <c r="BC479" s="2276">
        <v>7.5</v>
      </c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  <c r="HB479"/>
      <c r="HC479"/>
      <c r="HD479"/>
      <c r="HE479"/>
      <c r="HF479"/>
      <c r="HG479"/>
      <c r="HH479"/>
      <c r="HI479"/>
      <c r="HJ479"/>
      <c r="HK479"/>
      <c r="HL479"/>
      <c r="HM479"/>
      <c r="HN479"/>
      <c r="HO479"/>
      <c r="HP479"/>
      <c r="HQ479"/>
      <c r="HR479"/>
      <c r="HS479"/>
      <c r="HT479"/>
      <c r="HU479"/>
      <c r="HV479"/>
      <c r="HW479"/>
      <c r="HX479"/>
      <c r="HY479"/>
      <c r="HZ479"/>
      <c r="IA479"/>
      <c r="IB479"/>
      <c r="IC479"/>
      <c r="ID479"/>
      <c r="IE479"/>
      <c r="IF479"/>
      <c r="IG479"/>
      <c r="IH479"/>
      <c r="II479"/>
      <c r="IJ479"/>
      <c r="IK479"/>
      <c r="IL479"/>
      <c r="IM479"/>
      <c r="IN479"/>
      <c r="IO479"/>
      <c r="IP479"/>
      <c r="IQ479"/>
      <c r="IR479"/>
      <c r="IS479"/>
      <c r="IT479"/>
      <c r="IU479"/>
      <c r="IV479"/>
      <c r="IW479"/>
      <c r="IX479"/>
      <c r="IY479"/>
      <c r="IZ479"/>
      <c r="JA479"/>
      <c r="JB479"/>
      <c r="JC479"/>
      <c r="JD479"/>
      <c r="JE479"/>
      <c r="JF479"/>
      <c r="JG479"/>
      <c r="JH479"/>
      <c r="JI479"/>
      <c r="JJ479"/>
      <c r="JK479"/>
      <c r="JL479"/>
      <c r="JM479"/>
      <c r="JN479"/>
      <c r="JO479"/>
      <c r="JP479"/>
      <c r="JQ479"/>
      <c r="JR479"/>
      <c r="JS479"/>
      <c r="JT479"/>
    </row>
    <row r="480" spans="1:280" s="6" customFormat="1">
      <c r="A480" s="6" t="s">
        <v>678</v>
      </c>
      <c r="BC480" s="6">
        <f>+((BC477*1000)/BC476)</f>
        <v>60</v>
      </c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  <c r="HB480"/>
      <c r="HC480"/>
      <c r="HD480"/>
      <c r="HE480"/>
      <c r="HF480"/>
      <c r="HG480"/>
      <c r="HH480"/>
      <c r="HI480"/>
      <c r="HJ480"/>
      <c r="HK480"/>
      <c r="HL480"/>
      <c r="HM480"/>
      <c r="HN480"/>
      <c r="HO480"/>
      <c r="HP480"/>
      <c r="HQ480"/>
      <c r="HR480"/>
      <c r="HS480"/>
      <c r="HT480"/>
      <c r="HU480"/>
      <c r="HV480"/>
      <c r="HW480"/>
      <c r="HX480"/>
      <c r="HY480"/>
      <c r="HZ480"/>
      <c r="IA480"/>
      <c r="IB480"/>
      <c r="IC480"/>
      <c r="ID480"/>
      <c r="IE480"/>
      <c r="IF480"/>
      <c r="IG480"/>
      <c r="IH480"/>
      <c r="II480"/>
      <c r="IJ480"/>
      <c r="IK480"/>
      <c r="IL480"/>
      <c r="IM480"/>
      <c r="IN480"/>
      <c r="IO480"/>
      <c r="IP480"/>
      <c r="IQ480"/>
      <c r="IR480"/>
      <c r="IS480"/>
      <c r="IT480"/>
      <c r="IU480"/>
      <c r="IV480"/>
      <c r="IW480"/>
      <c r="IX480"/>
      <c r="IY480"/>
      <c r="IZ480"/>
      <c r="JA480"/>
      <c r="JB480"/>
      <c r="JC480"/>
      <c r="JD480"/>
      <c r="JE480"/>
      <c r="JF480"/>
      <c r="JG480"/>
      <c r="JH480"/>
      <c r="JI480"/>
      <c r="JJ480"/>
      <c r="JK480"/>
      <c r="JL480"/>
      <c r="JM480"/>
      <c r="JN480"/>
      <c r="JO480"/>
      <c r="JP480"/>
      <c r="JQ480"/>
      <c r="JR480"/>
      <c r="JS480"/>
      <c r="JT480"/>
    </row>
    <row r="481" spans="1:280" s="6" customFormat="1">
      <c r="A481" s="2270" t="s">
        <v>677</v>
      </c>
      <c r="BC481" s="1368">
        <f>+BC480/($AW$321*360)</f>
        <v>5.3606237816764123E-2</v>
      </c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  <c r="HB481"/>
      <c r="HC481"/>
      <c r="HD481"/>
      <c r="HE481"/>
      <c r="HF481"/>
      <c r="HG481"/>
      <c r="HH481"/>
      <c r="HI481"/>
      <c r="HJ481"/>
      <c r="HK481"/>
      <c r="HL481"/>
      <c r="HM481"/>
      <c r="HN481"/>
      <c r="HO481"/>
      <c r="HP481"/>
      <c r="HQ481"/>
      <c r="HR481"/>
      <c r="HS481"/>
      <c r="HT481"/>
      <c r="HU481"/>
      <c r="HV481"/>
      <c r="HW481"/>
      <c r="HX481"/>
      <c r="HY481"/>
      <c r="HZ481"/>
      <c r="IA481"/>
      <c r="IB481"/>
      <c r="IC481"/>
      <c r="ID481"/>
      <c r="IE481"/>
      <c r="IF481"/>
      <c r="IG481"/>
      <c r="IH481"/>
      <c r="II481"/>
      <c r="IJ481"/>
      <c r="IK481"/>
      <c r="IL481"/>
      <c r="IM481"/>
      <c r="IN481"/>
      <c r="IO481"/>
      <c r="IP481"/>
      <c r="IQ481"/>
      <c r="IR481"/>
      <c r="IS481"/>
      <c r="IT481"/>
      <c r="IU481"/>
      <c r="IV481"/>
      <c r="IW481"/>
      <c r="IX481"/>
      <c r="IY481"/>
      <c r="IZ481"/>
      <c r="JA481"/>
      <c r="JB481"/>
      <c r="JC481"/>
      <c r="JD481"/>
      <c r="JE481"/>
      <c r="JF481"/>
      <c r="JG481"/>
      <c r="JH481"/>
      <c r="JI481"/>
      <c r="JJ481"/>
      <c r="JK481"/>
      <c r="JL481"/>
      <c r="JM481"/>
      <c r="JN481"/>
      <c r="JO481"/>
      <c r="JP481"/>
      <c r="JQ481"/>
      <c r="JR481"/>
      <c r="JS481"/>
      <c r="JT481"/>
    </row>
    <row r="482" spans="1:280" s="6" customFormat="1">
      <c r="A482" s="6" t="s">
        <v>673</v>
      </c>
      <c r="BC482" s="6">
        <f>+((BC478*1000)/BC476)</f>
        <v>75</v>
      </c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  <c r="HB482"/>
      <c r="HC482"/>
      <c r="HD482"/>
      <c r="HE482"/>
      <c r="HF482"/>
      <c r="HG482"/>
      <c r="HH482"/>
      <c r="HI482"/>
      <c r="HJ482"/>
      <c r="HK482"/>
      <c r="HL482"/>
      <c r="HM482"/>
      <c r="HN482"/>
      <c r="HO482"/>
      <c r="HP482"/>
      <c r="HQ482"/>
      <c r="HR482"/>
      <c r="HS482"/>
      <c r="HT482"/>
      <c r="HU482"/>
      <c r="HV482"/>
      <c r="HW482"/>
      <c r="HX482"/>
      <c r="HY482"/>
      <c r="HZ482"/>
      <c r="IA482"/>
      <c r="IB482"/>
      <c r="IC482"/>
      <c r="ID482"/>
      <c r="IE482"/>
      <c r="IF482"/>
      <c r="IG482"/>
      <c r="IH482"/>
      <c r="II482"/>
      <c r="IJ482"/>
      <c r="IK482"/>
      <c r="IL482"/>
      <c r="IM482"/>
      <c r="IN482"/>
      <c r="IO482"/>
      <c r="IP482"/>
      <c r="IQ482"/>
      <c r="IR482"/>
      <c r="IS482"/>
      <c r="IT482"/>
      <c r="IU482"/>
      <c r="IV482"/>
      <c r="IW482"/>
      <c r="IX482"/>
      <c r="IY482"/>
      <c r="IZ482"/>
      <c r="JA482"/>
      <c r="JB482"/>
      <c r="JC482"/>
      <c r="JD482"/>
      <c r="JE482"/>
      <c r="JF482"/>
      <c r="JG482"/>
      <c r="JH482"/>
      <c r="JI482"/>
      <c r="JJ482"/>
      <c r="JK482"/>
      <c r="JL482"/>
      <c r="JM482"/>
      <c r="JN482"/>
      <c r="JO482"/>
      <c r="JP482"/>
      <c r="JQ482"/>
      <c r="JR482"/>
      <c r="JS482"/>
      <c r="JT482"/>
    </row>
    <row r="483" spans="1:280" s="6" customFormat="1">
      <c r="A483" s="2270" t="s">
        <v>677</v>
      </c>
      <c r="BC483" s="1368">
        <f>+BC482/($AW$321*360)</f>
        <v>6.7007797270955155E-2</v>
      </c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  <c r="HB483"/>
      <c r="HC483"/>
      <c r="HD483"/>
      <c r="HE483"/>
      <c r="HF483"/>
      <c r="HG483"/>
      <c r="HH483"/>
      <c r="HI483"/>
      <c r="HJ483"/>
      <c r="HK483"/>
      <c r="HL483"/>
      <c r="HM483"/>
      <c r="HN483"/>
      <c r="HO483"/>
      <c r="HP483"/>
      <c r="HQ483"/>
      <c r="HR483"/>
      <c r="HS483"/>
      <c r="HT483"/>
      <c r="HU483"/>
      <c r="HV483"/>
      <c r="HW483"/>
      <c r="HX483"/>
      <c r="HY483"/>
      <c r="HZ483"/>
      <c r="IA483"/>
      <c r="IB483"/>
      <c r="IC483"/>
      <c r="ID483"/>
      <c r="IE483"/>
      <c r="IF483"/>
      <c r="IG483"/>
      <c r="IH483"/>
      <c r="II483"/>
      <c r="IJ483"/>
      <c r="IK483"/>
      <c r="IL483"/>
      <c r="IM483"/>
      <c r="IN483"/>
      <c r="IO483"/>
      <c r="IP483"/>
      <c r="IQ483"/>
      <c r="IR483"/>
      <c r="IS483"/>
      <c r="IT483"/>
      <c r="IU483"/>
      <c r="IV483"/>
      <c r="IW483"/>
      <c r="IX483"/>
      <c r="IY483"/>
      <c r="IZ483"/>
      <c r="JA483"/>
      <c r="JB483"/>
      <c r="JC483"/>
      <c r="JD483"/>
      <c r="JE483"/>
      <c r="JF483"/>
      <c r="JG483"/>
      <c r="JH483"/>
      <c r="JI483"/>
      <c r="JJ483"/>
      <c r="JK483"/>
      <c r="JL483"/>
      <c r="JM483"/>
      <c r="JN483"/>
      <c r="JO483"/>
      <c r="JP483"/>
      <c r="JQ483"/>
      <c r="JR483"/>
      <c r="JS483"/>
      <c r="JT483"/>
    </row>
    <row r="484" spans="1:280" s="6" customFormat="1">
      <c r="A484" s="6" t="s">
        <v>675</v>
      </c>
      <c r="BC484" s="6">
        <f>+(BC480)/BC479</f>
        <v>8</v>
      </c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  <c r="HB484"/>
      <c r="HC484"/>
      <c r="HD484"/>
      <c r="HE484"/>
      <c r="HF484"/>
      <c r="HG484"/>
      <c r="HH484"/>
      <c r="HI484"/>
      <c r="HJ484"/>
      <c r="HK484"/>
      <c r="HL484"/>
      <c r="HM484"/>
      <c r="HN484"/>
      <c r="HO484"/>
      <c r="HP484"/>
      <c r="HQ484"/>
      <c r="HR484"/>
      <c r="HS484"/>
      <c r="HT484"/>
      <c r="HU484"/>
      <c r="HV484"/>
      <c r="HW484"/>
      <c r="HX484"/>
      <c r="HY484"/>
      <c r="HZ484"/>
      <c r="IA484"/>
      <c r="IB484"/>
      <c r="IC484"/>
      <c r="ID484"/>
      <c r="IE484"/>
      <c r="IF484"/>
      <c r="IG484"/>
      <c r="IH484"/>
      <c r="II484"/>
      <c r="IJ484"/>
      <c r="IK484"/>
      <c r="IL484"/>
      <c r="IM484"/>
      <c r="IN484"/>
      <c r="IO484"/>
      <c r="IP484"/>
      <c r="IQ484"/>
      <c r="IR484"/>
      <c r="IS484"/>
      <c r="IT484"/>
      <c r="IU484"/>
      <c r="IV484"/>
      <c r="IW484"/>
      <c r="IX484"/>
      <c r="IY484"/>
      <c r="IZ484"/>
      <c r="JA484"/>
      <c r="JB484"/>
      <c r="JC484"/>
      <c r="JD484"/>
      <c r="JE484"/>
      <c r="JF484"/>
      <c r="JG484"/>
      <c r="JH484"/>
      <c r="JI484"/>
      <c r="JJ484"/>
      <c r="JK484"/>
      <c r="JL484"/>
      <c r="JM484"/>
      <c r="JN484"/>
      <c r="JO484"/>
      <c r="JP484"/>
      <c r="JQ484"/>
      <c r="JR484"/>
      <c r="JS484"/>
      <c r="JT484"/>
    </row>
    <row r="485" spans="1:280" s="6" customFormat="1">
      <c r="A485" s="6" t="s">
        <v>676</v>
      </c>
      <c r="BC485" s="6">
        <f>+(BC482)/BC479</f>
        <v>10</v>
      </c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  <c r="HB485"/>
      <c r="HC485"/>
      <c r="HD485"/>
      <c r="HE485"/>
      <c r="HF485"/>
      <c r="HG485"/>
      <c r="HH485"/>
      <c r="HI485"/>
      <c r="HJ485"/>
      <c r="HK485"/>
      <c r="HL485"/>
      <c r="HM485"/>
      <c r="HN485"/>
      <c r="HO485"/>
      <c r="HP485"/>
      <c r="HQ485"/>
      <c r="HR485"/>
      <c r="HS485"/>
      <c r="HT485"/>
      <c r="HU485"/>
      <c r="HV485"/>
      <c r="HW485"/>
      <c r="HX485"/>
      <c r="HY485"/>
      <c r="HZ485"/>
      <c r="IA485"/>
      <c r="IB485"/>
      <c r="IC485"/>
      <c r="ID485"/>
      <c r="IE485"/>
      <c r="IF485"/>
      <c r="IG485"/>
      <c r="IH485"/>
      <c r="II485"/>
      <c r="IJ485"/>
      <c r="IK485"/>
      <c r="IL485"/>
      <c r="IM485"/>
      <c r="IN485"/>
      <c r="IO485"/>
      <c r="IP485"/>
      <c r="IQ485"/>
      <c r="IR485"/>
      <c r="IS485"/>
      <c r="IT485"/>
      <c r="IU485"/>
      <c r="IV485"/>
      <c r="IW485"/>
      <c r="IX485"/>
      <c r="IY485"/>
      <c r="IZ485"/>
      <c r="JA485"/>
      <c r="JB485"/>
      <c r="JC485"/>
      <c r="JD485"/>
      <c r="JE485"/>
      <c r="JF485"/>
      <c r="JG485"/>
      <c r="JH485"/>
      <c r="JI485"/>
      <c r="JJ485"/>
      <c r="JK485"/>
      <c r="JL485"/>
      <c r="JM485"/>
      <c r="JN485"/>
      <c r="JO485"/>
      <c r="JP485"/>
      <c r="JQ485"/>
      <c r="JR485"/>
      <c r="JS485"/>
      <c r="JT485"/>
    </row>
    <row r="486" spans="1:280" s="6" customFormat="1">
      <c r="A486" s="1336" t="s">
        <v>230</v>
      </c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  <c r="HB486"/>
      <c r="HC486"/>
      <c r="HD486"/>
      <c r="HE486"/>
      <c r="HF486"/>
      <c r="HG486"/>
      <c r="HH486"/>
      <c r="HI486"/>
      <c r="HJ486"/>
      <c r="HK486"/>
      <c r="HL486"/>
      <c r="HM486"/>
      <c r="HN486"/>
      <c r="HO486"/>
      <c r="HP486"/>
      <c r="HQ486"/>
      <c r="HR486"/>
      <c r="HS486"/>
      <c r="HT486"/>
      <c r="HU486"/>
      <c r="HV486"/>
      <c r="HW486"/>
      <c r="HX486"/>
      <c r="HY486"/>
      <c r="HZ486"/>
      <c r="IA486"/>
      <c r="IB486"/>
      <c r="IC486"/>
      <c r="ID486"/>
      <c r="IE486"/>
      <c r="IF486"/>
      <c r="IG486"/>
      <c r="IH486"/>
      <c r="II486"/>
      <c r="IJ486"/>
      <c r="IK486"/>
      <c r="IL486"/>
      <c r="IM486"/>
      <c r="IN486"/>
      <c r="IO486"/>
      <c r="IP486"/>
      <c r="IQ486"/>
      <c r="IR486"/>
      <c r="IS486"/>
      <c r="IT486"/>
      <c r="IU486"/>
      <c r="IV486"/>
      <c r="IW486"/>
      <c r="IX486"/>
      <c r="IY486"/>
      <c r="IZ486"/>
      <c r="JA486"/>
      <c r="JB486"/>
      <c r="JC486"/>
      <c r="JD486"/>
      <c r="JE486"/>
      <c r="JF486"/>
      <c r="JG486"/>
      <c r="JH486"/>
      <c r="JI486"/>
      <c r="JJ486"/>
      <c r="JK486"/>
      <c r="JL486"/>
      <c r="JM486"/>
      <c r="JN486"/>
      <c r="JO486"/>
      <c r="JP486"/>
      <c r="JQ486"/>
      <c r="JR486"/>
      <c r="JS486"/>
      <c r="JT486"/>
    </row>
    <row r="487" spans="1:280" s="6" customFormat="1">
      <c r="A487" s="6" t="s">
        <v>669</v>
      </c>
      <c r="BC487" s="2276">
        <v>93</v>
      </c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  <c r="HB487"/>
      <c r="HC487"/>
      <c r="HD487"/>
      <c r="HE487"/>
      <c r="HF487"/>
      <c r="HG487"/>
      <c r="HH487"/>
      <c r="HI487"/>
      <c r="HJ487"/>
      <c r="HK487"/>
      <c r="HL487"/>
      <c r="HM487"/>
      <c r="HN487"/>
      <c r="HO487"/>
      <c r="HP487"/>
      <c r="HQ487"/>
      <c r="HR487"/>
      <c r="HS487"/>
      <c r="HT487"/>
      <c r="HU487"/>
      <c r="HV487"/>
      <c r="HW487"/>
      <c r="HX487"/>
      <c r="HY487"/>
      <c r="HZ487"/>
      <c r="IA487"/>
      <c r="IB487"/>
      <c r="IC487"/>
      <c r="ID487"/>
      <c r="IE487"/>
      <c r="IF487"/>
      <c r="IG487"/>
      <c r="IH487"/>
      <c r="II487"/>
      <c r="IJ487"/>
      <c r="IK487"/>
      <c r="IL487"/>
      <c r="IM487"/>
      <c r="IN487"/>
      <c r="IO487"/>
      <c r="IP487"/>
      <c r="IQ487"/>
      <c r="IR487"/>
      <c r="IS487"/>
      <c r="IT487"/>
      <c r="IU487"/>
      <c r="IV487"/>
      <c r="IW487"/>
      <c r="IX487"/>
      <c r="IY487"/>
      <c r="IZ487"/>
      <c r="JA487"/>
      <c r="JB487"/>
      <c r="JC487"/>
      <c r="JD487"/>
      <c r="JE487"/>
      <c r="JF487"/>
      <c r="JG487"/>
      <c r="JH487"/>
      <c r="JI487"/>
      <c r="JJ487"/>
      <c r="JK487"/>
      <c r="JL487"/>
      <c r="JM487"/>
      <c r="JN487"/>
      <c r="JO487"/>
      <c r="JP487"/>
      <c r="JQ487"/>
      <c r="JR487"/>
      <c r="JS487"/>
      <c r="JT487"/>
    </row>
    <row r="488" spans="1:280" s="6" customFormat="1">
      <c r="A488" s="6" t="s">
        <v>670</v>
      </c>
      <c r="BC488" s="2276">
        <v>40</v>
      </c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  <c r="HB488"/>
      <c r="HC488"/>
      <c r="HD488"/>
      <c r="HE488"/>
      <c r="HF488"/>
      <c r="HG488"/>
      <c r="HH488"/>
      <c r="HI488"/>
      <c r="HJ488"/>
      <c r="HK488"/>
      <c r="HL488"/>
      <c r="HM488"/>
      <c r="HN488"/>
      <c r="HO488"/>
      <c r="HP488"/>
      <c r="HQ488"/>
      <c r="HR488"/>
      <c r="HS488"/>
      <c r="HT488"/>
      <c r="HU488"/>
      <c r="HV488"/>
      <c r="HW488"/>
      <c r="HX488"/>
      <c r="HY488"/>
      <c r="HZ488"/>
      <c r="IA488"/>
      <c r="IB488"/>
      <c r="IC488"/>
      <c r="ID488"/>
      <c r="IE488"/>
      <c r="IF488"/>
      <c r="IG488"/>
      <c r="IH488"/>
      <c r="II488"/>
      <c r="IJ488"/>
      <c r="IK488"/>
      <c r="IL488"/>
      <c r="IM488"/>
      <c r="IN488"/>
      <c r="IO488"/>
      <c r="IP488"/>
      <c r="IQ488"/>
      <c r="IR488"/>
      <c r="IS488"/>
      <c r="IT488"/>
      <c r="IU488"/>
      <c r="IV488"/>
      <c r="IW488"/>
      <c r="IX488"/>
      <c r="IY488"/>
      <c r="IZ488"/>
      <c r="JA488"/>
      <c r="JB488"/>
      <c r="JC488"/>
      <c r="JD488"/>
      <c r="JE488"/>
      <c r="JF488"/>
      <c r="JG488"/>
      <c r="JH488"/>
      <c r="JI488"/>
      <c r="JJ488"/>
      <c r="JK488"/>
      <c r="JL488"/>
      <c r="JM488"/>
      <c r="JN488"/>
      <c r="JO488"/>
      <c r="JP488"/>
      <c r="JQ488"/>
      <c r="JR488"/>
      <c r="JS488"/>
      <c r="JT488"/>
    </row>
    <row r="489" spans="1:280" s="6" customFormat="1">
      <c r="A489" s="6" t="s">
        <v>671</v>
      </c>
      <c r="BC489" s="2276">
        <v>45</v>
      </c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  <c r="HB489"/>
      <c r="HC489"/>
      <c r="HD489"/>
      <c r="HE489"/>
      <c r="HF489"/>
      <c r="HG489"/>
      <c r="HH489"/>
      <c r="HI489"/>
      <c r="HJ489"/>
      <c r="HK489"/>
      <c r="HL489"/>
      <c r="HM489"/>
      <c r="HN489"/>
      <c r="HO489"/>
      <c r="HP489"/>
      <c r="HQ489"/>
      <c r="HR489"/>
      <c r="HS489"/>
      <c r="HT489"/>
      <c r="HU489"/>
      <c r="HV489"/>
      <c r="HW489"/>
      <c r="HX489"/>
      <c r="HY489"/>
      <c r="HZ489"/>
      <c r="IA489"/>
      <c r="IB489"/>
      <c r="IC489"/>
      <c r="ID489"/>
      <c r="IE489"/>
      <c r="IF489"/>
      <c r="IG489"/>
      <c r="IH489"/>
      <c r="II489"/>
      <c r="IJ489"/>
      <c r="IK489"/>
      <c r="IL489"/>
      <c r="IM489"/>
      <c r="IN489"/>
      <c r="IO489"/>
      <c r="IP489"/>
      <c r="IQ489"/>
      <c r="IR489"/>
      <c r="IS489"/>
      <c r="IT489"/>
      <c r="IU489"/>
      <c r="IV489"/>
      <c r="IW489"/>
      <c r="IX489"/>
      <c r="IY489"/>
      <c r="IZ489"/>
      <c r="JA489"/>
      <c r="JB489"/>
      <c r="JC489"/>
      <c r="JD489"/>
      <c r="JE489"/>
      <c r="JF489"/>
      <c r="JG489"/>
      <c r="JH489"/>
      <c r="JI489"/>
      <c r="JJ489"/>
      <c r="JK489"/>
      <c r="JL489"/>
      <c r="JM489"/>
      <c r="JN489"/>
      <c r="JO489"/>
      <c r="JP489"/>
      <c r="JQ489"/>
      <c r="JR489"/>
      <c r="JS489"/>
      <c r="JT489"/>
    </row>
    <row r="490" spans="1:280" s="6" customFormat="1">
      <c r="A490" s="6" t="s">
        <v>674</v>
      </c>
      <c r="BC490" s="2276">
        <v>15</v>
      </c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  <c r="HB490"/>
      <c r="HC490"/>
      <c r="HD490"/>
      <c r="HE490"/>
      <c r="HF490"/>
      <c r="HG490"/>
      <c r="HH490"/>
      <c r="HI490"/>
      <c r="HJ490"/>
      <c r="HK490"/>
      <c r="HL490"/>
      <c r="HM490"/>
      <c r="HN490"/>
      <c r="HO490"/>
      <c r="HP490"/>
      <c r="HQ490"/>
      <c r="HR490"/>
      <c r="HS490"/>
      <c r="HT490"/>
      <c r="HU490"/>
      <c r="HV490"/>
      <c r="HW490"/>
      <c r="HX490"/>
      <c r="HY490"/>
      <c r="HZ490"/>
      <c r="IA490"/>
      <c r="IB490"/>
      <c r="IC490"/>
      <c r="ID490"/>
      <c r="IE490"/>
      <c r="IF490"/>
      <c r="IG490"/>
      <c r="IH490"/>
      <c r="II490"/>
      <c r="IJ490"/>
      <c r="IK490"/>
      <c r="IL490"/>
      <c r="IM490"/>
      <c r="IN490"/>
      <c r="IO490"/>
      <c r="IP490"/>
      <c r="IQ490"/>
      <c r="IR490"/>
      <c r="IS490"/>
      <c r="IT490"/>
      <c r="IU490"/>
      <c r="IV490"/>
      <c r="IW490"/>
      <c r="IX490"/>
      <c r="IY490"/>
      <c r="IZ490"/>
      <c r="JA490"/>
      <c r="JB490"/>
      <c r="JC490"/>
      <c r="JD490"/>
      <c r="JE490"/>
      <c r="JF490"/>
      <c r="JG490"/>
      <c r="JH490"/>
      <c r="JI490"/>
      <c r="JJ490"/>
      <c r="JK490"/>
      <c r="JL490"/>
      <c r="JM490"/>
      <c r="JN490"/>
      <c r="JO490"/>
      <c r="JP490"/>
      <c r="JQ490"/>
      <c r="JR490"/>
      <c r="JS490"/>
      <c r="JT490"/>
    </row>
    <row r="491" spans="1:280" s="6" customFormat="1">
      <c r="A491" s="6" t="s">
        <v>672</v>
      </c>
      <c r="BC491" s="6">
        <f>+((BC488*1000)/BC487)</f>
        <v>430.10752688172045</v>
      </c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  <c r="HB491"/>
      <c r="HC491"/>
      <c r="HD491"/>
      <c r="HE491"/>
      <c r="HF491"/>
      <c r="HG491"/>
      <c r="HH491"/>
      <c r="HI491"/>
      <c r="HJ491"/>
      <c r="HK491"/>
      <c r="HL491"/>
      <c r="HM491"/>
      <c r="HN491"/>
      <c r="HO491"/>
      <c r="HP491"/>
      <c r="HQ491"/>
      <c r="HR491"/>
      <c r="HS491"/>
      <c r="HT491"/>
      <c r="HU491"/>
      <c r="HV491"/>
      <c r="HW491"/>
      <c r="HX491"/>
      <c r="HY491"/>
      <c r="HZ491"/>
      <c r="IA491"/>
      <c r="IB491"/>
      <c r="IC491"/>
      <c r="ID491"/>
      <c r="IE491"/>
      <c r="IF491"/>
      <c r="IG491"/>
      <c r="IH491"/>
      <c r="II491"/>
      <c r="IJ491"/>
      <c r="IK491"/>
      <c r="IL491"/>
      <c r="IM491"/>
      <c r="IN491"/>
      <c r="IO491"/>
      <c r="IP491"/>
      <c r="IQ491"/>
      <c r="IR491"/>
      <c r="IS491"/>
      <c r="IT491"/>
      <c r="IU491"/>
      <c r="IV491"/>
      <c r="IW491"/>
      <c r="IX491"/>
      <c r="IY491"/>
      <c r="IZ491"/>
      <c r="JA491"/>
      <c r="JB491"/>
      <c r="JC491"/>
      <c r="JD491"/>
      <c r="JE491"/>
      <c r="JF491"/>
      <c r="JG491"/>
      <c r="JH491"/>
      <c r="JI491"/>
      <c r="JJ491"/>
      <c r="JK491"/>
      <c r="JL491"/>
      <c r="JM491"/>
      <c r="JN491"/>
      <c r="JO491"/>
      <c r="JP491"/>
      <c r="JQ491"/>
      <c r="JR491"/>
      <c r="JS491"/>
      <c r="JT491"/>
    </row>
    <row r="492" spans="1:280" s="6" customFormat="1">
      <c r="A492" s="2270" t="s">
        <v>677</v>
      </c>
      <c r="BC492" s="1368">
        <f>+BC491/($AW$322*360)</f>
        <v>0.17067759003242874</v>
      </c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  <c r="HB492"/>
      <c r="HC492"/>
      <c r="HD492"/>
      <c r="HE492"/>
      <c r="HF492"/>
      <c r="HG492"/>
      <c r="HH492"/>
      <c r="HI492"/>
      <c r="HJ492"/>
      <c r="HK492"/>
      <c r="HL492"/>
      <c r="HM492"/>
      <c r="HN492"/>
      <c r="HO492"/>
      <c r="HP492"/>
      <c r="HQ492"/>
      <c r="HR492"/>
      <c r="HS492"/>
      <c r="HT492"/>
      <c r="HU492"/>
      <c r="HV492"/>
      <c r="HW492"/>
      <c r="HX492"/>
      <c r="HY492"/>
      <c r="HZ492"/>
      <c r="IA492"/>
      <c r="IB492"/>
      <c r="IC492"/>
      <c r="ID492"/>
      <c r="IE492"/>
      <c r="IF492"/>
      <c r="IG492"/>
      <c r="IH492"/>
      <c r="II492"/>
      <c r="IJ492"/>
      <c r="IK492"/>
      <c r="IL492"/>
      <c r="IM492"/>
      <c r="IN492"/>
      <c r="IO492"/>
      <c r="IP492"/>
      <c r="IQ492"/>
      <c r="IR492"/>
      <c r="IS492"/>
      <c r="IT492"/>
      <c r="IU492"/>
      <c r="IV492"/>
      <c r="IW492"/>
      <c r="IX492"/>
      <c r="IY492"/>
      <c r="IZ492"/>
      <c r="JA492"/>
      <c r="JB492"/>
      <c r="JC492"/>
      <c r="JD492"/>
      <c r="JE492"/>
      <c r="JF492"/>
      <c r="JG492"/>
      <c r="JH492"/>
      <c r="JI492"/>
      <c r="JJ492"/>
      <c r="JK492"/>
      <c r="JL492"/>
      <c r="JM492"/>
      <c r="JN492"/>
      <c r="JO492"/>
      <c r="JP492"/>
      <c r="JQ492"/>
      <c r="JR492"/>
      <c r="JS492"/>
      <c r="JT492"/>
    </row>
    <row r="493" spans="1:280" s="6" customFormat="1">
      <c r="A493" s="6" t="s">
        <v>673</v>
      </c>
      <c r="BC493" s="6">
        <f>+((BC489*1000)/BC487)</f>
        <v>483.87096774193549</v>
      </c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  <c r="HB493"/>
      <c r="HC493"/>
      <c r="HD493"/>
      <c r="HE493"/>
      <c r="HF493"/>
      <c r="HG493"/>
      <c r="HH493"/>
      <c r="HI493"/>
      <c r="HJ493"/>
      <c r="HK493"/>
      <c r="HL493"/>
      <c r="HM493"/>
      <c r="HN493"/>
      <c r="HO493"/>
      <c r="HP493"/>
      <c r="HQ493"/>
      <c r="HR493"/>
      <c r="HS493"/>
      <c r="HT493"/>
      <c r="HU493"/>
      <c r="HV493"/>
      <c r="HW493"/>
      <c r="HX493"/>
      <c r="HY493"/>
      <c r="HZ493"/>
      <c r="IA493"/>
      <c r="IB493"/>
      <c r="IC493"/>
      <c r="ID493"/>
      <c r="IE493"/>
      <c r="IF493"/>
      <c r="IG493"/>
      <c r="IH493"/>
      <c r="II493"/>
      <c r="IJ493"/>
      <c r="IK493"/>
      <c r="IL493"/>
      <c r="IM493"/>
      <c r="IN493"/>
      <c r="IO493"/>
      <c r="IP493"/>
      <c r="IQ493"/>
      <c r="IR493"/>
      <c r="IS493"/>
      <c r="IT493"/>
      <c r="IU493"/>
      <c r="IV493"/>
      <c r="IW493"/>
      <c r="IX493"/>
      <c r="IY493"/>
      <c r="IZ493"/>
      <c r="JA493"/>
      <c r="JB493"/>
      <c r="JC493"/>
      <c r="JD493"/>
      <c r="JE493"/>
      <c r="JF493"/>
      <c r="JG493"/>
      <c r="JH493"/>
      <c r="JI493"/>
      <c r="JJ493"/>
      <c r="JK493"/>
      <c r="JL493"/>
      <c r="JM493"/>
      <c r="JN493"/>
      <c r="JO493"/>
      <c r="JP493"/>
      <c r="JQ493"/>
      <c r="JR493"/>
      <c r="JS493"/>
      <c r="JT493"/>
    </row>
    <row r="494" spans="1:280" s="6" customFormat="1">
      <c r="A494" s="2270" t="s">
        <v>677</v>
      </c>
      <c r="BC494" s="1368">
        <f>+BC493/($AW$322*360)</f>
        <v>0.19201228878648233</v>
      </c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  <c r="HB494"/>
      <c r="HC494"/>
      <c r="HD494"/>
      <c r="HE494"/>
      <c r="HF494"/>
      <c r="HG494"/>
      <c r="HH494"/>
      <c r="HI494"/>
      <c r="HJ494"/>
      <c r="HK494"/>
      <c r="HL494"/>
      <c r="HM494"/>
      <c r="HN494"/>
      <c r="HO494"/>
      <c r="HP494"/>
      <c r="HQ494"/>
      <c r="HR494"/>
      <c r="HS494"/>
      <c r="HT494"/>
      <c r="HU494"/>
      <c r="HV494"/>
      <c r="HW494"/>
      <c r="HX494"/>
      <c r="HY494"/>
      <c r="HZ494"/>
      <c r="IA494"/>
      <c r="IB494"/>
      <c r="IC494"/>
      <c r="ID494"/>
      <c r="IE494"/>
      <c r="IF494"/>
      <c r="IG494"/>
      <c r="IH494"/>
      <c r="II494"/>
      <c r="IJ494"/>
      <c r="IK494"/>
      <c r="IL494"/>
      <c r="IM494"/>
      <c r="IN494"/>
      <c r="IO494"/>
      <c r="IP494"/>
      <c r="IQ494"/>
      <c r="IR494"/>
      <c r="IS494"/>
      <c r="IT494"/>
      <c r="IU494"/>
      <c r="IV494"/>
      <c r="IW494"/>
      <c r="IX494"/>
      <c r="IY494"/>
      <c r="IZ494"/>
      <c r="JA494"/>
      <c r="JB494"/>
      <c r="JC494"/>
      <c r="JD494"/>
      <c r="JE494"/>
      <c r="JF494"/>
      <c r="JG494"/>
      <c r="JH494"/>
      <c r="JI494"/>
      <c r="JJ494"/>
      <c r="JK494"/>
      <c r="JL494"/>
      <c r="JM494"/>
      <c r="JN494"/>
      <c r="JO494"/>
      <c r="JP494"/>
      <c r="JQ494"/>
      <c r="JR494"/>
      <c r="JS494"/>
      <c r="JT494"/>
    </row>
    <row r="495" spans="1:280" s="6" customFormat="1">
      <c r="A495" s="6" t="s">
        <v>675</v>
      </c>
      <c r="BC495" s="6">
        <f>+(BC491)/BC490</f>
        <v>28.673835125448029</v>
      </c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  <c r="HB495"/>
      <c r="HC495"/>
      <c r="HD495"/>
      <c r="HE495"/>
      <c r="HF495"/>
      <c r="HG495"/>
      <c r="HH495"/>
      <c r="HI495"/>
      <c r="HJ495"/>
      <c r="HK495"/>
      <c r="HL495"/>
      <c r="HM495"/>
      <c r="HN495"/>
      <c r="HO495"/>
      <c r="HP495"/>
      <c r="HQ495"/>
      <c r="HR495"/>
      <c r="HS495"/>
      <c r="HT495"/>
      <c r="HU495"/>
      <c r="HV495"/>
      <c r="HW495"/>
      <c r="HX495"/>
      <c r="HY495"/>
      <c r="HZ495"/>
      <c r="IA495"/>
      <c r="IB495"/>
      <c r="IC495"/>
      <c r="ID495"/>
      <c r="IE495"/>
      <c r="IF495"/>
      <c r="IG495"/>
      <c r="IH495"/>
      <c r="II495"/>
      <c r="IJ495"/>
      <c r="IK495"/>
      <c r="IL495"/>
      <c r="IM495"/>
      <c r="IN495"/>
      <c r="IO495"/>
      <c r="IP495"/>
      <c r="IQ495"/>
      <c r="IR495"/>
      <c r="IS495"/>
      <c r="IT495"/>
      <c r="IU495"/>
      <c r="IV495"/>
      <c r="IW495"/>
      <c r="IX495"/>
      <c r="IY495"/>
      <c r="IZ495"/>
      <c r="JA495"/>
      <c r="JB495"/>
      <c r="JC495"/>
      <c r="JD495"/>
      <c r="JE495"/>
      <c r="JF495"/>
      <c r="JG495"/>
      <c r="JH495"/>
      <c r="JI495"/>
      <c r="JJ495"/>
      <c r="JK495"/>
      <c r="JL495"/>
      <c r="JM495"/>
      <c r="JN495"/>
      <c r="JO495"/>
      <c r="JP495"/>
      <c r="JQ495"/>
      <c r="JR495"/>
      <c r="JS495"/>
      <c r="JT495"/>
    </row>
    <row r="496" spans="1:280" s="6" customFormat="1">
      <c r="A496" s="6" t="s">
        <v>676</v>
      </c>
      <c r="BC496" s="6">
        <f>+(BC493)/BC490</f>
        <v>32.258064516129032</v>
      </c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  <c r="HB496"/>
      <c r="HC496"/>
      <c r="HD496"/>
      <c r="HE496"/>
      <c r="HF496"/>
      <c r="HG496"/>
      <c r="HH496"/>
      <c r="HI496"/>
      <c r="HJ496"/>
      <c r="HK496"/>
      <c r="HL496"/>
      <c r="HM496"/>
      <c r="HN496"/>
      <c r="HO496"/>
      <c r="HP496"/>
      <c r="HQ496"/>
      <c r="HR496"/>
      <c r="HS496"/>
      <c r="HT496"/>
      <c r="HU496"/>
      <c r="HV496"/>
      <c r="HW496"/>
      <c r="HX496"/>
      <c r="HY496"/>
      <c r="HZ496"/>
      <c r="IA496"/>
      <c r="IB496"/>
      <c r="IC496"/>
      <c r="ID496"/>
      <c r="IE496"/>
      <c r="IF496"/>
      <c r="IG496"/>
      <c r="IH496"/>
      <c r="II496"/>
      <c r="IJ496"/>
      <c r="IK496"/>
      <c r="IL496"/>
      <c r="IM496"/>
      <c r="IN496"/>
      <c r="IO496"/>
      <c r="IP496"/>
      <c r="IQ496"/>
      <c r="IR496"/>
      <c r="IS496"/>
      <c r="IT496"/>
      <c r="IU496"/>
      <c r="IV496"/>
      <c r="IW496"/>
      <c r="IX496"/>
      <c r="IY496"/>
      <c r="IZ496"/>
      <c r="JA496"/>
      <c r="JB496"/>
      <c r="JC496"/>
      <c r="JD496"/>
      <c r="JE496"/>
      <c r="JF496"/>
      <c r="JG496"/>
      <c r="JH496"/>
      <c r="JI496"/>
      <c r="JJ496"/>
      <c r="JK496"/>
      <c r="JL496"/>
      <c r="JM496"/>
      <c r="JN496"/>
      <c r="JO496"/>
      <c r="JP496"/>
      <c r="JQ496"/>
      <c r="JR496"/>
      <c r="JS496"/>
      <c r="JT496"/>
    </row>
    <row r="497" spans="1:280" s="6" customFormat="1">
      <c r="A497" s="1336" t="s">
        <v>447</v>
      </c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  <c r="HB497"/>
      <c r="HC497"/>
      <c r="HD497"/>
      <c r="HE497"/>
      <c r="HF497"/>
      <c r="HG497"/>
      <c r="HH497"/>
      <c r="HI497"/>
      <c r="HJ497"/>
      <c r="HK497"/>
      <c r="HL497"/>
      <c r="HM497"/>
      <c r="HN497"/>
      <c r="HO497"/>
      <c r="HP497"/>
      <c r="HQ497"/>
      <c r="HR497"/>
      <c r="HS497"/>
      <c r="HT497"/>
      <c r="HU497"/>
      <c r="HV497"/>
      <c r="HW497"/>
      <c r="HX497"/>
      <c r="HY497"/>
      <c r="HZ497"/>
      <c r="IA497"/>
      <c r="IB497"/>
      <c r="IC497"/>
      <c r="ID497"/>
      <c r="IE497"/>
      <c r="IF497"/>
      <c r="IG497"/>
      <c r="IH497"/>
      <c r="II497"/>
      <c r="IJ497"/>
      <c r="IK497"/>
      <c r="IL497"/>
      <c r="IM497"/>
      <c r="IN497"/>
      <c r="IO497"/>
      <c r="IP497"/>
      <c r="IQ497"/>
      <c r="IR497"/>
      <c r="IS497"/>
      <c r="IT497"/>
      <c r="IU497"/>
      <c r="IV497"/>
      <c r="IW497"/>
      <c r="IX497"/>
      <c r="IY497"/>
      <c r="IZ497"/>
      <c r="JA497"/>
      <c r="JB497"/>
      <c r="JC497"/>
      <c r="JD497"/>
      <c r="JE497"/>
      <c r="JF497"/>
      <c r="JG497"/>
      <c r="JH497"/>
      <c r="JI497"/>
      <c r="JJ497"/>
      <c r="JK497"/>
      <c r="JL497"/>
      <c r="JM497"/>
      <c r="JN497"/>
      <c r="JO497"/>
      <c r="JP497"/>
      <c r="JQ497"/>
      <c r="JR497"/>
      <c r="JS497"/>
      <c r="JT497"/>
    </row>
    <row r="498" spans="1:280" s="6" customFormat="1">
      <c r="A498" s="6" t="s">
        <v>669</v>
      </c>
      <c r="BC498" s="2276">
        <v>33</v>
      </c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  <c r="HB498"/>
      <c r="HC498"/>
      <c r="HD498"/>
      <c r="HE498"/>
      <c r="HF498"/>
      <c r="HG498"/>
      <c r="HH498"/>
      <c r="HI498"/>
      <c r="HJ498"/>
      <c r="HK498"/>
      <c r="HL498"/>
      <c r="HM498"/>
      <c r="HN498"/>
      <c r="HO498"/>
      <c r="HP498"/>
      <c r="HQ498"/>
      <c r="HR498"/>
      <c r="HS498"/>
      <c r="HT498"/>
      <c r="HU498"/>
      <c r="HV498"/>
      <c r="HW498"/>
      <c r="HX498"/>
      <c r="HY498"/>
      <c r="HZ498"/>
      <c r="IA498"/>
      <c r="IB498"/>
      <c r="IC498"/>
      <c r="ID498"/>
      <c r="IE498"/>
      <c r="IF498"/>
      <c r="IG498"/>
      <c r="IH498"/>
      <c r="II498"/>
      <c r="IJ498"/>
      <c r="IK498"/>
      <c r="IL498"/>
      <c r="IM498"/>
      <c r="IN498"/>
      <c r="IO498"/>
      <c r="IP498"/>
      <c r="IQ498"/>
      <c r="IR498"/>
      <c r="IS498"/>
      <c r="IT498"/>
      <c r="IU498"/>
      <c r="IV498"/>
      <c r="IW498"/>
      <c r="IX498"/>
      <c r="IY498"/>
      <c r="IZ498"/>
      <c r="JA498"/>
      <c r="JB498"/>
      <c r="JC498"/>
      <c r="JD498"/>
      <c r="JE498"/>
      <c r="JF498"/>
      <c r="JG498"/>
      <c r="JH498"/>
      <c r="JI498"/>
      <c r="JJ498"/>
      <c r="JK498"/>
      <c r="JL498"/>
      <c r="JM498"/>
      <c r="JN498"/>
      <c r="JO498"/>
      <c r="JP498"/>
      <c r="JQ498"/>
      <c r="JR498"/>
      <c r="JS498"/>
      <c r="JT498"/>
    </row>
    <row r="499" spans="1:280" s="6" customFormat="1">
      <c r="A499" s="6" t="s">
        <v>670</v>
      </c>
      <c r="BC499" s="2276">
        <v>100</v>
      </c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  <c r="HB499"/>
      <c r="HC499"/>
      <c r="HD499"/>
      <c r="HE499"/>
      <c r="HF499"/>
      <c r="HG499"/>
      <c r="HH499"/>
      <c r="HI499"/>
      <c r="HJ499"/>
      <c r="HK499"/>
      <c r="HL499"/>
      <c r="HM499"/>
      <c r="HN499"/>
      <c r="HO499"/>
      <c r="HP499"/>
      <c r="HQ499"/>
      <c r="HR499"/>
      <c r="HS499"/>
      <c r="HT499"/>
      <c r="HU499"/>
      <c r="HV499"/>
      <c r="HW499"/>
      <c r="HX499"/>
      <c r="HY499"/>
      <c r="HZ499"/>
      <c r="IA499"/>
      <c r="IB499"/>
      <c r="IC499"/>
      <c r="ID499"/>
      <c r="IE499"/>
      <c r="IF499"/>
      <c r="IG499"/>
      <c r="IH499"/>
      <c r="II499"/>
      <c r="IJ499"/>
      <c r="IK499"/>
      <c r="IL499"/>
      <c r="IM499"/>
      <c r="IN499"/>
      <c r="IO499"/>
      <c r="IP499"/>
      <c r="IQ499"/>
      <c r="IR499"/>
      <c r="IS499"/>
      <c r="IT499"/>
      <c r="IU499"/>
      <c r="IV499"/>
      <c r="IW499"/>
      <c r="IX499"/>
      <c r="IY499"/>
      <c r="IZ499"/>
      <c r="JA499"/>
      <c r="JB499"/>
      <c r="JC499"/>
      <c r="JD499"/>
      <c r="JE499"/>
      <c r="JF499"/>
      <c r="JG499"/>
      <c r="JH499"/>
      <c r="JI499"/>
      <c r="JJ499"/>
      <c r="JK499"/>
      <c r="JL499"/>
      <c r="JM499"/>
      <c r="JN499"/>
      <c r="JO499"/>
      <c r="JP499"/>
      <c r="JQ499"/>
      <c r="JR499"/>
      <c r="JS499"/>
      <c r="JT499"/>
    </row>
    <row r="500" spans="1:280" s="6" customFormat="1">
      <c r="A500" s="6" t="s">
        <v>671</v>
      </c>
      <c r="BC500" s="2276">
        <v>125</v>
      </c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  <c r="HB500"/>
      <c r="HC500"/>
      <c r="HD500"/>
      <c r="HE500"/>
      <c r="HF500"/>
      <c r="HG500"/>
      <c r="HH500"/>
      <c r="HI500"/>
      <c r="HJ500"/>
      <c r="HK500"/>
      <c r="HL500"/>
      <c r="HM500"/>
      <c r="HN500"/>
      <c r="HO500"/>
      <c r="HP500"/>
      <c r="HQ500"/>
      <c r="HR500"/>
      <c r="HS500"/>
      <c r="HT500"/>
      <c r="HU500"/>
      <c r="HV500"/>
      <c r="HW500"/>
      <c r="HX500"/>
      <c r="HY500"/>
      <c r="HZ500"/>
      <c r="IA500"/>
      <c r="IB500"/>
      <c r="IC500"/>
      <c r="ID500"/>
      <c r="IE500"/>
      <c r="IF500"/>
      <c r="IG500"/>
      <c r="IH500"/>
      <c r="II500"/>
      <c r="IJ500"/>
      <c r="IK500"/>
      <c r="IL500"/>
      <c r="IM500"/>
      <c r="IN500"/>
      <c r="IO500"/>
      <c r="IP500"/>
      <c r="IQ500"/>
      <c r="IR500"/>
      <c r="IS500"/>
      <c r="IT500"/>
      <c r="IU500"/>
      <c r="IV500"/>
      <c r="IW500"/>
      <c r="IX500"/>
      <c r="IY500"/>
      <c r="IZ500"/>
      <c r="JA500"/>
      <c r="JB500"/>
      <c r="JC500"/>
      <c r="JD500"/>
      <c r="JE500"/>
      <c r="JF500"/>
      <c r="JG500"/>
      <c r="JH500"/>
      <c r="JI500"/>
      <c r="JJ500"/>
      <c r="JK500"/>
      <c r="JL500"/>
      <c r="JM500"/>
      <c r="JN500"/>
      <c r="JO500"/>
      <c r="JP500"/>
      <c r="JQ500"/>
      <c r="JR500"/>
      <c r="JS500"/>
      <c r="JT500"/>
    </row>
    <row r="501" spans="1:280" s="6" customFormat="1">
      <c r="A501" s="6" t="s">
        <v>674</v>
      </c>
      <c r="BC501" s="2276">
        <v>120</v>
      </c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  <c r="FV501"/>
      <c r="FW501"/>
      <c r="FX501"/>
      <c r="FY501"/>
      <c r="FZ501"/>
      <c r="GA501"/>
      <c r="GB501"/>
      <c r="GC501"/>
      <c r="GD501"/>
      <c r="GE501"/>
      <c r="GF501"/>
      <c r="GG501"/>
      <c r="GH501"/>
      <c r="GI501"/>
      <c r="GJ501"/>
      <c r="GK501"/>
      <c r="GL501"/>
      <c r="GM501"/>
      <c r="GN501"/>
      <c r="GO501"/>
      <c r="GP501"/>
      <c r="GQ501"/>
      <c r="GR501"/>
      <c r="GS501"/>
      <c r="GT501"/>
      <c r="GU501"/>
      <c r="GV501"/>
      <c r="GW501"/>
      <c r="GX501"/>
      <c r="GY501"/>
      <c r="GZ501"/>
      <c r="HA501"/>
      <c r="HB501"/>
      <c r="HC501"/>
      <c r="HD501"/>
      <c r="HE501"/>
      <c r="HF501"/>
      <c r="HG501"/>
      <c r="HH501"/>
      <c r="HI501"/>
      <c r="HJ501"/>
      <c r="HK501"/>
      <c r="HL501"/>
      <c r="HM501"/>
      <c r="HN501"/>
      <c r="HO501"/>
      <c r="HP501"/>
      <c r="HQ501"/>
      <c r="HR501"/>
      <c r="HS501"/>
      <c r="HT501"/>
      <c r="HU501"/>
      <c r="HV501"/>
      <c r="HW501"/>
      <c r="HX501"/>
      <c r="HY501"/>
      <c r="HZ501"/>
      <c r="IA501"/>
      <c r="IB501"/>
      <c r="IC501"/>
      <c r="ID501"/>
      <c r="IE501"/>
      <c r="IF501"/>
      <c r="IG501"/>
      <c r="IH501"/>
      <c r="II501"/>
      <c r="IJ501"/>
      <c r="IK501"/>
      <c r="IL501"/>
      <c r="IM501"/>
      <c r="IN501"/>
      <c r="IO501"/>
      <c r="IP501"/>
      <c r="IQ501"/>
      <c r="IR501"/>
      <c r="IS501"/>
      <c r="IT501"/>
      <c r="IU501"/>
      <c r="IV501"/>
      <c r="IW501"/>
      <c r="IX501"/>
      <c r="IY501"/>
      <c r="IZ501"/>
      <c r="JA501"/>
      <c r="JB501"/>
      <c r="JC501"/>
      <c r="JD501"/>
      <c r="JE501"/>
      <c r="JF501"/>
      <c r="JG501"/>
      <c r="JH501"/>
      <c r="JI501"/>
      <c r="JJ501"/>
      <c r="JK501"/>
      <c r="JL501"/>
      <c r="JM501"/>
      <c r="JN501"/>
      <c r="JO501"/>
      <c r="JP501"/>
      <c r="JQ501"/>
      <c r="JR501"/>
      <c r="JS501"/>
      <c r="JT501"/>
    </row>
    <row r="502" spans="1:280" s="6" customFormat="1">
      <c r="A502" s="6" t="s">
        <v>672</v>
      </c>
      <c r="BC502" s="6">
        <f>+((BC499*1000)/BC498)</f>
        <v>3030.3030303030305</v>
      </c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  <c r="FV502"/>
      <c r="FW502"/>
      <c r="FX502"/>
      <c r="FY502"/>
      <c r="FZ502"/>
      <c r="GA502"/>
      <c r="GB502"/>
      <c r="GC502"/>
      <c r="GD502"/>
      <c r="GE502"/>
      <c r="GF502"/>
      <c r="GG502"/>
      <c r="GH502"/>
      <c r="GI502"/>
      <c r="GJ502"/>
      <c r="GK502"/>
      <c r="GL502"/>
      <c r="GM502"/>
      <c r="GN502"/>
      <c r="GO502"/>
      <c r="GP502"/>
      <c r="GQ502"/>
      <c r="GR502"/>
      <c r="GS502"/>
      <c r="GT502"/>
      <c r="GU502"/>
      <c r="GV502"/>
      <c r="GW502"/>
      <c r="GX502"/>
      <c r="GY502"/>
      <c r="GZ502"/>
      <c r="HA502"/>
      <c r="HB502"/>
      <c r="HC502"/>
      <c r="HD502"/>
      <c r="HE502"/>
      <c r="HF502"/>
      <c r="HG502"/>
      <c r="HH502"/>
      <c r="HI502"/>
      <c r="HJ502"/>
      <c r="HK502"/>
      <c r="HL502"/>
      <c r="HM502"/>
      <c r="HN502"/>
      <c r="HO502"/>
      <c r="HP502"/>
      <c r="HQ502"/>
      <c r="HR502"/>
      <c r="HS502"/>
      <c r="HT502"/>
      <c r="HU502"/>
      <c r="HV502"/>
      <c r="HW502"/>
      <c r="HX502"/>
      <c r="HY502"/>
      <c r="HZ502"/>
      <c r="IA502"/>
      <c r="IB502"/>
      <c r="IC502"/>
      <c r="ID502"/>
      <c r="IE502"/>
      <c r="IF502"/>
      <c r="IG502"/>
      <c r="IH502"/>
      <c r="II502"/>
      <c r="IJ502"/>
      <c r="IK502"/>
      <c r="IL502"/>
      <c r="IM502"/>
      <c r="IN502"/>
      <c r="IO502"/>
      <c r="IP502"/>
      <c r="IQ502"/>
      <c r="IR502"/>
      <c r="IS502"/>
      <c r="IT502"/>
      <c r="IU502"/>
      <c r="IV502"/>
      <c r="IW502"/>
      <c r="IX502"/>
      <c r="IY502"/>
      <c r="IZ502"/>
      <c r="JA502"/>
      <c r="JB502"/>
      <c r="JC502"/>
      <c r="JD502"/>
      <c r="JE502"/>
      <c r="JF502"/>
      <c r="JG502"/>
      <c r="JH502"/>
      <c r="JI502"/>
      <c r="JJ502"/>
      <c r="JK502"/>
      <c r="JL502"/>
      <c r="JM502"/>
      <c r="JN502"/>
      <c r="JO502"/>
      <c r="JP502"/>
      <c r="JQ502"/>
      <c r="JR502"/>
      <c r="JS502"/>
      <c r="JT502"/>
    </row>
    <row r="503" spans="1:280" s="6" customFormat="1">
      <c r="A503" s="2270" t="s">
        <v>677</v>
      </c>
      <c r="BC503" s="1368">
        <f>+BC502/($AW$323*360)</f>
        <v>9.2297241420048443E-2</v>
      </c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  <c r="FV503"/>
      <c r="FW503"/>
      <c r="FX503"/>
      <c r="FY503"/>
      <c r="FZ503"/>
      <c r="GA503"/>
      <c r="GB503"/>
      <c r="GC503"/>
      <c r="GD503"/>
      <c r="GE503"/>
      <c r="GF503"/>
      <c r="GG503"/>
      <c r="GH503"/>
      <c r="GI503"/>
      <c r="GJ503"/>
      <c r="GK503"/>
      <c r="GL503"/>
      <c r="GM503"/>
      <c r="GN503"/>
      <c r="GO503"/>
      <c r="GP503"/>
      <c r="GQ503"/>
      <c r="GR503"/>
      <c r="GS503"/>
      <c r="GT503"/>
      <c r="GU503"/>
      <c r="GV503"/>
      <c r="GW503"/>
      <c r="GX503"/>
      <c r="GY503"/>
      <c r="GZ503"/>
      <c r="HA503"/>
      <c r="HB503"/>
      <c r="HC503"/>
      <c r="HD503"/>
      <c r="HE503"/>
      <c r="HF503"/>
      <c r="HG503"/>
      <c r="HH503"/>
      <c r="HI503"/>
      <c r="HJ503"/>
      <c r="HK503"/>
      <c r="HL503"/>
      <c r="HM503"/>
      <c r="HN503"/>
      <c r="HO503"/>
      <c r="HP503"/>
      <c r="HQ503"/>
      <c r="HR503"/>
      <c r="HS503"/>
      <c r="HT503"/>
      <c r="HU503"/>
      <c r="HV503"/>
      <c r="HW503"/>
      <c r="HX503"/>
      <c r="HY503"/>
      <c r="HZ503"/>
      <c r="IA503"/>
      <c r="IB503"/>
      <c r="IC503"/>
      <c r="ID503"/>
      <c r="IE503"/>
      <c r="IF503"/>
      <c r="IG503"/>
      <c r="IH503"/>
      <c r="II503"/>
      <c r="IJ503"/>
      <c r="IK503"/>
      <c r="IL503"/>
      <c r="IM503"/>
      <c r="IN503"/>
      <c r="IO503"/>
      <c r="IP503"/>
      <c r="IQ503"/>
      <c r="IR503"/>
      <c r="IS503"/>
      <c r="IT503"/>
      <c r="IU503"/>
      <c r="IV503"/>
      <c r="IW503"/>
      <c r="IX503"/>
      <c r="IY503"/>
      <c r="IZ503"/>
      <c r="JA503"/>
      <c r="JB503"/>
      <c r="JC503"/>
      <c r="JD503"/>
      <c r="JE503"/>
      <c r="JF503"/>
      <c r="JG503"/>
      <c r="JH503"/>
      <c r="JI503"/>
      <c r="JJ503"/>
      <c r="JK503"/>
      <c r="JL503"/>
      <c r="JM503"/>
      <c r="JN503"/>
      <c r="JO503"/>
      <c r="JP503"/>
      <c r="JQ503"/>
      <c r="JR503"/>
      <c r="JS503"/>
      <c r="JT503"/>
    </row>
    <row r="504" spans="1:280" s="6" customFormat="1">
      <c r="A504" s="6" t="s">
        <v>673</v>
      </c>
      <c r="BC504" s="6">
        <f>+((BC500*1000)/BC498)</f>
        <v>3787.878787878788</v>
      </c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  <c r="FV504"/>
      <c r="FW504"/>
      <c r="FX504"/>
      <c r="FY504"/>
      <c r="FZ504"/>
      <c r="GA504"/>
      <c r="GB504"/>
      <c r="GC504"/>
      <c r="GD504"/>
      <c r="GE504"/>
      <c r="GF504"/>
      <c r="GG504"/>
      <c r="GH504"/>
      <c r="GI504"/>
      <c r="GJ504"/>
      <c r="GK504"/>
      <c r="GL504"/>
      <c r="GM504"/>
      <c r="GN504"/>
      <c r="GO504"/>
      <c r="GP504"/>
      <c r="GQ504"/>
      <c r="GR504"/>
      <c r="GS504"/>
      <c r="GT504"/>
      <c r="GU504"/>
      <c r="GV504"/>
      <c r="GW504"/>
      <c r="GX504"/>
      <c r="GY504"/>
      <c r="GZ504"/>
      <c r="HA504"/>
      <c r="HB504"/>
      <c r="HC504"/>
      <c r="HD504"/>
      <c r="HE504"/>
      <c r="HF504"/>
      <c r="HG504"/>
      <c r="HH504"/>
      <c r="HI504"/>
      <c r="HJ504"/>
      <c r="HK504"/>
      <c r="HL504"/>
      <c r="HM504"/>
      <c r="HN504"/>
      <c r="HO504"/>
      <c r="HP504"/>
      <c r="HQ504"/>
      <c r="HR504"/>
      <c r="HS504"/>
      <c r="HT504"/>
      <c r="HU504"/>
      <c r="HV504"/>
      <c r="HW504"/>
      <c r="HX504"/>
      <c r="HY504"/>
      <c r="HZ504"/>
      <c r="IA504"/>
      <c r="IB504"/>
      <c r="IC504"/>
      <c r="ID504"/>
      <c r="IE504"/>
      <c r="IF504"/>
      <c r="IG504"/>
      <c r="IH504"/>
      <c r="II504"/>
      <c r="IJ504"/>
      <c r="IK504"/>
      <c r="IL504"/>
      <c r="IM504"/>
      <c r="IN504"/>
      <c r="IO504"/>
      <c r="IP504"/>
      <c r="IQ504"/>
      <c r="IR504"/>
      <c r="IS504"/>
      <c r="IT504"/>
      <c r="IU504"/>
      <c r="IV504"/>
      <c r="IW504"/>
      <c r="IX504"/>
      <c r="IY504"/>
      <c r="IZ504"/>
      <c r="JA504"/>
      <c r="JB504"/>
      <c r="JC504"/>
      <c r="JD504"/>
      <c r="JE504"/>
      <c r="JF504"/>
      <c r="JG504"/>
      <c r="JH504"/>
      <c r="JI504"/>
      <c r="JJ504"/>
      <c r="JK504"/>
      <c r="JL504"/>
      <c r="JM504"/>
      <c r="JN504"/>
      <c r="JO504"/>
      <c r="JP504"/>
      <c r="JQ504"/>
      <c r="JR504"/>
      <c r="JS504"/>
      <c r="JT504"/>
    </row>
    <row r="505" spans="1:280" s="6" customFormat="1">
      <c r="A505" s="2270" t="s">
        <v>677</v>
      </c>
      <c r="BC505" s="1368">
        <f>+BC504/($AW$323*360)</f>
        <v>0.11537155177506055</v>
      </c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  <c r="FV505"/>
      <c r="FW505"/>
      <c r="FX505"/>
      <c r="FY505"/>
      <c r="FZ505"/>
      <c r="GA505"/>
      <c r="GB505"/>
      <c r="GC505"/>
      <c r="GD505"/>
      <c r="GE505"/>
      <c r="GF505"/>
      <c r="GG505"/>
      <c r="GH505"/>
      <c r="GI505"/>
      <c r="GJ505"/>
      <c r="GK505"/>
      <c r="GL505"/>
      <c r="GM505"/>
      <c r="GN505"/>
      <c r="GO505"/>
      <c r="GP505"/>
      <c r="GQ505"/>
      <c r="GR505"/>
      <c r="GS505"/>
      <c r="GT505"/>
      <c r="GU505"/>
      <c r="GV505"/>
      <c r="GW505"/>
      <c r="GX505"/>
      <c r="GY505"/>
      <c r="GZ505"/>
      <c r="HA505"/>
      <c r="HB505"/>
      <c r="HC505"/>
      <c r="HD505"/>
      <c r="HE505"/>
      <c r="HF505"/>
      <c r="HG505"/>
      <c r="HH505"/>
      <c r="HI505"/>
      <c r="HJ505"/>
      <c r="HK505"/>
      <c r="HL505"/>
      <c r="HM505"/>
      <c r="HN505"/>
      <c r="HO505"/>
      <c r="HP505"/>
      <c r="HQ505"/>
      <c r="HR505"/>
      <c r="HS505"/>
      <c r="HT505"/>
      <c r="HU505"/>
      <c r="HV505"/>
      <c r="HW505"/>
      <c r="HX505"/>
      <c r="HY505"/>
      <c r="HZ505"/>
      <c r="IA505"/>
      <c r="IB505"/>
      <c r="IC505"/>
      <c r="ID505"/>
      <c r="IE505"/>
      <c r="IF505"/>
      <c r="IG505"/>
      <c r="IH505"/>
      <c r="II505"/>
      <c r="IJ505"/>
      <c r="IK505"/>
      <c r="IL505"/>
      <c r="IM505"/>
      <c r="IN505"/>
      <c r="IO505"/>
      <c r="IP505"/>
      <c r="IQ505"/>
      <c r="IR505"/>
      <c r="IS505"/>
      <c r="IT505"/>
      <c r="IU505"/>
      <c r="IV505"/>
      <c r="IW505"/>
      <c r="IX505"/>
      <c r="IY505"/>
      <c r="IZ505"/>
      <c r="JA505"/>
      <c r="JB505"/>
      <c r="JC505"/>
      <c r="JD505"/>
      <c r="JE505"/>
      <c r="JF505"/>
      <c r="JG505"/>
      <c r="JH505"/>
      <c r="JI505"/>
      <c r="JJ505"/>
      <c r="JK505"/>
      <c r="JL505"/>
      <c r="JM505"/>
      <c r="JN505"/>
      <c r="JO505"/>
      <c r="JP505"/>
      <c r="JQ505"/>
      <c r="JR505"/>
      <c r="JS505"/>
      <c r="JT505"/>
    </row>
    <row r="506" spans="1:280" s="6" customFormat="1">
      <c r="A506" s="6" t="s">
        <v>675</v>
      </c>
      <c r="BC506" s="6">
        <f>+(BC502)/BC501</f>
        <v>25.252525252525253</v>
      </c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  <c r="FV506"/>
      <c r="FW506"/>
      <c r="FX506"/>
      <c r="FY506"/>
      <c r="FZ506"/>
      <c r="GA506"/>
      <c r="GB506"/>
      <c r="GC506"/>
      <c r="GD506"/>
      <c r="GE506"/>
      <c r="GF506"/>
      <c r="GG506"/>
      <c r="GH506"/>
      <c r="GI506"/>
      <c r="GJ506"/>
      <c r="GK506"/>
      <c r="GL506"/>
      <c r="GM506"/>
      <c r="GN506"/>
      <c r="GO506"/>
      <c r="GP506"/>
      <c r="GQ506"/>
      <c r="GR506"/>
      <c r="GS506"/>
      <c r="GT506"/>
      <c r="GU506"/>
      <c r="GV506"/>
      <c r="GW506"/>
      <c r="GX506"/>
      <c r="GY506"/>
      <c r="GZ506"/>
      <c r="HA506"/>
      <c r="HB506"/>
      <c r="HC506"/>
      <c r="HD506"/>
      <c r="HE506"/>
      <c r="HF506"/>
      <c r="HG506"/>
      <c r="HH506"/>
      <c r="HI506"/>
      <c r="HJ506"/>
      <c r="HK506"/>
      <c r="HL506"/>
      <c r="HM506"/>
      <c r="HN506"/>
      <c r="HO506"/>
      <c r="HP506"/>
      <c r="HQ506"/>
      <c r="HR506"/>
      <c r="HS506"/>
      <c r="HT506"/>
      <c r="HU506"/>
      <c r="HV506"/>
      <c r="HW506"/>
      <c r="HX506"/>
      <c r="HY506"/>
      <c r="HZ506"/>
      <c r="IA506"/>
      <c r="IB506"/>
      <c r="IC506"/>
      <c r="ID506"/>
      <c r="IE506"/>
      <c r="IF506"/>
      <c r="IG506"/>
      <c r="IH506"/>
      <c r="II506"/>
      <c r="IJ506"/>
      <c r="IK506"/>
      <c r="IL506"/>
      <c r="IM506"/>
      <c r="IN506"/>
      <c r="IO506"/>
      <c r="IP506"/>
      <c r="IQ506"/>
      <c r="IR506"/>
      <c r="IS506"/>
      <c r="IT506"/>
      <c r="IU506"/>
      <c r="IV506"/>
      <c r="IW506"/>
      <c r="IX506"/>
      <c r="IY506"/>
      <c r="IZ506"/>
      <c r="JA506"/>
      <c r="JB506"/>
      <c r="JC506"/>
      <c r="JD506"/>
      <c r="JE506"/>
      <c r="JF506"/>
      <c r="JG506"/>
      <c r="JH506"/>
      <c r="JI506"/>
      <c r="JJ506"/>
      <c r="JK506"/>
      <c r="JL506"/>
      <c r="JM506"/>
      <c r="JN506"/>
      <c r="JO506"/>
      <c r="JP506"/>
      <c r="JQ506"/>
      <c r="JR506"/>
      <c r="JS506"/>
      <c r="JT506"/>
    </row>
    <row r="507" spans="1:280" s="6" customFormat="1">
      <c r="A507" s="6" t="s">
        <v>676</v>
      </c>
      <c r="BC507" s="6">
        <f>+(BC504)/BC501</f>
        <v>31.565656565656568</v>
      </c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  <c r="FV507"/>
      <c r="FW507"/>
      <c r="FX507"/>
      <c r="FY507"/>
      <c r="FZ507"/>
      <c r="GA507"/>
      <c r="GB507"/>
      <c r="GC507"/>
      <c r="GD507"/>
      <c r="GE507"/>
      <c r="GF507"/>
      <c r="GG507"/>
      <c r="GH507"/>
      <c r="GI507"/>
      <c r="GJ507"/>
      <c r="GK507"/>
      <c r="GL507"/>
      <c r="GM507"/>
      <c r="GN507"/>
      <c r="GO507"/>
      <c r="GP507"/>
      <c r="GQ507"/>
      <c r="GR507"/>
      <c r="GS507"/>
      <c r="GT507"/>
      <c r="GU507"/>
      <c r="GV507"/>
      <c r="GW507"/>
      <c r="GX507"/>
      <c r="GY507"/>
      <c r="GZ507"/>
      <c r="HA507"/>
      <c r="HB507"/>
      <c r="HC507"/>
      <c r="HD507"/>
      <c r="HE507"/>
      <c r="HF507"/>
      <c r="HG507"/>
      <c r="HH507"/>
      <c r="HI507"/>
      <c r="HJ507"/>
      <c r="HK507"/>
      <c r="HL507"/>
      <c r="HM507"/>
      <c r="HN507"/>
      <c r="HO507"/>
      <c r="HP507"/>
      <c r="HQ507"/>
      <c r="HR507"/>
      <c r="HS507"/>
      <c r="HT507"/>
      <c r="HU507"/>
      <c r="HV507"/>
      <c r="HW507"/>
      <c r="HX507"/>
      <c r="HY507"/>
      <c r="HZ507"/>
      <c r="IA507"/>
      <c r="IB507"/>
      <c r="IC507"/>
      <c r="ID507"/>
      <c r="IE507"/>
      <c r="IF507"/>
      <c r="IG507"/>
      <c r="IH507"/>
      <c r="II507"/>
      <c r="IJ507"/>
      <c r="IK507"/>
      <c r="IL507"/>
      <c r="IM507"/>
      <c r="IN507"/>
      <c r="IO507"/>
      <c r="IP507"/>
      <c r="IQ507"/>
      <c r="IR507"/>
      <c r="IS507"/>
      <c r="IT507"/>
      <c r="IU507"/>
      <c r="IV507"/>
      <c r="IW507"/>
      <c r="IX507"/>
      <c r="IY507"/>
      <c r="IZ507"/>
      <c r="JA507"/>
      <c r="JB507"/>
      <c r="JC507"/>
      <c r="JD507"/>
      <c r="JE507"/>
      <c r="JF507"/>
      <c r="JG507"/>
      <c r="JH507"/>
      <c r="JI507"/>
      <c r="JJ507"/>
      <c r="JK507"/>
      <c r="JL507"/>
      <c r="JM507"/>
      <c r="JN507"/>
      <c r="JO507"/>
      <c r="JP507"/>
      <c r="JQ507"/>
      <c r="JR507"/>
      <c r="JS507"/>
      <c r="JT507"/>
    </row>
    <row r="508" spans="1:280" s="6" customFormat="1">
      <c r="A508" s="1336" t="s">
        <v>26</v>
      </c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  <c r="FV508"/>
      <c r="FW508"/>
      <c r="FX508"/>
      <c r="FY508"/>
      <c r="FZ508"/>
      <c r="GA508"/>
      <c r="GB508"/>
      <c r="GC508"/>
      <c r="GD508"/>
      <c r="GE508"/>
      <c r="GF508"/>
      <c r="GG508"/>
      <c r="GH508"/>
      <c r="GI508"/>
      <c r="GJ508"/>
      <c r="GK508"/>
      <c r="GL508"/>
      <c r="GM508"/>
      <c r="GN508"/>
      <c r="GO508"/>
      <c r="GP508"/>
      <c r="GQ508"/>
      <c r="GR508"/>
      <c r="GS508"/>
      <c r="GT508"/>
      <c r="GU508"/>
      <c r="GV508"/>
      <c r="GW508"/>
      <c r="GX508"/>
      <c r="GY508"/>
      <c r="GZ508"/>
      <c r="HA508"/>
      <c r="HB508"/>
      <c r="HC508"/>
      <c r="HD508"/>
      <c r="HE508"/>
      <c r="HF508"/>
      <c r="HG508"/>
      <c r="HH508"/>
      <c r="HI508"/>
      <c r="HJ508"/>
      <c r="HK508"/>
      <c r="HL508"/>
      <c r="HM508"/>
      <c r="HN508"/>
      <c r="HO508"/>
      <c r="HP508"/>
      <c r="HQ508"/>
      <c r="HR508"/>
      <c r="HS508"/>
      <c r="HT508"/>
      <c r="HU508"/>
      <c r="HV508"/>
      <c r="HW508"/>
      <c r="HX508"/>
      <c r="HY508"/>
      <c r="HZ508"/>
      <c r="IA508"/>
      <c r="IB508"/>
      <c r="IC508"/>
      <c r="ID508"/>
      <c r="IE508"/>
      <c r="IF508"/>
      <c r="IG508"/>
      <c r="IH508"/>
      <c r="II508"/>
      <c r="IJ508"/>
      <c r="IK508"/>
      <c r="IL508"/>
      <c r="IM508"/>
      <c r="IN508"/>
      <c r="IO508"/>
      <c r="IP508"/>
      <c r="IQ508"/>
      <c r="IR508"/>
      <c r="IS508"/>
      <c r="IT508"/>
      <c r="IU508"/>
      <c r="IV508"/>
      <c r="IW508"/>
      <c r="IX508"/>
      <c r="IY508"/>
      <c r="IZ508"/>
      <c r="JA508"/>
      <c r="JB508"/>
      <c r="JC508"/>
      <c r="JD508"/>
      <c r="JE508"/>
      <c r="JF508"/>
      <c r="JG508"/>
      <c r="JH508"/>
      <c r="JI508"/>
      <c r="JJ508"/>
      <c r="JK508"/>
      <c r="JL508"/>
      <c r="JM508"/>
      <c r="JN508"/>
      <c r="JO508"/>
      <c r="JP508"/>
      <c r="JQ508"/>
      <c r="JR508"/>
      <c r="JS508"/>
      <c r="JT508"/>
    </row>
    <row r="509" spans="1:280" s="6" customFormat="1">
      <c r="A509" s="6" t="s">
        <v>669</v>
      </c>
      <c r="BC509" s="2276">
        <v>29</v>
      </c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  <c r="FV509"/>
      <c r="FW509"/>
      <c r="FX509"/>
      <c r="FY509"/>
      <c r="FZ509"/>
      <c r="GA509"/>
      <c r="GB509"/>
      <c r="GC509"/>
      <c r="GD509"/>
      <c r="GE509"/>
      <c r="GF509"/>
      <c r="GG509"/>
      <c r="GH509"/>
      <c r="GI509"/>
      <c r="GJ509"/>
      <c r="GK509"/>
      <c r="GL509"/>
      <c r="GM509"/>
      <c r="GN509"/>
      <c r="GO509"/>
      <c r="GP509"/>
      <c r="GQ509"/>
      <c r="GR509"/>
      <c r="GS509"/>
      <c r="GT509"/>
      <c r="GU509"/>
      <c r="GV509"/>
      <c r="GW509"/>
      <c r="GX509"/>
      <c r="GY509"/>
      <c r="GZ509"/>
      <c r="HA509"/>
      <c r="HB509"/>
      <c r="HC509"/>
      <c r="HD509"/>
      <c r="HE509"/>
      <c r="HF509"/>
      <c r="HG509"/>
      <c r="HH509"/>
      <c r="HI509"/>
      <c r="HJ509"/>
      <c r="HK509"/>
      <c r="HL509"/>
      <c r="HM509"/>
      <c r="HN509"/>
      <c r="HO509"/>
      <c r="HP509"/>
      <c r="HQ509"/>
      <c r="HR509"/>
      <c r="HS509"/>
      <c r="HT509"/>
      <c r="HU509"/>
      <c r="HV509"/>
      <c r="HW509"/>
      <c r="HX509"/>
      <c r="HY509"/>
      <c r="HZ509"/>
      <c r="IA509"/>
      <c r="IB509"/>
      <c r="IC509"/>
      <c r="ID509"/>
      <c r="IE509"/>
      <c r="IF509"/>
      <c r="IG509"/>
      <c r="IH509"/>
      <c r="II509"/>
      <c r="IJ509"/>
      <c r="IK509"/>
      <c r="IL509"/>
      <c r="IM509"/>
      <c r="IN509"/>
      <c r="IO509"/>
      <c r="IP509"/>
      <c r="IQ509"/>
      <c r="IR509"/>
      <c r="IS509"/>
      <c r="IT509"/>
      <c r="IU509"/>
      <c r="IV509"/>
      <c r="IW509"/>
      <c r="IX509"/>
      <c r="IY509"/>
      <c r="IZ509"/>
      <c r="JA509"/>
      <c r="JB509"/>
      <c r="JC509"/>
      <c r="JD509"/>
      <c r="JE509"/>
      <c r="JF509"/>
      <c r="JG509"/>
      <c r="JH509"/>
      <c r="JI509"/>
      <c r="JJ509"/>
      <c r="JK509"/>
      <c r="JL509"/>
      <c r="JM509"/>
      <c r="JN509"/>
      <c r="JO509"/>
      <c r="JP509"/>
      <c r="JQ509"/>
      <c r="JR509"/>
      <c r="JS509"/>
      <c r="JT509"/>
    </row>
    <row r="510" spans="1:280" s="6" customFormat="1">
      <c r="A510" s="6" t="s">
        <v>670</v>
      </c>
      <c r="BC510" s="2276">
        <v>250</v>
      </c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  <c r="FV510"/>
      <c r="FW510"/>
      <c r="FX510"/>
      <c r="FY510"/>
      <c r="FZ510"/>
      <c r="GA510"/>
      <c r="GB510"/>
      <c r="GC510"/>
      <c r="GD510"/>
      <c r="GE510"/>
      <c r="GF510"/>
      <c r="GG510"/>
      <c r="GH510"/>
      <c r="GI510"/>
      <c r="GJ510"/>
      <c r="GK510"/>
      <c r="GL510"/>
      <c r="GM510"/>
      <c r="GN510"/>
      <c r="GO510"/>
      <c r="GP510"/>
      <c r="GQ510"/>
      <c r="GR510"/>
      <c r="GS510"/>
      <c r="GT510"/>
      <c r="GU510"/>
      <c r="GV510"/>
      <c r="GW510"/>
      <c r="GX510"/>
      <c r="GY510"/>
      <c r="GZ510"/>
      <c r="HA510"/>
      <c r="HB510"/>
      <c r="HC510"/>
      <c r="HD510"/>
      <c r="HE510"/>
      <c r="HF510"/>
      <c r="HG510"/>
      <c r="HH510"/>
      <c r="HI510"/>
      <c r="HJ510"/>
      <c r="HK510"/>
      <c r="HL510"/>
      <c r="HM510"/>
      <c r="HN510"/>
      <c r="HO510"/>
      <c r="HP510"/>
      <c r="HQ510"/>
      <c r="HR510"/>
      <c r="HS510"/>
      <c r="HT510"/>
      <c r="HU510"/>
      <c r="HV510"/>
      <c r="HW510"/>
      <c r="HX510"/>
      <c r="HY510"/>
      <c r="HZ510"/>
      <c r="IA510"/>
      <c r="IB510"/>
      <c r="IC510"/>
      <c r="ID510"/>
      <c r="IE510"/>
      <c r="IF510"/>
      <c r="IG510"/>
      <c r="IH510"/>
      <c r="II510"/>
      <c r="IJ510"/>
      <c r="IK510"/>
      <c r="IL510"/>
      <c r="IM510"/>
      <c r="IN510"/>
      <c r="IO510"/>
      <c r="IP510"/>
      <c r="IQ510"/>
      <c r="IR510"/>
      <c r="IS510"/>
      <c r="IT510"/>
      <c r="IU510"/>
      <c r="IV510"/>
      <c r="IW510"/>
      <c r="IX510"/>
      <c r="IY510"/>
      <c r="IZ510"/>
      <c r="JA510"/>
      <c r="JB510"/>
      <c r="JC510"/>
      <c r="JD510"/>
      <c r="JE510"/>
      <c r="JF510"/>
      <c r="JG510"/>
      <c r="JH510"/>
      <c r="JI510"/>
      <c r="JJ510"/>
      <c r="JK510"/>
      <c r="JL510"/>
      <c r="JM510"/>
      <c r="JN510"/>
      <c r="JO510"/>
      <c r="JP510"/>
      <c r="JQ510"/>
      <c r="JR510"/>
      <c r="JS510"/>
      <c r="JT510"/>
    </row>
    <row r="511" spans="1:280" s="6" customFormat="1">
      <c r="A511" s="6" t="s">
        <v>671</v>
      </c>
      <c r="BC511" s="2276">
        <v>300</v>
      </c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  <c r="FV511"/>
      <c r="FW511"/>
      <c r="FX511"/>
      <c r="FY511"/>
      <c r="FZ511"/>
      <c r="GA511"/>
      <c r="GB511"/>
      <c r="GC511"/>
      <c r="GD511"/>
      <c r="GE511"/>
      <c r="GF511"/>
      <c r="GG511"/>
      <c r="GH511"/>
      <c r="GI511"/>
      <c r="GJ511"/>
      <c r="GK511"/>
      <c r="GL511"/>
      <c r="GM511"/>
      <c r="GN511"/>
      <c r="GO511"/>
      <c r="GP511"/>
      <c r="GQ511"/>
      <c r="GR511"/>
      <c r="GS511"/>
      <c r="GT511"/>
      <c r="GU511"/>
      <c r="GV511"/>
      <c r="GW511"/>
      <c r="GX511"/>
      <c r="GY511"/>
      <c r="GZ511"/>
      <c r="HA511"/>
      <c r="HB511"/>
      <c r="HC511"/>
      <c r="HD511"/>
      <c r="HE511"/>
      <c r="HF511"/>
      <c r="HG511"/>
      <c r="HH511"/>
      <c r="HI511"/>
      <c r="HJ511"/>
      <c r="HK511"/>
      <c r="HL511"/>
      <c r="HM511"/>
      <c r="HN511"/>
      <c r="HO511"/>
      <c r="HP511"/>
      <c r="HQ511"/>
      <c r="HR511"/>
      <c r="HS511"/>
      <c r="HT511"/>
      <c r="HU511"/>
      <c r="HV511"/>
      <c r="HW511"/>
      <c r="HX511"/>
      <c r="HY511"/>
      <c r="HZ511"/>
      <c r="IA511"/>
      <c r="IB511"/>
      <c r="IC511"/>
      <c r="ID511"/>
      <c r="IE511"/>
      <c r="IF511"/>
      <c r="IG511"/>
      <c r="IH511"/>
      <c r="II511"/>
      <c r="IJ511"/>
      <c r="IK511"/>
      <c r="IL511"/>
      <c r="IM511"/>
      <c r="IN511"/>
      <c r="IO511"/>
      <c r="IP511"/>
      <c r="IQ511"/>
      <c r="IR511"/>
      <c r="IS511"/>
      <c r="IT511"/>
      <c r="IU511"/>
      <c r="IV511"/>
      <c r="IW511"/>
      <c r="IX511"/>
      <c r="IY511"/>
      <c r="IZ511"/>
      <c r="JA511"/>
      <c r="JB511"/>
      <c r="JC511"/>
      <c r="JD511"/>
      <c r="JE511"/>
      <c r="JF511"/>
      <c r="JG511"/>
      <c r="JH511"/>
      <c r="JI511"/>
      <c r="JJ511"/>
      <c r="JK511"/>
      <c r="JL511"/>
      <c r="JM511"/>
      <c r="JN511"/>
      <c r="JO511"/>
      <c r="JP511"/>
      <c r="JQ511"/>
      <c r="JR511"/>
      <c r="JS511"/>
      <c r="JT511"/>
    </row>
    <row r="512" spans="1:280" s="6" customFormat="1">
      <c r="A512" s="6" t="s">
        <v>674</v>
      </c>
      <c r="BC512" s="2276">
        <v>1000</v>
      </c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  <c r="FV512"/>
      <c r="FW512"/>
      <c r="FX512"/>
      <c r="FY512"/>
      <c r="FZ512"/>
      <c r="GA512"/>
      <c r="GB512"/>
      <c r="GC512"/>
      <c r="GD512"/>
      <c r="GE512"/>
      <c r="GF512"/>
      <c r="GG512"/>
      <c r="GH512"/>
      <c r="GI512"/>
      <c r="GJ512"/>
      <c r="GK512"/>
      <c r="GL512"/>
      <c r="GM512"/>
      <c r="GN512"/>
      <c r="GO512"/>
      <c r="GP512"/>
      <c r="GQ512"/>
      <c r="GR512"/>
      <c r="GS512"/>
      <c r="GT512"/>
      <c r="GU512"/>
      <c r="GV512"/>
      <c r="GW512"/>
      <c r="GX512"/>
      <c r="GY512"/>
      <c r="GZ512"/>
      <c r="HA512"/>
      <c r="HB512"/>
      <c r="HC512"/>
      <c r="HD512"/>
      <c r="HE512"/>
      <c r="HF512"/>
      <c r="HG512"/>
      <c r="HH512"/>
      <c r="HI512"/>
      <c r="HJ512"/>
      <c r="HK512"/>
      <c r="HL512"/>
      <c r="HM512"/>
      <c r="HN512"/>
      <c r="HO512"/>
      <c r="HP512"/>
      <c r="HQ512"/>
      <c r="HR512"/>
      <c r="HS512"/>
      <c r="HT512"/>
      <c r="HU512"/>
      <c r="HV512"/>
      <c r="HW512"/>
      <c r="HX512"/>
      <c r="HY512"/>
      <c r="HZ512"/>
      <c r="IA512"/>
      <c r="IB512"/>
      <c r="IC512"/>
      <c r="ID512"/>
      <c r="IE512"/>
      <c r="IF512"/>
      <c r="IG512"/>
      <c r="IH512"/>
      <c r="II512"/>
      <c r="IJ512"/>
      <c r="IK512"/>
      <c r="IL512"/>
      <c r="IM512"/>
      <c r="IN512"/>
      <c r="IO512"/>
      <c r="IP512"/>
      <c r="IQ512"/>
      <c r="IR512"/>
      <c r="IS512"/>
      <c r="IT512"/>
      <c r="IU512"/>
      <c r="IV512"/>
      <c r="IW512"/>
      <c r="IX512"/>
      <c r="IY512"/>
      <c r="IZ512"/>
      <c r="JA512"/>
      <c r="JB512"/>
      <c r="JC512"/>
      <c r="JD512"/>
      <c r="JE512"/>
      <c r="JF512"/>
      <c r="JG512"/>
      <c r="JH512"/>
      <c r="JI512"/>
      <c r="JJ512"/>
      <c r="JK512"/>
      <c r="JL512"/>
      <c r="JM512"/>
      <c r="JN512"/>
      <c r="JO512"/>
      <c r="JP512"/>
      <c r="JQ512"/>
      <c r="JR512"/>
      <c r="JS512"/>
      <c r="JT512"/>
    </row>
    <row r="513" spans="1:280" s="6" customFormat="1">
      <c r="A513" s="6" t="s">
        <v>672</v>
      </c>
      <c r="BC513" s="6">
        <f>+((BC510*1000)/BC509)</f>
        <v>8620.689655172413</v>
      </c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  <c r="FV513"/>
      <c r="FW513"/>
      <c r="FX513"/>
      <c r="FY513"/>
      <c r="FZ513"/>
      <c r="GA513"/>
      <c r="GB513"/>
      <c r="GC513"/>
      <c r="GD513"/>
      <c r="GE513"/>
      <c r="GF513"/>
      <c r="GG513"/>
      <c r="GH513"/>
      <c r="GI513"/>
      <c r="GJ513"/>
      <c r="GK513"/>
      <c r="GL513"/>
      <c r="GM513"/>
      <c r="GN513"/>
      <c r="GO513"/>
      <c r="GP513"/>
      <c r="GQ513"/>
      <c r="GR513"/>
      <c r="GS513"/>
      <c r="GT513"/>
      <c r="GU513"/>
      <c r="GV513"/>
      <c r="GW513"/>
      <c r="GX513"/>
      <c r="GY513"/>
      <c r="GZ513"/>
      <c r="HA513"/>
      <c r="HB513"/>
      <c r="HC513"/>
      <c r="HD513"/>
      <c r="HE513"/>
      <c r="HF513"/>
      <c r="HG513"/>
      <c r="HH513"/>
      <c r="HI513"/>
      <c r="HJ513"/>
      <c r="HK513"/>
      <c r="HL513"/>
      <c r="HM513"/>
      <c r="HN513"/>
      <c r="HO513"/>
      <c r="HP513"/>
      <c r="HQ513"/>
      <c r="HR513"/>
      <c r="HS513"/>
      <c r="HT513"/>
      <c r="HU513"/>
      <c r="HV513"/>
      <c r="HW513"/>
      <c r="HX513"/>
      <c r="HY513"/>
      <c r="HZ513"/>
      <c r="IA513"/>
      <c r="IB513"/>
      <c r="IC513"/>
      <c r="ID513"/>
      <c r="IE513"/>
      <c r="IF513"/>
      <c r="IG513"/>
      <c r="IH513"/>
      <c r="II513"/>
      <c r="IJ513"/>
      <c r="IK513"/>
      <c r="IL513"/>
      <c r="IM513"/>
      <c r="IN513"/>
      <c r="IO513"/>
      <c r="IP513"/>
      <c r="IQ513"/>
      <c r="IR513"/>
      <c r="IS513"/>
      <c r="IT513"/>
      <c r="IU513"/>
      <c r="IV513"/>
      <c r="IW513"/>
      <c r="IX513"/>
      <c r="IY513"/>
      <c r="IZ513"/>
      <c r="JA513"/>
      <c r="JB513"/>
      <c r="JC513"/>
      <c r="JD513"/>
      <c r="JE513"/>
      <c r="JF513"/>
      <c r="JG513"/>
      <c r="JH513"/>
      <c r="JI513"/>
      <c r="JJ513"/>
      <c r="JK513"/>
      <c r="JL513"/>
      <c r="JM513"/>
      <c r="JN513"/>
      <c r="JO513"/>
      <c r="JP513"/>
      <c r="JQ513"/>
      <c r="JR513"/>
      <c r="JS513"/>
      <c r="JT513"/>
    </row>
    <row r="514" spans="1:280" s="6" customFormat="1">
      <c r="A514" s="2270" t="s">
        <v>677</v>
      </c>
      <c r="BC514" s="1368">
        <f>+BC513/($AW$325*360)</f>
        <v>0.15124016938898971</v>
      </c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  <c r="FV514"/>
      <c r="FW514"/>
      <c r="FX514"/>
      <c r="FY514"/>
      <c r="FZ514"/>
      <c r="GA514"/>
      <c r="GB514"/>
      <c r="GC514"/>
      <c r="GD514"/>
      <c r="GE514"/>
      <c r="GF514"/>
      <c r="GG514"/>
      <c r="GH514"/>
      <c r="GI514"/>
      <c r="GJ514"/>
      <c r="GK514"/>
      <c r="GL514"/>
      <c r="GM514"/>
      <c r="GN514"/>
      <c r="GO514"/>
      <c r="GP514"/>
      <c r="GQ514"/>
      <c r="GR514"/>
      <c r="GS514"/>
      <c r="GT514"/>
      <c r="GU514"/>
      <c r="GV514"/>
      <c r="GW514"/>
      <c r="GX514"/>
      <c r="GY514"/>
      <c r="GZ514"/>
      <c r="HA514"/>
      <c r="HB514"/>
      <c r="HC514"/>
      <c r="HD514"/>
      <c r="HE514"/>
      <c r="HF514"/>
      <c r="HG514"/>
      <c r="HH514"/>
      <c r="HI514"/>
      <c r="HJ514"/>
      <c r="HK514"/>
      <c r="HL514"/>
      <c r="HM514"/>
      <c r="HN514"/>
      <c r="HO514"/>
      <c r="HP514"/>
      <c r="HQ514"/>
      <c r="HR514"/>
      <c r="HS514"/>
      <c r="HT514"/>
      <c r="HU514"/>
      <c r="HV514"/>
      <c r="HW514"/>
      <c r="HX514"/>
      <c r="HY514"/>
      <c r="HZ514"/>
      <c r="IA514"/>
      <c r="IB514"/>
      <c r="IC514"/>
      <c r="ID514"/>
      <c r="IE514"/>
      <c r="IF514"/>
      <c r="IG514"/>
      <c r="IH514"/>
      <c r="II514"/>
      <c r="IJ514"/>
      <c r="IK514"/>
      <c r="IL514"/>
      <c r="IM514"/>
      <c r="IN514"/>
      <c r="IO514"/>
      <c r="IP514"/>
      <c r="IQ514"/>
      <c r="IR514"/>
      <c r="IS514"/>
      <c r="IT514"/>
      <c r="IU514"/>
      <c r="IV514"/>
      <c r="IW514"/>
      <c r="IX514"/>
      <c r="IY514"/>
      <c r="IZ514"/>
      <c r="JA514"/>
      <c r="JB514"/>
      <c r="JC514"/>
      <c r="JD514"/>
      <c r="JE514"/>
      <c r="JF514"/>
      <c r="JG514"/>
      <c r="JH514"/>
      <c r="JI514"/>
      <c r="JJ514"/>
      <c r="JK514"/>
      <c r="JL514"/>
      <c r="JM514"/>
      <c r="JN514"/>
      <c r="JO514"/>
      <c r="JP514"/>
      <c r="JQ514"/>
      <c r="JR514"/>
      <c r="JS514"/>
      <c r="JT514"/>
    </row>
    <row r="515" spans="1:280" s="6" customFormat="1">
      <c r="A515" s="6" t="s">
        <v>673</v>
      </c>
      <c r="BC515" s="6">
        <f>+((BC511*1000)/BC509)</f>
        <v>10344.827586206897</v>
      </c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  <c r="FV515"/>
      <c r="FW515"/>
      <c r="FX515"/>
      <c r="FY515"/>
      <c r="FZ515"/>
      <c r="GA515"/>
      <c r="GB515"/>
      <c r="GC515"/>
      <c r="GD515"/>
      <c r="GE515"/>
      <c r="GF515"/>
      <c r="GG515"/>
      <c r="GH515"/>
      <c r="GI515"/>
      <c r="GJ515"/>
      <c r="GK515"/>
      <c r="GL515"/>
      <c r="GM515"/>
      <c r="GN515"/>
      <c r="GO515"/>
      <c r="GP515"/>
      <c r="GQ515"/>
      <c r="GR515"/>
      <c r="GS515"/>
      <c r="GT515"/>
      <c r="GU515"/>
      <c r="GV515"/>
      <c r="GW515"/>
      <c r="GX515"/>
      <c r="GY515"/>
      <c r="GZ515"/>
      <c r="HA515"/>
      <c r="HB515"/>
      <c r="HC515"/>
      <c r="HD515"/>
      <c r="HE515"/>
      <c r="HF515"/>
      <c r="HG515"/>
      <c r="HH515"/>
      <c r="HI515"/>
      <c r="HJ515"/>
      <c r="HK515"/>
      <c r="HL515"/>
      <c r="HM515"/>
      <c r="HN515"/>
      <c r="HO515"/>
      <c r="HP515"/>
      <c r="HQ515"/>
      <c r="HR515"/>
      <c r="HS515"/>
      <c r="HT515"/>
      <c r="HU515"/>
      <c r="HV515"/>
      <c r="HW515"/>
      <c r="HX515"/>
      <c r="HY515"/>
      <c r="HZ515"/>
      <c r="IA515"/>
      <c r="IB515"/>
      <c r="IC515"/>
      <c r="ID515"/>
      <c r="IE515"/>
      <c r="IF515"/>
      <c r="IG515"/>
      <c r="IH515"/>
      <c r="II515"/>
      <c r="IJ515"/>
      <c r="IK515"/>
      <c r="IL515"/>
      <c r="IM515"/>
      <c r="IN515"/>
      <c r="IO515"/>
      <c r="IP515"/>
      <c r="IQ515"/>
      <c r="IR515"/>
      <c r="IS515"/>
      <c r="IT515"/>
      <c r="IU515"/>
      <c r="IV515"/>
      <c r="IW515"/>
      <c r="IX515"/>
      <c r="IY515"/>
      <c r="IZ515"/>
      <c r="JA515"/>
      <c r="JB515"/>
      <c r="JC515"/>
      <c r="JD515"/>
      <c r="JE515"/>
      <c r="JF515"/>
      <c r="JG515"/>
      <c r="JH515"/>
      <c r="JI515"/>
      <c r="JJ515"/>
      <c r="JK515"/>
      <c r="JL515"/>
      <c r="JM515"/>
      <c r="JN515"/>
      <c r="JO515"/>
      <c r="JP515"/>
      <c r="JQ515"/>
      <c r="JR515"/>
      <c r="JS515"/>
      <c r="JT515"/>
    </row>
    <row r="516" spans="1:280" s="6" customFormat="1">
      <c r="A516" s="2270" t="s">
        <v>677</v>
      </c>
      <c r="BC516" s="1368">
        <f>+BC515/($AW$325*360)</f>
        <v>0.18148820326678766</v>
      </c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  <c r="FV516"/>
      <c r="FW516"/>
      <c r="FX516"/>
      <c r="FY516"/>
      <c r="FZ516"/>
      <c r="GA516"/>
      <c r="GB516"/>
      <c r="GC516"/>
      <c r="GD516"/>
      <c r="GE516"/>
      <c r="GF516"/>
      <c r="GG516"/>
      <c r="GH516"/>
      <c r="GI516"/>
      <c r="GJ516"/>
      <c r="GK516"/>
      <c r="GL516"/>
      <c r="GM516"/>
      <c r="GN516"/>
      <c r="GO516"/>
      <c r="GP516"/>
      <c r="GQ516"/>
      <c r="GR516"/>
      <c r="GS516"/>
      <c r="GT516"/>
      <c r="GU516"/>
      <c r="GV516"/>
      <c r="GW516"/>
      <c r="GX516"/>
      <c r="GY516"/>
      <c r="GZ516"/>
      <c r="HA516"/>
      <c r="HB516"/>
      <c r="HC516"/>
      <c r="HD516"/>
      <c r="HE516"/>
      <c r="HF516"/>
      <c r="HG516"/>
      <c r="HH516"/>
      <c r="HI516"/>
      <c r="HJ516"/>
      <c r="HK516"/>
      <c r="HL516"/>
      <c r="HM516"/>
      <c r="HN516"/>
      <c r="HO516"/>
      <c r="HP516"/>
      <c r="HQ516"/>
      <c r="HR516"/>
      <c r="HS516"/>
      <c r="HT516"/>
      <c r="HU516"/>
      <c r="HV516"/>
      <c r="HW516"/>
      <c r="HX516"/>
      <c r="HY516"/>
      <c r="HZ516"/>
      <c r="IA516"/>
      <c r="IB516"/>
      <c r="IC516"/>
      <c r="ID516"/>
      <c r="IE516"/>
      <c r="IF516"/>
      <c r="IG516"/>
      <c r="IH516"/>
      <c r="II516"/>
      <c r="IJ516"/>
      <c r="IK516"/>
      <c r="IL516"/>
      <c r="IM516"/>
      <c r="IN516"/>
      <c r="IO516"/>
      <c r="IP516"/>
      <c r="IQ516"/>
      <c r="IR516"/>
      <c r="IS516"/>
      <c r="IT516"/>
      <c r="IU516"/>
      <c r="IV516"/>
      <c r="IW516"/>
      <c r="IX516"/>
      <c r="IY516"/>
      <c r="IZ516"/>
      <c r="JA516"/>
      <c r="JB516"/>
      <c r="JC516"/>
      <c r="JD516"/>
      <c r="JE516"/>
      <c r="JF516"/>
      <c r="JG516"/>
      <c r="JH516"/>
      <c r="JI516"/>
      <c r="JJ516"/>
      <c r="JK516"/>
      <c r="JL516"/>
      <c r="JM516"/>
      <c r="JN516"/>
      <c r="JO516"/>
      <c r="JP516"/>
      <c r="JQ516"/>
      <c r="JR516"/>
      <c r="JS516"/>
      <c r="JT516"/>
    </row>
    <row r="517" spans="1:280" s="6" customFormat="1">
      <c r="A517" s="6" t="s">
        <v>675</v>
      </c>
      <c r="BC517" s="6">
        <f>+(BC513)/BC512</f>
        <v>8.6206896551724128</v>
      </c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  <c r="FV517"/>
      <c r="FW517"/>
      <c r="FX517"/>
      <c r="FY517"/>
      <c r="FZ517"/>
      <c r="GA517"/>
      <c r="GB517"/>
      <c r="GC517"/>
      <c r="GD517"/>
      <c r="GE517"/>
      <c r="GF517"/>
      <c r="GG517"/>
      <c r="GH517"/>
      <c r="GI517"/>
      <c r="GJ517"/>
      <c r="GK517"/>
      <c r="GL517"/>
      <c r="GM517"/>
      <c r="GN517"/>
      <c r="GO517"/>
      <c r="GP517"/>
      <c r="GQ517"/>
      <c r="GR517"/>
      <c r="GS517"/>
      <c r="GT517"/>
      <c r="GU517"/>
      <c r="GV517"/>
      <c r="GW517"/>
      <c r="GX517"/>
      <c r="GY517"/>
      <c r="GZ517"/>
      <c r="HA517"/>
      <c r="HB517"/>
      <c r="HC517"/>
      <c r="HD517"/>
      <c r="HE517"/>
      <c r="HF517"/>
      <c r="HG517"/>
      <c r="HH517"/>
      <c r="HI517"/>
      <c r="HJ517"/>
      <c r="HK517"/>
      <c r="HL517"/>
      <c r="HM517"/>
      <c r="HN517"/>
      <c r="HO517"/>
      <c r="HP517"/>
      <c r="HQ517"/>
      <c r="HR517"/>
      <c r="HS517"/>
      <c r="HT517"/>
      <c r="HU517"/>
      <c r="HV517"/>
      <c r="HW517"/>
      <c r="HX517"/>
      <c r="HY517"/>
      <c r="HZ517"/>
      <c r="IA517"/>
      <c r="IB517"/>
      <c r="IC517"/>
      <c r="ID517"/>
      <c r="IE517"/>
      <c r="IF517"/>
      <c r="IG517"/>
      <c r="IH517"/>
      <c r="II517"/>
      <c r="IJ517"/>
      <c r="IK517"/>
      <c r="IL517"/>
      <c r="IM517"/>
      <c r="IN517"/>
      <c r="IO517"/>
      <c r="IP517"/>
      <c r="IQ517"/>
      <c r="IR517"/>
      <c r="IS517"/>
      <c r="IT517"/>
      <c r="IU517"/>
      <c r="IV517"/>
      <c r="IW517"/>
      <c r="IX517"/>
      <c r="IY517"/>
      <c r="IZ517"/>
      <c r="JA517"/>
      <c r="JB517"/>
      <c r="JC517"/>
      <c r="JD517"/>
      <c r="JE517"/>
      <c r="JF517"/>
      <c r="JG517"/>
      <c r="JH517"/>
      <c r="JI517"/>
      <c r="JJ517"/>
      <c r="JK517"/>
      <c r="JL517"/>
      <c r="JM517"/>
      <c r="JN517"/>
      <c r="JO517"/>
      <c r="JP517"/>
      <c r="JQ517"/>
      <c r="JR517"/>
      <c r="JS517"/>
      <c r="JT517"/>
    </row>
    <row r="518" spans="1:280" s="6" customFormat="1">
      <c r="A518" s="6" t="s">
        <v>676</v>
      </c>
      <c r="BC518" s="6">
        <f>+(BC515)/BC512</f>
        <v>10.344827586206897</v>
      </c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  <c r="FV518"/>
      <c r="FW518"/>
      <c r="FX518"/>
      <c r="FY518"/>
      <c r="FZ518"/>
      <c r="GA518"/>
      <c r="GB518"/>
      <c r="GC518"/>
      <c r="GD518"/>
      <c r="GE518"/>
      <c r="GF518"/>
      <c r="GG518"/>
      <c r="GH518"/>
      <c r="GI518"/>
      <c r="GJ518"/>
      <c r="GK518"/>
      <c r="GL518"/>
      <c r="GM518"/>
      <c r="GN518"/>
      <c r="GO518"/>
      <c r="GP518"/>
      <c r="GQ518"/>
      <c r="GR518"/>
      <c r="GS518"/>
      <c r="GT518"/>
      <c r="GU518"/>
      <c r="GV518"/>
      <c r="GW518"/>
      <c r="GX518"/>
      <c r="GY518"/>
      <c r="GZ518"/>
      <c r="HA518"/>
      <c r="HB518"/>
      <c r="HC518"/>
      <c r="HD518"/>
      <c r="HE518"/>
      <c r="HF518"/>
      <c r="HG518"/>
      <c r="HH518"/>
      <c r="HI518"/>
      <c r="HJ518"/>
      <c r="HK518"/>
      <c r="HL518"/>
      <c r="HM518"/>
      <c r="HN518"/>
      <c r="HO518"/>
      <c r="HP518"/>
      <c r="HQ518"/>
      <c r="HR518"/>
      <c r="HS518"/>
      <c r="HT518"/>
      <c r="HU518"/>
      <c r="HV518"/>
      <c r="HW518"/>
      <c r="HX518"/>
      <c r="HY518"/>
      <c r="HZ518"/>
      <c r="IA518"/>
      <c r="IB518"/>
      <c r="IC518"/>
      <c r="ID518"/>
      <c r="IE518"/>
      <c r="IF518"/>
      <c r="IG518"/>
      <c r="IH518"/>
      <c r="II518"/>
      <c r="IJ518"/>
      <c r="IK518"/>
      <c r="IL518"/>
      <c r="IM518"/>
      <c r="IN518"/>
      <c r="IO518"/>
      <c r="IP518"/>
      <c r="IQ518"/>
      <c r="IR518"/>
      <c r="IS518"/>
      <c r="IT518"/>
      <c r="IU518"/>
      <c r="IV518"/>
      <c r="IW518"/>
      <c r="IX518"/>
      <c r="IY518"/>
      <c r="IZ518"/>
      <c r="JA518"/>
      <c r="JB518"/>
      <c r="JC518"/>
      <c r="JD518"/>
      <c r="JE518"/>
      <c r="JF518"/>
      <c r="JG518"/>
      <c r="JH518"/>
      <c r="JI518"/>
      <c r="JJ518"/>
      <c r="JK518"/>
      <c r="JL518"/>
      <c r="JM518"/>
      <c r="JN518"/>
      <c r="JO518"/>
      <c r="JP518"/>
      <c r="JQ518"/>
      <c r="JR518"/>
      <c r="JS518"/>
      <c r="JT518"/>
    </row>
    <row r="519" spans="1:280" s="6" customFormat="1">
      <c r="A519" s="1336" t="s">
        <v>518</v>
      </c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  <c r="FV519"/>
      <c r="FW519"/>
      <c r="FX519"/>
      <c r="FY519"/>
      <c r="FZ519"/>
      <c r="GA519"/>
      <c r="GB519"/>
      <c r="GC519"/>
      <c r="GD519"/>
      <c r="GE519"/>
      <c r="GF519"/>
      <c r="GG519"/>
      <c r="GH519"/>
      <c r="GI519"/>
      <c r="GJ519"/>
      <c r="GK519"/>
      <c r="GL519"/>
      <c r="GM519"/>
      <c r="GN519"/>
      <c r="GO519"/>
      <c r="GP519"/>
      <c r="GQ519"/>
      <c r="GR519"/>
      <c r="GS519"/>
      <c r="GT519"/>
      <c r="GU519"/>
      <c r="GV519"/>
      <c r="GW519"/>
      <c r="GX519"/>
      <c r="GY519"/>
      <c r="GZ519"/>
      <c r="HA519"/>
      <c r="HB519"/>
      <c r="HC519"/>
      <c r="HD519"/>
      <c r="HE519"/>
      <c r="HF519"/>
      <c r="HG519"/>
      <c r="HH519"/>
      <c r="HI519"/>
      <c r="HJ519"/>
      <c r="HK519"/>
      <c r="HL519"/>
      <c r="HM519"/>
      <c r="HN519"/>
      <c r="HO519"/>
      <c r="HP519"/>
      <c r="HQ519"/>
      <c r="HR519"/>
      <c r="HS519"/>
      <c r="HT519"/>
      <c r="HU519"/>
      <c r="HV519"/>
      <c r="HW519"/>
      <c r="HX519"/>
      <c r="HY519"/>
      <c r="HZ519"/>
      <c r="IA519"/>
      <c r="IB519"/>
      <c r="IC519"/>
      <c r="ID519"/>
      <c r="IE519"/>
      <c r="IF519"/>
      <c r="IG519"/>
      <c r="IH519"/>
      <c r="II519"/>
      <c r="IJ519"/>
      <c r="IK519"/>
      <c r="IL519"/>
      <c r="IM519"/>
      <c r="IN519"/>
      <c r="IO519"/>
      <c r="IP519"/>
      <c r="IQ519"/>
      <c r="IR519"/>
      <c r="IS519"/>
      <c r="IT519"/>
      <c r="IU519"/>
      <c r="IV519"/>
      <c r="IW519"/>
      <c r="IX519"/>
      <c r="IY519"/>
      <c r="IZ519"/>
      <c r="JA519"/>
      <c r="JB519"/>
      <c r="JC519"/>
      <c r="JD519"/>
      <c r="JE519"/>
      <c r="JF519"/>
      <c r="JG519"/>
      <c r="JH519"/>
      <c r="JI519"/>
      <c r="JJ519"/>
      <c r="JK519"/>
      <c r="JL519"/>
      <c r="JM519"/>
      <c r="JN519"/>
      <c r="JO519"/>
      <c r="JP519"/>
      <c r="JQ519"/>
      <c r="JR519"/>
      <c r="JS519"/>
      <c r="JT519"/>
    </row>
    <row r="520" spans="1:280" s="6" customFormat="1">
      <c r="A520" s="6" t="s">
        <v>669</v>
      </c>
      <c r="BC520" s="2276">
        <v>20</v>
      </c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  <c r="FV520"/>
      <c r="FW520"/>
      <c r="FX520"/>
      <c r="FY520"/>
      <c r="FZ520"/>
      <c r="GA520"/>
      <c r="GB520"/>
      <c r="GC520"/>
      <c r="GD520"/>
      <c r="GE520"/>
      <c r="GF520"/>
      <c r="GG520"/>
      <c r="GH520"/>
      <c r="GI520"/>
      <c r="GJ520"/>
      <c r="GK520"/>
      <c r="GL520"/>
      <c r="GM520"/>
      <c r="GN520"/>
      <c r="GO520"/>
      <c r="GP520"/>
      <c r="GQ520"/>
      <c r="GR520"/>
      <c r="GS520"/>
      <c r="GT520"/>
      <c r="GU520"/>
      <c r="GV520"/>
      <c r="GW520"/>
      <c r="GX520"/>
      <c r="GY520"/>
      <c r="GZ520"/>
      <c r="HA520"/>
      <c r="HB520"/>
      <c r="HC520"/>
      <c r="HD520"/>
      <c r="HE520"/>
      <c r="HF520"/>
      <c r="HG520"/>
      <c r="HH520"/>
      <c r="HI520"/>
      <c r="HJ520"/>
      <c r="HK520"/>
      <c r="HL520"/>
      <c r="HM520"/>
      <c r="HN520"/>
      <c r="HO520"/>
      <c r="HP520"/>
      <c r="HQ520"/>
      <c r="HR520"/>
      <c r="HS520"/>
      <c r="HT520"/>
      <c r="HU520"/>
      <c r="HV520"/>
      <c r="HW520"/>
      <c r="HX520"/>
      <c r="HY520"/>
      <c r="HZ520"/>
      <c r="IA520"/>
      <c r="IB520"/>
      <c r="IC520"/>
      <c r="ID520"/>
      <c r="IE520"/>
      <c r="IF520"/>
      <c r="IG520"/>
      <c r="IH520"/>
      <c r="II520"/>
      <c r="IJ520"/>
      <c r="IK520"/>
      <c r="IL520"/>
      <c r="IM520"/>
      <c r="IN520"/>
      <c r="IO520"/>
      <c r="IP520"/>
      <c r="IQ520"/>
      <c r="IR520"/>
      <c r="IS520"/>
      <c r="IT520"/>
      <c r="IU520"/>
      <c r="IV520"/>
      <c r="IW520"/>
      <c r="IX520"/>
      <c r="IY520"/>
      <c r="IZ520"/>
      <c r="JA520"/>
      <c r="JB520"/>
      <c r="JC520"/>
      <c r="JD520"/>
      <c r="JE520"/>
      <c r="JF520"/>
      <c r="JG520"/>
      <c r="JH520"/>
      <c r="JI520"/>
      <c r="JJ520"/>
      <c r="JK520"/>
      <c r="JL520"/>
      <c r="JM520"/>
      <c r="JN520"/>
      <c r="JO520"/>
      <c r="JP520"/>
      <c r="JQ520"/>
      <c r="JR520"/>
      <c r="JS520"/>
      <c r="JT520"/>
    </row>
    <row r="521" spans="1:280" s="6" customFormat="1">
      <c r="A521" s="6" t="s">
        <v>670</v>
      </c>
      <c r="BC521" s="2276">
        <v>350</v>
      </c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  <c r="FV521"/>
      <c r="FW521"/>
      <c r="FX521"/>
      <c r="FY521"/>
      <c r="FZ521"/>
      <c r="GA521"/>
      <c r="GB521"/>
      <c r="GC521"/>
      <c r="GD521"/>
      <c r="GE521"/>
      <c r="GF521"/>
      <c r="GG521"/>
      <c r="GH521"/>
      <c r="GI521"/>
      <c r="GJ521"/>
      <c r="GK521"/>
      <c r="GL521"/>
      <c r="GM521"/>
      <c r="GN521"/>
      <c r="GO521"/>
      <c r="GP521"/>
      <c r="GQ521"/>
      <c r="GR521"/>
      <c r="GS521"/>
      <c r="GT521"/>
      <c r="GU521"/>
      <c r="GV521"/>
      <c r="GW521"/>
      <c r="GX521"/>
      <c r="GY521"/>
      <c r="GZ521"/>
      <c r="HA521"/>
      <c r="HB521"/>
      <c r="HC521"/>
      <c r="HD521"/>
      <c r="HE521"/>
      <c r="HF521"/>
      <c r="HG521"/>
      <c r="HH521"/>
      <c r="HI521"/>
      <c r="HJ521"/>
      <c r="HK521"/>
      <c r="HL521"/>
      <c r="HM521"/>
      <c r="HN521"/>
      <c r="HO521"/>
      <c r="HP521"/>
      <c r="HQ521"/>
      <c r="HR521"/>
      <c r="HS521"/>
      <c r="HT521"/>
      <c r="HU521"/>
      <c r="HV521"/>
      <c r="HW521"/>
      <c r="HX521"/>
      <c r="HY521"/>
      <c r="HZ521"/>
      <c r="IA521"/>
      <c r="IB521"/>
      <c r="IC521"/>
      <c r="ID521"/>
      <c r="IE521"/>
      <c r="IF521"/>
      <c r="IG521"/>
      <c r="IH521"/>
      <c r="II521"/>
      <c r="IJ521"/>
      <c r="IK521"/>
      <c r="IL521"/>
      <c r="IM521"/>
      <c r="IN521"/>
      <c r="IO521"/>
      <c r="IP521"/>
      <c r="IQ521"/>
      <c r="IR521"/>
      <c r="IS521"/>
      <c r="IT521"/>
      <c r="IU521"/>
      <c r="IV521"/>
      <c r="IW521"/>
      <c r="IX521"/>
      <c r="IY521"/>
      <c r="IZ521"/>
      <c r="JA521"/>
      <c r="JB521"/>
      <c r="JC521"/>
      <c r="JD521"/>
      <c r="JE521"/>
      <c r="JF521"/>
      <c r="JG521"/>
      <c r="JH521"/>
      <c r="JI521"/>
      <c r="JJ521"/>
      <c r="JK521"/>
      <c r="JL521"/>
      <c r="JM521"/>
      <c r="JN521"/>
      <c r="JO521"/>
      <c r="JP521"/>
      <c r="JQ521"/>
      <c r="JR521"/>
      <c r="JS521"/>
      <c r="JT521"/>
    </row>
    <row r="522" spans="1:280" s="6" customFormat="1">
      <c r="A522" s="6" t="s">
        <v>671</v>
      </c>
      <c r="BC522" s="2276">
        <v>400</v>
      </c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  <c r="FV522"/>
      <c r="FW522"/>
      <c r="FX522"/>
      <c r="FY522"/>
      <c r="FZ522"/>
      <c r="GA522"/>
      <c r="GB522"/>
      <c r="GC522"/>
      <c r="GD522"/>
      <c r="GE522"/>
      <c r="GF522"/>
      <c r="GG522"/>
      <c r="GH522"/>
      <c r="GI522"/>
      <c r="GJ522"/>
      <c r="GK522"/>
      <c r="GL522"/>
      <c r="GM522"/>
      <c r="GN522"/>
      <c r="GO522"/>
      <c r="GP522"/>
      <c r="GQ522"/>
      <c r="GR522"/>
      <c r="GS522"/>
      <c r="GT522"/>
      <c r="GU522"/>
      <c r="GV522"/>
      <c r="GW522"/>
      <c r="GX522"/>
      <c r="GY522"/>
      <c r="GZ522"/>
      <c r="HA522"/>
      <c r="HB522"/>
      <c r="HC522"/>
      <c r="HD522"/>
      <c r="HE522"/>
      <c r="HF522"/>
      <c r="HG522"/>
      <c r="HH522"/>
      <c r="HI522"/>
      <c r="HJ522"/>
      <c r="HK522"/>
      <c r="HL522"/>
      <c r="HM522"/>
      <c r="HN522"/>
      <c r="HO522"/>
      <c r="HP522"/>
      <c r="HQ522"/>
      <c r="HR522"/>
      <c r="HS522"/>
      <c r="HT522"/>
      <c r="HU522"/>
      <c r="HV522"/>
      <c r="HW522"/>
      <c r="HX522"/>
      <c r="HY522"/>
      <c r="HZ522"/>
      <c r="IA522"/>
      <c r="IB522"/>
      <c r="IC522"/>
      <c r="ID522"/>
      <c r="IE522"/>
      <c r="IF522"/>
      <c r="IG522"/>
      <c r="IH522"/>
      <c r="II522"/>
      <c r="IJ522"/>
      <c r="IK522"/>
      <c r="IL522"/>
      <c r="IM522"/>
      <c r="IN522"/>
      <c r="IO522"/>
      <c r="IP522"/>
      <c r="IQ522"/>
      <c r="IR522"/>
      <c r="IS522"/>
      <c r="IT522"/>
      <c r="IU522"/>
      <c r="IV522"/>
      <c r="IW522"/>
      <c r="IX522"/>
      <c r="IY522"/>
      <c r="IZ522"/>
      <c r="JA522"/>
      <c r="JB522"/>
      <c r="JC522"/>
      <c r="JD522"/>
      <c r="JE522"/>
      <c r="JF522"/>
      <c r="JG522"/>
      <c r="JH522"/>
      <c r="JI522"/>
      <c r="JJ522"/>
      <c r="JK522"/>
      <c r="JL522"/>
      <c r="JM522"/>
      <c r="JN522"/>
      <c r="JO522"/>
      <c r="JP522"/>
      <c r="JQ522"/>
      <c r="JR522"/>
      <c r="JS522"/>
      <c r="JT522"/>
    </row>
    <row r="523" spans="1:280" s="6" customFormat="1">
      <c r="A523" s="6" t="s">
        <v>674</v>
      </c>
      <c r="BC523" s="2276">
        <v>1700</v>
      </c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  <c r="FV523"/>
      <c r="FW523"/>
      <c r="FX523"/>
      <c r="FY523"/>
      <c r="FZ523"/>
      <c r="GA523"/>
      <c r="GB523"/>
      <c r="GC523"/>
      <c r="GD523"/>
      <c r="GE523"/>
      <c r="GF523"/>
      <c r="GG523"/>
      <c r="GH523"/>
      <c r="GI523"/>
      <c r="GJ523"/>
      <c r="GK523"/>
      <c r="GL523"/>
      <c r="GM523"/>
      <c r="GN523"/>
      <c r="GO523"/>
      <c r="GP523"/>
      <c r="GQ523"/>
      <c r="GR523"/>
      <c r="GS523"/>
      <c r="GT523"/>
      <c r="GU523"/>
      <c r="GV523"/>
      <c r="GW523"/>
      <c r="GX523"/>
      <c r="GY523"/>
      <c r="GZ523"/>
      <c r="HA523"/>
      <c r="HB523"/>
      <c r="HC523"/>
      <c r="HD523"/>
      <c r="HE523"/>
      <c r="HF523"/>
      <c r="HG523"/>
      <c r="HH523"/>
      <c r="HI523"/>
      <c r="HJ523"/>
      <c r="HK523"/>
      <c r="HL523"/>
      <c r="HM523"/>
      <c r="HN523"/>
      <c r="HO523"/>
      <c r="HP523"/>
      <c r="HQ523"/>
      <c r="HR523"/>
      <c r="HS523"/>
      <c r="HT523"/>
      <c r="HU523"/>
      <c r="HV523"/>
      <c r="HW523"/>
      <c r="HX523"/>
      <c r="HY523"/>
      <c r="HZ523"/>
      <c r="IA523"/>
      <c r="IB523"/>
      <c r="IC523"/>
      <c r="ID523"/>
      <c r="IE523"/>
      <c r="IF523"/>
      <c r="IG523"/>
      <c r="IH523"/>
      <c r="II523"/>
      <c r="IJ523"/>
      <c r="IK523"/>
      <c r="IL523"/>
      <c r="IM523"/>
      <c r="IN523"/>
      <c r="IO523"/>
      <c r="IP523"/>
      <c r="IQ523"/>
      <c r="IR523"/>
      <c r="IS523"/>
      <c r="IT523"/>
      <c r="IU523"/>
      <c r="IV523"/>
      <c r="IW523"/>
      <c r="IX523"/>
      <c r="IY523"/>
      <c r="IZ523"/>
      <c r="JA523"/>
      <c r="JB523"/>
      <c r="JC523"/>
      <c r="JD523"/>
      <c r="JE523"/>
      <c r="JF523"/>
      <c r="JG523"/>
      <c r="JH523"/>
      <c r="JI523"/>
      <c r="JJ523"/>
      <c r="JK523"/>
      <c r="JL523"/>
      <c r="JM523"/>
      <c r="JN523"/>
      <c r="JO523"/>
      <c r="JP523"/>
      <c r="JQ523"/>
      <c r="JR523"/>
      <c r="JS523"/>
      <c r="JT523"/>
    </row>
    <row r="524" spans="1:280" s="6" customFormat="1">
      <c r="A524" s="6" t="s">
        <v>672</v>
      </c>
      <c r="BC524" s="6">
        <f>+((BC521*1000)/BC520)</f>
        <v>17500</v>
      </c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  <c r="FV524"/>
      <c r="FW524"/>
      <c r="FX524"/>
      <c r="FY524"/>
      <c r="FZ524"/>
      <c r="GA524"/>
      <c r="GB524"/>
      <c r="GC524"/>
      <c r="GD524"/>
      <c r="GE524"/>
      <c r="GF524"/>
      <c r="GG524"/>
      <c r="GH524"/>
      <c r="GI524"/>
      <c r="GJ524"/>
      <c r="GK524"/>
      <c r="GL524"/>
      <c r="GM524"/>
      <c r="GN524"/>
      <c r="GO524"/>
      <c r="GP524"/>
      <c r="GQ524"/>
      <c r="GR524"/>
      <c r="GS524"/>
      <c r="GT524"/>
      <c r="GU524"/>
      <c r="GV524"/>
      <c r="GW524"/>
      <c r="GX524"/>
      <c r="GY524"/>
      <c r="GZ524"/>
      <c r="HA524"/>
      <c r="HB524"/>
      <c r="HC524"/>
      <c r="HD524"/>
      <c r="HE524"/>
      <c r="HF524"/>
      <c r="HG524"/>
      <c r="HH524"/>
      <c r="HI524"/>
      <c r="HJ524"/>
      <c r="HK524"/>
      <c r="HL524"/>
      <c r="HM524"/>
      <c r="HN524"/>
      <c r="HO524"/>
      <c r="HP524"/>
      <c r="HQ524"/>
      <c r="HR524"/>
      <c r="HS524"/>
      <c r="HT524"/>
      <c r="HU524"/>
      <c r="HV524"/>
      <c r="HW524"/>
      <c r="HX524"/>
      <c r="HY524"/>
      <c r="HZ524"/>
      <c r="IA524"/>
      <c r="IB524"/>
      <c r="IC524"/>
      <c r="ID524"/>
      <c r="IE524"/>
      <c r="IF524"/>
      <c r="IG524"/>
      <c r="IH524"/>
      <c r="II524"/>
      <c r="IJ524"/>
      <c r="IK524"/>
      <c r="IL524"/>
      <c r="IM524"/>
      <c r="IN524"/>
      <c r="IO524"/>
      <c r="IP524"/>
      <c r="IQ524"/>
      <c r="IR524"/>
      <c r="IS524"/>
      <c r="IT524"/>
      <c r="IU524"/>
      <c r="IV524"/>
      <c r="IW524"/>
      <c r="IX524"/>
      <c r="IY524"/>
      <c r="IZ524"/>
      <c r="JA524"/>
      <c r="JB524"/>
      <c r="JC524"/>
      <c r="JD524"/>
      <c r="JE524"/>
      <c r="JF524"/>
      <c r="JG524"/>
      <c r="JH524"/>
      <c r="JI524"/>
      <c r="JJ524"/>
      <c r="JK524"/>
      <c r="JL524"/>
      <c r="JM524"/>
      <c r="JN524"/>
      <c r="JO524"/>
      <c r="JP524"/>
      <c r="JQ524"/>
      <c r="JR524"/>
      <c r="JS524"/>
      <c r="JT524"/>
    </row>
    <row r="525" spans="1:280" s="6" customFormat="1">
      <c r="A525" s="2270" t="s">
        <v>677</v>
      </c>
      <c r="BC525" s="1368">
        <f>+BC524/($AW$327*360)</f>
        <v>0.1138052768487551</v>
      </c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  <c r="FV525"/>
      <c r="FW525"/>
      <c r="FX525"/>
      <c r="FY525"/>
      <c r="FZ525"/>
      <c r="GA525"/>
      <c r="GB525"/>
      <c r="GC525"/>
      <c r="GD525"/>
      <c r="GE525"/>
      <c r="GF525"/>
      <c r="GG525"/>
      <c r="GH525"/>
      <c r="GI525"/>
      <c r="GJ525"/>
      <c r="GK525"/>
      <c r="GL525"/>
      <c r="GM525"/>
      <c r="GN525"/>
      <c r="GO525"/>
      <c r="GP525"/>
      <c r="GQ525"/>
      <c r="GR525"/>
      <c r="GS525"/>
      <c r="GT525"/>
      <c r="GU525"/>
      <c r="GV525"/>
      <c r="GW525"/>
      <c r="GX525"/>
      <c r="GY525"/>
      <c r="GZ525"/>
      <c r="HA525"/>
      <c r="HB525"/>
      <c r="HC525"/>
      <c r="HD525"/>
      <c r="HE525"/>
      <c r="HF525"/>
      <c r="HG525"/>
      <c r="HH525"/>
      <c r="HI525"/>
      <c r="HJ525"/>
      <c r="HK525"/>
      <c r="HL525"/>
      <c r="HM525"/>
      <c r="HN525"/>
      <c r="HO525"/>
      <c r="HP525"/>
      <c r="HQ525"/>
      <c r="HR525"/>
      <c r="HS525"/>
      <c r="HT525"/>
      <c r="HU525"/>
      <c r="HV525"/>
      <c r="HW525"/>
      <c r="HX525"/>
      <c r="HY525"/>
      <c r="HZ525"/>
      <c r="IA525"/>
      <c r="IB525"/>
      <c r="IC525"/>
      <c r="ID525"/>
      <c r="IE525"/>
      <c r="IF525"/>
      <c r="IG525"/>
      <c r="IH525"/>
      <c r="II525"/>
      <c r="IJ525"/>
      <c r="IK525"/>
      <c r="IL525"/>
      <c r="IM525"/>
      <c r="IN525"/>
      <c r="IO525"/>
      <c r="IP525"/>
      <c r="IQ525"/>
      <c r="IR525"/>
      <c r="IS525"/>
      <c r="IT525"/>
      <c r="IU525"/>
      <c r="IV525"/>
      <c r="IW525"/>
      <c r="IX525"/>
      <c r="IY525"/>
      <c r="IZ525"/>
      <c r="JA525"/>
      <c r="JB525"/>
      <c r="JC525"/>
      <c r="JD525"/>
      <c r="JE525"/>
      <c r="JF525"/>
      <c r="JG525"/>
      <c r="JH525"/>
      <c r="JI525"/>
      <c r="JJ525"/>
      <c r="JK525"/>
      <c r="JL525"/>
      <c r="JM525"/>
      <c r="JN525"/>
      <c r="JO525"/>
      <c r="JP525"/>
      <c r="JQ525"/>
      <c r="JR525"/>
      <c r="JS525"/>
      <c r="JT525"/>
    </row>
    <row r="526" spans="1:280" s="6" customFormat="1">
      <c r="A526" s="6" t="s">
        <v>673</v>
      </c>
      <c r="BC526" s="6">
        <f>+((BC522*1000)/BC520)</f>
        <v>20000</v>
      </c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  <c r="FV526"/>
      <c r="FW526"/>
      <c r="FX526"/>
      <c r="FY526"/>
      <c r="FZ526"/>
      <c r="GA526"/>
      <c r="GB526"/>
      <c r="GC526"/>
      <c r="GD526"/>
      <c r="GE526"/>
      <c r="GF526"/>
      <c r="GG526"/>
      <c r="GH526"/>
      <c r="GI526"/>
      <c r="GJ526"/>
      <c r="GK526"/>
      <c r="GL526"/>
      <c r="GM526"/>
      <c r="GN526"/>
      <c r="GO526"/>
      <c r="GP526"/>
      <c r="GQ526"/>
      <c r="GR526"/>
      <c r="GS526"/>
      <c r="GT526"/>
      <c r="GU526"/>
      <c r="GV526"/>
      <c r="GW526"/>
      <c r="GX526"/>
      <c r="GY526"/>
      <c r="GZ526"/>
      <c r="HA526"/>
      <c r="HB526"/>
      <c r="HC526"/>
      <c r="HD526"/>
      <c r="HE526"/>
      <c r="HF526"/>
      <c r="HG526"/>
      <c r="HH526"/>
      <c r="HI526"/>
      <c r="HJ526"/>
      <c r="HK526"/>
      <c r="HL526"/>
      <c r="HM526"/>
      <c r="HN526"/>
      <c r="HO526"/>
      <c r="HP526"/>
      <c r="HQ526"/>
      <c r="HR526"/>
      <c r="HS526"/>
      <c r="HT526"/>
      <c r="HU526"/>
      <c r="HV526"/>
      <c r="HW526"/>
      <c r="HX526"/>
      <c r="HY526"/>
      <c r="HZ526"/>
      <c r="IA526"/>
      <c r="IB526"/>
      <c r="IC526"/>
      <c r="ID526"/>
      <c r="IE526"/>
      <c r="IF526"/>
      <c r="IG526"/>
      <c r="IH526"/>
      <c r="II526"/>
      <c r="IJ526"/>
      <c r="IK526"/>
      <c r="IL526"/>
      <c r="IM526"/>
      <c r="IN526"/>
      <c r="IO526"/>
      <c r="IP526"/>
      <c r="IQ526"/>
      <c r="IR526"/>
      <c r="IS526"/>
      <c r="IT526"/>
      <c r="IU526"/>
      <c r="IV526"/>
      <c r="IW526"/>
      <c r="IX526"/>
      <c r="IY526"/>
      <c r="IZ526"/>
      <c r="JA526"/>
      <c r="JB526"/>
      <c r="JC526"/>
      <c r="JD526"/>
      <c r="JE526"/>
      <c r="JF526"/>
      <c r="JG526"/>
      <c r="JH526"/>
      <c r="JI526"/>
      <c r="JJ526"/>
      <c r="JK526"/>
      <c r="JL526"/>
      <c r="JM526"/>
      <c r="JN526"/>
      <c r="JO526"/>
      <c r="JP526"/>
      <c r="JQ526"/>
      <c r="JR526"/>
      <c r="JS526"/>
      <c r="JT526"/>
    </row>
    <row r="527" spans="1:280" s="6" customFormat="1">
      <c r="A527" s="2270" t="s">
        <v>677</v>
      </c>
      <c r="BC527" s="1368">
        <f>+BC526/($AW$327*360)</f>
        <v>0.1300631735414344</v>
      </c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  <c r="FV527"/>
      <c r="FW527"/>
      <c r="FX527"/>
      <c r="FY527"/>
      <c r="FZ527"/>
      <c r="GA527"/>
      <c r="GB527"/>
      <c r="GC527"/>
      <c r="GD527"/>
      <c r="GE527"/>
      <c r="GF527"/>
      <c r="GG527"/>
      <c r="GH527"/>
      <c r="GI527"/>
      <c r="GJ527"/>
      <c r="GK527"/>
      <c r="GL527"/>
      <c r="GM527"/>
      <c r="GN527"/>
      <c r="GO527"/>
      <c r="GP527"/>
      <c r="GQ527"/>
      <c r="GR527"/>
      <c r="GS527"/>
      <c r="GT527"/>
      <c r="GU527"/>
      <c r="GV527"/>
      <c r="GW527"/>
      <c r="GX527"/>
      <c r="GY527"/>
      <c r="GZ527"/>
      <c r="HA527"/>
      <c r="HB527"/>
      <c r="HC527"/>
      <c r="HD527"/>
      <c r="HE527"/>
      <c r="HF527"/>
      <c r="HG527"/>
      <c r="HH527"/>
      <c r="HI527"/>
      <c r="HJ527"/>
      <c r="HK527"/>
      <c r="HL527"/>
      <c r="HM527"/>
      <c r="HN527"/>
      <c r="HO527"/>
      <c r="HP527"/>
      <c r="HQ527"/>
      <c r="HR527"/>
      <c r="HS527"/>
      <c r="HT527"/>
      <c r="HU527"/>
      <c r="HV527"/>
      <c r="HW527"/>
      <c r="HX527"/>
      <c r="HY527"/>
      <c r="HZ527"/>
      <c r="IA527"/>
      <c r="IB527"/>
      <c r="IC527"/>
      <c r="ID527"/>
      <c r="IE527"/>
      <c r="IF527"/>
      <c r="IG527"/>
      <c r="IH527"/>
      <c r="II527"/>
      <c r="IJ527"/>
      <c r="IK527"/>
      <c r="IL527"/>
      <c r="IM527"/>
      <c r="IN527"/>
      <c r="IO527"/>
      <c r="IP527"/>
      <c r="IQ527"/>
      <c r="IR527"/>
      <c r="IS527"/>
      <c r="IT527"/>
      <c r="IU527"/>
      <c r="IV527"/>
      <c r="IW527"/>
      <c r="IX527"/>
      <c r="IY527"/>
      <c r="IZ527"/>
      <c r="JA527"/>
      <c r="JB527"/>
      <c r="JC527"/>
      <c r="JD527"/>
      <c r="JE527"/>
      <c r="JF527"/>
      <c r="JG527"/>
      <c r="JH527"/>
      <c r="JI527"/>
      <c r="JJ527"/>
      <c r="JK527"/>
      <c r="JL527"/>
      <c r="JM527"/>
      <c r="JN527"/>
      <c r="JO527"/>
      <c r="JP527"/>
      <c r="JQ527"/>
      <c r="JR527"/>
      <c r="JS527"/>
      <c r="JT527"/>
    </row>
    <row r="528" spans="1:280" s="6" customFormat="1">
      <c r="A528" s="6" t="s">
        <v>675</v>
      </c>
      <c r="BC528" s="6">
        <f>+(BC524)/BC523</f>
        <v>10.294117647058824</v>
      </c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  <c r="FV528"/>
      <c r="FW528"/>
      <c r="FX528"/>
      <c r="FY528"/>
      <c r="FZ528"/>
      <c r="GA528"/>
      <c r="GB528"/>
      <c r="GC528"/>
      <c r="GD528"/>
      <c r="GE528"/>
      <c r="GF528"/>
      <c r="GG528"/>
      <c r="GH528"/>
      <c r="GI528"/>
      <c r="GJ528"/>
      <c r="GK528"/>
      <c r="GL528"/>
      <c r="GM528"/>
      <c r="GN528"/>
      <c r="GO528"/>
      <c r="GP528"/>
      <c r="GQ528"/>
      <c r="GR528"/>
      <c r="GS528"/>
      <c r="GT528"/>
      <c r="GU528"/>
      <c r="GV528"/>
      <c r="GW528"/>
      <c r="GX528"/>
      <c r="GY528"/>
      <c r="GZ528"/>
      <c r="HA528"/>
      <c r="HB528"/>
      <c r="HC528"/>
      <c r="HD528"/>
      <c r="HE528"/>
      <c r="HF528"/>
      <c r="HG528"/>
      <c r="HH528"/>
      <c r="HI528"/>
      <c r="HJ528"/>
      <c r="HK528"/>
      <c r="HL528"/>
      <c r="HM528"/>
      <c r="HN528"/>
      <c r="HO528"/>
      <c r="HP528"/>
      <c r="HQ528"/>
      <c r="HR528"/>
      <c r="HS528"/>
      <c r="HT528"/>
      <c r="HU528"/>
      <c r="HV528"/>
      <c r="HW528"/>
      <c r="HX528"/>
      <c r="HY528"/>
      <c r="HZ528"/>
      <c r="IA528"/>
      <c r="IB528"/>
      <c r="IC528"/>
      <c r="ID528"/>
      <c r="IE528"/>
      <c r="IF528"/>
      <c r="IG528"/>
      <c r="IH528"/>
      <c r="II528"/>
      <c r="IJ528"/>
      <c r="IK528"/>
      <c r="IL528"/>
      <c r="IM528"/>
      <c r="IN528"/>
      <c r="IO528"/>
      <c r="IP528"/>
      <c r="IQ528"/>
      <c r="IR528"/>
      <c r="IS528"/>
      <c r="IT528"/>
      <c r="IU528"/>
      <c r="IV528"/>
      <c r="IW528"/>
      <c r="IX528"/>
      <c r="IY528"/>
      <c r="IZ528"/>
      <c r="JA528"/>
      <c r="JB528"/>
      <c r="JC528"/>
      <c r="JD528"/>
      <c r="JE528"/>
      <c r="JF528"/>
      <c r="JG528"/>
      <c r="JH528"/>
      <c r="JI528"/>
      <c r="JJ528"/>
      <c r="JK528"/>
      <c r="JL528"/>
      <c r="JM528"/>
      <c r="JN528"/>
      <c r="JO528"/>
      <c r="JP528"/>
      <c r="JQ528"/>
      <c r="JR528"/>
      <c r="JS528"/>
      <c r="JT528"/>
    </row>
    <row r="529" spans="1:280" s="6" customFormat="1">
      <c r="A529" s="6" t="s">
        <v>676</v>
      </c>
      <c r="BC529" s="6">
        <f>+(BC526)/BC523</f>
        <v>11.764705882352942</v>
      </c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  <c r="FV529"/>
      <c r="FW529"/>
      <c r="FX529"/>
      <c r="FY529"/>
      <c r="FZ529"/>
      <c r="GA529"/>
      <c r="GB529"/>
      <c r="GC529"/>
      <c r="GD529"/>
      <c r="GE529"/>
      <c r="GF529"/>
      <c r="GG529"/>
      <c r="GH529"/>
      <c r="GI529"/>
      <c r="GJ529"/>
      <c r="GK529"/>
      <c r="GL529"/>
      <c r="GM529"/>
      <c r="GN529"/>
      <c r="GO529"/>
      <c r="GP529"/>
      <c r="GQ529"/>
      <c r="GR529"/>
      <c r="GS529"/>
      <c r="GT529"/>
      <c r="GU529"/>
      <c r="GV529"/>
      <c r="GW529"/>
      <c r="GX529"/>
      <c r="GY529"/>
      <c r="GZ529"/>
      <c r="HA529"/>
      <c r="HB529"/>
      <c r="HC529"/>
      <c r="HD529"/>
      <c r="HE529"/>
      <c r="HF529"/>
      <c r="HG529"/>
      <c r="HH529"/>
      <c r="HI529"/>
      <c r="HJ529"/>
      <c r="HK529"/>
      <c r="HL529"/>
      <c r="HM529"/>
      <c r="HN529"/>
      <c r="HO529"/>
      <c r="HP529"/>
      <c r="HQ529"/>
      <c r="HR529"/>
      <c r="HS529"/>
      <c r="HT529"/>
      <c r="HU529"/>
      <c r="HV529"/>
      <c r="HW529"/>
      <c r="HX529"/>
      <c r="HY529"/>
      <c r="HZ529"/>
      <c r="IA529"/>
      <c r="IB529"/>
      <c r="IC529"/>
      <c r="ID529"/>
      <c r="IE529"/>
      <c r="IF529"/>
      <c r="IG529"/>
      <c r="IH529"/>
      <c r="II529"/>
      <c r="IJ529"/>
      <c r="IK529"/>
      <c r="IL529"/>
      <c r="IM529"/>
      <c r="IN529"/>
      <c r="IO529"/>
      <c r="IP529"/>
      <c r="IQ529"/>
      <c r="IR529"/>
      <c r="IS529"/>
      <c r="IT529"/>
      <c r="IU529"/>
      <c r="IV529"/>
      <c r="IW529"/>
      <c r="IX529"/>
      <c r="IY529"/>
      <c r="IZ529"/>
      <c r="JA529"/>
      <c r="JB529"/>
      <c r="JC529"/>
      <c r="JD529"/>
      <c r="JE529"/>
      <c r="JF529"/>
      <c r="JG529"/>
      <c r="JH529"/>
      <c r="JI529"/>
      <c r="JJ529"/>
      <c r="JK529"/>
      <c r="JL529"/>
      <c r="JM529"/>
      <c r="JN529"/>
      <c r="JO529"/>
      <c r="JP529"/>
      <c r="JQ529"/>
      <c r="JR529"/>
      <c r="JS529"/>
      <c r="JT529"/>
    </row>
    <row r="530" spans="1:280">
      <c r="A530" s="1336" t="s">
        <v>679</v>
      </c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</row>
    <row r="531" spans="1:280">
      <c r="A531" s="6" t="s">
        <v>669</v>
      </c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2276">
        <v>9</v>
      </c>
    </row>
    <row r="532" spans="1:280">
      <c r="A532" s="6" t="s">
        <v>670</v>
      </c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2276">
        <v>650</v>
      </c>
    </row>
    <row r="533" spans="1:280">
      <c r="A533" s="6" t="s">
        <v>671</v>
      </c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2276">
        <v>700</v>
      </c>
    </row>
    <row r="534" spans="1:280">
      <c r="A534" s="6" t="s">
        <v>674</v>
      </c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2276">
        <v>2000</v>
      </c>
    </row>
    <row r="535" spans="1:280">
      <c r="A535" s="6" t="s">
        <v>672</v>
      </c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>
        <f>+((BC532*1000)/BC531)</f>
        <v>72222.222222222219</v>
      </c>
    </row>
    <row r="536" spans="1:280">
      <c r="A536" s="2270" t="s">
        <v>677</v>
      </c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1368">
        <f>+BC535/($AW$329*360)</f>
        <v>0.34962928537925625</v>
      </c>
    </row>
    <row r="537" spans="1:280">
      <c r="A537" s="6" t="s">
        <v>673</v>
      </c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>
        <f>+((BC533*1000)/BC531)</f>
        <v>77777.777777777781</v>
      </c>
    </row>
    <row r="538" spans="1:280">
      <c r="A538" s="2270" t="s">
        <v>677</v>
      </c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1368">
        <f>+BC537/($AW$329*360)</f>
        <v>0.37652384579304526</v>
      </c>
    </row>
    <row r="539" spans="1:280">
      <c r="A539" s="6" t="s">
        <v>675</v>
      </c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>
        <f>+(BC535)/BC534</f>
        <v>36.111111111111107</v>
      </c>
    </row>
    <row r="540" spans="1:280">
      <c r="A540" s="6" t="s">
        <v>676</v>
      </c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>
        <f>+(BC537)/BC534</f>
        <v>38.888888888888893</v>
      </c>
    </row>
    <row r="541" spans="1:280">
      <c r="A541" s="1336" t="s">
        <v>757</v>
      </c>
    </row>
    <row r="542" spans="1:280">
      <c r="A542" s="6" t="s">
        <v>669</v>
      </c>
      <c r="BC542" s="2276">
        <v>1.1000000000000001</v>
      </c>
    </row>
    <row r="543" spans="1:280">
      <c r="A543" s="6" t="s">
        <v>670</v>
      </c>
      <c r="BC543" s="2276">
        <v>450</v>
      </c>
    </row>
    <row r="544" spans="1:280">
      <c r="A544" s="6" t="s">
        <v>671</v>
      </c>
      <c r="BC544" s="2276">
        <v>500</v>
      </c>
    </row>
    <row r="545" spans="1:55">
      <c r="A545" s="6" t="s">
        <v>674</v>
      </c>
      <c r="BC545" s="2276">
        <v>1500</v>
      </c>
    </row>
    <row r="546" spans="1:55">
      <c r="A546" s="6" t="s">
        <v>672</v>
      </c>
      <c r="BC546" s="2429">
        <f>+((BC543*1000)/BC542)</f>
        <v>409090.90909090906</v>
      </c>
    </row>
    <row r="547" spans="1:55">
      <c r="A547" s="2270" t="s">
        <v>677</v>
      </c>
      <c r="BC547" s="1368">
        <f>+BC546/($AW$329*360)</f>
        <v>1.980417630469913</v>
      </c>
    </row>
    <row r="548" spans="1:55">
      <c r="A548" s="6" t="s">
        <v>673</v>
      </c>
      <c r="BC548" s="2429">
        <f>+((BC544*1000)/BC542)</f>
        <v>454545.45454545453</v>
      </c>
    </row>
    <row r="549" spans="1:55">
      <c r="A549" s="2270" t="s">
        <v>677</v>
      </c>
      <c r="BC549" s="1368">
        <f>+BC548/($AW$329*360)</f>
        <v>2.2004640338554591</v>
      </c>
    </row>
    <row r="550" spans="1:55">
      <c r="A550" s="6" t="s">
        <v>675</v>
      </c>
      <c r="BC550" s="6">
        <f>+(BC546)/BC545</f>
        <v>272.72727272727269</v>
      </c>
    </row>
    <row r="551" spans="1:55">
      <c r="A551" s="6" t="s">
        <v>676</v>
      </c>
      <c r="BC551" s="6">
        <f>+(BC548)/BC545</f>
        <v>303.030303030303</v>
      </c>
    </row>
    <row r="552" spans="1:55">
      <c r="A552" s="1336" t="s">
        <v>758</v>
      </c>
    </row>
    <row r="553" spans="1:55">
      <c r="A553" s="6" t="s">
        <v>669</v>
      </c>
      <c r="BC553" s="2276">
        <v>7.5</v>
      </c>
    </row>
    <row r="554" spans="1:55">
      <c r="A554" s="6" t="s">
        <v>670</v>
      </c>
      <c r="BC554" s="2276">
        <v>450</v>
      </c>
    </row>
    <row r="555" spans="1:55">
      <c r="A555" s="6" t="s">
        <v>671</v>
      </c>
      <c r="BC555" s="2276">
        <v>500</v>
      </c>
    </row>
    <row r="556" spans="1:55">
      <c r="A556" s="6" t="s">
        <v>674</v>
      </c>
      <c r="BC556" s="2276">
        <v>5000</v>
      </c>
    </row>
    <row r="557" spans="1:55">
      <c r="A557" s="6" t="s">
        <v>672</v>
      </c>
      <c r="BC557" s="6">
        <f>+((BC554*1000)/BC553)</f>
        <v>60000</v>
      </c>
    </row>
    <row r="558" spans="1:55">
      <c r="A558" s="2270" t="s">
        <v>677</v>
      </c>
      <c r="BC558" s="1368">
        <f>+BC557/($AW$329*360)</f>
        <v>0.29046125246892063</v>
      </c>
    </row>
    <row r="559" spans="1:55">
      <c r="A559" s="6" t="s">
        <v>673</v>
      </c>
      <c r="BC559" s="6">
        <f>+((BC555*1000)/BC553)</f>
        <v>66666.666666666672</v>
      </c>
    </row>
    <row r="560" spans="1:55">
      <c r="A560" s="2270" t="s">
        <v>677</v>
      </c>
      <c r="BC560" s="1368">
        <f>+BC559/($AW$329*360)</f>
        <v>0.32273472496546735</v>
      </c>
    </row>
    <row r="561" spans="1:100">
      <c r="A561" s="6" t="s">
        <v>675</v>
      </c>
      <c r="BC561" s="6">
        <f>+(BC557)/BC556</f>
        <v>12</v>
      </c>
    </row>
    <row r="562" spans="1:100">
      <c r="A562" s="6" t="s">
        <v>676</v>
      </c>
      <c r="BC562" s="6">
        <f>+(BC559)/BC556</f>
        <v>13.333333333333334</v>
      </c>
    </row>
    <row r="568" spans="1:100">
      <c r="A568" s="2348" t="s">
        <v>832</v>
      </c>
    </row>
    <row r="570" spans="1:100">
      <c r="A570" s="1601" t="s">
        <v>841</v>
      </c>
      <c r="B570" s="2227"/>
      <c r="C570" s="2228"/>
      <c r="D570" s="2226"/>
      <c r="E570" s="2226"/>
      <c r="F570" s="2226"/>
      <c r="G570" s="2229"/>
      <c r="H570" s="2230"/>
      <c r="I570" s="2228"/>
      <c r="J570" s="2226"/>
      <c r="K570" s="2226"/>
      <c r="L570" s="2226"/>
      <c r="M570" s="2231"/>
      <c r="N570" s="2232"/>
      <c r="O570" s="2228"/>
      <c r="P570" s="2226"/>
      <c r="Q570" s="2226"/>
      <c r="R570" s="2226"/>
      <c r="S570" s="2231"/>
      <c r="T570" s="2232"/>
      <c r="U570" s="2233"/>
      <c r="V570" s="2234"/>
      <c r="W570" s="2234"/>
      <c r="X570" s="2234"/>
      <c r="Y570" s="2235"/>
      <c r="Z570" s="2236"/>
      <c r="AA570" s="2233"/>
      <c r="AB570" s="2234"/>
      <c r="AC570" s="2234"/>
      <c r="AD570" s="2234"/>
      <c r="AE570" s="2235"/>
      <c r="AF570" s="2236"/>
      <c r="AG570" s="2233"/>
      <c r="AI570" s="2234"/>
      <c r="AJ570" s="2234"/>
      <c r="AK570" s="2237"/>
      <c r="AL570" s="2238"/>
      <c r="AM570" s="2233"/>
      <c r="AN570" s="2234"/>
      <c r="AO570" s="2234"/>
      <c r="AP570" s="2234"/>
      <c r="AQ570" s="2237"/>
      <c r="AR570" s="2238"/>
      <c r="AS570" s="2233"/>
      <c r="AT570" s="2234"/>
      <c r="AU570" s="2234"/>
      <c r="AV570" s="2234"/>
      <c r="AW570" s="2237"/>
      <c r="AX570" s="2238"/>
      <c r="AY570" s="2233"/>
      <c r="BA570" s="2234"/>
      <c r="BB570" s="2234"/>
      <c r="BC570" s="2237"/>
      <c r="BD570" s="2238"/>
      <c r="BE570" s="2233"/>
      <c r="BF570" s="2234"/>
      <c r="BG570" s="2234"/>
      <c r="BH570" s="2234"/>
      <c r="BI570" s="2239"/>
      <c r="BJ570" s="1940"/>
      <c r="BK570" s="2240"/>
      <c r="BL570" s="2241"/>
      <c r="BM570" s="2241"/>
      <c r="BN570" s="2241"/>
      <c r="BO570" s="2239"/>
      <c r="BP570" s="1940"/>
      <c r="BQ570" s="2240"/>
      <c r="BR570" s="2241"/>
      <c r="BS570" s="2241"/>
      <c r="BT570" s="2241"/>
      <c r="BU570" s="2239"/>
      <c r="BV570" s="1940"/>
      <c r="BW570" s="2240"/>
      <c r="BX570" s="2241"/>
      <c r="BY570" s="2241"/>
      <c r="BZ570" s="2241"/>
      <c r="CA570" s="2239"/>
      <c r="CB570" s="1940"/>
      <c r="CC570" s="2240"/>
      <c r="CD570" s="2241"/>
      <c r="CE570" s="2241"/>
      <c r="CF570" s="2241"/>
      <c r="CG570" s="2239"/>
      <c r="CH570" s="1940"/>
      <c r="CI570" s="2240"/>
      <c r="CJ570" s="2241"/>
      <c r="CK570" s="2241"/>
      <c r="CL570" s="2241"/>
      <c r="CM570" s="2239"/>
      <c r="CN570" s="1940"/>
      <c r="CO570" s="2240"/>
      <c r="CP570" s="2241"/>
      <c r="CQ570" s="2241"/>
      <c r="CR570" s="2241"/>
      <c r="CS570" s="2239"/>
    </row>
    <row r="571" spans="1:100" ht="21" customHeight="1">
      <c r="A571" s="1930" t="s">
        <v>661</v>
      </c>
      <c r="C571" s="1850"/>
      <c r="G571" s="736"/>
      <c r="H571" s="63"/>
      <c r="I571" s="1425">
        <f t="shared" ref="I571:I580" si="1105">+J571</f>
        <v>157</v>
      </c>
      <c r="J571" s="6">
        <f t="shared" ref="J571:J580" si="1106">+K571</f>
        <v>157</v>
      </c>
      <c r="K571" s="6">
        <f t="shared" ref="K571:K580" si="1107">+L571</f>
        <v>157</v>
      </c>
      <c r="L571" s="6">
        <f t="shared" ref="L571:L580" si="1108">+M571</f>
        <v>157</v>
      </c>
      <c r="M571" s="1841">
        <f>+S571</f>
        <v>157</v>
      </c>
      <c r="N571" s="63"/>
      <c r="O571" s="1425">
        <f t="shared" ref="O571:O580" si="1109">+P571</f>
        <v>157</v>
      </c>
      <c r="P571" s="6">
        <f t="shared" ref="P571:P580" si="1110">+Q571</f>
        <v>157</v>
      </c>
      <c r="Q571" s="6">
        <f t="shared" ref="Q571:Q580" si="1111">+R571</f>
        <v>157</v>
      </c>
      <c r="R571" s="6">
        <f t="shared" ref="R571:R580" si="1112">+S571</f>
        <v>157</v>
      </c>
      <c r="S571" s="1841">
        <f>+Y571</f>
        <v>157</v>
      </c>
      <c r="T571" s="63"/>
      <c r="U571" s="1425">
        <f t="shared" ref="U571:U580" si="1113">+V571</f>
        <v>157</v>
      </c>
      <c r="V571" s="6">
        <f t="shared" ref="V571:V580" si="1114">+W571</f>
        <v>157</v>
      </c>
      <c r="W571" s="6">
        <f t="shared" ref="W571:W580" si="1115">+X571</f>
        <v>157</v>
      </c>
      <c r="X571" s="6">
        <f t="shared" ref="X571:X580" si="1116">+Y571</f>
        <v>157</v>
      </c>
      <c r="Y571" s="1841">
        <f>+AE571</f>
        <v>157</v>
      </c>
      <c r="Z571" s="63"/>
      <c r="AA571" s="1425">
        <f t="shared" ref="AA571:AA580" si="1117">+AB571</f>
        <v>157</v>
      </c>
      <c r="AB571" s="6">
        <f t="shared" ref="AB571:AB580" si="1118">+AC571</f>
        <v>157</v>
      </c>
      <c r="AC571" s="6">
        <f t="shared" ref="AC571:AC580" si="1119">+AD571</f>
        <v>157</v>
      </c>
      <c r="AD571" s="6">
        <f t="shared" ref="AD571:AD580" si="1120">+AE571</f>
        <v>157</v>
      </c>
      <c r="AE571" s="1841">
        <f>+AK571</f>
        <v>157</v>
      </c>
      <c r="AF571" s="63"/>
      <c r="AG571" s="1425">
        <f t="shared" ref="AG571:AG580" si="1121">+AH571</f>
        <v>157</v>
      </c>
      <c r="AH571" s="6">
        <f t="shared" ref="AH571:AH580" si="1122">+AI571</f>
        <v>157</v>
      </c>
      <c r="AI571" s="6">
        <f t="shared" ref="AI571:AI580" si="1123">+AJ571</f>
        <v>157</v>
      </c>
      <c r="AJ571" s="6">
        <f t="shared" ref="AJ571:AJ580" si="1124">+AK571</f>
        <v>157</v>
      </c>
      <c r="AK571" s="1841">
        <f>+AQ571</f>
        <v>157</v>
      </c>
      <c r="AL571" s="63"/>
      <c r="AM571" s="1425">
        <f t="shared" ref="AM571:AM580" si="1125">+AN571</f>
        <v>157</v>
      </c>
      <c r="AN571" s="6">
        <f t="shared" ref="AN571:AN580" si="1126">+AO571</f>
        <v>157</v>
      </c>
      <c r="AO571" s="6">
        <f t="shared" ref="AO571:AO580" si="1127">+AP571</f>
        <v>157</v>
      </c>
      <c r="AP571" s="6">
        <f t="shared" ref="AP571:AP580" si="1128">+AQ571</f>
        <v>157</v>
      </c>
      <c r="AQ571" s="1841">
        <f>+AW571</f>
        <v>157</v>
      </c>
      <c r="AR571" s="63"/>
      <c r="AS571" s="1425">
        <f t="shared" ref="AS571:AS580" si="1129">+AT571</f>
        <v>157</v>
      </c>
      <c r="AT571" s="6">
        <f t="shared" ref="AT571:AT580" si="1130">+AU571</f>
        <v>157</v>
      </c>
      <c r="AU571" s="6">
        <f t="shared" ref="AU571:AU580" si="1131">+AV571</f>
        <v>157</v>
      </c>
      <c r="AV571" s="6">
        <f t="shared" ref="AV571:AV580" si="1132">+AW571</f>
        <v>157</v>
      </c>
      <c r="AW571" s="2690">
        <v>157</v>
      </c>
      <c r="AX571" s="2696"/>
      <c r="AY571" s="2700">
        <f>+AW571</f>
        <v>157</v>
      </c>
      <c r="AZ571" s="2705">
        <f>+AY571</f>
        <v>157</v>
      </c>
      <c r="BA571" s="2705">
        <f>+AZ571</f>
        <v>157</v>
      </c>
      <c r="BB571" s="2705">
        <f>+BA571</f>
        <v>157</v>
      </c>
      <c r="BC571" s="2695">
        <f>+BB571</f>
        <v>157</v>
      </c>
      <c r="BD571" s="2706"/>
      <c r="BE571" s="2700">
        <f>+BC571</f>
        <v>157</v>
      </c>
      <c r="BF571" s="2705">
        <f>+BE571</f>
        <v>157</v>
      </c>
      <c r="BG571" s="2705">
        <f>+BF571</f>
        <v>157</v>
      </c>
      <c r="BH571" s="2705">
        <f>+BG571</f>
        <v>157</v>
      </c>
      <c r="BI571" s="2695">
        <f>+BH571</f>
        <v>157</v>
      </c>
      <c r="BJ571" s="2696"/>
      <c r="BK571" s="2700">
        <f>+BI571</f>
        <v>157</v>
      </c>
      <c r="BL571" s="2244">
        <f>+BK571</f>
        <v>157</v>
      </c>
      <c r="BM571" s="2244">
        <f>+BL571</f>
        <v>157</v>
      </c>
      <c r="BN571" s="2244">
        <f>+BM571</f>
        <v>157</v>
      </c>
      <c r="BO571" s="2245">
        <f>+BN571</f>
        <v>157</v>
      </c>
      <c r="BP571" s="63"/>
      <c r="BQ571" s="2243">
        <f>+BO571</f>
        <v>157</v>
      </c>
      <c r="BR571" s="2244">
        <f>+BQ571</f>
        <v>157</v>
      </c>
      <c r="BS571" s="2244">
        <f>+BR571</f>
        <v>157</v>
      </c>
      <c r="BT571" s="2244">
        <f>+BS571</f>
        <v>157</v>
      </c>
      <c r="BU571" s="2245">
        <f>+BT571</f>
        <v>157</v>
      </c>
      <c r="BV571" s="63"/>
      <c r="BW571" s="2243">
        <f>+BU571</f>
        <v>157</v>
      </c>
      <c r="BX571" s="2244">
        <f>+BW571</f>
        <v>157</v>
      </c>
      <c r="BY571" s="2244">
        <f>+BX571</f>
        <v>157</v>
      </c>
      <c r="BZ571" s="2244">
        <f>+BY571</f>
        <v>157</v>
      </c>
      <c r="CA571" s="2245">
        <f>+BZ571</f>
        <v>157</v>
      </c>
      <c r="CB571" s="63"/>
      <c r="CC571" s="2243">
        <f>+CA571</f>
        <v>157</v>
      </c>
      <c r="CD571" s="2244">
        <f>+CC571</f>
        <v>157</v>
      </c>
      <c r="CE571" s="2244">
        <f>+CD571</f>
        <v>157</v>
      </c>
      <c r="CF571" s="2244">
        <f>+CE571</f>
        <v>157</v>
      </c>
      <c r="CG571" s="2245">
        <f>+CF571</f>
        <v>157</v>
      </c>
      <c r="CH571" s="63"/>
      <c r="CI571" s="2243">
        <f>+CG571</f>
        <v>157</v>
      </c>
      <c r="CJ571" s="2244">
        <f>+CI571</f>
        <v>157</v>
      </c>
      <c r="CK571" s="2244">
        <f>+CJ571</f>
        <v>157</v>
      </c>
      <c r="CL571" s="2244">
        <f>+CK571</f>
        <v>157</v>
      </c>
      <c r="CM571" s="2245">
        <f>+CL571</f>
        <v>157</v>
      </c>
      <c r="CN571" s="63"/>
      <c r="CO571" s="2243">
        <f>+CM571</f>
        <v>157</v>
      </c>
      <c r="CP571" s="2244">
        <f>+CO571</f>
        <v>157</v>
      </c>
      <c r="CQ571" s="2244">
        <f>+CP571</f>
        <v>157</v>
      </c>
      <c r="CR571" s="2244">
        <f>+CQ571</f>
        <v>157</v>
      </c>
      <c r="CS571" s="2245">
        <f>+CR571</f>
        <v>157</v>
      </c>
      <c r="CU571" s="2813" t="s">
        <v>550</v>
      </c>
      <c r="CV571" s="2813" t="s">
        <v>840</v>
      </c>
    </row>
    <row r="572" spans="1:100">
      <c r="A572" s="1930" t="s">
        <v>615</v>
      </c>
      <c r="C572" s="1850"/>
      <c r="G572" s="736"/>
      <c r="H572" s="63"/>
      <c r="I572" s="1425">
        <f t="shared" si="1105"/>
        <v>200</v>
      </c>
      <c r="J572" s="6">
        <f t="shared" si="1106"/>
        <v>200</v>
      </c>
      <c r="K572" s="6">
        <f t="shared" si="1107"/>
        <v>200</v>
      </c>
      <c r="L572" s="6">
        <f t="shared" si="1108"/>
        <v>200</v>
      </c>
      <c r="M572" s="1841">
        <f t="shared" ref="M572:M580" si="1133">+S572</f>
        <v>200</v>
      </c>
      <c r="N572" s="63"/>
      <c r="O572" s="1425">
        <f t="shared" si="1109"/>
        <v>200</v>
      </c>
      <c r="P572" s="6">
        <f t="shared" si="1110"/>
        <v>200</v>
      </c>
      <c r="Q572" s="6">
        <f t="shared" si="1111"/>
        <v>200</v>
      </c>
      <c r="R572" s="6">
        <f t="shared" si="1112"/>
        <v>200</v>
      </c>
      <c r="S572" s="1841">
        <f t="shared" ref="S572:S580" si="1134">+Y572</f>
        <v>200</v>
      </c>
      <c r="T572" s="63"/>
      <c r="U572" s="1425">
        <f t="shared" si="1113"/>
        <v>200</v>
      </c>
      <c r="V572" s="6">
        <f t="shared" si="1114"/>
        <v>200</v>
      </c>
      <c r="W572" s="6">
        <f t="shared" si="1115"/>
        <v>200</v>
      </c>
      <c r="X572" s="6">
        <f t="shared" si="1116"/>
        <v>200</v>
      </c>
      <c r="Y572" s="1841">
        <f t="shared" ref="Y572:Y580" si="1135">+AE572</f>
        <v>200</v>
      </c>
      <c r="Z572" s="63"/>
      <c r="AA572" s="1425">
        <f t="shared" si="1117"/>
        <v>200</v>
      </c>
      <c r="AB572" s="6">
        <f t="shared" si="1118"/>
        <v>200</v>
      </c>
      <c r="AC572" s="6">
        <f t="shared" si="1119"/>
        <v>200</v>
      </c>
      <c r="AD572" s="6">
        <f t="shared" si="1120"/>
        <v>200</v>
      </c>
      <c r="AE572" s="1841">
        <f t="shared" ref="AE572:AE580" si="1136">+AK572</f>
        <v>200</v>
      </c>
      <c r="AF572" s="63"/>
      <c r="AG572" s="1425">
        <f t="shared" si="1121"/>
        <v>200</v>
      </c>
      <c r="AH572" s="6">
        <f t="shared" si="1122"/>
        <v>200</v>
      </c>
      <c r="AI572" s="6">
        <f t="shared" si="1123"/>
        <v>200</v>
      </c>
      <c r="AJ572" s="6">
        <f t="shared" si="1124"/>
        <v>200</v>
      </c>
      <c r="AK572" s="1841">
        <f t="shared" ref="AK572:AK580" si="1137">+AQ572</f>
        <v>200</v>
      </c>
      <c r="AL572" s="63"/>
      <c r="AM572" s="1425">
        <f t="shared" si="1125"/>
        <v>200</v>
      </c>
      <c r="AN572" s="6">
        <f t="shared" si="1126"/>
        <v>200</v>
      </c>
      <c r="AO572" s="6">
        <f t="shared" si="1127"/>
        <v>200</v>
      </c>
      <c r="AP572" s="6">
        <f t="shared" si="1128"/>
        <v>200</v>
      </c>
      <c r="AQ572" s="1841">
        <f t="shared" ref="AQ572:AQ579" si="1138">+AW572</f>
        <v>200</v>
      </c>
      <c r="AR572" s="63"/>
      <c r="AS572" s="1425">
        <f t="shared" si="1129"/>
        <v>200</v>
      </c>
      <c r="AT572" s="6">
        <f t="shared" si="1130"/>
        <v>200</v>
      </c>
      <c r="AU572" s="6">
        <f t="shared" si="1131"/>
        <v>200</v>
      </c>
      <c r="AV572" s="6">
        <f t="shared" si="1132"/>
        <v>200</v>
      </c>
      <c r="AW572" s="2690">
        <v>200</v>
      </c>
      <c r="AX572" s="2696"/>
      <c r="AY572" s="2700">
        <f>+AW572</f>
        <v>200</v>
      </c>
      <c r="AZ572" s="2705">
        <f t="shared" ref="AZ572:AZ580" si="1139">+AY572</f>
        <v>200</v>
      </c>
      <c r="BA572" s="2705">
        <f t="shared" ref="BA572:BA580" si="1140">+AZ572</f>
        <v>200</v>
      </c>
      <c r="BB572" s="2705">
        <f t="shared" ref="BB572:BB580" si="1141">+BA572</f>
        <v>200</v>
      </c>
      <c r="BC572" s="2695">
        <f t="shared" ref="BC572:BC580" si="1142">+BB572</f>
        <v>200</v>
      </c>
      <c r="BD572" s="2706"/>
      <c r="BE572" s="2700">
        <f>+BC572</f>
        <v>200</v>
      </c>
      <c r="BF572" s="2705">
        <f t="shared" ref="BF572:BF580" si="1143">+BE572</f>
        <v>200</v>
      </c>
      <c r="BG572" s="2705">
        <f t="shared" ref="BG572:BG580" si="1144">+BF572</f>
        <v>200</v>
      </c>
      <c r="BH572" s="2705">
        <f t="shared" ref="BH572:BH580" si="1145">+BG572</f>
        <v>200</v>
      </c>
      <c r="BI572" s="2695">
        <f t="shared" ref="BI572:BI580" si="1146">+BH572</f>
        <v>200</v>
      </c>
      <c r="BJ572" s="2696"/>
      <c r="BK572" s="2700">
        <f>+BI572</f>
        <v>200</v>
      </c>
      <c r="BL572" s="2244">
        <f t="shared" ref="BL572:BL580" si="1147">+BK572</f>
        <v>200</v>
      </c>
      <c r="BM572" s="2244">
        <f t="shared" ref="BM572:BM580" si="1148">+BL572</f>
        <v>200</v>
      </c>
      <c r="BN572" s="2244">
        <f t="shared" ref="BN572:BN581" si="1149">+BM572</f>
        <v>200</v>
      </c>
      <c r="BO572" s="2245">
        <f t="shared" ref="BO572:BO582" si="1150">+BN572</f>
        <v>200</v>
      </c>
      <c r="BP572" s="63"/>
      <c r="BQ572" s="2243">
        <f>+BO572</f>
        <v>200</v>
      </c>
      <c r="BR572" s="2244">
        <f t="shared" ref="BR572:BR573" si="1151">+BQ572</f>
        <v>200</v>
      </c>
      <c r="BS572" s="2244">
        <f t="shared" ref="BS572:BS573" si="1152">+BR572</f>
        <v>200</v>
      </c>
      <c r="BT572" s="2244">
        <f t="shared" ref="BT572:BT573" si="1153">+BS572</f>
        <v>200</v>
      </c>
      <c r="BU572" s="2245">
        <f t="shared" ref="BU572:BU582" si="1154">+BT572</f>
        <v>200</v>
      </c>
      <c r="BV572" s="63"/>
      <c r="BW572" s="2243">
        <f>+BU572</f>
        <v>200</v>
      </c>
      <c r="BX572" s="2244">
        <f t="shared" ref="BX572:BX573" si="1155">+BW572</f>
        <v>200</v>
      </c>
      <c r="BY572" s="2244">
        <f t="shared" ref="BY572:BY573" si="1156">+BX572</f>
        <v>200</v>
      </c>
      <c r="BZ572" s="2244">
        <f t="shared" ref="BZ572:BZ573" si="1157">+BY572</f>
        <v>200</v>
      </c>
      <c r="CA572" s="2245">
        <f t="shared" ref="CA572:CA582" si="1158">+BZ572</f>
        <v>200</v>
      </c>
      <c r="CB572" s="63"/>
      <c r="CC572" s="2243">
        <f>+CA572</f>
        <v>200</v>
      </c>
      <c r="CD572" s="2244">
        <f t="shared" ref="CD572:CD573" si="1159">+CC572</f>
        <v>200</v>
      </c>
      <c r="CE572" s="2244">
        <f t="shared" ref="CE572:CE573" si="1160">+CD572</f>
        <v>200</v>
      </c>
      <c r="CF572" s="2244">
        <f t="shared" ref="CF572:CF573" si="1161">+CE572</f>
        <v>200</v>
      </c>
      <c r="CG572" s="2245">
        <f t="shared" ref="CG572:CG582" si="1162">+CF572</f>
        <v>200</v>
      </c>
      <c r="CH572" s="63"/>
      <c r="CI572" s="2243">
        <f>+CG572</f>
        <v>200</v>
      </c>
      <c r="CJ572" s="2244">
        <f t="shared" ref="CJ572:CJ573" si="1163">+CI572</f>
        <v>200</v>
      </c>
      <c r="CK572" s="2244">
        <f t="shared" ref="CK572:CK573" si="1164">+CJ572</f>
        <v>200</v>
      </c>
      <c r="CL572" s="2244">
        <f t="shared" ref="CL572:CL573" si="1165">+CK572</f>
        <v>200</v>
      </c>
      <c r="CM572" s="2245">
        <f t="shared" ref="CM572:CM582" si="1166">+CL572</f>
        <v>200</v>
      </c>
      <c r="CN572" s="63"/>
      <c r="CO572" s="2243">
        <f>+CM572</f>
        <v>200</v>
      </c>
      <c r="CP572" s="2244">
        <f t="shared" ref="CP572:CP573" si="1167">+CO572</f>
        <v>200</v>
      </c>
      <c r="CQ572" s="2244">
        <f t="shared" ref="CQ572:CQ573" si="1168">+CP572</f>
        <v>200</v>
      </c>
      <c r="CR572" s="2244">
        <f t="shared" ref="CR572:CR573" si="1169">+CQ572</f>
        <v>200</v>
      </c>
      <c r="CS572" s="2245">
        <f t="shared" ref="CS572:CS582" si="1170">+CR572</f>
        <v>200</v>
      </c>
      <c r="CU572" s="2810" t="s">
        <v>839</v>
      </c>
      <c r="CV572" s="2809">
        <v>28.496842105263156</v>
      </c>
    </row>
    <row r="573" spans="1:100">
      <c r="A573" s="1930" t="s">
        <v>230</v>
      </c>
      <c r="C573" s="1850"/>
      <c r="G573" s="736"/>
      <c r="H573" s="63"/>
      <c r="I573" s="1425">
        <f t="shared" si="1105"/>
        <v>84</v>
      </c>
      <c r="J573" s="6">
        <f t="shared" si="1106"/>
        <v>84</v>
      </c>
      <c r="K573" s="6">
        <f t="shared" si="1107"/>
        <v>84</v>
      </c>
      <c r="L573" s="6">
        <f t="shared" si="1108"/>
        <v>84</v>
      </c>
      <c r="M573" s="1841">
        <f t="shared" si="1133"/>
        <v>84</v>
      </c>
      <c r="N573" s="63"/>
      <c r="O573" s="1425">
        <f t="shared" si="1109"/>
        <v>84</v>
      </c>
      <c r="P573" s="6">
        <f t="shared" si="1110"/>
        <v>84</v>
      </c>
      <c r="Q573" s="6">
        <f t="shared" si="1111"/>
        <v>84</v>
      </c>
      <c r="R573" s="6">
        <f t="shared" si="1112"/>
        <v>84</v>
      </c>
      <c r="S573" s="1841">
        <f t="shared" si="1134"/>
        <v>84</v>
      </c>
      <c r="T573" s="63"/>
      <c r="U573" s="1425">
        <f t="shared" si="1113"/>
        <v>84</v>
      </c>
      <c r="V573" s="6">
        <f t="shared" si="1114"/>
        <v>84</v>
      </c>
      <c r="W573" s="6">
        <f t="shared" si="1115"/>
        <v>84</v>
      </c>
      <c r="X573" s="6">
        <f t="shared" si="1116"/>
        <v>84</v>
      </c>
      <c r="Y573" s="1841">
        <f t="shared" si="1135"/>
        <v>84</v>
      </c>
      <c r="Z573" s="63"/>
      <c r="AA573" s="1425">
        <f t="shared" si="1117"/>
        <v>84</v>
      </c>
      <c r="AB573" s="6">
        <f t="shared" si="1118"/>
        <v>84</v>
      </c>
      <c r="AC573" s="6">
        <f t="shared" si="1119"/>
        <v>84</v>
      </c>
      <c r="AD573" s="6">
        <f t="shared" si="1120"/>
        <v>84</v>
      </c>
      <c r="AE573" s="1841">
        <f t="shared" si="1136"/>
        <v>84</v>
      </c>
      <c r="AF573" s="63"/>
      <c r="AG573" s="1425">
        <f t="shared" si="1121"/>
        <v>84</v>
      </c>
      <c r="AH573" s="6">
        <f t="shared" si="1122"/>
        <v>84</v>
      </c>
      <c r="AI573" s="6">
        <f t="shared" si="1123"/>
        <v>84</v>
      </c>
      <c r="AJ573" s="6">
        <f t="shared" si="1124"/>
        <v>84</v>
      </c>
      <c r="AK573" s="1841">
        <f t="shared" si="1137"/>
        <v>84</v>
      </c>
      <c r="AL573" s="63"/>
      <c r="AM573" s="1425">
        <f t="shared" si="1125"/>
        <v>84</v>
      </c>
      <c r="AN573" s="6">
        <f t="shared" si="1126"/>
        <v>84</v>
      </c>
      <c r="AO573" s="6">
        <f t="shared" si="1127"/>
        <v>84</v>
      </c>
      <c r="AP573" s="6">
        <f t="shared" si="1128"/>
        <v>84</v>
      </c>
      <c r="AQ573" s="1841">
        <f t="shared" si="1138"/>
        <v>84</v>
      </c>
      <c r="AR573" s="63"/>
      <c r="AS573" s="1425">
        <f t="shared" si="1129"/>
        <v>84</v>
      </c>
      <c r="AT573" s="6">
        <f t="shared" si="1130"/>
        <v>84</v>
      </c>
      <c r="AU573" s="6">
        <f t="shared" si="1131"/>
        <v>84</v>
      </c>
      <c r="AV573" s="6">
        <f t="shared" si="1132"/>
        <v>84</v>
      </c>
      <c r="AW573" s="2690">
        <v>84</v>
      </c>
      <c r="AX573" s="2696"/>
      <c r="AY573" s="2700">
        <f t="shared" ref="AY573:AY574" si="1171">+AW573</f>
        <v>84</v>
      </c>
      <c r="AZ573" s="2705">
        <f t="shared" si="1139"/>
        <v>84</v>
      </c>
      <c r="BA573" s="2705">
        <f t="shared" si="1140"/>
        <v>84</v>
      </c>
      <c r="BB573" s="2705">
        <f t="shared" si="1141"/>
        <v>84</v>
      </c>
      <c r="BC573" s="2695">
        <f t="shared" si="1142"/>
        <v>84</v>
      </c>
      <c r="BD573" s="2706"/>
      <c r="BE573" s="2700">
        <f t="shared" ref="BE573:BE574" si="1172">+BC573</f>
        <v>84</v>
      </c>
      <c r="BF573" s="2705">
        <f t="shared" si="1143"/>
        <v>84</v>
      </c>
      <c r="BG573" s="2705">
        <f t="shared" si="1144"/>
        <v>84</v>
      </c>
      <c r="BH573" s="2705">
        <f t="shared" si="1145"/>
        <v>84</v>
      </c>
      <c r="BI573" s="2695">
        <f t="shared" si="1146"/>
        <v>84</v>
      </c>
      <c r="BJ573" s="2696"/>
      <c r="BK573" s="2700">
        <f t="shared" ref="BK573:BK574" si="1173">+BI573</f>
        <v>84</v>
      </c>
      <c r="BL573" s="2244">
        <f t="shared" si="1147"/>
        <v>84</v>
      </c>
      <c r="BM573" s="2244">
        <f t="shared" si="1148"/>
        <v>84</v>
      </c>
      <c r="BN573" s="2244">
        <f t="shared" si="1149"/>
        <v>84</v>
      </c>
      <c r="BO573" s="2245">
        <f t="shared" si="1150"/>
        <v>84</v>
      </c>
      <c r="BP573" s="63"/>
      <c r="BQ573" s="2243">
        <f t="shared" ref="BQ573" si="1174">+BO573</f>
        <v>84</v>
      </c>
      <c r="BR573" s="2244">
        <f t="shared" si="1151"/>
        <v>84</v>
      </c>
      <c r="BS573" s="2244">
        <f t="shared" si="1152"/>
        <v>84</v>
      </c>
      <c r="BT573" s="2244">
        <f t="shared" si="1153"/>
        <v>84</v>
      </c>
      <c r="BU573" s="2245">
        <f t="shared" si="1154"/>
        <v>84</v>
      </c>
      <c r="BV573" s="63"/>
      <c r="BW573" s="2243">
        <f t="shared" ref="BW573" si="1175">+BU573</f>
        <v>84</v>
      </c>
      <c r="BX573" s="2244">
        <f t="shared" si="1155"/>
        <v>84</v>
      </c>
      <c r="BY573" s="2244">
        <f t="shared" si="1156"/>
        <v>84</v>
      </c>
      <c r="BZ573" s="2244">
        <f t="shared" si="1157"/>
        <v>84</v>
      </c>
      <c r="CA573" s="2245">
        <f t="shared" si="1158"/>
        <v>84</v>
      </c>
      <c r="CB573" s="63"/>
      <c r="CC573" s="2243">
        <f t="shared" ref="CC573" si="1176">+CA573</f>
        <v>84</v>
      </c>
      <c r="CD573" s="2244">
        <f t="shared" si="1159"/>
        <v>84</v>
      </c>
      <c r="CE573" s="2244">
        <f t="shared" si="1160"/>
        <v>84</v>
      </c>
      <c r="CF573" s="2244">
        <f t="shared" si="1161"/>
        <v>84</v>
      </c>
      <c r="CG573" s="2245">
        <f t="shared" si="1162"/>
        <v>84</v>
      </c>
      <c r="CH573" s="63"/>
      <c r="CI573" s="2243">
        <f t="shared" ref="CI573" si="1177">+CG573</f>
        <v>84</v>
      </c>
      <c r="CJ573" s="2244">
        <f t="shared" si="1163"/>
        <v>84</v>
      </c>
      <c r="CK573" s="2244">
        <f t="shared" si="1164"/>
        <v>84</v>
      </c>
      <c r="CL573" s="2244">
        <f t="shared" si="1165"/>
        <v>84</v>
      </c>
      <c r="CM573" s="2245">
        <f t="shared" si="1166"/>
        <v>84</v>
      </c>
      <c r="CN573" s="63"/>
      <c r="CO573" s="2243">
        <f t="shared" ref="CO573" si="1178">+CM573</f>
        <v>84</v>
      </c>
      <c r="CP573" s="2244">
        <f t="shared" si="1167"/>
        <v>84</v>
      </c>
      <c r="CQ573" s="2244">
        <f t="shared" si="1168"/>
        <v>84</v>
      </c>
      <c r="CR573" s="2244">
        <f t="shared" si="1169"/>
        <v>84</v>
      </c>
      <c r="CS573" s="2245">
        <f t="shared" si="1170"/>
        <v>84</v>
      </c>
      <c r="CU573" s="2812" t="s">
        <v>838</v>
      </c>
      <c r="CV573" s="2811">
        <v>19.945300513641516</v>
      </c>
    </row>
    <row r="574" spans="1:100">
      <c r="A574" s="1930" t="s">
        <v>447</v>
      </c>
      <c r="C574" s="1850"/>
      <c r="G574" s="736"/>
      <c r="H574" s="63"/>
      <c r="I574" s="1425">
        <f t="shared" si="1105"/>
        <v>35</v>
      </c>
      <c r="J574" s="6">
        <f t="shared" si="1106"/>
        <v>35</v>
      </c>
      <c r="K574" s="6">
        <f t="shared" si="1107"/>
        <v>35</v>
      </c>
      <c r="L574" s="6">
        <f t="shared" si="1108"/>
        <v>35</v>
      </c>
      <c r="M574" s="1841">
        <f t="shared" si="1133"/>
        <v>35</v>
      </c>
      <c r="N574" s="63"/>
      <c r="O574" s="1425">
        <f t="shared" si="1109"/>
        <v>35</v>
      </c>
      <c r="P574" s="6">
        <f t="shared" si="1110"/>
        <v>35</v>
      </c>
      <c r="Q574" s="6">
        <f t="shared" si="1111"/>
        <v>35</v>
      </c>
      <c r="R574" s="6">
        <f t="shared" si="1112"/>
        <v>35</v>
      </c>
      <c r="S574" s="1841">
        <f t="shared" si="1134"/>
        <v>35</v>
      </c>
      <c r="T574" s="63"/>
      <c r="U574" s="1425">
        <f t="shared" si="1113"/>
        <v>35</v>
      </c>
      <c r="V574" s="6">
        <f t="shared" si="1114"/>
        <v>35</v>
      </c>
      <c r="W574" s="6">
        <f t="shared" si="1115"/>
        <v>35</v>
      </c>
      <c r="X574" s="6">
        <f t="shared" si="1116"/>
        <v>35</v>
      </c>
      <c r="Y574" s="1841">
        <f t="shared" si="1135"/>
        <v>35</v>
      </c>
      <c r="Z574" s="63"/>
      <c r="AA574" s="1425">
        <f t="shared" si="1117"/>
        <v>35</v>
      </c>
      <c r="AB574" s="6">
        <f t="shared" si="1118"/>
        <v>35</v>
      </c>
      <c r="AC574" s="6">
        <f t="shared" si="1119"/>
        <v>35</v>
      </c>
      <c r="AD574" s="6">
        <f t="shared" si="1120"/>
        <v>35</v>
      </c>
      <c r="AE574" s="1841">
        <f t="shared" si="1136"/>
        <v>35</v>
      </c>
      <c r="AF574" s="63"/>
      <c r="AG574" s="1425">
        <f t="shared" si="1121"/>
        <v>35</v>
      </c>
      <c r="AH574" s="6">
        <f t="shared" si="1122"/>
        <v>35</v>
      </c>
      <c r="AI574" s="6">
        <f t="shared" si="1123"/>
        <v>35</v>
      </c>
      <c r="AJ574" s="6">
        <f t="shared" si="1124"/>
        <v>35</v>
      </c>
      <c r="AK574" s="1841">
        <f t="shared" si="1137"/>
        <v>35</v>
      </c>
      <c r="AL574" s="63"/>
      <c r="AM574" s="1425">
        <f t="shared" si="1125"/>
        <v>35</v>
      </c>
      <c r="AN574" s="6">
        <f t="shared" si="1126"/>
        <v>35</v>
      </c>
      <c r="AO574" s="6">
        <f t="shared" si="1127"/>
        <v>35</v>
      </c>
      <c r="AP574" s="6">
        <f t="shared" si="1128"/>
        <v>35</v>
      </c>
      <c r="AQ574" s="1841">
        <f t="shared" si="1138"/>
        <v>35</v>
      </c>
      <c r="AR574" s="63"/>
      <c r="AS574" s="1425">
        <f t="shared" si="1129"/>
        <v>35</v>
      </c>
      <c r="AT574" s="6">
        <f t="shared" si="1130"/>
        <v>35</v>
      </c>
      <c r="AU574" s="6">
        <f t="shared" si="1131"/>
        <v>35</v>
      </c>
      <c r="AV574" s="6">
        <f t="shared" si="1132"/>
        <v>35</v>
      </c>
      <c r="AW574" s="2690">
        <v>35</v>
      </c>
      <c r="AX574" s="2696"/>
      <c r="AY574" s="2700">
        <f t="shared" si="1171"/>
        <v>35</v>
      </c>
      <c r="AZ574" s="2705">
        <f t="shared" si="1139"/>
        <v>35</v>
      </c>
      <c r="BA574" s="2705">
        <f t="shared" si="1140"/>
        <v>35</v>
      </c>
      <c r="BB574" s="2705">
        <f t="shared" si="1141"/>
        <v>35</v>
      </c>
      <c r="BC574" s="2695">
        <f t="shared" si="1142"/>
        <v>35</v>
      </c>
      <c r="BD574" s="2706"/>
      <c r="BE574" s="2700">
        <f t="shared" si="1172"/>
        <v>35</v>
      </c>
      <c r="BF574" s="2705">
        <f t="shared" si="1143"/>
        <v>35</v>
      </c>
      <c r="BG574" s="2705">
        <f t="shared" si="1144"/>
        <v>35</v>
      </c>
      <c r="BH574" s="2705">
        <f t="shared" si="1145"/>
        <v>35</v>
      </c>
      <c r="BI574" s="2695">
        <f t="shared" si="1146"/>
        <v>35</v>
      </c>
      <c r="BJ574" s="2696"/>
      <c r="BK574" s="2700">
        <f t="shared" si="1173"/>
        <v>35</v>
      </c>
      <c r="BL574" s="2244">
        <f t="shared" si="1147"/>
        <v>35</v>
      </c>
      <c r="BM574" s="2244">
        <f t="shared" si="1148"/>
        <v>35</v>
      </c>
      <c r="BN574" s="2244">
        <f t="shared" si="1149"/>
        <v>35</v>
      </c>
      <c r="BO574" s="2245">
        <f t="shared" si="1150"/>
        <v>35</v>
      </c>
      <c r="BP574" s="63"/>
      <c r="BQ574" s="2243">
        <f>+BO574*0.98</f>
        <v>34.299999999999997</v>
      </c>
      <c r="BR574" s="2244">
        <f>+BQ574*0.98</f>
        <v>33.613999999999997</v>
      </c>
      <c r="BS574" s="2244">
        <f>+BR574*0.98</f>
        <v>32.941719999999997</v>
      </c>
      <c r="BT574" s="2244">
        <f>+BS574*0.98</f>
        <v>32.282885599999993</v>
      </c>
      <c r="BU574" s="2245">
        <f t="shared" si="1154"/>
        <v>32.282885599999993</v>
      </c>
      <c r="BV574" s="63"/>
      <c r="BW574" s="2243">
        <f t="shared" ref="BW574" si="1179">+BU574*0.98</f>
        <v>31.637227887999991</v>
      </c>
      <c r="BX574" s="2244">
        <f t="shared" ref="BX574:BZ574" si="1180">+BW574*0.98</f>
        <v>31.004483330239992</v>
      </c>
      <c r="BY574" s="2244">
        <f t="shared" si="1180"/>
        <v>30.384393663635191</v>
      </c>
      <c r="BZ574" s="2244">
        <f t="shared" si="1180"/>
        <v>29.776705790362485</v>
      </c>
      <c r="CA574" s="2245">
        <f t="shared" si="1158"/>
        <v>29.776705790362485</v>
      </c>
      <c r="CB574" s="63"/>
      <c r="CC574" s="2243">
        <f t="shared" ref="CC574" si="1181">+CA574*0.98</f>
        <v>29.181171674555234</v>
      </c>
      <c r="CD574" s="2244">
        <f t="shared" ref="CD574:CF574" si="1182">+CC574*0.98</f>
        <v>28.597548241064128</v>
      </c>
      <c r="CE574" s="2244">
        <f t="shared" si="1182"/>
        <v>28.025597276242845</v>
      </c>
      <c r="CF574" s="2244">
        <f t="shared" si="1182"/>
        <v>27.465085330717987</v>
      </c>
      <c r="CG574" s="2245">
        <f t="shared" si="1162"/>
        <v>27.465085330717987</v>
      </c>
      <c r="CH574" s="63"/>
      <c r="CI574" s="2243">
        <f t="shared" ref="CI574" si="1183">+CG574*0.98</f>
        <v>26.915783624103625</v>
      </c>
      <c r="CJ574" s="2244">
        <f t="shared" ref="CJ574:CL574" si="1184">+CI574*0.98</f>
        <v>26.377467951621551</v>
      </c>
      <c r="CK574" s="2244">
        <f t="shared" si="1184"/>
        <v>25.84991859258912</v>
      </c>
      <c r="CL574" s="2244">
        <f t="shared" si="1184"/>
        <v>25.332920220737336</v>
      </c>
      <c r="CM574" s="2245">
        <f t="shared" si="1166"/>
        <v>25.332920220737336</v>
      </c>
      <c r="CN574" s="63"/>
      <c r="CO574" s="2243">
        <f t="shared" ref="CO574" si="1185">+CM574*0.98</f>
        <v>24.826261816322589</v>
      </c>
      <c r="CP574" s="2244">
        <f t="shared" ref="CP574:CR574" si="1186">+CO574*0.98</f>
        <v>24.329736579996137</v>
      </c>
      <c r="CQ574" s="2244">
        <f t="shared" si="1186"/>
        <v>23.843141848396215</v>
      </c>
      <c r="CR574" s="2244">
        <f t="shared" si="1186"/>
        <v>23.36627901142829</v>
      </c>
      <c r="CS574" s="2245">
        <f t="shared" si="1170"/>
        <v>23.36627901142829</v>
      </c>
      <c r="CU574" s="2812" t="s">
        <v>447</v>
      </c>
      <c r="CV574" s="2811">
        <v>34.736842105263158</v>
      </c>
    </row>
    <row r="575" spans="1:100">
      <c r="A575" s="1930" t="s">
        <v>9</v>
      </c>
      <c r="C575" s="1850"/>
      <c r="G575" s="736"/>
      <c r="H575" s="63"/>
      <c r="I575" s="1425">
        <f t="shared" si="1105"/>
        <v>100</v>
      </c>
      <c r="J575" s="6">
        <f t="shared" si="1106"/>
        <v>100</v>
      </c>
      <c r="K575" s="6">
        <f t="shared" si="1107"/>
        <v>100</v>
      </c>
      <c r="L575" s="6">
        <f t="shared" si="1108"/>
        <v>100</v>
      </c>
      <c r="M575" s="1841">
        <f t="shared" si="1133"/>
        <v>100</v>
      </c>
      <c r="N575" s="63"/>
      <c r="O575" s="1425">
        <f t="shared" si="1109"/>
        <v>100</v>
      </c>
      <c r="P575" s="6">
        <f t="shared" si="1110"/>
        <v>100</v>
      </c>
      <c r="Q575" s="6">
        <f t="shared" si="1111"/>
        <v>100</v>
      </c>
      <c r="R575" s="6">
        <f t="shared" si="1112"/>
        <v>100</v>
      </c>
      <c r="S575" s="1841">
        <f t="shared" si="1134"/>
        <v>100</v>
      </c>
      <c r="T575" s="63"/>
      <c r="U575" s="1425">
        <f t="shared" si="1113"/>
        <v>100</v>
      </c>
      <c r="V575" s="6">
        <f t="shared" si="1114"/>
        <v>100</v>
      </c>
      <c r="W575" s="6">
        <f t="shared" si="1115"/>
        <v>100</v>
      </c>
      <c r="X575" s="6">
        <f t="shared" si="1116"/>
        <v>100</v>
      </c>
      <c r="Y575" s="1841">
        <f t="shared" si="1135"/>
        <v>100</v>
      </c>
      <c r="Z575" s="63"/>
      <c r="AA575" s="1425">
        <f t="shared" si="1117"/>
        <v>100</v>
      </c>
      <c r="AB575" s="6">
        <f t="shared" si="1118"/>
        <v>100</v>
      </c>
      <c r="AC575" s="6">
        <f t="shared" si="1119"/>
        <v>100</v>
      </c>
      <c r="AD575" s="6">
        <f t="shared" si="1120"/>
        <v>100</v>
      </c>
      <c r="AE575" s="1841">
        <f t="shared" si="1136"/>
        <v>100</v>
      </c>
      <c r="AF575" s="63"/>
      <c r="AG575" s="1425">
        <f t="shared" si="1121"/>
        <v>100</v>
      </c>
      <c r="AH575" s="6">
        <f t="shared" si="1122"/>
        <v>100</v>
      </c>
      <c r="AI575" s="6">
        <f t="shared" si="1123"/>
        <v>100</v>
      </c>
      <c r="AJ575" s="6">
        <f t="shared" si="1124"/>
        <v>100</v>
      </c>
      <c r="AK575" s="1841">
        <f t="shared" si="1137"/>
        <v>100</v>
      </c>
      <c r="AL575" s="63"/>
      <c r="AM575" s="1425">
        <f t="shared" si="1125"/>
        <v>100</v>
      </c>
      <c r="AN575" s="6">
        <f t="shared" si="1126"/>
        <v>100</v>
      </c>
      <c r="AO575" s="6">
        <f t="shared" si="1127"/>
        <v>100</v>
      </c>
      <c r="AP575" s="6">
        <f t="shared" si="1128"/>
        <v>100</v>
      </c>
      <c r="AQ575" s="1841">
        <f t="shared" si="1138"/>
        <v>100</v>
      </c>
      <c r="AR575" s="63"/>
      <c r="AS575" s="1425">
        <f t="shared" si="1129"/>
        <v>100</v>
      </c>
      <c r="AT575" s="6">
        <f t="shared" si="1130"/>
        <v>100</v>
      </c>
      <c r="AU575" s="6">
        <f t="shared" si="1131"/>
        <v>100</v>
      </c>
      <c r="AV575" s="6">
        <f t="shared" si="1132"/>
        <v>100</v>
      </c>
      <c r="AW575" s="2690">
        <v>100</v>
      </c>
      <c r="AX575" s="2696"/>
      <c r="AY575" s="2700">
        <f>+AW575</f>
        <v>100</v>
      </c>
      <c r="AZ575" s="2705">
        <f t="shared" si="1139"/>
        <v>100</v>
      </c>
      <c r="BA575" s="2705">
        <f t="shared" si="1140"/>
        <v>100</v>
      </c>
      <c r="BB575" s="2705">
        <f t="shared" si="1141"/>
        <v>100</v>
      </c>
      <c r="BC575" s="2695">
        <f t="shared" si="1142"/>
        <v>100</v>
      </c>
      <c r="BD575" s="2706"/>
      <c r="BE575" s="2700">
        <f>+BC575</f>
        <v>100</v>
      </c>
      <c r="BF575" s="2705">
        <f t="shared" si="1143"/>
        <v>100</v>
      </c>
      <c r="BG575" s="2705">
        <f t="shared" si="1144"/>
        <v>100</v>
      </c>
      <c r="BH575" s="2705">
        <f t="shared" si="1145"/>
        <v>100</v>
      </c>
      <c r="BI575" s="2695">
        <f t="shared" si="1146"/>
        <v>100</v>
      </c>
      <c r="BJ575" s="2696"/>
      <c r="BK575" s="2700">
        <f>+BI575</f>
        <v>100</v>
      </c>
      <c r="BL575" s="2244">
        <f t="shared" si="1147"/>
        <v>100</v>
      </c>
      <c r="BM575" s="2244">
        <f t="shared" si="1148"/>
        <v>100</v>
      </c>
      <c r="BN575" s="2244">
        <f t="shared" si="1149"/>
        <v>100</v>
      </c>
      <c r="BO575" s="2245">
        <f t="shared" si="1150"/>
        <v>100</v>
      </c>
      <c r="BP575" s="63"/>
      <c r="BQ575" s="2243">
        <f>+BO575</f>
        <v>100</v>
      </c>
      <c r="BR575" s="2244">
        <f t="shared" ref="BR575:BR581" si="1187">+BQ575</f>
        <v>100</v>
      </c>
      <c r="BS575" s="2244">
        <f t="shared" ref="BS575:BS581" si="1188">+BR575</f>
        <v>100</v>
      </c>
      <c r="BT575" s="2244">
        <f t="shared" ref="BT575:BT581" si="1189">+BS575</f>
        <v>100</v>
      </c>
      <c r="BU575" s="2245">
        <f t="shared" si="1154"/>
        <v>100</v>
      </c>
      <c r="BV575" s="63"/>
      <c r="BW575" s="2243">
        <f>+BU575</f>
        <v>100</v>
      </c>
      <c r="BX575" s="2244">
        <f t="shared" ref="BX575:BX581" si="1190">+BW575</f>
        <v>100</v>
      </c>
      <c r="BY575" s="2244">
        <f t="shared" ref="BY575:BY581" si="1191">+BX575</f>
        <v>100</v>
      </c>
      <c r="BZ575" s="2244">
        <f t="shared" ref="BZ575:BZ581" si="1192">+BY575</f>
        <v>100</v>
      </c>
      <c r="CA575" s="2245">
        <f t="shared" si="1158"/>
        <v>100</v>
      </c>
      <c r="CB575" s="63"/>
      <c r="CC575" s="2243">
        <f>+CA575</f>
        <v>100</v>
      </c>
      <c r="CD575" s="2244">
        <f t="shared" ref="CD575:CD581" si="1193">+CC575</f>
        <v>100</v>
      </c>
      <c r="CE575" s="2244">
        <f t="shared" ref="CE575:CE581" si="1194">+CD575</f>
        <v>100</v>
      </c>
      <c r="CF575" s="2244">
        <f t="shared" ref="CF575:CF581" si="1195">+CE575</f>
        <v>100</v>
      </c>
      <c r="CG575" s="2245">
        <f t="shared" si="1162"/>
        <v>100</v>
      </c>
      <c r="CH575" s="63"/>
      <c r="CI575" s="2243">
        <f>+CG575</f>
        <v>100</v>
      </c>
      <c r="CJ575" s="2244">
        <f t="shared" ref="CJ575:CJ581" si="1196">+CI575</f>
        <v>100</v>
      </c>
      <c r="CK575" s="2244">
        <f t="shared" ref="CK575:CK581" si="1197">+CJ575</f>
        <v>100</v>
      </c>
      <c r="CL575" s="2244">
        <f t="shared" ref="CL575:CL581" si="1198">+CK575</f>
        <v>100</v>
      </c>
      <c r="CM575" s="2245">
        <f t="shared" si="1166"/>
        <v>100</v>
      </c>
      <c r="CN575" s="63"/>
      <c r="CO575" s="2243">
        <f>+CM575</f>
        <v>100</v>
      </c>
      <c r="CP575" s="2244">
        <f t="shared" ref="CP575:CP581" si="1199">+CO575</f>
        <v>100</v>
      </c>
      <c r="CQ575" s="2244">
        <f t="shared" ref="CQ575:CQ581" si="1200">+CP575</f>
        <v>100</v>
      </c>
      <c r="CR575" s="2244">
        <f t="shared" ref="CR575:CR581" si="1201">+CQ575</f>
        <v>100</v>
      </c>
      <c r="CS575" s="2245">
        <f t="shared" si="1170"/>
        <v>100</v>
      </c>
      <c r="CU575" s="2810" t="s">
        <v>837</v>
      </c>
      <c r="CV575" s="2809">
        <v>20</v>
      </c>
    </row>
    <row r="576" spans="1:100">
      <c r="A576" s="1930" t="s">
        <v>26</v>
      </c>
      <c r="C576" s="1850"/>
      <c r="G576" s="736"/>
      <c r="H576" s="63"/>
      <c r="I576" s="1425">
        <f t="shared" si="1105"/>
        <v>28</v>
      </c>
      <c r="J576" s="6">
        <f t="shared" si="1106"/>
        <v>28</v>
      </c>
      <c r="K576" s="6">
        <f t="shared" si="1107"/>
        <v>28</v>
      </c>
      <c r="L576" s="6">
        <f t="shared" si="1108"/>
        <v>28</v>
      </c>
      <c r="M576" s="1841">
        <f t="shared" si="1133"/>
        <v>28</v>
      </c>
      <c r="N576" s="63"/>
      <c r="O576" s="1425">
        <f t="shared" si="1109"/>
        <v>28</v>
      </c>
      <c r="P576" s="6">
        <f t="shared" si="1110"/>
        <v>28</v>
      </c>
      <c r="Q576" s="6">
        <f t="shared" si="1111"/>
        <v>28</v>
      </c>
      <c r="R576" s="6">
        <f t="shared" si="1112"/>
        <v>28</v>
      </c>
      <c r="S576" s="1841">
        <f t="shared" si="1134"/>
        <v>28</v>
      </c>
      <c r="T576" s="63"/>
      <c r="U576" s="1425">
        <f t="shared" si="1113"/>
        <v>28</v>
      </c>
      <c r="V576" s="6">
        <f t="shared" si="1114"/>
        <v>28</v>
      </c>
      <c r="W576" s="6">
        <f t="shared" si="1115"/>
        <v>28</v>
      </c>
      <c r="X576" s="6">
        <f t="shared" si="1116"/>
        <v>28</v>
      </c>
      <c r="Y576" s="1841">
        <f t="shared" si="1135"/>
        <v>28</v>
      </c>
      <c r="Z576" s="63"/>
      <c r="AA576" s="1425">
        <f t="shared" si="1117"/>
        <v>28</v>
      </c>
      <c r="AB576" s="6">
        <f t="shared" si="1118"/>
        <v>28</v>
      </c>
      <c r="AC576" s="6">
        <f t="shared" si="1119"/>
        <v>28</v>
      </c>
      <c r="AD576" s="6">
        <f t="shared" si="1120"/>
        <v>28</v>
      </c>
      <c r="AE576" s="1841">
        <f t="shared" si="1136"/>
        <v>28</v>
      </c>
      <c r="AF576" s="63"/>
      <c r="AG576" s="1425">
        <f t="shared" si="1121"/>
        <v>28</v>
      </c>
      <c r="AH576" s="6">
        <f t="shared" si="1122"/>
        <v>28</v>
      </c>
      <c r="AI576" s="6">
        <f t="shared" si="1123"/>
        <v>28</v>
      </c>
      <c r="AJ576" s="6">
        <f t="shared" si="1124"/>
        <v>28</v>
      </c>
      <c r="AK576" s="1841">
        <f t="shared" si="1137"/>
        <v>28</v>
      </c>
      <c r="AL576" s="63"/>
      <c r="AM576" s="1425">
        <f t="shared" si="1125"/>
        <v>28</v>
      </c>
      <c r="AN576" s="6">
        <f t="shared" si="1126"/>
        <v>28</v>
      </c>
      <c r="AO576" s="6">
        <f t="shared" si="1127"/>
        <v>28</v>
      </c>
      <c r="AP576" s="6">
        <f t="shared" si="1128"/>
        <v>28</v>
      </c>
      <c r="AQ576" s="1841">
        <f t="shared" si="1138"/>
        <v>28</v>
      </c>
      <c r="AR576" s="63"/>
      <c r="AS576" s="1425">
        <f t="shared" si="1129"/>
        <v>28</v>
      </c>
      <c r="AT576" s="6">
        <f t="shared" si="1130"/>
        <v>28</v>
      </c>
      <c r="AU576" s="6">
        <f t="shared" si="1131"/>
        <v>28</v>
      </c>
      <c r="AV576" s="6">
        <f t="shared" si="1132"/>
        <v>28</v>
      </c>
      <c r="AW576" s="2690">
        <v>28</v>
      </c>
      <c r="AX576" s="2696"/>
      <c r="AY576" s="2700">
        <f t="shared" ref="AY576:AY580" si="1202">+AW576</f>
        <v>28</v>
      </c>
      <c r="AZ576" s="2705">
        <f t="shared" si="1139"/>
        <v>28</v>
      </c>
      <c r="BA576" s="2705">
        <f t="shared" si="1140"/>
        <v>28</v>
      </c>
      <c r="BB576" s="2705">
        <f t="shared" si="1141"/>
        <v>28</v>
      </c>
      <c r="BC576" s="2695">
        <f t="shared" si="1142"/>
        <v>28</v>
      </c>
      <c r="BD576" s="2699"/>
      <c r="BE576" s="2700">
        <f t="shared" ref="BE576:BE580" si="1203">+BC576</f>
        <v>28</v>
      </c>
      <c r="BF576" s="2705">
        <f t="shared" si="1143"/>
        <v>28</v>
      </c>
      <c r="BG576" s="2705">
        <f t="shared" si="1144"/>
        <v>28</v>
      </c>
      <c r="BH576" s="2705">
        <f t="shared" si="1145"/>
        <v>28</v>
      </c>
      <c r="BI576" s="2695">
        <f t="shared" si="1146"/>
        <v>28</v>
      </c>
      <c r="BJ576" s="2696"/>
      <c r="BK576" s="2700">
        <f t="shared" ref="BK576:BK580" si="1204">+BI576</f>
        <v>28</v>
      </c>
      <c r="BL576" s="2244">
        <f t="shared" si="1147"/>
        <v>28</v>
      </c>
      <c r="BM576" s="2244">
        <f t="shared" si="1148"/>
        <v>28</v>
      </c>
      <c r="BN576" s="2244">
        <f t="shared" si="1149"/>
        <v>28</v>
      </c>
      <c r="BO576" s="2245">
        <f t="shared" si="1150"/>
        <v>28</v>
      </c>
      <c r="BP576" s="63"/>
      <c r="BQ576" s="2243">
        <f t="shared" ref="BQ576:BQ581" si="1205">+BO576</f>
        <v>28</v>
      </c>
      <c r="BR576" s="2244">
        <f t="shared" si="1187"/>
        <v>28</v>
      </c>
      <c r="BS576" s="2244">
        <f t="shared" si="1188"/>
        <v>28</v>
      </c>
      <c r="BT576" s="2244">
        <f t="shared" si="1189"/>
        <v>28</v>
      </c>
      <c r="BU576" s="2245">
        <f t="shared" si="1154"/>
        <v>28</v>
      </c>
      <c r="BV576" s="63"/>
      <c r="BW576" s="2243">
        <f t="shared" ref="BW576:BW581" si="1206">+BU576</f>
        <v>28</v>
      </c>
      <c r="BX576" s="2244">
        <f t="shared" si="1190"/>
        <v>28</v>
      </c>
      <c r="BY576" s="2244">
        <f t="shared" si="1191"/>
        <v>28</v>
      </c>
      <c r="BZ576" s="2244">
        <f t="shared" si="1192"/>
        <v>28</v>
      </c>
      <c r="CA576" s="2245">
        <f t="shared" si="1158"/>
        <v>28</v>
      </c>
      <c r="CB576" s="63"/>
      <c r="CC576" s="2243">
        <f t="shared" ref="CC576:CC581" si="1207">+CA576</f>
        <v>28</v>
      </c>
      <c r="CD576" s="2244">
        <f t="shared" si="1193"/>
        <v>28</v>
      </c>
      <c r="CE576" s="2244">
        <f t="shared" si="1194"/>
        <v>28</v>
      </c>
      <c r="CF576" s="2244">
        <f t="shared" si="1195"/>
        <v>28</v>
      </c>
      <c r="CG576" s="2245">
        <f t="shared" si="1162"/>
        <v>28</v>
      </c>
      <c r="CH576" s="63"/>
      <c r="CI576" s="2243">
        <f t="shared" ref="CI576:CI581" si="1208">+CG576</f>
        <v>28</v>
      </c>
      <c r="CJ576" s="2244">
        <f t="shared" si="1196"/>
        <v>28</v>
      </c>
      <c r="CK576" s="2244">
        <f t="shared" si="1197"/>
        <v>28</v>
      </c>
      <c r="CL576" s="2244">
        <f t="shared" si="1198"/>
        <v>28</v>
      </c>
      <c r="CM576" s="2245">
        <f t="shared" si="1166"/>
        <v>28</v>
      </c>
      <c r="CN576" s="63"/>
      <c r="CO576" s="2243">
        <f t="shared" ref="CO576:CO581" si="1209">+CM576</f>
        <v>28</v>
      </c>
      <c r="CP576" s="2244">
        <f t="shared" si="1199"/>
        <v>28</v>
      </c>
      <c r="CQ576" s="2244">
        <f t="shared" si="1200"/>
        <v>28</v>
      </c>
      <c r="CR576" s="2244">
        <f t="shared" si="1201"/>
        <v>28</v>
      </c>
      <c r="CS576" s="2245">
        <f t="shared" si="1170"/>
        <v>28</v>
      </c>
      <c r="CU576" s="2812" t="s">
        <v>655</v>
      </c>
      <c r="CV576" s="2811">
        <v>10.6</v>
      </c>
    </row>
    <row r="577" spans="1:162">
      <c r="A577" s="1930" t="s">
        <v>517</v>
      </c>
      <c r="C577" s="1850"/>
      <c r="G577" s="736"/>
      <c r="H577" s="63"/>
      <c r="I577" s="1425">
        <f t="shared" si="1105"/>
        <v>20</v>
      </c>
      <c r="J577" s="6">
        <f t="shared" si="1106"/>
        <v>20</v>
      </c>
      <c r="K577" s="6">
        <f t="shared" si="1107"/>
        <v>20</v>
      </c>
      <c r="L577" s="6">
        <f t="shared" si="1108"/>
        <v>20</v>
      </c>
      <c r="M577" s="1841">
        <f t="shared" si="1133"/>
        <v>20</v>
      </c>
      <c r="N577" s="63"/>
      <c r="O577" s="1425">
        <f t="shared" si="1109"/>
        <v>20</v>
      </c>
      <c r="P577" s="6">
        <f t="shared" si="1110"/>
        <v>20</v>
      </c>
      <c r="Q577" s="6">
        <f t="shared" si="1111"/>
        <v>20</v>
      </c>
      <c r="R577" s="6">
        <f t="shared" si="1112"/>
        <v>20</v>
      </c>
      <c r="S577" s="1841">
        <f t="shared" si="1134"/>
        <v>20</v>
      </c>
      <c r="T577" s="63"/>
      <c r="U577" s="1425">
        <f t="shared" si="1113"/>
        <v>20</v>
      </c>
      <c r="V577" s="6">
        <f t="shared" si="1114"/>
        <v>20</v>
      </c>
      <c r="W577" s="6">
        <f t="shared" si="1115"/>
        <v>20</v>
      </c>
      <c r="X577" s="6">
        <f t="shared" si="1116"/>
        <v>20</v>
      </c>
      <c r="Y577" s="1841">
        <f t="shared" si="1135"/>
        <v>20</v>
      </c>
      <c r="Z577" s="63"/>
      <c r="AA577" s="1425">
        <f t="shared" si="1117"/>
        <v>20</v>
      </c>
      <c r="AB577" s="6">
        <f t="shared" si="1118"/>
        <v>20</v>
      </c>
      <c r="AC577" s="6">
        <f t="shared" si="1119"/>
        <v>20</v>
      </c>
      <c r="AD577" s="6">
        <f t="shared" si="1120"/>
        <v>20</v>
      </c>
      <c r="AE577" s="1841">
        <f t="shared" si="1136"/>
        <v>20</v>
      </c>
      <c r="AF577" s="63"/>
      <c r="AG577" s="1425">
        <f t="shared" si="1121"/>
        <v>20</v>
      </c>
      <c r="AH577" s="6">
        <f t="shared" si="1122"/>
        <v>20</v>
      </c>
      <c r="AI577" s="6">
        <f t="shared" si="1123"/>
        <v>20</v>
      </c>
      <c r="AJ577" s="6">
        <f t="shared" si="1124"/>
        <v>20</v>
      </c>
      <c r="AK577" s="1841">
        <f t="shared" si="1137"/>
        <v>20</v>
      </c>
      <c r="AL577" s="63"/>
      <c r="AM577" s="1425">
        <f t="shared" si="1125"/>
        <v>20</v>
      </c>
      <c r="AN577" s="6">
        <f t="shared" si="1126"/>
        <v>20</v>
      </c>
      <c r="AO577" s="6">
        <f t="shared" si="1127"/>
        <v>20</v>
      </c>
      <c r="AP577" s="6">
        <f t="shared" si="1128"/>
        <v>20</v>
      </c>
      <c r="AQ577" s="1841">
        <f t="shared" si="1138"/>
        <v>20</v>
      </c>
      <c r="AR577" s="63"/>
      <c r="AS577" s="1425">
        <f t="shared" si="1129"/>
        <v>20</v>
      </c>
      <c r="AT577" s="6">
        <f t="shared" si="1130"/>
        <v>20</v>
      </c>
      <c r="AU577" s="6">
        <f t="shared" si="1131"/>
        <v>20</v>
      </c>
      <c r="AV577" s="6">
        <f t="shared" si="1132"/>
        <v>20</v>
      </c>
      <c r="AW577" s="2690">
        <v>20</v>
      </c>
      <c r="AX577" s="2696"/>
      <c r="AY577" s="2700">
        <f t="shared" si="1202"/>
        <v>20</v>
      </c>
      <c r="AZ577" s="2705">
        <f t="shared" si="1139"/>
        <v>20</v>
      </c>
      <c r="BA577" s="2705">
        <f t="shared" si="1140"/>
        <v>20</v>
      </c>
      <c r="BB577" s="2705">
        <f t="shared" si="1141"/>
        <v>20</v>
      </c>
      <c r="BC577" s="2695">
        <f t="shared" si="1142"/>
        <v>20</v>
      </c>
      <c r="BD577" s="2699"/>
      <c r="BE577" s="2700">
        <f t="shared" si="1203"/>
        <v>20</v>
      </c>
      <c r="BF577" s="2705">
        <f t="shared" si="1143"/>
        <v>20</v>
      </c>
      <c r="BG577" s="2705">
        <f t="shared" si="1144"/>
        <v>20</v>
      </c>
      <c r="BH577" s="2705">
        <f t="shared" si="1145"/>
        <v>20</v>
      </c>
      <c r="BI577" s="2695">
        <f t="shared" si="1146"/>
        <v>20</v>
      </c>
      <c r="BJ577" s="2696"/>
      <c r="BK577" s="2700">
        <f t="shared" si="1204"/>
        <v>20</v>
      </c>
      <c r="BL577" s="2244">
        <f t="shared" si="1147"/>
        <v>20</v>
      </c>
      <c r="BM577" s="2244">
        <f t="shared" si="1148"/>
        <v>20</v>
      </c>
      <c r="BN577" s="2244">
        <f t="shared" si="1149"/>
        <v>20</v>
      </c>
      <c r="BO577" s="2245">
        <f t="shared" si="1150"/>
        <v>20</v>
      </c>
      <c r="BP577" s="63"/>
      <c r="BQ577" s="2243">
        <f t="shared" si="1205"/>
        <v>20</v>
      </c>
      <c r="BR577" s="2244">
        <f t="shared" si="1187"/>
        <v>20</v>
      </c>
      <c r="BS577" s="2244">
        <f t="shared" si="1188"/>
        <v>20</v>
      </c>
      <c r="BT577" s="2244">
        <f t="shared" si="1189"/>
        <v>20</v>
      </c>
      <c r="BU577" s="2245">
        <f t="shared" si="1154"/>
        <v>20</v>
      </c>
      <c r="BV577" s="63"/>
      <c r="BW577" s="2243">
        <f t="shared" si="1206"/>
        <v>20</v>
      </c>
      <c r="BX577" s="2244">
        <f t="shared" si="1190"/>
        <v>20</v>
      </c>
      <c r="BY577" s="2244">
        <f t="shared" si="1191"/>
        <v>20</v>
      </c>
      <c r="BZ577" s="2244">
        <f t="shared" si="1192"/>
        <v>20</v>
      </c>
      <c r="CA577" s="2245">
        <f t="shared" si="1158"/>
        <v>20</v>
      </c>
      <c r="CB577" s="63"/>
      <c r="CC577" s="2243">
        <f t="shared" si="1207"/>
        <v>20</v>
      </c>
      <c r="CD577" s="2244">
        <f t="shared" si="1193"/>
        <v>20</v>
      </c>
      <c r="CE577" s="2244">
        <f t="shared" si="1194"/>
        <v>20</v>
      </c>
      <c r="CF577" s="2244">
        <f t="shared" si="1195"/>
        <v>20</v>
      </c>
      <c r="CG577" s="2245">
        <f t="shared" si="1162"/>
        <v>20</v>
      </c>
      <c r="CH577" s="63"/>
      <c r="CI577" s="2243">
        <f t="shared" si="1208"/>
        <v>20</v>
      </c>
      <c r="CJ577" s="2244">
        <f t="shared" si="1196"/>
        <v>20</v>
      </c>
      <c r="CK577" s="2244">
        <f t="shared" si="1197"/>
        <v>20</v>
      </c>
      <c r="CL577" s="2244">
        <f t="shared" si="1198"/>
        <v>20</v>
      </c>
      <c r="CM577" s="2245">
        <f t="shared" si="1166"/>
        <v>20</v>
      </c>
      <c r="CN577" s="63"/>
      <c r="CO577" s="2243">
        <f t="shared" si="1209"/>
        <v>20</v>
      </c>
      <c r="CP577" s="2244">
        <f t="shared" si="1199"/>
        <v>20</v>
      </c>
      <c r="CQ577" s="2244">
        <f t="shared" si="1200"/>
        <v>20</v>
      </c>
      <c r="CR577" s="2244">
        <f t="shared" si="1201"/>
        <v>20</v>
      </c>
      <c r="CS577" s="2245">
        <f t="shared" si="1170"/>
        <v>20</v>
      </c>
      <c r="CU577" s="2812" t="s">
        <v>656</v>
      </c>
      <c r="CV577" s="2811">
        <v>8.2560706401766009</v>
      </c>
    </row>
    <row r="578" spans="1:162">
      <c r="A578" s="1930" t="s">
        <v>518</v>
      </c>
      <c r="C578" s="1850"/>
      <c r="G578" s="736"/>
      <c r="H578" s="63"/>
      <c r="I578" s="1425">
        <f t="shared" si="1105"/>
        <v>20</v>
      </c>
      <c r="J578" s="6">
        <f t="shared" si="1106"/>
        <v>20</v>
      </c>
      <c r="K578" s="6">
        <f t="shared" si="1107"/>
        <v>20</v>
      </c>
      <c r="L578" s="6">
        <f t="shared" si="1108"/>
        <v>20</v>
      </c>
      <c r="M578" s="1841">
        <f t="shared" si="1133"/>
        <v>20</v>
      </c>
      <c r="N578" s="63"/>
      <c r="O578" s="1425">
        <f t="shared" si="1109"/>
        <v>20</v>
      </c>
      <c r="P578" s="6">
        <f t="shared" si="1110"/>
        <v>20</v>
      </c>
      <c r="Q578" s="6">
        <f t="shared" si="1111"/>
        <v>20</v>
      </c>
      <c r="R578" s="6">
        <f t="shared" si="1112"/>
        <v>20</v>
      </c>
      <c r="S578" s="1841">
        <f t="shared" si="1134"/>
        <v>20</v>
      </c>
      <c r="T578" s="63"/>
      <c r="U578" s="1425">
        <f t="shared" si="1113"/>
        <v>20</v>
      </c>
      <c r="V578" s="6">
        <f t="shared" si="1114"/>
        <v>20</v>
      </c>
      <c r="W578" s="6">
        <f t="shared" si="1115"/>
        <v>20</v>
      </c>
      <c r="X578" s="6">
        <f t="shared" si="1116"/>
        <v>20</v>
      </c>
      <c r="Y578" s="1841">
        <f t="shared" si="1135"/>
        <v>20</v>
      </c>
      <c r="Z578" s="63"/>
      <c r="AA578" s="1425">
        <f t="shared" si="1117"/>
        <v>20</v>
      </c>
      <c r="AB578" s="6">
        <f t="shared" si="1118"/>
        <v>20</v>
      </c>
      <c r="AC578" s="6">
        <f t="shared" si="1119"/>
        <v>20</v>
      </c>
      <c r="AD578" s="6">
        <f t="shared" si="1120"/>
        <v>20</v>
      </c>
      <c r="AE578" s="1841">
        <f t="shared" si="1136"/>
        <v>20</v>
      </c>
      <c r="AF578" s="63"/>
      <c r="AG578" s="1425">
        <f t="shared" si="1121"/>
        <v>20</v>
      </c>
      <c r="AH578" s="6">
        <f t="shared" si="1122"/>
        <v>20</v>
      </c>
      <c r="AI578" s="6">
        <f t="shared" si="1123"/>
        <v>20</v>
      </c>
      <c r="AJ578" s="6">
        <f t="shared" si="1124"/>
        <v>20</v>
      </c>
      <c r="AK578" s="1841">
        <f t="shared" si="1137"/>
        <v>20</v>
      </c>
      <c r="AL578" s="63"/>
      <c r="AM578" s="1425">
        <f t="shared" si="1125"/>
        <v>20</v>
      </c>
      <c r="AN578" s="6">
        <f t="shared" si="1126"/>
        <v>20</v>
      </c>
      <c r="AO578" s="6">
        <f t="shared" si="1127"/>
        <v>20</v>
      </c>
      <c r="AP578" s="6">
        <f t="shared" si="1128"/>
        <v>20</v>
      </c>
      <c r="AQ578" s="1841">
        <f t="shared" si="1138"/>
        <v>20</v>
      </c>
      <c r="AR578" s="63"/>
      <c r="AS578" s="1425">
        <f t="shared" si="1129"/>
        <v>20</v>
      </c>
      <c r="AT578" s="6">
        <f t="shared" si="1130"/>
        <v>20</v>
      </c>
      <c r="AU578" s="6">
        <f t="shared" si="1131"/>
        <v>20</v>
      </c>
      <c r="AV578" s="6">
        <f t="shared" si="1132"/>
        <v>20</v>
      </c>
      <c r="AW578" s="2690">
        <v>20</v>
      </c>
      <c r="AX578" s="2696"/>
      <c r="AY578" s="2700">
        <f t="shared" si="1202"/>
        <v>20</v>
      </c>
      <c r="AZ578" s="2705">
        <f t="shared" si="1139"/>
        <v>20</v>
      </c>
      <c r="BA578" s="2705">
        <f t="shared" si="1140"/>
        <v>20</v>
      </c>
      <c r="BB578" s="2705">
        <f t="shared" si="1141"/>
        <v>20</v>
      </c>
      <c r="BC578" s="2695">
        <f t="shared" si="1142"/>
        <v>20</v>
      </c>
      <c r="BD578" s="2699"/>
      <c r="BE578" s="2700">
        <f t="shared" si="1203"/>
        <v>20</v>
      </c>
      <c r="BF578" s="2705">
        <f t="shared" si="1143"/>
        <v>20</v>
      </c>
      <c r="BG578" s="2705">
        <f t="shared" si="1144"/>
        <v>20</v>
      </c>
      <c r="BH578" s="2705">
        <f t="shared" si="1145"/>
        <v>20</v>
      </c>
      <c r="BI578" s="2695">
        <f t="shared" si="1146"/>
        <v>20</v>
      </c>
      <c r="BJ578" s="2696"/>
      <c r="BK578" s="2700">
        <f t="shared" si="1204"/>
        <v>20</v>
      </c>
      <c r="BL578" s="2244">
        <f t="shared" si="1147"/>
        <v>20</v>
      </c>
      <c r="BM578" s="2244">
        <f t="shared" si="1148"/>
        <v>20</v>
      </c>
      <c r="BN578" s="2244">
        <f t="shared" si="1149"/>
        <v>20</v>
      </c>
      <c r="BO578" s="2245">
        <f t="shared" si="1150"/>
        <v>20</v>
      </c>
      <c r="BP578" s="63"/>
      <c r="BQ578" s="2243">
        <f t="shared" si="1205"/>
        <v>20</v>
      </c>
      <c r="BR578" s="2244">
        <f t="shared" si="1187"/>
        <v>20</v>
      </c>
      <c r="BS578" s="2244">
        <f t="shared" si="1188"/>
        <v>20</v>
      </c>
      <c r="BT578" s="2244">
        <f t="shared" si="1189"/>
        <v>20</v>
      </c>
      <c r="BU578" s="2245">
        <f t="shared" si="1154"/>
        <v>20</v>
      </c>
      <c r="BV578" s="63"/>
      <c r="BW578" s="2243">
        <f t="shared" si="1206"/>
        <v>20</v>
      </c>
      <c r="BX578" s="2244">
        <f t="shared" si="1190"/>
        <v>20</v>
      </c>
      <c r="BY578" s="2244">
        <f t="shared" si="1191"/>
        <v>20</v>
      </c>
      <c r="BZ578" s="2244">
        <f t="shared" si="1192"/>
        <v>20</v>
      </c>
      <c r="CA578" s="2245">
        <f t="shared" si="1158"/>
        <v>20</v>
      </c>
      <c r="CB578" s="63"/>
      <c r="CC578" s="2243">
        <f t="shared" si="1207"/>
        <v>20</v>
      </c>
      <c r="CD578" s="2244">
        <f t="shared" si="1193"/>
        <v>20</v>
      </c>
      <c r="CE578" s="2244">
        <f t="shared" si="1194"/>
        <v>20</v>
      </c>
      <c r="CF578" s="2244">
        <f t="shared" si="1195"/>
        <v>20</v>
      </c>
      <c r="CG578" s="2245">
        <f t="shared" si="1162"/>
        <v>20</v>
      </c>
      <c r="CH578" s="63"/>
      <c r="CI578" s="2243">
        <f t="shared" si="1208"/>
        <v>20</v>
      </c>
      <c r="CJ578" s="2244">
        <f t="shared" si="1196"/>
        <v>20</v>
      </c>
      <c r="CK578" s="2244">
        <f t="shared" si="1197"/>
        <v>20</v>
      </c>
      <c r="CL578" s="2244">
        <f t="shared" si="1198"/>
        <v>20</v>
      </c>
      <c r="CM578" s="2245">
        <f t="shared" si="1166"/>
        <v>20</v>
      </c>
      <c r="CN578" s="63"/>
      <c r="CO578" s="2243">
        <f t="shared" si="1209"/>
        <v>20</v>
      </c>
      <c r="CP578" s="2244">
        <f t="shared" si="1199"/>
        <v>20</v>
      </c>
      <c r="CQ578" s="2244">
        <f t="shared" si="1200"/>
        <v>20</v>
      </c>
      <c r="CR578" s="2244">
        <f t="shared" si="1201"/>
        <v>20</v>
      </c>
      <c r="CS578" s="2245">
        <f t="shared" si="1170"/>
        <v>20</v>
      </c>
      <c r="CU578" s="2812" t="s">
        <v>656</v>
      </c>
      <c r="CV578" s="2811">
        <v>8.2560706401766009</v>
      </c>
    </row>
    <row r="579" spans="1:162">
      <c r="A579" s="1930" t="s">
        <v>655</v>
      </c>
      <c r="C579" s="1850"/>
      <c r="G579" s="736"/>
      <c r="H579" s="63"/>
      <c r="I579" s="1425">
        <f t="shared" si="1105"/>
        <v>11</v>
      </c>
      <c r="J579" s="6">
        <f t="shared" si="1106"/>
        <v>11</v>
      </c>
      <c r="K579" s="6">
        <f t="shared" si="1107"/>
        <v>11</v>
      </c>
      <c r="L579" s="6">
        <f t="shared" si="1108"/>
        <v>11</v>
      </c>
      <c r="M579" s="1841">
        <f t="shared" si="1133"/>
        <v>11</v>
      </c>
      <c r="N579" s="63"/>
      <c r="O579" s="1425">
        <f t="shared" si="1109"/>
        <v>11</v>
      </c>
      <c r="P579" s="6">
        <f t="shared" si="1110"/>
        <v>11</v>
      </c>
      <c r="Q579" s="6">
        <f t="shared" si="1111"/>
        <v>11</v>
      </c>
      <c r="R579" s="6">
        <f t="shared" si="1112"/>
        <v>11</v>
      </c>
      <c r="S579" s="1841">
        <f t="shared" si="1134"/>
        <v>11</v>
      </c>
      <c r="T579" s="63"/>
      <c r="U579" s="1425">
        <f t="shared" si="1113"/>
        <v>11</v>
      </c>
      <c r="V579" s="6">
        <f t="shared" si="1114"/>
        <v>11</v>
      </c>
      <c r="W579" s="6">
        <f t="shared" si="1115"/>
        <v>11</v>
      </c>
      <c r="X579" s="6">
        <f t="shared" si="1116"/>
        <v>11</v>
      </c>
      <c r="Y579" s="1841">
        <f t="shared" si="1135"/>
        <v>11</v>
      </c>
      <c r="Z579" s="63"/>
      <c r="AA579" s="1425">
        <f t="shared" si="1117"/>
        <v>11</v>
      </c>
      <c r="AB579" s="6">
        <f t="shared" si="1118"/>
        <v>11</v>
      </c>
      <c r="AC579" s="6">
        <f t="shared" si="1119"/>
        <v>11</v>
      </c>
      <c r="AD579" s="6">
        <f t="shared" si="1120"/>
        <v>11</v>
      </c>
      <c r="AE579" s="1841">
        <f t="shared" si="1136"/>
        <v>11</v>
      </c>
      <c r="AF579" s="63"/>
      <c r="AG579" s="1425">
        <f t="shared" si="1121"/>
        <v>11</v>
      </c>
      <c r="AH579" s="6">
        <f t="shared" si="1122"/>
        <v>11</v>
      </c>
      <c r="AI579" s="6">
        <f t="shared" si="1123"/>
        <v>11</v>
      </c>
      <c r="AJ579" s="6">
        <f t="shared" si="1124"/>
        <v>11</v>
      </c>
      <c r="AK579" s="1841">
        <f t="shared" si="1137"/>
        <v>11</v>
      </c>
      <c r="AL579" s="63"/>
      <c r="AM579" s="1425">
        <f t="shared" si="1125"/>
        <v>11</v>
      </c>
      <c r="AN579" s="6">
        <f t="shared" si="1126"/>
        <v>11</v>
      </c>
      <c r="AO579" s="6">
        <f t="shared" si="1127"/>
        <v>11</v>
      </c>
      <c r="AP579" s="6">
        <f t="shared" si="1128"/>
        <v>11</v>
      </c>
      <c r="AQ579" s="1841">
        <f t="shared" si="1138"/>
        <v>11</v>
      </c>
      <c r="AR579" s="63"/>
      <c r="AS579" s="1425">
        <f t="shared" si="1129"/>
        <v>11</v>
      </c>
      <c r="AT579" s="6">
        <f t="shared" si="1130"/>
        <v>11</v>
      </c>
      <c r="AU579" s="6">
        <f t="shared" si="1131"/>
        <v>11</v>
      </c>
      <c r="AV579" s="6">
        <f t="shared" si="1132"/>
        <v>11</v>
      </c>
      <c r="AW579" s="2690">
        <v>11</v>
      </c>
      <c r="AX579" s="2696"/>
      <c r="AY579" s="2700">
        <f t="shared" si="1202"/>
        <v>11</v>
      </c>
      <c r="AZ579" s="2705">
        <f t="shared" si="1139"/>
        <v>11</v>
      </c>
      <c r="BA579" s="2705">
        <f t="shared" si="1140"/>
        <v>11</v>
      </c>
      <c r="BB579" s="2705">
        <f t="shared" si="1141"/>
        <v>11</v>
      </c>
      <c r="BC579" s="2695">
        <f t="shared" si="1142"/>
        <v>11</v>
      </c>
      <c r="BD579" s="2699"/>
      <c r="BE579" s="2700">
        <f t="shared" si="1203"/>
        <v>11</v>
      </c>
      <c r="BF579" s="2705">
        <f t="shared" si="1143"/>
        <v>11</v>
      </c>
      <c r="BG579" s="2705">
        <f t="shared" si="1144"/>
        <v>11</v>
      </c>
      <c r="BH579" s="2705">
        <f t="shared" si="1145"/>
        <v>11</v>
      </c>
      <c r="BI579" s="2695">
        <f t="shared" si="1146"/>
        <v>11</v>
      </c>
      <c r="BJ579" s="2696"/>
      <c r="BK579" s="2700">
        <f t="shared" si="1204"/>
        <v>11</v>
      </c>
      <c r="BL579" s="2244">
        <f t="shared" si="1147"/>
        <v>11</v>
      </c>
      <c r="BM579" s="2244">
        <f t="shared" si="1148"/>
        <v>11</v>
      </c>
      <c r="BN579" s="2244">
        <f t="shared" si="1149"/>
        <v>11</v>
      </c>
      <c r="BO579" s="2245">
        <f t="shared" si="1150"/>
        <v>11</v>
      </c>
      <c r="BP579" s="63"/>
      <c r="BQ579" s="2243">
        <f t="shared" si="1205"/>
        <v>11</v>
      </c>
      <c r="BR579" s="2244">
        <f t="shared" si="1187"/>
        <v>11</v>
      </c>
      <c r="BS579" s="2244">
        <f t="shared" si="1188"/>
        <v>11</v>
      </c>
      <c r="BT579" s="2244">
        <f t="shared" si="1189"/>
        <v>11</v>
      </c>
      <c r="BU579" s="2245">
        <f t="shared" si="1154"/>
        <v>11</v>
      </c>
      <c r="BV579" s="63"/>
      <c r="BW579" s="2243">
        <f t="shared" si="1206"/>
        <v>11</v>
      </c>
      <c r="BX579" s="2244">
        <f t="shared" si="1190"/>
        <v>11</v>
      </c>
      <c r="BY579" s="2244">
        <f t="shared" si="1191"/>
        <v>11</v>
      </c>
      <c r="BZ579" s="2244">
        <f t="shared" si="1192"/>
        <v>11</v>
      </c>
      <c r="CA579" s="2245">
        <f t="shared" si="1158"/>
        <v>11</v>
      </c>
      <c r="CB579" s="63"/>
      <c r="CC579" s="2243">
        <f t="shared" si="1207"/>
        <v>11</v>
      </c>
      <c r="CD579" s="2244">
        <f t="shared" si="1193"/>
        <v>11</v>
      </c>
      <c r="CE579" s="2244">
        <f t="shared" si="1194"/>
        <v>11</v>
      </c>
      <c r="CF579" s="2244">
        <f t="shared" si="1195"/>
        <v>11</v>
      </c>
      <c r="CG579" s="2245">
        <f t="shared" si="1162"/>
        <v>11</v>
      </c>
      <c r="CH579" s="63"/>
      <c r="CI579" s="2243">
        <f t="shared" si="1208"/>
        <v>11</v>
      </c>
      <c r="CJ579" s="2244">
        <f t="shared" si="1196"/>
        <v>11</v>
      </c>
      <c r="CK579" s="2244">
        <f t="shared" si="1197"/>
        <v>11</v>
      </c>
      <c r="CL579" s="2244">
        <f t="shared" si="1198"/>
        <v>11</v>
      </c>
      <c r="CM579" s="2245">
        <f t="shared" si="1166"/>
        <v>11</v>
      </c>
      <c r="CN579" s="63"/>
      <c r="CO579" s="2243">
        <f t="shared" si="1209"/>
        <v>11</v>
      </c>
      <c r="CP579" s="2244">
        <f t="shared" si="1199"/>
        <v>11</v>
      </c>
      <c r="CQ579" s="2244">
        <f t="shared" si="1200"/>
        <v>11</v>
      </c>
      <c r="CR579" s="2244">
        <f t="shared" si="1201"/>
        <v>11</v>
      </c>
      <c r="CS579" s="2245">
        <f t="shared" si="1170"/>
        <v>11</v>
      </c>
      <c r="CU579" s="2810" t="s">
        <v>230</v>
      </c>
      <c r="CV579" s="2809">
        <v>84.210526315789465</v>
      </c>
    </row>
    <row r="580" spans="1:162">
      <c r="A580" s="1930" t="s">
        <v>656</v>
      </c>
      <c r="C580" s="1850"/>
      <c r="G580" s="736"/>
      <c r="H580" s="63"/>
      <c r="I580" s="1425">
        <f t="shared" si="1105"/>
        <v>8</v>
      </c>
      <c r="J580" s="6">
        <f t="shared" si="1106"/>
        <v>8</v>
      </c>
      <c r="K580" s="6">
        <f t="shared" si="1107"/>
        <v>8</v>
      </c>
      <c r="L580" s="6">
        <f t="shared" si="1108"/>
        <v>8</v>
      </c>
      <c r="M580" s="1841">
        <f t="shared" si="1133"/>
        <v>8</v>
      </c>
      <c r="N580" s="63"/>
      <c r="O580" s="1425">
        <f t="shared" si="1109"/>
        <v>8</v>
      </c>
      <c r="P580" s="6">
        <f t="shared" si="1110"/>
        <v>8</v>
      </c>
      <c r="Q580" s="6">
        <f t="shared" si="1111"/>
        <v>8</v>
      </c>
      <c r="R580" s="6">
        <f t="shared" si="1112"/>
        <v>8</v>
      </c>
      <c r="S580" s="1841">
        <f t="shared" si="1134"/>
        <v>8</v>
      </c>
      <c r="T580" s="63"/>
      <c r="U580" s="1425">
        <f t="shared" si="1113"/>
        <v>8</v>
      </c>
      <c r="V580" s="6">
        <f t="shared" si="1114"/>
        <v>8</v>
      </c>
      <c r="W580" s="6">
        <f t="shared" si="1115"/>
        <v>8</v>
      </c>
      <c r="X580" s="6">
        <f t="shared" si="1116"/>
        <v>8</v>
      </c>
      <c r="Y580" s="1841">
        <f t="shared" si="1135"/>
        <v>8</v>
      </c>
      <c r="Z580" s="63"/>
      <c r="AA580" s="1425">
        <f t="shared" si="1117"/>
        <v>8</v>
      </c>
      <c r="AB580" s="6">
        <f t="shared" si="1118"/>
        <v>8</v>
      </c>
      <c r="AC580" s="6">
        <f t="shared" si="1119"/>
        <v>8</v>
      </c>
      <c r="AD580" s="6">
        <f t="shared" si="1120"/>
        <v>8</v>
      </c>
      <c r="AE580" s="1841">
        <f t="shared" si="1136"/>
        <v>8</v>
      </c>
      <c r="AF580" s="63"/>
      <c r="AG580" s="1425">
        <f t="shared" si="1121"/>
        <v>8</v>
      </c>
      <c r="AH580" s="6">
        <f t="shared" si="1122"/>
        <v>8</v>
      </c>
      <c r="AI580" s="6">
        <f t="shared" si="1123"/>
        <v>8</v>
      </c>
      <c r="AJ580" s="6">
        <f t="shared" si="1124"/>
        <v>8</v>
      </c>
      <c r="AK580" s="1841">
        <f t="shared" si="1137"/>
        <v>8</v>
      </c>
      <c r="AL580" s="63"/>
      <c r="AM580" s="1425">
        <f t="shared" si="1125"/>
        <v>8</v>
      </c>
      <c r="AN580" s="6">
        <f t="shared" si="1126"/>
        <v>8</v>
      </c>
      <c r="AO580" s="6">
        <f t="shared" si="1127"/>
        <v>8</v>
      </c>
      <c r="AP580" s="6">
        <f t="shared" si="1128"/>
        <v>8</v>
      </c>
      <c r="AQ580" s="1841">
        <f>+AW580</f>
        <v>8</v>
      </c>
      <c r="AR580" s="63"/>
      <c r="AS580" s="1425">
        <f t="shared" si="1129"/>
        <v>8</v>
      </c>
      <c r="AT580" s="6">
        <f t="shared" si="1130"/>
        <v>8</v>
      </c>
      <c r="AU580" s="6">
        <f t="shared" si="1131"/>
        <v>8</v>
      </c>
      <c r="AV580" s="6">
        <f t="shared" si="1132"/>
        <v>8</v>
      </c>
      <c r="AW580" s="2690">
        <v>8</v>
      </c>
      <c r="AX580" s="2696"/>
      <c r="AY580" s="2700">
        <f t="shared" si="1202"/>
        <v>8</v>
      </c>
      <c r="AZ580" s="2705">
        <f t="shared" si="1139"/>
        <v>8</v>
      </c>
      <c r="BA580" s="2705">
        <f t="shared" si="1140"/>
        <v>8</v>
      </c>
      <c r="BB580" s="2705">
        <f t="shared" si="1141"/>
        <v>8</v>
      </c>
      <c r="BC580" s="2695">
        <f t="shared" si="1142"/>
        <v>8</v>
      </c>
      <c r="BD580" s="2699"/>
      <c r="BE580" s="2700">
        <f t="shared" si="1203"/>
        <v>8</v>
      </c>
      <c r="BF580" s="2705">
        <f t="shared" si="1143"/>
        <v>8</v>
      </c>
      <c r="BG580" s="2705">
        <f t="shared" si="1144"/>
        <v>8</v>
      </c>
      <c r="BH580" s="2705">
        <f t="shared" si="1145"/>
        <v>8</v>
      </c>
      <c r="BI580" s="2695">
        <f t="shared" si="1146"/>
        <v>8</v>
      </c>
      <c r="BJ580" s="2696"/>
      <c r="BK580" s="2700">
        <f t="shared" si="1204"/>
        <v>8</v>
      </c>
      <c r="BL580" s="2244">
        <f t="shared" si="1147"/>
        <v>8</v>
      </c>
      <c r="BM580" s="2244">
        <f t="shared" si="1148"/>
        <v>8</v>
      </c>
      <c r="BN580" s="2244">
        <f t="shared" si="1149"/>
        <v>8</v>
      </c>
      <c r="BO580" s="2245">
        <f t="shared" si="1150"/>
        <v>8</v>
      </c>
      <c r="BP580" s="63"/>
      <c r="BQ580" s="2243">
        <f t="shared" si="1205"/>
        <v>8</v>
      </c>
      <c r="BR580" s="2244">
        <f t="shared" si="1187"/>
        <v>8</v>
      </c>
      <c r="BS580" s="2244">
        <f t="shared" si="1188"/>
        <v>8</v>
      </c>
      <c r="BT580" s="2244">
        <f t="shared" si="1189"/>
        <v>8</v>
      </c>
      <c r="BU580" s="2245">
        <f t="shared" si="1154"/>
        <v>8</v>
      </c>
      <c r="BV580" s="63"/>
      <c r="BW580" s="2243">
        <f t="shared" si="1206"/>
        <v>8</v>
      </c>
      <c r="BX580" s="2244">
        <f t="shared" si="1190"/>
        <v>8</v>
      </c>
      <c r="BY580" s="2244">
        <f t="shared" si="1191"/>
        <v>8</v>
      </c>
      <c r="BZ580" s="2244">
        <f t="shared" si="1192"/>
        <v>8</v>
      </c>
      <c r="CA580" s="2245">
        <f t="shared" si="1158"/>
        <v>8</v>
      </c>
      <c r="CB580" s="63"/>
      <c r="CC580" s="2243">
        <f t="shared" si="1207"/>
        <v>8</v>
      </c>
      <c r="CD580" s="2244">
        <f t="shared" si="1193"/>
        <v>8</v>
      </c>
      <c r="CE580" s="2244">
        <f t="shared" si="1194"/>
        <v>8</v>
      </c>
      <c r="CF580" s="2244">
        <f t="shared" si="1195"/>
        <v>8</v>
      </c>
      <c r="CG580" s="2245">
        <f t="shared" si="1162"/>
        <v>8</v>
      </c>
      <c r="CH580" s="63"/>
      <c r="CI580" s="2243">
        <f t="shared" si="1208"/>
        <v>8</v>
      </c>
      <c r="CJ580" s="2244">
        <f t="shared" si="1196"/>
        <v>8</v>
      </c>
      <c r="CK580" s="2244">
        <f t="shared" si="1197"/>
        <v>8</v>
      </c>
      <c r="CL580" s="2244">
        <f t="shared" si="1198"/>
        <v>8</v>
      </c>
      <c r="CM580" s="2245">
        <f t="shared" si="1166"/>
        <v>8</v>
      </c>
      <c r="CN580" s="63"/>
      <c r="CO580" s="2243">
        <f t="shared" si="1209"/>
        <v>8</v>
      </c>
      <c r="CP580" s="2244">
        <f t="shared" si="1199"/>
        <v>8</v>
      </c>
      <c r="CQ580" s="2244">
        <f t="shared" si="1200"/>
        <v>8</v>
      </c>
      <c r="CR580" s="2244">
        <f t="shared" si="1201"/>
        <v>8</v>
      </c>
      <c r="CS580" s="2245">
        <f t="shared" si="1170"/>
        <v>8</v>
      </c>
      <c r="CU580" s="2810" t="s">
        <v>230</v>
      </c>
      <c r="CV580" s="2809">
        <v>52.631578947368418</v>
      </c>
    </row>
    <row r="581" spans="1:162">
      <c r="A581" s="1930" t="s">
        <v>757</v>
      </c>
      <c r="C581" s="1850"/>
      <c r="G581" s="736"/>
      <c r="H581" s="63"/>
      <c r="I581" s="1425"/>
      <c r="J581" s="6"/>
      <c r="K581" s="6"/>
      <c r="L581" s="6"/>
      <c r="M581" s="1841"/>
      <c r="N581" s="63"/>
      <c r="O581" s="1425"/>
      <c r="P581" s="6"/>
      <c r="Q581" s="6"/>
      <c r="R581" s="6"/>
      <c r="S581" s="1841"/>
      <c r="T581" s="63"/>
      <c r="U581" s="1425"/>
      <c r="V581" s="6"/>
      <c r="W581" s="6"/>
      <c r="X581" s="6"/>
      <c r="Y581" s="1841"/>
      <c r="Z581" s="63"/>
      <c r="AA581" s="1425"/>
      <c r="AB581" s="6"/>
      <c r="AC581" s="6"/>
      <c r="AD581" s="6"/>
      <c r="AE581" s="1841"/>
      <c r="AF581" s="63"/>
      <c r="AG581" s="1425"/>
      <c r="AH581" s="6"/>
      <c r="AI581" s="6"/>
      <c r="AJ581" s="6"/>
      <c r="AK581" s="1841"/>
      <c r="AL581" s="63"/>
      <c r="AM581" s="1425"/>
      <c r="AN581" s="6"/>
      <c r="AO581" s="6"/>
      <c r="AP581" s="6"/>
      <c r="AQ581" s="1841"/>
      <c r="AR581" s="63"/>
      <c r="AS581" s="1425"/>
      <c r="AT581" s="6"/>
      <c r="AU581" s="6"/>
      <c r="AV581" s="6"/>
      <c r="AW581" s="2242"/>
      <c r="AX581" s="63"/>
      <c r="AY581" s="2243"/>
      <c r="AZ581" s="2244"/>
      <c r="BA581" s="2244"/>
      <c r="BB581" s="2244"/>
      <c r="BC581" s="2245"/>
      <c r="BE581" s="2243"/>
      <c r="BF581" s="2244"/>
      <c r="BG581" s="2244"/>
      <c r="BH581" s="2244"/>
      <c r="BI581" s="2245"/>
      <c r="BJ581" s="63"/>
      <c r="BK581" s="2700">
        <v>12</v>
      </c>
      <c r="BL581" s="2705">
        <v>12</v>
      </c>
      <c r="BM581" s="2701">
        <v>12</v>
      </c>
      <c r="BN581" s="2705">
        <f t="shared" si="1149"/>
        <v>12</v>
      </c>
      <c r="BO581" s="2245">
        <f t="shared" si="1150"/>
        <v>12</v>
      </c>
      <c r="BP581" s="63"/>
      <c r="BQ581" s="2243">
        <f t="shared" si="1205"/>
        <v>12</v>
      </c>
      <c r="BR581" s="2244">
        <f t="shared" si="1187"/>
        <v>12</v>
      </c>
      <c r="BS581" s="2244">
        <f t="shared" si="1188"/>
        <v>12</v>
      </c>
      <c r="BT581" s="2244">
        <f t="shared" si="1189"/>
        <v>12</v>
      </c>
      <c r="BU581" s="2245">
        <f t="shared" si="1154"/>
        <v>12</v>
      </c>
      <c r="BV581" s="63"/>
      <c r="BW581" s="2243">
        <f t="shared" si="1206"/>
        <v>12</v>
      </c>
      <c r="BX581" s="2244">
        <f t="shared" si="1190"/>
        <v>12</v>
      </c>
      <c r="BY581" s="2244">
        <f t="shared" si="1191"/>
        <v>12</v>
      </c>
      <c r="BZ581" s="2244">
        <f t="shared" si="1192"/>
        <v>12</v>
      </c>
      <c r="CA581" s="2245">
        <f t="shared" si="1158"/>
        <v>12</v>
      </c>
      <c r="CB581" s="63"/>
      <c r="CC581" s="2243">
        <f t="shared" si="1207"/>
        <v>12</v>
      </c>
      <c r="CD581" s="2244">
        <f t="shared" si="1193"/>
        <v>12</v>
      </c>
      <c r="CE581" s="2244">
        <f t="shared" si="1194"/>
        <v>12</v>
      </c>
      <c r="CF581" s="2244">
        <f t="shared" si="1195"/>
        <v>12</v>
      </c>
      <c r="CG581" s="2245">
        <f t="shared" si="1162"/>
        <v>12</v>
      </c>
      <c r="CH581" s="63"/>
      <c r="CI581" s="2243">
        <f t="shared" si="1208"/>
        <v>12</v>
      </c>
      <c r="CJ581" s="2244">
        <f t="shared" si="1196"/>
        <v>12</v>
      </c>
      <c r="CK581" s="2244">
        <f t="shared" si="1197"/>
        <v>12</v>
      </c>
      <c r="CL581" s="2244">
        <f t="shared" si="1198"/>
        <v>12</v>
      </c>
      <c r="CM581" s="2245">
        <f t="shared" si="1166"/>
        <v>12</v>
      </c>
      <c r="CN581" s="63"/>
      <c r="CO581" s="2243">
        <f t="shared" si="1209"/>
        <v>12</v>
      </c>
      <c r="CP581" s="2244">
        <f t="shared" si="1199"/>
        <v>12</v>
      </c>
      <c r="CQ581" s="2244">
        <f t="shared" si="1200"/>
        <v>12</v>
      </c>
      <c r="CR581" s="2244">
        <f t="shared" si="1201"/>
        <v>12</v>
      </c>
      <c r="CS581" s="2245">
        <f t="shared" si="1170"/>
        <v>12</v>
      </c>
      <c r="CU581" s="2808" t="s">
        <v>836</v>
      </c>
      <c r="CV581" s="2807">
        <v>8</v>
      </c>
    </row>
    <row r="582" spans="1:162">
      <c r="A582" s="1930" t="s">
        <v>758</v>
      </c>
      <c r="C582" s="1850"/>
      <c r="G582" s="736"/>
      <c r="H582" s="63"/>
      <c r="I582" s="1425"/>
      <c r="J582" s="6"/>
      <c r="K582" s="6"/>
      <c r="L582" s="6"/>
      <c r="M582" s="1841"/>
      <c r="N582" s="63"/>
      <c r="O582" s="1425"/>
      <c r="P582" s="6"/>
      <c r="Q582" s="6"/>
      <c r="R582" s="6"/>
      <c r="S582" s="1841"/>
      <c r="T582" s="63"/>
      <c r="U582" s="1425"/>
      <c r="V582" s="6"/>
      <c r="W582" s="6"/>
      <c r="X582" s="6"/>
      <c r="Y582" s="1841"/>
      <c r="Z582" s="63"/>
      <c r="AA582" s="1425"/>
      <c r="AB582" s="6"/>
      <c r="AC582" s="6"/>
      <c r="AD582" s="6"/>
      <c r="AE582" s="1841"/>
      <c r="AF582" s="63"/>
      <c r="AG582" s="1425"/>
      <c r="AH582" s="6"/>
      <c r="AI582" s="6"/>
      <c r="AJ582" s="6"/>
      <c r="AK582" s="1841"/>
      <c r="AL582" s="63"/>
      <c r="AM582" s="1425"/>
      <c r="AN582" s="6"/>
      <c r="AO582" s="6"/>
      <c r="AP582" s="6"/>
      <c r="AQ582" s="1841"/>
      <c r="AR582" s="63"/>
      <c r="AS582" s="1425"/>
      <c r="AT582" s="6"/>
      <c r="AU582" s="6"/>
      <c r="AV582" s="6"/>
      <c r="AW582" s="2242"/>
      <c r="AX582" s="63"/>
      <c r="AY582" s="2243"/>
      <c r="AZ582" s="2244"/>
      <c r="BA582" s="2244"/>
      <c r="BB582" s="2244"/>
      <c r="BC582" s="2245"/>
      <c r="BE582" s="2243"/>
      <c r="BF582" s="2244"/>
      <c r="BG582" s="2244"/>
      <c r="BH582" s="2244"/>
      <c r="BI582" s="2245"/>
      <c r="BJ582" s="63"/>
      <c r="BK582" s="2700">
        <v>8</v>
      </c>
      <c r="BL582" s="2705">
        <v>8</v>
      </c>
      <c r="BM582" s="2705">
        <v>8</v>
      </c>
      <c r="BN582" s="2705">
        <v>8</v>
      </c>
      <c r="BO582" s="2245">
        <f t="shared" si="1150"/>
        <v>8</v>
      </c>
      <c r="BP582" s="63"/>
      <c r="BQ582" s="2243">
        <f>+BO582*0.98</f>
        <v>7.84</v>
      </c>
      <c r="BR582" s="2244">
        <f>+BQ582*0.98</f>
        <v>7.6831999999999994</v>
      </c>
      <c r="BS582" s="2244">
        <f>+BR582*0.98</f>
        <v>7.5295359999999993</v>
      </c>
      <c r="BT582" s="2244">
        <f>+BS582*0.98</f>
        <v>7.3789452799999991</v>
      </c>
      <c r="BU582" s="2245">
        <f t="shared" si="1154"/>
        <v>7.3789452799999991</v>
      </c>
      <c r="BV582" s="63"/>
      <c r="BW582" s="2243">
        <f t="shared" ref="BW582" si="1210">+BU582*0.98</f>
        <v>7.2313663743999985</v>
      </c>
      <c r="BX582" s="2244">
        <f t="shared" ref="BX582:BZ582" si="1211">+BW582*0.98</f>
        <v>7.0867390469119984</v>
      </c>
      <c r="BY582" s="2244">
        <f t="shared" si="1211"/>
        <v>6.9450042659737585</v>
      </c>
      <c r="BZ582" s="2244">
        <f t="shared" si="1211"/>
        <v>6.806104180654283</v>
      </c>
      <c r="CA582" s="2245">
        <f t="shared" si="1158"/>
        <v>6.806104180654283</v>
      </c>
      <c r="CB582" s="63"/>
      <c r="CC582" s="2243">
        <f t="shared" ref="CC582" si="1212">+CA582*0.98</f>
        <v>6.6699820970411974</v>
      </c>
      <c r="CD582" s="2244">
        <f t="shared" ref="CD582:CF582" si="1213">+CC582*0.98</f>
        <v>6.5365824551003735</v>
      </c>
      <c r="CE582" s="2244">
        <f t="shared" si="1213"/>
        <v>6.4058508059983659</v>
      </c>
      <c r="CF582" s="2244">
        <f t="shared" si="1213"/>
        <v>6.2777337898783987</v>
      </c>
      <c r="CG582" s="2245">
        <f t="shared" si="1162"/>
        <v>6.2777337898783987</v>
      </c>
      <c r="CH582" s="63"/>
      <c r="CI582" s="2243">
        <f t="shared" ref="CI582" si="1214">+CG582*0.98</f>
        <v>6.1521791140808304</v>
      </c>
      <c r="CJ582" s="2244">
        <f t="shared" ref="CJ582:CL582" si="1215">+CI582*0.98</f>
        <v>6.0291355317992137</v>
      </c>
      <c r="CK582" s="2244">
        <f t="shared" si="1215"/>
        <v>5.9085528211632292</v>
      </c>
      <c r="CL582" s="2244">
        <f t="shared" si="1215"/>
        <v>5.7903817647399647</v>
      </c>
      <c r="CM582" s="2245">
        <f t="shared" si="1166"/>
        <v>5.7903817647399647</v>
      </c>
      <c r="CN582" s="63"/>
      <c r="CO582" s="2243">
        <f t="shared" ref="CO582" si="1216">+CM582*0.98</f>
        <v>5.6745741294451655</v>
      </c>
      <c r="CP582" s="2244">
        <f t="shared" ref="CP582:CR582" si="1217">+CO582*0.98</f>
        <v>5.5610826468562617</v>
      </c>
      <c r="CQ582" s="2244">
        <f t="shared" si="1217"/>
        <v>5.4498609939191365</v>
      </c>
      <c r="CR582" s="2244">
        <f t="shared" si="1217"/>
        <v>5.3408637740407539</v>
      </c>
      <c r="CS582" s="2245">
        <f t="shared" si="1170"/>
        <v>5.3408637740407539</v>
      </c>
      <c r="CU582" s="2810" t="s">
        <v>835</v>
      </c>
      <c r="CV582" s="2809">
        <v>12</v>
      </c>
    </row>
    <row r="583" spans="1:162">
      <c r="A583" s="1601" t="s">
        <v>842</v>
      </c>
      <c r="C583" s="1850"/>
      <c r="G583" s="736"/>
      <c r="H583" s="63"/>
      <c r="I583" s="1850"/>
      <c r="M583" s="736"/>
      <c r="N583" s="63"/>
      <c r="O583" s="1850"/>
      <c r="S583" s="736"/>
      <c r="T583" s="63"/>
      <c r="U583" s="1850"/>
      <c r="Y583" s="736"/>
      <c r="Z583" s="63"/>
      <c r="AA583" s="1850"/>
      <c r="AE583" s="736"/>
      <c r="AF583" s="63"/>
      <c r="AG583" s="1850"/>
      <c r="AK583" s="736"/>
      <c r="AL583" s="63"/>
      <c r="AM583" s="1850"/>
      <c r="AQ583" s="736"/>
      <c r="AR583" s="63"/>
      <c r="AS583" s="1850"/>
      <c r="AW583" s="736"/>
      <c r="AX583" s="63"/>
      <c r="AY583" s="1850"/>
      <c r="BC583" s="188"/>
      <c r="BD583" s="2238"/>
      <c r="BE583" s="1850"/>
      <c r="BF583" s="2234"/>
      <c r="BG583" s="2234"/>
      <c r="BH583" s="2234"/>
      <c r="BI583" s="736"/>
      <c r="BJ583" s="63"/>
      <c r="BK583" s="1850"/>
      <c r="BL583" s="2241"/>
      <c r="BM583" s="2241"/>
      <c r="BN583" s="2241"/>
      <c r="BO583" s="736"/>
      <c r="BP583" s="63"/>
      <c r="BQ583" s="1850"/>
      <c r="BR583" s="2241"/>
      <c r="BS583" s="2241"/>
      <c r="BT583" s="2241"/>
      <c r="BU583" s="2218"/>
      <c r="BV583" s="63"/>
      <c r="BW583" s="1850"/>
      <c r="BX583" s="2241"/>
      <c r="BY583" s="2241"/>
      <c r="BZ583" s="2241"/>
      <c r="CA583" s="2218"/>
      <c r="CB583" s="63"/>
      <c r="CC583" s="1850"/>
      <c r="CD583" s="2241"/>
      <c r="CE583" s="2241"/>
      <c r="CF583" s="2241"/>
      <c r="CG583" s="736"/>
      <c r="CH583" s="63"/>
      <c r="CI583" s="1850"/>
      <c r="CJ583" s="2241"/>
      <c r="CK583" s="2241"/>
      <c r="CL583" s="2241"/>
      <c r="CM583" s="736"/>
      <c r="CN583" s="63"/>
      <c r="CO583" s="1850"/>
      <c r="CP583" s="2241"/>
      <c r="CQ583" s="2241"/>
      <c r="CR583" s="2241"/>
      <c r="CS583" s="736"/>
      <c r="CU583" s="2808" t="s">
        <v>615</v>
      </c>
      <c r="CV583" s="2807">
        <v>200</v>
      </c>
    </row>
    <row r="584" spans="1:162">
      <c r="A584" s="1930" t="s">
        <v>661</v>
      </c>
      <c r="B584" s="2238"/>
      <c r="C584" s="2281" t="e">
        <f t="shared" ref="C584:F593" si="1218">+C176/C571*1000</f>
        <v>#DIV/0!</v>
      </c>
      <c r="D584" s="2814" t="e">
        <f t="shared" si="1218"/>
        <v>#DIV/0!</v>
      </c>
      <c r="E584" s="2814" t="e">
        <f t="shared" si="1218"/>
        <v>#DIV/0!</v>
      </c>
      <c r="F584" s="2814" t="e">
        <f t="shared" si="1218"/>
        <v>#DIV/0!</v>
      </c>
      <c r="G584" s="2818" t="e">
        <f t="shared" ref="G584:G596" si="1219">SUM(C584:F584)</f>
        <v>#DIV/0!</v>
      </c>
      <c r="H584" s="2238"/>
      <c r="I584" s="2281">
        <f t="shared" ref="I584:L593" si="1220">+I176/I571*1000</f>
        <v>50.995222929936304</v>
      </c>
      <c r="J584" s="2814">
        <f t="shared" si="1220"/>
        <v>71.393312101910823</v>
      </c>
      <c r="K584" s="2814">
        <f t="shared" si="1220"/>
        <v>93.964968152866248</v>
      </c>
      <c r="L584" s="2814">
        <f t="shared" si="1220"/>
        <v>119.04458598726116</v>
      </c>
      <c r="M584" s="2818">
        <f t="shared" ref="M584:M596" si="1221">SUM(I584:L584)</f>
        <v>335.3980891719745</v>
      </c>
      <c r="N584" s="2238"/>
      <c r="O584" s="2281">
        <f t="shared" ref="O584:R593" si="1222">+O176/O571*1000</f>
        <v>153.2643312101911</v>
      </c>
      <c r="P584" s="2814">
        <f t="shared" si="1222"/>
        <v>191.72770700636943</v>
      </c>
      <c r="Q584" s="2814">
        <f t="shared" si="1222"/>
        <v>226.33757961783436</v>
      </c>
      <c r="R584" s="2814">
        <f t="shared" si="1222"/>
        <v>263.328025477707</v>
      </c>
      <c r="S584" s="2818">
        <f t="shared" ref="S584:S596" si="1223">SUM(O584:R584)</f>
        <v>834.65764331210187</v>
      </c>
      <c r="T584" s="2238"/>
      <c r="U584" s="2281">
        <f t="shared" ref="U584:X593" si="1224">+U176/U571*1000</f>
        <v>289.10828025477707</v>
      </c>
      <c r="V584" s="2814">
        <f t="shared" si="1224"/>
        <v>261.41719745222929</v>
      </c>
      <c r="W584" s="2814">
        <f t="shared" si="1224"/>
        <v>266.00813694267509</v>
      </c>
      <c r="X584" s="2814">
        <f t="shared" si="1224"/>
        <v>243.22292993630569</v>
      </c>
      <c r="Y584" s="2818">
        <f t="shared" ref="Y584:Y596" si="1225">SUM(U584:X584)</f>
        <v>1059.7565445859871</v>
      </c>
      <c r="Z584" s="2238"/>
      <c r="AA584" s="2281">
        <f t="shared" ref="AA584:AD593" si="1226">+AA176/AA571*1000</f>
        <v>162.23168789808915</v>
      </c>
      <c r="AB584" s="2814">
        <f t="shared" si="1226"/>
        <v>93.599203821656047</v>
      </c>
      <c r="AC584" s="2814">
        <f t="shared" si="1226"/>
        <v>93.866608280254738</v>
      </c>
      <c r="AD584" s="2814">
        <f t="shared" si="1226"/>
        <v>80.581210191082761</v>
      </c>
      <c r="AE584" s="2818">
        <f t="shared" ref="AE584:AE596" si="1227">SUM(AA584:AD584)</f>
        <v>430.27871019108272</v>
      </c>
      <c r="AF584" s="2238"/>
      <c r="AG584" s="2281">
        <f t="shared" ref="AG584:AJ593" si="1228">+AG176/AG571*1000</f>
        <v>74.374203821656025</v>
      </c>
      <c r="AH584" s="2814">
        <f t="shared" si="1228"/>
        <v>68.197452229299302</v>
      </c>
      <c r="AI584" s="2814">
        <f t="shared" si="1228"/>
        <v>64.422770700636889</v>
      </c>
      <c r="AJ584" s="2814">
        <f t="shared" si="1228"/>
        <v>63.39331210191078</v>
      </c>
      <c r="AK584" s="2818">
        <f t="shared" ref="AK584:AK596" si="1229">SUM(AG584:AJ584)</f>
        <v>270.38773885350298</v>
      </c>
      <c r="AL584" s="2238"/>
      <c r="AM584" s="2281">
        <f t="shared" ref="AM584:AP593" si="1230">+AM176/AM571*1000</f>
        <v>41.205652866242012</v>
      </c>
      <c r="AN584" s="2814">
        <f t="shared" si="1230"/>
        <v>41.205652866242012</v>
      </c>
      <c r="AO584" s="2814">
        <f t="shared" si="1230"/>
        <v>41.205652866242012</v>
      </c>
      <c r="AP584" s="2814">
        <f t="shared" si="1230"/>
        <v>41.205652866242012</v>
      </c>
      <c r="AQ584" s="2818">
        <f t="shared" ref="AQ584:AQ596" si="1231">SUM(AM584:AP584)</f>
        <v>164.82261146496805</v>
      </c>
      <c r="AR584" s="2238"/>
      <c r="AS584" s="2281">
        <f t="shared" ref="AS584:AV593" si="1232">+AS176/AS571*1000</f>
        <v>3.1696656050955392</v>
      </c>
      <c r="AT584" s="2814">
        <f t="shared" si="1232"/>
        <v>3.1696656050955392</v>
      </c>
      <c r="AU584" s="2814">
        <f t="shared" si="1232"/>
        <v>3.1696656050955392</v>
      </c>
      <c r="AV584" s="2814">
        <f t="shared" si="1232"/>
        <v>3.1696656050955392</v>
      </c>
      <c r="AW584" s="2818">
        <f t="shared" ref="AW584:AW596" si="1233">SUM(AS584:AV584)</f>
        <v>12.678662420382157</v>
      </c>
      <c r="AX584" s="2238"/>
      <c r="AY584" s="2281">
        <f t="shared" ref="AY584:BB593" si="1234">+AY176/AY571*1000</f>
        <v>3.1696656050955392</v>
      </c>
      <c r="AZ584" s="2814">
        <f t="shared" si="1234"/>
        <v>3.1696656050955392</v>
      </c>
      <c r="BA584" s="2814">
        <f t="shared" si="1234"/>
        <v>3.1696656050955392</v>
      </c>
      <c r="BB584" s="2814">
        <f t="shared" si="1234"/>
        <v>3.1696656050955392</v>
      </c>
      <c r="BC584" s="2818">
        <f t="shared" ref="BC584:BC596" si="1235">SUM(AY584:BB584)</f>
        <v>12.678662420382157</v>
      </c>
      <c r="BD584" s="2238"/>
      <c r="BE584" s="2281">
        <f t="shared" ref="BE584:BH593" si="1236">+BE176/BE571*1000</f>
        <v>3.1696656050955392</v>
      </c>
      <c r="BF584" s="2814">
        <f t="shared" si="1236"/>
        <v>3.1696656050955392</v>
      </c>
      <c r="BG584" s="2814">
        <f t="shared" si="1236"/>
        <v>3.1696656050955392</v>
      </c>
      <c r="BH584" s="2814">
        <f t="shared" si="1236"/>
        <v>3.1696656050955392</v>
      </c>
      <c r="BI584" s="2818">
        <f t="shared" ref="BI584:BI596" si="1237">SUM(BE584:BH584)</f>
        <v>12.678662420382157</v>
      </c>
      <c r="BJ584" s="2238"/>
      <c r="BK584" s="2281">
        <f t="shared" ref="BK584:BN595" si="1238">+BK176/BK571*1000</f>
        <v>3.1696656050955392</v>
      </c>
      <c r="BL584" s="2814">
        <f t="shared" si="1238"/>
        <v>3.1696656050955392</v>
      </c>
      <c r="BM584" s="2814">
        <f t="shared" si="1238"/>
        <v>3.1696656050955392</v>
      </c>
      <c r="BN584" s="2814">
        <f t="shared" si="1238"/>
        <v>3.1696656050955392</v>
      </c>
      <c r="BO584" s="2818">
        <f>SUM(BK584:BN584)</f>
        <v>12.678662420382157</v>
      </c>
      <c r="BP584" s="2238"/>
      <c r="BQ584" s="2281">
        <f t="shared" ref="BQ584:BT595" si="1239">+BQ176/BQ571*1000</f>
        <v>3.1696656050955392</v>
      </c>
      <c r="BR584" s="2814">
        <f t="shared" si="1239"/>
        <v>3.1696656050955392</v>
      </c>
      <c r="BS584" s="2814">
        <f t="shared" si="1239"/>
        <v>3.1696656050955392</v>
      </c>
      <c r="BT584" s="2814">
        <f t="shared" si="1239"/>
        <v>3.1696656050955392</v>
      </c>
      <c r="BU584" s="2818">
        <f t="shared" ref="BU584:BU596" si="1240">SUM(BQ584:BT584)</f>
        <v>12.678662420382157</v>
      </c>
      <c r="BV584" s="2238"/>
      <c r="BW584" s="2281">
        <f t="shared" ref="BW584:BZ595" si="1241">+BW176/BW571*1000</f>
        <v>3.1696656050955392</v>
      </c>
      <c r="BX584" s="2814">
        <f t="shared" si="1241"/>
        <v>3.1696656050955392</v>
      </c>
      <c r="BY584" s="2814">
        <f t="shared" si="1241"/>
        <v>3.1696656050955392</v>
      </c>
      <c r="BZ584" s="2814">
        <f t="shared" si="1241"/>
        <v>3.1696656050955392</v>
      </c>
      <c r="CA584" s="2818">
        <f t="shared" ref="CA584:CA596" si="1242">SUM(BW584:BZ584)</f>
        <v>12.678662420382157</v>
      </c>
      <c r="CB584" s="2238"/>
      <c r="CC584" s="2281">
        <f t="shared" ref="CC584:CF595" si="1243">+CC176/CC571*1000</f>
        <v>3.1696656050955392</v>
      </c>
      <c r="CD584" s="2814">
        <f t="shared" si="1243"/>
        <v>3.1696656050955392</v>
      </c>
      <c r="CE584" s="2814">
        <f t="shared" si="1243"/>
        <v>3.1696656050955392</v>
      </c>
      <c r="CF584" s="2814">
        <f t="shared" si="1243"/>
        <v>3.1696656050955392</v>
      </c>
      <c r="CG584" s="2818">
        <f t="shared" ref="CG584:CG596" si="1244">SUM(CC584:CF584)</f>
        <v>12.678662420382157</v>
      </c>
      <c r="CH584" s="2238"/>
      <c r="CI584" s="2281">
        <f t="shared" ref="CI584:CL584" si="1245">+CI176/CI571*1000</f>
        <v>3.1696656050955392</v>
      </c>
      <c r="CJ584" s="2814">
        <f t="shared" si="1245"/>
        <v>3.1696656050955392</v>
      </c>
      <c r="CK584" s="2814">
        <f t="shared" si="1245"/>
        <v>3.1696656050955392</v>
      </c>
      <c r="CL584" s="2814">
        <f t="shared" si="1245"/>
        <v>3.1696656050955392</v>
      </c>
      <c r="CM584" s="2818">
        <f t="shared" ref="CM584:CM596" si="1246">SUM(CI584:CL584)</f>
        <v>12.678662420382157</v>
      </c>
      <c r="CN584" s="2238"/>
      <c r="CO584" s="2281">
        <f t="shared" ref="CO584:CR584" si="1247">+CO176/CO571*1000</f>
        <v>3.1696656050955392</v>
      </c>
      <c r="CP584" s="2814">
        <f t="shared" si="1247"/>
        <v>3.1696656050955392</v>
      </c>
      <c r="CQ584" s="2814">
        <f t="shared" si="1247"/>
        <v>3.1696656050955392</v>
      </c>
      <c r="CR584" s="2814">
        <f t="shared" si="1247"/>
        <v>3.1696656050955392</v>
      </c>
      <c r="CS584" s="2818">
        <f t="shared" ref="CS584:CS596" si="1248">SUM(CO584:CR584)</f>
        <v>12.678662420382157</v>
      </c>
      <c r="CU584" s="2808" t="s">
        <v>834</v>
      </c>
      <c r="CV584" s="2807">
        <v>157.45918615984405</v>
      </c>
    </row>
    <row r="585" spans="1:162">
      <c r="A585" s="1930" t="s">
        <v>615</v>
      </c>
      <c r="B585" s="63"/>
      <c r="C585" s="2281" t="e">
        <f t="shared" si="1218"/>
        <v>#DIV/0!</v>
      </c>
      <c r="D585" s="2814" t="e">
        <f t="shared" si="1218"/>
        <v>#DIV/0!</v>
      </c>
      <c r="E585" s="2814" t="e">
        <f t="shared" si="1218"/>
        <v>#DIV/0!</v>
      </c>
      <c r="F585" s="2814" t="e">
        <f t="shared" si="1218"/>
        <v>#DIV/0!</v>
      </c>
      <c r="G585" s="2818" t="e">
        <f t="shared" si="1219"/>
        <v>#DIV/0!</v>
      </c>
      <c r="H585" s="63"/>
      <c r="I585" s="2281">
        <f t="shared" si="1220"/>
        <v>0</v>
      </c>
      <c r="J585" s="2814">
        <f t="shared" si="1220"/>
        <v>0</v>
      </c>
      <c r="K585" s="2814">
        <f t="shared" si="1220"/>
        <v>0</v>
      </c>
      <c r="L585" s="2814">
        <f t="shared" si="1220"/>
        <v>0</v>
      </c>
      <c r="M585" s="2818">
        <f t="shared" si="1221"/>
        <v>0</v>
      </c>
      <c r="N585" s="63"/>
      <c r="O585" s="2281">
        <f t="shared" si="1222"/>
        <v>0</v>
      </c>
      <c r="P585" s="2814">
        <f t="shared" si="1222"/>
        <v>0</v>
      </c>
      <c r="Q585" s="2814">
        <f t="shared" si="1222"/>
        <v>0</v>
      </c>
      <c r="R585" s="2814">
        <f t="shared" si="1222"/>
        <v>0</v>
      </c>
      <c r="S585" s="2818">
        <f t="shared" si="1223"/>
        <v>0</v>
      </c>
      <c r="T585" s="63"/>
      <c r="U585" s="2281">
        <f t="shared" si="1224"/>
        <v>0</v>
      </c>
      <c r="V585" s="2814">
        <f t="shared" si="1224"/>
        <v>0</v>
      </c>
      <c r="W585" s="2814">
        <f t="shared" si="1224"/>
        <v>0</v>
      </c>
      <c r="X585" s="2814">
        <f t="shared" si="1224"/>
        <v>0</v>
      </c>
      <c r="Y585" s="2818">
        <f t="shared" si="1225"/>
        <v>0</v>
      </c>
      <c r="Z585" s="63"/>
      <c r="AA585" s="2281">
        <f t="shared" si="1226"/>
        <v>0</v>
      </c>
      <c r="AB585" s="2814">
        <f t="shared" si="1226"/>
        <v>0</v>
      </c>
      <c r="AC585" s="2814">
        <f t="shared" si="1226"/>
        <v>0</v>
      </c>
      <c r="AD585" s="2814">
        <f t="shared" si="1226"/>
        <v>0</v>
      </c>
      <c r="AE585" s="2818">
        <f t="shared" si="1227"/>
        <v>0</v>
      </c>
      <c r="AF585" s="63"/>
      <c r="AG585" s="2281">
        <f t="shared" si="1228"/>
        <v>0</v>
      </c>
      <c r="AH585" s="2814">
        <f t="shared" si="1228"/>
        <v>0</v>
      </c>
      <c r="AI585" s="2814">
        <f t="shared" si="1228"/>
        <v>0</v>
      </c>
      <c r="AJ585" s="2814">
        <f t="shared" si="1228"/>
        <v>0</v>
      </c>
      <c r="AK585" s="2818">
        <f t="shared" si="1229"/>
        <v>0</v>
      </c>
      <c r="AL585" s="63"/>
      <c r="AM585" s="2281">
        <f t="shared" si="1230"/>
        <v>0</v>
      </c>
      <c r="AN585" s="2814">
        <f t="shared" si="1230"/>
        <v>0</v>
      </c>
      <c r="AO585" s="2814">
        <f t="shared" si="1230"/>
        <v>0</v>
      </c>
      <c r="AP585" s="2814">
        <f t="shared" si="1230"/>
        <v>0</v>
      </c>
      <c r="AQ585" s="2818">
        <f t="shared" si="1231"/>
        <v>0</v>
      </c>
      <c r="AR585" s="63"/>
      <c r="AS585" s="2281">
        <f t="shared" si="1232"/>
        <v>0</v>
      </c>
      <c r="AT585" s="2814">
        <f t="shared" si="1232"/>
        <v>0</v>
      </c>
      <c r="AU585" s="2814">
        <f t="shared" si="1232"/>
        <v>0</v>
      </c>
      <c r="AV585" s="2814">
        <f t="shared" si="1232"/>
        <v>0</v>
      </c>
      <c r="AW585" s="2818">
        <f t="shared" si="1233"/>
        <v>0</v>
      </c>
      <c r="AX585" s="63"/>
      <c r="AY585" s="2281">
        <f t="shared" si="1234"/>
        <v>0</v>
      </c>
      <c r="AZ585" s="2814">
        <f t="shared" si="1234"/>
        <v>0</v>
      </c>
      <c r="BA585" s="2814">
        <f t="shared" si="1234"/>
        <v>0</v>
      </c>
      <c r="BB585" s="2814">
        <f t="shared" si="1234"/>
        <v>0</v>
      </c>
      <c r="BC585" s="2818">
        <f t="shared" si="1235"/>
        <v>0</v>
      </c>
      <c r="BD585" s="63"/>
      <c r="BE585" s="2281">
        <f t="shared" si="1236"/>
        <v>1.575</v>
      </c>
      <c r="BF585" s="2814">
        <f t="shared" si="1236"/>
        <v>2.3156249999999998</v>
      </c>
      <c r="BG585" s="2814">
        <f t="shared" si="1236"/>
        <v>4.0250000000000004</v>
      </c>
      <c r="BH585" s="2814">
        <f t="shared" si="1236"/>
        <v>10.5</v>
      </c>
      <c r="BI585" s="2818">
        <f t="shared" si="1237"/>
        <v>18.415624999999999</v>
      </c>
      <c r="BJ585" s="63"/>
      <c r="BK585" s="2281">
        <f t="shared" si="1238"/>
        <v>12.924999999999999</v>
      </c>
      <c r="BL585" s="2814">
        <f t="shared" si="1238"/>
        <v>15.674999999999997</v>
      </c>
      <c r="BM585" s="2814">
        <f t="shared" si="1238"/>
        <v>18.425000000000001</v>
      </c>
      <c r="BN585" s="2814">
        <f t="shared" si="1238"/>
        <v>21.175000000000004</v>
      </c>
      <c r="BO585" s="2818">
        <f t="shared" ref="BO585:BO596" si="1249">SUM(BK585:BN585)</f>
        <v>68.199999999999989</v>
      </c>
      <c r="BP585" s="63"/>
      <c r="BQ585" s="2281">
        <f t="shared" si="1239"/>
        <v>22.837499999999999</v>
      </c>
      <c r="BR585" s="2814">
        <f t="shared" si="1239"/>
        <v>25.593750000000004</v>
      </c>
      <c r="BS585" s="2814">
        <f t="shared" si="1239"/>
        <v>28.481249999999999</v>
      </c>
      <c r="BT585" s="2814">
        <f t="shared" si="1239"/>
        <v>31.368750000000002</v>
      </c>
      <c r="BU585" s="2818">
        <f t="shared" si="1240"/>
        <v>108.28125000000001</v>
      </c>
      <c r="BV585" s="63"/>
      <c r="BW585" s="2281">
        <f t="shared" si="1241"/>
        <v>34.256250000000001</v>
      </c>
      <c r="BX585" s="2814">
        <f t="shared" si="1241"/>
        <v>37.143750000000004</v>
      </c>
      <c r="BY585" s="2814">
        <f t="shared" si="1241"/>
        <v>40.03125</v>
      </c>
      <c r="BZ585" s="2814">
        <f t="shared" si="1241"/>
        <v>42.918749999999996</v>
      </c>
      <c r="CA585" s="2818">
        <f t="shared" si="1242"/>
        <v>154.35</v>
      </c>
      <c r="CB585" s="63"/>
      <c r="CC585" s="2281">
        <f t="shared" si="1243"/>
        <v>45.806250000000006</v>
      </c>
      <c r="CD585" s="2814">
        <f t="shared" si="1243"/>
        <v>48.693750000000001</v>
      </c>
      <c r="CE585" s="2814">
        <f t="shared" si="1243"/>
        <v>51.581250000000004</v>
      </c>
      <c r="CF585" s="2814">
        <f t="shared" si="1243"/>
        <v>54.46875</v>
      </c>
      <c r="CG585" s="2818">
        <f t="shared" si="1244"/>
        <v>200.55</v>
      </c>
      <c r="CH585" s="63"/>
      <c r="CI585" s="2281">
        <f t="shared" ref="CI585:CL585" si="1250">+CI177/CI572*1000</f>
        <v>57.356249999999996</v>
      </c>
      <c r="CJ585" s="2814">
        <f t="shared" si="1250"/>
        <v>60.243749999999999</v>
      </c>
      <c r="CK585" s="2814">
        <f t="shared" si="1250"/>
        <v>63.131250000000001</v>
      </c>
      <c r="CL585" s="2814">
        <f t="shared" si="1250"/>
        <v>66.018749999999997</v>
      </c>
      <c r="CM585" s="2818">
        <f t="shared" si="1246"/>
        <v>246.75</v>
      </c>
      <c r="CN585" s="63"/>
      <c r="CO585" s="2281">
        <f t="shared" ref="CO585:CR585" si="1251">+CO177/CO572*1000</f>
        <v>68.90625</v>
      </c>
      <c r="CP585" s="2814">
        <f t="shared" si="1251"/>
        <v>71.793750000000003</v>
      </c>
      <c r="CQ585" s="2814">
        <f t="shared" si="1251"/>
        <v>74.681249999999991</v>
      </c>
      <c r="CR585" s="2814">
        <f t="shared" si="1251"/>
        <v>77.568750000000009</v>
      </c>
      <c r="CS585" s="2818">
        <f t="shared" si="1248"/>
        <v>292.95</v>
      </c>
      <c r="CU585" s="2808" t="s">
        <v>9</v>
      </c>
      <c r="CV585" s="2807">
        <v>100</v>
      </c>
      <c r="CY585" s="1389"/>
      <c r="CZ585" s="1389"/>
      <c r="DA585" s="1389"/>
      <c r="DB585" s="1389"/>
      <c r="DC585" s="1389"/>
      <c r="DD585" s="1389"/>
      <c r="DE585" s="1389"/>
      <c r="DF585" s="1389"/>
      <c r="DG585" s="1389"/>
      <c r="DH585" s="1389"/>
      <c r="DI585" s="1389"/>
      <c r="DJ585" s="1389"/>
      <c r="DK585" s="1389"/>
      <c r="DL585" s="1389"/>
      <c r="DM585" s="1389"/>
      <c r="DN585" s="1389"/>
    </row>
    <row r="586" spans="1:162" ht="13.5" thickBot="1">
      <c r="A586" s="1930" t="s">
        <v>230</v>
      </c>
      <c r="B586" s="63"/>
      <c r="C586" s="2281" t="e">
        <f t="shared" si="1218"/>
        <v>#DIV/0!</v>
      </c>
      <c r="D586" s="2814" t="e">
        <f t="shared" si="1218"/>
        <v>#DIV/0!</v>
      </c>
      <c r="E586" s="2814" t="e">
        <f t="shared" si="1218"/>
        <v>#DIV/0!</v>
      </c>
      <c r="F586" s="2814" t="e">
        <f t="shared" si="1218"/>
        <v>#DIV/0!</v>
      </c>
      <c r="G586" s="2818" t="e">
        <f t="shared" si="1219"/>
        <v>#DIV/0!</v>
      </c>
      <c r="H586" s="63"/>
      <c r="I586" s="2281">
        <f t="shared" si="1220"/>
        <v>0</v>
      </c>
      <c r="J586" s="2814">
        <f t="shared" si="1220"/>
        <v>0</v>
      </c>
      <c r="K586" s="2814">
        <f t="shared" si="1220"/>
        <v>0</v>
      </c>
      <c r="L586" s="2814">
        <f t="shared" si="1220"/>
        <v>0</v>
      </c>
      <c r="M586" s="2818">
        <f t="shared" si="1221"/>
        <v>0</v>
      </c>
      <c r="N586" s="63"/>
      <c r="O586" s="2281">
        <f t="shared" si="1222"/>
        <v>0</v>
      </c>
      <c r="P586" s="2814">
        <f t="shared" si="1222"/>
        <v>0</v>
      </c>
      <c r="Q586" s="2814">
        <f t="shared" si="1222"/>
        <v>0</v>
      </c>
      <c r="R586" s="2814">
        <f t="shared" si="1222"/>
        <v>0</v>
      </c>
      <c r="S586" s="2818">
        <f t="shared" si="1223"/>
        <v>0</v>
      </c>
      <c r="T586" s="63"/>
      <c r="U586" s="2281">
        <f t="shared" si="1224"/>
        <v>0</v>
      </c>
      <c r="V586" s="2814">
        <f t="shared" si="1224"/>
        <v>0</v>
      </c>
      <c r="W586" s="2814">
        <f t="shared" si="1224"/>
        <v>0</v>
      </c>
      <c r="X586" s="2814">
        <f t="shared" si="1224"/>
        <v>0</v>
      </c>
      <c r="Y586" s="2818">
        <f t="shared" si="1225"/>
        <v>0</v>
      </c>
      <c r="Z586" s="63"/>
      <c r="AA586" s="2281">
        <f t="shared" si="1226"/>
        <v>0</v>
      </c>
      <c r="AB586" s="2814">
        <f t="shared" si="1226"/>
        <v>0</v>
      </c>
      <c r="AC586" s="2814">
        <f t="shared" si="1226"/>
        <v>6.6964285714285712</v>
      </c>
      <c r="AD586" s="2814">
        <f t="shared" si="1226"/>
        <v>18.00595238095238</v>
      </c>
      <c r="AE586" s="2818">
        <f t="shared" si="1227"/>
        <v>24.702380952380949</v>
      </c>
      <c r="AF586" s="63"/>
      <c r="AG586" s="2281">
        <f t="shared" si="1228"/>
        <v>48.861607142857146</v>
      </c>
      <c r="AH586" s="2814">
        <f t="shared" si="1228"/>
        <v>87.328869047619051</v>
      </c>
      <c r="AI586" s="2814">
        <f t="shared" si="1228"/>
        <v>103.79464285714286</v>
      </c>
      <c r="AJ586" s="2814">
        <f t="shared" si="1228"/>
        <v>169.01041666666666</v>
      </c>
      <c r="AK586" s="2818">
        <f t="shared" si="1229"/>
        <v>408.99553571428572</v>
      </c>
      <c r="AL586" s="63"/>
      <c r="AM586" s="2281">
        <f t="shared" si="1230"/>
        <v>180.44642857142858</v>
      </c>
      <c r="AN586" s="2814">
        <f t="shared" si="1230"/>
        <v>212.20238095238093</v>
      </c>
      <c r="AO586" s="2814">
        <f t="shared" si="1230"/>
        <v>237.02380952380952</v>
      </c>
      <c r="AP586" s="2814">
        <f t="shared" si="1230"/>
        <v>272.38095238095241</v>
      </c>
      <c r="AQ586" s="2818">
        <f t="shared" si="1231"/>
        <v>902.05357142857144</v>
      </c>
      <c r="AR586" s="63"/>
      <c r="AS586" s="2281">
        <f t="shared" si="1232"/>
        <v>324.46428571428572</v>
      </c>
      <c r="AT586" s="2814">
        <f t="shared" si="1232"/>
        <v>348.33333333333331</v>
      </c>
      <c r="AU586" s="2814">
        <f t="shared" si="1232"/>
        <v>375.29017857142856</v>
      </c>
      <c r="AV586" s="2814">
        <f t="shared" si="1232"/>
        <v>430.91517857142856</v>
      </c>
      <c r="AW586" s="2818">
        <f t="shared" si="1233"/>
        <v>1479.0029761904761</v>
      </c>
      <c r="AX586" s="63"/>
      <c r="AY586" s="2281">
        <f t="shared" si="1234"/>
        <v>470.08928571428567</v>
      </c>
      <c r="AZ586" s="2814">
        <f t="shared" si="1234"/>
        <v>460.63988095238096</v>
      </c>
      <c r="BA586" s="2814">
        <f t="shared" si="1234"/>
        <v>494.66517857142861</v>
      </c>
      <c r="BB586" s="2814">
        <f t="shared" si="1234"/>
        <v>507.85714285714278</v>
      </c>
      <c r="BC586" s="2818">
        <f t="shared" si="1235"/>
        <v>1933.2514880952381</v>
      </c>
      <c r="BD586" s="63"/>
      <c r="BE586" s="2281">
        <f t="shared" si="1236"/>
        <v>622.50595238095241</v>
      </c>
      <c r="BF586" s="2814">
        <f t="shared" si="1236"/>
        <v>606.76339285714289</v>
      </c>
      <c r="BG586" s="2814">
        <f t="shared" si="1236"/>
        <v>668.42708333333337</v>
      </c>
      <c r="BH586" s="2814">
        <f t="shared" si="1236"/>
        <v>668.7425595238094</v>
      </c>
      <c r="BI586" s="2818">
        <f t="shared" si="1237"/>
        <v>2566.4389880952385</v>
      </c>
      <c r="BJ586" s="63"/>
      <c r="BK586" s="2281">
        <f t="shared" si="1238"/>
        <v>685.94017857142865</v>
      </c>
      <c r="BL586" s="2814">
        <f t="shared" si="1238"/>
        <v>718.6875</v>
      </c>
      <c r="BM586" s="2814">
        <f t="shared" si="1238"/>
        <v>769.60044642857156</v>
      </c>
      <c r="BN586" s="2814">
        <f t="shared" si="1238"/>
        <v>794.19866071428567</v>
      </c>
      <c r="BO586" s="2818">
        <f t="shared" si="1249"/>
        <v>2968.4267857142859</v>
      </c>
      <c r="BP586" s="63"/>
      <c r="BQ586" s="2281">
        <f t="shared" si="1239"/>
        <v>818.47321428571433</v>
      </c>
      <c r="BR586" s="2814">
        <f t="shared" si="1239"/>
        <v>843.71875000000011</v>
      </c>
      <c r="BS586" s="2814">
        <f t="shared" si="1239"/>
        <v>869.61160714285711</v>
      </c>
      <c r="BT586" s="2814">
        <f t="shared" si="1239"/>
        <v>895.50446428571433</v>
      </c>
      <c r="BU586" s="2818">
        <f t="shared" si="1240"/>
        <v>3427.3080357142858</v>
      </c>
      <c r="BV586" s="63"/>
      <c r="BW586" s="2281">
        <f t="shared" si="1241"/>
        <v>921.39732142857133</v>
      </c>
      <c r="BX586" s="2814">
        <f t="shared" si="1241"/>
        <v>947.29017857142844</v>
      </c>
      <c r="BY586" s="2814">
        <f t="shared" si="1241"/>
        <v>973.18303571428578</v>
      </c>
      <c r="BZ586" s="2814">
        <f t="shared" si="1241"/>
        <v>999.07589285714289</v>
      </c>
      <c r="CA586" s="2818">
        <f t="shared" si="1242"/>
        <v>3840.9464285714284</v>
      </c>
      <c r="CB586" s="63"/>
      <c r="CC586" s="2281">
        <f t="shared" si="1243"/>
        <v>1024.96875</v>
      </c>
      <c r="CD586" s="2814">
        <f t="shared" si="1243"/>
        <v>1050.8616071428571</v>
      </c>
      <c r="CE586" s="2814">
        <f t="shared" si="1243"/>
        <v>1076.7544642857142</v>
      </c>
      <c r="CF586" s="2814">
        <f t="shared" si="1243"/>
        <v>1102.6473214285716</v>
      </c>
      <c r="CG586" s="2818">
        <f t="shared" si="1244"/>
        <v>4255.2321428571431</v>
      </c>
      <c r="CH586" s="63"/>
      <c r="CI586" s="2281">
        <f t="shared" ref="CI586:CL586" si="1252">+CI178/CI573*1000</f>
        <v>1128.5401785714287</v>
      </c>
      <c r="CJ586" s="2814">
        <f t="shared" si="1252"/>
        <v>1154.4330357142858</v>
      </c>
      <c r="CK586" s="2814">
        <f t="shared" si="1252"/>
        <v>1180.3258928571427</v>
      </c>
      <c r="CL586" s="2814">
        <f t="shared" si="1252"/>
        <v>1206.21875</v>
      </c>
      <c r="CM586" s="2818">
        <f t="shared" si="1246"/>
        <v>4669.5178571428569</v>
      </c>
      <c r="CN586" s="63"/>
      <c r="CO586" s="2281">
        <f t="shared" ref="CO586:CR586" si="1253">+CO178/CO573*1000</f>
        <v>1232.1116071428573</v>
      </c>
      <c r="CP586" s="2814">
        <f t="shared" si="1253"/>
        <v>1258.0044642857142</v>
      </c>
      <c r="CQ586" s="2814">
        <f t="shared" si="1253"/>
        <v>1283.8973214285713</v>
      </c>
      <c r="CR586" s="2814">
        <f t="shared" si="1253"/>
        <v>1309.7901785714284</v>
      </c>
      <c r="CS586" s="2818">
        <f t="shared" si="1248"/>
        <v>5083.8035714285716</v>
      </c>
      <c r="CU586" s="2806" t="s">
        <v>833</v>
      </c>
      <c r="CV586" s="2805">
        <v>87.719298245614027</v>
      </c>
      <c r="CY586" s="1389"/>
      <c r="CZ586" s="1389"/>
      <c r="DA586" s="1389"/>
      <c r="DB586" s="1389"/>
      <c r="DC586" s="1389"/>
      <c r="DD586" s="1389"/>
      <c r="DE586" s="1389"/>
      <c r="DF586" s="1389"/>
      <c r="DG586" s="1389"/>
      <c r="DH586" s="1389"/>
      <c r="DI586" s="1389"/>
      <c r="DJ586" s="1389"/>
      <c r="DK586" s="1389"/>
      <c r="DL586" s="1389"/>
      <c r="DM586" s="1389"/>
      <c r="DN586" s="1389"/>
      <c r="DO586" s="1389"/>
      <c r="DP586" s="1389"/>
      <c r="DQ586" s="1389"/>
      <c r="DR586" s="1389"/>
      <c r="DS586" s="1389"/>
      <c r="DT586" s="1389"/>
      <c r="DU586" s="1389"/>
      <c r="DV586" s="1389"/>
      <c r="DW586" s="1389"/>
      <c r="DX586" s="1389"/>
      <c r="DY586" s="1389"/>
      <c r="DZ586" s="1389"/>
      <c r="EA586" s="1389"/>
      <c r="EB586" s="1389"/>
      <c r="EC586" s="1389"/>
      <c r="ED586" s="1389"/>
      <c r="EE586" s="1389"/>
      <c r="EF586" s="1389"/>
      <c r="EG586" s="1389"/>
      <c r="EH586" s="1389"/>
      <c r="EI586" s="1389"/>
      <c r="EJ586" s="1389"/>
      <c r="EK586" s="1389"/>
      <c r="EL586" s="1389"/>
    </row>
    <row r="587" spans="1:162" ht="13.5" thickTop="1">
      <c r="A587" s="1930" t="s">
        <v>447</v>
      </c>
      <c r="B587" s="63"/>
      <c r="C587" s="2281" t="e">
        <f t="shared" si="1218"/>
        <v>#DIV/0!</v>
      </c>
      <c r="D587" s="2814" t="e">
        <f t="shared" si="1218"/>
        <v>#DIV/0!</v>
      </c>
      <c r="E587" s="2814" t="e">
        <f t="shared" si="1218"/>
        <v>#DIV/0!</v>
      </c>
      <c r="F587" s="2814" t="e">
        <f t="shared" si="1218"/>
        <v>#DIV/0!</v>
      </c>
      <c r="G587" s="2818" t="e">
        <f t="shared" si="1219"/>
        <v>#DIV/0!</v>
      </c>
      <c r="H587" s="63"/>
      <c r="I587" s="2281">
        <f t="shared" si="1220"/>
        <v>0</v>
      </c>
      <c r="J587" s="2814">
        <f t="shared" si="1220"/>
        <v>0</v>
      </c>
      <c r="K587" s="2814">
        <f t="shared" si="1220"/>
        <v>0</v>
      </c>
      <c r="L587" s="2814">
        <f t="shared" si="1220"/>
        <v>0</v>
      </c>
      <c r="M587" s="2818">
        <f t="shared" si="1221"/>
        <v>0</v>
      </c>
      <c r="N587" s="63"/>
      <c r="O587" s="2281">
        <f t="shared" si="1222"/>
        <v>0</v>
      </c>
      <c r="P587" s="2814">
        <f t="shared" si="1222"/>
        <v>0</v>
      </c>
      <c r="Q587" s="2814">
        <f t="shared" si="1222"/>
        <v>0</v>
      </c>
      <c r="R587" s="2814">
        <f t="shared" si="1222"/>
        <v>0</v>
      </c>
      <c r="S587" s="2818">
        <f t="shared" si="1223"/>
        <v>0</v>
      </c>
      <c r="T587" s="63"/>
      <c r="U587" s="2281">
        <f t="shared" si="1224"/>
        <v>0</v>
      </c>
      <c r="V587" s="2814">
        <f t="shared" si="1224"/>
        <v>0</v>
      </c>
      <c r="W587" s="2814">
        <f t="shared" si="1224"/>
        <v>0</v>
      </c>
      <c r="X587" s="2814">
        <f t="shared" si="1224"/>
        <v>0</v>
      </c>
      <c r="Y587" s="2818">
        <f t="shared" si="1225"/>
        <v>0</v>
      </c>
      <c r="Z587" s="63"/>
      <c r="AA587" s="2281">
        <f t="shared" si="1226"/>
        <v>0</v>
      </c>
      <c r="AB587" s="2814">
        <f t="shared" si="1226"/>
        <v>0</v>
      </c>
      <c r="AC587" s="2814">
        <f t="shared" si="1226"/>
        <v>0</v>
      </c>
      <c r="AD587" s="2814">
        <f t="shared" si="1226"/>
        <v>0</v>
      </c>
      <c r="AE587" s="2818">
        <f t="shared" si="1227"/>
        <v>0</v>
      </c>
      <c r="AF587" s="63"/>
      <c r="AG587" s="2281">
        <f t="shared" si="1228"/>
        <v>0</v>
      </c>
      <c r="AH587" s="2814">
        <f t="shared" si="1228"/>
        <v>0</v>
      </c>
      <c r="AI587" s="2814">
        <f t="shared" si="1228"/>
        <v>0</v>
      </c>
      <c r="AJ587" s="2814">
        <f t="shared" si="1228"/>
        <v>0</v>
      </c>
      <c r="AK587" s="2818">
        <f t="shared" si="1229"/>
        <v>0</v>
      </c>
      <c r="AL587" s="63"/>
      <c r="AM587" s="2281">
        <f t="shared" si="1230"/>
        <v>0</v>
      </c>
      <c r="AN587" s="2814">
        <f t="shared" si="1230"/>
        <v>0</v>
      </c>
      <c r="AO587" s="2814">
        <f t="shared" si="1230"/>
        <v>0</v>
      </c>
      <c r="AP587" s="2814">
        <f t="shared" si="1230"/>
        <v>0</v>
      </c>
      <c r="AQ587" s="2818">
        <f t="shared" si="1231"/>
        <v>0</v>
      </c>
      <c r="AR587" s="63"/>
      <c r="AS587" s="2281">
        <f t="shared" si="1232"/>
        <v>9.3214285714285712</v>
      </c>
      <c r="AT587" s="2814">
        <f t="shared" si="1232"/>
        <v>85.178571428571431</v>
      </c>
      <c r="AU587" s="2814">
        <f t="shared" si="1232"/>
        <v>174.42857142857144</v>
      </c>
      <c r="AV587" s="2814">
        <f t="shared" si="1232"/>
        <v>332.99999999999994</v>
      </c>
      <c r="AW587" s="2818">
        <f t="shared" si="1233"/>
        <v>601.92857142857133</v>
      </c>
      <c r="AX587" s="63"/>
      <c r="AY587" s="2281">
        <f t="shared" si="1234"/>
        <v>450.375</v>
      </c>
      <c r="AZ587" s="2814">
        <f t="shared" si="1234"/>
        <v>548.47500000000002</v>
      </c>
      <c r="BA587" s="2814">
        <f t="shared" si="1234"/>
        <v>733.53571428571433</v>
      </c>
      <c r="BB587" s="2814">
        <f t="shared" si="1234"/>
        <v>1009.8499999999999</v>
      </c>
      <c r="BC587" s="2818">
        <f t="shared" si="1235"/>
        <v>2742.2357142857145</v>
      </c>
      <c r="BD587" s="63"/>
      <c r="BE587" s="2281">
        <f t="shared" si="1236"/>
        <v>1149.5714285714284</v>
      </c>
      <c r="BF587" s="2814">
        <f t="shared" si="1236"/>
        <v>1442.7500000000002</v>
      </c>
      <c r="BG587" s="2814">
        <f t="shared" si="1236"/>
        <v>1666.6071428571427</v>
      </c>
      <c r="BH587" s="2814">
        <f t="shared" si="1236"/>
        <v>1835.3571428571427</v>
      </c>
      <c r="BI587" s="2818">
        <f t="shared" si="1237"/>
        <v>6094.2857142857138</v>
      </c>
      <c r="BJ587" s="63"/>
      <c r="BK587" s="2281">
        <f t="shared" si="1238"/>
        <v>1710.1714285714286</v>
      </c>
      <c r="BL587" s="2814">
        <f t="shared" si="1238"/>
        <v>2107.0928571428572</v>
      </c>
      <c r="BM587" s="2814">
        <f t="shared" si="1238"/>
        <v>2383.6785714285711</v>
      </c>
      <c r="BN587" s="2814">
        <f t="shared" si="1238"/>
        <v>2584.9928571428572</v>
      </c>
      <c r="BO587" s="2818">
        <f t="shared" si="1249"/>
        <v>8785.9357142857134</v>
      </c>
      <c r="BP587" s="63"/>
      <c r="BQ587" s="2281">
        <f t="shared" si="1239"/>
        <v>2606.7857142857147</v>
      </c>
      <c r="BR587" s="2814">
        <f t="shared" si="1239"/>
        <v>2813.046647230321</v>
      </c>
      <c r="BS587" s="2814">
        <f t="shared" si="1239"/>
        <v>3026.6406854286906</v>
      </c>
      <c r="BT587" s="2814">
        <f t="shared" si="1239"/>
        <v>3247.7812330382271</v>
      </c>
      <c r="BU587" s="2818">
        <f t="shared" si="1240"/>
        <v>11694.254279982953</v>
      </c>
      <c r="BV587" s="63"/>
      <c r="BW587" s="2281">
        <f t="shared" si="1241"/>
        <v>3547.6401534715915</v>
      </c>
      <c r="BX587" s="2814">
        <f t="shared" si="1241"/>
        <v>3789.3713224825597</v>
      </c>
      <c r="BY587" s="2814">
        <f t="shared" si="1241"/>
        <v>4039.4915020764533</v>
      </c>
      <c r="BZ587" s="2814">
        <f t="shared" si="1241"/>
        <v>4298.2424214778111</v>
      </c>
      <c r="CA587" s="2818">
        <f t="shared" si="1242"/>
        <v>15674.745399508416</v>
      </c>
      <c r="CB587" s="63"/>
      <c r="CC587" s="2281">
        <f t="shared" si="1243"/>
        <v>4565.872182444873</v>
      </c>
      <c r="CD587" s="2814">
        <f t="shared" si="1243"/>
        <v>4842.63541869444</v>
      </c>
      <c r="CE587" s="2814">
        <f t="shared" si="1243"/>
        <v>5128.7934591797457</v>
      </c>
      <c r="CF587" s="2814">
        <f t="shared" si="1243"/>
        <v>5424.6144953122275</v>
      </c>
      <c r="CG587" s="2818">
        <f t="shared" si="1244"/>
        <v>19961.915555631287</v>
      </c>
      <c r="CH587" s="63"/>
      <c r="CI587" s="2281">
        <f t="shared" ref="CI587:CL587" si="1254">+CI179/CI574*1000</f>
        <v>5730.3737522201372</v>
      </c>
      <c r="CJ587" s="2814">
        <f t="shared" si="1254"/>
        <v>6046.353664139152</v>
      </c>
      <c r="CK587" s="2814">
        <f t="shared" si="1254"/>
        <v>6372.8440540322781</v>
      </c>
      <c r="CL587" s="2814">
        <f t="shared" si="1254"/>
        <v>6710.1423175386444</v>
      </c>
      <c r="CM587" s="2818">
        <f t="shared" si="1246"/>
        <v>24859.71378793021</v>
      </c>
      <c r="CN587" s="63"/>
      <c r="CO587" s="2281">
        <f t="shared" ref="CO587:CR587" si="1255">+CO179/CO574*1000</f>
        <v>7058.5536113530443</v>
      </c>
      <c r="CP587" s="2814">
        <f t="shared" si="1255"/>
        <v>7418.3910461404867</v>
      </c>
      <c r="CQ587" s="2814">
        <f t="shared" si="1255"/>
        <v>7789.9758840923669</v>
      </c>
      <c r="CR587" s="2814">
        <f t="shared" si="1255"/>
        <v>8173.6377412333941</v>
      </c>
      <c r="CS587" s="2818">
        <f t="shared" si="1248"/>
        <v>30440.558282819293</v>
      </c>
      <c r="CY587" s="1389"/>
      <c r="CZ587" s="1389"/>
      <c r="DA587" s="1389"/>
      <c r="DB587" s="1389"/>
      <c r="DC587" s="1389"/>
      <c r="DD587" s="1389"/>
      <c r="DE587" s="1389"/>
      <c r="DF587" s="1389"/>
      <c r="DG587" s="1389"/>
      <c r="DH587" s="1389"/>
      <c r="DI587" s="1389"/>
      <c r="DJ587" s="1389"/>
      <c r="DK587" s="1389"/>
      <c r="DL587" s="1389"/>
      <c r="DM587" s="1389"/>
      <c r="DN587" s="1389"/>
      <c r="DO587" s="1389"/>
      <c r="DP587" s="1389"/>
      <c r="DQ587" s="1389"/>
      <c r="DR587" s="1389"/>
      <c r="DS587" s="1389"/>
      <c r="DT587" s="1389"/>
      <c r="DU587" s="1389"/>
      <c r="DV587" s="1389"/>
      <c r="DW587" s="1389"/>
      <c r="DX587" s="1389"/>
      <c r="DY587" s="1389"/>
      <c r="DZ587" s="1389"/>
      <c r="EA587" s="1389"/>
      <c r="EB587" s="1389"/>
      <c r="EC587" s="1389"/>
      <c r="ED587" s="1389"/>
      <c r="EE587" s="1389"/>
      <c r="EF587" s="1389"/>
      <c r="EG587" s="1389"/>
      <c r="EH587" s="1389"/>
      <c r="EI587" s="1389"/>
      <c r="EJ587" s="1389"/>
      <c r="EK587" s="1389"/>
      <c r="EL587" s="1389"/>
    </row>
    <row r="588" spans="1:162">
      <c r="A588" s="1930" t="s">
        <v>9</v>
      </c>
      <c r="B588" s="63"/>
      <c r="C588" s="2281" t="e">
        <f t="shared" si="1218"/>
        <v>#DIV/0!</v>
      </c>
      <c r="D588" s="2814" t="e">
        <f t="shared" si="1218"/>
        <v>#DIV/0!</v>
      </c>
      <c r="E588" s="2814" t="e">
        <f t="shared" si="1218"/>
        <v>#DIV/0!</v>
      </c>
      <c r="F588" s="2814" t="e">
        <f t="shared" si="1218"/>
        <v>#DIV/0!</v>
      </c>
      <c r="G588" s="2818" t="e">
        <f t="shared" si="1219"/>
        <v>#DIV/0!</v>
      </c>
      <c r="H588" s="63"/>
      <c r="I588" s="2281">
        <f t="shared" si="1220"/>
        <v>0</v>
      </c>
      <c r="J588" s="2814">
        <f t="shared" si="1220"/>
        <v>0</v>
      </c>
      <c r="K588" s="2814">
        <f t="shared" si="1220"/>
        <v>0</v>
      </c>
      <c r="L588" s="2814">
        <f t="shared" si="1220"/>
        <v>0</v>
      </c>
      <c r="M588" s="2818">
        <f t="shared" si="1221"/>
        <v>0</v>
      </c>
      <c r="N588" s="63"/>
      <c r="O588" s="2281">
        <f t="shared" si="1222"/>
        <v>0</v>
      </c>
      <c r="P588" s="2814">
        <f t="shared" si="1222"/>
        <v>0</v>
      </c>
      <c r="Q588" s="2814">
        <f t="shared" si="1222"/>
        <v>0</v>
      </c>
      <c r="R588" s="2814">
        <f t="shared" si="1222"/>
        <v>0</v>
      </c>
      <c r="S588" s="2818">
        <f t="shared" si="1223"/>
        <v>0</v>
      </c>
      <c r="T588" s="63"/>
      <c r="U588" s="2281">
        <f t="shared" si="1224"/>
        <v>2.2500000000000004</v>
      </c>
      <c r="V588" s="2814">
        <f t="shared" si="1224"/>
        <v>27.82</v>
      </c>
      <c r="W588" s="2814">
        <f t="shared" si="1224"/>
        <v>86.358125000000001</v>
      </c>
      <c r="X588" s="2814">
        <f t="shared" si="1224"/>
        <v>203.50125</v>
      </c>
      <c r="Y588" s="2818">
        <f t="shared" si="1225"/>
        <v>319.92937499999999</v>
      </c>
      <c r="Z588" s="63"/>
      <c r="AA588" s="2281">
        <f t="shared" si="1226"/>
        <v>475.81625000000003</v>
      </c>
      <c r="AB588" s="2814">
        <f t="shared" si="1226"/>
        <v>560.09017500000004</v>
      </c>
      <c r="AC588" s="2814">
        <f t="shared" si="1226"/>
        <v>578.88472500000012</v>
      </c>
      <c r="AD588" s="2814">
        <f t="shared" si="1226"/>
        <v>644.92874999999992</v>
      </c>
      <c r="AE588" s="2818">
        <f t="shared" si="1227"/>
        <v>2259.7199000000001</v>
      </c>
      <c r="AF588" s="63"/>
      <c r="AG588" s="2281">
        <f t="shared" si="1228"/>
        <v>803.42700000000013</v>
      </c>
      <c r="AH588" s="2814">
        <f t="shared" si="1228"/>
        <v>931.16464999999994</v>
      </c>
      <c r="AI588" s="2814">
        <f t="shared" si="1228"/>
        <v>917.57531250000011</v>
      </c>
      <c r="AJ588" s="2814">
        <f t="shared" si="1228"/>
        <v>930.7568</v>
      </c>
      <c r="AK588" s="2818">
        <f t="shared" si="1229"/>
        <v>3582.9237625000005</v>
      </c>
      <c r="AL588" s="63"/>
      <c r="AM588" s="2281">
        <f t="shared" si="1230"/>
        <v>866.71522500000015</v>
      </c>
      <c r="AN588" s="2814">
        <f t="shared" si="1230"/>
        <v>796.3565000000001</v>
      </c>
      <c r="AO588" s="2814">
        <f t="shared" si="1230"/>
        <v>768.14027500000009</v>
      </c>
      <c r="AP588" s="2814">
        <f t="shared" si="1230"/>
        <v>775.90311419172929</v>
      </c>
      <c r="AQ588" s="2818">
        <f t="shared" si="1231"/>
        <v>3207.1151141917298</v>
      </c>
      <c r="AR588" s="63"/>
      <c r="AS588" s="2281">
        <f t="shared" si="1232"/>
        <v>735.01015037593982</v>
      </c>
      <c r="AT588" s="2814">
        <f t="shared" si="1232"/>
        <v>725.68984962406023</v>
      </c>
      <c r="AU588" s="2814">
        <f t="shared" si="1232"/>
        <v>725.68984962406023</v>
      </c>
      <c r="AV588" s="2814">
        <f t="shared" si="1232"/>
        <v>758.67575187969919</v>
      </c>
      <c r="AW588" s="2818">
        <f t="shared" si="1233"/>
        <v>2945.0656015037594</v>
      </c>
      <c r="AX588" s="63"/>
      <c r="AY588" s="2281">
        <f t="shared" si="1234"/>
        <v>758.67575187969919</v>
      </c>
      <c r="AZ588" s="2814">
        <f t="shared" si="1234"/>
        <v>725.58099614661649</v>
      </c>
      <c r="BA588" s="2814">
        <f t="shared" si="1234"/>
        <v>680.82242537593993</v>
      </c>
      <c r="BB588" s="2814">
        <f t="shared" si="1234"/>
        <v>658.20069360902255</v>
      </c>
      <c r="BC588" s="2818">
        <f t="shared" si="1235"/>
        <v>2823.2798670112779</v>
      </c>
      <c r="BD588" s="63"/>
      <c r="BE588" s="2281">
        <f t="shared" si="1236"/>
        <v>639.07569360902266</v>
      </c>
      <c r="BF588" s="2814">
        <f t="shared" si="1236"/>
        <v>622.65820516917302</v>
      </c>
      <c r="BG588" s="2814">
        <f t="shared" si="1236"/>
        <v>587.76368667293241</v>
      </c>
      <c r="BH588" s="2814">
        <f t="shared" si="1236"/>
        <v>567.45069360902266</v>
      </c>
      <c r="BI588" s="2818">
        <f t="shared" si="1237"/>
        <v>2416.9482790601505</v>
      </c>
      <c r="BJ588" s="63"/>
      <c r="BK588" s="2281">
        <f t="shared" si="1238"/>
        <v>521.2656589285715</v>
      </c>
      <c r="BL588" s="2814">
        <f t="shared" si="1238"/>
        <v>512.3594089285715</v>
      </c>
      <c r="BM588" s="2814">
        <f t="shared" si="1238"/>
        <v>545.67821672932337</v>
      </c>
      <c r="BN588" s="2814">
        <f t="shared" si="1238"/>
        <v>561.92575140977442</v>
      </c>
      <c r="BO588" s="2818">
        <f t="shared" si="1249"/>
        <v>2141.2290359962408</v>
      </c>
      <c r="BP588" s="63"/>
      <c r="BQ588" s="2281">
        <f t="shared" si="1239"/>
        <v>528.24071672932337</v>
      </c>
      <c r="BR588" s="2814">
        <f t="shared" si="1239"/>
        <v>496.20069360902266</v>
      </c>
      <c r="BS588" s="2814">
        <f t="shared" si="1239"/>
        <v>447.39817048872186</v>
      </c>
      <c r="BT588" s="2814">
        <f t="shared" si="1239"/>
        <v>390.6706473684211</v>
      </c>
      <c r="BU588" s="2818">
        <f t="shared" si="1240"/>
        <v>1862.5102281954892</v>
      </c>
      <c r="BV588" s="63"/>
      <c r="BW588" s="2281">
        <f t="shared" si="1241"/>
        <v>338.24312424812035</v>
      </c>
      <c r="BX588" s="2814">
        <f t="shared" si="1241"/>
        <v>289.96560112781958</v>
      </c>
      <c r="BY588" s="2814">
        <f t="shared" si="1241"/>
        <v>244.43807800751884</v>
      </c>
      <c r="BZ588" s="2814">
        <f t="shared" si="1241"/>
        <v>201.6605548872181</v>
      </c>
      <c r="CA588" s="2818">
        <f t="shared" si="1242"/>
        <v>1074.3073582706768</v>
      </c>
      <c r="CB588" s="63"/>
      <c r="CC588" s="2281">
        <f t="shared" si="1243"/>
        <v>163.07053176691736</v>
      </c>
      <c r="CD588" s="2814">
        <f t="shared" si="1243"/>
        <v>128.48050864661658</v>
      </c>
      <c r="CE588" s="2814">
        <f t="shared" si="1243"/>
        <v>96.390485526315828</v>
      </c>
      <c r="CF588" s="2814">
        <f t="shared" si="1243"/>
        <v>66.800462406015058</v>
      </c>
      <c r="CG588" s="2818">
        <f t="shared" si="1244"/>
        <v>454.74198834586485</v>
      </c>
      <c r="CH588" s="63"/>
      <c r="CI588" s="2281">
        <f t="shared" ref="CI588:CL588" si="1256">+CI180/CI575*1000</f>
        <v>38.665427725563937</v>
      </c>
      <c r="CJ588" s="2814">
        <f t="shared" si="1256"/>
        <v>14.28039304511281</v>
      </c>
      <c r="CK588" s="2814">
        <f t="shared" si="1256"/>
        <v>1.6664291823308401</v>
      </c>
      <c r="CL588" s="2814">
        <f t="shared" si="1256"/>
        <v>0</v>
      </c>
      <c r="CM588" s="2818">
        <f t="shared" si="1246"/>
        <v>54.612249953007584</v>
      </c>
      <c r="CN588" s="63"/>
      <c r="CO588" s="2281">
        <f t="shared" ref="CO588:CR588" si="1257">+CO180/CO575*1000</f>
        <v>0</v>
      </c>
      <c r="CP588" s="2814">
        <f t="shared" si="1257"/>
        <v>0</v>
      </c>
      <c r="CQ588" s="2814">
        <f t="shared" si="1257"/>
        <v>0</v>
      </c>
      <c r="CR588" s="2814">
        <f t="shared" si="1257"/>
        <v>0</v>
      </c>
      <c r="CS588" s="2818">
        <f t="shared" si="1248"/>
        <v>0</v>
      </c>
      <c r="CY588" s="1389"/>
      <c r="CZ588" s="1389"/>
      <c r="DA588" s="1389"/>
      <c r="DB588" s="1389"/>
      <c r="DC588" s="1389"/>
      <c r="DD588" s="1389"/>
      <c r="DE588" s="1389"/>
      <c r="DF588" s="1389"/>
      <c r="DG588" s="1389"/>
      <c r="DH588" s="1389"/>
      <c r="DI588" s="1389"/>
      <c r="DJ588" s="1389"/>
      <c r="DK588" s="1389"/>
      <c r="DL588" s="1389"/>
      <c r="DM588" s="1389"/>
      <c r="DN588" s="1389"/>
      <c r="DO588" s="1389"/>
      <c r="DP588" s="1389"/>
      <c r="DQ588" s="1389"/>
      <c r="DR588" s="1389"/>
      <c r="DS588" s="1389"/>
      <c r="DT588" s="1389"/>
      <c r="DU588" s="1389"/>
      <c r="DV588" s="1389"/>
      <c r="DW588" s="1389"/>
      <c r="DX588" s="1389"/>
      <c r="DY588" s="1389"/>
      <c r="DZ588" s="1389"/>
      <c r="EA588" s="1389"/>
      <c r="EB588" s="1389"/>
      <c r="EC588" s="1389"/>
      <c r="ED588" s="1389"/>
      <c r="EE588" s="1389"/>
      <c r="EF588" s="1389"/>
      <c r="EG588" s="1389"/>
      <c r="EH588" s="1389"/>
      <c r="EI588" s="1389"/>
      <c r="EJ588" s="1389"/>
      <c r="EK588" s="1389"/>
      <c r="EL588" s="1389"/>
    </row>
    <row r="589" spans="1:162">
      <c r="A589" s="1930" t="s">
        <v>26</v>
      </c>
      <c r="B589" s="63"/>
      <c r="C589" s="2281" t="e">
        <f t="shared" si="1218"/>
        <v>#DIV/0!</v>
      </c>
      <c r="D589" s="2814" t="e">
        <f t="shared" si="1218"/>
        <v>#DIV/0!</v>
      </c>
      <c r="E589" s="2814" t="e">
        <f t="shared" si="1218"/>
        <v>#DIV/0!</v>
      </c>
      <c r="F589" s="2814" t="e">
        <f t="shared" si="1218"/>
        <v>#DIV/0!</v>
      </c>
      <c r="G589" s="2818" t="e">
        <f t="shared" si="1219"/>
        <v>#DIV/0!</v>
      </c>
      <c r="H589" s="63"/>
      <c r="I589" s="2281">
        <f t="shared" si="1220"/>
        <v>0</v>
      </c>
      <c r="J589" s="2814">
        <f t="shared" si="1220"/>
        <v>0</v>
      </c>
      <c r="K589" s="2814">
        <f t="shared" si="1220"/>
        <v>0</v>
      </c>
      <c r="L589" s="2814">
        <f t="shared" si="1220"/>
        <v>0</v>
      </c>
      <c r="M589" s="2818">
        <f t="shared" si="1221"/>
        <v>0</v>
      </c>
      <c r="N589" s="63"/>
      <c r="O589" s="2281">
        <f t="shared" si="1222"/>
        <v>0</v>
      </c>
      <c r="P589" s="2814">
        <f t="shared" si="1222"/>
        <v>0</v>
      </c>
      <c r="Q589" s="2814">
        <f t="shared" si="1222"/>
        <v>0</v>
      </c>
      <c r="R589" s="2814">
        <f t="shared" si="1222"/>
        <v>0</v>
      </c>
      <c r="S589" s="2818">
        <f t="shared" si="1223"/>
        <v>0</v>
      </c>
      <c r="T589" s="63"/>
      <c r="U589" s="2281">
        <f t="shared" si="1224"/>
        <v>0</v>
      </c>
      <c r="V589" s="2814">
        <f t="shared" si="1224"/>
        <v>0</v>
      </c>
      <c r="W589" s="2814">
        <f t="shared" si="1224"/>
        <v>0</v>
      </c>
      <c r="X589" s="2814">
        <f t="shared" si="1224"/>
        <v>0</v>
      </c>
      <c r="Y589" s="2818">
        <f t="shared" si="1225"/>
        <v>0</v>
      </c>
      <c r="Z589" s="63"/>
      <c r="AA589" s="2281">
        <f t="shared" si="1226"/>
        <v>0</v>
      </c>
      <c r="AB589" s="2814">
        <f t="shared" si="1226"/>
        <v>0</v>
      </c>
      <c r="AC589" s="2814">
        <f t="shared" si="1226"/>
        <v>0</v>
      </c>
      <c r="AD589" s="2814">
        <f t="shared" si="1226"/>
        <v>0</v>
      </c>
      <c r="AE589" s="2818">
        <f t="shared" si="1227"/>
        <v>0</v>
      </c>
      <c r="AF589" s="63"/>
      <c r="AG589" s="2281">
        <f t="shared" si="1228"/>
        <v>0</v>
      </c>
      <c r="AH589" s="2814">
        <f t="shared" si="1228"/>
        <v>0</v>
      </c>
      <c r="AI589" s="2814">
        <f t="shared" si="1228"/>
        <v>0.35714285714285715</v>
      </c>
      <c r="AJ589" s="2814">
        <f t="shared" si="1228"/>
        <v>218.34821428571428</v>
      </c>
      <c r="AK589" s="2818">
        <f t="shared" si="1229"/>
        <v>218.70535714285714</v>
      </c>
      <c r="AL589" s="63"/>
      <c r="AM589" s="2281">
        <f t="shared" si="1230"/>
        <v>712.21428571428567</v>
      </c>
      <c r="AN589" s="2814">
        <f t="shared" si="1230"/>
        <v>1247.8839285714287</v>
      </c>
      <c r="AO589" s="2814">
        <f t="shared" si="1230"/>
        <v>1710.7232142857142</v>
      </c>
      <c r="AP589" s="2814">
        <f t="shared" si="1230"/>
        <v>2037.8571428571429</v>
      </c>
      <c r="AQ589" s="2818">
        <f t="shared" si="1231"/>
        <v>5708.6785714285716</v>
      </c>
      <c r="AR589" s="63"/>
      <c r="AS589" s="2281">
        <f t="shared" si="1232"/>
        <v>2138.6607142857142</v>
      </c>
      <c r="AT589" s="2814">
        <f t="shared" si="1232"/>
        <v>2276.1160714285716</v>
      </c>
      <c r="AU589" s="2814">
        <f t="shared" si="1232"/>
        <v>2467.6339285714284</v>
      </c>
      <c r="AV589" s="2814">
        <f t="shared" si="1232"/>
        <v>2663.5714285714289</v>
      </c>
      <c r="AW589" s="2818">
        <f t="shared" si="1233"/>
        <v>9545.9821428571431</v>
      </c>
      <c r="AX589" s="63"/>
      <c r="AY589" s="2281">
        <f t="shared" si="1234"/>
        <v>2842.5047321428574</v>
      </c>
      <c r="AZ589" s="2814">
        <f t="shared" si="1234"/>
        <v>2695.5325892857145</v>
      </c>
      <c r="BA589" s="2814">
        <f t="shared" si="1234"/>
        <v>2690.9319642857145</v>
      </c>
      <c r="BB589" s="2814">
        <f t="shared" si="1234"/>
        <v>2502.7407142857141</v>
      </c>
      <c r="BC589" s="2818">
        <f t="shared" si="1235"/>
        <v>10731.710000000001</v>
      </c>
      <c r="BD589" s="63"/>
      <c r="BE589" s="2281">
        <f t="shared" si="1236"/>
        <v>2365.1651785714284</v>
      </c>
      <c r="BF589" s="2814">
        <f t="shared" si="1236"/>
        <v>2348.5129464285715</v>
      </c>
      <c r="BG589" s="2814">
        <f t="shared" si="1236"/>
        <v>2171.7992410714287</v>
      </c>
      <c r="BH589" s="2814">
        <f t="shared" si="1236"/>
        <v>2059.4544642857145</v>
      </c>
      <c r="BI589" s="2818">
        <f t="shared" si="1237"/>
        <v>8944.9318303571436</v>
      </c>
      <c r="BJ589" s="63"/>
      <c r="BK589" s="2281">
        <f t="shared" si="1238"/>
        <v>1850.4986383928574</v>
      </c>
      <c r="BL589" s="2814">
        <f t="shared" si="1238"/>
        <v>1809.7398214285715</v>
      </c>
      <c r="BM589" s="2814">
        <f t="shared" si="1238"/>
        <v>1936.6585714285716</v>
      </c>
      <c r="BN589" s="2814">
        <f t="shared" si="1238"/>
        <v>2004.2517857142857</v>
      </c>
      <c r="BO589" s="2818">
        <f t="shared" si="1249"/>
        <v>7601.1488169642862</v>
      </c>
      <c r="BP589" s="63"/>
      <c r="BQ589" s="2281">
        <f t="shared" si="1239"/>
        <v>1885.4532142857142</v>
      </c>
      <c r="BR589" s="2814">
        <f t="shared" si="1239"/>
        <v>1772.3999999999999</v>
      </c>
      <c r="BS589" s="2814">
        <f t="shared" si="1239"/>
        <v>1598.0967857142857</v>
      </c>
      <c r="BT589" s="2814">
        <f t="shared" si="1239"/>
        <v>1395.49</v>
      </c>
      <c r="BU589" s="2818">
        <f t="shared" si="1240"/>
        <v>6651.44</v>
      </c>
      <c r="BV589" s="63"/>
      <c r="BW589" s="2281">
        <f t="shared" si="1241"/>
        <v>1208.2403571428572</v>
      </c>
      <c r="BX589" s="2814">
        <f t="shared" si="1241"/>
        <v>1035.812142857143</v>
      </c>
      <c r="BY589" s="2814">
        <f t="shared" si="1241"/>
        <v>873.20535714285722</v>
      </c>
      <c r="BZ589" s="2814">
        <f t="shared" si="1241"/>
        <v>720.42000000000007</v>
      </c>
      <c r="CA589" s="2818">
        <f t="shared" si="1242"/>
        <v>3837.6778571428576</v>
      </c>
      <c r="CB589" s="63"/>
      <c r="CC589" s="2281">
        <f t="shared" si="1243"/>
        <v>582.59</v>
      </c>
      <c r="CD589" s="2814">
        <f t="shared" si="1243"/>
        <v>459.04571428571427</v>
      </c>
      <c r="CE589" s="2814">
        <f t="shared" si="1243"/>
        <v>344.43</v>
      </c>
      <c r="CF589" s="2814">
        <f t="shared" si="1243"/>
        <v>238.74285714285716</v>
      </c>
      <c r="CG589" s="2818">
        <f t="shared" si="1244"/>
        <v>1624.8085714285717</v>
      </c>
      <c r="CH589" s="63"/>
      <c r="CI589" s="2281">
        <f t="shared" ref="CI589:CL589" si="1258">+CI181/CI576*1000</f>
        <v>138.24785714285721</v>
      </c>
      <c r="CJ589" s="2814">
        <f t="shared" si="1258"/>
        <v>51.145714285714327</v>
      </c>
      <c r="CK589" s="2814">
        <f t="shared" si="1258"/>
        <v>6.0173214285714476</v>
      </c>
      <c r="CL589" s="2814">
        <f t="shared" si="1258"/>
        <v>0</v>
      </c>
      <c r="CM589" s="2818">
        <f t="shared" si="1246"/>
        <v>195.41089285714298</v>
      </c>
      <c r="CN589" s="63"/>
      <c r="CO589" s="2281">
        <f t="shared" ref="CO589:CR589" si="1259">+CO181/CO576*1000</f>
        <v>0</v>
      </c>
      <c r="CP589" s="2814">
        <f t="shared" si="1259"/>
        <v>0</v>
      </c>
      <c r="CQ589" s="2814">
        <f t="shared" si="1259"/>
        <v>0</v>
      </c>
      <c r="CR589" s="2814">
        <f t="shared" si="1259"/>
        <v>0</v>
      </c>
      <c r="CS589" s="2818">
        <f t="shared" si="1248"/>
        <v>0</v>
      </c>
      <c r="CY589" s="2383" t="s">
        <v>102</v>
      </c>
      <c r="CZ589" s="2383" t="s">
        <v>103</v>
      </c>
      <c r="DA589" s="2383" t="s">
        <v>104</v>
      </c>
      <c r="DB589" s="2383" t="s">
        <v>105</v>
      </c>
      <c r="DC589" s="2383" t="s">
        <v>106</v>
      </c>
      <c r="DD589" s="2383" t="s">
        <v>107</v>
      </c>
      <c r="DE589" s="2383" t="s">
        <v>108</v>
      </c>
      <c r="DF589" s="2383" t="s">
        <v>109</v>
      </c>
      <c r="DG589" s="2383" t="s">
        <v>110</v>
      </c>
      <c r="DH589" s="2383" t="s">
        <v>111</v>
      </c>
      <c r="DI589" s="2383" t="s">
        <v>112</v>
      </c>
      <c r="DJ589" s="2383" t="s">
        <v>113</v>
      </c>
      <c r="DK589" s="2383" t="s">
        <v>114</v>
      </c>
      <c r="DL589" s="2383" t="s">
        <v>271</v>
      </c>
      <c r="DM589" s="2383" t="s">
        <v>101</v>
      </c>
      <c r="DN589" s="2383" t="s">
        <v>100</v>
      </c>
      <c r="DO589" s="2383" t="s">
        <v>94</v>
      </c>
      <c r="DP589" s="2383" t="s">
        <v>93</v>
      </c>
      <c r="DQ589" s="2383" t="s">
        <v>92</v>
      </c>
      <c r="DR589" s="2383" t="s">
        <v>91</v>
      </c>
      <c r="DS589" s="2383" t="s">
        <v>115</v>
      </c>
      <c r="DT589" s="2383" t="s">
        <v>116</v>
      </c>
      <c r="DU589" s="2383" t="s">
        <v>117</v>
      </c>
      <c r="DV589" s="2383" t="s">
        <v>118</v>
      </c>
      <c r="DW589" s="2383" t="s">
        <v>509</v>
      </c>
      <c r="DX589" s="2383" t="s">
        <v>510</v>
      </c>
      <c r="DY589" s="2383" t="s">
        <v>511</v>
      </c>
      <c r="DZ589" s="2383" t="s">
        <v>512</v>
      </c>
      <c r="EA589" s="2383" t="s">
        <v>551</v>
      </c>
      <c r="EB589" s="2383" t="s">
        <v>552</v>
      </c>
      <c r="EC589" s="2383" t="s">
        <v>553</v>
      </c>
      <c r="ED589" s="2383" t="s">
        <v>554</v>
      </c>
      <c r="EE589" s="2383" t="s">
        <v>772</v>
      </c>
      <c r="EF589" s="2383" t="s">
        <v>798</v>
      </c>
      <c r="EG589" s="2383" t="s">
        <v>799</v>
      </c>
      <c r="EH589" s="2383" t="s">
        <v>800</v>
      </c>
      <c r="EI589" s="2383" t="s">
        <v>581</v>
      </c>
      <c r="EJ589" s="2383" t="s">
        <v>582</v>
      </c>
      <c r="EK589" s="2383" t="s">
        <v>583</v>
      </c>
      <c r="EL589" s="2383" t="s">
        <v>584</v>
      </c>
      <c r="EM589" s="2383" t="s">
        <v>760</v>
      </c>
      <c r="EN589" s="2383" t="s">
        <v>761</v>
      </c>
      <c r="EO589" s="2383" t="s">
        <v>762</v>
      </c>
      <c r="EP589" s="2383" t="s">
        <v>763</v>
      </c>
      <c r="EQ589" s="2383" t="s">
        <v>764</v>
      </c>
      <c r="ER589" s="2383" t="s">
        <v>765</v>
      </c>
      <c r="ES589" s="2383" t="s">
        <v>766</v>
      </c>
      <c r="ET589" s="2383" t="s">
        <v>767</v>
      </c>
      <c r="EU589" s="2383" t="s">
        <v>888</v>
      </c>
      <c r="EV589" s="2383" t="s">
        <v>889</v>
      </c>
      <c r="EW589" s="2383" t="s">
        <v>890</v>
      </c>
      <c r="EX589" s="2383" t="s">
        <v>891</v>
      </c>
      <c r="EY589" s="2383" t="s">
        <v>892</v>
      </c>
      <c r="EZ589" s="2383" t="s">
        <v>893</v>
      </c>
      <c r="FA589" s="2383" t="s">
        <v>894</v>
      </c>
      <c r="FB589" s="2383" t="s">
        <v>895</v>
      </c>
      <c r="FE589" s="2383"/>
      <c r="FF589" s="2383"/>
    </row>
    <row r="590" spans="1:162">
      <c r="A590" s="1930" t="s">
        <v>517</v>
      </c>
      <c r="B590" s="63"/>
      <c r="C590" s="2281" t="e">
        <f t="shared" si="1218"/>
        <v>#DIV/0!</v>
      </c>
      <c r="D590" s="2814" t="e">
        <f t="shared" si="1218"/>
        <v>#DIV/0!</v>
      </c>
      <c r="E590" s="2814" t="e">
        <f t="shared" si="1218"/>
        <v>#DIV/0!</v>
      </c>
      <c r="F590" s="2814" t="e">
        <f t="shared" si="1218"/>
        <v>#DIV/0!</v>
      </c>
      <c r="G590" s="2818" t="e">
        <f t="shared" si="1219"/>
        <v>#DIV/0!</v>
      </c>
      <c r="H590" s="63"/>
      <c r="I590" s="2281">
        <f t="shared" si="1220"/>
        <v>0</v>
      </c>
      <c r="J590" s="2814">
        <f t="shared" si="1220"/>
        <v>0</v>
      </c>
      <c r="K590" s="2814">
        <f t="shared" si="1220"/>
        <v>0</v>
      </c>
      <c r="L590" s="2814">
        <f t="shared" si="1220"/>
        <v>0</v>
      </c>
      <c r="M590" s="2818">
        <f t="shared" si="1221"/>
        <v>0</v>
      </c>
      <c r="N590" s="63"/>
      <c r="O590" s="2281">
        <f t="shared" si="1222"/>
        <v>0</v>
      </c>
      <c r="P590" s="2814">
        <f t="shared" si="1222"/>
        <v>0</v>
      </c>
      <c r="Q590" s="2814">
        <f t="shared" si="1222"/>
        <v>0</v>
      </c>
      <c r="R590" s="2814">
        <f t="shared" si="1222"/>
        <v>0</v>
      </c>
      <c r="S590" s="2818">
        <f t="shared" si="1223"/>
        <v>0</v>
      </c>
      <c r="T590" s="63"/>
      <c r="U590" s="2281">
        <f t="shared" si="1224"/>
        <v>0</v>
      </c>
      <c r="V590" s="2814">
        <f t="shared" si="1224"/>
        <v>0</v>
      </c>
      <c r="W590" s="2814">
        <f t="shared" si="1224"/>
        <v>0</v>
      </c>
      <c r="X590" s="2814">
        <f t="shared" si="1224"/>
        <v>0</v>
      </c>
      <c r="Y590" s="2818">
        <f t="shared" si="1225"/>
        <v>0</v>
      </c>
      <c r="Z590" s="63"/>
      <c r="AA590" s="2281">
        <f t="shared" si="1226"/>
        <v>0</v>
      </c>
      <c r="AB590" s="2814">
        <f t="shared" si="1226"/>
        <v>0</v>
      </c>
      <c r="AC590" s="2814">
        <f t="shared" si="1226"/>
        <v>0</v>
      </c>
      <c r="AD590" s="2814">
        <f t="shared" si="1226"/>
        <v>0</v>
      </c>
      <c r="AE590" s="2818">
        <f t="shared" si="1227"/>
        <v>0</v>
      </c>
      <c r="AF590" s="63"/>
      <c r="AG590" s="2281">
        <f t="shared" si="1228"/>
        <v>0</v>
      </c>
      <c r="AH590" s="2814">
        <f t="shared" si="1228"/>
        <v>0</v>
      </c>
      <c r="AI590" s="2814">
        <f t="shared" si="1228"/>
        <v>0</v>
      </c>
      <c r="AJ590" s="2814">
        <f t="shared" si="1228"/>
        <v>0</v>
      </c>
      <c r="AK590" s="2818">
        <f t="shared" si="1229"/>
        <v>0</v>
      </c>
      <c r="AL590" s="63"/>
      <c r="AM590" s="2281">
        <f t="shared" si="1230"/>
        <v>0</v>
      </c>
      <c r="AN590" s="2814">
        <f t="shared" si="1230"/>
        <v>0</v>
      </c>
      <c r="AO590" s="2814">
        <f t="shared" si="1230"/>
        <v>0</v>
      </c>
      <c r="AP590" s="2814">
        <f t="shared" si="1230"/>
        <v>0</v>
      </c>
      <c r="AQ590" s="2818">
        <f t="shared" si="1231"/>
        <v>0</v>
      </c>
      <c r="AR590" s="63"/>
      <c r="AS590" s="2281">
        <f t="shared" si="1232"/>
        <v>0</v>
      </c>
      <c r="AT590" s="2814">
        <f t="shared" si="1232"/>
        <v>0</v>
      </c>
      <c r="AU590" s="2814">
        <f t="shared" si="1232"/>
        <v>0</v>
      </c>
      <c r="AV590" s="2814">
        <f t="shared" si="1232"/>
        <v>0</v>
      </c>
      <c r="AW590" s="2818">
        <f t="shared" si="1233"/>
        <v>0</v>
      </c>
      <c r="AX590" s="63"/>
      <c r="AY590" s="2281">
        <f t="shared" si="1234"/>
        <v>35.861500000000007</v>
      </c>
      <c r="AZ590" s="2814">
        <f t="shared" si="1234"/>
        <v>115.53577443609024</v>
      </c>
      <c r="BA590" s="2814">
        <f t="shared" si="1234"/>
        <v>236.75973684210527</v>
      </c>
      <c r="BB590" s="2814">
        <f t="shared" si="1234"/>
        <v>283.95664943609023</v>
      </c>
      <c r="BC590" s="2818">
        <f t="shared" si="1235"/>
        <v>672.11366071428574</v>
      </c>
      <c r="BD590" s="63"/>
      <c r="BE590" s="2281">
        <f t="shared" si="1236"/>
        <v>323.23149530075193</v>
      </c>
      <c r="BF590" s="2814">
        <f t="shared" si="1236"/>
        <v>386.7213022556391</v>
      </c>
      <c r="BG590" s="2814">
        <f t="shared" si="1236"/>
        <v>375.7211703101504</v>
      </c>
      <c r="BH590" s="2814">
        <f t="shared" si="1236"/>
        <v>383.21270864661653</v>
      </c>
      <c r="BI590" s="2818">
        <f t="shared" si="1237"/>
        <v>1468.8866765131579</v>
      </c>
      <c r="BJ590" s="63"/>
      <c r="BK590" s="2281">
        <f t="shared" si="1238"/>
        <v>363.94163571428578</v>
      </c>
      <c r="BL590" s="2814">
        <f t="shared" si="1238"/>
        <v>363.94163571428578</v>
      </c>
      <c r="BM590" s="2814">
        <f t="shared" si="1238"/>
        <v>395.86634060150385</v>
      </c>
      <c r="BN590" s="2814">
        <f t="shared" si="1238"/>
        <v>408.92741353383468</v>
      </c>
      <c r="BO590" s="2818">
        <f t="shared" si="1249"/>
        <v>1532.6770255639101</v>
      </c>
      <c r="BP590" s="63"/>
      <c r="BQ590" s="2281">
        <f t="shared" si="1239"/>
        <v>378.0438996240602</v>
      </c>
      <c r="BR590" s="2814">
        <f t="shared" si="1239"/>
        <v>365.64901766917296</v>
      </c>
      <c r="BS590" s="2814">
        <f t="shared" si="1239"/>
        <v>353.25413571428578</v>
      </c>
      <c r="BT590" s="2814">
        <f t="shared" si="1239"/>
        <v>340.85925375939854</v>
      </c>
      <c r="BU590" s="2818">
        <f t="shared" si="1240"/>
        <v>1437.8063067669177</v>
      </c>
      <c r="BV590" s="63"/>
      <c r="BW590" s="2281">
        <f t="shared" si="1241"/>
        <v>328.4643718045113</v>
      </c>
      <c r="BX590" s="2814">
        <f t="shared" si="1241"/>
        <v>316.06948984962406</v>
      </c>
      <c r="BY590" s="2814">
        <f t="shared" si="1241"/>
        <v>303.67460789473688</v>
      </c>
      <c r="BZ590" s="2814">
        <f t="shared" si="1241"/>
        <v>291.2797259398497</v>
      </c>
      <c r="CA590" s="2818">
        <f t="shared" si="1242"/>
        <v>1239.4881954887219</v>
      </c>
      <c r="CB590" s="63"/>
      <c r="CC590" s="2281">
        <f t="shared" si="1243"/>
        <v>278.88484398496246</v>
      </c>
      <c r="CD590" s="2814">
        <f t="shared" si="1243"/>
        <v>266.48996203007522</v>
      </c>
      <c r="CE590" s="2814">
        <f t="shared" si="1243"/>
        <v>254.09508007518806</v>
      </c>
      <c r="CF590" s="2814">
        <f t="shared" si="1243"/>
        <v>241.70019812030077</v>
      </c>
      <c r="CG590" s="2818">
        <f t="shared" si="1244"/>
        <v>1041.1700842105265</v>
      </c>
      <c r="CH590" s="63"/>
      <c r="CI590" s="2281">
        <f t="shared" ref="CI590:CL590" si="1260">+CI182/CI577*1000</f>
        <v>223.10787518796997</v>
      </c>
      <c r="CJ590" s="2814">
        <f t="shared" si="1260"/>
        <v>152.95305225563914</v>
      </c>
      <c r="CK590" s="2814">
        <f t="shared" si="1260"/>
        <v>46.086614661654146</v>
      </c>
      <c r="CL590" s="2814">
        <f t="shared" si="1260"/>
        <v>0</v>
      </c>
      <c r="CM590" s="2818">
        <f t="shared" si="1246"/>
        <v>422.14754210526326</v>
      </c>
      <c r="CN590" s="63"/>
      <c r="CO590" s="2281">
        <f t="shared" ref="CO590:CR590" si="1261">+CO182/CO577*1000</f>
        <v>0</v>
      </c>
      <c r="CP590" s="2814">
        <f t="shared" si="1261"/>
        <v>0</v>
      </c>
      <c r="CQ590" s="2814">
        <f t="shared" si="1261"/>
        <v>0</v>
      </c>
      <c r="CR590" s="2814">
        <f t="shared" si="1261"/>
        <v>0</v>
      </c>
      <c r="CS590" s="2818">
        <f t="shared" si="1248"/>
        <v>0</v>
      </c>
      <c r="CY590" s="2855">
        <f>+O599</f>
        <v>2.0054644808743176</v>
      </c>
      <c r="CZ590" s="2855">
        <f>+P599</f>
        <v>1.685513549682168</v>
      </c>
      <c r="DA590" s="2855">
        <f>+Q599</f>
        <v>1.4087442806304011</v>
      </c>
      <c r="DB590" s="2855">
        <f>+R599</f>
        <v>1.2120117710005349</v>
      </c>
      <c r="DC590" s="2855">
        <f>+U599</f>
        <v>0.9010181818181815</v>
      </c>
      <c r="DD590" s="2855">
        <f>+V599</f>
        <v>0.50858319837216048</v>
      </c>
      <c r="DE590" s="2855">
        <f>+W599</f>
        <v>0.55681731039819904</v>
      </c>
      <c r="DF590" s="2855">
        <f>+X599</f>
        <v>0.69645513091854605</v>
      </c>
      <c r="DG590" s="2855">
        <f>+AA599</f>
        <v>1.1899083744596197</v>
      </c>
      <c r="DH590" s="2855">
        <f>+AB599</f>
        <v>1.2600460265129629</v>
      </c>
      <c r="DI590" s="2855">
        <f>+AC599</f>
        <v>0.92824295409479296</v>
      </c>
      <c r="DJ590" s="2855">
        <f>+AD599</f>
        <v>0.66437355747800853</v>
      </c>
      <c r="DK590" s="2855">
        <f>+AG599</f>
        <v>0.45234042134389352</v>
      </c>
      <c r="DL590" s="2855">
        <f>+AH599</f>
        <v>0.66239655482209803</v>
      </c>
      <c r="DM590" s="2855">
        <f>+AI599</f>
        <v>0.59857744759488685</v>
      </c>
      <c r="DN590" s="2855">
        <f>+AJ599</f>
        <v>0.8580755565476148</v>
      </c>
      <c r="DO590" s="2855">
        <f>+AM599</f>
        <v>0.94308174542779866</v>
      </c>
      <c r="DP590" s="2855">
        <f>+AN599</f>
        <v>1.1143531354550551</v>
      </c>
      <c r="DQ590" s="2855">
        <f>+AO599</f>
        <v>1.5384093213859487</v>
      </c>
      <c r="DR590" s="2855">
        <f>+AP599</f>
        <v>1.2637184730239275</v>
      </c>
      <c r="DS590" s="2855">
        <f>+AS599</f>
        <v>0.84558492602428825</v>
      </c>
      <c r="DT590" s="2855">
        <f>+AT599</f>
        <v>0.73317962107973811</v>
      </c>
      <c r="DU590" s="2855">
        <f>+AU599</f>
        <v>1.2750389163293896</v>
      </c>
      <c r="DV590" s="2855">
        <f>+AV599</f>
        <v>1.1377308207249133</v>
      </c>
      <c r="DW590" s="2855">
        <f>+AY599</f>
        <v>1.3792999358069107</v>
      </c>
      <c r="DX590" s="2855">
        <f>+AZ599</f>
        <v>1.2525685721632951</v>
      </c>
      <c r="DY590" s="2855">
        <f>+BA599</f>
        <v>0.68682713757583547</v>
      </c>
      <c r="DZ590" s="2855">
        <f>+BB599</f>
        <v>0.6469957541943272</v>
      </c>
      <c r="EA590" s="2855">
        <f>+BE599</f>
        <v>0.53250806170100162</v>
      </c>
      <c r="EB590" s="2855">
        <f>+BF599</f>
        <v>0.43695418673249753</v>
      </c>
      <c r="EC590" s="2855">
        <f>+BG599</f>
        <v>0.41817754021312248</v>
      </c>
      <c r="ED590" s="2855">
        <f>+BH599</f>
        <v>0.30084989751295366</v>
      </c>
      <c r="EE590" s="2855">
        <f>+BK599</f>
        <v>0.15262961239662531</v>
      </c>
      <c r="EF590" s="2855">
        <f>+BL599</f>
        <v>0.1574696427442086</v>
      </c>
      <c r="EG590" s="2855">
        <f>+BM599</f>
        <v>0.18954683129779015</v>
      </c>
      <c r="EH590" s="2855">
        <f>+BN599</f>
        <v>0.59552055224807221</v>
      </c>
      <c r="EI590" s="2855">
        <f>+BQ599</f>
        <v>0.57051938553675852</v>
      </c>
      <c r="EJ590" s="2855">
        <f>+BR599</f>
        <v>0.58170145807535723</v>
      </c>
      <c r="EK590" s="2855">
        <f>+BS599</f>
        <v>0.42856600675668055</v>
      </c>
      <c r="EL590" s="2855">
        <f>+BT599</f>
        <v>0.23155668330958723</v>
      </c>
      <c r="EM590" s="2855">
        <f>+BW599</f>
        <v>0.38860461899425758</v>
      </c>
      <c r="EN590" s="2855">
        <f>+BX599</f>
        <v>0.38079848471083122</v>
      </c>
      <c r="EO590" s="2855">
        <f>+BY599</f>
        <v>0.36539211968246077</v>
      </c>
      <c r="EP590" s="2855">
        <f>+BZ599</f>
        <v>0.32015024693260363</v>
      </c>
      <c r="EQ590" s="2855">
        <f>+CC599</f>
        <v>0.29712363564113753</v>
      </c>
      <c r="ER590" s="2855">
        <f>+CD599</f>
        <v>0.28495129789602003</v>
      </c>
      <c r="ES590" s="2855">
        <f>+CE599</f>
        <v>0.27348281944939279</v>
      </c>
      <c r="ET590" s="2855">
        <f>+CF599</f>
        <v>0.26267066330382738</v>
      </c>
      <c r="EU590" s="2855">
        <f>+CI599</f>
        <v>0.25482486713396701</v>
      </c>
      <c r="EV590" s="2855">
        <f>+CJ599</f>
        <v>0.24927939105588925</v>
      </c>
      <c r="EW590" s="2855">
        <f>+CK599</f>
        <v>0.24306715345121765</v>
      </c>
      <c r="EX590" s="2855">
        <f>+CL599</f>
        <v>0.23862761129420629</v>
      </c>
      <c r="EY590" s="2855">
        <f>+CO599</f>
        <v>0.23710426049663602</v>
      </c>
      <c r="EZ590" s="2855">
        <f>+CP599</f>
        <v>0.23649889625819087</v>
      </c>
      <c r="FA590" s="2855">
        <f>+CQ599</f>
        <v>0.23605739382887259</v>
      </c>
      <c r="FB590" s="2855">
        <f>+CR599</f>
        <v>0.23410245705577504</v>
      </c>
      <c r="FE590" s="2855"/>
      <c r="FF590" s="2855"/>
    </row>
    <row r="591" spans="1:162" s="1389" customFormat="1">
      <c r="A591" s="1930" t="s">
        <v>518</v>
      </c>
      <c r="B591" s="63"/>
      <c r="C591" s="2281" t="e">
        <f t="shared" si="1218"/>
        <v>#DIV/0!</v>
      </c>
      <c r="D591" s="2814" t="e">
        <f t="shared" si="1218"/>
        <v>#DIV/0!</v>
      </c>
      <c r="E591" s="2814" t="e">
        <f t="shared" si="1218"/>
        <v>#DIV/0!</v>
      </c>
      <c r="F591" s="2814" t="e">
        <f t="shared" si="1218"/>
        <v>#DIV/0!</v>
      </c>
      <c r="G591" s="2818" t="e">
        <f t="shared" si="1219"/>
        <v>#DIV/0!</v>
      </c>
      <c r="H591" s="63"/>
      <c r="I591" s="2281">
        <f t="shared" si="1220"/>
        <v>0</v>
      </c>
      <c r="J591" s="2814">
        <f t="shared" si="1220"/>
        <v>0</v>
      </c>
      <c r="K591" s="2814">
        <f t="shared" si="1220"/>
        <v>0</v>
      </c>
      <c r="L591" s="2814">
        <f t="shared" si="1220"/>
        <v>0</v>
      </c>
      <c r="M591" s="2818">
        <f t="shared" si="1221"/>
        <v>0</v>
      </c>
      <c r="N591" s="63"/>
      <c r="O591" s="2281">
        <f t="shared" si="1222"/>
        <v>0</v>
      </c>
      <c r="P591" s="2814">
        <f t="shared" si="1222"/>
        <v>0</v>
      </c>
      <c r="Q591" s="2814">
        <f t="shared" si="1222"/>
        <v>0</v>
      </c>
      <c r="R591" s="2814">
        <f t="shared" si="1222"/>
        <v>0</v>
      </c>
      <c r="S591" s="2818">
        <f t="shared" si="1223"/>
        <v>0</v>
      </c>
      <c r="T591" s="63"/>
      <c r="U591" s="2281">
        <f t="shared" si="1224"/>
        <v>0</v>
      </c>
      <c r="V591" s="2814">
        <f t="shared" si="1224"/>
        <v>0</v>
      </c>
      <c r="W591" s="2814">
        <f t="shared" si="1224"/>
        <v>0</v>
      </c>
      <c r="X591" s="2814">
        <f t="shared" si="1224"/>
        <v>0</v>
      </c>
      <c r="Y591" s="2818">
        <f t="shared" si="1225"/>
        <v>0</v>
      </c>
      <c r="Z591" s="63"/>
      <c r="AA591" s="2281">
        <f t="shared" si="1226"/>
        <v>0</v>
      </c>
      <c r="AB591" s="2814">
        <f t="shared" si="1226"/>
        <v>0</v>
      </c>
      <c r="AC591" s="2814">
        <f t="shared" si="1226"/>
        <v>0</v>
      </c>
      <c r="AD591" s="2814">
        <f t="shared" si="1226"/>
        <v>0</v>
      </c>
      <c r="AE591" s="2818">
        <f t="shared" si="1227"/>
        <v>0</v>
      </c>
      <c r="AF591" s="63"/>
      <c r="AG591" s="2281">
        <f t="shared" si="1228"/>
        <v>0</v>
      </c>
      <c r="AH591" s="2814">
        <f t="shared" si="1228"/>
        <v>0</v>
      </c>
      <c r="AI591" s="2814">
        <f t="shared" si="1228"/>
        <v>0</v>
      </c>
      <c r="AJ591" s="2814">
        <f t="shared" si="1228"/>
        <v>0</v>
      </c>
      <c r="AK591" s="2818">
        <f t="shared" si="1229"/>
        <v>0</v>
      </c>
      <c r="AL591" s="63"/>
      <c r="AM591" s="2281">
        <f t="shared" si="1230"/>
        <v>0</v>
      </c>
      <c r="AN591" s="2814">
        <f t="shared" si="1230"/>
        <v>0</v>
      </c>
      <c r="AO591" s="2814">
        <f t="shared" si="1230"/>
        <v>0</v>
      </c>
      <c r="AP591" s="2814">
        <f t="shared" si="1230"/>
        <v>0</v>
      </c>
      <c r="AQ591" s="2818">
        <f t="shared" si="1231"/>
        <v>0</v>
      </c>
      <c r="AR591" s="63"/>
      <c r="AS591" s="2281">
        <f t="shared" si="1232"/>
        <v>0</v>
      </c>
      <c r="AT591" s="2814">
        <f t="shared" si="1232"/>
        <v>0</v>
      </c>
      <c r="AU591" s="2814">
        <f t="shared" si="1232"/>
        <v>0</v>
      </c>
      <c r="AV591" s="2814">
        <f t="shared" si="1232"/>
        <v>0</v>
      </c>
      <c r="AW591" s="2818">
        <f t="shared" si="1233"/>
        <v>0</v>
      </c>
      <c r="AX591" s="63"/>
      <c r="AY591" s="2281">
        <f t="shared" si="1234"/>
        <v>98.631875000000008</v>
      </c>
      <c r="AZ591" s="2814">
        <f t="shared" si="1234"/>
        <v>295.30400000000009</v>
      </c>
      <c r="BA591" s="2814">
        <f t="shared" si="1234"/>
        <v>552.30437500000005</v>
      </c>
      <c r="BB591" s="2814">
        <f t="shared" si="1234"/>
        <v>662.73350000000005</v>
      </c>
      <c r="BC591" s="2818">
        <f t="shared" si="1235"/>
        <v>1608.9737500000001</v>
      </c>
      <c r="BD591" s="63"/>
      <c r="BE591" s="2281">
        <f t="shared" si="1236"/>
        <v>771.93750000000011</v>
      </c>
      <c r="BF591" s="2814">
        <f t="shared" si="1236"/>
        <v>941.46079999999995</v>
      </c>
      <c r="BG591" s="2814">
        <f t="shared" si="1236"/>
        <v>966.59429625000007</v>
      </c>
      <c r="BH591" s="2814">
        <f t="shared" si="1236"/>
        <v>1065.1717500000002</v>
      </c>
      <c r="BI591" s="2818">
        <f t="shared" si="1237"/>
        <v>3745.1643462500006</v>
      </c>
      <c r="BJ591" s="63"/>
      <c r="BK591" s="2281">
        <f t="shared" si="1238"/>
        <v>1071.3374437500001</v>
      </c>
      <c r="BL591" s="2814">
        <f t="shared" si="1238"/>
        <v>1083.8685375000002</v>
      </c>
      <c r="BM591" s="2814">
        <f t="shared" si="1238"/>
        <v>1178.9447250000003</v>
      </c>
      <c r="BN591" s="2814">
        <f t="shared" si="1238"/>
        <v>1242.0841875000003</v>
      </c>
      <c r="BO591" s="2818">
        <f t="shared" si="1249"/>
        <v>4576.234893750001</v>
      </c>
      <c r="BP591" s="63"/>
      <c r="BQ591" s="2281">
        <f t="shared" si="1239"/>
        <v>1171.3669875000003</v>
      </c>
      <c r="BR591" s="2814">
        <f t="shared" si="1239"/>
        <v>1132.9615125</v>
      </c>
      <c r="BS591" s="2814">
        <f t="shared" si="1239"/>
        <v>1094.5560375000002</v>
      </c>
      <c r="BT591" s="2814">
        <f t="shared" si="1239"/>
        <v>1056.1505625000004</v>
      </c>
      <c r="BU591" s="2818">
        <f t="shared" si="1240"/>
        <v>4455.035100000001</v>
      </c>
      <c r="BV591" s="63"/>
      <c r="BW591" s="2281">
        <f t="shared" si="1241"/>
        <v>1017.7450875000003</v>
      </c>
      <c r="BX591" s="2814">
        <f t="shared" si="1241"/>
        <v>979.33961250000027</v>
      </c>
      <c r="BY591" s="2814">
        <f t="shared" si="1241"/>
        <v>940.93413750000025</v>
      </c>
      <c r="BZ591" s="2814">
        <f t="shared" si="1241"/>
        <v>902.52866250000034</v>
      </c>
      <c r="CA591" s="2818">
        <f t="shared" si="1242"/>
        <v>3840.547500000001</v>
      </c>
      <c r="CB591" s="63"/>
      <c r="CC591" s="2281">
        <f t="shared" si="1243"/>
        <v>864.12318750000009</v>
      </c>
      <c r="CD591" s="2814">
        <f t="shared" si="1243"/>
        <v>825.71771250000018</v>
      </c>
      <c r="CE591" s="2814">
        <f t="shared" si="1243"/>
        <v>787.31223750000026</v>
      </c>
      <c r="CF591" s="2814">
        <f t="shared" si="1243"/>
        <v>748.90676250000013</v>
      </c>
      <c r="CG591" s="2818">
        <f t="shared" si="1244"/>
        <v>3226.0599000000007</v>
      </c>
      <c r="CH591" s="63"/>
      <c r="CI591" s="2281">
        <f t="shared" ref="CI591:CL591" si="1262">+CI183/CI578*1000</f>
        <v>691.2985500000002</v>
      </c>
      <c r="CJ591" s="2814">
        <f t="shared" si="1262"/>
        <v>633.69033750000028</v>
      </c>
      <c r="CK591" s="2814">
        <f t="shared" si="1262"/>
        <v>529.20712500000025</v>
      </c>
      <c r="CL591" s="2814">
        <f t="shared" si="1262"/>
        <v>391.91141250000015</v>
      </c>
      <c r="CM591" s="2818">
        <f t="shared" si="1246"/>
        <v>2246.1074250000011</v>
      </c>
      <c r="CN591" s="63"/>
      <c r="CO591" s="2281">
        <f t="shared" ref="CO591:CR591" si="1263">+CO183/CO578*1000</f>
        <v>310.86570000000006</v>
      </c>
      <c r="CP591" s="2814">
        <f t="shared" si="1263"/>
        <v>239.19498750000011</v>
      </c>
      <c r="CQ591" s="2814">
        <f t="shared" si="1263"/>
        <v>148.7742750000001</v>
      </c>
      <c r="CR591" s="2814">
        <f t="shared" si="1263"/>
        <v>77.103562500000081</v>
      </c>
      <c r="CS591" s="2818">
        <f t="shared" si="1248"/>
        <v>775.93852500000037</v>
      </c>
    </row>
    <row r="592" spans="1:162">
      <c r="A592" s="1930" t="s">
        <v>655</v>
      </c>
      <c r="B592" s="63"/>
      <c r="C592" s="2281" t="e">
        <f t="shared" si="1218"/>
        <v>#DIV/0!</v>
      </c>
      <c r="D592" s="2814" t="e">
        <f t="shared" si="1218"/>
        <v>#DIV/0!</v>
      </c>
      <c r="E592" s="2814" t="e">
        <f t="shared" si="1218"/>
        <v>#DIV/0!</v>
      </c>
      <c r="F592" s="2814" t="e">
        <f t="shared" si="1218"/>
        <v>#DIV/0!</v>
      </c>
      <c r="G592" s="2818" t="e">
        <f t="shared" si="1219"/>
        <v>#DIV/0!</v>
      </c>
      <c r="H592" s="63"/>
      <c r="I592" s="2281">
        <f t="shared" si="1220"/>
        <v>0</v>
      </c>
      <c r="J592" s="2814">
        <f t="shared" si="1220"/>
        <v>0</v>
      </c>
      <c r="K592" s="2814">
        <f t="shared" si="1220"/>
        <v>0</v>
      </c>
      <c r="L592" s="2814">
        <f t="shared" si="1220"/>
        <v>0</v>
      </c>
      <c r="M592" s="2818">
        <f t="shared" si="1221"/>
        <v>0</v>
      </c>
      <c r="N592" s="63"/>
      <c r="O592" s="2281">
        <f t="shared" si="1222"/>
        <v>0</v>
      </c>
      <c r="P592" s="2814">
        <f t="shared" si="1222"/>
        <v>0</v>
      </c>
      <c r="Q592" s="2814">
        <f t="shared" si="1222"/>
        <v>0</v>
      </c>
      <c r="R592" s="2814">
        <f t="shared" si="1222"/>
        <v>0</v>
      </c>
      <c r="S592" s="2818">
        <f t="shared" si="1223"/>
        <v>0</v>
      </c>
      <c r="T592" s="63"/>
      <c r="U592" s="2281">
        <f t="shared" si="1224"/>
        <v>0</v>
      </c>
      <c r="V592" s="2814">
        <f t="shared" si="1224"/>
        <v>0</v>
      </c>
      <c r="W592" s="2814">
        <f t="shared" si="1224"/>
        <v>0</v>
      </c>
      <c r="X592" s="2814">
        <f t="shared" si="1224"/>
        <v>0</v>
      </c>
      <c r="Y592" s="2818">
        <f t="shared" si="1225"/>
        <v>0</v>
      </c>
      <c r="Z592" s="63"/>
      <c r="AA592" s="2281">
        <f t="shared" si="1226"/>
        <v>0</v>
      </c>
      <c r="AB592" s="2814">
        <f t="shared" si="1226"/>
        <v>0</v>
      </c>
      <c r="AC592" s="2814">
        <f t="shared" si="1226"/>
        <v>0</v>
      </c>
      <c r="AD592" s="2814">
        <f t="shared" si="1226"/>
        <v>0</v>
      </c>
      <c r="AE592" s="2818">
        <f t="shared" si="1227"/>
        <v>0</v>
      </c>
      <c r="AF592" s="63"/>
      <c r="AG592" s="2281">
        <f t="shared" si="1228"/>
        <v>0</v>
      </c>
      <c r="AH592" s="2814">
        <f t="shared" si="1228"/>
        <v>0</v>
      </c>
      <c r="AI592" s="2814">
        <f t="shared" si="1228"/>
        <v>0</v>
      </c>
      <c r="AJ592" s="2814">
        <f t="shared" si="1228"/>
        <v>0</v>
      </c>
      <c r="AK592" s="2818">
        <f t="shared" si="1229"/>
        <v>0</v>
      </c>
      <c r="AL592" s="63"/>
      <c r="AM592" s="2281">
        <f t="shared" si="1230"/>
        <v>0</v>
      </c>
      <c r="AN592" s="2814">
        <f t="shared" si="1230"/>
        <v>0</v>
      </c>
      <c r="AO592" s="2814">
        <f t="shared" si="1230"/>
        <v>0</v>
      </c>
      <c r="AP592" s="2814">
        <f t="shared" si="1230"/>
        <v>0</v>
      </c>
      <c r="AQ592" s="2818">
        <f t="shared" si="1231"/>
        <v>0</v>
      </c>
      <c r="AR592" s="63"/>
      <c r="AS592" s="2281">
        <f t="shared" si="1232"/>
        <v>0</v>
      </c>
      <c r="AT592" s="2814">
        <f t="shared" si="1232"/>
        <v>0</v>
      </c>
      <c r="AU592" s="2814">
        <f t="shared" si="1232"/>
        <v>0</v>
      </c>
      <c r="AV592" s="2814">
        <f t="shared" si="1232"/>
        <v>0</v>
      </c>
      <c r="AW592" s="2818">
        <f t="shared" si="1233"/>
        <v>0</v>
      </c>
      <c r="AX592" s="63"/>
      <c r="AY592" s="2281">
        <f t="shared" si="1234"/>
        <v>0</v>
      </c>
      <c r="AZ592" s="2814">
        <f t="shared" si="1234"/>
        <v>43.636363636363633</v>
      </c>
      <c r="BA592" s="2814">
        <f t="shared" si="1234"/>
        <v>143.48863636363637</v>
      </c>
      <c r="BB592" s="2814">
        <f t="shared" si="1234"/>
        <v>223.20000000000005</v>
      </c>
      <c r="BC592" s="2818">
        <f t="shared" si="1235"/>
        <v>410.32500000000005</v>
      </c>
      <c r="BD592" s="63"/>
      <c r="BE592" s="2281">
        <f t="shared" si="1236"/>
        <v>367.56000000000006</v>
      </c>
      <c r="BF592" s="2814">
        <f t="shared" si="1236"/>
        <v>523.21454545454549</v>
      </c>
      <c r="BG592" s="2814">
        <f t="shared" si="1236"/>
        <v>833.21165909090894</v>
      </c>
      <c r="BH592" s="2814">
        <f t="shared" si="1236"/>
        <v>846.34070181818174</v>
      </c>
      <c r="BI592" s="2818">
        <f t="shared" si="1237"/>
        <v>2570.3269063636362</v>
      </c>
      <c r="BJ592" s="63"/>
      <c r="BK592" s="2281">
        <f t="shared" si="1238"/>
        <v>893.6649969454545</v>
      </c>
      <c r="BL592" s="2814">
        <f t="shared" si="1238"/>
        <v>924.34034356363634</v>
      </c>
      <c r="BM592" s="2814">
        <f t="shared" si="1238"/>
        <v>946.34844698181803</v>
      </c>
      <c r="BN592" s="2814">
        <f t="shared" si="1238"/>
        <v>983.02861934545444</v>
      </c>
      <c r="BO592" s="2818">
        <f t="shared" si="1249"/>
        <v>3747.3824068363633</v>
      </c>
      <c r="BP592" s="63"/>
      <c r="BQ592" s="2281">
        <f t="shared" si="1239"/>
        <v>836.30792989090924</v>
      </c>
      <c r="BR592" s="2814">
        <f t="shared" si="1239"/>
        <v>762.9475851636364</v>
      </c>
      <c r="BS592" s="2814">
        <f t="shared" si="1239"/>
        <v>689.58724043636369</v>
      </c>
      <c r="BT592" s="2814">
        <f t="shared" si="1239"/>
        <v>616.22689570909097</v>
      </c>
      <c r="BU592" s="2818">
        <f t="shared" si="1240"/>
        <v>2905.0696512000004</v>
      </c>
      <c r="BV592" s="63"/>
      <c r="BW592" s="2281">
        <f t="shared" si="1241"/>
        <v>601.55482676363636</v>
      </c>
      <c r="BX592" s="2814">
        <f t="shared" si="1241"/>
        <v>586.88275781818174</v>
      </c>
      <c r="BY592" s="2814">
        <f t="shared" si="1241"/>
        <v>572.21068887272725</v>
      </c>
      <c r="BZ592" s="2814">
        <f t="shared" si="1241"/>
        <v>557.53861992727275</v>
      </c>
      <c r="CA592" s="2818">
        <f t="shared" si="1242"/>
        <v>2318.1868933818178</v>
      </c>
      <c r="CB592" s="63"/>
      <c r="CC592" s="2281">
        <f t="shared" si="1243"/>
        <v>542.86655098181825</v>
      </c>
      <c r="CD592" s="2814">
        <f t="shared" si="1243"/>
        <v>528.19448203636364</v>
      </c>
      <c r="CE592" s="2814">
        <f t="shared" si="1243"/>
        <v>513.52241309090903</v>
      </c>
      <c r="CF592" s="2814">
        <f t="shared" si="1243"/>
        <v>498.85034414545453</v>
      </c>
      <c r="CG592" s="2818">
        <f t="shared" si="1244"/>
        <v>2083.4337902545453</v>
      </c>
      <c r="CH592" s="63"/>
      <c r="CI592" s="2281">
        <f t="shared" ref="CI592:CL592" si="1264">+CI184/CI579*1000</f>
        <v>484.17827520000003</v>
      </c>
      <c r="CJ592" s="2814">
        <f t="shared" si="1264"/>
        <v>469.50620625454548</v>
      </c>
      <c r="CK592" s="2814">
        <f t="shared" si="1264"/>
        <v>454.83413730909092</v>
      </c>
      <c r="CL592" s="2814">
        <f t="shared" si="1264"/>
        <v>440.16206836363642</v>
      </c>
      <c r="CM592" s="2818">
        <f t="shared" si="1246"/>
        <v>1848.6806871272729</v>
      </c>
      <c r="CN592" s="63"/>
      <c r="CO592" s="2281">
        <f t="shared" ref="CO592:CR592" si="1265">+CO184/CO579*1000</f>
        <v>425.48999941818175</v>
      </c>
      <c r="CP592" s="2814">
        <f t="shared" si="1265"/>
        <v>410.81793047272726</v>
      </c>
      <c r="CQ592" s="2814">
        <f t="shared" si="1265"/>
        <v>396.1458615272727</v>
      </c>
      <c r="CR592" s="2814">
        <f t="shared" si="1265"/>
        <v>381.4737925818182</v>
      </c>
      <c r="CS592" s="2818">
        <f t="shared" si="1248"/>
        <v>1613.927584</v>
      </c>
    </row>
    <row r="593" spans="1:97">
      <c r="A593" s="1930" t="s">
        <v>656</v>
      </c>
      <c r="B593" s="1"/>
      <c r="C593" s="2281" t="e">
        <f t="shared" si="1218"/>
        <v>#DIV/0!</v>
      </c>
      <c r="D593" s="2814" t="e">
        <f t="shared" si="1218"/>
        <v>#DIV/0!</v>
      </c>
      <c r="E593" s="2814" t="e">
        <f t="shared" si="1218"/>
        <v>#DIV/0!</v>
      </c>
      <c r="F593" s="2814" t="e">
        <f t="shared" si="1218"/>
        <v>#DIV/0!</v>
      </c>
      <c r="G593" s="2818" t="e">
        <f t="shared" si="1219"/>
        <v>#DIV/0!</v>
      </c>
      <c r="H593" s="1"/>
      <c r="I593" s="2281">
        <f t="shared" si="1220"/>
        <v>0</v>
      </c>
      <c r="J593" s="2814">
        <f t="shared" si="1220"/>
        <v>0</v>
      </c>
      <c r="K593" s="2814">
        <f t="shared" si="1220"/>
        <v>0</v>
      </c>
      <c r="L593" s="2814">
        <f t="shared" si="1220"/>
        <v>0</v>
      </c>
      <c r="M593" s="2818">
        <f t="shared" si="1221"/>
        <v>0</v>
      </c>
      <c r="N593" s="1"/>
      <c r="O593" s="2281">
        <f t="shared" si="1222"/>
        <v>0</v>
      </c>
      <c r="P593" s="2814">
        <f t="shared" si="1222"/>
        <v>0</v>
      </c>
      <c r="Q593" s="2814">
        <f t="shared" si="1222"/>
        <v>0</v>
      </c>
      <c r="R593" s="2814">
        <f t="shared" si="1222"/>
        <v>0</v>
      </c>
      <c r="S593" s="2818">
        <f t="shared" si="1223"/>
        <v>0</v>
      </c>
      <c r="T593" s="1"/>
      <c r="U593" s="2281">
        <f t="shared" si="1224"/>
        <v>0</v>
      </c>
      <c r="V593" s="2814">
        <f t="shared" si="1224"/>
        <v>0</v>
      </c>
      <c r="W593" s="2814">
        <f t="shared" si="1224"/>
        <v>0</v>
      </c>
      <c r="X593" s="2814">
        <f t="shared" si="1224"/>
        <v>0</v>
      </c>
      <c r="Y593" s="2818">
        <f t="shared" si="1225"/>
        <v>0</v>
      </c>
      <c r="Z593" s="1"/>
      <c r="AA593" s="2281">
        <f t="shared" si="1226"/>
        <v>0</v>
      </c>
      <c r="AB593" s="2814">
        <f t="shared" si="1226"/>
        <v>0</v>
      </c>
      <c r="AC593" s="2814">
        <f t="shared" si="1226"/>
        <v>0</v>
      </c>
      <c r="AD593" s="2814">
        <f t="shared" si="1226"/>
        <v>0</v>
      </c>
      <c r="AE593" s="2818">
        <f t="shared" si="1227"/>
        <v>0</v>
      </c>
      <c r="AF593" s="1"/>
      <c r="AG593" s="2281">
        <f t="shared" si="1228"/>
        <v>0</v>
      </c>
      <c r="AH593" s="2814">
        <f t="shared" si="1228"/>
        <v>0</v>
      </c>
      <c r="AI593" s="2814">
        <f t="shared" si="1228"/>
        <v>0</v>
      </c>
      <c r="AJ593" s="2814">
        <f t="shared" si="1228"/>
        <v>0</v>
      </c>
      <c r="AK593" s="2818">
        <f t="shared" si="1229"/>
        <v>0</v>
      </c>
      <c r="AL593" s="1"/>
      <c r="AM593" s="2281">
        <f t="shared" si="1230"/>
        <v>0</v>
      </c>
      <c r="AN593" s="2814">
        <f t="shared" si="1230"/>
        <v>0</v>
      </c>
      <c r="AO593" s="2814">
        <f t="shared" si="1230"/>
        <v>0</v>
      </c>
      <c r="AP593" s="2814">
        <f t="shared" si="1230"/>
        <v>0</v>
      </c>
      <c r="AQ593" s="2818">
        <f t="shared" si="1231"/>
        <v>0</v>
      </c>
      <c r="AR593" s="1"/>
      <c r="AS593" s="2281">
        <f t="shared" si="1232"/>
        <v>112.5</v>
      </c>
      <c r="AT593" s="2814">
        <f t="shared" si="1232"/>
        <v>543.75</v>
      </c>
      <c r="AU593" s="2814">
        <f t="shared" si="1232"/>
        <v>2526.2815671992485</v>
      </c>
      <c r="AV593" s="2814">
        <f t="shared" si="1232"/>
        <v>2496.09375</v>
      </c>
      <c r="AW593" s="2818">
        <f t="shared" si="1233"/>
        <v>5678.6253171992485</v>
      </c>
      <c r="AX593" s="1"/>
      <c r="AY593" s="2281">
        <f t="shared" si="1234"/>
        <v>3247.4062499999995</v>
      </c>
      <c r="AZ593" s="2814">
        <f t="shared" si="1234"/>
        <v>4082.3887500000005</v>
      </c>
      <c r="BA593" s="2814">
        <f t="shared" si="1234"/>
        <v>5044.9350000000004</v>
      </c>
      <c r="BB593" s="2814">
        <f t="shared" si="1234"/>
        <v>5159.1594999999998</v>
      </c>
      <c r="BC593" s="2818">
        <f t="shared" si="1235"/>
        <v>17533.889499999997</v>
      </c>
      <c r="BD593" s="1"/>
      <c r="BE593" s="2281">
        <f t="shared" si="1236"/>
        <v>5873.3111249999993</v>
      </c>
      <c r="BF593" s="2814">
        <f t="shared" si="1236"/>
        <v>6012.2905199999987</v>
      </c>
      <c r="BG593" s="2814">
        <f t="shared" si="1236"/>
        <v>7727.8683424375004</v>
      </c>
      <c r="BH593" s="2814">
        <f t="shared" si="1236"/>
        <v>6884.0866483999998</v>
      </c>
      <c r="BI593" s="2818">
        <f t="shared" si="1237"/>
        <v>26497.5566358375</v>
      </c>
      <c r="BJ593" s="1"/>
      <c r="BK593" s="2281">
        <f t="shared" si="1238"/>
        <v>6853.6171327779994</v>
      </c>
      <c r="BL593" s="2814">
        <f t="shared" si="1238"/>
        <v>7069.0246601373001</v>
      </c>
      <c r="BM593" s="2814">
        <f t="shared" si="1238"/>
        <v>7288.1905068248989</v>
      </c>
      <c r="BN593" s="2814">
        <f t="shared" si="1238"/>
        <v>7570.6785109653993</v>
      </c>
      <c r="BO593" s="2818">
        <f t="shared" si="1249"/>
        <v>28781.5108107056</v>
      </c>
      <c r="BP593" s="1"/>
      <c r="BQ593" s="2281">
        <f t="shared" si="1239"/>
        <v>6440.7264944033996</v>
      </c>
      <c r="BR593" s="2814">
        <f t="shared" si="1239"/>
        <v>5875.7504861223997</v>
      </c>
      <c r="BS593" s="2814">
        <f t="shared" si="1239"/>
        <v>5310.7744778413999</v>
      </c>
      <c r="BT593" s="2814">
        <f t="shared" si="1239"/>
        <v>4745.7984695603991</v>
      </c>
      <c r="BU593" s="2818">
        <f t="shared" si="1240"/>
        <v>22373.049927927601</v>
      </c>
      <c r="BV593" s="1"/>
      <c r="BW593" s="2281">
        <f t="shared" si="1241"/>
        <v>4632.8032679041999</v>
      </c>
      <c r="BX593" s="2814">
        <f t="shared" si="1241"/>
        <v>4519.8080662479997</v>
      </c>
      <c r="BY593" s="2814">
        <f t="shared" si="1241"/>
        <v>4406.8128645917996</v>
      </c>
      <c r="BZ593" s="2814">
        <f t="shared" si="1241"/>
        <v>4293.8176629355994</v>
      </c>
      <c r="CA593" s="2818">
        <f t="shared" si="1242"/>
        <v>17853.241861679599</v>
      </c>
      <c r="CB593" s="1"/>
      <c r="CC593" s="2281">
        <f t="shared" si="1243"/>
        <v>4180.8224612793992</v>
      </c>
      <c r="CD593" s="2814">
        <f t="shared" si="1243"/>
        <v>4067.8272596231996</v>
      </c>
      <c r="CE593" s="2814">
        <f t="shared" si="1243"/>
        <v>3954.8320579669994</v>
      </c>
      <c r="CF593" s="2814">
        <f t="shared" si="1243"/>
        <v>3841.8368563107997</v>
      </c>
      <c r="CG593" s="2818">
        <f t="shared" si="1244"/>
        <v>16045.318635180398</v>
      </c>
      <c r="CH593" s="1"/>
      <c r="CI593" s="2281">
        <f t="shared" ref="CI593:CL593" si="1266">+CI185/CI580*1000</f>
        <v>3728.8416546545996</v>
      </c>
      <c r="CJ593" s="2814">
        <f t="shared" si="1266"/>
        <v>3615.8464529983994</v>
      </c>
      <c r="CK593" s="2814">
        <f t="shared" si="1266"/>
        <v>3502.8512513421997</v>
      </c>
      <c r="CL593" s="2814">
        <f t="shared" si="1266"/>
        <v>3389.8560496859996</v>
      </c>
      <c r="CM593" s="2818">
        <f t="shared" si="1246"/>
        <v>14237.395408681197</v>
      </c>
      <c r="CN593" s="1"/>
      <c r="CO593" s="2281">
        <f t="shared" ref="CO593:CR593" si="1267">+CO185/CO580*1000</f>
        <v>3276.8608480297999</v>
      </c>
      <c r="CP593" s="2814">
        <f t="shared" si="1267"/>
        <v>3163.8656463735997</v>
      </c>
      <c r="CQ593" s="2814">
        <f t="shared" si="1267"/>
        <v>3050.8704447173996</v>
      </c>
      <c r="CR593" s="2814">
        <f t="shared" si="1267"/>
        <v>2937.8752430611999</v>
      </c>
      <c r="CS593" s="2818">
        <f t="shared" si="1248"/>
        <v>12429.472182181999</v>
      </c>
    </row>
    <row r="594" spans="1:97">
      <c r="A594" s="1930" t="s">
        <v>757</v>
      </c>
      <c r="B594" s="1"/>
      <c r="C594" s="2281"/>
      <c r="D594" s="2814"/>
      <c r="E594" s="2814"/>
      <c r="F594" s="2814"/>
      <c r="G594" s="2818"/>
      <c r="H594" s="1"/>
      <c r="I594" s="2281"/>
      <c r="J594" s="2814"/>
      <c r="K594" s="2814"/>
      <c r="L594" s="2814"/>
      <c r="M594" s="2818"/>
      <c r="N594" s="1"/>
      <c r="O594" s="2281"/>
      <c r="P594" s="2814"/>
      <c r="Q594" s="2814"/>
      <c r="R594" s="2814"/>
      <c r="S594" s="2818"/>
      <c r="T594" s="1"/>
      <c r="U594" s="2281"/>
      <c r="V594" s="2814"/>
      <c r="W594" s="2814"/>
      <c r="X594" s="2814"/>
      <c r="Y594" s="2818"/>
      <c r="Z594" s="1"/>
      <c r="AA594" s="2281"/>
      <c r="AB594" s="2814"/>
      <c r="AC594" s="2814"/>
      <c r="AD594" s="2814"/>
      <c r="AE594" s="2818"/>
      <c r="AF594" s="1"/>
      <c r="AG594" s="2281"/>
      <c r="AH594" s="2814"/>
      <c r="AI594" s="2814"/>
      <c r="AJ594" s="2814"/>
      <c r="AK594" s="2818"/>
      <c r="AL594" s="1"/>
      <c r="AM594" s="2281"/>
      <c r="AN594" s="2814"/>
      <c r="AO594" s="2814"/>
      <c r="AP594" s="2814"/>
      <c r="AQ594" s="2818"/>
      <c r="AR594" s="1"/>
      <c r="AS594" s="2281"/>
      <c r="AT594" s="2814"/>
      <c r="AU594" s="2814"/>
      <c r="AV594" s="2814"/>
      <c r="AW594" s="2818"/>
      <c r="AX594" s="1"/>
      <c r="AY594" s="2281"/>
      <c r="AZ594" s="2814"/>
      <c r="BA594" s="2814"/>
      <c r="BB594" s="2814"/>
      <c r="BC594" s="2818"/>
      <c r="BD594" s="1"/>
      <c r="BE594" s="2281"/>
      <c r="BF594" s="2814"/>
      <c r="BG594" s="2814"/>
      <c r="BH594" s="2814"/>
      <c r="BI594" s="2818"/>
      <c r="BJ594" s="1"/>
      <c r="BK594" s="2281">
        <f t="shared" si="1238"/>
        <v>0</v>
      </c>
      <c r="BL594" s="2814">
        <f t="shared" si="1238"/>
        <v>0</v>
      </c>
      <c r="BM594" s="2814">
        <f t="shared" si="1238"/>
        <v>0</v>
      </c>
      <c r="BN594" s="2814">
        <f t="shared" si="1238"/>
        <v>0</v>
      </c>
      <c r="BO594" s="2818">
        <f t="shared" si="1249"/>
        <v>0</v>
      </c>
      <c r="BP594" s="1"/>
      <c r="BQ594" s="2281">
        <f t="shared" si="1239"/>
        <v>0</v>
      </c>
      <c r="BR594" s="2814">
        <f t="shared" si="1239"/>
        <v>0</v>
      </c>
      <c r="BS594" s="2814">
        <f t="shared" si="1239"/>
        <v>0</v>
      </c>
      <c r="BT594" s="2814">
        <f t="shared" si="1239"/>
        <v>0</v>
      </c>
      <c r="BU594" s="2818">
        <f t="shared" si="1240"/>
        <v>0</v>
      </c>
      <c r="BV594" s="1"/>
      <c r="BW594" s="2281">
        <f t="shared" si="1241"/>
        <v>0</v>
      </c>
      <c r="BX594" s="2814">
        <f t="shared" si="1241"/>
        <v>0</v>
      </c>
      <c r="BY594" s="2814">
        <f t="shared" si="1241"/>
        <v>0</v>
      </c>
      <c r="BZ594" s="2814">
        <f t="shared" si="1241"/>
        <v>0</v>
      </c>
      <c r="CA594" s="2818">
        <f t="shared" si="1242"/>
        <v>0</v>
      </c>
      <c r="CB594" s="1"/>
      <c r="CC594" s="2281">
        <f t="shared" si="1243"/>
        <v>0</v>
      </c>
      <c r="CD594" s="2814">
        <f t="shared" si="1243"/>
        <v>0</v>
      </c>
      <c r="CE594" s="2814">
        <f t="shared" si="1243"/>
        <v>0</v>
      </c>
      <c r="CF594" s="2814">
        <f t="shared" si="1243"/>
        <v>0</v>
      </c>
      <c r="CG594" s="2818">
        <f t="shared" si="1244"/>
        <v>0</v>
      </c>
      <c r="CH594" s="1"/>
      <c r="CI594" s="2281">
        <f t="shared" ref="CI594:CL594" si="1268">+CI186/CI581*1000</f>
        <v>0</v>
      </c>
      <c r="CJ594" s="2814">
        <f t="shared" si="1268"/>
        <v>0</v>
      </c>
      <c r="CK594" s="2814">
        <f t="shared" si="1268"/>
        <v>0</v>
      </c>
      <c r="CL594" s="2814">
        <f t="shared" si="1268"/>
        <v>0</v>
      </c>
      <c r="CM594" s="2818">
        <f t="shared" si="1246"/>
        <v>0</v>
      </c>
      <c r="CN594" s="1"/>
      <c r="CO594" s="2281">
        <f t="shared" ref="CO594:CR594" si="1269">+CO186/CO581*1000</f>
        <v>0</v>
      </c>
      <c r="CP594" s="2814">
        <f t="shared" si="1269"/>
        <v>0</v>
      </c>
      <c r="CQ594" s="2814">
        <f t="shared" si="1269"/>
        <v>0</v>
      </c>
      <c r="CR594" s="2814">
        <f t="shared" si="1269"/>
        <v>0</v>
      </c>
      <c r="CS594" s="2818">
        <f t="shared" si="1248"/>
        <v>0</v>
      </c>
    </row>
    <row r="595" spans="1:97">
      <c r="A595" s="1930" t="s">
        <v>758</v>
      </c>
      <c r="B595" s="1"/>
      <c r="C595" s="2281"/>
      <c r="D595" s="2814"/>
      <c r="E595" s="2814"/>
      <c r="F595" s="2814"/>
      <c r="G595" s="2818"/>
      <c r="H595" s="1"/>
      <c r="I595" s="2281"/>
      <c r="J595" s="2814"/>
      <c r="K595" s="2814"/>
      <c r="L595" s="2814"/>
      <c r="M595" s="2818"/>
      <c r="N595" s="1"/>
      <c r="O595" s="2281"/>
      <c r="P595" s="2814"/>
      <c r="Q595" s="2814"/>
      <c r="R595" s="2814"/>
      <c r="S595" s="2818"/>
      <c r="T595" s="1"/>
      <c r="U595" s="2281"/>
      <c r="V595" s="2814"/>
      <c r="W595" s="2814"/>
      <c r="X595" s="2814"/>
      <c r="Y595" s="2818"/>
      <c r="Z595" s="1"/>
      <c r="AA595" s="2281"/>
      <c r="AB595" s="2814"/>
      <c r="AC595" s="2814"/>
      <c r="AD595" s="2814"/>
      <c r="AE595" s="2818"/>
      <c r="AF595" s="1"/>
      <c r="AG595" s="2281"/>
      <c r="AH595" s="2814"/>
      <c r="AI595" s="2814"/>
      <c r="AJ595" s="2814"/>
      <c r="AK595" s="2818"/>
      <c r="AL595" s="1"/>
      <c r="AM595" s="2281"/>
      <c r="AN595" s="2814"/>
      <c r="AO595" s="2814"/>
      <c r="AP595" s="2814"/>
      <c r="AQ595" s="2818"/>
      <c r="AR595" s="1"/>
      <c r="AS595" s="2281"/>
      <c r="AT595" s="2814"/>
      <c r="AU595" s="2814"/>
      <c r="AV595" s="2814"/>
      <c r="AW595" s="2818"/>
      <c r="AX595" s="1"/>
      <c r="AY595" s="2281"/>
      <c r="AZ595" s="2814"/>
      <c r="BA595" s="2814"/>
      <c r="BB595" s="2814"/>
      <c r="BC595" s="2818"/>
      <c r="BD595" s="1"/>
      <c r="BE595" s="2281"/>
      <c r="BF595" s="2814"/>
      <c r="BG595" s="2814"/>
      <c r="BH595" s="2814"/>
      <c r="BI595" s="2818"/>
      <c r="BJ595" s="1"/>
      <c r="BK595" s="2281">
        <f t="shared" si="1238"/>
        <v>0</v>
      </c>
      <c r="BL595" s="2814">
        <f t="shared" si="1238"/>
        <v>311.71875</v>
      </c>
      <c r="BM595" s="2814">
        <f t="shared" si="1238"/>
        <v>2382.8125</v>
      </c>
      <c r="BN595" s="2814">
        <f t="shared" si="1238"/>
        <v>6678.984375</v>
      </c>
      <c r="BO595" s="2818">
        <f t="shared" si="1249"/>
        <v>9373.515625</v>
      </c>
      <c r="BP595" s="1"/>
      <c r="BQ595" s="2281">
        <f t="shared" si="1239"/>
        <v>7243.3035714285725</v>
      </c>
      <c r="BR595" s="2814">
        <f t="shared" si="1239"/>
        <v>9506.9437213660985</v>
      </c>
      <c r="BS595" s="2814">
        <f t="shared" si="1239"/>
        <v>12077.437441032223</v>
      </c>
      <c r="BT595" s="2814">
        <f t="shared" si="1239"/>
        <v>15422.258287840294</v>
      </c>
      <c r="BU595" s="2818">
        <f t="shared" si="1240"/>
        <v>44249.94302166719</v>
      </c>
      <c r="BV595" s="1"/>
      <c r="BW595" s="2281">
        <f t="shared" si="1241"/>
        <v>17825.12368012817</v>
      </c>
      <c r="BX595" s="2814">
        <f t="shared" si="1241"/>
        <v>20079.757284417905</v>
      </c>
      <c r="BY595" s="2814">
        <f t="shared" si="1241"/>
        <v>22418.992708591129</v>
      </c>
      <c r="BZ595" s="2814">
        <f t="shared" si="1241"/>
        <v>24845.344048751263</v>
      </c>
      <c r="CA595" s="2818">
        <f t="shared" si="1242"/>
        <v>85169.217721888475</v>
      </c>
      <c r="CB595" s="1"/>
      <c r="CC595" s="2281">
        <f t="shared" si="1243"/>
        <v>27256.444973165137</v>
      </c>
      <c r="CD595" s="2814">
        <f t="shared" si="1243"/>
        <v>29648.520665226442</v>
      </c>
      <c r="CE595" s="2814">
        <f t="shared" si="1243"/>
        <v>32126.879977799548</v>
      </c>
      <c r="CF595" s="2814">
        <f t="shared" si="1243"/>
        <v>34694.048408226445</v>
      </c>
      <c r="CG595" s="2818">
        <f t="shared" si="1244"/>
        <v>123725.89402441758</v>
      </c>
      <c r="CH595" s="1"/>
      <c r="CI595" s="2281">
        <f t="shared" ref="CI595:CL595" si="1270">+CI187/CI582*1000</f>
        <v>37352.618598838279</v>
      </c>
      <c r="CJ595" s="2814">
        <f t="shared" si="1270"/>
        <v>40105.252025714886</v>
      </c>
      <c r="CK595" s="2814">
        <f t="shared" si="1270"/>
        <v>42954.680728407853</v>
      </c>
      <c r="CL595" s="2814">
        <f t="shared" si="1270"/>
        <v>45903.709081595691</v>
      </c>
      <c r="CM595" s="2818">
        <f t="shared" si="1246"/>
        <v>166316.26043455669</v>
      </c>
      <c r="CN595" s="1"/>
      <c r="CO595" s="2281">
        <f t="shared" ref="CO595:CR595" si="1271">+CO187/CO582*1000</f>
        <v>48955.215609662329</v>
      </c>
      <c r="CP595" s="2814">
        <f t="shared" si="1271"/>
        <v>52112.154845212914</v>
      </c>
      <c r="CQ595" s="2814">
        <f t="shared" si="1271"/>
        <v>55377.559232564534</v>
      </c>
      <c r="CR595" s="2814">
        <f t="shared" si="1271"/>
        <v>58754.541077273607</v>
      </c>
      <c r="CS595" s="2818">
        <f t="shared" si="1248"/>
        <v>215199.47076471339</v>
      </c>
    </row>
    <row r="596" spans="1:97">
      <c r="A596" s="125" t="s">
        <v>221</v>
      </c>
      <c r="B596" s="1588"/>
      <c r="C596" s="2299" t="e">
        <f t="shared" ref="C596:F596" si="1272">+SUM(C584:C595)</f>
        <v>#DIV/0!</v>
      </c>
      <c r="D596" s="2815" t="e">
        <f t="shared" si="1272"/>
        <v>#DIV/0!</v>
      </c>
      <c r="E596" s="2815" t="e">
        <f t="shared" si="1272"/>
        <v>#DIV/0!</v>
      </c>
      <c r="F596" s="2815" t="e">
        <f t="shared" si="1272"/>
        <v>#DIV/0!</v>
      </c>
      <c r="G596" s="2819" t="e">
        <f t="shared" si="1219"/>
        <v>#DIV/0!</v>
      </c>
      <c r="H596" s="1588"/>
      <c r="I596" s="2299">
        <f t="shared" ref="I596:L596" si="1273">+SUM(I584:I595)</f>
        <v>50.995222929936304</v>
      </c>
      <c r="J596" s="2815">
        <f t="shared" si="1273"/>
        <v>71.393312101910823</v>
      </c>
      <c r="K596" s="2815">
        <f t="shared" si="1273"/>
        <v>93.964968152866248</v>
      </c>
      <c r="L596" s="2815">
        <f t="shared" si="1273"/>
        <v>119.04458598726116</v>
      </c>
      <c r="M596" s="2819">
        <f t="shared" si="1221"/>
        <v>335.3980891719745</v>
      </c>
      <c r="N596" s="1588"/>
      <c r="O596" s="2299">
        <f t="shared" ref="O596:R596" si="1274">+SUM(O584:O595)</f>
        <v>153.2643312101911</v>
      </c>
      <c r="P596" s="2815">
        <f t="shared" si="1274"/>
        <v>191.72770700636943</v>
      </c>
      <c r="Q596" s="2815">
        <f t="shared" si="1274"/>
        <v>226.33757961783436</v>
      </c>
      <c r="R596" s="2815">
        <f t="shared" si="1274"/>
        <v>263.328025477707</v>
      </c>
      <c r="S596" s="2819">
        <f t="shared" si="1223"/>
        <v>834.65764331210187</v>
      </c>
      <c r="T596" s="1588"/>
      <c r="U596" s="2299">
        <f t="shared" ref="U596:X596" si="1275">+SUM(U584:U595)</f>
        <v>291.35828025477707</v>
      </c>
      <c r="V596" s="2815">
        <f t="shared" si="1275"/>
        <v>289.23719745222928</v>
      </c>
      <c r="W596" s="2815">
        <f t="shared" si="1275"/>
        <v>352.36626194267512</v>
      </c>
      <c r="X596" s="2815">
        <f t="shared" si="1275"/>
        <v>446.72417993630569</v>
      </c>
      <c r="Y596" s="2819">
        <f t="shared" si="1225"/>
        <v>1379.6859195859872</v>
      </c>
      <c r="Z596" s="1588"/>
      <c r="AA596" s="2299">
        <f t="shared" ref="AA596:AD596" si="1276">+SUM(AA584:AA595)</f>
        <v>638.04793789808923</v>
      </c>
      <c r="AB596" s="2815">
        <f t="shared" si="1276"/>
        <v>653.68937882165608</v>
      </c>
      <c r="AC596" s="2815">
        <f t="shared" si="1276"/>
        <v>679.44776185168348</v>
      </c>
      <c r="AD596" s="2815">
        <f t="shared" si="1276"/>
        <v>743.51591257203506</v>
      </c>
      <c r="AE596" s="2819">
        <f t="shared" si="1227"/>
        <v>2714.7009911434639</v>
      </c>
      <c r="AF596" s="1588"/>
      <c r="AG596" s="2299">
        <f t="shared" ref="AG596:AJ596" si="1277">+SUM(AG584:AG595)</f>
        <v>926.66281096451326</v>
      </c>
      <c r="AH596" s="2815">
        <f t="shared" si="1277"/>
        <v>1086.6909712769184</v>
      </c>
      <c r="AI596" s="2815">
        <f t="shared" si="1277"/>
        <v>1086.1498689149228</v>
      </c>
      <c r="AJ596" s="2815">
        <f t="shared" si="1277"/>
        <v>1381.5087430542917</v>
      </c>
      <c r="AK596" s="2819">
        <f t="shared" si="1229"/>
        <v>4481.0123942106457</v>
      </c>
      <c r="AL596" s="1588"/>
      <c r="AM596" s="2299">
        <f t="shared" ref="AM596:AP596" si="1278">+SUM(AM584:AM595)</f>
        <v>1800.5815921519566</v>
      </c>
      <c r="AN596" s="2815">
        <f t="shared" si="1278"/>
        <v>2297.6484623900515</v>
      </c>
      <c r="AO596" s="2815">
        <f t="shared" si="1278"/>
        <v>2757.092951675766</v>
      </c>
      <c r="AP596" s="2815">
        <f t="shared" si="1278"/>
        <v>3127.3468622960663</v>
      </c>
      <c r="AQ596" s="2819">
        <f t="shared" si="1231"/>
        <v>9982.6698685138399</v>
      </c>
      <c r="AR596" s="1588"/>
      <c r="AS596" s="2299">
        <f t="shared" ref="AS596:AV596" si="1279">+SUM(AS584:AS595)</f>
        <v>3323.126244552464</v>
      </c>
      <c r="AT596" s="2815">
        <f t="shared" si="1279"/>
        <v>3982.2374914196321</v>
      </c>
      <c r="AU596" s="2815">
        <f t="shared" si="1279"/>
        <v>6272.4937609998324</v>
      </c>
      <c r="AV596" s="2815">
        <f t="shared" si="1279"/>
        <v>6685.4257746276526</v>
      </c>
      <c r="AW596" s="2819">
        <f t="shared" si="1233"/>
        <v>20263.283271599583</v>
      </c>
      <c r="AX596" s="1588"/>
      <c r="AY596" s="2299">
        <f t="shared" ref="AY596:BB596" si="1280">+SUM(AY584:AY595)</f>
        <v>7906.7140603419375</v>
      </c>
      <c r="AZ596" s="2815">
        <f t="shared" si="1280"/>
        <v>8970.2630200622625</v>
      </c>
      <c r="BA596" s="2815">
        <f t="shared" si="1280"/>
        <v>10580.612696329634</v>
      </c>
      <c r="BB596" s="2815">
        <f t="shared" si="1280"/>
        <v>11010.867865793065</v>
      </c>
      <c r="BC596" s="2819">
        <f t="shared" si="1235"/>
        <v>38468.457642526897</v>
      </c>
      <c r="BD596" s="1588"/>
      <c r="BE596" s="2299">
        <f t="shared" ref="BE596:BH596" si="1281">+SUM(BE584:BE595)</f>
        <v>12117.103039038679</v>
      </c>
      <c r="BF596" s="2815">
        <f t="shared" si="1281"/>
        <v>12889.857002770166</v>
      </c>
      <c r="BG596" s="2815">
        <f t="shared" si="1281"/>
        <v>15005.187287628492</v>
      </c>
      <c r="BH596" s="2815">
        <f t="shared" si="1281"/>
        <v>14323.486334745583</v>
      </c>
      <c r="BI596" s="2819">
        <f t="shared" si="1237"/>
        <v>54335.633664182918</v>
      </c>
      <c r="BJ596" s="1588"/>
      <c r="BK596" s="2299">
        <f>+SUM(BK584:BK595)</f>
        <v>13966.531779257122</v>
      </c>
      <c r="BL596" s="2815">
        <f>+SUM(BL584:BL595)</f>
        <v>14919.618180020319</v>
      </c>
      <c r="BM596" s="2815">
        <f>+SUM(BM584:BM595)</f>
        <v>17849.372991028355</v>
      </c>
      <c r="BN596" s="2815">
        <f>+SUM(BN584:BN595)</f>
        <v>22853.416826930988</v>
      </c>
      <c r="BO596" s="2819">
        <f t="shared" si="1249"/>
        <v>69588.939777236781</v>
      </c>
      <c r="BP596" s="1588"/>
      <c r="BQ596" s="2299">
        <f t="shared" ref="BQ596:BT596" si="1282">+SUM(BQ584:BQ595)</f>
        <v>21934.708908038505</v>
      </c>
      <c r="BR596" s="2815">
        <f t="shared" si="1282"/>
        <v>23598.381829265745</v>
      </c>
      <c r="BS596" s="2815">
        <f t="shared" si="1282"/>
        <v>25499.007496903923</v>
      </c>
      <c r="BT596" s="2815">
        <f t="shared" si="1282"/>
        <v>28145.278229666641</v>
      </c>
      <c r="BU596" s="2819">
        <f t="shared" si="1240"/>
        <v>99177.376463874811</v>
      </c>
      <c r="BV596" s="1588"/>
      <c r="BW596" s="2299">
        <f t="shared" ref="BW596:BZ596" si="1283">+SUM(BW584:BW595)</f>
        <v>30458.638105996753</v>
      </c>
      <c r="BX596" s="2815">
        <f t="shared" si="1283"/>
        <v>32584.609871477754</v>
      </c>
      <c r="BY596" s="2815">
        <f t="shared" si="1283"/>
        <v>34816.143895996604</v>
      </c>
      <c r="BZ596" s="2815">
        <f t="shared" si="1283"/>
        <v>37155.99600488125</v>
      </c>
      <c r="CA596" s="2819">
        <f t="shared" si="1242"/>
        <v>135015.38787835237</v>
      </c>
      <c r="CB596" s="1588"/>
      <c r="CC596" s="2299">
        <f t="shared" ref="CC596:CF596" si="1284">+SUM(CC584:CC595)</f>
        <v>39508.619396728202</v>
      </c>
      <c r="CD596" s="2815">
        <f t="shared" si="1284"/>
        <v>41869.636745790805</v>
      </c>
      <c r="CE596" s="2815">
        <f t="shared" si="1284"/>
        <v>44337.761091029519</v>
      </c>
      <c r="CF596" s="2815">
        <f t="shared" si="1284"/>
        <v>46915.786121197765</v>
      </c>
      <c r="CG596" s="2819">
        <f t="shared" si="1244"/>
        <v>172631.80335474628</v>
      </c>
      <c r="CH596" s="1588"/>
      <c r="CI596" s="2299">
        <f t="shared" ref="CI596:CL596" si="1285">+SUM(CI584:CI595)</f>
        <v>49576.398085145935</v>
      </c>
      <c r="CJ596" s="2815">
        <f t="shared" si="1285"/>
        <v>52306.874297512826</v>
      </c>
      <c r="CK596" s="2815">
        <f t="shared" si="1285"/>
        <v>55114.814469826219</v>
      </c>
      <c r="CL596" s="2815">
        <f t="shared" si="1285"/>
        <v>58111.188095289064</v>
      </c>
      <c r="CM596" s="2819">
        <f t="shared" si="1246"/>
        <v>215109.27494777401</v>
      </c>
      <c r="CN596" s="1588"/>
      <c r="CO596" s="2299">
        <f t="shared" ref="CO596:CR596" si="1286">+SUM(CO584:CO595)</f>
        <v>61331.173291211308</v>
      </c>
      <c r="CP596" s="2815">
        <f t="shared" si="1286"/>
        <v>64677.392335590543</v>
      </c>
      <c r="CQ596" s="2815">
        <f t="shared" si="1286"/>
        <v>68125.073934935237</v>
      </c>
      <c r="CR596" s="2815">
        <f t="shared" si="1286"/>
        <v>71715.160010826541</v>
      </c>
      <c r="CS596" s="2819">
        <f t="shared" si="1248"/>
        <v>265848.79957256361</v>
      </c>
    </row>
    <row r="597" spans="1:97">
      <c r="A597" s="1930" t="s">
        <v>659</v>
      </c>
      <c r="B597" s="2248"/>
      <c r="C597" s="2246"/>
      <c r="D597" s="2249"/>
      <c r="E597" s="2249"/>
      <c r="F597" s="2249"/>
      <c r="G597" s="2247"/>
      <c r="H597" s="2248"/>
      <c r="I597" s="2281" t="e">
        <f t="shared" ref="I597:M597" si="1287">+I596-C596</f>
        <v>#DIV/0!</v>
      </c>
      <c r="J597" s="2814" t="e">
        <f t="shared" si="1287"/>
        <v>#DIV/0!</v>
      </c>
      <c r="K597" s="2814" t="e">
        <f t="shared" si="1287"/>
        <v>#DIV/0!</v>
      </c>
      <c r="L597" s="2814" t="e">
        <f t="shared" si="1287"/>
        <v>#DIV/0!</v>
      </c>
      <c r="M597" s="2818" t="e">
        <f t="shared" si="1287"/>
        <v>#DIV/0!</v>
      </c>
      <c r="N597" s="2248"/>
      <c r="O597" s="2281">
        <f t="shared" ref="O597:S597" si="1288">+O596-I596</f>
        <v>102.2691082802548</v>
      </c>
      <c r="P597" s="2814">
        <f t="shared" si="1288"/>
        <v>120.33439490445861</v>
      </c>
      <c r="Q597" s="2814">
        <f t="shared" si="1288"/>
        <v>132.37261146496812</v>
      </c>
      <c r="R597" s="2814">
        <f t="shared" si="1288"/>
        <v>144.28343949044586</v>
      </c>
      <c r="S597" s="2818">
        <f t="shared" si="1288"/>
        <v>499.25955414012736</v>
      </c>
      <c r="T597" s="2248"/>
      <c r="U597" s="2281">
        <f t="shared" ref="U597:Y597" si="1289">+U596-O596</f>
        <v>138.09394904458597</v>
      </c>
      <c r="V597" s="2814">
        <f t="shared" si="1289"/>
        <v>97.509490445859853</v>
      </c>
      <c r="W597" s="2814">
        <f t="shared" si="1289"/>
        <v>126.02868232484076</v>
      </c>
      <c r="X597" s="2814">
        <f t="shared" si="1289"/>
        <v>183.39615445859869</v>
      </c>
      <c r="Y597" s="2818">
        <f t="shared" si="1289"/>
        <v>545.02827627388535</v>
      </c>
      <c r="Z597" s="2248"/>
      <c r="AA597" s="2281">
        <f t="shared" ref="AA597:AE597" si="1290">+AA596-U596</f>
        <v>346.68965764331216</v>
      </c>
      <c r="AB597" s="2814">
        <f t="shared" si="1290"/>
        <v>364.4521813694268</v>
      </c>
      <c r="AC597" s="2814">
        <f t="shared" si="1290"/>
        <v>327.08149990900836</v>
      </c>
      <c r="AD597" s="2814">
        <f t="shared" si="1290"/>
        <v>296.79173263572937</v>
      </c>
      <c r="AE597" s="2818">
        <f t="shared" si="1290"/>
        <v>1335.0150715574766</v>
      </c>
      <c r="AF597" s="2248"/>
      <c r="AG597" s="2281">
        <f t="shared" ref="AG597:AK597" si="1291">+AG596-AA596</f>
        <v>288.61487306642402</v>
      </c>
      <c r="AH597" s="2814">
        <f t="shared" si="1291"/>
        <v>433.00159245526231</v>
      </c>
      <c r="AI597" s="2814">
        <f t="shared" si="1291"/>
        <v>406.70210706323928</v>
      </c>
      <c r="AJ597" s="2814">
        <f t="shared" si="1291"/>
        <v>637.99283048225664</v>
      </c>
      <c r="AK597" s="2818">
        <f t="shared" si="1291"/>
        <v>1766.3114030671818</v>
      </c>
      <c r="AL597" s="2248"/>
      <c r="AM597" s="2281">
        <f t="shared" ref="AM597:AQ597" si="1292">+AM596-AG596</f>
        <v>873.9187811874433</v>
      </c>
      <c r="AN597" s="2814">
        <f t="shared" si="1292"/>
        <v>1210.9574911131331</v>
      </c>
      <c r="AO597" s="2814">
        <f t="shared" si="1292"/>
        <v>1670.9430827608433</v>
      </c>
      <c r="AP597" s="2814">
        <f t="shared" si="1292"/>
        <v>1745.8381192417746</v>
      </c>
      <c r="AQ597" s="2818">
        <f t="shared" si="1292"/>
        <v>5501.6574743031942</v>
      </c>
      <c r="AR597" s="2248"/>
      <c r="AS597" s="2281">
        <f t="shared" ref="AS597:AW597" si="1293">+AS596-AM596</f>
        <v>1522.5446524005074</v>
      </c>
      <c r="AT597" s="2814">
        <f t="shared" si="1293"/>
        <v>1684.5890290295806</v>
      </c>
      <c r="AU597" s="2814">
        <f t="shared" si="1293"/>
        <v>3515.4008093240664</v>
      </c>
      <c r="AV597" s="2814">
        <f t="shared" si="1293"/>
        <v>3558.0789123315863</v>
      </c>
      <c r="AW597" s="2818">
        <f t="shared" si="1293"/>
        <v>10280.613403085743</v>
      </c>
      <c r="AX597" s="2248"/>
      <c r="AY597" s="2281">
        <f t="shared" ref="AY597:BC597" si="1294">+AY596-AS596</f>
        <v>4583.5878157894731</v>
      </c>
      <c r="AZ597" s="2814">
        <f t="shared" si="1294"/>
        <v>4988.0255286426309</v>
      </c>
      <c r="BA597" s="2814">
        <f t="shared" si="1294"/>
        <v>4308.1189353298014</v>
      </c>
      <c r="BB597" s="2814">
        <f t="shared" si="1294"/>
        <v>4325.4420911654124</v>
      </c>
      <c r="BC597" s="2818">
        <f t="shared" si="1294"/>
        <v>18205.174370927314</v>
      </c>
      <c r="BD597" s="2248"/>
      <c r="BE597" s="2281">
        <f t="shared" ref="BE597:BI597" si="1295">+BE596-AY596</f>
        <v>4210.3889786967411</v>
      </c>
      <c r="BF597" s="2814">
        <f t="shared" si="1295"/>
        <v>3919.5939827079037</v>
      </c>
      <c r="BG597" s="2814">
        <f t="shared" si="1295"/>
        <v>4424.5745912988586</v>
      </c>
      <c r="BH597" s="2814">
        <f t="shared" si="1295"/>
        <v>3312.618468952518</v>
      </c>
      <c r="BI597" s="2818">
        <f t="shared" si="1295"/>
        <v>15867.176021656021</v>
      </c>
      <c r="BJ597" s="2248"/>
      <c r="BK597" s="2281">
        <f>+BK596-BE596</f>
        <v>1849.4287402184436</v>
      </c>
      <c r="BL597" s="2814">
        <f>+BL596-BF596</f>
        <v>2029.7611772501532</v>
      </c>
      <c r="BM597" s="2814">
        <f>+BM596-BG596</f>
        <v>2844.1857033998622</v>
      </c>
      <c r="BN597" s="2814">
        <f>+BN596-BH596</f>
        <v>8529.9304921854055</v>
      </c>
      <c r="BO597" s="2818">
        <f>+BO596-BI596</f>
        <v>15253.306113053863</v>
      </c>
      <c r="BP597" s="2248"/>
      <c r="BQ597" s="2281">
        <f t="shared" ref="BQ597:BU597" si="1296">+BQ596-BK596</f>
        <v>7968.1771287813826</v>
      </c>
      <c r="BR597" s="2814">
        <f t="shared" si="1296"/>
        <v>8678.7636492454258</v>
      </c>
      <c r="BS597" s="2814">
        <f t="shared" si="1296"/>
        <v>7649.6345058755687</v>
      </c>
      <c r="BT597" s="2814">
        <f t="shared" si="1296"/>
        <v>5291.8614027356525</v>
      </c>
      <c r="BU597" s="2818">
        <f t="shared" si="1296"/>
        <v>29588.43668663803</v>
      </c>
      <c r="BV597" s="2248"/>
      <c r="BW597" s="2281">
        <f t="shared" ref="BW597:CA597" si="1297">+BW596-BQ596</f>
        <v>8523.9291979582486</v>
      </c>
      <c r="BX597" s="2814">
        <f t="shared" si="1297"/>
        <v>8986.2280422120093</v>
      </c>
      <c r="BY597" s="2814">
        <f t="shared" si="1297"/>
        <v>9317.1363990926802</v>
      </c>
      <c r="BZ597" s="2814">
        <f t="shared" si="1297"/>
        <v>9010.717775214609</v>
      </c>
      <c r="CA597" s="2818">
        <f t="shared" si="1297"/>
        <v>35838.011414477558</v>
      </c>
      <c r="CB597" s="2248"/>
      <c r="CC597" s="2281">
        <f t="shared" ref="CC597:CG597" si="1298">+CC596-BW596</f>
        <v>9049.9812907314481</v>
      </c>
      <c r="CD597" s="2814">
        <f t="shared" si="1298"/>
        <v>9285.0268743130509</v>
      </c>
      <c r="CE597" s="2814">
        <f t="shared" si="1298"/>
        <v>9521.6171950329153</v>
      </c>
      <c r="CF597" s="2814">
        <f t="shared" si="1298"/>
        <v>9759.7901163165152</v>
      </c>
      <c r="CG597" s="2818">
        <f t="shared" si="1298"/>
        <v>37616.415476393915</v>
      </c>
      <c r="CH597" s="2248"/>
      <c r="CI597" s="2281">
        <f t="shared" ref="CI597" si="1299">+CI596-CC596</f>
        <v>10067.778688417733</v>
      </c>
      <c r="CJ597" s="2814">
        <f t="shared" ref="CJ597" si="1300">+CJ596-CD596</f>
        <v>10437.237551722021</v>
      </c>
      <c r="CK597" s="2814">
        <f t="shared" ref="CK597" si="1301">+CK596-CE596</f>
        <v>10777.0533787967</v>
      </c>
      <c r="CL597" s="2814">
        <f t="shared" ref="CL597" si="1302">+CL596-CF596</f>
        <v>11195.401974091299</v>
      </c>
      <c r="CM597" s="2818">
        <f t="shared" ref="CM597" si="1303">+CM596-CG596</f>
        <v>42477.471593027731</v>
      </c>
      <c r="CN597" s="2248"/>
      <c r="CO597" s="2281">
        <f t="shared" ref="CO597" si="1304">+CO596-CI596</f>
        <v>11754.775206065373</v>
      </c>
      <c r="CP597" s="2814">
        <f t="shared" ref="CP597" si="1305">+CP596-CJ596</f>
        <v>12370.518038077716</v>
      </c>
      <c r="CQ597" s="2814">
        <f t="shared" ref="CQ597" si="1306">+CQ596-CK596</f>
        <v>13010.259465109018</v>
      </c>
      <c r="CR597" s="2814">
        <f t="shared" ref="CR597" si="1307">+CR596-CL596</f>
        <v>13603.971915537477</v>
      </c>
      <c r="CS597" s="2818">
        <f t="shared" ref="CS597" si="1308">+CS596-CM596</f>
        <v>50739.524624789599</v>
      </c>
    </row>
    <row r="598" spans="1:97">
      <c r="A598" s="1930" t="s">
        <v>662</v>
      </c>
      <c r="B598" s="2248"/>
      <c r="C598" s="2246"/>
      <c r="D598" s="2249"/>
      <c r="E598" s="2249"/>
      <c r="F598" s="2249"/>
      <c r="G598" s="2247"/>
      <c r="H598" s="2248"/>
      <c r="I598" s="2281" t="e">
        <f t="shared" ref="I598" si="1309">+I596-F596</f>
        <v>#DIV/0!</v>
      </c>
      <c r="J598" s="2814">
        <f t="shared" ref="J598:L598" si="1310">+J596-I596</f>
        <v>20.398089171974519</v>
      </c>
      <c r="K598" s="2814">
        <f t="shared" si="1310"/>
        <v>22.571656050955426</v>
      </c>
      <c r="L598" s="2814">
        <f t="shared" si="1310"/>
        <v>25.079617834394909</v>
      </c>
      <c r="M598" s="2818"/>
      <c r="N598" s="2248"/>
      <c r="O598" s="2281">
        <f t="shared" ref="O598" si="1311">+O596-L596</f>
        <v>34.219745222929944</v>
      </c>
      <c r="P598" s="2814">
        <f t="shared" ref="P598:R598" si="1312">+P596-O596</f>
        <v>38.463375796178326</v>
      </c>
      <c r="Q598" s="2814">
        <f t="shared" si="1312"/>
        <v>34.609872611464937</v>
      </c>
      <c r="R598" s="2814">
        <f t="shared" si="1312"/>
        <v>36.990445859872636</v>
      </c>
      <c r="S598" s="2818"/>
      <c r="T598" s="2248"/>
      <c r="U598" s="2281">
        <f t="shared" ref="U598" si="1313">+U596-R596</f>
        <v>28.03025477707007</v>
      </c>
      <c r="V598" s="2814">
        <f t="shared" ref="V598:X598" si="1314">+V596-U596</f>
        <v>-2.1210828025477895</v>
      </c>
      <c r="W598" s="2814">
        <f t="shared" si="1314"/>
        <v>63.129064490445842</v>
      </c>
      <c r="X598" s="2814">
        <f t="shared" si="1314"/>
        <v>94.357917993630565</v>
      </c>
      <c r="Y598" s="2818"/>
      <c r="Z598" s="2248"/>
      <c r="AA598" s="2281">
        <f t="shared" ref="AA598" si="1315">+AA596-X596</f>
        <v>191.32375796178354</v>
      </c>
      <c r="AB598" s="2814">
        <f t="shared" ref="AB598:AD598" si="1316">+AB596-AA596</f>
        <v>15.641440923566847</v>
      </c>
      <c r="AC598" s="2814">
        <f t="shared" si="1316"/>
        <v>25.758383030027403</v>
      </c>
      <c r="AD598" s="2814">
        <f t="shared" si="1316"/>
        <v>64.068150720351582</v>
      </c>
      <c r="AE598" s="2818"/>
      <c r="AF598" s="2248"/>
      <c r="AG598" s="2281">
        <f t="shared" ref="AG598" si="1317">+AG596-AD596</f>
        <v>183.14689839247819</v>
      </c>
      <c r="AH598" s="2814">
        <f t="shared" ref="AH598:AJ598" si="1318">+AH596-AG596</f>
        <v>160.02816031240513</v>
      </c>
      <c r="AI598" s="2814">
        <f t="shared" si="1318"/>
        <v>-0.54110236199562678</v>
      </c>
      <c r="AJ598" s="2814">
        <f t="shared" si="1318"/>
        <v>295.35887413936894</v>
      </c>
      <c r="AK598" s="2818"/>
      <c r="AL598" s="2248"/>
      <c r="AM598" s="2281">
        <f t="shared" ref="AM598" si="1319">+AM596-AJ596</f>
        <v>419.07284909766486</v>
      </c>
      <c r="AN598" s="2814">
        <f t="shared" ref="AN598:AP598" si="1320">+AN596-AM596</f>
        <v>497.06687023809491</v>
      </c>
      <c r="AO598" s="2814">
        <f t="shared" si="1320"/>
        <v>459.44448928571455</v>
      </c>
      <c r="AP598" s="2814">
        <f t="shared" si="1320"/>
        <v>370.2539106203003</v>
      </c>
      <c r="AQ598" s="2818"/>
      <c r="AR598" s="2248"/>
      <c r="AS598" s="2281">
        <f t="shared" ref="AS598" si="1321">+AS596-AP596</f>
        <v>195.77938225639764</v>
      </c>
      <c r="AT598" s="2814">
        <f t="shared" ref="AT598:AV598" si="1322">+AT596-AS596</f>
        <v>659.11124686716812</v>
      </c>
      <c r="AU598" s="2814">
        <f t="shared" si="1322"/>
        <v>2290.2562695802003</v>
      </c>
      <c r="AV598" s="2814">
        <f t="shared" si="1322"/>
        <v>412.9320136278202</v>
      </c>
      <c r="AW598" s="2818"/>
      <c r="AX598" s="2248"/>
      <c r="AY598" s="2281">
        <f t="shared" ref="AY598" si="1323">+AY596-AV596</f>
        <v>1221.2882857142849</v>
      </c>
      <c r="AZ598" s="2814">
        <f t="shared" ref="AZ598:BB598" si="1324">+AZ596-AY596</f>
        <v>1063.548959720325</v>
      </c>
      <c r="BA598" s="2814">
        <f t="shared" si="1324"/>
        <v>1610.3496762673713</v>
      </c>
      <c r="BB598" s="2814">
        <f t="shared" si="1324"/>
        <v>430.25516946343123</v>
      </c>
      <c r="BC598" s="2818"/>
      <c r="BD598" s="2248"/>
      <c r="BE598" s="2281">
        <f t="shared" ref="BE598" si="1325">+BE596-BB596</f>
        <v>1106.2351732456136</v>
      </c>
      <c r="BF598" s="2814">
        <f t="shared" ref="BF598:BH598" si="1326">+BF596-BE596</f>
        <v>772.7539637314876</v>
      </c>
      <c r="BG598" s="2814">
        <f t="shared" si="1326"/>
        <v>2115.3302848583262</v>
      </c>
      <c r="BH598" s="2814">
        <f t="shared" si="1326"/>
        <v>-681.70095288290941</v>
      </c>
      <c r="BI598" s="2818"/>
      <c r="BJ598" s="2248"/>
      <c r="BK598" s="2281">
        <f>+BK596-BH596</f>
        <v>-356.95455548846076</v>
      </c>
      <c r="BL598" s="2814">
        <f>+BL596-BK596</f>
        <v>953.08640076319716</v>
      </c>
      <c r="BM598" s="2814">
        <f>+BM596-BL596</f>
        <v>2929.7548110080352</v>
      </c>
      <c r="BN598" s="2814">
        <f>+BN596-BM596</f>
        <v>5004.0438359026339</v>
      </c>
      <c r="BO598" s="2818"/>
      <c r="BP598" s="2248"/>
      <c r="BQ598" s="2281">
        <f t="shared" ref="BQ598" si="1327">+BQ596-BN596</f>
        <v>-918.70791889248358</v>
      </c>
      <c r="BR598" s="2814">
        <f t="shared" ref="BR598:BT598" si="1328">+BR596-BQ596</f>
        <v>1663.6729212272403</v>
      </c>
      <c r="BS598" s="2814">
        <f t="shared" si="1328"/>
        <v>1900.6256676381781</v>
      </c>
      <c r="BT598" s="2814">
        <f t="shared" si="1328"/>
        <v>2646.2707327627177</v>
      </c>
      <c r="BU598" s="2818"/>
      <c r="BV598" s="2248"/>
      <c r="BW598" s="2281">
        <f t="shared" ref="BW598" si="1329">+BW596-BT596</f>
        <v>2313.3598763301125</v>
      </c>
      <c r="BX598" s="2814">
        <f t="shared" ref="BX598:BZ598" si="1330">+BX596-BW596</f>
        <v>2125.9717654810011</v>
      </c>
      <c r="BY598" s="2814">
        <f t="shared" si="1330"/>
        <v>2231.534024518849</v>
      </c>
      <c r="BZ598" s="2814">
        <f t="shared" si="1330"/>
        <v>2339.8521088846464</v>
      </c>
      <c r="CA598" s="2818"/>
      <c r="CB598" s="2248"/>
      <c r="CC598" s="2281">
        <f t="shared" ref="CC598" si="1331">+CC596-BZ596</f>
        <v>2352.6233918469516</v>
      </c>
      <c r="CD598" s="2814">
        <f t="shared" ref="CD598:CF598" si="1332">+CD596-CC596</f>
        <v>2361.0173490626039</v>
      </c>
      <c r="CE598" s="2814">
        <f t="shared" si="1332"/>
        <v>2468.1243452387134</v>
      </c>
      <c r="CF598" s="2814">
        <f t="shared" si="1332"/>
        <v>2578.0250301682463</v>
      </c>
      <c r="CG598" s="2818"/>
      <c r="CH598" s="2248"/>
      <c r="CI598" s="2281">
        <f t="shared" ref="CI598" si="1333">+CI596-CF596</f>
        <v>2660.6119639481694</v>
      </c>
      <c r="CJ598" s="2814">
        <f t="shared" ref="CJ598" si="1334">+CJ596-CI596</f>
        <v>2730.4762123668916</v>
      </c>
      <c r="CK598" s="2814">
        <f t="shared" ref="CK598" si="1335">+CK596-CJ596</f>
        <v>2807.9401723133924</v>
      </c>
      <c r="CL598" s="2814">
        <f t="shared" ref="CL598" si="1336">+CL596-CK596</f>
        <v>2996.3736254628457</v>
      </c>
      <c r="CM598" s="2818"/>
      <c r="CN598" s="2248"/>
      <c r="CO598" s="2281">
        <f t="shared" ref="CO598" si="1337">+CO596-CL596</f>
        <v>3219.9851959222433</v>
      </c>
      <c r="CP598" s="2814">
        <f t="shared" ref="CP598" si="1338">+CP596-CO596</f>
        <v>3346.2190443792351</v>
      </c>
      <c r="CQ598" s="2814">
        <f t="shared" ref="CQ598" si="1339">+CQ596-CP596</f>
        <v>3447.6815993446944</v>
      </c>
      <c r="CR598" s="2814">
        <f t="shared" ref="CR598" si="1340">+CR596-CQ596</f>
        <v>3590.0860758913041</v>
      </c>
      <c r="CS598" s="2818"/>
    </row>
    <row r="599" spans="1:97">
      <c r="A599" s="1028" t="s">
        <v>428</v>
      </c>
      <c r="B599" s="197"/>
      <c r="C599" s="1392"/>
      <c r="D599" s="154"/>
      <c r="E599" s="154"/>
      <c r="F599" s="154"/>
      <c r="G599" s="1393"/>
      <c r="H599" s="197"/>
      <c r="I599" s="2816" t="e">
        <f t="shared" ref="I599:M599" si="1341">+I596/C596-1</f>
        <v>#DIV/0!</v>
      </c>
      <c r="J599" s="2817" t="e">
        <f t="shared" si="1341"/>
        <v>#DIV/0!</v>
      </c>
      <c r="K599" s="2817" t="e">
        <f t="shared" si="1341"/>
        <v>#DIV/0!</v>
      </c>
      <c r="L599" s="2817" t="e">
        <f t="shared" si="1341"/>
        <v>#DIV/0!</v>
      </c>
      <c r="M599" s="2818" t="e">
        <f t="shared" si="1341"/>
        <v>#DIV/0!</v>
      </c>
      <c r="N599" s="197"/>
      <c r="O599" s="2174">
        <f t="shared" ref="O599:S599" si="1342">+O596/I596-1</f>
        <v>2.0054644808743176</v>
      </c>
      <c r="P599" s="195">
        <f t="shared" si="1342"/>
        <v>1.685513549682168</v>
      </c>
      <c r="Q599" s="195">
        <f t="shared" si="1342"/>
        <v>1.4087442806304011</v>
      </c>
      <c r="R599" s="195">
        <f t="shared" si="1342"/>
        <v>1.2120117710005349</v>
      </c>
      <c r="S599" s="1961">
        <f t="shared" si="1342"/>
        <v>1.488558135118454</v>
      </c>
      <c r="T599" s="2820"/>
      <c r="U599" s="2174">
        <f t="shared" ref="U599:Y599" si="1343">+U596/O596-1</f>
        <v>0.9010181818181815</v>
      </c>
      <c r="V599" s="195">
        <f t="shared" si="1343"/>
        <v>0.50858319837216048</v>
      </c>
      <c r="W599" s="195">
        <f t="shared" si="1343"/>
        <v>0.55681731039819904</v>
      </c>
      <c r="X599" s="195">
        <f t="shared" si="1343"/>
        <v>0.69645513091854605</v>
      </c>
      <c r="Y599" s="1961">
        <f t="shared" si="1343"/>
        <v>0.65299620825503424</v>
      </c>
      <c r="Z599" s="2820"/>
      <c r="AA599" s="2174">
        <f t="shared" ref="AA599:AE599" si="1344">+AA596/U596-1</f>
        <v>1.1899083744596197</v>
      </c>
      <c r="AB599" s="195">
        <f t="shared" si="1344"/>
        <v>1.2600460265129629</v>
      </c>
      <c r="AC599" s="195">
        <f t="shared" si="1344"/>
        <v>0.92824295409479296</v>
      </c>
      <c r="AD599" s="195">
        <f t="shared" si="1344"/>
        <v>0.66437355747800853</v>
      </c>
      <c r="AE599" s="1961">
        <f t="shared" si="1344"/>
        <v>0.96762245131709745</v>
      </c>
      <c r="AF599" s="2820"/>
      <c r="AG599" s="2174">
        <f t="shared" ref="AG599:AK599" si="1345">+AG596/AA596-1</f>
        <v>0.45234042134389352</v>
      </c>
      <c r="AH599" s="195">
        <f t="shared" si="1345"/>
        <v>0.66239655482209803</v>
      </c>
      <c r="AI599" s="195">
        <f t="shared" si="1345"/>
        <v>0.59857744759488685</v>
      </c>
      <c r="AJ599" s="195">
        <f t="shared" si="1345"/>
        <v>0.8580755565476148</v>
      </c>
      <c r="AK599" s="1961">
        <f t="shared" si="1345"/>
        <v>0.65064675956197693</v>
      </c>
      <c r="AL599" s="2820"/>
      <c r="AM599" s="2174">
        <f t="shared" ref="AM599:AQ599" si="1346">+AM596/AG596-1</f>
        <v>0.94308174542779866</v>
      </c>
      <c r="AN599" s="195">
        <f t="shared" si="1346"/>
        <v>1.1143531354550551</v>
      </c>
      <c r="AO599" s="195">
        <f t="shared" si="1346"/>
        <v>1.5384093213859487</v>
      </c>
      <c r="AP599" s="195">
        <f t="shared" si="1346"/>
        <v>1.2637184730239275</v>
      </c>
      <c r="AQ599" s="1961">
        <f t="shared" si="1346"/>
        <v>1.2277710906158608</v>
      </c>
      <c r="AR599" s="2820"/>
      <c r="AS599" s="2174">
        <f t="shared" ref="AS599:AW599" si="1347">+AS596/AM596-1</f>
        <v>0.84558492602428825</v>
      </c>
      <c r="AT599" s="195">
        <f t="shared" si="1347"/>
        <v>0.73317962107973811</v>
      </c>
      <c r="AU599" s="195">
        <f t="shared" si="1347"/>
        <v>1.2750389163293896</v>
      </c>
      <c r="AV599" s="195">
        <f t="shared" si="1347"/>
        <v>1.1377308207249133</v>
      </c>
      <c r="AW599" s="1961">
        <f t="shared" si="1347"/>
        <v>1.0298460771012414</v>
      </c>
      <c r="AX599" s="2820"/>
      <c r="AY599" s="2174">
        <f t="shared" ref="AY599:BC599" si="1348">+AY596/AS596-1</f>
        <v>1.3792999358069107</v>
      </c>
      <c r="AZ599" s="195">
        <f t="shared" si="1348"/>
        <v>1.2525685721632951</v>
      </c>
      <c r="BA599" s="195">
        <f t="shared" si="1348"/>
        <v>0.68682713757583547</v>
      </c>
      <c r="BB599" s="195">
        <f t="shared" si="1348"/>
        <v>0.6469957541943272</v>
      </c>
      <c r="BC599" s="1961">
        <f t="shared" si="1348"/>
        <v>0.89843161776468605</v>
      </c>
      <c r="BD599" s="2820"/>
      <c r="BE599" s="2174">
        <f t="shared" ref="BE599:BI599" si="1349">+BE596/AY596-1</f>
        <v>0.53250806170100162</v>
      </c>
      <c r="BF599" s="195">
        <f t="shared" si="1349"/>
        <v>0.43695418673249753</v>
      </c>
      <c r="BG599" s="195">
        <f t="shared" si="1349"/>
        <v>0.41817754021312248</v>
      </c>
      <c r="BH599" s="195">
        <f t="shared" si="1349"/>
        <v>0.30084989751295366</v>
      </c>
      <c r="BI599" s="1961">
        <f t="shared" si="1349"/>
        <v>0.41247237331696018</v>
      </c>
      <c r="BJ599" s="2820"/>
      <c r="BK599" s="2174">
        <f>+BK596/BE596-1</f>
        <v>0.15262961239662531</v>
      </c>
      <c r="BL599" s="195">
        <f>+BL596/BF596-1</f>
        <v>0.1574696427442086</v>
      </c>
      <c r="BM599" s="195">
        <f>+BM596/BG596-1</f>
        <v>0.18954683129779015</v>
      </c>
      <c r="BN599" s="195">
        <f>+BN596/BH596-1</f>
        <v>0.59552055224807221</v>
      </c>
      <c r="BO599" s="1961">
        <f>+BO596/BI596-1</f>
        <v>0.28072381022232507</v>
      </c>
      <c r="BP599" s="2820"/>
      <c r="BQ599" s="2174">
        <f t="shared" ref="BQ599:BU599" si="1350">+BQ596/BK596-1</f>
        <v>0.57051938553675852</v>
      </c>
      <c r="BR599" s="195">
        <f t="shared" si="1350"/>
        <v>0.58170145807535723</v>
      </c>
      <c r="BS599" s="195">
        <f t="shared" si="1350"/>
        <v>0.42856600675668055</v>
      </c>
      <c r="BT599" s="195">
        <f t="shared" si="1350"/>
        <v>0.23155668330958723</v>
      </c>
      <c r="BU599" s="1961">
        <f t="shared" si="1350"/>
        <v>0.42518878404175231</v>
      </c>
      <c r="BV599" s="2820"/>
      <c r="BW599" s="2174">
        <f t="shared" ref="BW599:CA599" si="1351">+BW596/BQ596-1</f>
        <v>0.38860461899425758</v>
      </c>
      <c r="BX599" s="195">
        <f t="shared" si="1351"/>
        <v>0.38079848471083122</v>
      </c>
      <c r="BY599" s="195">
        <f t="shared" si="1351"/>
        <v>0.36539211968246077</v>
      </c>
      <c r="BZ599" s="195">
        <f t="shared" si="1351"/>
        <v>0.32015024693260363</v>
      </c>
      <c r="CA599" s="1961">
        <f t="shared" si="1351"/>
        <v>0.36135268639145224</v>
      </c>
      <c r="CB599" s="2820"/>
      <c r="CC599" s="2174">
        <f t="shared" ref="CC599:CG599" si="1352">+CC596/BW596-1</f>
        <v>0.29712363564113753</v>
      </c>
      <c r="CD599" s="195">
        <f t="shared" si="1352"/>
        <v>0.28495129789602003</v>
      </c>
      <c r="CE599" s="195">
        <f t="shared" si="1352"/>
        <v>0.27348281944939279</v>
      </c>
      <c r="CF599" s="195">
        <f t="shared" si="1352"/>
        <v>0.26267066330382738</v>
      </c>
      <c r="CG599" s="1961">
        <f t="shared" si="1352"/>
        <v>0.27860835766576453</v>
      </c>
      <c r="CH599" s="2820"/>
      <c r="CI599" s="2174">
        <f t="shared" ref="CI599" si="1353">+CI596/CC596-1</f>
        <v>0.25482486713396701</v>
      </c>
      <c r="CJ599" s="195">
        <f t="shared" ref="CJ599" si="1354">+CJ596/CD596-1</f>
        <v>0.24927939105588925</v>
      </c>
      <c r="CK599" s="195">
        <f t="shared" ref="CK599" si="1355">+CK596/CE596-1</f>
        <v>0.24306715345121765</v>
      </c>
      <c r="CL599" s="195">
        <f t="shared" ref="CL599" si="1356">+CL596/CF596-1</f>
        <v>0.23862761129420629</v>
      </c>
      <c r="CM599" s="1961">
        <f t="shared" ref="CM599" si="1357">+CM596/CG596-1</f>
        <v>0.2460582046156321</v>
      </c>
      <c r="CN599" s="2820"/>
      <c r="CO599" s="2174">
        <f t="shared" ref="CO599" si="1358">+CO596/CI596-1</f>
        <v>0.23710426049663602</v>
      </c>
      <c r="CP599" s="195">
        <f t="shared" ref="CP599" si="1359">+CP596/CJ596-1</f>
        <v>0.23649889625819087</v>
      </c>
      <c r="CQ599" s="195">
        <f t="shared" ref="CQ599" si="1360">+CQ596/CK596-1</f>
        <v>0.23605739382887259</v>
      </c>
      <c r="CR599" s="195">
        <f t="shared" ref="CR599" si="1361">+CR596/CL596-1</f>
        <v>0.23410245705577504</v>
      </c>
      <c r="CS599" s="1961">
        <f t="shared" ref="CS599" si="1362">+CS596/CM596-1</f>
        <v>0.23587790269437958</v>
      </c>
    </row>
    <row r="600" spans="1:97">
      <c r="A600" s="1930"/>
      <c r="B600" s="2238"/>
      <c r="C600" s="1425"/>
      <c r="D600" s="1422"/>
      <c r="E600" s="1422"/>
      <c r="F600" s="1422"/>
      <c r="G600" s="1841"/>
      <c r="H600" s="2238"/>
      <c r="I600" s="1425"/>
      <c r="J600" s="1422"/>
      <c r="K600" s="1422"/>
      <c r="L600" s="1422"/>
      <c r="M600" s="1841"/>
      <c r="N600" s="2238"/>
      <c r="O600" s="1425"/>
      <c r="P600" s="1422"/>
      <c r="Q600" s="1422"/>
      <c r="R600" s="1422"/>
      <c r="S600" s="1841"/>
      <c r="T600" s="2238"/>
      <c r="U600" s="1425"/>
      <c r="V600" s="1422"/>
      <c r="W600" s="1422"/>
      <c r="X600" s="1422"/>
      <c r="Y600" s="1841"/>
      <c r="Z600" s="2238"/>
      <c r="AA600" s="1425"/>
      <c r="AB600" s="1422"/>
      <c r="AC600" s="1422"/>
      <c r="AD600" s="1422"/>
      <c r="AE600" s="1841"/>
      <c r="AF600" s="2238"/>
      <c r="AG600" s="1425"/>
      <c r="AH600" s="1422"/>
      <c r="AI600" s="1422"/>
      <c r="AJ600" s="1422"/>
      <c r="AK600" s="1841"/>
      <c r="AL600" s="2238"/>
      <c r="AM600" s="1425"/>
      <c r="AN600" s="1422"/>
      <c r="AO600" s="1422"/>
      <c r="AP600" s="1422"/>
      <c r="AQ600" s="1841"/>
      <c r="AR600" s="2238"/>
      <c r="AS600" s="1425"/>
      <c r="AT600" s="1422"/>
      <c r="AU600" s="1422"/>
      <c r="AV600" s="1422"/>
      <c r="AW600" s="1841"/>
      <c r="AX600" s="2238"/>
      <c r="AY600" s="1425"/>
      <c r="AZ600" s="1422"/>
      <c r="BA600" s="1422"/>
      <c r="BB600" s="1422"/>
      <c r="BC600" s="1841"/>
      <c r="BD600" s="2238"/>
      <c r="BE600" s="1425"/>
      <c r="BF600" s="1422"/>
      <c r="BG600" s="1422"/>
      <c r="BH600" s="1422"/>
      <c r="BI600" s="1961"/>
      <c r="BJ600" s="1"/>
      <c r="BK600" s="1425"/>
      <c r="BL600" s="1422"/>
      <c r="BM600" s="1422"/>
      <c r="BN600" s="1422"/>
      <c r="BO600" s="1841"/>
      <c r="BP600" s="1"/>
      <c r="BQ600" s="1425"/>
      <c r="BR600" s="1422"/>
      <c r="BS600" s="1422"/>
      <c r="BT600" s="1422"/>
      <c r="BU600" s="1841"/>
      <c r="BV600" s="1"/>
      <c r="BW600" s="1425"/>
      <c r="BX600" s="1422"/>
      <c r="BY600" s="1422"/>
      <c r="BZ600" s="1422"/>
      <c r="CA600" s="1841"/>
      <c r="CB600" s="1"/>
      <c r="CC600" s="1425"/>
      <c r="CD600" s="1422"/>
      <c r="CE600" s="1422"/>
      <c r="CF600" s="1422"/>
      <c r="CG600" s="1841"/>
      <c r="CH600" s="1"/>
      <c r="CI600" s="1425"/>
      <c r="CJ600" s="1422"/>
      <c r="CK600" s="1422"/>
      <c r="CL600" s="1422"/>
      <c r="CM600" s="1841"/>
      <c r="CN600" s="1"/>
      <c r="CO600" s="1425"/>
      <c r="CP600" s="1422"/>
      <c r="CQ600" s="1422"/>
      <c r="CR600" s="1422"/>
      <c r="CS600" s="1841"/>
    </row>
    <row r="601" spans="1:97">
      <c r="A601" s="2271" t="s">
        <v>213</v>
      </c>
      <c r="B601" s="2238"/>
      <c r="C601" s="1425"/>
      <c r="D601" s="1422"/>
      <c r="E601" s="1422"/>
      <c r="F601" s="1422"/>
      <c r="G601" s="1841"/>
      <c r="H601" s="2238"/>
      <c r="I601" s="1425"/>
      <c r="J601" s="1422"/>
      <c r="K601" s="1422"/>
      <c r="L601" s="1422"/>
      <c r="M601" s="1841"/>
      <c r="N601" s="2238"/>
      <c r="O601" s="1425"/>
      <c r="P601" s="1422"/>
      <c r="Q601" s="1422"/>
      <c r="R601" s="1422"/>
      <c r="S601" s="1841"/>
      <c r="T601" s="2238"/>
      <c r="U601" s="1425"/>
      <c r="V601" s="1422"/>
      <c r="W601" s="1422"/>
      <c r="X601" s="1422"/>
      <c r="Y601" s="1841"/>
      <c r="Z601" s="2238"/>
      <c r="AA601" s="1425"/>
      <c r="AB601" s="1422"/>
      <c r="AC601" s="1422"/>
      <c r="AD601" s="1422"/>
      <c r="AE601" s="1841"/>
      <c r="AF601" s="2238"/>
      <c r="AG601" s="1425"/>
      <c r="AH601" s="1422"/>
      <c r="AI601" s="1422"/>
      <c r="AJ601" s="1422"/>
      <c r="AK601" s="1841"/>
      <c r="AL601" s="2238"/>
      <c r="AM601" s="1425"/>
      <c r="AN601" s="1422"/>
      <c r="AO601" s="1422"/>
      <c r="AP601" s="1422"/>
      <c r="AQ601" s="1841"/>
      <c r="AR601" s="2238"/>
      <c r="AS601" s="1425"/>
      <c r="AT601" s="1422"/>
      <c r="AU601" s="1422"/>
      <c r="AV601" s="1422"/>
      <c r="AW601" s="1841"/>
      <c r="AX601" s="2238"/>
      <c r="AY601" s="1425"/>
      <c r="AZ601" s="1422"/>
      <c r="BA601" s="1422"/>
      <c r="BB601" s="1422"/>
      <c r="BC601" s="1841"/>
      <c r="BD601" s="2238"/>
      <c r="BE601" s="1425"/>
      <c r="BF601" s="1422"/>
      <c r="BG601" s="1422"/>
      <c r="BH601" s="1422"/>
      <c r="BI601" s="1841"/>
      <c r="BJ601" s="1"/>
      <c r="BK601" s="1425"/>
      <c r="BL601" s="1422"/>
      <c r="BM601" s="1422"/>
      <c r="BN601" s="1422"/>
      <c r="BO601" s="1841"/>
      <c r="BP601" s="1"/>
      <c r="BQ601" s="1425"/>
      <c r="BR601" s="1422"/>
      <c r="BS601" s="1422"/>
      <c r="BT601" s="1422"/>
      <c r="BU601" s="1841"/>
      <c r="BV601" s="1"/>
      <c r="BW601" s="1425"/>
      <c r="BX601" s="1422"/>
      <c r="BY601" s="1422"/>
      <c r="BZ601" s="1422"/>
      <c r="CA601" s="1841"/>
      <c r="CB601" s="1"/>
      <c r="CC601" s="1425"/>
      <c r="CD601" s="1422"/>
      <c r="CE601" s="1422"/>
      <c r="CF601" s="1422"/>
      <c r="CG601" s="1841"/>
      <c r="CH601" s="1"/>
      <c r="CI601" s="1425"/>
      <c r="CJ601" s="1422"/>
      <c r="CK601" s="1422"/>
      <c r="CL601" s="1422"/>
      <c r="CM601" s="1841"/>
      <c r="CN601" s="1"/>
      <c r="CO601" s="1425"/>
      <c r="CP601" s="1422"/>
      <c r="CQ601" s="1422"/>
      <c r="CR601" s="1422"/>
      <c r="CS601" s="1841"/>
    </row>
    <row r="602" spans="1:97">
      <c r="A602" s="63" t="s">
        <v>665</v>
      </c>
      <c r="B602" s="63"/>
      <c r="C602" s="1018" t="str">
        <f>C260</f>
        <v>nm</v>
      </c>
      <c r="D602" s="951" t="str">
        <f>D260</f>
        <v>nm</v>
      </c>
      <c r="E602" s="951" t="str">
        <f>E260</f>
        <v>nm</v>
      </c>
      <c r="F602" s="951" t="str">
        <f>F260</f>
        <v>nm</v>
      </c>
      <c r="G602" s="224" t="str">
        <f>G260</f>
        <v>nm</v>
      </c>
      <c r="H602" s="63"/>
      <c r="I602" s="1842">
        <f>I260</f>
        <v>10.043103448275861</v>
      </c>
      <c r="J602" s="777">
        <f>J260</f>
        <v>3.9107338444687842</v>
      </c>
      <c r="K602" s="777">
        <f>K260</f>
        <v>2.8873517786561265</v>
      </c>
      <c r="L602" s="777">
        <f>L260</f>
        <v>2.1254180602006687</v>
      </c>
      <c r="M602" s="2218">
        <f>M260</f>
        <v>3.1194993154703692</v>
      </c>
      <c r="N602" s="63"/>
      <c r="O602" s="1842">
        <f>O260</f>
        <v>2.0054644808743172</v>
      </c>
      <c r="P602" s="777">
        <f>P260</f>
        <v>1.685513549682168</v>
      </c>
      <c r="Q602" s="777">
        <f>Q260</f>
        <v>1.4087442806304016</v>
      </c>
      <c r="R602" s="777">
        <f>R260</f>
        <v>1.2120117710005349</v>
      </c>
      <c r="S602" s="2218">
        <f>S260</f>
        <v>1.488558135118454</v>
      </c>
      <c r="T602" s="63"/>
      <c r="U602" s="1842">
        <f>U260</f>
        <v>0.89568831168831187</v>
      </c>
      <c r="V602" s="777">
        <f>V260</f>
        <v>0.45590299406170831</v>
      </c>
      <c r="W602" s="777">
        <f>W260</f>
        <v>0.41829435767553114</v>
      </c>
      <c r="X602" s="777">
        <f>X260</f>
        <v>0.4158825663663297</v>
      </c>
      <c r="Y602" s="2218">
        <f>Y260</f>
        <v>0.51383411711960925</v>
      </c>
      <c r="Z602" s="63"/>
      <c r="AA602" s="1842">
        <f>AA260</f>
        <v>0.60149073769593309</v>
      </c>
      <c r="AB602" s="777">
        <f>AB260</f>
        <v>0.61334624468048693</v>
      </c>
      <c r="AC602" s="777">
        <f>AC260</f>
        <v>0.45216967211114345</v>
      </c>
      <c r="AD602" s="777">
        <f>AD260</f>
        <v>0.34372791161013816</v>
      </c>
      <c r="AE602" s="2218">
        <f>AE260</f>
        <v>0.49011302927391753</v>
      </c>
      <c r="AF602" s="63"/>
      <c r="AG602" s="1842">
        <f>AG260</f>
        <v>0.31582742430049859</v>
      </c>
      <c r="AH602" s="777">
        <f>AH260</f>
        <v>0.57217335050301354</v>
      </c>
      <c r="AI602" s="777">
        <f>AI260</f>
        <v>0.51118504282735877</v>
      </c>
      <c r="AJ602" s="777">
        <f>AJ260</f>
        <v>0.56806950463486072</v>
      </c>
      <c r="AK602" s="2218">
        <f>AK260</f>
        <v>0.49263027912336343</v>
      </c>
      <c r="AL602" s="63"/>
      <c r="AM602" s="1842">
        <f>AM260</f>
        <v>0.33411576162309364</v>
      </c>
      <c r="AN602" s="777">
        <f>AN260</f>
        <v>0.24929672867958907</v>
      </c>
      <c r="AO602" s="777">
        <f>AO260</f>
        <v>0.32963789289823264</v>
      </c>
      <c r="AP602" s="777">
        <f>AP260</f>
        <v>0.32966479205773846</v>
      </c>
      <c r="AQ602" s="2218">
        <f>AQ260</f>
        <v>0.31038026055578971</v>
      </c>
      <c r="AR602" s="63"/>
      <c r="AS602" s="1842">
        <f>AS260</f>
        <v>0.26607930484255693</v>
      </c>
      <c r="AT602" s="777">
        <f>AT260</f>
        <v>0.24856530621270245</v>
      </c>
      <c r="AU602" s="777">
        <f>AU260</f>
        <v>0.35999999999999988</v>
      </c>
      <c r="AV602" s="777">
        <f>AV260</f>
        <v>0.33394129698932051</v>
      </c>
      <c r="AW602" s="2218">
        <f>AW260</f>
        <v>0.30501084397557299</v>
      </c>
      <c r="AX602" s="63"/>
      <c r="AY602" s="1842">
        <f>AY260</f>
        <v>0.47740538412166189</v>
      </c>
      <c r="AZ602" s="777">
        <f>AZ260</f>
        <v>0.42902234341203327</v>
      </c>
      <c r="BA602" s="777">
        <f>BA260</f>
        <v>0.34435368637218056</v>
      </c>
      <c r="BB602" s="777">
        <f>BB260</f>
        <v>0.26647505285904094</v>
      </c>
      <c r="BC602" s="2218">
        <f>BC260</f>
        <v>0.36986142669171618</v>
      </c>
      <c r="BD602" s="63"/>
      <c r="BE602" s="1842">
        <f>BE260</f>
        <v>0.23565712314602449</v>
      </c>
      <c r="BF602" s="777">
        <f>BF260</f>
        <v>0.25462304578688078</v>
      </c>
      <c r="BG602" s="777">
        <f>BG260</f>
        <v>0.2392687192950127</v>
      </c>
      <c r="BH602" s="777">
        <f>BH260</f>
        <v>0.19384853461388718</v>
      </c>
      <c r="BI602" s="2218">
        <f>BI260</f>
        <v>0.22993608130232213</v>
      </c>
      <c r="BJ602" s="63"/>
      <c r="BK602" s="1842">
        <f>BK260</f>
        <v>7.2400033060775026E-2</v>
      </c>
      <c r="BL602" s="777">
        <f>BL260</f>
        <v>8.673346426746309E-2</v>
      </c>
      <c r="BM602" s="777">
        <f>BM260</f>
        <v>0.14142446913985363</v>
      </c>
      <c r="BN602" s="777">
        <f>BN260</f>
        <v>0.30623480227769662</v>
      </c>
      <c r="BO602" s="2218">
        <f>BO260</f>
        <v>0.1548393262233172</v>
      </c>
      <c r="BP602" s="63"/>
      <c r="BQ602" s="1842">
        <f>BQ260</f>
        <v>0.31297870587917664</v>
      </c>
      <c r="BR602" s="777">
        <f>BR260</f>
        <v>0.26900867397766914</v>
      </c>
      <c r="BS602" s="777">
        <f>BS260</f>
        <v>0.15268403511231043</v>
      </c>
      <c r="BT602" s="777">
        <f>BT260</f>
        <v>4.4912078370003217E-2</v>
      </c>
      <c r="BU602" s="2218">
        <f>BU260</f>
        <v>0.18244082390038563</v>
      </c>
      <c r="BV602" s="63"/>
      <c r="BW602" s="1842">
        <f>BW260</f>
        <v>0.11212533408971392</v>
      </c>
      <c r="BX602" s="777">
        <f>BX260</f>
        <v>0.10519918423243135</v>
      </c>
      <c r="BY602" s="777">
        <f>BY260</f>
        <v>0.10407811154351343</v>
      </c>
      <c r="BZ602" s="777">
        <f>BZ260</f>
        <v>9.5956733308886877E-2</v>
      </c>
      <c r="CA602" s="2218">
        <f>CA260</f>
        <v>0.10417751851208812</v>
      </c>
      <c r="CB602" s="63"/>
      <c r="CC602" s="1842">
        <f>CC260</f>
        <v>8.9517944637212077E-2</v>
      </c>
      <c r="CD602" s="777">
        <f>CD260</f>
        <v>9.0514706364165809E-2</v>
      </c>
      <c r="CE602" s="777">
        <f>CE260</f>
        <v>9.1264373586493752E-2</v>
      </c>
      <c r="CF602" s="777">
        <f>CF260</f>
        <v>9.1779750868458132E-2</v>
      </c>
      <c r="CG602" s="2218">
        <f>CG260</f>
        <v>9.0789203940343732E-2</v>
      </c>
      <c r="CH602" s="63"/>
      <c r="CI602" s="1842">
        <f>CI260</f>
        <v>9.1546822699239305E-2</v>
      </c>
      <c r="CJ602" s="777">
        <f>CJ260</f>
        <v>9.0568188502563762E-2</v>
      </c>
      <c r="CK602" s="777">
        <f>CK260</f>
        <v>8.9887512289364535E-2</v>
      </c>
      <c r="CL602" s="777">
        <f>CL260</f>
        <v>9.3316915278812473E-2</v>
      </c>
      <c r="CM602" s="2218">
        <f>CM260</f>
        <v>9.1343122145561173E-2</v>
      </c>
      <c r="CN602" s="63"/>
      <c r="CO602" s="1842">
        <f>CO260</f>
        <v>0.1013436542622228</v>
      </c>
      <c r="CP602" s="777">
        <f>CP260</f>
        <v>0.10992108176921356</v>
      </c>
      <c r="CQ602" s="777">
        <f>CQ260</f>
        <v>0.11618183537663374</v>
      </c>
      <c r="CR602" s="777">
        <f>CR260</f>
        <v>0.11759437052997446</v>
      </c>
      <c r="CS602" s="2218">
        <f>CS260</f>
        <v>0.11141180024451924</v>
      </c>
    </row>
    <row r="603" spans="1:97">
      <c r="A603" s="63" t="s">
        <v>666</v>
      </c>
      <c r="B603" s="63"/>
      <c r="C603" s="1018"/>
      <c r="D603" s="951"/>
      <c r="E603" s="951"/>
      <c r="F603" s="951"/>
      <c r="G603" s="224"/>
      <c r="H603" s="1121"/>
      <c r="I603" s="1018"/>
      <c r="M603" s="224"/>
      <c r="N603" s="1121"/>
      <c r="O603" s="1018"/>
      <c r="P603" s="951"/>
      <c r="Q603" s="951"/>
      <c r="R603" s="951"/>
      <c r="S603" s="224"/>
      <c r="T603" s="1121"/>
      <c r="U603" s="1018"/>
      <c r="V603" s="951"/>
      <c r="W603" s="951"/>
      <c r="X603" s="951"/>
      <c r="Y603" s="224"/>
      <c r="Z603" s="1121"/>
      <c r="AA603" s="1018"/>
      <c r="AB603" s="951"/>
      <c r="AC603" s="951"/>
      <c r="AD603" s="951"/>
      <c r="AE603" s="224"/>
      <c r="AF603" s="1121"/>
      <c r="AG603" s="1018"/>
      <c r="AH603" s="951"/>
      <c r="AI603" s="951"/>
      <c r="AJ603" s="1847"/>
      <c r="AK603" s="2218">
        <f>+AK602-AK599</f>
        <v>-0.15801648043861349</v>
      </c>
      <c r="AL603" s="63"/>
      <c r="AM603" s="1842"/>
      <c r="AN603" s="777"/>
      <c r="AO603" s="777"/>
      <c r="AP603" s="777"/>
      <c r="AQ603" s="2218">
        <f>+AQ602-AQ599</f>
        <v>-0.91739083006007105</v>
      </c>
      <c r="AR603" s="63"/>
      <c r="AS603" s="1842"/>
      <c r="AT603" s="215"/>
      <c r="AU603" s="215"/>
      <c r="AV603" s="1846"/>
      <c r="AW603" s="2218">
        <f>+AW602-AW599</f>
        <v>-0.72483523312566844</v>
      </c>
      <c r="AX603" s="1"/>
      <c r="AY603" s="1842"/>
      <c r="AZ603" s="215"/>
      <c r="BA603" s="215"/>
      <c r="BB603" s="215"/>
      <c r="BC603" s="2218">
        <f>+BC602-BC599</f>
        <v>-0.52857019107296987</v>
      </c>
      <c r="BD603" s="1"/>
      <c r="BE603" s="1842"/>
      <c r="BF603" s="215"/>
      <c r="BG603" s="215"/>
      <c r="BH603" s="215"/>
      <c r="BI603" s="2218"/>
      <c r="BJ603" s="1"/>
      <c r="BK603" s="1842"/>
      <c r="BL603" s="215"/>
      <c r="BM603" s="215"/>
      <c r="BN603" s="215"/>
      <c r="BO603" s="2218"/>
      <c r="BP603" s="1"/>
      <c r="BQ603" s="1842"/>
      <c r="BR603" s="215"/>
      <c r="BS603" s="215"/>
      <c r="BT603" s="215"/>
      <c r="BU603" s="2218"/>
      <c r="BV603" s="1"/>
      <c r="BW603" s="1842"/>
      <c r="BX603" s="215"/>
      <c r="BY603" s="215"/>
      <c r="BZ603" s="215"/>
      <c r="CA603" s="2218"/>
      <c r="CB603" s="1"/>
      <c r="CC603" s="1842"/>
      <c r="CD603" s="215"/>
      <c r="CE603" s="215"/>
      <c r="CF603" s="215"/>
      <c r="CG603" s="2218"/>
      <c r="CH603" s="1"/>
      <c r="CI603" s="1842"/>
      <c r="CJ603" s="215"/>
      <c r="CK603" s="215"/>
      <c r="CL603" s="215"/>
      <c r="CM603" s="2218"/>
      <c r="CN603" s="1"/>
      <c r="CO603" s="1842"/>
      <c r="CP603" s="215"/>
      <c r="CQ603" s="215"/>
      <c r="CR603" s="215"/>
      <c r="CS603" s="2218"/>
    </row>
    <row r="604" spans="1:97">
      <c r="A604" s="1930" t="s">
        <v>664</v>
      </c>
      <c r="B604" s="2238"/>
      <c r="C604" s="1425">
        <f>+C174</f>
        <v>0.72499999999999998</v>
      </c>
      <c r="D604" s="1422">
        <f>+D174</f>
        <v>2.2825000000000002</v>
      </c>
      <c r="E604" s="1422">
        <f>+E174</f>
        <v>3.7949999999999999</v>
      </c>
      <c r="F604" s="1422">
        <f>+F174</f>
        <v>5.98</v>
      </c>
      <c r="G604" s="1841">
        <f>+G174</f>
        <v>12.782500000000001</v>
      </c>
      <c r="H604" s="2238"/>
      <c r="I604" s="1425">
        <f>+I174</f>
        <v>8.0062499999999996</v>
      </c>
      <c r="J604" s="1422">
        <f>+J174</f>
        <v>11.20875</v>
      </c>
      <c r="K604" s="1422">
        <f>+K174</f>
        <v>14.7525</v>
      </c>
      <c r="L604" s="1422">
        <f>+L174</f>
        <v>18.690000000000001</v>
      </c>
      <c r="M604" s="1841">
        <f>+M174</f>
        <v>52.657499999999999</v>
      </c>
      <c r="N604" s="2238"/>
      <c r="O604" s="1425">
        <f>+O174</f>
        <v>24.0625</v>
      </c>
      <c r="P604" s="1422">
        <f>+P174</f>
        <v>30.10125</v>
      </c>
      <c r="Q604" s="1422">
        <f>+Q174</f>
        <v>35.534999999999997</v>
      </c>
      <c r="R604" s="1422">
        <f>+R174</f>
        <v>41.342500000000001</v>
      </c>
      <c r="S604" s="1841">
        <f>+S174</f>
        <v>131.04124999999999</v>
      </c>
      <c r="T604" s="2238"/>
      <c r="U604" s="1425">
        <f>+U174</f>
        <v>45.615000000000002</v>
      </c>
      <c r="V604" s="1422">
        <f>+V174</f>
        <v>43.8245</v>
      </c>
      <c r="W604" s="1422">
        <f>+W174</f>
        <v>50.399089999999994</v>
      </c>
      <c r="X604" s="1422">
        <f>+X174</f>
        <v>58.536124999999991</v>
      </c>
      <c r="Y604" s="1841">
        <f>+Y174</f>
        <v>198.37471499999998</v>
      </c>
      <c r="Z604" s="2238"/>
      <c r="AA604" s="1425">
        <f>+AA174</f>
        <v>73.051999999999992</v>
      </c>
      <c r="AB604" s="1422">
        <f>+AB174</f>
        <v>70.704092500000002</v>
      </c>
      <c r="AC604" s="1422">
        <f>+AC174</f>
        <v>73.188029999999998</v>
      </c>
      <c r="AD604" s="1422">
        <f>+AD174</f>
        <v>78.656624999999991</v>
      </c>
      <c r="AE604" s="1841">
        <f>+AE174</f>
        <v>295.60074750000001</v>
      </c>
      <c r="AF604" s="2238"/>
      <c r="AG604" s="1425">
        <f>+AG174</f>
        <v>96.123825000000011</v>
      </c>
      <c r="AH604" s="1422">
        <f>+AH174</f>
        <v>111.15908999999999</v>
      </c>
      <c r="AI604" s="1422">
        <f>+AI174</f>
        <v>110.60065625000001</v>
      </c>
      <c r="AJ604" s="1422">
        <f>+AJ174</f>
        <v>123.33905499999999</v>
      </c>
      <c r="AK604" s="1841">
        <f>+AK174</f>
        <v>441.22262624999991</v>
      </c>
      <c r="AL604" s="2238"/>
      <c r="AM604" s="1425">
        <f>+AM174</f>
        <v>128.24030999999999</v>
      </c>
      <c r="AN604" s="1422">
        <f>+AN174</f>
        <v>138.8706875</v>
      </c>
      <c r="AO604" s="1422">
        <f>+AO174</f>
        <v>147.05882352941177</v>
      </c>
      <c r="AP604" s="1422">
        <f>+AP174</f>
        <v>163.99959891917294</v>
      </c>
      <c r="AQ604" s="1841">
        <f>+AQ174</f>
        <v>578.16941994858473</v>
      </c>
      <c r="AR604" s="2238"/>
      <c r="AS604" s="1425">
        <f>+AS174</f>
        <v>162.36240253759399</v>
      </c>
      <c r="AT604" s="1422">
        <f>+AT174</f>
        <v>173.38912246240602</v>
      </c>
      <c r="AU604" s="1422">
        <f>+AU174</f>
        <v>200</v>
      </c>
      <c r="AV604" s="1422">
        <f>+AV174</f>
        <v>218.76583768796991</v>
      </c>
      <c r="AW604" s="1841">
        <f>+AW174</f>
        <v>754.51736268797004</v>
      </c>
      <c r="AX604" s="2238"/>
      <c r="AY604" s="1425">
        <f>+AY174</f>
        <v>239.87508768796994</v>
      </c>
      <c r="AZ604" s="1422">
        <f>+AZ174</f>
        <v>247.77693010338348</v>
      </c>
      <c r="BA604" s="1422">
        <f>+BA174</f>
        <v>268.87073727443612</v>
      </c>
      <c r="BB604" s="1422">
        <f>+BB174</f>
        <v>277.06147584962406</v>
      </c>
      <c r="BC604" s="1841">
        <f>+BC174</f>
        <v>1033.5842309154136</v>
      </c>
      <c r="BD604" s="2238"/>
      <c r="BE604" s="1425">
        <f>+BE174</f>
        <v>296.40336076691727</v>
      </c>
      <c r="BF604" s="1422">
        <f>+BF174</f>
        <v>310.86664672203005</v>
      </c>
      <c r="BG604" s="1422">
        <f>+BG174</f>
        <v>333.20309423799631</v>
      </c>
      <c r="BH604" s="1422">
        <f>+BH174</f>
        <v>330.7694369410346</v>
      </c>
      <c r="BI604" s="1841">
        <f>+BI174</f>
        <v>1271.2425386679784</v>
      </c>
      <c r="BJ604" s="1"/>
      <c r="BK604" s="1425">
        <f>+BK174</f>
        <v>317.86297388576691</v>
      </c>
      <c r="BL604" s="1422">
        <f>+BL174</f>
        <v>337.82918791744129</v>
      </c>
      <c r="BM604" s="1422">
        <f>+BM174</f>
        <v>380.32616495636159</v>
      </c>
      <c r="BN604" s="1422">
        <f>+BN174</f>
        <v>432.06255006217737</v>
      </c>
      <c r="BO604" s="1841">
        <f>+BO174</f>
        <v>1468.0808768217473</v>
      </c>
      <c r="BP604" s="1"/>
      <c r="BQ604" s="1425">
        <f>+BQ174</f>
        <v>417.34731609944077</v>
      </c>
      <c r="BR604" s="1422">
        <f>+BR174</f>
        <v>428.70816979006497</v>
      </c>
      <c r="BS604" s="1422">
        <f>+BS174</f>
        <v>438.39589848068908</v>
      </c>
      <c r="BT604" s="1422">
        <f>+BT174</f>
        <v>451.46737717131327</v>
      </c>
      <c r="BU604" s="1841">
        <f>+BU174</f>
        <v>1735.9187615415076</v>
      </c>
      <c r="BV604" s="1"/>
      <c r="BW604" s="1425">
        <f>+BW174</f>
        <v>464.14252334853597</v>
      </c>
      <c r="BX604" s="1422">
        <f>+BX174</f>
        <v>473.80791952575845</v>
      </c>
      <c r="BY604" s="1422">
        <f>+BY174</f>
        <v>484.02331570298099</v>
      </c>
      <c r="BZ604" s="1422">
        <f>+BZ174</f>
        <v>494.78871188020366</v>
      </c>
      <c r="CA604" s="1841">
        <f>+CA174</f>
        <v>1916.7624704574789</v>
      </c>
      <c r="CB604" s="1"/>
      <c r="CC604" s="1425">
        <f>+CC174</f>
        <v>505.69160805742615</v>
      </c>
      <c r="CD604" s="1422">
        <f>+CD174</f>
        <v>516.69450423464878</v>
      </c>
      <c r="CE604" s="1422">
        <f>+CE174</f>
        <v>528.19740041187129</v>
      </c>
      <c r="CF604" s="1422">
        <f>+CF174</f>
        <v>540.20029658909402</v>
      </c>
      <c r="CG604" s="1841">
        <f>+CG174</f>
        <v>2090.7838092930401</v>
      </c>
      <c r="CH604" s="1"/>
      <c r="CI604" s="1425">
        <f>+CI174</f>
        <v>551.98606804075257</v>
      </c>
      <c r="CJ604" s="1422">
        <f>+CJ174</f>
        <v>563.49058949241123</v>
      </c>
      <c r="CK604" s="1422">
        <f>+CK174</f>
        <v>575.67575073260377</v>
      </c>
      <c r="CL604" s="1422">
        <f>+CL174</f>
        <v>590.61012189948792</v>
      </c>
      <c r="CM604" s="1841">
        <f>+CM174</f>
        <v>2281.7625301652561</v>
      </c>
      <c r="CN604" s="1"/>
      <c r="CO604" s="1425">
        <f>+CO174</f>
        <v>607.92635327783842</v>
      </c>
      <c r="CP604" s="1422">
        <f>+CP174</f>
        <v>625.43008465618891</v>
      </c>
      <c r="CQ604" s="1422">
        <f>+CQ174</f>
        <v>642.55881603453918</v>
      </c>
      <c r="CR604" s="1422">
        <f>+CR174</f>
        <v>660.06254741288967</v>
      </c>
      <c r="CS604" s="1841">
        <f>+CS174</f>
        <v>2535.9778013814562</v>
      </c>
    </row>
    <row r="605" spans="1:97">
      <c r="A605" s="2272" t="s">
        <v>843</v>
      </c>
      <c r="B605" s="2273"/>
      <c r="C605" s="1428"/>
      <c r="D605" s="2274"/>
      <c r="E605" s="2274"/>
      <c r="F605" s="2274"/>
      <c r="G605" s="2275"/>
      <c r="H605" s="2273"/>
      <c r="I605" s="1428"/>
      <c r="J605" s="2274"/>
      <c r="K605" s="2274"/>
      <c r="L605" s="2274"/>
      <c r="M605" s="2275"/>
      <c r="N605" s="2273"/>
      <c r="O605" s="1428"/>
      <c r="P605" s="2274"/>
      <c r="Q605" s="2274"/>
      <c r="R605" s="2274"/>
      <c r="S605" s="2275"/>
      <c r="T605" s="2360"/>
      <c r="U605" s="2356">
        <f t="shared" ref="U605" si="1363">U604/U596*1000</f>
        <v>156.55982030135596</v>
      </c>
      <c r="V605" s="2357">
        <f t="shared" ref="V605" si="1364">V604/V596*1000</f>
        <v>151.51751014749098</v>
      </c>
      <c r="W605" s="2357">
        <f t="shared" ref="W605" si="1365">W604/W596*1000</f>
        <v>143.03040740091967</v>
      </c>
      <c r="X605" s="2357">
        <f t="shared" ref="X605" si="1366">X604/X596*1000</f>
        <v>131.03415402395751</v>
      </c>
      <c r="Y605" s="2358">
        <f t="shared" ref="Y605" si="1367">Y604/Y596*1000</f>
        <v>143.78251758887833</v>
      </c>
      <c r="Z605" s="2360"/>
      <c r="AA605" s="2356">
        <f t="shared" ref="AA605" si="1368">AA604/AA596*1000</f>
        <v>114.49296465192567</v>
      </c>
      <c r="AB605" s="2357">
        <f t="shared" ref="AB605" si="1369">AB604/AB596*1000</f>
        <v>108.16160517622541</v>
      </c>
      <c r="AC605" s="2357">
        <f t="shared" ref="AC605" si="1370">AC604/AC596*1000</f>
        <v>107.7169344123562</v>
      </c>
      <c r="AD605" s="2357">
        <f t="shared" ref="AD605" si="1371">AD604/AD596*1000</f>
        <v>105.79010303613293</v>
      </c>
      <c r="AE605" s="2358">
        <f t="shared" ref="AE605" si="1372">AE604/AE596*1000</f>
        <v>108.8888789094557</v>
      </c>
      <c r="AF605" s="2360"/>
      <c r="AG605" s="2356">
        <f t="shared" ref="AG605" si="1373">AG604/AG596*1000</f>
        <v>103.73117801064005</v>
      </c>
      <c r="AH605" s="2357">
        <f t="shared" ref="AH605" si="1374">AH604/AH596*1000</f>
        <v>102.29135323484125</v>
      </c>
      <c r="AI605" s="2357">
        <f t="shared" ref="AI605" si="1375">AI604/AI596*1000</f>
        <v>101.82817253432204</v>
      </c>
      <c r="AJ605" s="2357">
        <f t="shared" ref="AJ605" si="1376">AJ604/AJ596*1000</f>
        <v>89.278519314555581</v>
      </c>
      <c r="AK605" s="2358">
        <f t="shared" ref="AK605" si="1377">AK604/AK596*1000</f>
        <v>98.464942167990515</v>
      </c>
      <c r="AL605" s="2360"/>
      <c r="AM605" s="2356">
        <f t="shared" ref="AM605" si="1378">AM604/AM596*1000</f>
        <v>71.22160448543417</v>
      </c>
      <c r="AN605" s="2357">
        <f t="shared" ref="AN605" si="1379">AN604/AN596*1000</f>
        <v>60.440354463773993</v>
      </c>
      <c r="AO605" s="2357">
        <f t="shared" ref="AO605" si="1380">AO604/AO596*1000</f>
        <v>53.338362582236897</v>
      </c>
      <c r="AP605" s="2357">
        <f t="shared" ref="AP605" si="1381">AP604/AP596*1000</f>
        <v>52.440489060035411</v>
      </c>
      <c r="AQ605" s="2358">
        <f t="shared" ref="AQ605" si="1382">AQ604/AQ596*1000</f>
        <v>57.917313460618246</v>
      </c>
      <c r="AR605" s="2360"/>
      <c r="AS605" s="2356">
        <f t="shared" ref="AS605" si="1383">AS604/AS596*1000</f>
        <v>48.858331158423944</v>
      </c>
      <c r="AT605" s="2357">
        <f t="shared" ref="AT605" si="1384">AT604/AT596*1000</f>
        <v>43.540628311596343</v>
      </c>
      <c r="AU605" s="2357">
        <f t="shared" ref="AU605" si="1385">AU604/AU596*1000</f>
        <v>31.885244947317425</v>
      </c>
      <c r="AV605" s="2357">
        <f t="shared" ref="AV605" si="1386">AV604/AV596*1000</f>
        <v>32.722798077906134</v>
      </c>
      <c r="AW605" s="2358">
        <f t="shared" ref="AW605" si="1387">AW604/AW596*1000</f>
        <v>37.235691401771952</v>
      </c>
      <c r="AX605" s="2360"/>
      <c r="AY605" s="2356">
        <f t="shared" ref="AY605" si="1388">AY604/AY596*1000</f>
        <v>30.338151330288046</v>
      </c>
      <c r="AZ605" s="2357">
        <f t="shared" ref="AZ605" si="1389">AZ604/AZ596*1000</f>
        <v>27.622036226721882</v>
      </c>
      <c r="BA605" s="2357">
        <f t="shared" ref="BA605" si="1390">BA604/BA596*1000</f>
        <v>25.411641555285936</v>
      </c>
      <c r="BB605" s="2357">
        <f t="shared" ref="BB605" si="1391">BB604/BB596*1000</f>
        <v>25.162546606372207</v>
      </c>
      <c r="BC605" s="2358">
        <f t="shared" ref="BC605" si="1392">BC604/BC596*1000</f>
        <v>26.868356421256305</v>
      </c>
      <c r="BD605" s="2360"/>
      <c r="BE605" s="2356">
        <f t="shared" ref="BE605" si="1393">BE604/BE596*1000</f>
        <v>24.461569717775767</v>
      </c>
      <c r="BF605" s="2357">
        <f t="shared" ref="BF605" si="1394">BF604/BF596*1000</f>
        <v>24.117152475409274</v>
      </c>
      <c r="BG605" s="2357">
        <f t="shared" ref="BG605" si="1395">BG604/BG596*1000</f>
        <v>22.205860403536335</v>
      </c>
      <c r="BH605" s="2357">
        <f t="shared" ref="BH605" si="1396">BH604/BH596*1000</f>
        <v>23.092802213848014</v>
      </c>
      <c r="BI605" s="2358">
        <f t="shared" ref="BI605" si="1397">BI604/BI596*1000</f>
        <v>23.396111408671374</v>
      </c>
      <c r="BJ605" s="2360"/>
      <c r="BK605" s="2356">
        <f>BK604/BK596*1000</f>
        <v>22.758905282258556</v>
      </c>
      <c r="BL605" s="2357">
        <f t="shared" ref="BL605:BO605" si="1398">BL604/BL596*1000</f>
        <v>22.643286432748454</v>
      </c>
      <c r="BM605" s="2357">
        <f t="shared" si="1398"/>
        <v>21.307536413045167</v>
      </c>
      <c r="BN605" s="2357">
        <f t="shared" si="1398"/>
        <v>18.905818474943537</v>
      </c>
      <c r="BO605" s="2358">
        <f t="shared" si="1398"/>
        <v>21.096468512399593</v>
      </c>
      <c r="BP605" s="2360"/>
      <c r="BQ605" s="2356">
        <f t="shared" ref="BQ605" si="1399">BQ604/BQ596*1000</f>
        <v>19.026799847181643</v>
      </c>
      <c r="BR605" s="2357">
        <f t="shared" ref="BR605" si="1400">BR604/BR596*1000</f>
        <v>18.16684605291023</v>
      </c>
      <c r="BS605" s="2357">
        <f t="shared" ref="BS605" si="1401">BS604/BS596*1000</f>
        <v>17.192665186435939</v>
      </c>
      <c r="BT605" s="2357">
        <f t="shared" ref="BT605" si="1402">BT604/BT596*1000</f>
        <v>16.040608072420557</v>
      </c>
      <c r="BU605" s="2358">
        <f t="shared" ref="BU605" si="1403">BU604/BU596*1000</f>
        <v>17.503172834722172</v>
      </c>
      <c r="BV605" s="2360"/>
      <c r="BW605" s="2356">
        <f t="shared" ref="BW605" si="1404">BW604/BW596*1000</f>
        <v>15.23845293848364</v>
      </c>
      <c r="BX605" s="2357">
        <f t="shared" ref="BX605" si="1405">BX604/BX596*1000</f>
        <v>14.540849848888206</v>
      </c>
      <c r="BY605" s="2357">
        <f t="shared" ref="BY605" si="1406">BY604/BY596*1000</f>
        <v>13.902266636674755</v>
      </c>
      <c r="BZ605" s="2357">
        <f t="shared" ref="BZ605" si="1407">BZ604/BZ596*1000</f>
        <v>13.316523982164343</v>
      </c>
      <c r="CA605" s="2358">
        <f t="shared" ref="CA605" si="1408">CA604/CA596*1000</f>
        <v>14.196622330074439</v>
      </c>
      <c r="CB605" s="2360"/>
      <c r="CC605" s="2356">
        <f t="shared" ref="CC605" si="1409">CC604/CC596*1000</f>
        <v>12.799526173757</v>
      </c>
      <c r="CD605" s="2357">
        <f t="shared" ref="CD605" si="1410">CD604/CD596*1000</f>
        <v>12.340553785353597</v>
      </c>
      <c r="CE605" s="2357">
        <f t="shared" ref="CE605" si="1411">CE604/CE596*1000</f>
        <v>11.913037271490394</v>
      </c>
      <c r="CF605" s="2357">
        <f t="shared" ref="CF605" si="1412">CF604/CF596*1000</f>
        <v>11.514254396027642</v>
      </c>
      <c r="CG605" s="2358">
        <f t="shared" ref="CG605" si="1413">CG604/CG596*1000</f>
        <v>12.111231932140717</v>
      </c>
      <c r="CH605" s="2360"/>
      <c r="CI605" s="2356">
        <f t="shared" ref="CI605:CM605" si="1414">CI604/CI596*1000</f>
        <v>11.134049454192567</v>
      </c>
      <c r="CJ605" s="2357">
        <f t="shared" si="1414"/>
        <v>10.772782680291126</v>
      </c>
      <c r="CK605" s="2357">
        <f t="shared" si="1414"/>
        <v>10.445027462584852</v>
      </c>
      <c r="CL605" s="2357">
        <f t="shared" si="1414"/>
        <v>10.163449436466903</v>
      </c>
      <c r="CM605" s="2358">
        <f t="shared" si="1414"/>
        <v>10.607457678053358</v>
      </c>
      <c r="CN605" s="2360"/>
      <c r="CO605" s="2356">
        <f t="shared" ref="CO605:CS605" si="1415">CO604/CO596*1000</f>
        <v>9.9121918048313873</v>
      </c>
      <c r="CP605" s="2357">
        <f t="shared" si="1415"/>
        <v>9.6699953735152135</v>
      </c>
      <c r="CQ605" s="2357">
        <f t="shared" si="1415"/>
        <v>9.432045778742685</v>
      </c>
      <c r="CR605" s="2357">
        <f t="shared" si="1415"/>
        <v>9.2039472172026482</v>
      </c>
      <c r="CS605" s="2358">
        <f t="shared" si="1415"/>
        <v>9.5391734153355063</v>
      </c>
    </row>
    <row r="870" spans="1:97">
      <c r="A870" s="1601"/>
      <c r="B870" s="2227"/>
      <c r="C870" s="2228"/>
      <c r="D870" s="2226"/>
      <c r="E870" s="2226"/>
      <c r="F870" s="2226"/>
      <c r="G870" s="2229"/>
      <c r="H870" s="2230"/>
      <c r="I870" s="2228"/>
      <c r="J870" s="2226"/>
      <c r="K870" s="2226"/>
      <c r="L870" s="2226"/>
      <c r="M870" s="2231"/>
      <c r="N870" s="2232"/>
      <c r="O870" s="2228"/>
      <c r="P870" s="2226"/>
      <c r="Q870" s="2226"/>
      <c r="R870" s="2226"/>
      <c r="S870" s="2231"/>
      <c r="T870" s="2232"/>
      <c r="U870" s="2233"/>
      <c r="V870" s="2234"/>
      <c r="W870" s="2234"/>
      <c r="X870" s="2234"/>
      <c r="Y870" s="2235"/>
      <c r="Z870" s="2236"/>
      <c r="AA870" s="2233"/>
      <c r="AB870" s="2234"/>
      <c r="AC870" s="2234"/>
      <c r="AD870" s="2234"/>
      <c r="AE870" s="2235"/>
      <c r="AF870" s="2236"/>
      <c r="AG870" s="2233"/>
      <c r="AI870" s="2234"/>
      <c r="AJ870" s="2234"/>
      <c r="AK870" s="2237"/>
      <c r="AL870" s="2238"/>
      <c r="AM870" s="2233"/>
      <c r="AN870" s="2234"/>
      <c r="AO870" s="2234"/>
      <c r="AP870" s="2234"/>
      <c r="AQ870" s="2237"/>
      <c r="AR870" s="2238"/>
      <c r="AS870" s="2233"/>
      <c r="AT870" s="2234"/>
      <c r="AU870" s="2234"/>
      <c r="AV870" s="2234"/>
      <c r="AW870" s="2237"/>
      <c r="AX870" s="2238"/>
      <c r="AY870" s="2233"/>
      <c r="BA870" s="2234"/>
      <c r="BB870" s="2234"/>
      <c r="BC870" s="2237"/>
      <c r="BD870" s="2238"/>
      <c r="BE870" s="2233"/>
      <c r="BF870" s="2234"/>
      <c r="BG870" s="2234"/>
      <c r="BH870" s="2234"/>
      <c r="BI870" s="2239"/>
      <c r="BJ870" s="1940"/>
      <c r="BK870" s="2240"/>
      <c r="BL870" s="2241"/>
      <c r="BM870" s="2241"/>
      <c r="BN870" s="2241"/>
      <c r="BO870" s="2239"/>
      <c r="BP870" s="1940"/>
      <c r="BQ870" s="2240"/>
      <c r="BR870" s="2241"/>
      <c r="BS870" s="2241"/>
      <c r="BT870" s="2241"/>
      <c r="BU870" s="2239"/>
      <c r="BV870" s="1940"/>
      <c r="BW870" s="2240"/>
      <c r="BX870" s="2241"/>
      <c r="BY870" s="2241"/>
      <c r="BZ870" s="2241"/>
      <c r="CA870" s="2239"/>
      <c r="CB870" s="1940"/>
      <c r="CC870" s="2240"/>
      <c r="CD870" s="2241"/>
      <c r="CE870" s="2241"/>
      <c r="CF870" s="2241"/>
      <c r="CG870" s="2239"/>
      <c r="CH870" s="1940"/>
      <c r="CI870" s="2240"/>
      <c r="CJ870" s="2241"/>
      <c r="CK870" s="2241"/>
      <c r="CL870" s="2241"/>
      <c r="CM870" s="2239"/>
      <c r="CN870" s="1940"/>
      <c r="CO870" s="2240"/>
      <c r="CP870" s="2241"/>
      <c r="CQ870" s="2241"/>
      <c r="CR870" s="2241"/>
      <c r="CS870" s="2239"/>
    </row>
    <row r="871" spans="1:97">
      <c r="A871" s="1930"/>
      <c r="C871" s="1850"/>
      <c r="G871" s="736"/>
      <c r="H871" s="63"/>
      <c r="I871" s="1425"/>
      <c r="J871" s="6"/>
      <c r="K871" s="6"/>
      <c r="L871" s="6"/>
      <c r="M871" s="1841"/>
      <c r="N871" s="63"/>
      <c r="O871" s="1425"/>
      <c r="P871" s="6"/>
      <c r="Q871" s="6"/>
      <c r="R871" s="6"/>
      <c r="S871" s="1841"/>
      <c r="T871" s="63"/>
      <c r="U871" s="1425"/>
      <c r="V871" s="6"/>
      <c r="W871" s="6"/>
      <c r="X871" s="6"/>
      <c r="Y871" s="1841"/>
      <c r="Z871" s="63"/>
      <c r="AA871" s="1425"/>
      <c r="AB871" s="6"/>
      <c r="AC871" s="6"/>
      <c r="AD871" s="6"/>
      <c r="AE871" s="1841"/>
      <c r="AF871" s="63"/>
      <c r="AG871" s="1425"/>
      <c r="AH871" s="6"/>
      <c r="AI871" s="6"/>
      <c r="AJ871" s="6"/>
      <c r="AK871" s="1841"/>
      <c r="AL871" s="63"/>
      <c r="AM871" s="1425"/>
      <c r="AN871" s="6"/>
      <c r="AO871" s="6"/>
      <c r="AP871" s="6"/>
      <c r="AQ871" s="1841"/>
      <c r="AR871" s="63"/>
      <c r="AS871" s="1425"/>
      <c r="AT871" s="6"/>
      <c r="AU871" s="6"/>
      <c r="AV871" s="6"/>
      <c r="AW871" s="2690"/>
      <c r="AX871" s="2696"/>
      <c r="AY871" s="2700"/>
      <c r="AZ871" s="2705"/>
      <c r="BA871" s="2705"/>
      <c r="BB871" s="2705"/>
      <c r="BC871" s="2695"/>
      <c r="BD871" s="2706"/>
      <c r="BE871" s="2700"/>
      <c r="BF871" s="2705"/>
      <c r="BG871" s="2705"/>
      <c r="BH871" s="2705"/>
      <c r="BI871" s="2695"/>
      <c r="BJ871" s="2696"/>
      <c r="BK871" s="2700"/>
      <c r="BL871" s="2244"/>
      <c r="BM871" s="2244"/>
      <c r="BN871" s="2244"/>
      <c r="BO871" s="2245"/>
      <c r="BP871" s="63"/>
      <c r="BQ871" s="2243"/>
      <c r="BR871" s="2244"/>
      <c r="BS871" s="2244"/>
      <c r="BT871" s="2244"/>
      <c r="BU871" s="2245"/>
      <c r="BV871" s="63"/>
      <c r="BW871" s="2243"/>
      <c r="BX871" s="2244"/>
      <c r="BY871" s="2244"/>
      <c r="BZ871" s="2244"/>
      <c r="CA871" s="2245"/>
      <c r="CB871" s="63"/>
      <c r="CC871" s="2243"/>
      <c r="CD871" s="2244"/>
      <c r="CE871" s="2244"/>
      <c r="CF871" s="2244"/>
      <c r="CG871" s="2245"/>
      <c r="CH871" s="63"/>
      <c r="CI871" s="2243"/>
      <c r="CJ871" s="2244"/>
      <c r="CK871" s="2244"/>
      <c r="CL871" s="2244"/>
      <c r="CM871" s="2245"/>
      <c r="CN871" s="63"/>
      <c r="CO871" s="2243"/>
      <c r="CP871" s="2244"/>
      <c r="CQ871" s="2244"/>
      <c r="CR871" s="2244"/>
      <c r="CS871" s="2245"/>
    </row>
    <row r="872" spans="1:97">
      <c r="A872" s="1930"/>
      <c r="C872" s="1850"/>
      <c r="G872" s="736"/>
      <c r="H872" s="63"/>
      <c r="I872" s="1425"/>
      <c r="J872" s="6"/>
      <c r="K872" s="6"/>
      <c r="L872" s="6"/>
      <c r="M872" s="1841"/>
      <c r="N872" s="63"/>
      <c r="O872" s="1425"/>
      <c r="P872" s="6"/>
      <c r="Q872" s="6"/>
      <c r="R872" s="6"/>
      <c r="S872" s="1841"/>
      <c r="T872" s="63"/>
      <c r="U872" s="1425"/>
      <c r="V872" s="6"/>
      <c r="W872" s="6"/>
      <c r="X872" s="6"/>
      <c r="Y872" s="1841"/>
      <c r="Z872" s="63"/>
      <c r="AA872" s="1425"/>
      <c r="AB872" s="6"/>
      <c r="AC872" s="6"/>
      <c r="AD872" s="6"/>
      <c r="AE872" s="1841"/>
      <c r="AF872" s="63"/>
      <c r="AG872" s="1425"/>
      <c r="AH872" s="6"/>
      <c r="AI872" s="6"/>
      <c r="AJ872" s="6"/>
      <c r="AK872" s="1841"/>
      <c r="AL872" s="63"/>
      <c r="AM872" s="1425"/>
      <c r="AN872" s="6"/>
      <c r="AO872" s="6"/>
      <c r="AP872" s="6"/>
      <c r="AQ872" s="1841"/>
      <c r="AR872" s="63"/>
      <c r="AS872" s="1425"/>
      <c r="AT872" s="6"/>
      <c r="AU872" s="6"/>
      <c r="AV872" s="6"/>
      <c r="AW872" s="2690"/>
      <c r="AX872" s="2696"/>
      <c r="AY872" s="2700"/>
      <c r="AZ872" s="2705"/>
      <c r="BA872" s="2705"/>
      <c r="BB872" s="2705"/>
      <c r="BC872" s="2695"/>
      <c r="BD872" s="2706"/>
      <c r="BE872" s="2700"/>
      <c r="BF872" s="2705"/>
      <c r="BG872" s="2705"/>
      <c r="BH872" s="2705"/>
      <c r="BI872" s="2695"/>
      <c r="BJ872" s="2696"/>
      <c r="BK872" s="2700"/>
      <c r="BL872" s="2244"/>
      <c r="BM872" s="2244"/>
      <c r="BN872" s="2244"/>
      <c r="BO872" s="2245"/>
      <c r="BP872" s="63"/>
      <c r="BQ872" s="2243"/>
      <c r="BR872" s="2244"/>
      <c r="BS872" s="2244"/>
      <c r="BT872" s="2244"/>
      <c r="BU872" s="2245"/>
      <c r="BV872" s="63"/>
      <c r="BW872" s="2243"/>
      <c r="BX872" s="2244"/>
      <c r="BY872" s="2244"/>
      <c r="BZ872" s="2244"/>
      <c r="CA872" s="2245"/>
      <c r="CB872" s="63"/>
      <c r="CC872" s="2243"/>
      <c r="CD872" s="2244"/>
      <c r="CE872" s="2244"/>
      <c r="CF872" s="2244"/>
      <c r="CG872" s="2245"/>
      <c r="CH872" s="63"/>
      <c r="CI872" s="2243"/>
      <c r="CJ872" s="2244"/>
      <c r="CK872" s="2244"/>
      <c r="CL872" s="2244"/>
      <c r="CM872" s="2245"/>
      <c r="CN872" s="63"/>
      <c r="CO872" s="2243"/>
      <c r="CP872" s="2244"/>
      <c r="CQ872" s="2244"/>
      <c r="CR872" s="2244"/>
      <c r="CS872" s="2245"/>
    </row>
    <row r="873" spans="1:97">
      <c r="A873" s="1930"/>
      <c r="C873" s="1850"/>
      <c r="G873" s="736"/>
      <c r="H873" s="63"/>
      <c r="I873" s="1425"/>
      <c r="J873" s="6"/>
      <c r="K873" s="6"/>
      <c r="L873" s="6"/>
      <c r="M873" s="1841"/>
      <c r="N873" s="63"/>
      <c r="O873" s="1425"/>
      <c r="P873" s="6"/>
      <c r="Q873" s="6"/>
      <c r="R873" s="6"/>
      <c r="S873" s="1841"/>
      <c r="T873" s="63"/>
      <c r="U873" s="1425"/>
      <c r="V873" s="6"/>
      <c r="W873" s="6"/>
      <c r="X873" s="6"/>
      <c r="Y873" s="1841"/>
      <c r="Z873" s="63"/>
      <c r="AA873" s="1425"/>
      <c r="AB873" s="6"/>
      <c r="AC873" s="6"/>
      <c r="AD873" s="6"/>
      <c r="AE873" s="1841"/>
      <c r="AF873" s="63"/>
      <c r="AG873" s="1425"/>
      <c r="AH873" s="6"/>
      <c r="AI873" s="6"/>
      <c r="AJ873" s="6"/>
      <c r="AK873" s="1841"/>
      <c r="AL873" s="63"/>
      <c r="AM873" s="1425"/>
      <c r="AN873" s="6"/>
      <c r="AO873" s="6"/>
      <c r="AP873" s="6"/>
      <c r="AQ873" s="1841"/>
      <c r="AR873" s="63"/>
      <c r="AS873" s="1425"/>
      <c r="AT873" s="6"/>
      <c r="AU873" s="6"/>
      <c r="AV873" s="6"/>
      <c r="AW873" s="2690"/>
      <c r="AX873" s="2696"/>
      <c r="AY873" s="2700"/>
      <c r="AZ873" s="2705"/>
      <c r="BA873" s="2705"/>
      <c r="BB873" s="2705"/>
      <c r="BC873" s="2695"/>
      <c r="BD873" s="2706"/>
      <c r="BE873" s="2700"/>
      <c r="BF873" s="2705"/>
      <c r="BG873" s="2705"/>
      <c r="BH873" s="2705"/>
      <c r="BI873" s="2695"/>
      <c r="BJ873" s="2696"/>
      <c r="BK873" s="2700"/>
      <c r="BL873" s="2244"/>
      <c r="BM873" s="2244"/>
      <c r="BN873" s="2244"/>
      <c r="BO873" s="2245"/>
      <c r="BP873" s="63"/>
      <c r="BQ873" s="2243"/>
      <c r="BR873" s="2244"/>
      <c r="BS873" s="2244"/>
      <c r="BT873" s="2244"/>
      <c r="BU873" s="2245"/>
      <c r="BV873" s="63"/>
      <c r="BW873" s="2243"/>
      <c r="BX873" s="2244"/>
      <c r="BY873" s="2244"/>
      <c r="BZ873" s="2244"/>
      <c r="CA873" s="2245"/>
      <c r="CB873" s="63"/>
      <c r="CC873" s="2243"/>
      <c r="CD873" s="2244"/>
      <c r="CE873" s="2244"/>
      <c r="CF873" s="2244"/>
      <c r="CG873" s="2245"/>
      <c r="CH873" s="63"/>
      <c r="CI873" s="2243"/>
      <c r="CJ873" s="2244"/>
      <c r="CK873" s="2244"/>
      <c r="CL873" s="2244"/>
      <c r="CM873" s="2245"/>
      <c r="CN873" s="63"/>
      <c r="CO873" s="2243"/>
      <c r="CP873" s="2244"/>
      <c r="CQ873" s="2244"/>
      <c r="CR873" s="2244"/>
      <c r="CS873" s="2245"/>
    </row>
    <row r="874" spans="1:97">
      <c r="A874" s="1930"/>
      <c r="C874" s="1850"/>
      <c r="G874" s="736"/>
      <c r="H874" s="63"/>
      <c r="I874" s="1425"/>
      <c r="J874" s="6"/>
      <c r="K874" s="6"/>
      <c r="L874" s="6"/>
      <c r="M874" s="1841"/>
      <c r="N874" s="63"/>
      <c r="O874" s="1425"/>
      <c r="P874" s="6"/>
      <c r="Q874" s="6"/>
      <c r="R874" s="6"/>
      <c r="S874" s="1841"/>
      <c r="T874" s="63"/>
      <c r="U874" s="1425"/>
      <c r="V874" s="6"/>
      <c r="W874" s="6"/>
      <c r="X874" s="6"/>
      <c r="Y874" s="1841"/>
      <c r="Z874" s="63"/>
      <c r="AA874" s="1425"/>
      <c r="AB874" s="6"/>
      <c r="AC874" s="6"/>
      <c r="AD874" s="6"/>
      <c r="AE874" s="1841"/>
      <c r="AF874" s="63"/>
      <c r="AG874" s="1425"/>
      <c r="AH874" s="6"/>
      <c r="AI874" s="6"/>
      <c r="AJ874" s="6"/>
      <c r="AK874" s="1841"/>
      <c r="AL874" s="63"/>
      <c r="AM874" s="1425"/>
      <c r="AN874" s="6"/>
      <c r="AO874" s="6"/>
      <c r="AP874" s="6"/>
      <c r="AQ874" s="1841"/>
      <c r="AR874" s="63"/>
      <c r="AS874" s="1425"/>
      <c r="AT874" s="6"/>
      <c r="AU874" s="6"/>
      <c r="AV874" s="6"/>
      <c r="AW874" s="2690"/>
      <c r="AX874" s="2696"/>
      <c r="AY874" s="2700"/>
      <c r="AZ874" s="2705"/>
      <c r="BA874" s="2705"/>
      <c r="BB874" s="2705"/>
      <c r="BC874" s="2695"/>
      <c r="BD874" s="2706"/>
      <c r="BE874" s="2700"/>
      <c r="BF874" s="2705"/>
      <c r="BG874" s="2705"/>
      <c r="BH874" s="2705"/>
      <c r="BI874" s="2695"/>
      <c r="BJ874" s="2696"/>
      <c r="BK874" s="2700"/>
      <c r="BL874" s="2244"/>
      <c r="BM874" s="2244"/>
      <c r="BN874" s="2244"/>
      <c r="BO874" s="2245"/>
      <c r="BP874" s="63"/>
      <c r="BQ874" s="2243"/>
      <c r="BR874" s="2244"/>
      <c r="BS874" s="2244"/>
      <c r="BT874" s="2244"/>
      <c r="BU874" s="2245"/>
      <c r="BV874" s="63"/>
      <c r="BW874" s="2243"/>
      <c r="BX874" s="2244"/>
      <c r="BY874" s="2244"/>
      <c r="BZ874" s="2244"/>
      <c r="CA874" s="2245"/>
      <c r="CB874" s="63"/>
      <c r="CC874" s="2243"/>
      <c r="CD874" s="2244"/>
      <c r="CE874" s="2244"/>
      <c r="CF874" s="2244"/>
      <c r="CG874" s="2245"/>
      <c r="CH874" s="63"/>
      <c r="CI874" s="2243"/>
      <c r="CJ874" s="2244"/>
      <c r="CK874" s="2244"/>
      <c r="CL874" s="2244"/>
      <c r="CM874" s="2245"/>
      <c r="CN874" s="63"/>
      <c r="CO874" s="2243"/>
      <c r="CP874" s="2244"/>
      <c r="CQ874" s="2244"/>
      <c r="CR874" s="2244"/>
      <c r="CS874" s="2245"/>
    </row>
    <row r="875" spans="1:97">
      <c r="A875" s="1930"/>
      <c r="C875" s="1850"/>
      <c r="G875" s="736"/>
      <c r="H875" s="63"/>
      <c r="I875" s="1425"/>
      <c r="J875" s="6"/>
      <c r="K875" s="6"/>
      <c r="L875" s="6"/>
      <c r="M875" s="1841"/>
      <c r="N875" s="63"/>
      <c r="O875" s="1425"/>
      <c r="P875" s="6"/>
      <c r="Q875" s="6"/>
      <c r="R875" s="6"/>
      <c r="S875" s="1841"/>
      <c r="T875" s="63"/>
      <c r="U875" s="1425"/>
      <c r="V875" s="6"/>
      <c r="W875" s="6"/>
      <c r="X875" s="6"/>
      <c r="Y875" s="1841"/>
      <c r="Z875" s="63"/>
      <c r="AA875" s="1425"/>
      <c r="AB875" s="6"/>
      <c r="AC875" s="6"/>
      <c r="AD875" s="6"/>
      <c r="AE875" s="1841"/>
      <c r="AF875" s="63"/>
      <c r="AG875" s="1425"/>
      <c r="AH875" s="6"/>
      <c r="AI875" s="6"/>
      <c r="AJ875" s="6"/>
      <c r="AK875" s="1841"/>
      <c r="AL875" s="63"/>
      <c r="AM875" s="1425"/>
      <c r="AN875" s="6"/>
      <c r="AO875" s="6"/>
      <c r="AP875" s="6"/>
      <c r="AQ875" s="1841"/>
      <c r="AR875" s="63"/>
      <c r="AS875" s="1425"/>
      <c r="AT875" s="6"/>
      <c r="AU875" s="6"/>
      <c r="AV875" s="6"/>
      <c r="AW875" s="2690"/>
      <c r="AX875" s="2696"/>
      <c r="AY875" s="2700"/>
      <c r="AZ875" s="2705"/>
      <c r="BA875" s="2705"/>
      <c r="BB875" s="2705"/>
      <c r="BC875" s="2695"/>
      <c r="BD875" s="2706"/>
      <c r="BE875" s="2700"/>
      <c r="BF875" s="2705"/>
      <c r="BG875" s="2705"/>
      <c r="BH875" s="2705"/>
      <c r="BI875" s="2695"/>
      <c r="BJ875" s="2696"/>
      <c r="BK875" s="2700"/>
      <c r="BL875" s="2244"/>
      <c r="BM875" s="2244"/>
      <c r="BN875" s="2244"/>
      <c r="BO875" s="2245"/>
      <c r="BP875" s="63"/>
      <c r="BQ875" s="2243"/>
      <c r="BR875" s="2244"/>
      <c r="BS875" s="2244"/>
      <c r="BT875" s="2244"/>
      <c r="BU875" s="2245"/>
      <c r="BV875" s="63"/>
      <c r="BW875" s="2243"/>
      <c r="BX875" s="2244"/>
      <c r="BY875" s="2244"/>
      <c r="BZ875" s="2244"/>
      <c r="CA875" s="2245"/>
      <c r="CB875" s="63"/>
      <c r="CC875" s="2243"/>
      <c r="CD875" s="2244"/>
      <c r="CE875" s="2244"/>
      <c r="CF875" s="2244"/>
      <c r="CG875" s="2245"/>
      <c r="CH875" s="63"/>
      <c r="CI875" s="2243"/>
      <c r="CJ875" s="2244"/>
      <c r="CK875" s="2244"/>
      <c r="CL875" s="2244"/>
      <c r="CM875" s="2245"/>
      <c r="CN875" s="63"/>
      <c r="CO875" s="2243"/>
      <c r="CP875" s="2244"/>
      <c r="CQ875" s="2244"/>
      <c r="CR875" s="2244"/>
      <c r="CS875" s="2245"/>
    </row>
    <row r="876" spans="1:97">
      <c r="A876" s="1930"/>
      <c r="C876" s="1850"/>
      <c r="G876" s="736"/>
      <c r="H876" s="63"/>
      <c r="I876" s="1425"/>
      <c r="J876" s="6"/>
      <c r="K876" s="6"/>
      <c r="L876" s="6"/>
      <c r="M876" s="1841"/>
      <c r="N876" s="63"/>
      <c r="O876" s="1425"/>
      <c r="P876" s="6"/>
      <c r="Q876" s="6"/>
      <c r="R876" s="6"/>
      <c r="S876" s="1841"/>
      <c r="T876" s="63"/>
      <c r="U876" s="1425"/>
      <c r="V876" s="6"/>
      <c r="W876" s="6"/>
      <c r="X876" s="6"/>
      <c r="Y876" s="1841"/>
      <c r="Z876" s="63"/>
      <c r="AA876" s="1425"/>
      <c r="AB876" s="6"/>
      <c r="AC876" s="6"/>
      <c r="AD876" s="6"/>
      <c r="AE876" s="1841"/>
      <c r="AF876" s="63"/>
      <c r="AG876" s="1425"/>
      <c r="AH876" s="6"/>
      <c r="AI876" s="6"/>
      <c r="AJ876" s="6"/>
      <c r="AK876" s="1841"/>
      <c r="AL876" s="63"/>
      <c r="AM876" s="1425"/>
      <c r="AN876" s="6"/>
      <c r="AO876" s="6"/>
      <c r="AP876" s="6"/>
      <c r="AQ876" s="1841"/>
      <c r="AR876" s="63"/>
      <c r="AS876" s="1425"/>
      <c r="AT876" s="6"/>
      <c r="AU876" s="6"/>
      <c r="AV876" s="6"/>
      <c r="AW876" s="2690"/>
      <c r="AX876" s="2696"/>
      <c r="AY876" s="2700"/>
      <c r="AZ876" s="2705"/>
      <c r="BA876" s="2705"/>
      <c r="BB876" s="2705"/>
      <c r="BC876" s="2695"/>
      <c r="BD876" s="2699"/>
      <c r="BE876" s="2700"/>
      <c r="BF876" s="2705"/>
      <c r="BG876" s="2705"/>
      <c r="BH876" s="2705"/>
      <c r="BI876" s="2695"/>
      <c r="BJ876" s="2696"/>
      <c r="BK876" s="2700"/>
      <c r="BL876" s="2244"/>
      <c r="BM876" s="2244"/>
      <c r="BN876" s="2244"/>
      <c r="BO876" s="2245"/>
      <c r="BP876" s="63"/>
      <c r="BQ876" s="2243"/>
      <c r="BR876" s="2244"/>
      <c r="BS876" s="2244"/>
      <c r="BT876" s="2244"/>
      <c r="BU876" s="2245"/>
      <c r="BV876" s="63"/>
      <c r="BW876" s="2243"/>
      <c r="BX876" s="2244"/>
      <c r="BY876" s="2244"/>
      <c r="BZ876" s="2244"/>
      <c r="CA876" s="2245"/>
      <c r="CB876" s="63"/>
      <c r="CC876" s="2243"/>
      <c r="CD876" s="2244"/>
      <c r="CE876" s="2244"/>
      <c r="CF876" s="2244"/>
      <c r="CG876" s="2245"/>
      <c r="CH876" s="63"/>
      <c r="CI876" s="2243"/>
      <c r="CJ876" s="2244"/>
      <c r="CK876" s="2244"/>
      <c r="CL876" s="2244"/>
      <c r="CM876" s="2245"/>
      <c r="CN876" s="63"/>
      <c r="CO876" s="2243"/>
      <c r="CP876" s="2244"/>
      <c r="CQ876" s="2244"/>
      <c r="CR876" s="2244"/>
      <c r="CS876" s="2245"/>
    </row>
    <row r="877" spans="1:97">
      <c r="A877" s="1930"/>
      <c r="C877" s="1850"/>
      <c r="G877" s="736"/>
      <c r="H877" s="63"/>
      <c r="I877" s="1425"/>
      <c r="J877" s="6"/>
      <c r="K877" s="6"/>
      <c r="L877" s="6"/>
      <c r="M877" s="1841"/>
      <c r="N877" s="63"/>
      <c r="O877" s="1425"/>
      <c r="P877" s="6"/>
      <c r="Q877" s="6"/>
      <c r="R877" s="6"/>
      <c r="S877" s="1841"/>
      <c r="T877" s="63"/>
      <c r="U877" s="1425"/>
      <c r="V877" s="6"/>
      <c r="W877" s="6"/>
      <c r="X877" s="6"/>
      <c r="Y877" s="1841"/>
      <c r="Z877" s="63"/>
      <c r="AA877" s="1425"/>
      <c r="AB877" s="6"/>
      <c r="AC877" s="6"/>
      <c r="AD877" s="6"/>
      <c r="AE877" s="1841"/>
      <c r="AF877" s="63"/>
      <c r="AG877" s="1425"/>
      <c r="AH877" s="6"/>
      <c r="AI877" s="6"/>
      <c r="AJ877" s="6"/>
      <c r="AK877" s="1841"/>
      <c r="AL877" s="63"/>
      <c r="AM877" s="1425"/>
      <c r="AN877" s="6"/>
      <c r="AO877" s="6"/>
      <c r="AP877" s="6"/>
      <c r="AQ877" s="1841"/>
      <c r="AR877" s="63"/>
      <c r="AS877" s="1425"/>
      <c r="AT877" s="6"/>
      <c r="AU877" s="6"/>
      <c r="AV877" s="6"/>
      <c r="AW877" s="2690"/>
      <c r="AX877" s="2696"/>
      <c r="AY877" s="2700"/>
      <c r="AZ877" s="2705"/>
      <c r="BA877" s="2705"/>
      <c r="BB877" s="2705"/>
      <c r="BC877" s="2695"/>
      <c r="BD877" s="2699"/>
      <c r="BE877" s="2700"/>
      <c r="BF877" s="2705"/>
      <c r="BG877" s="2705"/>
      <c r="BH877" s="2705"/>
      <c r="BI877" s="2695"/>
      <c r="BJ877" s="2696"/>
      <c r="BK877" s="2700"/>
      <c r="BL877" s="2244"/>
      <c r="BM877" s="2244"/>
      <c r="BN877" s="2244"/>
      <c r="BO877" s="2245"/>
      <c r="BP877" s="63"/>
      <c r="BQ877" s="2243"/>
      <c r="BR877" s="2244"/>
      <c r="BS877" s="2244"/>
      <c r="BT877" s="2244"/>
      <c r="BU877" s="2245"/>
      <c r="BV877" s="63"/>
      <c r="BW877" s="2243"/>
      <c r="BX877" s="2244"/>
      <c r="BY877" s="2244"/>
      <c r="BZ877" s="2244"/>
      <c r="CA877" s="2245"/>
      <c r="CB877" s="63"/>
      <c r="CC877" s="2243"/>
      <c r="CD877" s="2244"/>
      <c r="CE877" s="2244"/>
      <c r="CF877" s="2244"/>
      <c r="CG877" s="2245"/>
      <c r="CH877" s="63"/>
      <c r="CI877" s="2243"/>
      <c r="CJ877" s="2244"/>
      <c r="CK877" s="2244"/>
      <c r="CL877" s="2244"/>
      <c r="CM877" s="2245"/>
      <c r="CN877" s="63"/>
      <c r="CO877" s="2243"/>
      <c r="CP877" s="2244"/>
      <c r="CQ877" s="2244"/>
      <c r="CR877" s="2244"/>
      <c r="CS877" s="2245"/>
    </row>
    <row r="878" spans="1:97">
      <c r="A878" s="1930"/>
      <c r="C878" s="1850"/>
      <c r="G878" s="736"/>
      <c r="H878" s="63"/>
      <c r="I878" s="1425"/>
      <c r="J878" s="6"/>
      <c r="K878" s="6"/>
      <c r="L878" s="6"/>
      <c r="M878" s="1841"/>
      <c r="N878" s="63"/>
      <c r="O878" s="1425"/>
      <c r="P878" s="6"/>
      <c r="Q878" s="6"/>
      <c r="R878" s="6"/>
      <c r="S878" s="1841"/>
      <c r="T878" s="63"/>
      <c r="U878" s="1425"/>
      <c r="V878" s="6"/>
      <c r="W878" s="6"/>
      <c r="X878" s="6"/>
      <c r="Y878" s="1841"/>
      <c r="Z878" s="63"/>
      <c r="AA878" s="1425"/>
      <c r="AB878" s="6"/>
      <c r="AC878" s="6"/>
      <c r="AD878" s="6"/>
      <c r="AE878" s="1841"/>
      <c r="AF878" s="63"/>
      <c r="AG878" s="1425"/>
      <c r="AH878" s="6"/>
      <c r="AI878" s="6"/>
      <c r="AJ878" s="6"/>
      <c r="AK878" s="1841"/>
      <c r="AL878" s="63"/>
      <c r="AM878" s="1425"/>
      <c r="AN878" s="6"/>
      <c r="AO878" s="6"/>
      <c r="AP878" s="6"/>
      <c r="AQ878" s="1841"/>
      <c r="AR878" s="63"/>
      <c r="AS878" s="1425"/>
      <c r="AT878" s="6"/>
      <c r="AU878" s="6"/>
      <c r="AV878" s="6"/>
      <c r="AW878" s="2690"/>
      <c r="AX878" s="2696"/>
      <c r="AY878" s="2700"/>
      <c r="AZ878" s="2705"/>
      <c r="BA878" s="2705"/>
      <c r="BB878" s="2705"/>
      <c r="BC878" s="2695"/>
      <c r="BD878" s="2699"/>
      <c r="BE878" s="2700"/>
      <c r="BF878" s="2705"/>
      <c r="BG878" s="2705"/>
      <c r="BH878" s="2705"/>
      <c r="BI878" s="2695"/>
      <c r="BJ878" s="2696"/>
      <c r="BK878" s="2700"/>
      <c r="BL878" s="2244"/>
      <c r="BM878" s="2244"/>
      <c r="BN878" s="2244"/>
      <c r="BO878" s="2245"/>
      <c r="BP878" s="63"/>
      <c r="BQ878" s="2243"/>
      <c r="BR878" s="2244"/>
      <c r="BS878" s="2244"/>
      <c r="BT878" s="2244"/>
      <c r="BU878" s="2245"/>
      <c r="BV878" s="63"/>
      <c r="BW878" s="2243"/>
      <c r="BX878" s="2244"/>
      <c r="BY878" s="2244"/>
      <c r="BZ878" s="2244"/>
      <c r="CA878" s="2245"/>
      <c r="CB878" s="63"/>
      <c r="CC878" s="2243"/>
      <c r="CD878" s="2244"/>
      <c r="CE878" s="2244"/>
      <c r="CF878" s="2244"/>
      <c r="CG878" s="2245"/>
      <c r="CH878" s="63"/>
      <c r="CI878" s="2243"/>
      <c r="CJ878" s="2244"/>
      <c r="CK878" s="2244"/>
      <c r="CL878" s="2244"/>
      <c r="CM878" s="2245"/>
      <c r="CN878" s="63"/>
      <c r="CO878" s="2243"/>
      <c r="CP878" s="2244"/>
      <c r="CQ878" s="2244"/>
      <c r="CR878" s="2244"/>
      <c r="CS878" s="2245"/>
    </row>
    <row r="879" spans="1:97">
      <c r="A879" s="1930"/>
      <c r="C879" s="1850"/>
      <c r="G879" s="736"/>
      <c r="H879" s="63"/>
      <c r="I879" s="1425"/>
      <c r="J879" s="6"/>
      <c r="K879" s="6"/>
      <c r="L879" s="6"/>
      <c r="M879" s="1841"/>
      <c r="N879" s="63"/>
      <c r="O879" s="1425"/>
      <c r="P879" s="6"/>
      <c r="Q879" s="6"/>
      <c r="R879" s="6"/>
      <c r="S879" s="1841"/>
      <c r="T879" s="63"/>
      <c r="U879" s="1425"/>
      <c r="V879" s="6"/>
      <c r="W879" s="6"/>
      <c r="X879" s="6"/>
      <c r="Y879" s="1841"/>
      <c r="Z879" s="63"/>
      <c r="AA879" s="1425"/>
      <c r="AB879" s="6"/>
      <c r="AC879" s="6"/>
      <c r="AD879" s="6"/>
      <c r="AE879" s="1841"/>
      <c r="AF879" s="63"/>
      <c r="AG879" s="1425"/>
      <c r="AH879" s="6"/>
      <c r="AI879" s="6"/>
      <c r="AJ879" s="6"/>
      <c r="AK879" s="1841"/>
      <c r="AL879" s="63"/>
      <c r="AM879" s="1425"/>
      <c r="AN879" s="6"/>
      <c r="AO879" s="6"/>
      <c r="AP879" s="6"/>
      <c r="AQ879" s="1841"/>
      <c r="AR879" s="63"/>
      <c r="AS879" s="1425"/>
      <c r="AT879" s="6"/>
      <c r="AU879" s="6"/>
      <c r="AV879" s="6"/>
      <c r="AW879" s="2690"/>
      <c r="AX879" s="2696"/>
      <c r="AY879" s="2700"/>
      <c r="AZ879" s="2705"/>
      <c r="BA879" s="2705"/>
      <c r="BB879" s="2705"/>
      <c r="BC879" s="2695"/>
      <c r="BD879" s="2699"/>
      <c r="BE879" s="2700"/>
      <c r="BF879" s="2705"/>
      <c r="BG879" s="2705"/>
      <c r="BH879" s="2705"/>
      <c r="BI879" s="2695"/>
      <c r="BJ879" s="2696"/>
      <c r="BK879" s="2700"/>
      <c r="BL879" s="2244"/>
      <c r="BM879" s="2244"/>
      <c r="BN879" s="2244"/>
      <c r="BO879" s="2245"/>
      <c r="BP879" s="63"/>
      <c r="BQ879" s="2243"/>
      <c r="BR879" s="2244"/>
      <c r="BS879" s="2244"/>
      <c r="BT879" s="2244"/>
      <c r="BU879" s="2245"/>
      <c r="BV879" s="63"/>
      <c r="BW879" s="2243"/>
      <c r="BX879" s="2244"/>
      <c r="BY879" s="2244"/>
      <c r="BZ879" s="2244"/>
      <c r="CA879" s="2245"/>
      <c r="CB879" s="63"/>
      <c r="CC879" s="2243"/>
      <c r="CD879" s="2244"/>
      <c r="CE879" s="2244"/>
      <c r="CF879" s="2244"/>
      <c r="CG879" s="2245"/>
      <c r="CH879" s="63"/>
      <c r="CI879" s="2243"/>
      <c r="CJ879" s="2244"/>
      <c r="CK879" s="2244"/>
      <c r="CL879" s="2244"/>
      <c r="CM879" s="2245"/>
      <c r="CN879" s="63"/>
      <c r="CO879" s="2243"/>
      <c r="CP879" s="2244"/>
      <c r="CQ879" s="2244"/>
      <c r="CR879" s="2244"/>
      <c r="CS879" s="2245"/>
    </row>
    <row r="880" spans="1:97">
      <c r="A880" s="1930"/>
      <c r="C880" s="1850"/>
      <c r="G880" s="736"/>
      <c r="H880" s="63"/>
      <c r="I880" s="1425"/>
      <c r="J880" s="6"/>
      <c r="K880" s="6"/>
      <c r="L880" s="6"/>
      <c r="M880" s="1841"/>
      <c r="N880" s="63"/>
      <c r="O880" s="1425"/>
      <c r="P880" s="6"/>
      <c r="Q880" s="6"/>
      <c r="R880" s="6"/>
      <c r="S880" s="1841"/>
      <c r="T880" s="63"/>
      <c r="U880" s="1425"/>
      <c r="V880" s="6"/>
      <c r="W880" s="6"/>
      <c r="X880" s="6"/>
      <c r="Y880" s="1841"/>
      <c r="Z880" s="63"/>
      <c r="AA880" s="1425"/>
      <c r="AB880" s="6"/>
      <c r="AC880" s="6"/>
      <c r="AD880" s="6"/>
      <c r="AE880" s="1841"/>
      <c r="AF880" s="63"/>
      <c r="AG880" s="1425"/>
      <c r="AH880" s="6"/>
      <c r="AI880" s="6"/>
      <c r="AJ880" s="6"/>
      <c r="AK880" s="1841"/>
      <c r="AL880" s="63"/>
      <c r="AM880" s="1425"/>
      <c r="AN880" s="6"/>
      <c r="AO880" s="6"/>
      <c r="AP880" s="6"/>
      <c r="AQ880" s="1841"/>
      <c r="AR880" s="63"/>
      <c r="AS880" s="1425"/>
      <c r="AT880" s="6"/>
      <c r="AU880" s="6"/>
      <c r="AV880" s="6"/>
      <c r="AW880" s="2690"/>
      <c r="AX880" s="2696"/>
      <c r="AY880" s="2700"/>
      <c r="AZ880" s="2705"/>
      <c r="BA880" s="2705"/>
      <c r="BB880" s="2705"/>
      <c r="BC880" s="2695"/>
      <c r="BD880" s="2699"/>
      <c r="BE880" s="2700"/>
      <c r="BF880" s="2705"/>
      <c r="BG880" s="2705"/>
      <c r="BH880" s="2705"/>
      <c r="BI880" s="2695"/>
      <c r="BJ880" s="2696"/>
      <c r="BK880" s="2700"/>
      <c r="BL880" s="2244"/>
      <c r="BM880" s="2244"/>
      <c r="BN880" s="2244"/>
      <c r="BO880" s="2245"/>
      <c r="BP880" s="63"/>
      <c r="BQ880" s="2243"/>
      <c r="BR880" s="2244"/>
      <c r="BS880" s="2244"/>
      <c r="BT880" s="2244"/>
      <c r="BU880" s="2245"/>
      <c r="BV880" s="63"/>
      <c r="BW880" s="2243"/>
      <c r="BX880" s="2244"/>
      <c r="BY880" s="2244"/>
      <c r="BZ880" s="2244"/>
      <c r="CA880" s="2245"/>
      <c r="CB880" s="63"/>
      <c r="CC880" s="2243"/>
      <c r="CD880" s="2244"/>
      <c r="CE880" s="2244"/>
      <c r="CF880" s="2244"/>
      <c r="CG880" s="2245"/>
      <c r="CH880" s="63"/>
      <c r="CI880" s="2243"/>
      <c r="CJ880" s="2244"/>
      <c r="CK880" s="2244"/>
      <c r="CL880" s="2244"/>
      <c r="CM880" s="2245"/>
      <c r="CN880" s="63"/>
      <c r="CO880" s="2243"/>
      <c r="CP880" s="2244"/>
      <c r="CQ880" s="2244"/>
      <c r="CR880" s="2244"/>
      <c r="CS880" s="2245"/>
    </row>
    <row r="881" spans="1:97">
      <c r="A881" s="1930"/>
      <c r="C881" s="1850"/>
      <c r="G881" s="736"/>
      <c r="H881" s="63"/>
      <c r="I881" s="1425"/>
      <c r="J881" s="6"/>
      <c r="K881" s="6"/>
      <c r="L881" s="6"/>
      <c r="M881" s="1841"/>
      <c r="N881" s="63"/>
      <c r="O881" s="1425"/>
      <c r="P881" s="6"/>
      <c r="Q881" s="6"/>
      <c r="R881" s="6"/>
      <c r="S881" s="1841"/>
      <c r="T881" s="63"/>
      <c r="U881" s="1425"/>
      <c r="V881" s="6"/>
      <c r="W881" s="6"/>
      <c r="X881" s="6"/>
      <c r="Y881" s="1841"/>
      <c r="Z881" s="63"/>
      <c r="AA881" s="1425"/>
      <c r="AB881" s="6"/>
      <c r="AC881" s="6"/>
      <c r="AD881" s="6"/>
      <c r="AE881" s="1841"/>
      <c r="AF881" s="63"/>
      <c r="AG881" s="1425"/>
      <c r="AH881" s="6"/>
      <c r="AI881" s="6"/>
      <c r="AJ881" s="6"/>
      <c r="AK881" s="1841"/>
      <c r="AL881" s="63"/>
      <c r="AM881" s="1425"/>
      <c r="AN881" s="6"/>
      <c r="AO881" s="6"/>
      <c r="AP881" s="6"/>
      <c r="AQ881" s="1841"/>
      <c r="AR881" s="63"/>
      <c r="AS881" s="1425"/>
      <c r="AT881" s="6"/>
      <c r="AU881" s="6"/>
      <c r="AV881" s="6"/>
      <c r="AW881" s="2242"/>
      <c r="AX881" s="63"/>
      <c r="AY881" s="2243"/>
      <c r="AZ881" s="2244"/>
      <c r="BA881" s="2244"/>
      <c r="BB881" s="2244"/>
      <c r="BC881" s="2245"/>
      <c r="BE881" s="2243"/>
      <c r="BF881" s="2244"/>
      <c r="BG881" s="2244"/>
      <c r="BH881" s="2244"/>
      <c r="BI881" s="2245"/>
      <c r="BJ881" s="63"/>
      <c r="BK881" s="2700"/>
      <c r="BL881" s="2705"/>
      <c r="BM881" s="2701"/>
      <c r="BN881" s="2705"/>
      <c r="BO881" s="2245"/>
      <c r="BP881" s="63"/>
      <c r="BQ881" s="2243"/>
      <c r="BR881" s="2244"/>
      <c r="BS881" s="2244"/>
      <c r="BT881" s="2244"/>
      <c r="BU881" s="2245"/>
      <c r="BV881" s="63"/>
      <c r="BW881" s="2243"/>
      <c r="BX881" s="2244"/>
      <c r="BY881" s="2244"/>
      <c r="BZ881" s="2244"/>
      <c r="CA881" s="2245"/>
      <c r="CB881" s="63"/>
      <c r="CC881" s="2243"/>
      <c r="CD881" s="2244"/>
      <c r="CE881" s="2244"/>
      <c r="CF881" s="2244"/>
      <c r="CG881" s="2245"/>
      <c r="CH881" s="63"/>
      <c r="CI881" s="2243"/>
      <c r="CJ881" s="2244"/>
      <c r="CK881" s="2244"/>
      <c r="CL881" s="2244"/>
      <c r="CM881" s="2245"/>
      <c r="CN881" s="63"/>
      <c r="CO881" s="2243"/>
      <c r="CP881" s="2244"/>
      <c r="CQ881" s="2244"/>
      <c r="CR881" s="2244"/>
      <c r="CS881" s="2245"/>
    </row>
    <row r="882" spans="1:97">
      <c r="A882" s="1930"/>
      <c r="C882" s="1850"/>
      <c r="G882" s="736"/>
      <c r="H882" s="63"/>
      <c r="I882" s="1425"/>
      <c r="J882" s="6"/>
      <c r="K882" s="6"/>
      <c r="L882" s="6"/>
      <c r="M882" s="1841"/>
      <c r="N882" s="63"/>
      <c r="O882" s="1425"/>
      <c r="P882" s="6"/>
      <c r="Q882" s="6"/>
      <c r="R882" s="6"/>
      <c r="S882" s="1841"/>
      <c r="T882" s="63"/>
      <c r="U882" s="1425"/>
      <c r="V882" s="6"/>
      <c r="W882" s="6"/>
      <c r="X882" s="6"/>
      <c r="Y882" s="1841"/>
      <c r="Z882" s="63"/>
      <c r="AA882" s="1425"/>
      <c r="AB882" s="6"/>
      <c r="AC882" s="6"/>
      <c r="AD882" s="6"/>
      <c r="AE882" s="1841"/>
      <c r="AF882" s="63"/>
      <c r="AG882" s="1425"/>
      <c r="AH882" s="6"/>
      <c r="AI882" s="6"/>
      <c r="AJ882" s="6"/>
      <c r="AK882" s="1841"/>
      <c r="AL882" s="63"/>
      <c r="AM882" s="1425"/>
      <c r="AN882" s="6"/>
      <c r="AO882" s="6"/>
      <c r="AP882" s="6"/>
      <c r="AQ882" s="1841"/>
      <c r="AR882" s="63"/>
      <c r="AS882" s="1425"/>
      <c r="AT882" s="6"/>
      <c r="AU882" s="6"/>
      <c r="AV882" s="6"/>
      <c r="AW882" s="2242"/>
      <c r="AX882" s="63"/>
      <c r="AY882" s="2243"/>
      <c r="AZ882" s="2244"/>
      <c r="BA882" s="2244"/>
      <c r="BB882" s="2244"/>
      <c r="BC882" s="2245"/>
      <c r="BE882" s="2243"/>
      <c r="BF882" s="2244"/>
      <c r="BG882" s="2244"/>
      <c r="BH882" s="2244"/>
      <c r="BI882" s="2245"/>
      <c r="BJ882" s="63"/>
      <c r="BK882" s="2700"/>
      <c r="BL882" s="2705"/>
      <c r="BM882" s="2705"/>
      <c r="BN882" s="2705"/>
      <c r="BO882" s="2245"/>
      <c r="BP882" s="63"/>
      <c r="BQ882" s="2243"/>
      <c r="BR882" s="2244"/>
      <c r="BS882" s="2244"/>
      <c r="BT882" s="2244"/>
      <c r="BU882" s="2245"/>
      <c r="BV882" s="63"/>
      <c r="BW882" s="2243"/>
      <c r="BX882" s="2244"/>
      <c r="BY882" s="2244"/>
      <c r="BZ882" s="2244"/>
      <c r="CA882" s="2245"/>
      <c r="CB882" s="63"/>
      <c r="CC882" s="2243"/>
      <c r="CD882" s="2244"/>
      <c r="CE882" s="2244"/>
      <c r="CF882" s="2244"/>
      <c r="CG882" s="2245"/>
      <c r="CH882" s="63"/>
      <c r="CI882" s="2243"/>
      <c r="CJ882" s="2244"/>
      <c r="CK882" s="2244"/>
      <c r="CL882" s="2244"/>
      <c r="CM882" s="2245"/>
      <c r="CN882" s="63"/>
      <c r="CO882" s="2243"/>
      <c r="CP882" s="2244"/>
      <c r="CQ882" s="2244"/>
      <c r="CR882" s="2244"/>
      <c r="CS882" s="2245"/>
    </row>
    <row r="883" spans="1:97">
      <c r="A883" s="1601"/>
      <c r="C883" s="1850"/>
      <c r="G883" s="736"/>
      <c r="H883" s="63"/>
      <c r="I883" s="1850"/>
      <c r="M883" s="736"/>
      <c r="N883" s="63"/>
      <c r="O883" s="1850"/>
      <c r="S883" s="736"/>
      <c r="T883" s="63"/>
      <c r="U883" s="1850"/>
      <c r="Y883" s="736"/>
      <c r="Z883" s="63"/>
      <c r="AA883" s="1850"/>
      <c r="AE883" s="736"/>
      <c r="AF883" s="63"/>
      <c r="AG883" s="1850"/>
      <c r="AK883" s="736"/>
      <c r="AL883" s="63"/>
      <c r="AM883" s="1850"/>
      <c r="AQ883" s="736"/>
      <c r="AR883" s="63"/>
      <c r="AS883" s="1850"/>
      <c r="AW883" s="736"/>
      <c r="AX883" s="63"/>
      <c r="AY883" s="1850"/>
      <c r="BC883" s="188"/>
      <c r="BD883" s="2238"/>
      <c r="BE883" s="1850"/>
      <c r="BF883" s="2234"/>
      <c r="BG883" s="2234"/>
      <c r="BH883" s="2234"/>
      <c r="BI883" s="736"/>
      <c r="BJ883" s="63"/>
      <c r="BK883" s="1850"/>
      <c r="BL883" s="2241"/>
      <c r="BM883" s="2241"/>
      <c r="BN883" s="2241"/>
      <c r="BO883" s="736"/>
      <c r="BP883" s="63"/>
      <c r="BQ883" s="1850"/>
      <c r="BR883" s="2241"/>
      <c r="BS883" s="2241"/>
      <c r="BT883" s="2241"/>
      <c r="BU883" s="2218"/>
      <c r="BV883" s="63"/>
      <c r="BW883" s="1850"/>
      <c r="BX883" s="2241"/>
      <c r="BY883" s="2241"/>
      <c r="BZ883" s="2241"/>
      <c r="CA883" s="2218"/>
      <c r="CB883" s="63"/>
      <c r="CC883" s="1850"/>
      <c r="CD883" s="2241"/>
      <c r="CE883" s="2241"/>
      <c r="CF883" s="2241"/>
      <c r="CG883" s="736"/>
      <c r="CH883" s="63"/>
      <c r="CI883" s="1850"/>
      <c r="CJ883" s="2241"/>
      <c r="CK883" s="2241"/>
      <c r="CL883" s="2241"/>
      <c r="CM883" s="736"/>
      <c r="CN883" s="63"/>
      <c r="CO883" s="1850"/>
      <c r="CP883" s="2241"/>
      <c r="CQ883" s="2241"/>
      <c r="CR883" s="2241"/>
      <c r="CS883" s="736"/>
    </row>
    <row r="884" spans="1:97">
      <c r="A884" s="1930"/>
      <c r="B884" s="2238"/>
      <c r="C884" s="1425"/>
      <c r="D884" s="1422"/>
      <c r="E884" s="1422"/>
      <c r="F884" s="1422"/>
      <c r="G884" s="1841"/>
      <c r="H884" s="2238"/>
      <c r="I884" s="1425"/>
      <c r="J884" s="1422"/>
      <c r="K884" s="1422"/>
      <c r="L884" s="1422"/>
      <c r="M884" s="1841"/>
      <c r="N884" s="2238"/>
      <c r="O884" s="1425"/>
      <c r="P884" s="1422"/>
      <c r="Q884" s="1422"/>
      <c r="R884" s="1422"/>
      <c r="S884" s="1841"/>
      <c r="T884" s="2238"/>
      <c r="U884" s="1425"/>
      <c r="V884" s="1422"/>
      <c r="W884" s="1422"/>
      <c r="X884" s="1422"/>
      <c r="Y884" s="1841"/>
      <c r="Z884" s="2238"/>
      <c r="AA884" s="1425"/>
      <c r="AB884" s="1422"/>
      <c r="AC884" s="1422"/>
      <c r="AD884" s="1422"/>
      <c r="AE884" s="1841"/>
      <c r="AF884" s="2238"/>
      <c r="AG884" s="1425"/>
      <c r="AH884" s="1422"/>
      <c r="AI884" s="1422"/>
      <c r="AJ884" s="1422"/>
      <c r="AK884" s="1841"/>
      <c r="AL884" s="2238"/>
      <c r="AM884" s="1425"/>
      <c r="AN884" s="1422"/>
      <c r="AO884" s="1422"/>
      <c r="AP884" s="1422"/>
      <c r="AQ884" s="1841"/>
      <c r="AR884" s="2238"/>
      <c r="AS884" s="1425"/>
      <c r="AT884" s="1422"/>
      <c r="AU884" s="1422"/>
      <c r="AV884" s="1422"/>
      <c r="AW884" s="1841"/>
      <c r="AX884" s="2238"/>
      <c r="AY884" s="1425"/>
      <c r="AZ884" s="1422"/>
      <c r="BA884" s="1422"/>
      <c r="BB884" s="1422"/>
      <c r="BC884" s="1841"/>
      <c r="BD884" s="2238"/>
      <c r="BE884" s="1425"/>
      <c r="BF884" s="1422"/>
      <c r="BG884" s="1422"/>
      <c r="BH884" s="1422"/>
      <c r="BI884" s="1841"/>
      <c r="BJ884" s="2238"/>
      <c r="BK884" s="1425"/>
      <c r="BL884" s="1422"/>
      <c r="BM884" s="1422"/>
      <c r="BN884" s="1422"/>
      <c r="BO884" s="1841"/>
      <c r="BP884" s="2238"/>
      <c r="BQ884" s="1425"/>
      <c r="BR884" s="1422"/>
      <c r="BS884" s="1422"/>
      <c r="BT884" s="1422"/>
      <c r="BU884" s="1841"/>
      <c r="BV884" s="2238"/>
      <c r="BW884" s="1425"/>
      <c r="BX884" s="1422"/>
      <c r="BY884" s="1422"/>
      <c r="BZ884" s="1422"/>
      <c r="CA884" s="1841"/>
      <c r="CB884" s="2238"/>
      <c r="CC884" s="1425"/>
      <c r="CD884" s="1422"/>
      <c r="CE884" s="1422"/>
      <c r="CF884" s="1422"/>
      <c r="CG884" s="1841"/>
      <c r="CH884" s="2238"/>
      <c r="CI884" s="1425"/>
      <c r="CJ884" s="1422"/>
      <c r="CK884" s="1422"/>
      <c r="CL884" s="1422"/>
      <c r="CM884" s="1841"/>
      <c r="CN884" s="2238"/>
      <c r="CO884" s="1425"/>
      <c r="CP884" s="1422"/>
      <c r="CQ884" s="1422"/>
      <c r="CR884" s="1422"/>
      <c r="CS884" s="1841"/>
    </row>
    <row r="885" spans="1:97">
      <c r="A885" s="1930"/>
      <c r="B885" s="2238"/>
      <c r="C885" s="1425"/>
      <c r="D885" s="1422"/>
      <c r="E885" s="1422"/>
      <c r="F885" s="1422"/>
      <c r="G885" s="1841"/>
      <c r="H885" s="2238"/>
      <c r="I885" s="1425"/>
      <c r="J885" s="1422"/>
      <c r="K885" s="1422"/>
      <c r="L885" s="1422"/>
      <c r="M885" s="1841"/>
      <c r="N885" s="2238"/>
      <c r="O885" s="1425"/>
      <c r="P885" s="1422"/>
      <c r="Q885" s="1422"/>
      <c r="R885" s="1422"/>
      <c r="S885" s="1841"/>
      <c r="T885" s="2238"/>
      <c r="U885" s="1425"/>
      <c r="V885" s="1422"/>
      <c r="W885" s="1422"/>
      <c r="X885" s="1422"/>
      <c r="Y885" s="1841"/>
      <c r="Z885" s="2238"/>
      <c r="AA885" s="1425"/>
      <c r="AB885" s="1422"/>
      <c r="AC885" s="1422"/>
      <c r="AD885" s="1422"/>
      <c r="AE885" s="1841"/>
      <c r="AF885" s="2238"/>
      <c r="AG885" s="1425"/>
      <c r="AH885" s="1422"/>
      <c r="AI885" s="1422"/>
      <c r="AJ885" s="1422"/>
      <c r="AK885" s="1841"/>
      <c r="AL885" s="2238"/>
      <c r="AM885" s="1425"/>
      <c r="AN885" s="1422"/>
      <c r="AO885" s="1422"/>
      <c r="AP885" s="1422"/>
      <c r="AQ885" s="1841"/>
      <c r="AR885" s="2238"/>
      <c r="AS885" s="1425"/>
      <c r="AT885" s="1422"/>
      <c r="AU885" s="1422"/>
      <c r="AV885" s="1422"/>
      <c r="AW885" s="1841"/>
      <c r="AX885" s="2238"/>
      <c r="AY885" s="1425"/>
      <c r="AZ885" s="1422"/>
      <c r="BA885" s="1422"/>
      <c r="BB885" s="1422"/>
      <c r="BC885" s="1841"/>
      <c r="BD885" s="2238"/>
      <c r="BE885" s="1425"/>
      <c r="BF885" s="1422"/>
      <c r="BG885" s="1422"/>
      <c r="BH885" s="1422"/>
      <c r="BI885" s="1841"/>
      <c r="BJ885" s="63"/>
      <c r="BK885" s="1425"/>
      <c r="BL885" s="1422"/>
      <c r="BM885" s="1422"/>
      <c r="BN885" s="1422"/>
      <c r="BO885" s="1841"/>
      <c r="BP885" s="63"/>
      <c r="BQ885" s="1425"/>
      <c r="BR885" s="1422"/>
      <c r="BS885" s="1422"/>
      <c r="BT885" s="1422"/>
      <c r="BU885" s="1841"/>
      <c r="BV885" s="63"/>
      <c r="BW885" s="1425"/>
      <c r="BX885" s="1422"/>
      <c r="BY885" s="1422"/>
      <c r="BZ885" s="1422"/>
      <c r="CA885" s="1841"/>
      <c r="CB885" s="63"/>
      <c r="CC885" s="1425"/>
      <c r="CD885" s="1422"/>
      <c r="CE885" s="1422"/>
      <c r="CF885" s="1422"/>
      <c r="CG885" s="1841"/>
      <c r="CH885" s="63"/>
      <c r="CI885" s="1425"/>
      <c r="CJ885" s="1422"/>
      <c r="CK885" s="1422"/>
      <c r="CL885" s="1422"/>
      <c r="CM885" s="1841"/>
      <c r="CN885" s="63"/>
      <c r="CO885" s="1425"/>
      <c r="CP885" s="1422"/>
      <c r="CQ885" s="1422"/>
      <c r="CR885" s="1422"/>
      <c r="CS885" s="1841"/>
    </row>
    <row r="886" spans="1:97">
      <c r="A886" s="1930"/>
      <c r="B886" s="2238"/>
      <c r="C886" s="1425"/>
      <c r="D886" s="1422"/>
      <c r="E886" s="1422"/>
      <c r="F886" s="1422"/>
      <c r="G886" s="1841"/>
      <c r="H886" s="2238"/>
      <c r="I886" s="1425"/>
      <c r="J886" s="1422"/>
      <c r="K886" s="1422"/>
      <c r="L886" s="1422"/>
      <c r="M886" s="1841"/>
      <c r="N886" s="2238"/>
      <c r="O886" s="1425"/>
      <c r="P886" s="1422"/>
      <c r="Q886" s="1422"/>
      <c r="R886" s="1422"/>
      <c r="S886" s="1841"/>
      <c r="T886" s="2238"/>
      <c r="U886" s="1425"/>
      <c r="V886" s="1422"/>
      <c r="W886" s="1422"/>
      <c r="X886" s="1422"/>
      <c r="Y886" s="1841"/>
      <c r="Z886" s="2238"/>
      <c r="AA886" s="1425"/>
      <c r="AB886" s="1422"/>
      <c r="AC886" s="1422"/>
      <c r="AD886" s="1422"/>
      <c r="AE886" s="1841"/>
      <c r="AF886" s="2238"/>
      <c r="AG886" s="1425"/>
      <c r="AH886" s="1422"/>
      <c r="AI886" s="1422"/>
      <c r="AJ886" s="1422"/>
      <c r="AK886" s="1841"/>
      <c r="AL886" s="2238"/>
      <c r="AM886" s="1425"/>
      <c r="AN886" s="1422"/>
      <c r="AO886" s="1422"/>
      <c r="AP886" s="1422"/>
      <c r="AQ886" s="1841"/>
      <c r="AR886" s="2238"/>
      <c r="AS886" s="1425"/>
      <c r="AT886" s="1422"/>
      <c r="AU886" s="1422"/>
      <c r="AV886" s="1422"/>
      <c r="AW886" s="1841"/>
      <c r="AX886" s="2238"/>
      <c r="AY886" s="1425"/>
      <c r="AZ886" s="1422"/>
      <c r="BA886" s="1422"/>
      <c r="BB886" s="1422"/>
      <c r="BC886" s="1841"/>
      <c r="BD886" s="2238"/>
      <c r="BE886" s="1425"/>
      <c r="BF886" s="1422"/>
      <c r="BG886" s="1422"/>
      <c r="BH886" s="1422"/>
      <c r="BI886" s="1841"/>
      <c r="BJ886" s="63"/>
      <c r="BK886" s="1425"/>
      <c r="BL886" s="1422"/>
      <c r="BM886" s="1422"/>
      <c r="BN886" s="1422"/>
      <c r="BO886" s="1841"/>
      <c r="BP886" s="63"/>
      <c r="BQ886" s="1425"/>
      <c r="BR886" s="1422"/>
      <c r="BS886" s="1422"/>
      <c r="BT886" s="1422"/>
      <c r="BU886" s="1841"/>
      <c r="BV886" s="63"/>
      <c r="BW886" s="1425"/>
      <c r="BX886" s="1422"/>
      <c r="BY886" s="1422"/>
      <c r="BZ886" s="1422"/>
      <c r="CA886" s="1841"/>
      <c r="CB886" s="63"/>
      <c r="CC886" s="1425"/>
      <c r="CD886" s="1422"/>
      <c r="CE886" s="1422"/>
      <c r="CF886" s="1422"/>
      <c r="CG886" s="1841"/>
      <c r="CH886" s="63"/>
      <c r="CI886" s="1425"/>
      <c r="CJ886" s="1422"/>
      <c r="CK886" s="1422"/>
      <c r="CL886" s="1422"/>
      <c r="CM886" s="1841"/>
      <c r="CN886" s="63"/>
      <c r="CO886" s="1425"/>
      <c r="CP886" s="1422"/>
      <c r="CQ886" s="1422"/>
      <c r="CR886" s="1422"/>
      <c r="CS886" s="1841"/>
    </row>
    <row r="887" spans="1:97">
      <c r="A887" s="1930"/>
      <c r="B887" s="2238"/>
      <c r="C887" s="1425"/>
      <c r="D887" s="1422"/>
      <c r="E887" s="1422"/>
      <c r="F887" s="1422"/>
      <c r="G887" s="1841"/>
      <c r="H887" s="2238"/>
      <c r="I887" s="1425"/>
      <c r="J887" s="1422"/>
      <c r="K887" s="1422"/>
      <c r="L887" s="1422"/>
      <c r="M887" s="1841"/>
      <c r="N887" s="2238"/>
      <c r="O887" s="1425"/>
      <c r="P887" s="1422"/>
      <c r="Q887" s="1422"/>
      <c r="R887" s="1422"/>
      <c r="S887" s="1841"/>
      <c r="T887" s="2238"/>
      <c r="U887" s="1425"/>
      <c r="V887" s="1422"/>
      <c r="W887" s="1422"/>
      <c r="X887" s="1422"/>
      <c r="Y887" s="1841"/>
      <c r="Z887" s="2238"/>
      <c r="AA887" s="1425"/>
      <c r="AB887" s="1422"/>
      <c r="AC887" s="1422"/>
      <c r="AD887" s="1422"/>
      <c r="AE887" s="1841"/>
      <c r="AF887" s="2238"/>
      <c r="AG887" s="1425"/>
      <c r="AH887" s="1422"/>
      <c r="AI887" s="1422"/>
      <c r="AJ887" s="1422"/>
      <c r="AK887" s="1841"/>
      <c r="AL887" s="2238"/>
      <c r="AM887" s="1425"/>
      <c r="AN887" s="1422"/>
      <c r="AO887" s="1422"/>
      <c r="AP887" s="1422"/>
      <c r="AQ887" s="1841"/>
      <c r="AR887" s="2238"/>
      <c r="AS887" s="1425"/>
      <c r="AT887" s="1422"/>
      <c r="AU887" s="1422"/>
      <c r="AV887" s="1422"/>
      <c r="AW887" s="1841"/>
      <c r="AX887" s="2238"/>
      <c r="AY887" s="1425"/>
      <c r="AZ887" s="1422"/>
      <c r="BA887" s="1422"/>
      <c r="BB887" s="1422"/>
      <c r="BC887" s="1841"/>
      <c r="BD887" s="2238"/>
      <c r="BE887" s="1425"/>
      <c r="BF887" s="1422"/>
      <c r="BG887" s="1422"/>
      <c r="BH887" s="1422"/>
      <c r="BI887" s="1841"/>
      <c r="BJ887" s="63"/>
      <c r="BK887" s="1425"/>
      <c r="BL887" s="1422"/>
      <c r="BM887" s="1422"/>
      <c r="BN887" s="1422"/>
      <c r="BO887" s="1841"/>
      <c r="BP887" s="63"/>
      <c r="BQ887" s="1425"/>
      <c r="BR887" s="1422"/>
      <c r="BS887" s="1422"/>
      <c r="BT887" s="1422"/>
      <c r="BU887" s="1841"/>
      <c r="BV887" s="63"/>
      <c r="BW887" s="1425"/>
      <c r="BX887" s="1422"/>
      <c r="BY887" s="1422"/>
      <c r="BZ887" s="1422"/>
      <c r="CA887" s="1841"/>
      <c r="CB887" s="63"/>
      <c r="CC887" s="1425"/>
      <c r="CD887" s="1422"/>
      <c r="CE887" s="1422"/>
      <c r="CF887" s="1422"/>
      <c r="CG887" s="1841"/>
      <c r="CH887" s="63"/>
      <c r="CI887" s="1425"/>
      <c r="CJ887" s="1422"/>
      <c r="CK887" s="1422"/>
      <c r="CL887" s="1422"/>
      <c r="CM887" s="1841"/>
      <c r="CN887" s="63"/>
      <c r="CO887" s="1425"/>
      <c r="CP887" s="1422"/>
      <c r="CQ887" s="1422"/>
      <c r="CR887" s="1422"/>
      <c r="CS887" s="1841"/>
    </row>
    <row r="888" spans="1:97">
      <c r="A888" s="1930"/>
      <c r="B888" s="2238"/>
      <c r="C888" s="1425"/>
      <c r="D888" s="1422"/>
      <c r="E888" s="1422"/>
      <c r="F888" s="1422"/>
      <c r="G888" s="1841"/>
      <c r="H888" s="2238"/>
      <c r="I888" s="1425"/>
      <c r="J888" s="1422"/>
      <c r="K888" s="1422"/>
      <c r="L888" s="1422"/>
      <c r="M888" s="1841"/>
      <c r="N888" s="2238"/>
      <c r="O888" s="1425"/>
      <c r="P888" s="1422"/>
      <c r="Q888" s="1422"/>
      <c r="R888" s="1422"/>
      <c r="S888" s="1841"/>
      <c r="T888" s="2238"/>
      <c r="U888" s="1425"/>
      <c r="V888" s="1422"/>
      <c r="W888" s="1422"/>
      <c r="X888" s="1422"/>
      <c r="Y888" s="1841"/>
      <c r="Z888" s="2238"/>
      <c r="AA888" s="1425"/>
      <c r="AB888" s="1422"/>
      <c r="AC888" s="1422"/>
      <c r="AD888" s="1422"/>
      <c r="AE888" s="1841"/>
      <c r="AF888" s="2238"/>
      <c r="AG888" s="1425"/>
      <c r="AH888" s="1422"/>
      <c r="AI888" s="1422"/>
      <c r="AJ888" s="1422"/>
      <c r="AK888" s="1841"/>
      <c r="AL888" s="2238"/>
      <c r="AM888" s="1425"/>
      <c r="AN888" s="1422"/>
      <c r="AO888" s="1422"/>
      <c r="AP888" s="1422"/>
      <c r="AQ888" s="1841"/>
      <c r="AR888" s="2238"/>
      <c r="AS888" s="1425"/>
      <c r="AT888" s="1422"/>
      <c r="AU888" s="1422"/>
      <c r="AV888" s="1422"/>
      <c r="AW888" s="1841"/>
      <c r="AX888" s="2238"/>
      <c r="AY888" s="1425"/>
      <c r="AZ888" s="1422"/>
      <c r="BA888" s="1422"/>
      <c r="BB888" s="1422"/>
      <c r="BC888" s="1841"/>
      <c r="BD888" s="2238"/>
      <c r="BE888" s="1425"/>
      <c r="BF888" s="1422"/>
      <c r="BG888" s="1422"/>
      <c r="BH888" s="1422"/>
      <c r="BI888" s="1841"/>
      <c r="BJ888" s="63"/>
      <c r="BK888" s="1425"/>
      <c r="BL888" s="1422"/>
      <c r="BM888" s="1422"/>
      <c r="BN888" s="1422"/>
      <c r="BO888" s="1841"/>
      <c r="BP888" s="63"/>
      <c r="BQ888" s="1425"/>
      <c r="BR888" s="1422"/>
      <c r="BS888" s="1422"/>
      <c r="BT888" s="1422"/>
      <c r="BU888" s="1841"/>
      <c r="BV888" s="63"/>
      <c r="BW888" s="1425"/>
      <c r="BX888" s="1422"/>
      <c r="BY888" s="1422"/>
      <c r="BZ888" s="1422"/>
      <c r="CA888" s="1841"/>
      <c r="CB888" s="63"/>
      <c r="CC888" s="1425"/>
      <c r="CD888" s="1422"/>
      <c r="CE888" s="1422"/>
      <c r="CF888" s="1422"/>
      <c r="CG888" s="1841"/>
      <c r="CH888" s="63"/>
      <c r="CI888" s="1425"/>
      <c r="CJ888" s="1422"/>
      <c r="CK888" s="1422"/>
      <c r="CL888" s="1422"/>
      <c r="CM888" s="1841"/>
      <c r="CN888" s="63"/>
      <c r="CO888" s="1425"/>
      <c r="CP888" s="1422"/>
      <c r="CQ888" s="1422"/>
      <c r="CR888" s="1422"/>
      <c r="CS888" s="1841"/>
    </row>
    <row r="889" spans="1:97">
      <c r="A889" s="1930"/>
      <c r="B889" s="2238"/>
      <c r="C889" s="1425"/>
      <c r="D889" s="1422"/>
      <c r="E889" s="1422"/>
      <c r="F889" s="1422"/>
      <c r="G889" s="1841"/>
      <c r="H889" s="2238"/>
      <c r="I889" s="1425"/>
      <c r="J889" s="1422"/>
      <c r="K889" s="1422"/>
      <c r="L889" s="1422"/>
      <c r="M889" s="1841"/>
      <c r="N889" s="2238"/>
      <c r="O889" s="1425"/>
      <c r="P889" s="1422"/>
      <c r="Q889" s="1422"/>
      <c r="R889" s="1422"/>
      <c r="S889" s="1841"/>
      <c r="T889" s="2238"/>
      <c r="U889" s="1425"/>
      <c r="V889" s="1422"/>
      <c r="W889" s="1422"/>
      <c r="X889" s="1422"/>
      <c r="Y889" s="1841"/>
      <c r="Z889" s="2238"/>
      <c r="AA889" s="1425"/>
      <c r="AB889" s="1422"/>
      <c r="AC889" s="1422"/>
      <c r="AD889" s="1422"/>
      <c r="AE889" s="1841"/>
      <c r="AF889" s="2238"/>
      <c r="AG889" s="1425"/>
      <c r="AH889" s="1422"/>
      <c r="AI889" s="1422"/>
      <c r="AJ889" s="1422"/>
      <c r="AK889" s="1841"/>
      <c r="AL889" s="2238"/>
      <c r="AM889" s="1425"/>
      <c r="AN889" s="1422"/>
      <c r="AO889" s="1422"/>
      <c r="AP889" s="1422"/>
      <c r="AQ889" s="1841"/>
      <c r="AR889" s="2238"/>
      <c r="AS889" s="1425"/>
      <c r="AT889" s="1422"/>
      <c r="AU889" s="1422"/>
      <c r="AV889" s="1422"/>
      <c r="AW889" s="1841"/>
      <c r="AX889" s="2238"/>
      <c r="AY889" s="1425"/>
      <c r="AZ889" s="1422"/>
      <c r="BA889" s="1422"/>
      <c r="BB889" s="1422"/>
      <c r="BC889" s="1841"/>
      <c r="BD889" s="2238"/>
      <c r="BE889" s="1425"/>
      <c r="BF889" s="1422"/>
      <c r="BG889" s="1422"/>
      <c r="BH889" s="1422"/>
      <c r="BI889" s="1841"/>
      <c r="BJ889" s="63"/>
      <c r="BK889" s="1425"/>
      <c r="BL889" s="1422"/>
      <c r="BM889" s="1422"/>
      <c r="BN889" s="1422"/>
      <c r="BO889" s="1841"/>
      <c r="BP889" s="63"/>
      <c r="BQ889" s="1425"/>
      <c r="BR889" s="1422"/>
      <c r="BS889" s="1422"/>
      <c r="BT889" s="1422"/>
      <c r="BU889" s="1841"/>
      <c r="BV889" s="63"/>
      <c r="BW889" s="1425"/>
      <c r="BX889" s="1422"/>
      <c r="BY889" s="1422"/>
      <c r="BZ889" s="1422"/>
      <c r="CA889" s="1841"/>
      <c r="CB889" s="63"/>
      <c r="CC889" s="1425"/>
      <c r="CD889" s="1422"/>
      <c r="CE889" s="1422"/>
      <c r="CF889" s="1422"/>
      <c r="CG889" s="1841"/>
      <c r="CH889" s="63"/>
      <c r="CI889" s="1425"/>
      <c r="CJ889" s="1422"/>
      <c r="CK889" s="1422"/>
      <c r="CL889" s="1422"/>
      <c r="CM889" s="1841"/>
      <c r="CN889" s="63"/>
      <c r="CO889" s="1425"/>
      <c r="CP889" s="1422"/>
      <c r="CQ889" s="1422"/>
      <c r="CR889" s="1422"/>
      <c r="CS889" s="1841"/>
    </row>
    <row r="890" spans="1:97">
      <c r="A890" s="1930"/>
      <c r="B890" s="2238"/>
      <c r="C890" s="1425"/>
      <c r="D890" s="1422"/>
      <c r="E890" s="1422"/>
      <c r="F890" s="1422"/>
      <c r="G890" s="1841"/>
      <c r="H890" s="2238"/>
      <c r="I890" s="1425"/>
      <c r="J890" s="1422"/>
      <c r="K890" s="1422"/>
      <c r="L890" s="1422"/>
      <c r="M890" s="1841"/>
      <c r="N890" s="2238"/>
      <c r="O890" s="1425"/>
      <c r="P890" s="1422"/>
      <c r="Q890" s="1422"/>
      <c r="R890" s="1422"/>
      <c r="S890" s="1841"/>
      <c r="T890" s="2238"/>
      <c r="U890" s="1425"/>
      <c r="V890" s="1422"/>
      <c r="W890" s="1422"/>
      <c r="X890" s="1422"/>
      <c r="Y890" s="1841"/>
      <c r="Z890" s="2238"/>
      <c r="AA890" s="1425"/>
      <c r="AB890" s="1422"/>
      <c r="AC890" s="1422"/>
      <c r="AD890" s="1422"/>
      <c r="AE890" s="1841"/>
      <c r="AF890" s="2238"/>
      <c r="AG890" s="1425"/>
      <c r="AH890" s="1422"/>
      <c r="AI890" s="1422"/>
      <c r="AJ890" s="1422"/>
      <c r="AK890" s="1841"/>
      <c r="AL890" s="2238"/>
      <c r="AM890" s="1425"/>
      <c r="AN890" s="1422"/>
      <c r="AO890" s="1422"/>
      <c r="AP890" s="1422"/>
      <c r="AQ890" s="1841"/>
      <c r="AR890" s="2238"/>
      <c r="AS890" s="1425"/>
      <c r="AT890" s="1422"/>
      <c r="AU890" s="1422"/>
      <c r="AV890" s="1422"/>
      <c r="AW890" s="1841"/>
      <c r="AX890" s="2238"/>
      <c r="AY890" s="1425"/>
      <c r="AZ890" s="1422"/>
      <c r="BA890" s="1422"/>
      <c r="BB890" s="1422"/>
      <c r="BC890" s="1841"/>
      <c r="BD890" s="2238"/>
      <c r="BE890" s="1425"/>
      <c r="BF890" s="1422"/>
      <c r="BG890" s="1422"/>
      <c r="BH890" s="1422"/>
      <c r="BI890" s="1841"/>
      <c r="BJ890" s="63"/>
      <c r="BK890" s="1425"/>
      <c r="BL890" s="1422"/>
      <c r="BM890" s="1422"/>
      <c r="BN890" s="1422"/>
      <c r="BO890" s="1841"/>
      <c r="BP890" s="63"/>
      <c r="BQ890" s="1425"/>
      <c r="BR890" s="1422"/>
      <c r="BS890" s="1422"/>
      <c r="BT890" s="1422"/>
      <c r="BU890" s="1841"/>
      <c r="BV890" s="63"/>
      <c r="BW890" s="1425"/>
      <c r="BX890" s="1422"/>
      <c r="BY890" s="1422"/>
      <c r="BZ890" s="1422"/>
      <c r="CA890" s="1841"/>
      <c r="CB890" s="63"/>
      <c r="CC890" s="1425"/>
      <c r="CD890" s="1422"/>
      <c r="CE890" s="1422"/>
      <c r="CF890" s="1422"/>
      <c r="CG890" s="1841"/>
      <c r="CH890" s="63"/>
      <c r="CI890" s="1425"/>
      <c r="CJ890" s="1422"/>
      <c r="CK890" s="1422"/>
      <c r="CL890" s="1422"/>
      <c r="CM890" s="1841"/>
      <c r="CN890" s="63"/>
      <c r="CO890" s="1425"/>
      <c r="CP890" s="1422"/>
      <c r="CQ890" s="1422"/>
      <c r="CR890" s="1422"/>
      <c r="CS890" s="1841"/>
    </row>
    <row r="891" spans="1:97">
      <c r="A891" s="1930"/>
      <c r="B891" s="2238"/>
      <c r="C891" s="1425"/>
      <c r="D891" s="1422"/>
      <c r="E891" s="1422"/>
      <c r="F891" s="1422"/>
      <c r="G891" s="1841"/>
      <c r="H891" s="2238"/>
      <c r="I891" s="1425"/>
      <c r="J891" s="1422"/>
      <c r="K891" s="1422"/>
      <c r="L891" s="1422"/>
      <c r="M891" s="1841"/>
      <c r="N891" s="2238"/>
      <c r="O891" s="1425"/>
      <c r="P891" s="1422"/>
      <c r="Q891" s="1422"/>
      <c r="R891" s="1422"/>
      <c r="S891" s="1841"/>
      <c r="T891" s="2238"/>
      <c r="U891" s="1425"/>
      <c r="V891" s="1422"/>
      <c r="W891" s="1422"/>
      <c r="X891" s="1422"/>
      <c r="Y891" s="1841"/>
      <c r="Z891" s="2238"/>
      <c r="AA891" s="1425"/>
      <c r="AB891" s="1422"/>
      <c r="AC891" s="1422"/>
      <c r="AD891" s="1422"/>
      <c r="AE891" s="1841"/>
      <c r="AF891" s="2238"/>
      <c r="AG891" s="1425"/>
      <c r="AH891" s="1422"/>
      <c r="AI891" s="1422"/>
      <c r="AJ891" s="1422"/>
      <c r="AK891" s="1841"/>
      <c r="AL891" s="2238"/>
      <c r="AM891" s="1425"/>
      <c r="AN891" s="1422"/>
      <c r="AO891" s="1422"/>
      <c r="AP891" s="1422"/>
      <c r="AQ891" s="1841"/>
      <c r="AR891" s="2238"/>
      <c r="AS891" s="1425"/>
      <c r="AT891" s="1422"/>
      <c r="AU891" s="1422"/>
      <c r="AV891" s="1422"/>
      <c r="AW891" s="1841"/>
      <c r="AX891" s="2238"/>
      <c r="AY891" s="1425"/>
      <c r="AZ891" s="1422"/>
      <c r="BA891" s="1422"/>
      <c r="BB891" s="1422"/>
      <c r="BC891" s="1841"/>
      <c r="BD891" s="2238"/>
      <c r="BE891" s="1425"/>
      <c r="BF891" s="1422"/>
      <c r="BG891" s="1422"/>
      <c r="BH891" s="1422"/>
      <c r="BI891" s="1841"/>
      <c r="BJ891" s="63"/>
      <c r="BK891" s="1425"/>
      <c r="BL891" s="1422"/>
      <c r="BM891" s="1422"/>
      <c r="BN891" s="1422"/>
      <c r="BO891" s="1841"/>
      <c r="BP891" s="63"/>
      <c r="BQ891" s="1425"/>
      <c r="BR891" s="1422"/>
      <c r="BS891" s="1422"/>
      <c r="BT891" s="1422"/>
      <c r="BU891" s="1841"/>
      <c r="BV891" s="63"/>
      <c r="BW891" s="1425"/>
      <c r="BX891" s="1422"/>
      <c r="BY891" s="1422"/>
      <c r="BZ891" s="1422"/>
      <c r="CA891" s="1841"/>
      <c r="CB891" s="63"/>
      <c r="CC891" s="1425"/>
      <c r="CD891" s="1422"/>
      <c r="CE891" s="1422"/>
      <c r="CF891" s="1422"/>
      <c r="CG891" s="1841"/>
      <c r="CH891" s="63"/>
      <c r="CI891" s="1425"/>
      <c r="CJ891" s="1422"/>
      <c r="CK891" s="1422"/>
      <c r="CL891" s="1422"/>
      <c r="CM891" s="1841"/>
      <c r="CN891" s="63"/>
      <c r="CO891" s="1425"/>
      <c r="CP891" s="1422"/>
      <c r="CQ891" s="1422"/>
      <c r="CR891" s="1422"/>
      <c r="CS891" s="1841"/>
    </row>
    <row r="892" spans="1:97">
      <c r="A892" s="1930"/>
      <c r="B892" s="2238"/>
      <c r="C892" s="1425"/>
      <c r="D892" s="1422"/>
      <c r="E892" s="1422"/>
      <c r="F892" s="1422"/>
      <c r="G892" s="1841"/>
      <c r="H892" s="2238"/>
      <c r="I892" s="1425"/>
      <c r="J892" s="1422"/>
      <c r="K892" s="1422"/>
      <c r="L892" s="1422"/>
      <c r="M892" s="1841"/>
      <c r="N892" s="2238"/>
      <c r="O892" s="1425"/>
      <c r="P892" s="1422"/>
      <c r="Q892" s="1422"/>
      <c r="R892" s="1422"/>
      <c r="S892" s="1841"/>
      <c r="T892" s="2238"/>
      <c r="U892" s="1425"/>
      <c r="V892" s="1422"/>
      <c r="W892" s="1422"/>
      <c r="X892" s="1422"/>
      <c r="Y892" s="1841"/>
      <c r="Z892" s="2238"/>
      <c r="AA892" s="1425"/>
      <c r="AB892" s="1422"/>
      <c r="AC892" s="1422"/>
      <c r="AD892" s="1422"/>
      <c r="AE892" s="1841"/>
      <c r="AF892" s="2238"/>
      <c r="AG892" s="1425"/>
      <c r="AH892" s="1422"/>
      <c r="AI892" s="1422"/>
      <c r="AJ892" s="1422"/>
      <c r="AK892" s="1841"/>
      <c r="AL892" s="2238"/>
      <c r="AM892" s="1425"/>
      <c r="AN892" s="1422"/>
      <c r="AO892" s="1422"/>
      <c r="AP892" s="1422"/>
      <c r="AQ892" s="1841"/>
      <c r="AR892" s="2238"/>
      <c r="AS892" s="1425"/>
      <c r="AT892" s="1422"/>
      <c r="AU892" s="1422"/>
      <c r="AV892" s="1422"/>
      <c r="AW892" s="1841"/>
      <c r="AX892" s="2238"/>
      <c r="AY892" s="1425"/>
      <c r="AZ892" s="1422"/>
      <c r="BA892" s="1422"/>
      <c r="BB892" s="1422"/>
      <c r="BC892" s="1841"/>
      <c r="BD892" s="2238"/>
      <c r="BE892" s="1425"/>
      <c r="BF892" s="1422"/>
      <c r="BG892" s="1422"/>
      <c r="BH892" s="1422"/>
      <c r="BI892" s="1841"/>
      <c r="BJ892" s="63"/>
      <c r="BK892" s="1425"/>
      <c r="BL892" s="1422"/>
      <c r="BM892" s="1422"/>
      <c r="BN892" s="1422"/>
      <c r="BO892" s="1841"/>
      <c r="BP892" s="63"/>
      <c r="BQ892" s="1425"/>
      <c r="BR892" s="1422"/>
      <c r="BS892" s="1422"/>
      <c r="BT892" s="1422"/>
      <c r="BU892" s="1841"/>
      <c r="BV892" s="63"/>
      <c r="BW892" s="1425"/>
      <c r="BX892" s="1422"/>
      <c r="BY892" s="1422"/>
      <c r="BZ892" s="1422"/>
      <c r="CA892" s="1841"/>
      <c r="CB892" s="63"/>
      <c r="CC892" s="1425"/>
      <c r="CD892" s="1422"/>
      <c r="CE892" s="1422"/>
      <c r="CF892" s="1422"/>
      <c r="CG892" s="1841"/>
      <c r="CH892" s="63"/>
      <c r="CI892" s="1425"/>
      <c r="CJ892" s="1422"/>
      <c r="CK892" s="1422"/>
      <c r="CL892" s="1422"/>
      <c r="CM892" s="1841"/>
      <c r="CN892" s="63"/>
      <c r="CO892" s="1425"/>
      <c r="CP892" s="1422"/>
      <c r="CQ892" s="1422"/>
      <c r="CR892" s="1422"/>
      <c r="CS892" s="1841"/>
    </row>
    <row r="893" spans="1:97">
      <c r="A893" s="1930"/>
      <c r="B893" s="2238"/>
      <c r="C893" s="1425"/>
      <c r="D893" s="1422"/>
      <c r="E893" s="1422"/>
      <c r="F893" s="1422"/>
      <c r="G893" s="1841"/>
      <c r="H893" s="2238"/>
      <c r="I893" s="1425"/>
      <c r="J893" s="1422"/>
      <c r="K893" s="1422"/>
      <c r="L893" s="1422"/>
      <c r="M893" s="1841"/>
      <c r="N893" s="2238"/>
      <c r="O893" s="1425"/>
      <c r="P893" s="1422"/>
      <c r="Q893" s="1422"/>
      <c r="R893" s="1422"/>
      <c r="S893" s="1841"/>
      <c r="T893" s="2238"/>
      <c r="U893" s="1425"/>
      <c r="V893" s="1422"/>
      <c r="W893" s="1422"/>
      <c r="X893" s="1422"/>
      <c r="Y893" s="1841"/>
      <c r="Z893" s="2238"/>
      <c r="AA893" s="1425"/>
      <c r="AB893" s="1422"/>
      <c r="AC893" s="1422"/>
      <c r="AD893" s="1422"/>
      <c r="AE893" s="1841"/>
      <c r="AF893" s="2238"/>
      <c r="AG893" s="1425"/>
      <c r="AH893" s="1422"/>
      <c r="AI893" s="1422"/>
      <c r="AJ893" s="1422"/>
      <c r="AK893" s="1841"/>
      <c r="AL893" s="2238"/>
      <c r="AM893" s="1425"/>
      <c r="AN893" s="1422"/>
      <c r="AO893" s="1422"/>
      <c r="AP893" s="1422"/>
      <c r="AQ893" s="1841"/>
      <c r="AR893" s="2238"/>
      <c r="AS893" s="1425"/>
      <c r="AT893" s="1422"/>
      <c r="AU893" s="1422"/>
      <c r="AV893" s="1422"/>
      <c r="AW893" s="1841"/>
      <c r="AX893" s="2238"/>
      <c r="AY893" s="1425"/>
      <c r="AZ893" s="1422"/>
      <c r="BA893" s="1422"/>
      <c r="BB893" s="1422"/>
      <c r="BC893" s="1841"/>
      <c r="BD893" s="2238"/>
      <c r="BE893" s="1425"/>
      <c r="BF893" s="1422"/>
      <c r="BG893" s="1422"/>
      <c r="BH893" s="1422"/>
      <c r="BI893" s="1841"/>
      <c r="BJ893" s="1"/>
      <c r="BK893" s="1425"/>
      <c r="BL893" s="1422"/>
      <c r="BM893" s="1422"/>
      <c r="BN893" s="1422"/>
      <c r="BO893" s="1841"/>
      <c r="BP893" s="1"/>
      <c r="BQ893" s="1425"/>
      <c r="BR893" s="1422"/>
      <c r="BS893" s="1422"/>
      <c r="BT893" s="1422"/>
      <c r="BU893" s="1841"/>
      <c r="BV893" s="1"/>
      <c r="BW893" s="1425"/>
      <c r="BX893" s="1422"/>
      <c r="BY893" s="1422"/>
      <c r="BZ893" s="1422"/>
      <c r="CA893" s="1841"/>
      <c r="CB893" s="1"/>
      <c r="CC893" s="1425"/>
      <c r="CD893" s="1422"/>
      <c r="CE893" s="1422"/>
      <c r="CF893" s="1422"/>
      <c r="CG893" s="1841"/>
      <c r="CH893" s="1"/>
      <c r="CI893" s="1425"/>
      <c r="CJ893" s="1422"/>
      <c r="CK893" s="1422"/>
      <c r="CL893" s="1422"/>
      <c r="CM893" s="1841"/>
      <c r="CN893" s="1"/>
      <c r="CO893" s="1425"/>
      <c r="CP893" s="1422"/>
      <c r="CQ893" s="1422"/>
      <c r="CR893" s="1422"/>
      <c r="CS893" s="1841"/>
    </row>
    <row r="894" spans="1:97">
      <c r="A894" s="1930"/>
      <c r="B894" s="2238"/>
      <c r="C894" s="1425"/>
      <c r="D894" s="1422"/>
      <c r="E894" s="1422"/>
      <c r="F894" s="1422"/>
      <c r="G894" s="1841"/>
      <c r="H894" s="2238"/>
      <c r="I894" s="1425"/>
      <c r="J894" s="1422"/>
      <c r="K894" s="1422"/>
      <c r="L894" s="1422"/>
      <c r="M894" s="1841"/>
      <c r="N894" s="2238"/>
      <c r="O894" s="1425"/>
      <c r="P894" s="1422"/>
      <c r="Q894" s="1422"/>
      <c r="R894" s="1422"/>
      <c r="S894" s="1841"/>
      <c r="T894" s="2238"/>
      <c r="U894" s="1425"/>
      <c r="V894" s="1422"/>
      <c r="W894" s="1422"/>
      <c r="X894" s="1422"/>
      <c r="Y894" s="1841"/>
      <c r="Z894" s="2238"/>
      <c r="AA894" s="1425"/>
      <c r="AB894" s="1422"/>
      <c r="AC894" s="1422"/>
      <c r="AD894" s="1422"/>
      <c r="AE894" s="1841"/>
      <c r="AF894" s="2238"/>
      <c r="AG894" s="1425"/>
      <c r="AH894" s="1422"/>
      <c r="AI894" s="1422"/>
      <c r="AJ894" s="1422"/>
      <c r="AK894" s="1841"/>
      <c r="AL894" s="2238"/>
      <c r="AM894" s="1425"/>
      <c r="AN894" s="1422"/>
      <c r="AO894" s="1422"/>
      <c r="AP894" s="1422"/>
      <c r="AQ894" s="1841"/>
      <c r="AR894" s="2238"/>
      <c r="AS894" s="1425"/>
      <c r="AT894" s="1422"/>
      <c r="AU894" s="1422"/>
      <c r="AV894" s="1422"/>
      <c r="AW894" s="1841"/>
      <c r="AX894" s="2238"/>
      <c r="AY894" s="1425"/>
      <c r="AZ894" s="1422"/>
      <c r="BA894" s="1422"/>
      <c r="BB894" s="1422"/>
      <c r="BC894" s="1841"/>
      <c r="BD894" s="2238"/>
      <c r="BE894" s="1425"/>
      <c r="BF894" s="1422"/>
      <c r="BG894" s="1422"/>
      <c r="BH894" s="1422"/>
      <c r="BI894" s="1841"/>
      <c r="BJ894" s="1"/>
      <c r="BK894" s="1425"/>
      <c r="BL894" s="1422"/>
      <c r="BM894" s="1422"/>
      <c r="BN894" s="1422"/>
      <c r="BO894" s="1841"/>
      <c r="BP894" s="1"/>
      <c r="BQ894" s="1425"/>
      <c r="BR894" s="1422"/>
      <c r="BS894" s="1422"/>
      <c r="BT894" s="1422"/>
      <c r="BU894" s="1841"/>
      <c r="BV894" s="1"/>
      <c r="BW894" s="1425"/>
      <c r="BX894" s="1422"/>
      <c r="BY894" s="1422"/>
      <c r="BZ894" s="1422"/>
      <c r="CA894" s="1841"/>
      <c r="CB894" s="1"/>
      <c r="CC894" s="1425"/>
      <c r="CD894" s="1422"/>
      <c r="CE894" s="1422"/>
      <c r="CF894" s="1422"/>
      <c r="CG894" s="1841"/>
      <c r="CH894" s="1"/>
      <c r="CI894" s="1425"/>
      <c r="CJ894" s="1422"/>
      <c r="CK894" s="1422"/>
      <c r="CL894" s="1422"/>
      <c r="CM894" s="1841"/>
      <c r="CN894" s="1"/>
      <c r="CO894" s="1425"/>
      <c r="CP894" s="1422"/>
      <c r="CQ894" s="1422"/>
      <c r="CR894" s="1422"/>
      <c r="CS894" s="1841"/>
    </row>
    <row r="895" spans="1:97">
      <c r="A895" s="1930"/>
      <c r="B895" s="2238"/>
      <c r="C895" s="1425"/>
      <c r="D895" s="1422"/>
      <c r="E895" s="1422"/>
      <c r="F895" s="1422"/>
      <c r="G895" s="1841"/>
      <c r="H895" s="2238"/>
      <c r="I895" s="1425"/>
      <c r="J895" s="1422"/>
      <c r="K895" s="1422"/>
      <c r="L895" s="1422"/>
      <c r="M895" s="1841"/>
      <c r="N895" s="2238"/>
      <c r="O895" s="1425"/>
      <c r="P895" s="1422"/>
      <c r="Q895" s="1422"/>
      <c r="R895" s="1422"/>
      <c r="S895" s="1841"/>
      <c r="T895" s="2238"/>
      <c r="U895" s="1425"/>
      <c r="V895" s="1422"/>
      <c r="W895" s="1422"/>
      <c r="X895" s="1422"/>
      <c r="Y895" s="1841"/>
      <c r="Z895" s="2238"/>
      <c r="AA895" s="1425"/>
      <c r="AB895" s="1422"/>
      <c r="AC895" s="1422"/>
      <c r="AD895" s="1422"/>
      <c r="AE895" s="1841"/>
      <c r="AF895" s="2238"/>
      <c r="AG895" s="1425"/>
      <c r="AH895" s="1422"/>
      <c r="AI895" s="1422"/>
      <c r="AJ895" s="1422"/>
      <c r="AK895" s="1841"/>
      <c r="AL895" s="2238"/>
      <c r="AM895" s="1425"/>
      <c r="AN895" s="1422"/>
      <c r="AO895" s="1422"/>
      <c r="AP895" s="1422"/>
      <c r="AQ895" s="1841"/>
      <c r="AR895" s="2238"/>
      <c r="AS895" s="1425"/>
      <c r="AT895" s="1422"/>
      <c r="AU895" s="1422"/>
      <c r="AV895" s="1422"/>
      <c r="AW895" s="1841"/>
      <c r="AX895" s="2238"/>
      <c r="AY895" s="1425"/>
      <c r="AZ895" s="1422"/>
      <c r="BA895" s="1422"/>
      <c r="BB895" s="1422"/>
      <c r="BC895" s="1841"/>
      <c r="BD895" s="2238"/>
      <c r="BE895" s="1425"/>
      <c r="BF895" s="1422"/>
      <c r="BG895" s="1422"/>
      <c r="BH895" s="1422"/>
      <c r="BI895" s="1841"/>
      <c r="BJ895" s="1"/>
      <c r="BK895" s="1425"/>
      <c r="BL895" s="1422"/>
      <c r="BM895" s="1422"/>
      <c r="BN895" s="1422"/>
      <c r="BO895" s="1841"/>
      <c r="BP895" s="1"/>
      <c r="BQ895" s="1425"/>
      <c r="BR895" s="1422"/>
      <c r="BS895" s="1422"/>
      <c r="BT895" s="1422"/>
      <c r="BU895" s="1841"/>
      <c r="BV895" s="1"/>
      <c r="BW895" s="1425"/>
      <c r="BX895" s="1422"/>
      <c r="BY895" s="1422"/>
      <c r="BZ895" s="1422"/>
      <c r="CA895" s="1841"/>
      <c r="CB895" s="1"/>
      <c r="CC895" s="1425"/>
      <c r="CD895" s="1422"/>
      <c r="CE895" s="1422"/>
      <c r="CF895" s="1422"/>
      <c r="CG895" s="1841"/>
      <c r="CH895" s="1"/>
      <c r="CI895" s="1425"/>
      <c r="CJ895" s="1422"/>
      <c r="CK895" s="1422"/>
      <c r="CL895" s="1422"/>
      <c r="CM895" s="1841"/>
      <c r="CN895" s="1"/>
      <c r="CO895" s="1425"/>
      <c r="CP895" s="1422"/>
      <c r="CQ895" s="1422"/>
      <c r="CR895" s="1422"/>
      <c r="CS895" s="1841"/>
    </row>
    <row r="896" spans="1:97">
      <c r="A896" s="125"/>
      <c r="B896" s="2248"/>
      <c r="C896" s="2246"/>
      <c r="D896" s="2249"/>
      <c r="E896" s="2249"/>
      <c r="F896" s="2249"/>
      <c r="G896" s="2247"/>
      <c r="H896" s="2248"/>
      <c r="I896" s="2246"/>
      <c r="J896" s="2249"/>
      <c r="K896" s="2249"/>
      <c r="L896" s="2249"/>
      <c r="M896" s="2247"/>
      <c r="N896" s="2248"/>
      <c r="O896" s="2246"/>
      <c r="P896" s="2249"/>
      <c r="Q896" s="2249"/>
      <c r="R896" s="2249"/>
      <c r="S896" s="2247"/>
      <c r="T896" s="2248"/>
      <c r="U896" s="2246"/>
      <c r="V896" s="2249"/>
      <c r="W896" s="2249"/>
      <c r="X896" s="2249"/>
      <c r="Y896" s="2247"/>
      <c r="Z896" s="2248"/>
      <c r="AA896" s="2246"/>
      <c r="AB896" s="2249"/>
      <c r="AC896" s="2249"/>
      <c r="AD896" s="2249"/>
      <c r="AE896" s="2247"/>
      <c r="AF896" s="2248"/>
      <c r="AG896" s="2246"/>
      <c r="AH896" s="2249"/>
      <c r="AI896" s="2249"/>
      <c r="AJ896" s="2249"/>
      <c r="AK896" s="2247"/>
      <c r="AL896" s="2248"/>
      <c r="AM896" s="2246"/>
      <c r="AN896" s="2249"/>
      <c r="AO896" s="2249"/>
      <c r="AP896" s="2249"/>
      <c r="AQ896" s="2247"/>
      <c r="AR896" s="2248"/>
      <c r="AS896" s="2246"/>
      <c r="AT896" s="2249"/>
      <c r="AU896" s="2249"/>
      <c r="AV896" s="2249"/>
      <c r="AW896" s="2247"/>
      <c r="AX896" s="2248"/>
      <c r="AY896" s="2246"/>
      <c r="AZ896" s="2249"/>
      <c r="BA896" s="2249"/>
      <c r="BB896" s="2249"/>
      <c r="BC896" s="2247"/>
      <c r="BD896" s="2248"/>
      <c r="BE896" s="2246"/>
      <c r="BF896" s="2249"/>
      <c r="BG896" s="2249"/>
      <c r="BH896" s="2249"/>
      <c r="BI896" s="2247"/>
      <c r="BJ896" s="1588"/>
      <c r="BK896" s="2246"/>
      <c r="BL896" s="2249"/>
      <c r="BM896" s="2249"/>
      <c r="BN896" s="2249"/>
      <c r="BO896" s="2247"/>
      <c r="BP896" s="1588"/>
      <c r="BQ896" s="2246"/>
      <c r="BR896" s="2249"/>
      <c r="BS896" s="2249"/>
      <c r="BT896" s="2249"/>
      <c r="BU896" s="2247"/>
      <c r="BV896" s="1588"/>
      <c r="BW896" s="2246"/>
      <c r="BX896" s="2249"/>
      <c r="BY896" s="2249"/>
      <c r="BZ896" s="2249"/>
      <c r="CA896" s="2247"/>
      <c r="CB896" s="1588"/>
      <c r="CC896" s="2246"/>
      <c r="CD896" s="2249"/>
      <c r="CE896" s="2249"/>
      <c r="CF896" s="2249"/>
      <c r="CG896" s="2247"/>
      <c r="CH896" s="1588"/>
      <c r="CI896" s="2246"/>
      <c r="CJ896" s="2249"/>
      <c r="CK896" s="2249"/>
      <c r="CL896" s="2249"/>
      <c r="CM896" s="2247"/>
      <c r="CN896" s="1588"/>
      <c r="CO896" s="2246"/>
      <c r="CP896" s="2249"/>
      <c r="CQ896" s="2249"/>
      <c r="CR896" s="2249"/>
      <c r="CS896" s="2247"/>
    </row>
    <row r="897" spans="1:97">
      <c r="A897" s="1930"/>
      <c r="B897" s="2248"/>
      <c r="C897" s="2246"/>
      <c r="D897" s="2249"/>
      <c r="E897" s="2249"/>
      <c r="F897" s="2249"/>
      <c r="G897" s="2247"/>
      <c r="H897" s="2248"/>
      <c r="I897" s="1425"/>
      <c r="J897" s="1422"/>
      <c r="K897" s="1422"/>
      <c r="L897" s="1422"/>
      <c r="M897" s="1841"/>
      <c r="N897" s="2248"/>
      <c r="O897" s="1425"/>
      <c r="P897" s="1422"/>
      <c r="Q897" s="1422"/>
      <c r="R897" s="1422"/>
      <c r="S897" s="1841"/>
      <c r="T897" s="2248"/>
      <c r="U897" s="1425"/>
      <c r="V897" s="1422"/>
      <c r="W897" s="1422"/>
      <c r="X897" s="1422"/>
      <c r="Y897" s="1841"/>
      <c r="Z897" s="2248"/>
      <c r="AA897" s="1425"/>
      <c r="AB897" s="1422"/>
      <c r="AC897" s="1422"/>
      <c r="AD897" s="1422"/>
      <c r="AE897" s="1841"/>
      <c r="AF897" s="2248"/>
      <c r="AG897" s="1425"/>
      <c r="AH897" s="1422"/>
      <c r="AI897" s="1422"/>
      <c r="AJ897" s="1422"/>
      <c r="AK897" s="1841"/>
      <c r="AL897" s="2248"/>
      <c r="AM897" s="1425"/>
      <c r="AN897" s="1422"/>
      <c r="AO897" s="1422"/>
      <c r="AP897" s="1422"/>
      <c r="AQ897" s="1841"/>
      <c r="AR897" s="2248"/>
      <c r="AS897" s="1425"/>
      <c r="AT897" s="1422"/>
      <c r="AU897" s="1422"/>
      <c r="AV897" s="1422"/>
      <c r="AW897" s="1841"/>
      <c r="AX897" s="2248"/>
      <c r="AY897" s="1425"/>
      <c r="AZ897" s="1422"/>
      <c r="BA897" s="1422"/>
      <c r="BB897" s="1422"/>
      <c r="BC897" s="1841"/>
      <c r="BD897" s="2248"/>
      <c r="BE897" s="1425"/>
      <c r="BF897" s="1422"/>
      <c r="BG897" s="1422"/>
      <c r="BH897" s="1422"/>
      <c r="BI897" s="1841"/>
      <c r="BJ897" s="2248"/>
      <c r="BK897" s="1425"/>
      <c r="BL897" s="1422"/>
      <c r="BM897" s="1422"/>
      <c r="BN897" s="1422"/>
      <c r="BO897" s="1841"/>
      <c r="BP897" s="2248"/>
      <c r="BQ897" s="1425"/>
      <c r="BR897" s="1422"/>
      <c r="BS897" s="1422"/>
      <c r="BT897" s="1422"/>
      <c r="BU897" s="1841"/>
      <c r="BV897" s="2248"/>
      <c r="BW897" s="1425"/>
      <c r="BX897" s="1422"/>
      <c r="BY897" s="1422"/>
      <c r="BZ897" s="1422"/>
      <c r="CA897" s="1841"/>
      <c r="CB897" s="2248"/>
      <c r="CC897" s="1425"/>
      <c r="CD897" s="1422"/>
      <c r="CE897" s="1422"/>
      <c r="CF897" s="1422"/>
      <c r="CG897" s="1841"/>
      <c r="CH897" s="2248"/>
      <c r="CI897" s="1425"/>
      <c r="CJ897" s="1422"/>
      <c r="CK897" s="1422"/>
      <c r="CL897" s="1422"/>
      <c r="CM897" s="1841"/>
      <c r="CN897" s="2248"/>
      <c r="CO897" s="1425"/>
      <c r="CP897" s="1422"/>
      <c r="CQ897" s="1422"/>
      <c r="CR897" s="1422"/>
      <c r="CS897" s="1841"/>
    </row>
    <row r="898" spans="1:97">
      <c r="A898" s="1930"/>
      <c r="B898" s="2248"/>
      <c r="C898" s="2246"/>
      <c r="D898" s="2249"/>
      <c r="E898" s="2249"/>
      <c r="F898" s="2249"/>
      <c r="G898" s="2247"/>
      <c r="H898" s="2248"/>
      <c r="I898" s="1425"/>
      <c r="J898" s="1422"/>
      <c r="K898" s="1422"/>
      <c r="L898" s="1422"/>
      <c r="M898" s="1841"/>
      <c r="N898" s="2248"/>
      <c r="O898" s="1425"/>
      <c r="P898" s="1422"/>
      <c r="Q898" s="1422"/>
      <c r="R898" s="1422"/>
      <c r="S898" s="1841"/>
      <c r="T898" s="2248"/>
      <c r="U898" s="1425"/>
      <c r="V898" s="1422"/>
      <c r="W898" s="1422"/>
      <c r="X898" s="1422"/>
      <c r="Y898" s="1841"/>
      <c r="Z898" s="2248"/>
      <c r="AA898" s="1425"/>
      <c r="AB898" s="1422"/>
      <c r="AC898" s="1422"/>
      <c r="AD898" s="1422"/>
      <c r="AE898" s="1841"/>
      <c r="AF898" s="2248"/>
      <c r="AG898" s="1425"/>
      <c r="AH898" s="1422"/>
      <c r="AI898" s="1422"/>
      <c r="AJ898" s="1422"/>
      <c r="AK898" s="1841"/>
      <c r="AL898" s="2248"/>
      <c r="AM898" s="1425"/>
      <c r="AN898" s="1422"/>
      <c r="AO898" s="1422"/>
      <c r="AP898" s="1422"/>
      <c r="AQ898" s="1841"/>
      <c r="AR898" s="2248"/>
      <c r="AS898" s="1425"/>
      <c r="AT898" s="1422"/>
      <c r="AU898" s="1422"/>
      <c r="AV898" s="1422"/>
      <c r="AW898" s="1841"/>
      <c r="AX898" s="2248"/>
      <c r="AY898" s="1425"/>
      <c r="AZ898" s="1422"/>
      <c r="BA898" s="1422"/>
      <c r="BB898" s="1422"/>
      <c r="BC898" s="1841"/>
      <c r="BD898" s="2248"/>
      <c r="BE898" s="1425"/>
      <c r="BF898" s="1422"/>
      <c r="BG898" s="1422"/>
      <c r="BH898" s="1422"/>
      <c r="BI898" s="1841"/>
      <c r="BJ898" s="2248"/>
      <c r="BK898" s="1425"/>
      <c r="BL898" s="1422"/>
      <c r="BM898" s="1422"/>
      <c r="BN898" s="1422"/>
      <c r="BO898" s="1841"/>
      <c r="BP898" s="2248"/>
      <c r="BQ898" s="1425"/>
      <c r="BR898" s="1422"/>
      <c r="BS898" s="1422"/>
      <c r="BT898" s="1422"/>
      <c r="BU898" s="1841"/>
      <c r="BV898" s="2248"/>
      <c r="BW898" s="1425"/>
      <c r="BX898" s="1422"/>
      <c r="BY898" s="1422"/>
      <c r="BZ898" s="1422"/>
      <c r="CA898" s="1841"/>
      <c r="CB898" s="2248"/>
      <c r="CC898" s="1425"/>
      <c r="CD898" s="1422"/>
      <c r="CE898" s="1422"/>
      <c r="CF898" s="1422"/>
      <c r="CG898" s="1841"/>
      <c r="CH898" s="2248"/>
      <c r="CI898" s="1425"/>
      <c r="CJ898" s="1422"/>
      <c r="CK898" s="1422"/>
      <c r="CL898" s="1422"/>
      <c r="CM898" s="1841"/>
      <c r="CN898" s="2248"/>
      <c r="CO898" s="1425"/>
      <c r="CP898" s="1422"/>
      <c r="CQ898" s="1422"/>
      <c r="CR898" s="1422"/>
      <c r="CS898" s="1841"/>
    </row>
    <row r="899" spans="1:97">
      <c r="A899" s="1028"/>
      <c r="B899" s="197"/>
      <c r="C899" s="1392"/>
      <c r="D899" s="154"/>
      <c r="E899" s="154"/>
      <c r="F899" s="154"/>
      <c r="G899" s="1393"/>
      <c r="H899" s="197"/>
      <c r="I899" s="1392"/>
      <c r="J899" s="154"/>
      <c r="K899" s="154"/>
      <c r="L899" s="154"/>
      <c r="M899" s="1393"/>
      <c r="N899" s="197"/>
      <c r="O899" s="1392"/>
      <c r="P899" s="154"/>
      <c r="Q899" s="154"/>
      <c r="R899" s="154"/>
      <c r="S899" s="1393"/>
      <c r="T899" s="197"/>
      <c r="U899" s="1392"/>
      <c r="V899" s="154"/>
      <c r="W899" s="154"/>
      <c r="X899" s="154"/>
      <c r="Y899" s="1393"/>
      <c r="Z899" s="197"/>
      <c r="AA899" s="1392"/>
      <c r="AB899" s="154"/>
      <c r="AC899" s="154"/>
      <c r="AD899" s="154"/>
      <c r="AE899" s="1393"/>
      <c r="AF899" s="197"/>
      <c r="AG899" s="1392"/>
      <c r="AH899" s="154"/>
      <c r="AI899" s="154"/>
      <c r="AJ899" s="154"/>
      <c r="AK899" s="1393"/>
      <c r="AL899" s="197"/>
      <c r="AM899" s="1392"/>
      <c r="AN899" s="154"/>
      <c r="AO899" s="154"/>
      <c r="AP899" s="154"/>
      <c r="AQ899" s="1393"/>
      <c r="AR899" s="197"/>
      <c r="AS899" s="1392"/>
      <c r="AT899" s="154"/>
      <c r="AU899" s="154"/>
      <c r="AV899" s="154"/>
      <c r="AW899" s="1393"/>
      <c r="AX899" s="197"/>
      <c r="AY899" s="1392"/>
      <c r="AZ899" s="154"/>
      <c r="BA899" s="154"/>
      <c r="BB899" s="154"/>
      <c r="BC899" s="1393"/>
      <c r="BD899" s="197"/>
      <c r="BE899" s="1392"/>
      <c r="BF899" s="154"/>
      <c r="BG899" s="154"/>
      <c r="BH899" s="154"/>
      <c r="BI899" s="1393"/>
      <c r="BJ899" s="197"/>
      <c r="BK899" s="1392"/>
      <c r="BL899" s="154"/>
      <c r="BM899" s="154"/>
      <c r="BN899" s="154"/>
      <c r="BO899" s="1393"/>
      <c r="BP899" s="197"/>
      <c r="BQ899" s="1392"/>
      <c r="BR899" s="154"/>
      <c r="BS899" s="154"/>
      <c r="BT899" s="154"/>
      <c r="BU899" s="1393"/>
      <c r="BV899" s="197"/>
      <c r="BW899" s="1392"/>
      <c r="BX899" s="154"/>
      <c r="BY899" s="154"/>
      <c r="BZ899" s="154"/>
      <c r="CA899" s="1393"/>
      <c r="CB899" s="197"/>
      <c r="CC899" s="1392"/>
      <c r="CD899" s="154"/>
      <c r="CE899" s="154"/>
      <c r="CF899" s="154"/>
      <c r="CG899" s="1393"/>
      <c r="CH899" s="197"/>
      <c r="CI899" s="1392"/>
      <c r="CJ899" s="154"/>
      <c r="CK899" s="154"/>
      <c r="CL899" s="154"/>
      <c r="CM899" s="1393"/>
      <c r="CN899" s="197"/>
      <c r="CO899" s="1392"/>
      <c r="CP899" s="154"/>
      <c r="CQ899" s="154"/>
      <c r="CR899" s="154"/>
      <c r="CS899" s="1393"/>
    </row>
    <row r="900" spans="1:97">
      <c r="A900" s="1930"/>
      <c r="B900" s="2238"/>
      <c r="C900" s="1425"/>
      <c r="D900" s="1422"/>
      <c r="E900" s="1422"/>
      <c r="F900" s="1422"/>
      <c r="G900" s="1841"/>
      <c r="H900" s="2238"/>
      <c r="I900" s="1425"/>
      <c r="J900" s="1422"/>
      <c r="K900" s="1422"/>
      <c r="L900" s="1422"/>
      <c r="M900" s="1841"/>
      <c r="N900" s="2238"/>
      <c r="O900" s="1425"/>
      <c r="P900" s="1422"/>
      <c r="Q900" s="1422"/>
      <c r="R900" s="1422"/>
      <c r="S900" s="1841"/>
      <c r="T900" s="2238"/>
      <c r="U900" s="1425"/>
      <c r="V900" s="1422"/>
      <c r="W900" s="1422"/>
      <c r="X900" s="1422"/>
      <c r="Y900" s="1841"/>
      <c r="Z900" s="2238"/>
      <c r="AA900" s="1425"/>
      <c r="AB900" s="1422"/>
      <c r="AC900" s="1422"/>
      <c r="AD900" s="1422"/>
      <c r="AE900" s="1841"/>
      <c r="AF900" s="2238"/>
      <c r="AG900" s="1425"/>
      <c r="AH900" s="1422"/>
      <c r="AI900" s="1422"/>
      <c r="AJ900" s="1422"/>
      <c r="AK900" s="1841"/>
      <c r="AL900" s="2238"/>
      <c r="AM900" s="1425"/>
      <c r="AN900" s="1422"/>
      <c r="AO900" s="1422"/>
      <c r="AP900" s="1422"/>
      <c r="AQ900" s="1841"/>
      <c r="AR900" s="2238"/>
      <c r="AS900" s="1425"/>
      <c r="AT900" s="1422"/>
      <c r="AU900" s="1422"/>
      <c r="AV900" s="1422"/>
      <c r="AW900" s="1841"/>
      <c r="AX900" s="2238"/>
      <c r="AY900" s="1425"/>
      <c r="AZ900" s="1422"/>
      <c r="BA900" s="1422"/>
      <c r="BB900" s="1422"/>
      <c r="BC900" s="1841"/>
      <c r="BD900" s="2238"/>
      <c r="BE900" s="1425"/>
      <c r="BF900" s="1422"/>
      <c r="BG900" s="1422"/>
      <c r="BH900" s="1422"/>
      <c r="BI900" s="1961"/>
      <c r="BJ900" s="1"/>
      <c r="BK900" s="1425"/>
      <c r="BL900" s="1422"/>
      <c r="BM900" s="1422"/>
      <c r="BN900" s="1422"/>
      <c r="BO900" s="1841"/>
      <c r="BP900" s="1"/>
      <c r="BQ900" s="1425"/>
      <c r="BR900" s="1422"/>
      <c r="BS900" s="1422"/>
      <c r="BT900" s="1422"/>
      <c r="BU900" s="1841"/>
      <c r="BV900" s="1"/>
      <c r="BW900" s="1425"/>
      <c r="BX900" s="1422"/>
      <c r="BY900" s="1422"/>
      <c r="BZ900" s="1422"/>
      <c r="CA900" s="1841"/>
      <c r="CB900" s="1"/>
      <c r="CC900" s="1425"/>
      <c r="CD900" s="1422"/>
      <c r="CE900" s="1422"/>
      <c r="CF900" s="1422"/>
      <c r="CG900" s="1841"/>
      <c r="CH900" s="1"/>
      <c r="CI900" s="1425"/>
      <c r="CJ900" s="1422"/>
      <c r="CK900" s="1422"/>
      <c r="CL900" s="1422"/>
      <c r="CM900" s="1841"/>
      <c r="CN900" s="1"/>
      <c r="CO900" s="1425"/>
      <c r="CP900" s="1422"/>
      <c r="CQ900" s="1422"/>
      <c r="CR900" s="1422"/>
      <c r="CS900" s="1841"/>
    </row>
    <row r="901" spans="1:97">
      <c r="A901" s="2271"/>
      <c r="B901" s="2238"/>
      <c r="C901" s="1425"/>
      <c r="D901" s="1422"/>
      <c r="E901" s="1422"/>
      <c r="F901" s="1422"/>
      <c r="G901" s="1841"/>
      <c r="H901" s="2238"/>
      <c r="I901" s="1425"/>
      <c r="J901" s="1422"/>
      <c r="K901" s="1422"/>
      <c r="L901" s="1422"/>
      <c r="M901" s="1841"/>
      <c r="N901" s="2238"/>
      <c r="O901" s="1425"/>
      <c r="P901" s="1422"/>
      <c r="Q901" s="1422"/>
      <c r="R901" s="1422"/>
      <c r="S901" s="1841"/>
      <c r="T901" s="2238"/>
      <c r="U901" s="1425"/>
      <c r="V901" s="1422"/>
      <c r="W901" s="1422"/>
      <c r="X901" s="1422"/>
      <c r="Y901" s="1841"/>
      <c r="Z901" s="2238"/>
      <c r="AA901" s="1425"/>
      <c r="AB901" s="1422"/>
      <c r="AC901" s="1422"/>
      <c r="AD901" s="1422"/>
      <c r="AE901" s="1841"/>
      <c r="AF901" s="2238"/>
      <c r="AG901" s="1425"/>
      <c r="AH901" s="1422"/>
      <c r="AI901" s="1422"/>
      <c r="AJ901" s="1422"/>
      <c r="AK901" s="1841"/>
      <c r="AL901" s="2238"/>
      <c r="AM901" s="1425"/>
      <c r="AN901" s="1422"/>
      <c r="AO901" s="1422"/>
      <c r="AP901" s="1422"/>
      <c r="AQ901" s="1841"/>
      <c r="AR901" s="2238"/>
      <c r="AS901" s="1425"/>
      <c r="AT901" s="1422"/>
      <c r="AU901" s="1422"/>
      <c r="AV901" s="1422"/>
      <c r="AW901" s="1841"/>
      <c r="AX901" s="2238"/>
      <c r="AY901" s="1425"/>
      <c r="AZ901" s="1422"/>
      <c r="BA901" s="1422"/>
      <c r="BB901" s="1422"/>
      <c r="BC901" s="1841"/>
      <c r="BD901" s="2238"/>
      <c r="BE901" s="1425"/>
      <c r="BF901" s="1422"/>
      <c r="BG901" s="1422"/>
      <c r="BH901" s="1422"/>
      <c r="BI901" s="1841"/>
      <c r="BJ901" s="1"/>
      <c r="BK901" s="1425"/>
      <c r="BL901" s="1422"/>
      <c r="BM901" s="1422"/>
      <c r="BN901" s="1422"/>
      <c r="BO901" s="1841"/>
      <c r="BP901" s="1"/>
      <c r="BQ901" s="1425"/>
      <c r="BR901" s="1422"/>
      <c r="BS901" s="1422"/>
      <c r="BT901" s="1422"/>
      <c r="BU901" s="1841"/>
      <c r="BV901" s="1"/>
      <c r="BW901" s="1425"/>
      <c r="BX901" s="1422"/>
      <c r="BY901" s="1422"/>
      <c r="BZ901" s="1422"/>
      <c r="CA901" s="1841"/>
      <c r="CB901" s="1"/>
      <c r="CC901" s="1425"/>
      <c r="CD901" s="1422"/>
      <c r="CE901" s="1422"/>
      <c r="CF901" s="1422"/>
      <c r="CG901" s="1841"/>
      <c r="CH901" s="1"/>
      <c r="CI901" s="1425"/>
      <c r="CJ901" s="1422"/>
      <c r="CK901" s="1422"/>
      <c r="CL901" s="1422"/>
      <c r="CM901" s="1841"/>
      <c r="CN901" s="1"/>
      <c r="CO901" s="1425"/>
      <c r="CP901" s="1422"/>
      <c r="CQ901" s="1422"/>
      <c r="CR901" s="1422"/>
      <c r="CS901" s="1841"/>
    </row>
    <row r="902" spans="1:97">
      <c r="A902" s="63"/>
      <c r="B902" s="63"/>
      <c r="C902" s="1018"/>
      <c r="D902" s="951"/>
      <c r="E902" s="951"/>
      <c r="F902" s="951"/>
      <c r="G902" s="224"/>
      <c r="H902" s="63"/>
      <c r="I902" s="1842"/>
      <c r="J902" s="777"/>
      <c r="K902" s="777"/>
      <c r="L902" s="777"/>
      <c r="M902" s="2218"/>
      <c r="N902" s="63"/>
      <c r="O902" s="1842"/>
      <c r="P902" s="777"/>
      <c r="Q902" s="777"/>
      <c r="R902" s="777"/>
      <c r="S902" s="2218"/>
      <c r="T902" s="63"/>
      <c r="U902" s="1842"/>
      <c r="V902" s="777"/>
      <c r="W902" s="777"/>
      <c r="X902" s="777"/>
      <c r="Y902" s="2218"/>
      <c r="Z902" s="63"/>
      <c r="AA902" s="1842"/>
      <c r="AB902" s="777"/>
      <c r="AC902" s="777"/>
      <c r="AD902" s="777"/>
      <c r="AE902" s="2218"/>
      <c r="AF902" s="63"/>
      <c r="AG902" s="1842"/>
      <c r="AH902" s="777"/>
      <c r="AI902" s="777"/>
      <c r="AJ902" s="777"/>
      <c r="AK902" s="2218"/>
      <c r="AL902" s="63"/>
      <c r="AM902" s="1842"/>
      <c r="AN902" s="777"/>
      <c r="AO902" s="777"/>
      <c r="AP902" s="777"/>
      <c r="AQ902" s="2218"/>
      <c r="AR902" s="63"/>
      <c r="AS902" s="1842"/>
      <c r="AT902" s="777"/>
      <c r="AU902" s="777"/>
      <c r="AV902" s="777"/>
      <c r="AW902" s="2218"/>
      <c r="AX902" s="63"/>
      <c r="AY902" s="1842"/>
      <c r="AZ902" s="777"/>
      <c r="BA902" s="777"/>
      <c r="BB902" s="777"/>
      <c r="BC902" s="2218"/>
      <c r="BD902" s="63"/>
      <c r="BE902" s="1842"/>
      <c r="BF902" s="777"/>
      <c r="BG902" s="777"/>
      <c r="BH902" s="777"/>
      <c r="BI902" s="2218"/>
      <c r="BJ902" s="63"/>
      <c r="BK902" s="1842"/>
      <c r="BL902" s="777"/>
      <c r="BM902" s="777"/>
      <c r="BN902" s="777"/>
      <c r="BO902" s="2218"/>
      <c r="BP902" s="63"/>
      <c r="BQ902" s="1842"/>
      <c r="BR902" s="777"/>
      <c r="BS902" s="777"/>
      <c r="BT902" s="777"/>
      <c r="BU902" s="2218"/>
      <c r="BV902" s="63"/>
      <c r="BW902" s="1842"/>
      <c r="BX902" s="777"/>
      <c r="BY902" s="777"/>
      <c r="BZ902" s="777"/>
      <c r="CA902" s="2218"/>
      <c r="CB902" s="63"/>
      <c r="CC902" s="1842"/>
      <c r="CD902" s="777"/>
      <c r="CE902" s="777"/>
      <c r="CF902" s="777"/>
      <c r="CG902" s="2218"/>
      <c r="CH902" s="63"/>
      <c r="CI902" s="1842"/>
      <c r="CJ902" s="777"/>
      <c r="CK902" s="777"/>
      <c r="CL902" s="777"/>
      <c r="CM902" s="2218"/>
      <c r="CN902" s="63"/>
      <c r="CO902" s="1842"/>
      <c r="CP902" s="777"/>
      <c r="CQ902" s="777"/>
      <c r="CR902" s="777"/>
      <c r="CS902" s="2218"/>
    </row>
    <row r="903" spans="1:97">
      <c r="A903" s="63"/>
      <c r="B903" s="63"/>
      <c r="C903" s="1018"/>
      <c r="D903" s="951"/>
      <c r="E903" s="951"/>
      <c r="F903" s="951"/>
      <c r="G903" s="224"/>
      <c r="H903" s="1121"/>
      <c r="I903" s="1018"/>
      <c r="M903" s="224"/>
      <c r="N903" s="1121"/>
      <c r="O903" s="1018"/>
      <c r="P903" s="951"/>
      <c r="Q903" s="951"/>
      <c r="R903" s="951"/>
      <c r="S903" s="224"/>
      <c r="T903" s="1121"/>
      <c r="U903" s="1018"/>
      <c r="V903" s="951"/>
      <c r="W903" s="951"/>
      <c r="X903" s="951"/>
      <c r="Y903" s="224"/>
      <c r="Z903" s="1121"/>
      <c r="AA903" s="1018"/>
      <c r="AB903" s="951"/>
      <c r="AC903" s="951"/>
      <c r="AD903" s="951"/>
      <c r="AE903" s="224"/>
      <c r="AF903" s="1121"/>
      <c r="AG903" s="1018"/>
      <c r="AH903" s="951"/>
      <c r="AI903" s="951"/>
      <c r="AJ903" s="1847"/>
      <c r="AK903" s="2218"/>
      <c r="AL903" s="63"/>
      <c r="AM903" s="1842"/>
      <c r="AN903" s="777"/>
      <c r="AO903" s="777"/>
      <c r="AP903" s="777"/>
      <c r="AQ903" s="2218"/>
      <c r="AR903" s="63"/>
      <c r="AS903" s="1842"/>
      <c r="AT903" s="215"/>
      <c r="AU903" s="215"/>
      <c r="AV903" s="1846"/>
      <c r="AW903" s="2218"/>
      <c r="AX903" s="1"/>
      <c r="AY903" s="1842"/>
      <c r="AZ903" s="215"/>
      <c r="BA903" s="215"/>
      <c r="BB903" s="215"/>
      <c r="BC903" s="2218"/>
      <c r="BD903" s="1"/>
      <c r="BE903" s="1842"/>
      <c r="BF903" s="215"/>
      <c r="BG903" s="215"/>
      <c r="BH903" s="215"/>
      <c r="BI903" s="2218"/>
      <c r="BJ903" s="1"/>
      <c r="BK903" s="1842"/>
      <c r="BL903" s="215"/>
      <c r="BM903" s="215"/>
      <c r="BN903" s="215"/>
      <c r="BO903" s="2218"/>
      <c r="BP903" s="1"/>
      <c r="BQ903" s="1842"/>
      <c r="BR903" s="215"/>
      <c r="BS903" s="215"/>
      <c r="BT903" s="215"/>
      <c r="BU903" s="2218"/>
      <c r="BV903" s="1"/>
      <c r="BW903" s="1842"/>
      <c r="BX903" s="215"/>
      <c r="BY903" s="215"/>
      <c r="BZ903" s="215"/>
      <c r="CA903" s="2218"/>
      <c r="CB903" s="1"/>
      <c r="CC903" s="1842"/>
      <c r="CD903" s="215"/>
      <c r="CE903" s="215"/>
      <c r="CF903" s="215"/>
      <c r="CG903" s="2218"/>
      <c r="CH903" s="1"/>
      <c r="CI903" s="1842"/>
      <c r="CJ903" s="215"/>
      <c r="CK903" s="215"/>
      <c r="CL903" s="215"/>
      <c r="CM903" s="2218"/>
      <c r="CN903" s="1"/>
      <c r="CO903" s="1842"/>
      <c r="CP903" s="215"/>
      <c r="CQ903" s="215"/>
      <c r="CR903" s="215"/>
      <c r="CS903" s="2218"/>
    </row>
    <row r="904" spans="1:97">
      <c r="A904" s="1930"/>
      <c r="B904" s="2238"/>
      <c r="C904" s="1425"/>
      <c r="D904" s="1422"/>
      <c r="E904" s="1422"/>
      <c r="F904" s="1422"/>
      <c r="G904" s="1841"/>
      <c r="H904" s="2238"/>
      <c r="I904" s="1425"/>
      <c r="J904" s="1422"/>
      <c r="K904" s="1422"/>
      <c r="L904" s="1422"/>
      <c r="M904" s="1841"/>
      <c r="N904" s="2238"/>
      <c r="O904" s="1425"/>
      <c r="P904" s="1422"/>
      <c r="Q904" s="1422"/>
      <c r="R904" s="1422"/>
      <c r="S904" s="1841"/>
      <c r="T904" s="2238"/>
      <c r="U904" s="1425"/>
      <c r="V904" s="1422"/>
      <c r="W904" s="1422"/>
      <c r="X904" s="1422"/>
      <c r="Y904" s="1841"/>
      <c r="Z904" s="2238"/>
      <c r="AA904" s="1425"/>
      <c r="AB904" s="1422"/>
      <c r="AC904" s="1422"/>
      <c r="AD904" s="1422"/>
      <c r="AE904" s="1841"/>
      <c r="AF904" s="2238"/>
      <c r="AG904" s="1425"/>
      <c r="AH904" s="1422"/>
      <c r="AI904" s="1422"/>
      <c r="AJ904" s="1422"/>
      <c r="AK904" s="1841"/>
      <c r="AL904" s="2238"/>
      <c r="AM904" s="1425"/>
      <c r="AN904" s="1422"/>
      <c r="AO904" s="1422"/>
      <c r="AP904" s="1422"/>
      <c r="AQ904" s="1841"/>
      <c r="AR904" s="2238"/>
      <c r="AS904" s="1425"/>
      <c r="AT904" s="1422"/>
      <c r="AU904" s="1422"/>
      <c r="AV904" s="1422"/>
      <c r="AW904" s="1841"/>
      <c r="AX904" s="2238"/>
      <c r="AY904" s="1425"/>
      <c r="AZ904" s="1422"/>
      <c r="BA904" s="1422"/>
      <c r="BB904" s="1422"/>
      <c r="BC904" s="1841"/>
      <c r="BD904" s="2238"/>
      <c r="BE904" s="1425"/>
      <c r="BF904" s="1422"/>
      <c r="BG904" s="1422"/>
      <c r="BH904" s="1422"/>
      <c r="BI904" s="1841"/>
      <c r="BJ904" s="1"/>
      <c r="BK904" s="1425"/>
      <c r="BL904" s="1422"/>
      <c r="BM904" s="1422"/>
      <c r="BN904" s="1422"/>
      <c r="BO904" s="1841"/>
      <c r="BP904" s="1"/>
      <c r="BQ904" s="1425"/>
      <c r="BR904" s="1422"/>
      <c r="BS904" s="1422"/>
      <c r="BT904" s="1422"/>
      <c r="BU904" s="1841"/>
      <c r="BV904" s="1"/>
      <c r="BW904" s="1425"/>
      <c r="BX904" s="1422"/>
      <c r="BY904" s="1422"/>
      <c r="BZ904" s="1422"/>
      <c r="CA904" s="1841"/>
      <c r="CB904" s="1"/>
      <c r="CC904" s="1425"/>
      <c r="CD904" s="1422"/>
      <c r="CE904" s="1422"/>
      <c r="CF904" s="1422"/>
      <c r="CG904" s="1841"/>
      <c r="CH904" s="1"/>
      <c r="CI904" s="1425"/>
      <c r="CJ904" s="1422"/>
      <c r="CK904" s="1422"/>
      <c r="CL904" s="1422"/>
      <c r="CM904" s="1841"/>
      <c r="CN904" s="1"/>
      <c r="CO904" s="1425"/>
      <c r="CP904" s="1422"/>
      <c r="CQ904" s="1422"/>
      <c r="CR904" s="1422"/>
      <c r="CS904" s="1841"/>
    </row>
    <row r="905" spans="1:97">
      <c r="A905" s="2272"/>
      <c r="B905" s="2273"/>
      <c r="C905" s="1428"/>
      <c r="D905" s="2274"/>
      <c r="E905" s="2274"/>
      <c r="F905" s="2274"/>
      <c r="G905" s="2275"/>
      <c r="H905" s="2273"/>
      <c r="I905" s="1428"/>
      <c r="J905" s="2274"/>
      <c r="K905" s="2274"/>
      <c r="L905" s="2274"/>
      <c r="M905" s="2275"/>
      <c r="N905" s="2273"/>
      <c r="O905" s="1428"/>
      <c r="P905" s="2274"/>
      <c r="Q905" s="2274"/>
      <c r="R905" s="2274"/>
      <c r="S905" s="2275"/>
      <c r="T905" s="2273"/>
      <c r="U905" s="1428"/>
      <c r="V905" s="2274"/>
      <c r="W905" s="2274"/>
      <c r="X905" s="2274"/>
      <c r="Y905" s="2275"/>
      <c r="Z905" s="2273"/>
      <c r="AA905" s="1428"/>
      <c r="AB905" s="2274"/>
      <c r="AC905" s="2274"/>
      <c r="AD905" s="2274"/>
      <c r="AE905" s="2275"/>
      <c r="AF905" s="2273"/>
      <c r="AG905" s="1428"/>
      <c r="AH905" s="2274"/>
      <c r="AI905" s="2274"/>
      <c r="AJ905" s="2274"/>
      <c r="AK905" s="2275"/>
      <c r="AL905" s="2273"/>
      <c r="AM905" s="1428"/>
      <c r="AN905" s="2274"/>
      <c r="AO905" s="2274"/>
      <c r="AP905" s="2274"/>
      <c r="AQ905" s="2275"/>
      <c r="AR905" s="2273"/>
      <c r="AS905" s="1428"/>
      <c r="AT905" s="2274"/>
      <c r="AU905" s="2274"/>
      <c r="AV905" s="2274"/>
      <c r="AW905" s="2275"/>
      <c r="AX905" s="2273"/>
      <c r="AY905" s="2356"/>
      <c r="AZ905" s="2357"/>
      <c r="BA905" s="2357"/>
      <c r="BB905" s="2357"/>
      <c r="BC905" s="2358"/>
      <c r="BD905" s="2359"/>
      <c r="BE905" s="2356"/>
      <c r="BF905" s="2357"/>
      <c r="BG905" s="2357"/>
      <c r="BH905" s="2357"/>
      <c r="BI905" s="2358"/>
      <c r="BJ905" s="2360"/>
      <c r="BK905" s="2356"/>
      <c r="BL905" s="2357"/>
      <c r="BM905" s="2357"/>
      <c r="BN905" s="2357"/>
      <c r="BO905" s="2358"/>
      <c r="BP905" s="2360"/>
      <c r="BQ905" s="2356"/>
      <c r="BR905" s="2357"/>
      <c r="BS905" s="2357"/>
      <c r="BT905" s="2357"/>
      <c r="BU905" s="2358"/>
      <c r="BV905" s="2360"/>
      <c r="BW905" s="2356"/>
      <c r="BX905" s="2357"/>
      <c r="BY905" s="2357"/>
      <c r="BZ905" s="2357"/>
      <c r="CA905" s="2358"/>
      <c r="CB905" s="2360"/>
      <c r="CC905" s="2356"/>
      <c r="CD905" s="2357"/>
      <c r="CE905" s="2357"/>
      <c r="CF905" s="2357"/>
      <c r="CG905" s="2358"/>
      <c r="CH905" s="2360"/>
      <c r="CI905" s="2356"/>
      <c r="CJ905" s="2357"/>
      <c r="CK905" s="2357"/>
      <c r="CL905" s="2357"/>
      <c r="CM905" s="2358"/>
      <c r="CN905" s="2360"/>
      <c r="CO905" s="2356"/>
      <c r="CP905" s="2357"/>
      <c r="CQ905" s="2357"/>
      <c r="CR905" s="2357"/>
      <c r="CS905" s="2358"/>
    </row>
  </sheetData>
  <phoneticPr fontId="6" type="noConversion"/>
  <pageMargins left="0" right="0" top="0" bottom="0" header="0" footer="0"/>
  <pageSetup paperSize="5" scale="34" orientation="landscape" r:id="rId1"/>
  <headerFooter alignWithMargins="0"/>
  <rowBreaks count="2" manualBreakCount="2">
    <brk id="96" max="97" man="1"/>
    <brk id="142" max="97" man="1"/>
  </rowBreaks>
  <ignoredErrors>
    <ignoredError sqref="AK73:BU76 AK300:BJ301 AK295:BD299 BG299:BH299 AK306:BU306 AK302:BD304 BF302:BJ304 AK332:BL332 AK309:BB309 BD309:BU309 A12:AO12 A10:BE10 AK177:BU182 AK174:BF174 A55:AX55 BI55 AK97:BJ97 AK105:BU105 AK104:BC104 AK110:BE110 BI110 A62:BU71 A59:BF59 AK144:BU144 AK141:AV142 A53:BU54 A52:AX52 BI52 AK201:BF201 AK194:AO194 AK426:BU434 AK425:BE425 BI425:BU425 AK436:BU446 AK435:BE435 BI435:BJ435 BO435:BU435 BR143:BU143 B39:BG39 BO27:BP27 AK107:BE107 BO107:BP107 BU107 AK102:BJ102 AK101:BF101 BU101 BO101:BP101 AK448:BU460 AK447:BJ447 BL447:BU447 AK337:BU340 AK336:BG336 BL336:BM336 AK220:BU220 AK217:BE217 A41:AJ41 AK95:BD96 BI95:BI96 AK421:BU424 AK397:BD397 BR397:BU397 AK362:BU396 AK361:BP361 BR361:BU361 AK398:BU416 AK462:BU466 AK461:BJ461 BL461:BU461 BF397:BP397 AK417:BD417 BF417:BU417 AK468:BU522 AK467:BM467 BO467:BU467 AK345:BC345 BE345:BG345 AK175:AP175 B42:BE42 BG42:BK42 B23:BB23 B60:BE60 AK209:AX209 AK206:BD206 BG206 BI210:BI211 A33:BD36 AK89:BU90 AK87:BD87 A15:BG15 AK198:BA198 A22:AY22 BA22 AK139:BA140 A13:BE14 BG217 AK81:BU83 AK77:BE77 BI77:BU77 AK86:BE86 BI86 AK204:BU205 AK203:BE203 BH203:BJ203 AK153:BK153 AK152:AX152 BI152 BI107:BJ107 BI101:BJ101 AK202:AP202 AK183:BF183 BH183:BU183 A43:BF43 BI43:BJ43 BM87:BU87 BI193:BI198 AK173:BC173 AK350:BU350 AK349:BB349 BD349:BG349 AK158:AZ158 BB158:BD158 A50:BU51 BI49:BJ49 AK226:BU236 AK225:BF225 BH225:BU225 BH201:BK201 AK257:BU257 AK248:BF248 BH248:BU248 AK92:BH92 AK91:BG91 BM91:BP91 AK94:BJ94 BL94:BU94 BO49:BP49 BU49 BC152:BD152 BI154 AK85:BU85 AK84:BD84 BI84:BU84 BF12:BG12 BG10 BH48:BL48 A46:BU46 A45:BH45 BJ45 A47:BE47 BG47 AK356:BU360 AK354:AX354 AZ354:BJ354 B20:Z20 B19:G19 BJ19 BP19 AK103:AY103 BA103:BK103 BJ39:BK39 A26:AX27 AK169:BH169 BJ168:BJ169 AK170:BG171 AK176:BG176 BI176:BU176 AK78:BJ78 BL78:BU78 BL79:BN79 BJ79 AK79:BH80 BJ80:BU80 AK108:BG109 BI109:BK109 A58:BA58 BI91:BJ91 AK154:BD157 AK88:BG88 BI87:BJ88 AK93:BG93 BI93:BM93 AK207:AV207 BJ207 BN191:BP191 AK190:BG190 BI190:BJ192 BI24:BK24 AK238:BU238 AK237:BG237 BI237:BT237 BP79:BU79 A61:AE61 AK222:BU222 AK221:BK221 BM221:BU221 BI162:BJ162 BP168:BT168 BT91:BU91 AK184:BU184 AK185:AR185 AT185:BJ185 BL185:BU185 BO201:BT201 AK249:BJ249 AK247:BJ247 BL247:BU247 BP249 AK250:BP250 AK279:BJ279 AK289:BU294 AK288:BD288 BF288:BG288 AK287:BU287 AK283:BD283 BF283:BL283 AK280:BK280 BO279:BP280 BU279:BU280 AK275:BU278 AK274:BP274 BR274:BU274 AK251:BQ253 BI288:BU288 AK256:BG256 BI256:BJ256 BL256:BU256 AK281:BL282 AK310:BU310 AK342:BF342 BI342:BJ342 BL342:BU342 BL346:BU346 AK346:BJ348 BO347:BP347 BL348:BU348 AK352:BU352 AK351:BJ351 BL351:BU351 AK353:BJ353 BL353:BU354 AK532:BU533 AK531:BB531 BD531:BU531 AK542:BB542 BD542:BU542 AK535:BU541 AK534:BB534 BD534:BU534 AK524:BU530 AK523:BB523 BD523:BU523 AK273:BU273 AK258:BN259 BP258:BT259 A44:BG44 BJ349:BU349 AK145:BD151 BR145:BU145 BF145:BP151 BF163:BJ163 AK100:BN100 BP100:BT100 AK106:BN106 BU347 BO336:BU336 BI336:BJ336 AK218:BQ218 AK219:BJ219 BI58:BJ59 BM102:BU102 B17:BG17 BX191:CG191 BP169:BU169 AK334:BU335 AK333:BQ333 BS333:BU333 AK324:BU329 AK323:BP323 BM168:BN169 AK188:BJ189 BJ209:BU209 AK341:AY341 BA341:BU341 AK168:AR168 AV168:BH168 AT168 BJ92:BU92 BO332:BP332 AK244:BU246 AK243:BC243 BI13:BJ17 A16:BF16 BI217 AK99:BU99 AK98:BH98 BJ98:BU98 BI108:BU108 BI47:BU47 BL190:BP190 BL58:BP58 A56:AV57 BR58:BU59 BI295:BJ297 BL97:BU97 AK355:BB355 BD355:BH355 BJ355:BN355 BP355:BT355 BJ22:BL23 CA14:CG14 BO152:BP152 BS153:BT153 BU152:BZ153 BR160:BU161 BK162:BN164 AK159:BD163 BI160:BP161 BO164:BZ164 BO162:BP163 BQ163:BZ163 BV155:BZ161 BR162:BZ162 BK165:BZ166 BQ160:BQ162 BP132:BT132 CA145:CG145 BJ299 AF20:BK21 B21 Z21 T21 N21 H21 BP134:BT134 CA151:CG174 BW146:CG150 BR149:BU151 BQ146:BU148 BP133 BL88:BU88 BN16:BP16 BI26:BJ27 BM26:BU26 BL189:BP189 BR189:BU189 BO11:BP12 BL45:BU45 BN153:BP153 BO17:BP17 BO123 BO130:BO134 BV132:BZ132 BU130:BU134 CA130:CG132 CA123:CA124 CA119 BU119 BU123:BU124 BO119 CG119 CG123:CG124 BU126:CG126 BD19:BE19 AX19:BB19 BO23:BU23 BN116 BN20:BP21 BM39:BU39 BM24:BU24 BM42:BU42 AK305:BK305 BO295:BP297 BO10:BP10 BI10:BL12 AK224:BU224 AK223:BK223 BM223:BU223 CA107:CG108 BN48:BU48 BR191:BU191 A11:AX11 AQ194:AX194 AQ12:BD12 BK154:BM154 BM28:BU30 A28:BK30 A31:AX31 BD31 BJ31 A24:AX24 BA24:BG24 AZ26:BD26 BF26:BG26 BC27:BD27 AZ52 BA55 AX56:BU57 BC52:BD52 BC58:BG58 BC55:BD55 BR27:BU27 A48:BD49 BG52 BU10:CG11 AK195:AX197 AK191:AX193 AZ197:BA197 AZ191:BE191 BB209:BH209 AZ11:BD11 AK210:BD210 BO211 AZ192 BC192:BE192 BB193:BD193 BC194:BD196 BC197:BF197 BC198:BD198 BI155:BU159 BE154:BH162 AK308:BU308 AK307:BL307 BN307:BU307 BP206 BJ206:BM206 BO86 A38:BD38 B37:BD37 BO13:BP15 BR211:CG211 BO93:BU93 BO154:BP154 BV134:CG134 AK263:BU271 AK260:BU261 AK240:BU241 AK239:BC239 BR216:CG218 BU215:BV215 AK317:BU322 AK311:BH311 BJ311:BN316 BP311:BU316 BO305:BP305 BP298 BJ298 CM10:CM14 CS10:CS14 BQ574:BT574 CM130:CS132 CM134:CS134 CI574 CJ574:CL574 CI157:CL157 CI155:CL155 CM152:CS152 CI154:CK154 CL154 CI156 CI158:CJ158 CL158 CS158 CN158 CS156 CN156 CM158 CM156 CM154:CS154 CN157:CS157 CM155:CS155 CM157 CM153:CS153 CM159:CS159 CO156:CR156 CO158:CR158 CM209:CS209 BU323 BQ323:BT323 BR16:BU16 BR11:BT12 BR17:BU17 BR20:BU21 BR10:BS10 BR13:BU15 CM211:CS211 CN210:CR210 BP203 BM203 BD207:BG207 AX207:BB207 BS203 BR295:BU297 BO299:BP304 BR299:BU304 BR298:BU298 BR305:BU305 BR190:BU190 BV12:CG12 BR213:CG214 BT212:CG212 BX215:CA215 BR154:BZ154 AK314:BH314 AL312:AP312 AL313:AP313 AL316:AP316 AL315:AP315 AR312:AV312 AR313:AV313 AR315:AV315 AR316:AV316 AX312:BB312 AX313:BB313 AX315:BB315 AX316:BB316 BD312:BH312 BD313:BH313 BD315:BH315 BD316:BH316" formula="1"/>
    <ignoredError sqref="BO120:BT120 BO117:CG117 BP116:CG116 BV120:CF120 BV254 BV251:BV253" evalError="1"/>
    <ignoredError sqref="BO121:BT121 BP123:BT123 BO122 CB123:CF123 BV123:BZ123 BV121:CF121 BU120 BU121 CG120 CG121 BU251:BU253" evalError="1" formula="1"/>
    <ignoredError sqref="DG310:DQ310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70C0"/>
    <pageSetUpPr fitToPage="1"/>
  </sheetPr>
  <dimension ref="A1:DD189"/>
  <sheetViews>
    <sheetView zoomScaleNormal="100" workbookViewId="0">
      <pane xSplit="1" ySplit="8" topLeftCell="BM9" activePane="bottomRight" state="frozenSplit"/>
      <selection activeCell="B9" sqref="B9"/>
      <selection pane="topRight" activeCell="B9" sqref="B9"/>
      <selection pane="bottomLeft" activeCell="B9" sqref="B9"/>
      <selection pane="bottomRight" sqref="A1:XFD1048576"/>
    </sheetView>
  </sheetViews>
  <sheetFormatPr defaultColWidth="8.85546875" defaultRowHeight="12.75" outlineLevelRow="1" outlineLevelCol="1"/>
  <cols>
    <col min="1" max="1" width="28.7109375" customWidth="1"/>
    <col min="2" max="2" width="0.85546875" customWidth="1"/>
    <col min="3" max="7" width="7.5703125" hidden="1" customWidth="1" outlineLevel="1"/>
    <col min="8" max="8" width="0.85546875" hidden="1" customWidth="1" outlineLevel="1"/>
    <col min="9" max="13" width="7.5703125" hidden="1" customWidth="1" outlineLevel="1"/>
    <col min="14" max="14" width="0.85546875" hidden="1" customWidth="1" outlineLevel="1"/>
    <col min="15" max="19" width="7.5703125" hidden="1" customWidth="1" outlineLevel="1"/>
    <col min="20" max="20" width="0.85546875" hidden="1" customWidth="1" outlineLevel="1"/>
    <col min="21" max="25" width="7.5703125" hidden="1" customWidth="1" outlineLevel="1"/>
    <col min="26" max="26" width="0.85546875" hidden="1" customWidth="1" outlineLevel="1"/>
    <col min="27" max="30" width="7.5703125" hidden="1" customWidth="1" outlineLevel="1"/>
    <col min="31" max="31" width="7.5703125" hidden="1" customWidth="1" outlineLevel="1" collapsed="1"/>
    <col min="32" max="32" width="0.85546875" hidden="1" customWidth="1" outlineLevel="1"/>
    <col min="33" max="36" width="7.5703125" hidden="1" customWidth="1" outlineLevel="1"/>
    <col min="37" max="37" width="7.5703125" customWidth="1" collapsed="1"/>
    <col min="38" max="38" width="0.85546875" customWidth="1"/>
    <col min="39" max="42" width="7.5703125" hidden="1" customWidth="1" outlineLevel="1"/>
    <col min="43" max="43" width="7.5703125" customWidth="1" collapsed="1"/>
    <col min="44" max="44" width="0.85546875" customWidth="1"/>
    <col min="45" max="48" width="7.5703125" hidden="1" customWidth="1" outlineLevel="1"/>
    <col min="49" max="49" width="7.5703125" customWidth="1" collapsed="1"/>
    <col min="50" max="50" width="0.85546875" customWidth="1"/>
    <col min="51" max="54" width="7.5703125" hidden="1" customWidth="1" outlineLevel="1"/>
    <col min="55" max="55" width="7.5703125" customWidth="1" collapsed="1"/>
    <col min="56" max="56" width="0.85546875" customWidth="1"/>
    <col min="57" max="60" width="7.5703125" customWidth="1" outlineLevel="1"/>
    <col min="61" max="61" width="7.5703125" customWidth="1"/>
    <col min="62" max="62" width="0.85546875" customWidth="1"/>
    <col min="63" max="66" width="7.5703125" customWidth="1" outlineLevel="1"/>
    <col min="67" max="67" width="7.5703125" customWidth="1"/>
    <col min="68" max="68" width="0.85546875" customWidth="1"/>
    <col min="69" max="72" width="7.5703125" customWidth="1" outlineLevel="1"/>
    <col min="73" max="73" width="7.5703125" customWidth="1"/>
    <col min="74" max="74" width="0.85546875" customWidth="1"/>
    <col min="75" max="78" width="7.5703125" customWidth="1" outlineLevel="1"/>
    <col min="79" max="79" width="7.5703125" customWidth="1"/>
    <col min="80" max="80" width="0.85546875" customWidth="1"/>
    <col min="81" max="84" width="7.5703125" customWidth="1" outlineLevel="1"/>
    <col min="85" max="85" width="7.5703125" customWidth="1"/>
    <col min="86" max="86" width="0.85546875" customWidth="1"/>
    <col min="87" max="90" width="7.5703125" hidden="1" customWidth="1" outlineLevel="1"/>
    <col min="91" max="91" width="7.5703125" customWidth="1" collapsed="1"/>
    <col min="92" max="92" width="0.85546875" customWidth="1"/>
    <col min="93" max="96" width="7.5703125" customWidth="1" outlineLevel="1"/>
    <col min="97" max="98" width="7.5703125" customWidth="1"/>
    <col min="99" max="99" width="8.85546875" customWidth="1"/>
    <col min="102" max="102" width="34.5703125" hidden="1" customWidth="1" outlineLevel="1"/>
    <col min="103" max="107" width="8.85546875" hidden="1" customWidth="1" outlineLevel="1"/>
    <col min="108" max="108" width="8.85546875" collapsed="1"/>
  </cols>
  <sheetData>
    <row r="1" spans="1:101">
      <c r="A1" s="243"/>
      <c r="B1" s="243"/>
      <c r="C1" s="244"/>
      <c r="D1" s="244"/>
      <c r="E1" s="244"/>
      <c r="F1" s="244"/>
      <c r="G1" s="1122"/>
      <c r="H1" s="1122"/>
      <c r="I1" s="244"/>
      <c r="J1" s="244"/>
      <c r="K1" s="244"/>
      <c r="L1" s="244"/>
      <c r="M1" s="1123"/>
      <c r="N1" s="1123"/>
      <c r="O1" s="244"/>
      <c r="P1" s="244"/>
      <c r="Q1" s="244"/>
      <c r="R1" s="244"/>
      <c r="S1" s="244"/>
      <c r="T1" s="244"/>
      <c r="U1" s="244"/>
      <c r="V1" s="244"/>
      <c r="W1" s="244"/>
      <c r="X1" s="244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  <c r="CD1" s="246"/>
      <c r="CE1" s="246"/>
      <c r="CF1" s="246"/>
      <c r="CG1" s="246"/>
      <c r="CH1" s="246"/>
      <c r="CI1" s="246"/>
      <c r="CJ1" s="246"/>
      <c r="CK1" s="246"/>
      <c r="CL1" s="246"/>
      <c r="CM1" s="246"/>
      <c r="CN1" s="246"/>
      <c r="CO1" s="246"/>
      <c r="CP1" s="246"/>
      <c r="CQ1" s="246"/>
      <c r="CR1" s="246"/>
      <c r="CS1" s="246"/>
      <c r="CT1" s="246"/>
      <c r="CU1" s="63"/>
      <c r="CV1" s="63"/>
      <c r="CW1" s="63"/>
    </row>
    <row r="2" spans="1:101">
      <c r="A2" s="922" t="str">
        <f>IS!A2</f>
        <v>Illumina</v>
      </c>
      <c r="B2" s="922"/>
      <c r="C2" s="244"/>
      <c r="D2" s="244"/>
      <c r="E2" s="244"/>
      <c r="F2" s="244"/>
      <c r="G2" s="1124"/>
      <c r="H2" s="1124"/>
      <c r="I2" s="244"/>
      <c r="J2" s="244"/>
      <c r="K2" s="244"/>
      <c r="L2" s="244"/>
      <c r="M2" s="1123"/>
      <c r="N2" s="1123"/>
      <c r="O2" s="244"/>
      <c r="P2" s="244"/>
      <c r="Q2" s="244"/>
      <c r="R2" s="244"/>
      <c r="S2" s="244"/>
      <c r="T2" s="244"/>
      <c r="U2" s="244"/>
      <c r="V2" s="244"/>
      <c r="W2" s="244"/>
      <c r="X2" s="244"/>
      <c r="Y2" s="244"/>
      <c r="Z2" s="244"/>
      <c r="AA2" s="244"/>
      <c r="AB2" s="244"/>
      <c r="AC2" s="244"/>
      <c r="AD2" s="244"/>
      <c r="AE2" s="244"/>
      <c r="AF2" s="244"/>
      <c r="AG2" s="244"/>
      <c r="AH2" s="244"/>
      <c r="AI2" s="244"/>
      <c r="AJ2" s="244"/>
      <c r="AK2" s="244"/>
      <c r="AL2" s="244"/>
      <c r="AM2" s="244"/>
      <c r="AN2" s="244"/>
      <c r="AO2" s="244"/>
      <c r="AP2" s="244"/>
      <c r="AQ2" s="244"/>
      <c r="AR2" s="244"/>
      <c r="AS2" s="244"/>
      <c r="AT2" s="244"/>
      <c r="AU2" s="244"/>
      <c r="AV2" s="244"/>
      <c r="AW2" s="244"/>
      <c r="AX2" s="244"/>
      <c r="AY2" s="244"/>
      <c r="AZ2" s="244"/>
      <c r="BA2" s="244"/>
      <c r="BB2" s="244"/>
      <c r="BC2" s="244"/>
      <c r="BD2" s="244"/>
      <c r="BE2" s="244"/>
      <c r="BF2" s="244"/>
      <c r="BG2" s="244"/>
      <c r="BH2" s="244"/>
      <c r="BI2" s="244"/>
      <c r="BJ2" s="244"/>
      <c r="BK2" s="244"/>
      <c r="BL2" s="244"/>
      <c r="BM2" s="244"/>
      <c r="BN2" s="244"/>
      <c r="BO2" s="244"/>
      <c r="BP2" s="244"/>
      <c r="BQ2" s="244"/>
      <c r="BR2" s="244"/>
      <c r="BS2" s="244"/>
      <c r="BT2" s="244"/>
      <c r="BU2" s="244"/>
      <c r="BV2" s="244"/>
      <c r="BW2" s="244"/>
      <c r="BX2" s="244"/>
      <c r="BY2" s="244"/>
      <c r="BZ2" s="244"/>
      <c r="CA2" s="244"/>
      <c r="CB2" s="244"/>
      <c r="CC2" s="244"/>
      <c r="CD2" s="244"/>
      <c r="CE2" s="244"/>
      <c r="CF2" s="244"/>
      <c r="CG2" s="244"/>
      <c r="CH2" s="244"/>
      <c r="CI2" s="244"/>
      <c r="CJ2" s="244"/>
      <c r="CK2" s="244"/>
      <c r="CL2" s="244"/>
      <c r="CM2" s="244"/>
      <c r="CN2" s="244"/>
      <c r="CO2" s="244"/>
      <c r="CP2" s="244"/>
      <c r="CQ2" s="244"/>
      <c r="CR2" s="244"/>
      <c r="CS2" s="244"/>
      <c r="CT2" s="244"/>
      <c r="CU2" s="63"/>
      <c r="CV2" s="63"/>
      <c r="CW2" s="63"/>
    </row>
    <row r="3" spans="1:101">
      <c r="A3" s="920" t="s">
        <v>278</v>
      </c>
      <c r="B3" s="920"/>
      <c r="C3" s="244"/>
      <c r="D3" s="244"/>
      <c r="E3" s="244"/>
      <c r="F3" s="244"/>
      <c r="G3" s="1123"/>
      <c r="H3" s="1123"/>
      <c r="I3" s="244"/>
      <c r="J3" s="244"/>
      <c r="K3" s="244"/>
      <c r="L3" s="244"/>
      <c r="M3" s="1123"/>
      <c r="N3" s="1123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4"/>
      <c r="AK3" s="244"/>
      <c r="AL3" s="244"/>
      <c r="AM3" s="244"/>
      <c r="AN3" s="244"/>
      <c r="AO3" s="244"/>
      <c r="AP3" s="244"/>
      <c r="AQ3" s="244"/>
      <c r="AR3" s="244"/>
      <c r="AS3" s="244"/>
      <c r="AT3" s="244"/>
      <c r="AU3" s="244"/>
      <c r="AV3" s="244"/>
      <c r="AW3" s="244"/>
      <c r="AX3" s="244"/>
      <c r="AY3" s="244"/>
      <c r="AZ3" s="244"/>
      <c r="BA3" s="244"/>
      <c r="BB3" s="244"/>
      <c r="BC3" s="244"/>
      <c r="BD3" s="244"/>
      <c r="BE3" s="244"/>
      <c r="BF3" s="244"/>
      <c r="BG3" s="244"/>
      <c r="BH3" s="244"/>
      <c r="BI3" s="244"/>
      <c r="BJ3" s="244"/>
      <c r="BK3" s="244"/>
      <c r="BL3" s="244"/>
      <c r="BM3" s="244"/>
      <c r="BN3" s="244"/>
      <c r="BO3" s="244"/>
      <c r="BP3" s="244"/>
      <c r="BQ3" s="244"/>
      <c r="BR3" s="244"/>
      <c r="BS3" s="244"/>
      <c r="BT3" s="244"/>
      <c r="BU3" s="244"/>
      <c r="BV3" s="244"/>
      <c r="BW3" s="244"/>
      <c r="BX3" s="244"/>
      <c r="BY3" s="244"/>
      <c r="BZ3" s="244"/>
      <c r="CA3" s="244"/>
      <c r="CB3" s="244"/>
      <c r="CC3" s="244"/>
      <c r="CD3" s="244"/>
      <c r="CE3" s="244"/>
      <c r="CF3" s="244"/>
      <c r="CG3" s="244"/>
      <c r="CH3" s="244"/>
      <c r="CI3" s="244"/>
      <c r="CJ3" s="244"/>
      <c r="CK3" s="244"/>
      <c r="CL3" s="244"/>
      <c r="CM3" s="244"/>
      <c r="CN3" s="244"/>
      <c r="CO3" s="244"/>
      <c r="CP3" s="244"/>
      <c r="CQ3" s="244"/>
      <c r="CR3" s="244"/>
      <c r="CS3" s="244"/>
      <c r="CT3" s="244"/>
      <c r="CU3" s="63"/>
      <c r="CV3" s="63"/>
      <c r="CW3" s="63"/>
    </row>
    <row r="4" spans="1:101">
      <c r="A4" s="190" t="s">
        <v>129</v>
      </c>
      <c r="B4" s="190"/>
      <c r="C4" s="1125"/>
      <c r="D4" s="1125"/>
      <c r="E4" s="1125"/>
      <c r="F4" s="1125"/>
      <c r="G4" s="1126"/>
      <c r="H4" s="1126"/>
      <c r="I4" s="1125"/>
      <c r="J4" s="1125"/>
      <c r="K4" s="1125"/>
      <c r="L4" s="1125"/>
      <c r="M4" s="1126"/>
      <c r="N4" s="1126"/>
      <c r="O4" s="1125"/>
      <c r="P4" s="1125"/>
      <c r="Q4" s="1125"/>
      <c r="R4" s="1125"/>
      <c r="S4" s="1125"/>
      <c r="T4" s="1125"/>
      <c r="U4" s="1125"/>
      <c r="V4" s="1125"/>
      <c r="W4" s="1125"/>
      <c r="X4" s="1125"/>
      <c r="Y4" s="1125"/>
      <c r="Z4" s="1125"/>
      <c r="AA4" s="1125"/>
      <c r="AB4" s="1125"/>
      <c r="AC4" s="1125"/>
      <c r="AD4" s="1125"/>
      <c r="AE4" s="1125"/>
      <c r="AF4" s="1125"/>
      <c r="AG4" s="1125"/>
      <c r="AH4" s="1125"/>
      <c r="AI4" s="1125"/>
      <c r="AJ4" s="1125"/>
      <c r="AK4" s="1125"/>
      <c r="AL4" s="1125"/>
      <c r="AM4" s="1125"/>
      <c r="AN4" s="1125"/>
      <c r="AO4" s="1125"/>
      <c r="AP4" s="1125"/>
      <c r="AQ4" s="1125"/>
      <c r="AR4" s="1125"/>
      <c r="AS4" s="1125"/>
      <c r="AT4" s="1125"/>
      <c r="AU4" s="1125"/>
      <c r="AV4" s="1125"/>
      <c r="AW4" s="1125"/>
      <c r="AX4" s="1125"/>
      <c r="AY4" s="1125"/>
      <c r="AZ4" s="1125"/>
      <c r="BA4" s="1125"/>
      <c r="BB4" s="1125"/>
      <c r="BC4" s="1125"/>
      <c r="BD4" s="1125"/>
      <c r="BE4" s="1125"/>
      <c r="BF4" s="1125"/>
      <c r="BG4" s="1125"/>
      <c r="BH4" s="1125"/>
      <c r="BI4" s="1125"/>
      <c r="BJ4" s="1125"/>
      <c r="BK4" s="1125"/>
      <c r="BL4" s="1125"/>
      <c r="BM4" s="1125"/>
      <c r="BN4" s="1125"/>
      <c r="BO4" s="1125"/>
      <c r="BP4" s="1125"/>
      <c r="BQ4" s="1125"/>
      <c r="BR4" s="1125"/>
      <c r="BS4" s="1125"/>
      <c r="BT4" s="1125"/>
      <c r="BU4" s="1125"/>
      <c r="BV4" s="244"/>
      <c r="BW4" s="244"/>
      <c r="BX4" s="244"/>
      <c r="BY4" s="244"/>
      <c r="BZ4" s="244"/>
      <c r="CA4" s="244"/>
      <c r="CB4" s="244"/>
      <c r="CC4" s="244"/>
      <c r="CD4" s="244"/>
      <c r="CE4" s="244"/>
      <c r="CF4" s="244"/>
      <c r="CG4" s="244"/>
      <c r="CH4" s="244"/>
      <c r="CI4" s="244"/>
      <c r="CJ4" s="244"/>
      <c r="CK4" s="244"/>
      <c r="CL4" s="244"/>
      <c r="CM4" s="244"/>
      <c r="CN4" s="244"/>
      <c r="CO4" s="244"/>
      <c r="CP4" s="244"/>
      <c r="CQ4" s="244"/>
      <c r="CR4" s="244"/>
      <c r="CS4" s="244"/>
      <c r="CT4" s="244"/>
      <c r="CU4" s="63"/>
      <c r="CV4" s="63"/>
      <c r="CW4" s="63"/>
    </row>
    <row r="5" spans="1:101">
      <c r="A5" s="25" t="s">
        <v>130</v>
      </c>
      <c r="B5" s="1127"/>
      <c r="C5" s="63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63"/>
      <c r="CW5" s="63"/>
    </row>
    <row r="6" spans="1:101" outlineLevel="1"/>
    <row r="7" spans="1:101">
      <c r="A7" s="63"/>
      <c r="B7" s="63"/>
      <c r="C7" s="955">
        <v>2007</v>
      </c>
      <c r="D7" s="956"/>
      <c r="E7" s="956"/>
      <c r="F7" s="956"/>
      <c r="G7" s="957">
        <v>2007</v>
      </c>
      <c r="H7" s="169"/>
      <c r="I7" s="955">
        <f>C7+1</f>
        <v>2008</v>
      </c>
      <c r="J7" s="956"/>
      <c r="K7" s="956"/>
      <c r="L7" s="956"/>
      <c r="M7" s="957">
        <f>G7+1</f>
        <v>2008</v>
      </c>
      <c r="N7" s="959"/>
      <c r="O7" s="955">
        <f>I7+1</f>
        <v>2009</v>
      </c>
      <c r="P7" s="956"/>
      <c r="Q7" s="956"/>
      <c r="R7" s="956"/>
      <c r="S7" s="957">
        <f>M7+1</f>
        <v>2009</v>
      </c>
      <c r="T7" s="959"/>
      <c r="U7" s="955">
        <f>O7+1</f>
        <v>2010</v>
      </c>
      <c r="V7" s="956"/>
      <c r="W7" s="956"/>
      <c r="X7" s="956"/>
      <c r="Y7" s="957">
        <f>S7+1</f>
        <v>2010</v>
      </c>
      <c r="Z7" s="959"/>
      <c r="AA7" s="955">
        <f>U7+1</f>
        <v>2011</v>
      </c>
      <c r="AB7" s="956"/>
      <c r="AC7" s="956"/>
      <c r="AD7" s="956"/>
      <c r="AE7" s="957">
        <f>Y7+1</f>
        <v>2011</v>
      </c>
      <c r="AF7" s="959"/>
      <c r="AG7" s="955">
        <f>AA7+1</f>
        <v>2012</v>
      </c>
      <c r="AH7" s="956"/>
      <c r="AI7" s="956"/>
      <c r="AJ7" s="956"/>
      <c r="AK7" s="957">
        <f>AE7+1</f>
        <v>2012</v>
      </c>
      <c r="AL7" s="959"/>
      <c r="AM7" s="955">
        <f>AG7+1</f>
        <v>2013</v>
      </c>
      <c r="AN7" s="956"/>
      <c r="AO7" s="956"/>
      <c r="AP7" s="956"/>
      <c r="AQ7" s="957">
        <f>AK7+1</f>
        <v>2013</v>
      </c>
      <c r="AR7" s="959"/>
      <c r="AS7" s="955">
        <f>AM7+1</f>
        <v>2014</v>
      </c>
      <c r="AT7" s="956"/>
      <c r="AU7" s="956"/>
      <c r="AV7" s="956"/>
      <c r="AW7" s="957">
        <f>AQ7+1</f>
        <v>2014</v>
      </c>
      <c r="AX7" s="959"/>
      <c r="AY7" s="955">
        <f>AS7+1</f>
        <v>2015</v>
      </c>
      <c r="AZ7" s="956"/>
      <c r="BA7" s="956"/>
      <c r="BB7" s="956"/>
      <c r="BC7" s="957">
        <f>AW7+1</f>
        <v>2015</v>
      </c>
      <c r="BD7" s="959"/>
      <c r="BE7" s="955">
        <f>AY7+1</f>
        <v>2016</v>
      </c>
      <c r="BF7" s="956"/>
      <c r="BG7" s="956"/>
      <c r="BH7" s="956"/>
      <c r="BI7" s="957">
        <f>BC7+1</f>
        <v>2016</v>
      </c>
      <c r="BJ7" s="959"/>
      <c r="BK7" s="955">
        <f>BE7+1</f>
        <v>2017</v>
      </c>
      <c r="BL7" s="956"/>
      <c r="BM7" s="956"/>
      <c r="BN7" s="956"/>
      <c r="BO7" s="957">
        <f>BI7+1</f>
        <v>2017</v>
      </c>
      <c r="BP7" s="959"/>
      <c r="BQ7" s="960">
        <f>BK7+1</f>
        <v>2018</v>
      </c>
      <c r="BR7" s="956"/>
      <c r="BS7" s="956"/>
      <c r="BT7" s="956"/>
      <c r="BU7" s="961">
        <f>BO7+1</f>
        <v>2018</v>
      </c>
      <c r="BV7" s="959"/>
      <c r="BW7" s="960">
        <f>BQ7+1</f>
        <v>2019</v>
      </c>
      <c r="BX7" s="956"/>
      <c r="BY7" s="956"/>
      <c r="BZ7" s="956"/>
      <c r="CA7" s="961">
        <f>BU7+1</f>
        <v>2019</v>
      </c>
      <c r="CB7" s="959"/>
      <c r="CC7" s="960">
        <f>BW7+1</f>
        <v>2020</v>
      </c>
      <c r="CD7" s="956"/>
      <c r="CE7" s="956"/>
      <c r="CF7" s="956"/>
      <c r="CG7" s="961">
        <f>CA7+1</f>
        <v>2020</v>
      </c>
      <c r="CH7" s="959"/>
      <c r="CI7" s="960">
        <f>CC7+1</f>
        <v>2021</v>
      </c>
      <c r="CJ7" s="956"/>
      <c r="CK7" s="956"/>
      <c r="CL7" s="956"/>
      <c r="CM7" s="961">
        <f>CG7+1</f>
        <v>2021</v>
      </c>
      <c r="CN7" s="959"/>
      <c r="CO7" s="960">
        <f>CI7+1</f>
        <v>2022</v>
      </c>
      <c r="CP7" s="956"/>
      <c r="CQ7" s="956"/>
      <c r="CR7" s="956"/>
      <c r="CS7" s="961">
        <f>CM7+1</f>
        <v>2022</v>
      </c>
      <c r="CT7" s="2388"/>
      <c r="CU7" s="63"/>
      <c r="CV7" s="63"/>
      <c r="CW7" s="63"/>
    </row>
    <row r="8" spans="1:101" ht="13.5" thickBot="1">
      <c r="A8" s="62"/>
      <c r="B8" s="85"/>
      <c r="C8" s="963">
        <v>39172</v>
      </c>
      <c r="D8" s="964">
        <f>C8+FLOOR(365/4,1)</f>
        <v>39263</v>
      </c>
      <c r="E8" s="964">
        <f>D8+FLOOR(365/4,1)+1</f>
        <v>39355</v>
      </c>
      <c r="F8" s="964">
        <f>E8+FLOOR(365/4,1)+1</f>
        <v>39447</v>
      </c>
      <c r="G8" s="965"/>
      <c r="H8" s="175"/>
      <c r="I8" s="963">
        <f>C8+366</f>
        <v>39538</v>
      </c>
      <c r="J8" s="964">
        <f>I8+FLOOR(365/4,1)</f>
        <v>39629</v>
      </c>
      <c r="K8" s="964">
        <f>J8+FLOOR(365/4,1)+1</f>
        <v>39721</v>
      </c>
      <c r="L8" s="964">
        <f>K8+FLOOR(365/4,1)+1</f>
        <v>39813</v>
      </c>
      <c r="M8" s="965"/>
      <c r="N8" s="967"/>
      <c r="O8" s="963">
        <f>I8+365</f>
        <v>39903</v>
      </c>
      <c r="P8" s="964">
        <f>O8+FLOOR(365/4,1)</f>
        <v>39994</v>
      </c>
      <c r="Q8" s="964">
        <f>P8+FLOOR(365/4,1)+1</f>
        <v>40086</v>
      </c>
      <c r="R8" s="964">
        <f>Q8+FLOOR(365/4,1)+1</f>
        <v>40178</v>
      </c>
      <c r="S8" s="965"/>
      <c r="T8" s="967"/>
      <c r="U8" s="963">
        <f>O8+365</f>
        <v>40268</v>
      </c>
      <c r="V8" s="964">
        <f>U8+FLOOR(365/4,1)</f>
        <v>40359</v>
      </c>
      <c r="W8" s="964">
        <f>V8+FLOOR(365/4,1)+1</f>
        <v>40451</v>
      </c>
      <c r="X8" s="964">
        <f>W8+FLOOR(365/4,1)+1</f>
        <v>40543</v>
      </c>
      <c r="Y8" s="965"/>
      <c r="Z8" s="967"/>
      <c r="AA8" s="963">
        <f>U8+365</f>
        <v>40633</v>
      </c>
      <c r="AB8" s="964">
        <f>AA8+FLOOR(365/4,1)</f>
        <v>40724</v>
      </c>
      <c r="AC8" s="964">
        <f>AB8+FLOOR(365/4,1)+1</f>
        <v>40816</v>
      </c>
      <c r="AD8" s="964">
        <f>AC8+FLOOR(365/4,1)+1</f>
        <v>40908</v>
      </c>
      <c r="AE8" s="965"/>
      <c r="AF8" s="967"/>
      <c r="AG8" s="963">
        <f>AA8+366</f>
        <v>40999</v>
      </c>
      <c r="AH8" s="964">
        <f>AG8+FLOOR(365/4,1)</f>
        <v>41090</v>
      </c>
      <c r="AI8" s="964">
        <f>AH8+FLOOR(365/4,1)+1</f>
        <v>41182</v>
      </c>
      <c r="AJ8" s="964">
        <f>AI8+FLOOR(365/4,1)+1</f>
        <v>41274</v>
      </c>
      <c r="AK8" s="965"/>
      <c r="AL8" s="967"/>
      <c r="AM8" s="963">
        <f>AG8+365</f>
        <v>41364</v>
      </c>
      <c r="AN8" s="964">
        <f>AM8+FLOOR(365/4,1)</f>
        <v>41455</v>
      </c>
      <c r="AO8" s="964">
        <f>AN8+FLOOR(365/4,1)+1</f>
        <v>41547</v>
      </c>
      <c r="AP8" s="964">
        <f>AO8+FLOOR(365/4,1)+1</f>
        <v>41639</v>
      </c>
      <c r="AQ8" s="965"/>
      <c r="AR8" s="967"/>
      <c r="AS8" s="172">
        <f>AM8+365</f>
        <v>41729</v>
      </c>
      <c r="AT8" s="964">
        <f>AS8+FLOOR(365/4,1)</f>
        <v>41820</v>
      </c>
      <c r="AU8" s="964">
        <f>AT8+FLOOR(365/4,1)+1</f>
        <v>41912</v>
      </c>
      <c r="AV8" s="964">
        <f>AU8+FLOOR(365/4,1)+1</f>
        <v>42004</v>
      </c>
      <c r="AW8" s="965"/>
      <c r="AX8" s="967"/>
      <c r="AY8" s="172">
        <f>AS8+365</f>
        <v>42094</v>
      </c>
      <c r="AZ8" s="964">
        <f>AY8+FLOOR(365/4,1)</f>
        <v>42185</v>
      </c>
      <c r="BA8" s="964">
        <f>AZ8+FLOOR(365/4,1)+1</f>
        <v>42277</v>
      </c>
      <c r="BB8" s="964">
        <f>BA8+FLOOR(365/4,1)+1</f>
        <v>42369</v>
      </c>
      <c r="BC8" s="965"/>
      <c r="BD8" s="967"/>
      <c r="BE8" s="172">
        <f>AY8+365+1</f>
        <v>42460</v>
      </c>
      <c r="BF8" s="964">
        <f>BE8+FLOOR(365/4,1)</f>
        <v>42551</v>
      </c>
      <c r="BG8" s="964">
        <f>BF8+FLOOR(365/4,1)+1</f>
        <v>42643</v>
      </c>
      <c r="BH8" s="964">
        <f>BG8+FLOOR(365/4,1)+1</f>
        <v>42735</v>
      </c>
      <c r="BI8" s="965"/>
      <c r="BJ8" s="967"/>
      <c r="BK8" s="172">
        <f>BE8+365</f>
        <v>42825</v>
      </c>
      <c r="BL8" s="964">
        <f>BK8+FLOOR(365/4,1)</f>
        <v>42916</v>
      </c>
      <c r="BM8" s="964">
        <f>BL8+FLOOR(365/4,1)+1</f>
        <v>43008</v>
      </c>
      <c r="BN8" s="964">
        <f>BM8+FLOOR(365/4,1)+1</f>
        <v>43100</v>
      </c>
      <c r="BO8" s="965"/>
      <c r="BP8" s="967"/>
      <c r="BQ8" s="969">
        <f>BK8+365</f>
        <v>43190</v>
      </c>
      <c r="BR8" s="968">
        <f>BQ8+FLOOR(365/4,1)</f>
        <v>43281</v>
      </c>
      <c r="BS8" s="968">
        <f>BR8+FLOOR(365/4,1)+1</f>
        <v>43373</v>
      </c>
      <c r="BT8" s="970">
        <f>BS8+FLOOR(365/4,1)+1</f>
        <v>43465</v>
      </c>
      <c r="BU8" s="965"/>
      <c r="BV8" s="967"/>
      <c r="BW8" s="969">
        <f>BQ8+365</f>
        <v>43555</v>
      </c>
      <c r="BX8" s="968">
        <f>BW8+FLOOR(365/4,1)</f>
        <v>43646</v>
      </c>
      <c r="BY8" s="968">
        <f>BX8+FLOOR(365/4,1)+1</f>
        <v>43738</v>
      </c>
      <c r="BZ8" s="970">
        <f>BY8+FLOOR(365/4,1)+1</f>
        <v>43830</v>
      </c>
      <c r="CA8" s="965"/>
      <c r="CB8" s="967"/>
      <c r="CC8" s="969">
        <f>BW8+365</f>
        <v>43920</v>
      </c>
      <c r="CD8" s="968">
        <f>CC8+FLOOR(365/4,1)</f>
        <v>44011</v>
      </c>
      <c r="CE8" s="968">
        <f>CD8+FLOOR(365/4,1)+1</f>
        <v>44103</v>
      </c>
      <c r="CF8" s="970">
        <f>CE8+FLOOR(365/4,1)+1</f>
        <v>44195</v>
      </c>
      <c r="CG8" s="965"/>
      <c r="CH8" s="967"/>
      <c r="CI8" s="969">
        <f>CC8+365</f>
        <v>44285</v>
      </c>
      <c r="CJ8" s="968">
        <f>CI8+FLOOR(365/4,1)</f>
        <v>44376</v>
      </c>
      <c r="CK8" s="968">
        <f>CJ8+FLOOR(365/4,1)+1</f>
        <v>44468</v>
      </c>
      <c r="CL8" s="970">
        <f>CK8+FLOOR(365/4,1)+1</f>
        <v>44560</v>
      </c>
      <c r="CM8" s="965"/>
      <c r="CN8" s="967"/>
      <c r="CO8" s="969">
        <f>CI8+365</f>
        <v>44650</v>
      </c>
      <c r="CP8" s="968">
        <f>CO8+FLOOR(365/4,1)</f>
        <v>44741</v>
      </c>
      <c r="CQ8" s="968">
        <f>CP8+FLOOR(365/4,1)+1</f>
        <v>44833</v>
      </c>
      <c r="CR8" s="970">
        <f>CQ8+FLOOR(365/4,1)+1</f>
        <v>44925</v>
      </c>
      <c r="CS8" s="965"/>
      <c r="CT8" s="2389"/>
      <c r="CU8" s="63"/>
      <c r="CV8" s="63"/>
      <c r="CW8" s="63"/>
    </row>
    <row r="9" spans="1:101">
      <c r="A9" s="1878" t="s">
        <v>279</v>
      </c>
      <c r="B9" s="1128"/>
      <c r="C9" s="1129"/>
      <c r="D9" s="1130"/>
      <c r="E9" s="1130"/>
      <c r="F9" s="1130"/>
      <c r="G9" s="1131"/>
      <c r="H9" s="1132"/>
      <c r="I9" s="1129"/>
      <c r="J9" s="1130"/>
      <c r="K9" s="1130"/>
      <c r="L9" s="1130"/>
      <c r="M9" s="1131"/>
      <c r="N9" s="1132"/>
      <c r="O9" s="1129"/>
      <c r="P9" s="1130"/>
      <c r="Q9" s="1130"/>
      <c r="R9" s="1130"/>
      <c r="S9" s="1131"/>
      <c r="T9" s="1132"/>
      <c r="U9" s="1129"/>
      <c r="V9" s="1130"/>
      <c r="W9" s="1130"/>
      <c r="X9" s="1130"/>
      <c r="Y9" s="1131"/>
      <c r="Z9" s="1132"/>
      <c r="AA9" s="1129"/>
      <c r="AB9" s="1133"/>
      <c r="AC9" s="1133"/>
      <c r="AD9" s="1133"/>
      <c r="AE9" s="1134"/>
      <c r="AF9" s="1132"/>
      <c r="AG9" s="1129"/>
      <c r="AH9" s="1130"/>
      <c r="AI9" s="1130"/>
      <c r="AJ9" s="1130"/>
      <c r="AK9" s="1134"/>
      <c r="AL9" s="1130"/>
      <c r="AM9" s="1135"/>
      <c r="AN9" s="1130"/>
      <c r="AO9" s="1130"/>
      <c r="AP9" s="1130"/>
      <c r="AQ9" s="1134"/>
      <c r="AR9" s="1132"/>
      <c r="AS9" s="1446"/>
      <c r="AT9" s="1132"/>
      <c r="AU9" s="1132"/>
      <c r="AV9" s="1137"/>
      <c r="AW9" s="1134"/>
      <c r="AX9" s="1132"/>
      <c r="AY9" s="1136"/>
      <c r="AZ9" s="1132"/>
      <c r="BA9" s="1132"/>
      <c r="BB9" s="1137"/>
      <c r="BC9" s="1134"/>
      <c r="BD9" s="1132"/>
      <c r="BE9" s="1136"/>
      <c r="BF9" s="1132"/>
      <c r="BG9" s="1132"/>
      <c r="BH9" s="1137"/>
      <c r="BI9" s="1134"/>
      <c r="BJ9" s="1132"/>
      <c r="BK9" s="1138"/>
      <c r="BL9" s="1132"/>
      <c r="BM9" s="1132"/>
      <c r="BN9" s="1137"/>
      <c r="BO9" s="1134"/>
      <c r="BP9" s="1132"/>
      <c r="BQ9" s="1138"/>
      <c r="BR9" s="1132"/>
      <c r="BS9" s="1132"/>
      <c r="BT9" s="1137"/>
      <c r="BU9" s="1134"/>
      <c r="BV9" s="1132"/>
      <c r="BW9" s="1138"/>
      <c r="BX9" s="1132"/>
      <c r="BY9" s="1132"/>
      <c r="BZ9" s="1137"/>
      <c r="CA9" s="1134"/>
      <c r="CB9" s="1132"/>
      <c r="CC9" s="1138"/>
      <c r="CD9" s="1132"/>
      <c r="CE9" s="1132"/>
      <c r="CF9" s="1137"/>
      <c r="CG9" s="1134"/>
      <c r="CH9" s="1132"/>
      <c r="CI9" s="1138"/>
      <c r="CJ9" s="1132"/>
      <c r="CK9" s="1132"/>
      <c r="CL9" s="1137"/>
      <c r="CM9" s="1134"/>
      <c r="CN9" s="1132"/>
      <c r="CO9" s="1138"/>
      <c r="CP9" s="1132"/>
      <c r="CQ9" s="1132"/>
      <c r="CR9" s="1137"/>
      <c r="CS9" s="1134"/>
      <c r="CT9" s="1132"/>
      <c r="CU9" s="63"/>
      <c r="CV9" s="63"/>
      <c r="CW9" s="63"/>
    </row>
    <row r="10" spans="1:101">
      <c r="A10" s="1879" t="s">
        <v>280</v>
      </c>
      <c r="B10" s="1139"/>
      <c r="C10" s="388">
        <f>SUM(C11:C12)</f>
        <v>326.82100000000003</v>
      </c>
      <c r="D10" s="1140">
        <f>SUM(D11:D12)</f>
        <v>343.262</v>
      </c>
      <c r="E10" s="1140">
        <f>SUM(E11:E12)</f>
        <v>352.85199999999998</v>
      </c>
      <c r="F10" s="1140">
        <f>SUM(F11:F12)</f>
        <v>386.08199999999999</v>
      </c>
      <c r="G10" s="1141">
        <f>+G11+G12</f>
        <v>386.08199999999999</v>
      </c>
      <c r="H10" s="227"/>
      <c r="I10" s="388">
        <f>SUM(I11:I12)</f>
        <v>275.30200000000002</v>
      </c>
      <c r="J10" s="1140">
        <f>SUM(J11:J12)</f>
        <v>303.27499999999998</v>
      </c>
      <c r="K10" s="1140">
        <f>SUM(K11:K12)</f>
        <v>649.64699999999993</v>
      </c>
      <c r="L10" s="1140">
        <f>SUM(L11:L12)</f>
        <v>640.07500000000005</v>
      </c>
      <c r="M10" s="1141">
        <f>SUM(M11:M12)</f>
        <v>640.07500000000005</v>
      </c>
      <c r="N10" s="227"/>
      <c r="O10" s="388">
        <f>SUM(O11:O12)</f>
        <v>672.59</v>
      </c>
      <c r="P10" s="1140">
        <f>SUM(P11:P12)</f>
        <v>734.56899999999996</v>
      </c>
      <c r="Q10" s="1140">
        <f>SUM(Q11:Q12)</f>
        <v>759.93000000000006</v>
      </c>
      <c r="R10" s="1140">
        <f>SUM(R11:R12)</f>
        <v>693.52700000000004</v>
      </c>
      <c r="S10" s="1141">
        <f>SUM(S11:S12)</f>
        <v>693.52700000000004</v>
      </c>
      <c r="T10" s="227"/>
      <c r="U10" s="388">
        <f>SUM(U11:U12)</f>
        <v>747.98</v>
      </c>
      <c r="V10" s="1140">
        <f>SUM(V11:V12)</f>
        <v>785.38</v>
      </c>
      <c r="W10" s="1140">
        <f>SUM(W11:W12)</f>
        <v>806.81600000000003</v>
      </c>
      <c r="X10" s="1140">
        <f>SUM(X11:X12)</f>
        <v>894.28899999999999</v>
      </c>
      <c r="Y10" s="1141">
        <f>SUM(Y11:Y12)</f>
        <v>894.28899999999999</v>
      </c>
      <c r="Z10" s="227"/>
      <c r="AA10" s="388">
        <f>SUM(AA11:AA12)</f>
        <v>1134.6379999999999</v>
      </c>
      <c r="AB10" s="1140">
        <f>SUM(AB11:AB12)</f>
        <v>1233.914</v>
      </c>
      <c r="AC10" s="1140">
        <f>SUM(AC11:AC12)</f>
        <v>1132.19</v>
      </c>
      <c r="AD10" s="1140">
        <f>SUM(AD11:AD12)</f>
        <v>1189.568</v>
      </c>
      <c r="AE10" s="389">
        <f>SUM(AE11:AE12)</f>
        <v>1189.568</v>
      </c>
      <c r="AF10" s="227"/>
      <c r="AG10" s="388">
        <f>SUM(AG11:AG12)</f>
        <v>1266.3630000000001</v>
      </c>
      <c r="AH10" s="1140">
        <f>SUM(AH11:AH12)</f>
        <v>1301.6859999999999</v>
      </c>
      <c r="AI10" s="1140">
        <f>SUM(AI11:AI12)</f>
        <v>1233.066</v>
      </c>
      <c r="AJ10" s="1140">
        <f>SUM(AJ11:AJ12)</f>
        <v>1350.204</v>
      </c>
      <c r="AK10" s="389">
        <f>SUM(AK11:AK12)</f>
        <v>1350.204</v>
      </c>
      <c r="AL10" s="1140"/>
      <c r="AM10" s="388">
        <f>SUM(AM11:AM12)</f>
        <v>1067.47</v>
      </c>
      <c r="AN10" s="1140">
        <f>SUM(AN11:AN12)</f>
        <v>1129.463</v>
      </c>
      <c r="AO10" s="1140">
        <f>SUM(AO11:AO12)</f>
        <v>1027.991</v>
      </c>
      <c r="AP10" s="1140">
        <f>SUM(AP11:AP12)</f>
        <v>1165.6030000000001</v>
      </c>
      <c r="AQ10" s="389">
        <f>SUM(AQ11:AQ12)</f>
        <v>1165.6030000000001</v>
      </c>
      <c r="AR10" s="227"/>
      <c r="AS10" s="1447">
        <f>SUM(AS11:AS12)</f>
        <v>1091.8020000000001</v>
      </c>
      <c r="AT10" s="1505">
        <f>SUM(AT11:AT12)</f>
        <v>1103.056</v>
      </c>
      <c r="AU10" s="1505">
        <f>SUM(AU11:AU12)</f>
        <v>1271.4269999999999</v>
      </c>
      <c r="AV10" s="1505">
        <f>SUM(AV11:AV12)</f>
        <v>1338.3710000000001</v>
      </c>
      <c r="AW10" s="1771">
        <f>SUM(AW11:AW12)</f>
        <v>1338.3710000000001</v>
      </c>
      <c r="AX10" s="227"/>
      <c r="AY10" s="1142">
        <f>SUM(AY11:AY12)</f>
        <v>1366.489</v>
      </c>
      <c r="AZ10" s="227">
        <f>SUM(AZ11:AZ12)</f>
        <v>1510.3820000000001</v>
      </c>
      <c r="BA10" s="227">
        <f>SUM(BA11:BA12)</f>
        <v>1439.4059999999999</v>
      </c>
      <c r="BB10" s="1505">
        <f>SUM(BB11:BB12)</f>
        <v>1386.22</v>
      </c>
      <c r="BC10" s="1771">
        <f>SUM(BC11:BC12)</f>
        <v>1386.22</v>
      </c>
      <c r="BD10" s="227"/>
      <c r="BE10" s="1142">
        <f>SUM(BE11:BE12)</f>
        <v>1343.0920000000001</v>
      </c>
      <c r="BF10" s="227">
        <f>SUM(BF11:BF12)</f>
        <v>1425.2560000000001</v>
      </c>
      <c r="BG10" s="227">
        <f>SUM(BG11:BG12)</f>
        <v>1536.2660000000001</v>
      </c>
      <c r="BH10" s="1505">
        <f>SUM(BH11:BH12)</f>
        <v>1558.7239999999999</v>
      </c>
      <c r="BI10" s="1771">
        <f>SUM(BI11:BI12)</f>
        <v>1558.7239999999999</v>
      </c>
      <c r="BJ10" s="227"/>
      <c r="BK10" s="1142">
        <f>SUM(BK11:BK12)</f>
        <v>1778</v>
      </c>
      <c r="BL10" s="227">
        <f>SUM(BL11:BL12)</f>
        <v>1893</v>
      </c>
      <c r="BM10" s="227">
        <f>SUM(BM11:BM12)</f>
        <v>2041</v>
      </c>
      <c r="BN10" s="1505">
        <f>SUM(BN11:BN12)</f>
        <v>2145</v>
      </c>
      <c r="BO10" s="389">
        <f>SUM(BO11:BO12)</f>
        <v>2145</v>
      </c>
      <c r="BP10" s="227"/>
      <c r="BQ10" s="1142">
        <f>SUM(BQ11:BQ12)</f>
        <v>1946.2227193947672</v>
      </c>
      <c r="BR10" s="227">
        <f>SUM(BR11:BR12)</f>
        <v>2076.6519050524512</v>
      </c>
      <c r="BS10" s="227">
        <f>SUM(BS11:BS12)</f>
        <v>2120.5180326729032</v>
      </c>
      <c r="BT10" s="1143">
        <f>SUM(BT11:BT12)</f>
        <v>2166.9440344054251</v>
      </c>
      <c r="BU10" s="389">
        <f>SUM(BU11:BU12)</f>
        <v>2166.9440344054251</v>
      </c>
      <c r="BV10" s="227"/>
      <c r="BW10" s="1142">
        <f>SUM(BW11:BW12)</f>
        <v>2109.5601337108769</v>
      </c>
      <c r="BX10" s="227">
        <f>SUM(BX11:BX12)</f>
        <v>2271.4985009974434</v>
      </c>
      <c r="BY10" s="227">
        <f>SUM(BY11:BY12)</f>
        <v>2338.4322642603856</v>
      </c>
      <c r="BZ10" s="1143">
        <f>SUM(BZ11:BZ12)</f>
        <v>2404.855060962338</v>
      </c>
      <c r="CA10" s="389">
        <f>SUM(CA11:CA12)</f>
        <v>2404.855060962338</v>
      </c>
      <c r="CB10" s="227"/>
      <c r="CC10" s="1142">
        <f>SUM(CC11:CC12)</f>
        <v>2390.4031734247496</v>
      </c>
      <c r="CD10" s="227">
        <f>SUM(CD11:CD12)</f>
        <v>2652.061601798287</v>
      </c>
      <c r="CE10" s="227">
        <f>SUM(CE11:CE12)</f>
        <v>2820.282895141755</v>
      </c>
      <c r="CF10" s="1143">
        <f>SUM(CF11:CF12)</f>
        <v>2991.2987921003728</v>
      </c>
      <c r="CG10" s="389">
        <f>SUM(CG11:CG12)</f>
        <v>2991.2987921003728</v>
      </c>
      <c r="CH10" s="227"/>
      <c r="CI10" s="1142">
        <f>SUM(CI11:CI12)</f>
        <v>3080.6067973896538</v>
      </c>
      <c r="CJ10" s="227">
        <f>SUM(CJ11:CJ12)</f>
        <v>3339.3178673697116</v>
      </c>
      <c r="CK10" s="227">
        <f>SUM(CK11:CK12)</f>
        <v>3492.2944046275666</v>
      </c>
      <c r="CL10" s="1143">
        <f>SUM(CL11:CL12)</f>
        <v>3642.9725390583094</v>
      </c>
      <c r="CM10" s="389">
        <f>SUM(CM11:CM12)</f>
        <v>3642.9725390583094</v>
      </c>
      <c r="CN10" s="227"/>
      <c r="CO10" s="1142">
        <f>SUM(CO11:CO12)</f>
        <v>3715.4191116706584</v>
      </c>
      <c r="CP10" s="227">
        <f>SUM(CP11:CP12)</f>
        <v>4034.7043676207782</v>
      </c>
      <c r="CQ10" s="227">
        <f>SUM(CQ11:CQ12)</f>
        <v>4242.859037412718</v>
      </c>
      <c r="CR10" s="1143">
        <f>SUM(CR11:CR12)</f>
        <v>4449.8248451091804</v>
      </c>
      <c r="CS10" s="389">
        <f>SUM(CS11:CS12)</f>
        <v>4449.8248451091804</v>
      </c>
      <c r="CT10" s="227"/>
      <c r="CU10" s="63"/>
      <c r="CV10" s="1144"/>
      <c r="CW10" s="63"/>
    </row>
    <row r="11" spans="1:101" ht="12" customHeight="1" outlineLevel="1">
      <c r="A11" s="1880" t="s">
        <v>281</v>
      </c>
      <c r="B11" s="1145"/>
      <c r="C11" s="1146">
        <v>123.529</v>
      </c>
      <c r="D11" s="1147">
        <v>81.117000000000004</v>
      </c>
      <c r="E11" s="1147">
        <v>64.106999999999999</v>
      </c>
      <c r="F11" s="1147">
        <v>174.941</v>
      </c>
      <c r="G11" s="1148">
        <f t="shared" ref="G11:G23" si="0">F11</f>
        <v>174.941</v>
      </c>
      <c r="H11" s="1149"/>
      <c r="I11" s="1146">
        <v>118.614</v>
      </c>
      <c r="J11" s="1147">
        <v>132.96799999999999</v>
      </c>
      <c r="K11" s="1147">
        <v>355.21899999999999</v>
      </c>
      <c r="L11" s="1147">
        <v>327.024</v>
      </c>
      <c r="M11" s="1148">
        <f t="shared" ref="M11:M16" si="1">L11</f>
        <v>327.024</v>
      </c>
      <c r="N11" s="1149"/>
      <c r="O11" s="1146">
        <v>351.14600000000002</v>
      </c>
      <c r="P11" s="1147">
        <v>352.09699999999998</v>
      </c>
      <c r="Q11" s="1147">
        <v>238.52799999999999</v>
      </c>
      <c r="R11" s="1147">
        <v>144.63300000000001</v>
      </c>
      <c r="S11" s="1148">
        <f t="shared" ref="S11:S16" si="2">R11</f>
        <v>144.63300000000001</v>
      </c>
      <c r="T11" s="1149"/>
      <c r="U11" s="1146">
        <v>213.22499999999999</v>
      </c>
      <c r="V11" s="1147">
        <v>237.18700000000001</v>
      </c>
      <c r="W11" s="1147">
        <v>210.767</v>
      </c>
      <c r="X11" s="1147">
        <v>248.947</v>
      </c>
      <c r="Y11" s="1148">
        <f t="shared" ref="Y11:Y16" si="3">X11</f>
        <v>248.947</v>
      </c>
      <c r="Z11" s="1149"/>
      <c r="AA11" s="1146">
        <v>410.34100000000001</v>
      </c>
      <c r="AB11" s="1147">
        <v>261.084</v>
      </c>
      <c r="AC11" s="1147">
        <v>229.846</v>
      </c>
      <c r="AD11" s="1147">
        <v>302.97800000000001</v>
      </c>
      <c r="AE11" s="1150">
        <f t="shared" ref="AE11:AE16" si="4">AD11</f>
        <v>302.97800000000001</v>
      </c>
      <c r="AF11" s="1151"/>
      <c r="AG11" s="1146">
        <v>260.19400000000002</v>
      </c>
      <c r="AH11" s="1147">
        <v>316.41199999999998</v>
      </c>
      <c r="AI11" s="1147">
        <v>343.089</v>
      </c>
      <c r="AJ11" s="1147">
        <v>433.98099999999999</v>
      </c>
      <c r="AK11" s="1150">
        <f t="shared" ref="AK11:AK16" si="5">AJ11</f>
        <v>433.98099999999999</v>
      </c>
      <c r="AL11" s="1147"/>
      <c r="AM11" s="1146">
        <v>443.08199999999999</v>
      </c>
      <c r="AN11" s="1147">
        <v>783.61099999999999</v>
      </c>
      <c r="AO11" s="1147">
        <v>691.83600000000001</v>
      </c>
      <c r="AP11" s="1147">
        <v>711.63699999999994</v>
      </c>
      <c r="AQ11" s="1150">
        <f t="shared" ref="AQ11:AQ16" si="6">AP11</f>
        <v>711.63699999999994</v>
      </c>
      <c r="AR11" s="1152"/>
      <c r="AS11" s="1448">
        <v>518.51300000000003</v>
      </c>
      <c r="AT11" s="1506">
        <v>675.221</v>
      </c>
      <c r="AU11" s="1506">
        <v>829.89499999999998</v>
      </c>
      <c r="AV11" s="1506">
        <v>636.154</v>
      </c>
      <c r="AW11" s="1587">
        <f t="shared" ref="AW11:AW16" si="7">AV11</f>
        <v>636.154</v>
      </c>
      <c r="AX11" s="1152"/>
      <c r="AY11" s="1448">
        <v>533.53700000000003</v>
      </c>
      <c r="AZ11" s="1506">
        <v>591.05700000000002</v>
      </c>
      <c r="BA11" s="1506">
        <v>551.529</v>
      </c>
      <c r="BB11" s="1506">
        <v>768.77</v>
      </c>
      <c r="BC11" s="1587">
        <f t="shared" ref="BC11:BC16" si="8">BB11</f>
        <v>768.77</v>
      </c>
      <c r="BD11" s="1152"/>
      <c r="BE11" s="2755">
        <v>754.91</v>
      </c>
      <c r="BF11" s="2756">
        <v>951.66200000000003</v>
      </c>
      <c r="BG11" s="2756">
        <v>794.697</v>
      </c>
      <c r="BH11" s="2756">
        <v>734.51599999999996</v>
      </c>
      <c r="BI11" s="1587">
        <f t="shared" ref="BI11:BI16" si="9">BH11</f>
        <v>734.51599999999996</v>
      </c>
      <c r="BJ11" s="1152"/>
      <c r="BK11" s="2755">
        <v>981</v>
      </c>
      <c r="BL11" s="2756">
        <v>1219</v>
      </c>
      <c r="BM11" s="2756">
        <v>1354</v>
      </c>
      <c r="BN11" s="2756">
        <v>1225</v>
      </c>
      <c r="BO11" s="1150">
        <f t="shared" ref="BO11:BO16" si="10">BN11</f>
        <v>1225</v>
      </c>
      <c r="BP11" s="1152"/>
      <c r="BQ11" s="1153">
        <f>CFS!BQ49</f>
        <v>1026.2227193947672</v>
      </c>
      <c r="BR11" s="1149">
        <f>CFS!BR49</f>
        <v>1156.6519050524512</v>
      </c>
      <c r="BS11" s="1149">
        <f>CFS!BS49</f>
        <v>1200.5180326729032</v>
      </c>
      <c r="BT11" s="1154">
        <f>CFS!BT49</f>
        <v>1246.9440344054251</v>
      </c>
      <c r="BU11" s="1150">
        <f t="shared" ref="BU11:BU16" si="11">BT11</f>
        <v>1246.9440344054251</v>
      </c>
      <c r="BV11" s="1152"/>
      <c r="BW11" s="1153">
        <f>CFS!BW49</f>
        <v>1189.5601337108769</v>
      </c>
      <c r="BX11" s="1149">
        <f>CFS!BX49</f>
        <v>1351.4985009974437</v>
      </c>
      <c r="BY11" s="1149">
        <f>CFS!BY49</f>
        <v>1418.4322642603856</v>
      </c>
      <c r="BZ11" s="1154">
        <f>CFS!BZ49</f>
        <v>1484.855060962338</v>
      </c>
      <c r="CA11" s="1150">
        <f t="shared" ref="CA11:CA16" si="12">BZ11</f>
        <v>1484.855060962338</v>
      </c>
      <c r="CB11" s="1152"/>
      <c r="CC11" s="1153">
        <f>CFS!CC49</f>
        <v>1470.4031734247496</v>
      </c>
      <c r="CD11" s="1149">
        <f>CFS!CD49</f>
        <v>1732.061601798287</v>
      </c>
      <c r="CE11" s="1149">
        <f>CFS!CE49</f>
        <v>1900.2828951417548</v>
      </c>
      <c r="CF11" s="1154">
        <f>CFS!CF49</f>
        <v>2071.2987921003728</v>
      </c>
      <c r="CG11" s="1150">
        <f t="shared" ref="CG11:CG16" si="13">CF11</f>
        <v>2071.2987921003728</v>
      </c>
      <c r="CH11" s="1152"/>
      <c r="CI11" s="1153">
        <f>CFS!CI49</f>
        <v>2160.6067973896538</v>
      </c>
      <c r="CJ11" s="1149">
        <f>CFS!CJ49</f>
        <v>2419.3178673697116</v>
      </c>
      <c r="CK11" s="1149">
        <f>CFS!CK49</f>
        <v>2572.2944046275666</v>
      </c>
      <c r="CL11" s="1154">
        <f>CFS!CL49</f>
        <v>2722.9725390583094</v>
      </c>
      <c r="CM11" s="1150">
        <f t="shared" ref="CM11:CM16" si="14">CL11</f>
        <v>2722.9725390583094</v>
      </c>
      <c r="CN11" s="1152"/>
      <c r="CO11" s="1153">
        <f>CFS!CO49</f>
        <v>2795.4191116706584</v>
      </c>
      <c r="CP11" s="1149">
        <f>CFS!CP49</f>
        <v>3114.7043676207782</v>
      </c>
      <c r="CQ11" s="1149">
        <f>CFS!CQ49</f>
        <v>3322.8590374127184</v>
      </c>
      <c r="CR11" s="1154">
        <f>CFS!CR49</f>
        <v>3529.8248451091804</v>
      </c>
      <c r="CS11" s="1150">
        <f t="shared" ref="CS11:CS16" si="15">CR11</f>
        <v>3529.8248451091804</v>
      </c>
      <c r="CT11" s="1151"/>
      <c r="CU11" s="63"/>
      <c r="CV11" s="1144"/>
      <c r="CW11" s="63"/>
    </row>
    <row r="12" spans="1:101" ht="12" customHeight="1" outlineLevel="1">
      <c r="A12" s="1880" t="s">
        <v>282</v>
      </c>
      <c r="B12" s="1145"/>
      <c r="C12" s="1146">
        <v>203.292</v>
      </c>
      <c r="D12" s="1147">
        <v>262.14499999999998</v>
      </c>
      <c r="E12" s="1147">
        <v>288.745</v>
      </c>
      <c r="F12" s="1147">
        <v>211.14099999999999</v>
      </c>
      <c r="G12" s="1148">
        <f t="shared" si="0"/>
        <v>211.14099999999999</v>
      </c>
      <c r="H12" s="1149"/>
      <c r="I12" s="1146">
        <v>156.68799999999999</v>
      </c>
      <c r="J12" s="1147">
        <v>170.30699999999999</v>
      </c>
      <c r="K12" s="1147">
        <v>294.428</v>
      </c>
      <c r="L12" s="1147">
        <v>313.05099999999999</v>
      </c>
      <c r="M12" s="1148">
        <f t="shared" si="1"/>
        <v>313.05099999999999</v>
      </c>
      <c r="N12" s="1149"/>
      <c r="O12" s="1146">
        <v>321.44400000000002</v>
      </c>
      <c r="P12" s="1147">
        <v>382.47199999999998</v>
      </c>
      <c r="Q12" s="1147">
        <v>521.40200000000004</v>
      </c>
      <c r="R12" s="1147">
        <v>548.89400000000001</v>
      </c>
      <c r="S12" s="1148">
        <f t="shared" si="2"/>
        <v>548.89400000000001</v>
      </c>
      <c r="T12" s="1149"/>
      <c r="U12" s="1146">
        <v>534.755</v>
      </c>
      <c r="V12" s="1147">
        <v>548.19299999999998</v>
      </c>
      <c r="W12" s="1147">
        <v>596.04899999999998</v>
      </c>
      <c r="X12" s="1147">
        <v>645.34199999999998</v>
      </c>
      <c r="Y12" s="1148">
        <f t="shared" si="3"/>
        <v>645.34199999999998</v>
      </c>
      <c r="Z12" s="1149"/>
      <c r="AA12" s="1146">
        <v>724.29700000000003</v>
      </c>
      <c r="AB12" s="1147">
        <v>972.83</v>
      </c>
      <c r="AC12" s="1147">
        <v>902.34400000000005</v>
      </c>
      <c r="AD12" s="1147">
        <v>886.59</v>
      </c>
      <c r="AE12" s="1150">
        <f t="shared" si="4"/>
        <v>886.59</v>
      </c>
      <c r="AF12" s="1151"/>
      <c r="AG12" s="1146">
        <v>1006.169</v>
      </c>
      <c r="AH12" s="1147">
        <v>985.274</v>
      </c>
      <c r="AI12" s="1147">
        <v>889.97699999999998</v>
      </c>
      <c r="AJ12" s="1147">
        <v>916.22299999999996</v>
      </c>
      <c r="AK12" s="1150">
        <f t="shared" si="5"/>
        <v>916.22299999999996</v>
      </c>
      <c r="AL12" s="1147"/>
      <c r="AM12" s="1146">
        <v>624.38800000000003</v>
      </c>
      <c r="AN12" s="1147">
        <v>345.85199999999998</v>
      </c>
      <c r="AO12" s="1147">
        <v>336.15499999999997</v>
      </c>
      <c r="AP12" s="1147">
        <v>453.96600000000001</v>
      </c>
      <c r="AQ12" s="1150">
        <f t="shared" si="6"/>
        <v>453.96600000000001</v>
      </c>
      <c r="AR12" s="1152"/>
      <c r="AS12" s="1448">
        <v>573.28899999999999</v>
      </c>
      <c r="AT12" s="1506">
        <v>427.83499999999998</v>
      </c>
      <c r="AU12" s="1506">
        <v>441.53199999999998</v>
      </c>
      <c r="AV12" s="1506">
        <v>702.21699999999998</v>
      </c>
      <c r="AW12" s="1587">
        <f t="shared" si="7"/>
        <v>702.21699999999998</v>
      </c>
      <c r="AX12" s="1152"/>
      <c r="AY12" s="1448">
        <v>832.952</v>
      </c>
      <c r="AZ12" s="1506">
        <v>919.32500000000005</v>
      </c>
      <c r="BA12" s="1506">
        <v>887.87699999999995</v>
      </c>
      <c r="BB12" s="1506">
        <v>617.45000000000005</v>
      </c>
      <c r="BC12" s="1587">
        <f t="shared" si="8"/>
        <v>617.45000000000005</v>
      </c>
      <c r="BD12" s="1152"/>
      <c r="BE12" s="2755">
        <v>588.18200000000002</v>
      </c>
      <c r="BF12" s="2756">
        <v>473.59399999999999</v>
      </c>
      <c r="BG12" s="2756">
        <v>741.56899999999996</v>
      </c>
      <c r="BH12" s="2756">
        <v>824.20799999999997</v>
      </c>
      <c r="BI12" s="1587">
        <f t="shared" si="9"/>
        <v>824.20799999999997</v>
      </c>
      <c r="BJ12" s="1152"/>
      <c r="BK12" s="2755">
        <v>797</v>
      </c>
      <c r="BL12" s="2756">
        <v>674</v>
      </c>
      <c r="BM12" s="2756">
        <v>687</v>
      </c>
      <c r="BN12" s="2756">
        <v>920</v>
      </c>
      <c r="BO12" s="1150">
        <f t="shared" si="10"/>
        <v>920</v>
      </c>
      <c r="BP12" s="1152"/>
      <c r="BQ12" s="1153">
        <f>BO12-CFS!BQ30-CFS!BQ31</f>
        <v>920</v>
      </c>
      <c r="BR12" s="1149">
        <f>BQ12-CFS!BR30-CFS!BR31</f>
        <v>920</v>
      </c>
      <c r="BS12" s="1149">
        <f>BR12-CFS!BS30-CFS!BS31</f>
        <v>920</v>
      </c>
      <c r="BT12" s="1154">
        <f>BS12-CFS!BT30-CFS!BT31</f>
        <v>920</v>
      </c>
      <c r="BU12" s="1150">
        <f t="shared" si="11"/>
        <v>920</v>
      </c>
      <c r="BV12" s="1152"/>
      <c r="BW12" s="1153">
        <f>BU12-CFS!BW30-CFS!BW31</f>
        <v>920</v>
      </c>
      <c r="BX12" s="1149">
        <f>BW12-CFS!BX30-CFS!BX31</f>
        <v>920</v>
      </c>
      <c r="BY12" s="1149">
        <f>BX12-CFS!BY30-CFS!BY31</f>
        <v>920</v>
      </c>
      <c r="BZ12" s="1154">
        <f>BY12-CFS!BZ30-CFS!BZ31</f>
        <v>920</v>
      </c>
      <c r="CA12" s="1150">
        <f t="shared" si="12"/>
        <v>920</v>
      </c>
      <c r="CB12" s="1152"/>
      <c r="CC12" s="1153">
        <f>CA12-CFS!CC30-CFS!CC31</f>
        <v>920</v>
      </c>
      <c r="CD12" s="1149">
        <f>CC12-CFS!CD30-CFS!CD31</f>
        <v>920</v>
      </c>
      <c r="CE12" s="1149">
        <f>CD12-CFS!CE30-CFS!CE31</f>
        <v>920</v>
      </c>
      <c r="CF12" s="1154">
        <f>CE12-CFS!CF30-CFS!CF31</f>
        <v>920</v>
      </c>
      <c r="CG12" s="1150">
        <f t="shared" si="13"/>
        <v>920</v>
      </c>
      <c r="CH12" s="1152"/>
      <c r="CI12" s="1153">
        <f>CG12-CFS!CI30-CFS!CI31</f>
        <v>920</v>
      </c>
      <c r="CJ12" s="1149">
        <f>CI12-CFS!CJ30-CFS!CJ31</f>
        <v>920</v>
      </c>
      <c r="CK12" s="1149">
        <f>CJ12-CFS!CK30-CFS!CK31</f>
        <v>920</v>
      </c>
      <c r="CL12" s="1154">
        <f>CK12-CFS!CL30-CFS!CL31</f>
        <v>920</v>
      </c>
      <c r="CM12" s="1150">
        <f t="shared" si="14"/>
        <v>920</v>
      </c>
      <c r="CN12" s="1152"/>
      <c r="CO12" s="1153">
        <f>CM12-CFS!CO30-CFS!CO31</f>
        <v>920</v>
      </c>
      <c r="CP12" s="1149">
        <f>CO12-CFS!CP30-CFS!CP31</f>
        <v>920</v>
      </c>
      <c r="CQ12" s="1149">
        <f>CP12-CFS!CQ30-CFS!CQ31</f>
        <v>920</v>
      </c>
      <c r="CR12" s="1154">
        <f>CQ12-CFS!CR30-CFS!CR31</f>
        <v>920</v>
      </c>
      <c r="CS12" s="1150">
        <f t="shared" si="15"/>
        <v>920</v>
      </c>
      <c r="CT12" s="1151"/>
      <c r="CU12" s="63"/>
      <c r="CV12" s="1144"/>
      <c r="CW12" s="63"/>
    </row>
    <row r="13" spans="1:101">
      <c r="A13" s="1879" t="s">
        <v>283</v>
      </c>
      <c r="B13" s="1139"/>
      <c r="C13" s="1155">
        <v>53.127000000000002</v>
      </c>
      <c r="D13" s="1156">
        <v>57.441000000000003</v>
      </c>
      <c r="E13" s="1156">
        <v>79.885999999999996</v>
      </c>
      <c r="F13" s="1156">
        <v>83.119</v>
      </c>
      <c r="G13" s="1148">
        <f t="shared" si="0"/>
        <v>83.119</v>
      </c>
      <c r="H13" s="1149"/>
      <c r="I13" s="1155">
        <v>91.412000000000006</v>
      </c>
      <c r="J13" s="1156">
        <v>101.985</v>
      </c>
      <c r="K13" s="1156">
        <v>124.161</v>
      </c>
      <c r="L13" s="1156">
        <v>133.26599999999999</v>
      </c>
      <c r="M13" s="1148">
        <f t="shared" si="1"/>
        <v>133.26599999999999</v>
      </c>
      <c r="N13" s="1149"/>
      <c r="O13" s="1155">
        <v>134.62899999999999</v>
      </c>
      <c r="P13" s="1156">
        <v>154.251</v>
      </c>
      <c r="Q13" s="1156">
        <v>162.905</v>
      </c>
      <c r="R13" s="1156">
        <v>157.751</v>
      </c>
      <c r="S13" s="1148">
        <f t="shared" si="2"/>
        <v>157.751</v>
      </c>
      <c r="T13" s="1149"/>
      <c r="U13" s="1155">
        <v>156.03</v>
      </c>
      <c r="V13" s="1156">
        <v>147.93899999999999</v>
      </c>
      <c r="W13" s="1156">
        <v>170.61799999999999</v>
      </c>
      <c r="X13" s="1156">
        <v>165.59800000000001</v>
      </c>
      <c r="Y13" s="1148">
        <f t="shared" si="3"/>
        <v>165.59800000000001</v>
      </c>
      <c r="Z13" s="1149"/>
      <c r="AA13" s="1155">
        <v>181.92400000000001</v>
      </c>
      <c r="AB13" s="1156">
        <v>193.43100000000001</v>
      </c>
      <c r="AC13" s="1156">
        <v>169.05199999999999</v>
      </c>
      <c r="AD13" s="1156">
        <v>173.886</v>
      </c>
      <c r="AE13" s="1150">
        <f t="shared" si="4"/>
        <v>173.886</v>
      </c>
      <c r="AF13" s="1151"/>
      <c r="AG13" s="1155">
        <v>202.23400000000001</v>
      </c>
      <c r="AH13" s="1156">
        <v>188.56200000000001</v>
      </c>
      <c r="AI13" s="1156">
        <v>218.14500000000001</v>
      </c>
      <c r="AJ13" s="1156">
        <v>214.97499999999999</v>
      </c>
      <c r="AK13" s="1150">
        <f t="shared" si="5"/>
        <v>214.97499999999999</v>
      </c>
      <c r="AL13" s="1158"/>
      <c r="AM13" s="1155">
        <v>210.83099999999999</v>
      </c>
      <c r="AN13" s="1156">
        <v>207.41300000000001</v>
      </c>
      <c r="AO13" s="1156">
        <v>235.43700000000001</v>
      </c>
      <c r="AP13" s="1156">
        <v>238.946</v>
      </c>
      <c r="AQ13" s="1150">
        <f t="shared" si="6"/>
        <v>238.946</v>
      </c>
      <c r="AR13" s="1160"/>
      <c r="AS13" s="1449">
        <v>293.04500000000002</v>
      </c>
      <c r="AT13" s="1507">
        <v>258.69400000000002</v>
      </c>
      <c r="AU13" s="1507">
        <v>276.67500000000001</v>
      </c>
      <c r="AV13" s="1507">
        <v>289.45800000000003</v>
      </c>
      <c r="AW13" s="1587">
        <f t="shared" si="7"/>
        <v>289.45800000000003</v>
      </c>
      <c r="AX13" s="1160"/>
      <c r="AY13" s="1449">
        <v>350.04399999999998</v>
      </c>
      <c r="AZ13" s="1506">
        <v>368.61099999999999</v>
      </c>
      <c r="BA13" s="1506">
        <v>413.47399999999999</v>
      </c>
      <c r="BB13" s="1507">
        <v>385.529</v>
      </c>
      <c r="BC13" s="1587">
        <f t="shared" si="8"/>
        <v>385.529</v>
      </c>
      <c r="BD13" s="1160"/>
      <c r="BE13" s="2757">
        <v>402.51400000000001</v>
      </c>
      <c r="BF13" s="2756">
        <v>372.48</v>
      </c>
      <c r="BG13" s="2756">
        <v>381.63200000000001</v>
      </c>
      <c r="BH13" s="2758">
        <v>381.31599999999997</v>
      </c>
      <c r="BI13" s="1587">
        <f t="shared" si="9"/>
        <v>381.31599999999997</v>
      </c>
      <c r="BJ13" s="1160"/>
      <c r="BK13" s="2757">
        <v>368</v>
      </c>
      <c r="BL13" s="2756">
        <v>372</v>
      </c>
      <c r="BM13" s="2756">
        <v>383</v>
      </c>
      <c r="BN13" s="2758">
        <v>411</v>
      </c>
      <c r="BO13" s="1150">
        <f t="shared" si="10"/>
        <v>411</v>
      </c>
      <c r="BP13" s="1160"/>
      <c r="BQ13" s="1161">
        <f>(IS!BQ9*BS!BQ67)/(365/4)</f>
        <v>476.94583772391996</v>
      </c>
      <c r="BR13" s="1162">
        <f>(IS!BR9*BS!BR67)/(365/4)</f>
        <v>439.57098916169161</v>
      </c>
      <c r="BS13" s="1162">
        <f>(IS!BS9*BS!BS67)/(365/4)</f>
        <v>427.76202302416453</v>
      </c>
      <c r="BT13" s="1163">
        <f>(IS!BT9*BS!BT67)/(365/4)</f>
        <v>439.48803384973354</v>
      </c>
      <c r="BU13" s="1150">
        <f t="shared" si="11"/>
        <v>439.48803384973354</v>
      </c>
      <c r="BV13" s="1160"/>
      <c r="BW13" s="1161">
        <f>(IS!BW9*BS!BW67)/(365/4)</f>
        <v>527.46002670871064</v>
      </c>
      <c r="BX13" s="1162">
        <f>(IS!BX9*BS!BX67)/(365/4)</f>
        <v>479.17590416779188</v>
      </c>
      <c r="BY13" s="1162">
        <f>(IS!BY9*BS!BY67)/(365/4)</f>
        <v>463.48802292016262</v>
      </c>
      <c r="BZ13" s="1163">
        <f>(IS!BZ9*BS!BZ67)/(365/4)</f>
        <v>474.99664355451512</v>
      </c>
      <c r="CA13" s="1150">
        <f t="shared" si="12"/>
        <v>474.99664355451512</v>
      </c>
      <c r="CB13" s="1160"/>
      <c r="CC13" s="1161">
        <f>(IS!CC9*BS!CC67)/(365/4)</f>
        <v>575.75764213013474</v>
      </c>
      <c r="CD13" s="1162">
        <f>(IS!CD9*BS!CD67)/(365/4)</f>
        <v>523.05134902906423</v>
      </c>
      <c r="CE13" s="1162">
        <f>(IS!CE9*BS!CE67)/(365/4)</f>
        <v>505.54542480103885</v>
      </c>
      <c r="CF13" s="1163">
        <f>(IS!CF9*BS!CF67)/(365/4)</f>
        <v>518.7295512735443</v>
      </c>
      <c r="CG13" s="1150">
        <f t="shared" si="13"/>
        <v>518.7295512735443</v>
      </c>
      <c r="CH13" s="1160"/>
      <c r="CI13" s="1161">
        <f>(IS!CI9*BS!CI67)/(365/4)</f>
        <v>630.00936935657637</v>
      </c>
      <c r="CJ13" s="1162">
        <f>(IS!CJ9*BS!CJ67)/(365/4)</f>
        <v>571.71296274374527</v>
      </c>
      <c r="CK13" s="1162">
        <f>(IS!CK9*BS!CK67)/(365/4)</f>
        <v>551.99715360350183</v>
      </c>
      <c r="CL13" s="1163">
        <f>(IS!CL9*BS!CL67)/(365/4)</f>
        <v>567.69158546864116</v>
      </c>
      <c r="CM13" s="1150">
        <f t="shared" si="14"/>
        <v>567.69158546864116</v>
      </c>
      <c r="CN13" s="1160"/>
      <c r="CO13" s="1161">
        <f>(IS!CO9*BS!CO67)/(365/4)</f>
        <v>686.3703899900089</v>
      </c>
      <c r="CP13" s="1162">
        <f>(IS!CP9*BS!CP67)/(365/4)</f>
        <v>625.00805336955102</v>
      </c>
      <c r="CQ13" s="1162">
        <f>(IS!CQ9*BS!CQ67)/(365/4)</f>
        <v>605.34442589430694</v>
      </c>
      <c r="CR13" s="1163">
        <f>(IS!CR9*BS!CR67)/(365/4)</f>
        <v>623.17915944722063</v>
      </c>
      <c r="CS13" s="1150">
        <f t="shared" si="15"/>
        <v>623.17915944722063</v>
      </c>
      <c r="CT13" s="1151"/>
      <c r="CU13" s="63"/>
      <c r="CV13" s="1144"/>
      <c r="CW13" s="63"/>
    </row>
    <row r="14" spans="1:101">
      <c r="A14" s="1879" t="s">
        <v>284</v>
      </c>
      <c r="B14" s="1139"/>
      <c r="C14" s="1155">
        <v>36.340000000000003</v>
      </c>
      <c r="D14" s="1156">
        <v>42.898000000000003</v>
      </c>
      <c r="E14" s="1156">
        <v>45.244999999999997</v>
      </c>
      <c r="F14" s="1156">
        <v>53.98</v>
      </c>
      <c r="G14" s="1148">
        <f t="shared" si="0"/>
        <v>53.98</v>
      </c>
      <c r="H14" s="1149"/>
      <c r="I14" s="1155">
        <v>54.817</v>
      </c>
      <c r="J14" s="1156">
        <v>67.971999999999994</v>
      </c>
      <c r="K14" s="1156">
        <v>72.953000000000003</v>
      </c>
      <c r="L14" s="1156">
        <v>73.430999999999997</v>
      </c>
      <c r="M14" s="1148">
        <f t="shared" si="1"/>
        <v>73.430999999999997</v>
      </c>
      <c r="N14" s="1149"/>
      <c r="O14" s="1155">
        <v>69.182000000000002</v>
      </c>
      <c r="P14" s="1156">
        <v>70.665999999999997</v>
      </c>
      <c r="Q14" s="1156">
        <v>80.849000000000004</v>
      </c>
      <c r="R14" s="1156">
        <v>92.775999999999996</v>
      </c>
      <c r="S14" s="1148">
        <f t="shared" si="2"/>
        <v>92.775999999999996</v>
      </c>
      <c r="T14" s="1149"/>
      <c r="U14" s="1155">
        <v>100.623</v>
      </c>
      <c r="V14" s="1156">
        <v>119.44499999999999</v>
      </c>
      <c r="W14" s="1156">
        <v>130.029</v>
      </c>
      <c r="X14" s="1156">
        <v>142.21100000000001</v>
      </c>
      <c r="Y14" s="1148">
        <f t="shared" si="3"/>
        <v>142.21100000000001</v>
      </c>
      <c r="Z14" s="1149"/>
      <c r="AA14" s="1155">
        <v>150.708</v>
      </c>
      <c r="AB14" s="1156">
        <v>142.583</v>
      </c>
      <c r="AC14" s="1156">
        <v>139.26499999999999</v>
      </c>
      <c r="AD14" s="1156">
        <v>128.78100000000001</v>
      </c>
      <c r="AE14" s="1150">
        <f t="shared" si="4"/>
        <v>128.78100000000001</v>
      </c>
      <c r="AF14" s="1151"/>
      <c r="AG14" s="1155">
        <v>128.684</v>
      </c>
      <c r="AH14" s="1156">
        <v>133.84399999999999</v>
      </c>
      <c r="AI14" s="1156">
        <v>147.684</v>
      </c>
      <c r="AJ14" s="1156">
        <v>158.71799999999999</v>
      </c>
      <c r="AK14" s="1150">
        <f t="shared" si="5"/>
        <v>158.71799999999999</v>
      </c>
      <c r="AL14" s="1158"/>
      <c r="AM14" s="1155">
        <v>167.959</v>
      </c>
      <c r="AN14" s="1156">
        <v>168.07</v>
      </c>
      <c r="AO14" s="1156">
        <v>159.86600000000001</v>
      </c>
      <c r="AP14" s="1156">
        <v>154.09899999999999</v>
      </c>
      <c r="AQ14" s="1150">
        <f t="shared" si="6"/>
        <v>154.09899999999999</v>
      </c>
      <c r="AR14" s="1160"/>
      <c r="AS14" s="1449">
        <v>164.23099999999999</v>
      </c>
      <c r="AT14" s="1507">
        <v>177.53399999999999</v>
      </c>
      <c r="AU14" s="1507">
        <v>199.298</v>
      </c>
      <c r="AV14" s="1507">
        <v>191.14400000000001</v>
      </c>
      <c r="AW14" s="1587">
        <f t="shared" si="7"/>
        <v>191.14400000000001</v>
      </c>
      <c r="AX14" s="1160"/>
      <c r="AY14" s="1449">
        <v>205.184</v>
      </c>
      <c r="AZ14" s="1506">
        <v>223.62</v>
      </c>
      <c r="BA14" s="1506">
        <v>233.78100000000001</v>
      </c>
      <c r="BB14" s="1507">
        <v>270.77699999999999</v>
      </c>
      <c r="BC14" s="1587">
        <f t="shared" si="8"/>
        <v>270.77699999999999</v>
      </c>
      <c r="BD14" s="1160"/>
      <c r="BE14" s="2757">
        <v>287.91899999999998</v>
      </c>
      <c r="BF14" s="2316">
        <v>311.36399999999998</v>
      </c>
      <c r="BG14" s="2316">
        <v>312.24200000000002</v>
      </c>
      <c r="BH14" s="2758">
        <v>300.17</v>
      </c>
      <c r="BI14" s="1587">
        <f t="shared" si="9"/>
        <v>300.17</v>
      </c>
      <c r="BJ14" s="1160"/>
      <c r="BK14" s="2757">
        <v>299</v>
      </c>
      <c r="BL14" s="2316">
        <v>309</v>
      </c>
      <c r="BM14" s="2316">
        <v>327</v>
      </c>
      <c r="BN14" s="2758">
        <v>333</v>
      </c>
      <c r="BO14" s="1150">
        <f t="shared" si="10"/>
        <v>333</v>
      </c>
      <c r="BP14" s="1160"/>
      <c r="BQ14" s="1161">
        <f>(IS!BQ12*BS!BQ68)/(365/4)</f>
        <v>349.77152593198394</v>
      </c>
      <c r="BR14" s="1162">
        <f>(IS!BR12*BS!BR68)/(365/4)</f>
        <v>347.35695253559658</v>
      </c>
      <c r="BS14" s="1162">
        <f>(IS!BS12*BS!BS68)/(365/4)</f>
        <v>367.62658294755829</v>
      </c>
      <c r="BT14" s="1163">
        <f>(IS!BT12*BS!BT68)/(365/4)</f>
        <v>384.08639343183813</v>
      </c>
      <c r="BU14" s="1150">
        <f t="shared" si="11"/>
        <v>384.08639343183813</v>
      </c>
      <c r="BV14" s="1160"/>
      <c r="BW14" s="1161">
        <f>(IS!BW12*BS!BW68)/(365/4)</f>
        <v>395.63223454478396</v>
      </c>
      <c r="BX14" s="1162">
        <f>(IS!BX12*BS!BX68)/(365/4)</f>
        <v>387.55417352235884</v>
      </c>
      <c r="BY14" s="1162">
        <f>(IS!BY12*BS!BY68)/(365/4)</f>
        <v>407.17265409261512</v>
      </c>
      <c r="BZ14" s="1163">
        <f>(IS!BZ12*BS!BZ68)/(365/4)</f>
        <v>425.20779003251283</v>
      </c>
      <c r="CA14" s="1150">
        <f t="shared" si="12"/>
        <v>425.20779003251283</v>
      </c>
      <c r="CB14" s="1160"/>
      <c r="CC14" s="1161">
        <f>(IS!CC12*BS!CC68)/(365/4)</f>
        <v>438.10019540961025</v>
      </c>
      <c r="CD14" s="1162">
        <f>(IS!CD12*BS!CD68)/(365/4)</f>
        <v>431.13030474924756</v>
      </c>
      <c r="CE14" s="1162">
        <f>(IS!CE12*BS!CE68)/(365/4)</f>
        <v>452.73026266732796</v>
      </c>
      <c r="CF14" s="1163">
        <f>(IS!CF12*BS!CF68)/(365/4)</f>
        <v>473.74815578458032</v>
      </c>
      <c r="CG14" s="1150">
        <f t="shared" si="13"/>
        <v>473.74815578458032</v>
      </c>
      <c r="CH14" s="1160"/>
      <c r="CI14" s="1161">
        <f>(IS!CI12*BS!CI68)/(365/4)</f>
        <v>486.99526979902009</v>
      </c>
      <c r="CJ14" s="1162">
        <f>(IS!CJ12*BS!CJ68)/(365/4)</f>
        <v>480.42091339768302</v>
      </c>
      <c r="CK14" s="1162">
        <f>(IS!CK12*BS!CK68)/(365/4)</f>
        <v>504.28515402797092</v>
      </c>
      <c r="CL14" s="1163">
        <f>(IS!CL12*BS!CL68)/(365/4)</f>
        <v>529.06893356385081</v>
      </c>
      <c r="CM14" s="1150">
        <f t="shared" si="14"/>
        <v>529.06893356385081</v>
      </c>
      <c r="CN14" s="1160"/>
      <c r="CO14" s="1161">
        <f>(IS!CO12*BS!CO68)/(365/4)</f>
        <v>536.98894812459878</v>
      </c>
      <c r="CP14" s="1162">
        <f>(IS!CP12*BS!CP68)/(365/4)</f>
        <v>532.12871083731602</v>
      </c>
      <c r="CQ14" s="1162">
        <f>(IS!CQ12*BS!CQ68)/(365/4)</f>
        <v>560.36181247764659</v>
      </c>
      <c r="CR14" s="1163">
        <f>(IS!CR12*BS!CR68)/(365/4)</f>
        <v>588.82421813520523</v>
      </c>
      <c r="CS14" s="1150">
        <f t="shared" si="15"/>
        <v>588.82421813520523</v>
      </c>
      <c r="CT14" s="1151"/>
      <c r="CU14" s="63"/>
      <c r="CV14" s="1144"/>
      <c r="CW14" s="63"/>
    </row>
    <row r="15" spans="1:101">
      <c r="A15" s="1879" t="s">
        <v>285</v>
      </c>
      <c r="B15" s="1139"/>
      <c r="C15" s="1155">
        <v>0</v>
      </c>
      <c r="D15" s="1156">
        <v>0</v>
      </c>
      <c r="E15" s="1156">
        <v>0</v>
      </c>
      <c r="F15" s="1156">
        <v>26.934000000000001</v>
      </c>
      <c r="G15" s="1148">
        <f>F15</f>
        <v>26.934000000000001</v>
      </c>
      <c r="H15" s="1149"/>
      <c r="I15" s="1155">
        <v>9.9610000000000003</v>
      </c>
      <c r="J15" s="1156">
        <v>9.6460000000000008</v>
      </c>
      <c r="K15" s="1156">
        <v>8.4239999999999995</v>
      </c>
      <c r="L15" s="1156">
        <v>8.6349999999999998</v>
      </c>
      <c r="M15" s="1148">
        <f t="shared" si="1"/>
        <v>8.6349999999999998</v>
      </c>
      <c r="N15" s="1149"/>
      <c r="O15" s="1155">
        <f>8.901</f>
        <v>8.9009999999999998</v>
      </c>
      <c r="P15" s="1156">
        <v>9.9290000000000003</v>
      </c>
      <c r="Q15" s="1156">
        <v>11.391</v>
      </c>
      <c r="R15" s="1156">
        <v>20.021000000000001</v>
      </c>
      <c r="S15" s="1148">
        <f t="shared" si="2"/>
        <v>20.021000000000001</v>
      </c>
      <c r="T15" s="1149"/>
      <c r="U15" s="1155">
        <v>19.084</v>
      </c>
      <c r="V15" s="1156">
        <v>19.158000000000001</v>
      </c>
      <c r="W15" s="1156">
        <v>16.808</v>
      </c>
      <c r="X15" s="1156">
        <v>19.378</v>
      </c>
      <c r="Y15" s="1148">
        <f t="shared" si="3"/>
        <v>19.378</v>
      </c>
      <c r="Z15" s="1149"/>
      <c r="AA15" s="1155">
        <v>17.442</v>
      </c>
      <c r="AB15" s="1156">
        <v>22.45</v>
      </c>
      <c r="AC15" s="1156">
        <v>25.122</v>
      </c>
      <c r="AD15" s="1156">
        <v>23.187999999999999</v>
      </c>
      <c r="AE15" s="1150">
        <f t="shared" si="4"/>
        <v>23.187999999999999</v>
      </c>
      <c r="AF15" s="1151"/>
      <c r="AG15" s="1155">
        <v>22.692</v>
      </c>
      <c r="AH15" s="1156">
        <v>23.914000000000001</v>
      </c>
      <c r="AI15" s="1156">
        <v>27.228999999999999</v>
      </c>
      <c r="AJ15" s="1156">
        <v>30.451000000000001</v>
      </c>
      <c r="AK15" s="1150">
        <f t="shared" si="5"/>
        <v>30.451000000000001</v>
      </c>
      <c r="AL15" s="1158"/>
      <c r="AM15" s="1155">
        <v>73.988</v>
      </c>
      <c r="AN15" s="1156">
        <v>84.887</v>
      </c>
      <c r="AO15" s="1156">
        <v>85.474999999999994</v>
      </c>
      <c r="AP15" s="1156">
        <v>36.076000000000001</v>
      </c>
      <c r="AQ15" s="1150">
        <f t="shared" si="6"/>
        <v>36.076000000000001</v>
      </c>
      <c r="AR15" s="1160"/>
      <c r="AS15" s="1449">
        <v>40.348999999999997</v>
      </c>
      <c r="AT15" s="1507">
        <v>44.929000000000002</v>
      </c>
      <c r="AU15" s="1507">
        <v>101.93</v>
      </c>
      <c r="AV15" s="1507">
        <v>40.786000000000001</v>
      </c>
      <c r="AW15" s="1587">
        <f t="shared" si="7"/>
        <v>40.786000000000001</v>
      </c>
      <c r="AX15" s="1160"/>
      <c r="AY15" s="1449">
        <v>49.104999999999997</v>
      </c>
      <c r="AZ15" s="1506">
        <v>51.676000000000002</v>
      </c>
      <c r="BA15" s="1506">
        <v>43.737000000000002</v>
      </c>
      <c r="BB15" s="1507">
        <v>0</v>
      </c>
      <c r="BC15" s="1587">
        <f t="shared" si="8"/>
        <v>0</v>
      </c>
      <c r="BD15" s="1160"/>
      <c r="BE15" s="2757">
        <v>0</v>
      </c>
      <c r="BF15" s="2756">
        <v>0</v>
      </c>
      <c r="BG15" s="2756">
        <v>0</v>
      </c>
      <c r="BH15" s="2758">
        <v>0</v>
      </c>
      <c r="BI15" s="1587">
        <f t="shared" si="9"/>
        <v>0</v>
      </c>
      <c r="BJ15" s="1160"/>
      <c r="BK15" s="2757">
        <v>0</v>
      </c>
      <c r="BL15" s="2756">
        <v>0</v>
      </c>
      <c r="BM15" s="2756">
        <v>0</v>
      </c>
      <c r="BN15" s="2758">
        <v>0</v>
      </c>
      <c r="BO15" s="1150">
        <f t="shared" si="10"/>
        <v>0</v>
      </c>
      <c r="BP15" s="1160"/>
      <c r="BQ15" s="1161">
        <f>BO15*1.03</f>
        <v>0</v>
      </c>
      <c r="BR15" s="1162">
        <f>BQ15*1.03</f>
        <v>0</v>
      </c>
      <c r="BS15" s="1162">
        <f>BR15*1.03</f>
        <v>0</v>
      </c>
      <c r="BT15" s="1163">
        <f>BS15*1.03</f>
        <v>0</v>
      </c>
      <c r="BU15" s="1150">
        <f t="shared" si="11"/>
        <v>0</v>
      </c>
      <c r="BV15" s="1160"/>
      <c r="BW15" s="1161">
        <f>BU15*1.03</f>
        <v>0</v>
      </c>
      <c r="BX15" s="1162">
        <f>BW15*1.03</f>
        <v>0</v>
      </c>
      <c r="BY15" s="1162">
        <f>BX15*1.03</f>
        <v>0</v>
      </c>
      <c r="BZ15" s="1163">
        <f>BY15*1.03</f>
        <v>0</v>
      </c>
      <c r="CA15" s="1150">
        <f t="shared" si="12"/>
        <v>0</v>
      </c>
      <c r="CB15" s="1160"/>
      <c r="CC15" s="1161">
        <f>CA15*1.03</f>
        <v>0</v>
      </c>
      <c r="CD15" s="1162">
        <f>CC15*1.03</f>
        <v>0</v>
      </c>
      <c r="CE15" s="1162">
        <f>CD15*1.03</f>
        <v>0</v>
      </c>
      <c r="CF15" s="1163">
        <f>CE15*1.03</f>
        <v>0</v>
      </c>
      <c r="CG15" s="1150">
        <f t="shared" si="13"/>
        <v>0</v>
      </c>
      <c r="CH15" s="1160"/>
      <c r="CI15" s="1161">
        <f>CG15*1.03</f>
        <v>0</v>
      </c>
      <c r="CJ15" s="1162">
        <f>CI15*1.03</f>
        <v>0</v>
      </c>
      <c r="CK15" s="1162">
        <f>CJ15*1.03</f>
        <v>0</v>
      </c>
      <c r="CL15" s="1163">
        <f>CK15*1.03</f>
        <v>0</v>
      </c>
      <c r="CM15" s="1150">
        <f t="shared" si="14"/>
        <v>0</v>
      </c>
      <c r="CN15" s="1160"/>
      <c r="CO15" s="1161">
        <f>CM15*1.03</f>
        <v>0</v>
      </c>
      <c r="CP15" s="1162">
        <f>CO15*1.03</f>
        <v>0</v>
      </c>
      <c r="CQ15" s="1162">
        <f>CP15*1.03</f>
        <v>0</v>
      </c>
      <c r="CR15" s="1163">
        <f>CQ15*1.03</f>
        <v>0</v>
      </c>
      <c r="CS15" s="1150">
        <f t="shared" si="15"/>
        <v>0</v>
      </c>
      <c r="CT15" s="1151"/>
      <c r="CU15" s="63"/>
      <c r="CV15" s="1144"/>
      <c r="CW15" s="63"/>
    </row>
    <row r="16" spans="1:101">
      <c r="A16" s="1879" t="s">
        <v>286</v>
      </c>
      <c r="B16" s="1139"/>
      <c r="C16" s="1155">
        <v>8.2479999999999993</v>
      </c>
      <c r="D16" s="1156">
        <v>8.5850000000000009</v>
      </c>
      <c r="E16" s="1156">
        <v>8.9480000000000004</v>
      </c>
      <c r="F16" s="1156">
        <v>12.64</v>
      </c>
      <c r="G16" s="1148">
        <f t="shared" si="0"/>
        <v>12.64</v>
      </c>
      <c r="H16" s="1149"/>
      <c r="I16" s="1155">
        <f>33.17</f>
        <v>33.17</v>
      </c>
      <c r="J16" s="1156">
        <f>23.778</f>
        <v>23.777999999999999</v>
      </c>
      <c r="K16" s="1156">
        <f>20.041</f>
        <v>20.041</v>
      </c>
      <c r="L16" s="1156">
        <v>9.5299999999999994</v>
      </c>
      <c r="M16" s="1148">
        <f t="shared" si="1"/>
        <v>9.5299999999999994</v>
      </c>
      <c r="N16" s="1149"/>
      <c r="O16" s="1155">
        <v>11.865</v>
      </c>
      <c r="P16" s="1156">
        <f>12.344</f>
        <v>12.343999999999999</v>
      </c>
      <c r="Q16" s="1156">
        <f>16.281</f>
        <v>16.280999999999999</v>
      </c>
      <c r="R16" s="1156">
        <v>17.515000000000001</v>
      </c>
      <c r="S16" s="1148">
        <f t="shared" si="2"/>
        <v>17.515000000000001</v>
      </c>
      <c r="T16" s="1149"/>
      <c r="U16" s="1155">
        <f>16.797</f>
        <v>16.797000000000001</v>
      </c>
      <c r="V16" s="1156">
        <f>16.345</f>
        <v>16.344999999999999</v>
      </c>
      <c r="W16" s="1156">
        <f>16.076</f>
        <v>16.076000000000001</v>
      </c>
      <c r="X16" s="1156">
        <v>36.921999999999997</v>
      </c>
      <c r="Y16" s="1148">
        <f t="shared" si="3"/>
        <v>36.921999999999997</v>
      </c>
      <c r="Z16" s="1149"/>
      <c r="AA16" s="1155">
        <f>26.761</f>
        <v>26.760999999999999</v>
      </c>
      <c r="AB16" s="1156">
        <f>30.937</f>
        <v>30.937000000000001</v>
      </c>
      <c r="AC16" s="1156">
        <v>38.585000000000001</v>
      </c>
      <c r="AD16" s="1156">
        <v>29.196000000000002</v>
      </c>
      <c r="AE16" s="1150">
        <f t="shared" si="4"/>
        <v>29.196000000000002</v>
      </c>
      <c r="AF16" s="1151"/>
      <c r="AG16" s="1155">
        <v>17.318000000000001</v>
      </c>
      <c r="AH16" s="1156">
        <v>16.366</v>
      </c>
      <c r="AI16" s="1156">
        <v>20.111999999999998</v>
      </c>
      <c r="AJ16" s="1156">
        <v>32.700000000000003</v>
      </c>
      <c r="AK16" s="1150">
        <f t="shared" si="5"/>
        <v>32.700000000000003</v>
      </c>
      <c r="AL16" s="1158"/>
      <c r="AM16" s="1155">
        <v>30.524999999999999</v>
      </c>
      <c r="AN16" s="1156">
        <v>56.558</v>
      </c>
      <c r="AO16" s="1156">
        <v>28.876999999999999</v>
      </c>
      <c r="AP16" s="1156">
        <v>22.811</v>
      </c>
      <c r="AQ16" s="1150">
        <f t="shared" si="6"/>
        <v>22.811</v>
      </c>
      <c r="AR16" s="1160"/>
      <c r="AS16" s="1449">
        <v>42.515999999999998</v>
      </c>
      <c r="AT16" s="1507">
        <v>36.508000000000003</v>
      </c>
      <c r="AU16" s="1507">
        <v>57.624000000000002</v>
      </c>
      <c r="AV16" s="1507">
        <v>29.844000000000001</v>
      </c>
      <c r="AW16" s="1587">
        <f t="shared" si="7"/>
        <v>29.844000000000001</v>
      </c>
      <c r="AX16" s="1160"/>
      <c r="AY16" s="1449">
        <v>89.459000000000003</v>
      </c>
      <c r="AZ16" s="1506">
        <v>83.402000000000001</v>
      </c>
      <c r="BA16" s="1506">
        <v>80.03</v>
      </c>
      <c r="BB16" s="1507">
        <v>54.296999999999997</v>
      </c>
      <c r="BC16" s="1587">
        <f t="shared" si="8"/>
        <v>54.296999999999997</v>
      </c>
      <c r="BD16" s="1160"/>
      <c r="BE16" s="2757">
        <v>40.273000000000003</v>
      </c>
      <c r="BF16" s="2756">
        <v>33.920999999999999</v>
      </c>
      <c r="BG16" s="2756">
        <v>47.695999999999998</v>
      </c>
      <c r="BH16" s="2758">
        <v>77.881</v>
      </c>
      <c r="BI16" s="1587">
        <f t="shared" si="9"/>
        <v>77.881</v>
      </c>
      <c r="BJ16" s="1160"/>
      <c r="BK16" s="2757">
        <v>72</v>
      </c>
      <c r="BL16" s="2756">
        <v>69</v>
      </c>
      <c r="BM16" s="2756">
        <v>54</v>
      </c>
      <c r="BN16" s="2758">
        <v>91</v>
      </c>
      <c r="BO16" s="1150">
        <f t="shared" si="10"/>
        <v>91</v>
      </c>
      <c r="BP16" s="1160"/>
      <c r="BQ16" s="1161">
        <f>(IS!BQ9*4*BS!BQ81)</f>
        <v>100.096</v>
      </c>
      <c r="BR16" s="1162">
        <f>(IS!BR9*4*BS!BR81)</f>
        <v>101.17531773312832</v>
      </c>
      <c r="BS16" s="1162">
        <f>(IS!BS9*4*BS!BS81)</f>
        <v>103.1266110055282</v>
      </c>
      <c r="BT16" s="1163">
        <f>(IS!BT9*4*BS!BT81)</f>
        <v>107.5607202779281</v>
      </c>
      <c r="BU16" s="1150">
        <f t="shared" si="11"/>
        <v>107.5607202779281</v>
      </c>
      <c r="BV16" s="1160"/>
      <c r="BW16" s="1161">
        <f>(IS!BW9*4*BS!BW81)</f>
        <v>115.19153177431446</v>
      </c>
      <c r="BX16" s="1162">
        <f>(IS!BX9*4*BS!BX81)</f>
        <v>114.86953250047705</v>
      </c>
      <c r="BY16" s="1162">
        <f>(IS!BY9*4*BS!BY81)</f>
        <v>116.43307605740888</v>
      </c>
      <c r="BZ16" s="1163">
        <f>(IS!BZ9*4*BS!BZ81)</f>
        <v>121.15329299895612</v>
      </c>
      <c r="CA16" s="1150">
        <f t="shared" si="12"/>
        <v>121.15329299895612</v>
      </c>
      <c r="CB16" s="1160"/>
      <c r="CC16" s="1161">
        <f>(IS!CC9*4*BS!CC81)</f>
        <v>126.88952905411281</v>
      </c>
      <c r="CD16" s="1162">
        <f>(IS!CD9*4*BS!CD81)</f>
        <v>126.64778060337602</v>
      </c>
      <c r="CE16" s="1162">
        <f>(IS!CE9*4*BS!CE81)</f>
        <v>128.33663316466289</v>
      </c>
      <c r="CF16" s="1163">
        <f>(IS!CF9*4*BS!CF81)</f>
        <v>133.72371517470717</v>
      </c>
      <c r="CG16" s="1150">
        <f t="shared" si="13"/>
        <v>133.72371517470717</v>
      </c>
      <c r="CH16" s="1160"/>
      <c r="CI16" s="1161">
        <f>(IS!CI9*4*BS!CI81)</f>
        <v>140.12786519985727</v>
      </c>
      <c r="CJ16" s="1162">
        <f>(IS!CJ9*4*BS!CJ81)</f>
        <v>139.83585686939222</v>
      </c>
      <c r="CK16" s="1162">
        <f>(IS!CK9*4*BS!CK81)</f>
        <v>141.62115348314359</v>
      </c>
      <c r="CL16" s="1163">
        <f>(IS!CL9*4*BS!CL81)</f>
        <v>147.92868576161078</v>
      </c>
      <c r="CM16" s="1150">
        <f t="shared" si="14"/>
        <v>147.92868576161078</v>
      </c>
      <c r="CN16" s="1160"/>
      <c r="CO16" s="1161">
        <f>(IS!CO9*4*BS!CO81)</f>
        <v>154.08646238936996</v>
      </c>
      <c r="CP16" s="1162">
        <f>(IS!CP9*4*BS!CP81)</f>
        <v>154.43941449653835</v>
      </c>
      <c r="CQ16" s="1162">
        <f>(IS!CQ9*4*BS!CQ81)</f>
        <v>156.97985775029682</v>
      </c>
      <c r="CR16" s="1163">
        <f>(IS!CR9*4*BS!CR81)</f>
        <v>164.16333967234738</v>
      </c>
      <c r="CS16" s="1150">
        <f t="shared" si="15"/>
        <v>164.16333967234738</v>
      </c>
      <c r="CT16" s="1151"/>
      <c r="CU16" s="63"/>
      <c r="CV16" s="1144"/>
      <c r="CW16" s="63"/>
    </row>
    <row r="17" spans="1:101">
      <c r="A17" s="1881" t="s">
        <v>287</v>
      </c>
      <c r="B17" s="1164"/>
      <c r="C17" s="1165">
        <f t="shared" ref="C17:AK17" si="16">SUM(C11:C16)</f>
        <v>424.536</v>
      </c>
      <c r="D17" s="1166">
        <f t="shared" si="16"/>
        <v>452.18599999999998</v>
      </c>
      <c r="E17" s="1166">
        <f t="shared" si="16"/>
        <v>486.93099999999993</v>
      </c>
      <c r="F17" s="1166">
        <f t="shared" si="16"/>
        <v>562.755</v>
      </c>
      <c r="G17" s="1167">
        <f t="shared" si="16"/>
        <v>562.755</v>
      </c>
      <c r="H17" s="1166"/>
      <c r="I17" s="1165">
        <f t="shared" si="16"/>
        <v>464.66200000000009</v>
      </c>
      <c r="J17" s="1166">
        <f t="shared" si="16"/>
        <v>506.65600000000001</v>
      </c>
      <c r="K17" s="1166">
        <f t="shared" si="16"/>
        <v>875.226</v>
      </c>
      <c r="L17" s="1166">
        <f t="shared" si="16"/>
        <v>864.93700000000001</v>
      </c>
      <c r="M17" s="1167">
        <f t="shared" si="16"/>
        <v>864.93700000000001</v>
      </c>
      <c r="N17" s="1166"/>
      <c r="O17" s="1165">
        <f t="shared" si="16"/>
        <v>897.16700000000003</v>
      </c>
      <c r="P17" s="1166">
        <f t="shared" si="16"/>
        <v>981.7589999999999</v>
      </c>
      <c r="Q17" s="1166">
        <f t="shared" si="16"/>
        <v>1031.356</v>
      </c>
      <c r="R17" s="1166">
        <f t="shared" si="16"/>
        <v>981.58999999999992</v>
      </c>
      <c r="S17" s="1167">
        <f t="shared" si="16"/>
        <v>981.58999999999992</v>
      </c>
      <c r="T17" s="1166"/>
      <c r="U17" s="1165">
        <f t="shared" si="16"/>
        <v>1040.5139999999999</v>
      </c>
      <c r="V17" s="1166">
        <f t="shared" si="16"/>
        <v>1088.2669999999998</v>
      </c>
      <c r="W17" s="1166">
        <f t="shared" si="16"/>
        <v>1140.347</v>
      </c>
      <c r="X17" s="1166">
        <f t="shared" si="16"/>
        <v>1258.3979999999999</v>
      </c>
      <c r="Y17" s="1167">
        <f t="shared" si="16"/>
        <v>1258.3979999999999</v>
      </c>
      <c r="Z17" s="1166"/>
      <c r="AA17" s="1165">
        <f t="shared" si="16"/>
        <v>1511.473</v>
      </c>
      <c r="AB17" s="1166">
        <f t="shared" si="16"/>
        <v>1623.3150000000001</v>
      </c>
      <c r="AC17" s="1166">
        <f>SUM(AC11:AC16)</f>
        <v>1504.2140000000002</v>
      </c>
      <c r="AD17" s="1166">
        <f>SUM(AD11:AD16)</f>
        <v>1544.6189999999999</v>
      </c>
      <c r="AE17" s="1168">
        <f t="shared" si="16"/>
        <v>1544.6189999999999</v>
      </c>
      <c r="AF17" s="1166"/>
      <c r="AG17" s="1165">
        <f t="shared" si="16"/>
        <v>1637.2909999999999</v>
      </c>
      <c r="AH17" s="1166">
        <f t="shared" si="16"/>
        <v>1664.3720000000001</v>
      </c>
      <c r="AI17" s="1166">
        <f>SUM(AI11:AI16)</f>
        <v>1646.2360000000001</v>
      </c>
      <c r="AJ17" s="1166">
        <f>SUM(AJ11:AJ16)</f>
        <v>1787.048</v>
      </c>
      <c r="AK17" s="1168">
        <f t="shared" si="16"/>
        <v>1787.048</v>
      </c>
      <c r="AL17" s="1166"/>
      <c r="AM17" s="1165">
        <f>SUM(AM11:AM16)</f>
        <v>1550.7730000000001</v>
      </c>
      <c r="AN17" s="1166">
        <f>SUM(AN11:AN16)</f>
        <v>1646.3909999999998</v>
      </c>
      <c r="AO17" s="1166">
        <f>SUM(AO11:AO16)</f>
        <v>1537.6459999999997</v>
      </c>
      <c r="AP17" s="1166">
        <f>SUM(AP11:AP16)</f>
        <v>1617.5349999999999</v>
      </c>
      <c r="AQ17" s="1168">
        <f>SUM(AQ11:AQ16)</f>
        <v>1617.5349999999999</v>
      </c>
      <c r="AR17" s="1166"/>
      <c r="AS17" s="1450">
        <f>SUM(AS11:AS16)</f>
        <v>1631.9430000000002</v>
      </c>
      <c r="AT17" s="1508">
        <f>SUM(AT11:AT16)</f>
        <v>1620.7210000000002</v>
      </c>
      <c r="AU17" s="1508">
        <f>SUM(AU11:AU16)</f>
        <v>1906.954</v>
      </c>
      <c r="AV17" s="1508">
        <f>SUM(AV11:AV16)</f>
        <v>1889.6030000000003</v>
      </c>
      <c r="AW17" s="1772">
        <f>SUM(AW11:AW16)</f>
        <v>1889.6030000000003</v>
      </c>
      <c r="AX17" s="1166"/>
      <c r="AY17" s="1450">
        <f>SUM(AY11:AY16)</f>
        <v>2060.2809999999999</v>
      </c>
      <c r="AZ17" s="1508">
        <f>SUM(AZ11:AZ16)</f>
        <v>2237.6909999999998</v>
      </c>
      <c r="BA17" s="1508">
        <f>SUM(BA11:BA16)</f>
        <v>2210.4280000000003</v>
      </c>
      <c r="BB17" s="1508">
        <f>SUM(BB11:BB16)</f>
        <v>2096.8229999999999</v>
      </c>
      <c r="BC17" s="1772">
        <f>SUM(BC11:BC16)</f>
        <v>2096.8229999999999</v>
      </c>
      <c r="BD17" s="1166"/>
      <c r="BE17" s="1453">
        <f>SUM(BE11:BE16)</f>
        <v>2073.7980000000002</v>
      </c>
      <c r="BF17" s="1166">
        <f>SUM(BF11:BF16)</f>
        <v>2143.0209999999997</v>
      </c>
      <c r="BG17" s="1166">
        <f>SUM(BG11:BG16)</f>
        <v>2277.8360000000002</v>
      </c>
      <c r="BH17" s="1508">
        <f>SUM(BH11:BH16)</f>
        <v>2318.0909999999999</v>
      </c>
      <c r="BI17" s="1772">
        <f>SUM(BI11:BI16)</f>
        <v>2318.0909999999999</v>
      </c>
      <c r="BJ17" s="1166"/>
      <c r="BK17" s="1453">
        <f>SUM(BK11:BK16)</f>
        <v>2517</v>
      </c>
      <c r="BL17" s="1166">
        <f>SUM(BL11:BL16)</f>
        <v>2643</v>
      </c>
      <c r="BM17" s="1166">
        <f>SUM(BM11:BM16)</f>
        <v>2805</v>
      </c>
      <c r="BN17" s="1508">
        <f>SUM(BN11:BN16)</f>
        <v>2980</v>
      </c>
      <c r="BO17" s="1168">
        <f>SUM(BO11:BO16)</f>
        <v>2980</v>
      </c>
      <c r="BP17" s="1166"/>
      <c r="BQ17" s="1169">
        <f>SUM(BQ11:BQ16)</f>
        <v>2873.0360830506711</v>
      </c>
      <c r="BR17" s="1166">
        <f>SUM(BR11:BR16)</f>
        <v>2964.7551644828677</v>
      </c>
      <c r="BS17" s="1166">
        <f>SUM(BS11:BS16)</f>
        <v>3019.0332496501542</v>
      </c>
      <c r="BT17" s="1170">
        <f>SUM(BT11:BT16)</f>
        <v>3098.0791819649248</v>
      </c>
      <c r="BU17" s="1168">
        <f>SUM(BU11:BU16)</f>
        <v>3098.0791819649248</v>
      </c>
      <c r="BV17" s="1166"/>
      <c r="BW17" s="1169">
        <f>SUM(BW11:BW16)</f>
        <v>3147.8439267386862</v>
      </c>
      <c r="BX17" s="1166">
        <f>SUM(BX11:BX16)</f>
        <v>3253.098111188071</v>
      </c>
      <c r="BY17" s="1166">
        <f>SUM(BY11:BY16)</f>
        <v>3325.5260173305724</v>
      </c>
      <c r="BZ17" s="1170">
        <f>SUM(BZ11:BZ16)</f>
        <v>3426.2127875483225</v>
      </c>
      <c r="CA17" s="1168">
        <f>SUM(CA11:CA16)</f>
        <v>3426.2127875483225</v>
      </c>
      <c r="CB17" s="1166"/>
      <c r="CC17" s="1169">
        <f>SUM(CC11:CC16)</f>
        <v>3531.1505400186074</v>
      </c>
      <c r="CD17" s="1166">
        <f>SUM(CD11:CD16)</f>
        <v>3732.8910361799744</v>
      </c>
      <c r="CE17" s="1166">
        <f>SUM(CE11:CE16)</f>
        <v>3906.8952157747849</v>
      </c>
      <c r="CF17" s="1170">
        <f>SUM(CF11:CF16)</f>
        <v>4117.500214333204</v>
      </c>
      <c r="CG17" s="1168">
        <f>SUM(CG11:CG16)</f>
        <v>4117.500214333204</v>
      </c>
      <c r="CH17" s="1166"/>
      <c r="CI17" s="1169">
        <f>SUM(CI11:CI16)</f>
        <v>4337.7393017451077</v>
      </c>
      <c r="CJ17" s="1166">
        <f>SUM(CJ11:CJ16)</f>
        <v>4531.2876003805322</v>
      </c>
      <c r="CK17" s="1166">
        <f>SUM(CK11:CK16)</f>
        <v>4690.1978657421832</v>
      </c>
      <c r="CL17" s="1170">
        <f>SUM(CL11:CL16)</f>
        <v>4887.6617438524117</v>
      </c>
      <c r="CM17" s="1168">
        <f>SUM(CM11:CM16)</f>
        <v>4887.6617438524117</v>
      </c>
      <c r="CN17" s="1166"/>
      <c r="CO17" s="1169">
        <f>SUM(CO11:CO16)</f>
        <v>5092.8649121746366</v>
      </c>
      <c r="CP17" s="1166">
        <f>SUM(CP11:CP16)</f>
        <v>5346.2805463241839</v>
      </c>
      <c r="CQ17" s="1166">
        <f>SUM(CQ11:CQ16)</f>
        <v>5565.545133534969</v>
      </c>
      <c r="CR17" s="1170">
        <f>SUM(CR11:CR16)</f>
        <v>5825.9915623639536</v>
      </c>
      <c r="CS17" s="1168">
        <f>SUM(CS11:CS16)</f>
        <v>5825.9915623639536</v>
      </c>
      <c r="CT17" s="2390"/>
      <c r="CU17" s="63"/>
      <c r="CV17" s="63"/>
      <c r="CW17" s="63"/>
    </row>
    <row r="18" spans="1:101">
      <c r="A18" s="1882" t="s">
        <v>288</v>
      </c>
      <c r="B18" s="317"/>
      <c r="C18" s="1155">
        <v>32.807000000000002</v>
      </c>
      <c r="D18" s="1156">
        <v>36.683</v>
      </c>
      <c r="E18" s="1156">
        <v>39.33</v>
      </c>
      <c r="F18" s="1156">
        <v>46.274000000000001</v>
      </c>
      <c r="G18" s="1148">
        <f t="shared" si="0"/>
        <v>46.274000000000001</v>
      </c>
      <c r="H18" s="1149"/>
      <c r="I18" s="1155">
        <v>55.034999999999997</v>
      </c>
      <c r="J18" s="1156">
        <v>72.125</v>
      </c>
      <c r="K18" s="1156">
        <v>82.197999999999993</v>
      </c>
      <c r="L18" s="1156">
        <v>89.436000000000007</v>
      </c>
      <c r="M18" s="1148">
        <f t="shared" ref="M18:M23" si="17">L18</f>
        <v>89.436000000000007</v>
      </c>
      <c r="N18" s="1149"/>
      <c r="O18" s="1155">
        <v>96.552000000000007</v>
      </c>
      <c r="P18" s="1156">
        <v>103.907</v>
      </c>
      <c r="Q18" s="1156">
        <v>116.70099999999999</v>
      </c>
      <c r="R18" s="1156">
        <v>117.188</v>
      </c>
      <c r="S18" s="1148">
        <f t="shared" ref="S18:S23" si="18">R18</f>
        <v>117.188</v>
      </c>
      <c r="T18" s="1149"/>
      <c r="U18" s="1155">
        <v>118.014</v>
      </c>
      <c r="V18" s="1156">
        <v>122.398</v>
      </c>
      <c r="W18" s="1156">
        <v>126.26900000000001</v>
      </c>
      <c r="X18" s="1156">
        <v>129.874</v>
      </c>
      <c r="Y18" s="1148">
        <f t="shared" ref="Y18:Y23" si="19">X18</f>
        <v>129.874</v>
      </c>
      <c r="Z18" s="1149"/>
      <c r="AA18" s="1155">
        <v>125.185</v>
      </c>
      <c r="AB18" s="1156">
        <v>129.762</v>
      </c>
      <c r="AC18" s="1156">
        <v>135.393</v>
      </c>
      <c r="AD18" s="1156">
        <v>143.483</v>
      </c>
      <c r="AE18" s="1150">
        <f t="shared" ref="AE18:AE23" si="20">AD18</f>
        <v>143.483</v>
      </c>
      <c r="AF18" s="1151"/>
      <c r="AG18" s="1155">
        <v>143.494</v>
      </c>
      <c r="AH18" s="1156">
        <v>147.917</v>
      </c>
      <c r="AI18" s="1156">
        <v>154.869</v>
      </c>
      <c r="AJ18" s="1156">
        <v>166.167</v>
      </c>
      <c r="AK18" s="1150">
        <f t="shared" ref="AK18:AK23" si="21">AJ18</f>
        <v>166.167</v>
      </c>
      <c r="AL18" s="1158"/>
      <c r="AM18" s="1155">
        <v>186.792</v>
      </c>
      <c r="AN18" s="1156">
        <v>187.36199999999999</v>
      </c>
      <c r="AO18" s="1156">
        <v>193.649</v>
      </c>
      <c r="AP18" s="1156">
        <v>202.666</v>
      </c>
      <c r="AQ18" s="1150">
        <f t="shared" ref="AQ18:AQ23" si="22">AP18</f>
        <v>202.666</v>
      </c>
      <c r="AR18" s="1160"/>
      <c r="AS18" s="1449">
        <v>210.37200000000001</v>
      </c>
      <c r="AT18" s="1507">
        <v>230.113</v>
      </c>
      <c r="AU18" s="1507">
        <v>247.643</v>
      </c>
      <c r="AV18" s="1507">
        <v>265.26400000000001</v>
      </c>
      <c r="AW18" s="1587">
        <f t="shared" ref="AW18:AW23" si="23">AV18</f>
        <v>265.26400000000001</v>
      </c>
      <c r="AX18" s="1160"/>
      <c r="AY18" s="1449">
        <v>280.62799999999999</v>
      </c>
      <c r="AZ18" s="1507">
        <v>302.83999999999997</v>
      </c>
      <c r="BA18" s="1507">
        <v>308.72199999999998</v>
      </c>
      <c r="BB18" s="1507">
        <v>342.69400000000002</v>
      </c>
      <c r="BC18" s="1587">
        <f t="shared" ref="BC18:BC23" si="24">BB18</f>
        <v>342.69400000000002</v>
      </c>
      <c r="BD18" s="1160"/>
      <c r="BE18" s="2757">
        <v>385.25299999999999</v>
      </c>
      <c r="BF18" s="2756">
        <v>511.35399999999998</v>
      </c>
      <c r="BG18" s="2756">
        <v>633.85599999999999</v>
      </c>
      <c r="BH18" s="2758">
        <v>713.33399999999995</v>
      </c>
      <c r="BI18" s="1587">
        <f t="shared" ref="BI18:BI23" si="25">BH18</f>
        <v>713.33399999999995</v>
      </c>
      <c r="BJ18" s="1160"/>
      <c r="BK18" s="2757">
        <v>734</v>
      </c>
      <c r="BL18" s="2756">
        <v>837</v>
      </c>
      <c r="BM18" s="2756">
        <v>862</v>
      </c>
      <c r="BN18" s="2758">
        <v>931</v>
      </c>
      <c r="BO18" s="1150">
        <f t="shared" ref="BO18:BO23" si="26">BN18</f>
        <v>931</v>
      </c>
      <c r="BP18" s="1160"/>
      <c r="BQ18" s="1161">
        <f>BQ106</f>
        <v>986.58199999999999</v>
      </c>
      <c r="BR18" s="1162">
        <f>BR106</f>
        <v>1040.9410386769073</v>
      </c>
      <c r="BS18" s="1162">
        <f>BS106</f>
        <v>1094.8032815428603</v>
      </c>
      <c r="BT18" s="1163">
        <f>BT106</f>
        <v>1150.2604762814603</v>
      </c>
      <c r="BU18" s="1150">
        <f t="shared" ref="BU18:BU23" si="27">BT18</f>
        <v>1150.2604762814603</v>
      </c>
      <c r="BV18" s="1160"/>
      <c r="BW18" s="1161">
        <f>BW106</f>
        <v>1206.9647453267564</v>
      </c>
      <c r="BX18" s="1162">
        <f>BX106</f>
        <v>1261.0008580652234</v>
      </c>
      <c r="BY18" s="1162">
        <f>BY106</f>
        <v>1313.9468085073738</v>
      </c>
      <c r="BZ18" s="1163">
        <f>BZ106</f>
        <v>1368.4005839829508</v>
      </c>
      <c r="CA18" s="1150">
        <f t="shared" ref="CA18:CA23" si="28">BZ18</f>
        <v>1368.4005839829508</v>
      </c>
      <c r="CB18" s="1160"/>
      <c r="CC18" s="1161">
        <f>CC106</f>
        <v>1425.1105292336797</v>
      </c>
      <c r="CD18" s="1162">
        <f>CD106</f>
        <v>1478.9754855868346</v>
      </c>
      <c r="CE18" s="1162">
        <f>CE106</f>
        <v>1531.6093236451577</v>
      </c>
      <c r="CF18" s="1163">
        <f>CF106</f>
        <v>1586.0587168542538</v>
      </c>
      <c r="CG18" s="1150">
        <f t="shared" ref="CG18:CG23" si="29">CF18</f>
        <v>1586.0587168542538</v>
      </c>
      <c r="CH18" s="1160"/>
      <c r="CI18" s="1161">
        <f>CI106</f>
        <v>1643.0589910181695</v>
      </c>
      <c r="CJ18" s="1162">
        <f>CJ106</f>
        <v>1696.8965943817</v>
      </c>
      <c r="CK18" s="1162">
        <f>CK106</f>
        <v>1749.3086979052441</v>
      </c>
      <c r="CL18" s="1163">
        <f>CL106</f>
        <v>1804.0266376299455</v>
      </c>
      <c r="CM18" s="1150">
        <f t="shared" ref="CM18:CM23" si="30">CL18</f>
        <v>1804.0266376299455</v>
      </c>
      <c r="CN18" s="1160"/>
      <c r="CO18" s="1161">
        <f>CO106</f>
        <v>1860.794210257746</v>
      </c>
      <c r="CP18" s="1162">
        <f>CP106</f>
        <v>1914.6457750084082</v>
      </c>
      <c r="CQ18" s="1162">
        <f>CQ106</f>
        <v>1967.3968880018579</v>
      </c>
      <c r="CR18" s="1163">
        <f>CR106</f>
        <v>2022.8638222272189</v>
      </c>
      <c r="CS18" s="1150">
        <f t="shared" ref="CS18:CS23" si="31">CR18</f>
        <v>2022.8638222272189</v>
      </c>
      <c r="CT18" s="1151"/>
      <c r="CU18" s="63"/>
      <c r="CV18" s="1171"/>
      <c r="CW18" s="63"/>
    </row>
    <row r="19" spans="1:101" outlineLevel="1">
      <c r="A19" s="1882" t="s">
        <v>289</v>
      </c>
      <c r="B19" s="317"/>
      <c r="C19" s="1155">
        <v>0</v>
      </c>
      <c r="D19" s="1156">
        <v>0</v>
      </c>
      <c r="E19" s="1156">
        <v>0</v>
      </c>
      <c r="F19" s="1156">
        <v>0</v>
      </c>
      <c r="G19" s="1148">
        <f t="shared" si="0"/>
        <v>0</v>
      </c>
      <c r="H19" s="1149"/>
      <c r="I19" s="1155">
        <v>53.496000000000002</v>
      </c>
      <c r="J19" s="1156">
        <v>52.825000000000003</v>
      </c>
      <c r="K19" s="1156">
        <v>51.567</v>
      </c>
      <c r="L19" s="1156">
        <v>55.9</v>
      </c>
      <c r="M19" s="1148">
        <f t="shared" si="17"/>
        <v>55.9</v>
      </c>
      <c r="N19" s="1149"/>
      <c r="O19" s="1155">
        <v>55.9</v>
      </c>
      <c r="P19" s="1156">
        <v>55.75</v>
      </c>
      <c r="Q19" s="1156">
        <v>55.45</v>
      </c>
      <c r="R19" s="1156">
        <v>0</v>
      </c>
      <c r="S19" s="1148">
        <f t="shared" si="18"/>
        <v>0</v>
      </c>
      <c r="T19" s="1149"/>
      <c r="U19" s="1155">
        <v>0</v>
      </c>
      <c r="V19" s="1156">
        <v>0</v>
      </c>
      <c r="W19" s="1156">
        <v>0</v>
      </c>
      <c r="X19" s="1156">
        <v>0</v>
      </c>
      <c r="Y19" s="1148">
        <f t="shared" si="19"/>
        <v>0</v>
      </c>
      <c r="Z19" s="1149"/>
      <c r="AA19" s="1155">
        <v>0</v>
      </c>
      <c r="AB19" s="1156">
        <v>0</v>
      </c>
      <c r="AC19" s="1156">
        <v>0</v>
      </c>
      <c r="AD19" s="1156">
        <v>0</v>
      </c>
      <c r="AE19" s="1172">
        <f t="shared" si="20"/>
        <v>0</v>
      </c>
      <c r="AF19" s="1160"/>
      <c r="AG19" s="1155">
        <v>0</v>
      </c>
      <c r="AH19" s="1156">
        <v>0</v>
      </c>
      <c r="AI19" s="1156">
        <v>0</v>
      </c>
      <c r="AJ19" s="1156">
        <v>0</v>
      </c>
      <c r="AK19" s="1172">
        <f t="shared" si="21"/>
        <v>0</v>
      </c>
      <c r="AL19" s="1158"/>
      <c r="AM19" s="1155">
        <v>0</v>
      </c>
      <c r="AN19" s="1156">
        <v>0</v>
      </c>
      <c r="AO19" s="1156">
        <v>0</v>
      </c>
      <c r="AP19" s="1156">
        <v>0</v>
      </c>
      <c r="AQ19" s="1172">
        <f t="shared" si="22"/>
        <v>0</v>
      </c>
      <c r="AR19" s="1160"/>
      <c r="AS19" s="1449">
        <v>0</v>
      </c>
      <c r="AT19" s="1507">
        <v>0</v>
      </c>
      <c r="AU19" s="1507">
        <v>0</v>
      </c>
      <c r="AV19" s="1507">
        <v>0</v>
      </c>
      <c r="AW19" s="1773">
        <f t="shared" si="23"/>
        <v>0</v>
      </c>
      <c r="AX19" s="1160"/>
      <c r="AY19" s="1449">
        <v>0</v>
      </c>
      <c r="AZ19" s="1507">
        <v>0</v>
      </c>
      <c r="BA19" s="1507">
        <v>0</v>
      </c>
      <c r="BB19" s="1507">
        <v>0</v>
      </c>
      <c r="BC19" s="1773">
        <f t="shared" si="24"/>
        <v>0</v>
      </c>
      <c r="BD19" s="1160"/>
      <c r="BE19" s="2757">
        <v>0</v>
      </c>
      <c r="BF19" s="2756">
        <v>0</v>
      </c>
      <c r="BG19" s="2756">
        <v>0</v>
      </c>
      <c r="BH19" s="2758">
        <v>0</v>
      </c>
      <c r="BI19" s="1773">
        <f t="shared" si="25"/>
        <v>0</v>
      </c>
      <c r="BJ19" s="1160"/>
      <c r="BK19" s="2757">
        <v>0</v>
      </c>
      <c r="BL19" s="2756">
        <v>0</v>
      </c>
      <c r="BM19" s="2756">
        <v>0</v>
      </c>
      <c r="BN19" s="2758">
        <v>0</v>
      </c>
      <c r="BO19" s="1172">
        <f t="shared" si="26"/>
        <v>0</v>
      </c>
      <c r="BP19" s="1160"/>
      <c r="BQ19" s="1161">
        <f>BO19-CFS!BQ33</f>
        <v>0</v>
      </c>
      <c r="BR19" s="1162">
        <f>BQ19-CFS!BR33</f>
        <v>0</v>
      </c>
      <c r="BS19" s="1162">
        <f>BR19-CFS!BS33</f>
        <v>0</v>
      </c>
      <c r="BT19" s="1163">
        <f>BS19-CFS!BT33</f>
        <v>0</v>
      </c>
      <c r="BU19" s="1172">
        <f t="shared" si="27"/>
        <v>0</v>
      </c>
      <c r="BV19" s="1160"/>
      <c r="BW19" s="1161">
        <f>BU19-CFS!BW33</f>
        <v>0</v>
      </c>
      <c r="BX19" s="1162">
        <f>BW19-CFS!BX33</f>
        <v>0</v>
      </c>
      <c r="BY19" s="1162">
        <f>BX19-CFS!BY33</f>
        <v>0</v>
      </c>
      <c r="BZ19" s="1163">
        <f>BY19-CFS!BZ33</f>
        <v>0</v>
      </c>
      <c r="CA19" s="1172">
        <f t="shared" si="28"/>
        <v>0</v>
      </c>
      <c r="CB19" s="1160"/>
      <c r="CC19" s="1161">
        <f>CA19-CFS!CC33</f>
        <v>0</v>
      </c>
      <c r="CD19" s="1162">
        <f>CC19-CFS!CD33</f>
        <v>0</v>
      </c>
      <c r="CE19" s="1162">
        <f>CD19-CFS!CE33</f>
        <v>0</v>
      </c>
      <c r="CF19" s="1163">
        <f>CE19-CFS!CF33</f>
        <v>0</v>
      </c>
      <c r="CG19" s="1172">
        <f t="shared" si="29"/>
        <v>0</v>
      </c>
      <c r="CH19" s="1160"/>
      <c r="CI19" s="1161">
        <f>CG19-CFS!CI33</f>
        <v>0</v>
      </c>
      <c r="CJ19" s="1162">
        <f>CI19-CFS!CJ33</f>
        <v>0</v>
      </c>
      <c r="CK19" s="1162">
        <f>CJ19-CFS!CK33</f>
        <v>0</v>
      </c>
      <c r="CL19" s="1163">
        <f>CK19-CFS!CL33</f>
        <v>0</v>
      </c>
      <c r="CM19" s="1172">
        <f t="shared" si="30"/>
        <v>0</v>
      </c>
      <c r="CN19" s="1160"/>
      <c r="CO19" s="1161">
        <f>CM19-CFS!CO33</f>
        <v>0</v>
      </c>
      <c r="CP19" s="1162">
        <f>CO19-CFS!CP33</f>
        <v>0</v>
      </c>
      <c r="CQ19" s="1162">
        <f>CP19-CFS!CQ33</f>
        <v>0</v>
      </c>
      <c r="CR19" s="1163">
        <f>CQ19-CFS!CR33</f>
        <v>0</v>
      </c>
      <c r="CS19" s="1172">
        <f t="shared" si="31"/>
        <v>0</v>
      </c>
      <c r="CT19" s="1160"/>
      <c r="CU19" s="63"/>
      <c r="CV19" s="1171"/>
      <c r="CW19" s="63"/>
    </row>
    <row r="20" spans="1:101">
      <c r="A20" s="1882" t="s">
        <v>216</v>
      </c>
      <c r="B20" s="317"/>
      <c r="C20" s="1155">
        <v>248.54300000000001</v>
      </c>
      <c r="D20" s="1156">
        <v>248.77799999999999</v>
      </c>
      <c r="E20" s="1156">
        <v>249.227</v>
      </c>
      <c r="F20" s="1156">
        <v>228.73400000000001</v>
      </c>
      <c r="G20" s="1148">
        <f t="shared" si="0"/>
        <v>228.73400000000001</v>
      </c>
      <c r="H20" s="1149"/>
      <c r="I20" s="1155">
        <v>228.73400000000001</v>
      </c>
      <c r="J20" s="1156">
        <v>228.73400000000001</v>
      </c>
      <c r="K20" s="1156">
        <v>228.73400000000001</v>
      </c>
      <c r="L20" s="1156">
        <v>228.73400000000001</v>
      </c>
      <c r="M20" s="1148">
        <f t="shared" si="17"/>
        <v>228.73400000000001</v>
      </c>
      <c r="N20" s="1149"/>
      <c r="O20" s="1155">
        <v>228.73400000000001</v>
      </c>
      <c r="P20" s="1156">
        <v>228.73400000000001</v>
      </c>
      <c r="Q20" s="1156">
        <v>228.73400000000001</v>
      </c>
      <c r="R20" s="1156">
        <v>213.452</v>
      </c>
      <c r="S20" s="1148">
        <f t="shared" si="18"/>
        <v>213.452</v>
      </c>
      <c r="T20" s="1149"/>
      <c r="U20" s="1155">
        <v>213.452</v>
      </c>
      <c r="V20" s="1156">
        <v>271.81900000000002</v>
      </c>
      <c r="W20" s="1156">
        <v>278.11200000000002</v>
      </c>
      <c r="X20" s="1156">
        <v>278.20600000000002</v>
      </c>
      <c r="Y20" s="1148">
        <f t="shared" si="19"/>
        <v>278.20600000000002</v>
      </c>
      <c r="Z20" s="1149"/>
      <c r="AA20" s="1155">
        <v>320.54300000000001</v>
      </c>
      <c r="AB20" s="1156">
        <v>321.85300000000001</v>
      </c>
      <c r="AC20" s="1156">
        <v>321.85300000000001</v>
      </c>
      <c r="AD20" s="1156">
        <v>321.85300000000001</v>
      </c>
      <c r="AE20" s="1150">
        <f t="shared" si="20"/>
        <v>321.85300000000001</v>
      </c>
      <c r="AF20" s="1151"/>
      <c r="AG20" s="1155">
        <v>321.85300000000001</v>
      </c>
      <c r="AH20" s="1156">
        <v>321.85300000000001</v>
      </c>
      <c r="AI20" s="1156">
        <v>370.18900000000002</v>
      </c>
      <c r="AJ20" s="1156">
        <v>369.327</v>
      </c>
      <c r="AK20" s="1150">
        <f t="shared" si="21"/>
        <v>369.327</v>
      </c>
      <c r="AL20" s="1158"/>
      <c r="AM20" s="1155">
        <v>604.49300000000005</v>
      </c>
      <c r="AN20" s="1156">
        <v>596.58799999999997</v>
      </c>
      <c r="AO20" s="1156">
        <v>667.19200000000001</v>
      </c>
      <c r="AP20" s="1156">
        <v>723.06100000000004</v>
      </c>
      <c r="AQ20" s="1150">
        <f t="shared" si="22"/>
        <v>723.06100000000004</v>
      </c>
      <c r="AR20" s="1160"/>
      <c r="AS20" s="1449">
        <v>723.25900000000001</v>
      </c>
      <c r="AT20" s="1507">
        <v>721.64800000000002</v>
      </c>
      <c r="AU20" s="1507">
        <v>724.88699999999994</v>
      </c>
      <c r="AV20" s="1507">
        <v>724.904</v>
      </c>
      <c r="AW20" s="1587">
        <f t="shared" si="23"/>
        <v>724.904</v>
      </c>
      <c r="AX20" s="1160"/>
      <c r="AY20" s="1449">
        <v>724.904</v>
      </c>
      <c r="AZ20" s="1507">
        <v>724.904</v>
      </c>
      <c r="BA20" s="1507">
        <v>756.68700000000001</v>
      </c>
      <c r="BB20" s="1507">
        <v>752.62900000000002</v>
      </c>
      <c r="BC20" s="1587">
        <f t="shared" si="24"/>
        <v>752.62900000000002</v>
      </c>
      <c r="BD20" s="1160"/>
      <c r="BE20" s="2757">
        <v>776.029</v>
      </c>
      <c r="BF20" s="2756">
        <v>775.995</v>
      </c>
      <c r="BG20" s="2756">
        <v>775.995</v>
      </c>
      <c r="BH20" s="2758">
        <v>775.995</v>
      </c>
      <c r="BI20" s="1587">
        <f t="shared" si="25"/>
        <v>775.995</v>
      </c>
      <c r="BJ20" s="1160"/>
      <c r="BK20" s="2757">
        <v>771</v>
      </c>
      <c r="BL20" s="2756">
        <v>771</v>
      </c>
      <c r="BM20" s="2756">
        <v>771</v>
      </c>
      <c r="BN20" s="2758">
        <v>771</v>
      </c>
      <c r="BO20" s="1150">
        <f t="shared" si="26"/>
        <v>771</v>
      </c>
      <c r="BP20" s="1160"/>
      <c r="BQ20" s="1161">
        <f>BQ123</f>
        <v>771</v>
      </c>
      <c r="BR20" s="1162">
        <f>BR123</f>
        <v>771</v>
      </c>
      <c r="BS20" s="1162">
        <f>BS123</f>
        <v>771</v>
      </c>
      <c r="BT20" s="1163">
        <f>BT123</f>
        <v>771</v>
      </c>
      <c r="BU20" s="1150">
        <f t="shared" si="27"/>
        <v>771</v>
      </c>
      <c r="BV20" s="1160"/>
      <c r="BW20" s="1161">
        <f>BW123</f>
        <v>771</v>
      </c>
      <c r="BX20" s="1162">
        <f>BX123</f>
        <v>771</v>
      </c>
      <c r="BY20" s="1162">
        <f>BY123</f>
        <v>771</v>
      </c>
      <c r="BZ20" s="1163">
        <f>BZ123</f>
        <v>771</v>
      </c>
      <c r="CA20" s="1150">
        <f t="shared" si="28"/>
        <v>771</v>
      </c>
      <c r="CB20" s="1160"/>
      <c r="CC20" s="1161">
        <f>CC123</f>
        <v>771</v>
      </c>
      <c r="CD20" s="1162">
        <f>CD123</f>
        <v>771</v>
      </c>
      <c r="CE20" s="1162">
        <f>CE123</f>
        <v>771</v>
      </c>
      <c r="CF20" s="1163">
        <f>CF123</f>
        <v>771</v>
      </c>
      <c r="CG20" s="1150">
        <f t="shared" si="29"/>
        <v>771</v>
      </c>
      <c r="CH20" s="1160"/>
      <c r="CI20" s="1161">
        <f>CI123</f>
        <v>771</v>
      </c>
      <c r="CJ20" s="1162">
        <f>CJ123</f>
        <v>771</v>
      </c>
      <c r="CK20" s="1162">
        <f>CK123</f>
        <v>771</v>
      </c>
      <c r="CL20" s="1163">
        <f>CL123</f>
        <v>771</v>
      </c>
      <c r="CM20" s="1150">
        <f t="shared" si="30"/>
        <v>771</v>
      </c>
      <c r="CN20" s="1160"/>
      <c r="CO20" s="1161">
        <f>CO123</f>
        <v>771</v>
      </c>
      <c r="CP20" s="1162">
        <f>CP123</f>
        <v>771</v>
      </c>
      <c r="CQ20" s="1162">
        <f>CQ123</f>
        <v>771</v>
      </c>
      <c r="CR20" s="1163">
        <f>CR123</f>
        <v>771</v>
      </c>
      <c r="CS20" s="1150">
        <f t="shared" si="31"/>
        <v>771</v>
      </c>
      <c r="CT20" s="1151"/>
      <c r="CU20" s="63"/>
      <c r="CV20" s="1171"/>
      <c r="CW20" s="1173"/>
    </row>
    <row r="21" spans="1:101">
      <c r="A21" s="1882" t="s">
        <v>290</v>
      </c>
      <c r="B21" s="317"/>
      <c r="C21" s="1155">
        <v>23.957999999999998</v>
      </c>
      <c r="D21" s="1156">
        <v>23.295999999999999</v>
      </c>
      <c r="E21" s="1156">
        <v>22.632999999999999</v>
      </c>
      <c r="F21" s="1156">
        <v>58.116</v>
      </c>
      <c r="G21" s="1148">
        <f t="shared" si="0"/>
        <v>58.116</v>
      </c>
      <c r="H21" s="1149"/>
      <c r="I21" s="1155">
        <v>55.69</v>
      </c>
      <c r="J21" s="1156">
        <v>53.011000000000003</v>
      </c>
      <c r="K21" s="1156">
        <v>50.298999999999999</v>
      </c>
      <c r="L21" s="1156">
        <v>47.755000000000003</v>
      </c>
      <c r="M21" s="1148">
        <f t="shared" si="17"/>
        <v>47.755000000000003</v>
      </c>
      <c r="N21" s="1149"/>
      <c r="O21" s="1155">
        <v>46.067999999999998</v>
      </c>
      <c r="P21" s="1156">
        <v>44.805</v>
      </c>
      <c r="Q21" s="1156">
        <v>43.087000000000003</v>
      </c>
      <c r="R21" s="1156">
        <v>43.787999999999997</v>
      </c>
      <c r="S21" s="1148">
        <f t="shared" si="18"/>
        <v>43.787999999999997</v>
      </c>
      <c r="T21" s="1149"/>
      <c r="U21" s="1155">
        <v>42.063000000000002</v>
      </c>
      <c r="V21" s="1156">
        <v>70.298000000000002</v>
      </c>
      <c r="W21" s="1156">
        <v>72.332999999999998</v>
      </c>
      <c r="X21" s="1156">
        <v>70.024000000000001</v>
      </c>
      <c r="Y21" s="1148">
        <f t="shared" si="19"/>
        <v>70.024000000000001</v>
      </c>
      <c r="Z21" s="1149"/>
      <c r="AA21" s="1155">
        <v>118.419</v>
      </c>
      <c r="AB21" s="1156">
        <v>112.708</v>
      </c>
      <c r="AC21" s="1156">
        <v>109.767</v>
      </c>
      <c r="AD21" s="1156">
        <v>106.47499999999999</v>
      </c>
      <c r="AE21" s="1174">
        <f t="shared" si="20"/>
        <v>106.47499999999999</v>
      </c>
      <c r="AF21" s="1162"/>
      <c r="AG21" s="1155">
        <v>103.00700000000001</v>
      </c>
      <c r="AH21" s="1156">
        <v>89.007000000000005</v>
      </c>
      <c r="AI21" s="1156">
        <v>134.82900000000001</v>
      </c>
      <c r="AJ21" s="1156">
        <v>130.196</v>
      </c>
      <c r="AK21" s="1174">
        <f t="shared" si="21"/>
        <v>130.196</v>
      </c>
      <c r="AL21" s="1175"/>
      <c r="AM21" s="1155">
        <v>307.214</v>
      </c>
      <c r="AN21" s="1156">
        <v>304.46899999999999</v>
      </c>
      <c r="AO21" s="1156">
        <v>297.911</v>
      </c>
      <c r="AP21" s="1156">
        <v>331.173</v>
      </c>
      <c r="AQ21" s="1174">
        <f t="shared" si="22"/>
        <v>331.173</v>
      </c>
      <c r="AR21" s="1151"/>
      <c r="AS21" s="1449">
        <v>316.98399999999998</v>
      </c>
      <c r="AT21" s="1507">
        <v>304.85000000000002</v>
      </c>
      <c r="AU21" s="1507">
        <v>299.34500000000003</v>
      </c>
      <c r="AV21" s="1507">
        <v>314.5</v>
      </c>
      <c r="AW21" s="1174">
        <f t="shared" si="23"/>
        <v>314.5</v>
      </c>
      <c r="AX21" s="1151"/>
      <c r="AY21" s="1449">
        <v>301.30200000000002</v>
      </c>
      <c r="AZ21" s="1507">
        <v>288.17700000000002</v>
      </c>
      <c r="BA21" s="1507">
        <v>286.346</v>
      </c>
      <c r="BB21" s="1507">
        <v>273.62099999999998</v>
      </c>
      <c r="BC21" s="1174">
        <f t="shared" si="24"/>
        <v>273.62099999999998</v>
      </c>
      <c r="BD21" s="1151"/>
      <c r="BE21" s="2757">
        <v>269.57600000000002</v>
      </c>
      <c r="BF21" s="2756">
        <v>268.46899999999999</v>
      </c>
      <c r="BG21" s="2756">
        <v>255.56</v>
      </c>
      <c r="BH21" s="2758">
        <v>242.65199999999999</v>
      </c>
      <c r="BI21" s="1174">
        <f t="shared" si="25"/>
        <v>242.65199999999999</v>
      </c>
      <c r="BJ21" s="1151"/>
      <c r="BK21" s="2757">
        <v>207</v>
      </c>
      <c r="BL21" s="2756">
        <v>196</v>
      </c>
      <c r="BM21" s="2756">
        <v>185</v>
      </c>
      <c r="BN21" s="2758">
        <v>175</v>
      </c>
      <c r="BO21" s="1174">
        <f t="shared" si="26"/>
        <v>175</v>
      </c>
      <c r="BP21" s="1151"/>
      <c r="BQ21" s="1161">
        <f>BQ117</f>
        <v>165</v>
      </c>
      <c r="BR21" s="1162">
        <f>BR117</f>
        <v>155</v>
      </c>
      <c r="BS21" s="1162">
        <f>BS117</f>
        <v>145</v>
      </c>
      <c r="BT21" s="1163">
        <f>BT117</f>
        <v>135</v>
      </c>
      <c r="BU21" s="1174">
        <f t="shared" si="27"/>
        <v>135</v>
      </c>
      <c r="BV21" s="1151"/>
      <c r="BW21" s="1161">
        <f>BW117</f>
        <v>125</v>
      </c>
      <c r="BX21" s="1162">
        <f>BX117</f>
        <v>115</v>
      </c>
      <c r="BY21" s="1162">
        <f>BY117</f>
        <v>105</v>
      </c>
      <c r="BZ21" s="1163">
        <f>BZ117</f>
        <v>95</v>
      </c>
      <c r="CA21" s="1174">
        <f t="shared" si="28"/>
        <v>95</v>
      </c>
      <c r="CB21" s="1151"/>
      <c r="CC21" s="1161">
        <f>CC117</f>
        <v>85</v>
      </c>
      <c r="CD21" s="1162">
        <f>CD117</f>
        <v>75</v>
      </c>
      <c r="CE21" s="1162">
        <f>CE117</f>
        <v>65</v>
      </c>
      <c r="CF21" s="1163">
        <f>CF117</f>
        <v>55</v>
      </c>
      <c r="CG21" s="1174">
        <f t="shared" si="29"/>
        <v>55</v>
      </c>
      <c r="CH21" s="1151"/>
      <c r="CI21" s="1161">
        <f>CI117</f>
        <v>47.5</v>
      </c>
      <c r="CJ21" s="1162">
        <f>CJ117</f>
        <v>40</v>
      </c>
      <c r="CK21" s="1162">
        <f>CK117</f>
        <v>32.5</v>
      </c>
      <c r="CL21" s="1163">
        <f>CL117</f>
        <v>25</v>
      </c>
      <c r="CM21" s="1174">
        <f t="shared" si="30"/>
        <v>25</v>
      </c>
      <c r="CN21" s="1151"/>
      <c r="CO21" s="1161">
        <f>CO117</f>
        <v>20</v>
      </c>
      <c r="CP21" s="1162">
        <f>CP117</f>
        <v>15</v>
      </c>
      <c r="CQ21" s="1162">
        <f>CQ117</f>
        <v>10</v>
      </c>
      <c r="CR21" s="1163">
        <f>CR117</f>
        <v>5</v>
      </c>
      <c r="CS21" s="1174">
        <f t="shared" si="31"/>
        <v>5</v>
      </c>
      <c r="CT21" s="1162"/>
      <c r="CU21" s="63"/>
      <c r="CV21" s="1171"/>
      <c r="CW21" s="63"/>
    </row>
    <row r="22" spans="1:101">
      <c r="A22" s="1882" t="s">
        <v>291</v>
      </c>
      <c r="B22" s="317"/>
      <c r="C22" s="1155">
        <v>0</v>
      </c>
      <c r="D22" s="1156">
        <v>0</v>
      </c>
      <c r="E22" s="1156">
        <v>0</v>
      </c>
      <c r="F22" s="1156">
        <f>80.245</f>
        <v>80.245000000000005</v>
      </c>
      <c r="G22" s="1148">
        <f t="shared" si="0"/>
        <v>80.245000000000005</v>
      </c>
      <c r="H22" s="1149"/>
      <c r="I22" s="1155">
        <v>66.036000000000001</v>
      </c>
      <c r="J22" s="1156">
        <v>67.209000000000003</v>
      </c>
      <c r="K22" s="1156">
        <v>61.363999999999997</v>
      </c>
      <c r="L22" s="1156">
        <f>78.321</f>
        <v>78.320999999999998</v>
      </c>
      <c r="M22" s="1148">
        <f t="shared" si="17"/>
        <v>78.320999999999998</v>
      </c>
      <c r="N22" s="1149"/>
      <c r="O22" s="1155">
        <v>23.754000000000001</v>
      </c>
      <c r="P22" s="1156">
        <v>37.618000000000002</v>
      </c>
      <c r="Q22" s="1156">
        <v>42.356999999999999</v>
      </c>
      <c r="R22" s="1156">
        <f>47.371</f>
        <v>47.371000000000002</v>
      </c>
      <c r="S22" s="1148">
        <f t="shared" si="18"/>
        <v>47.371000000000002</v>
      </c>
      <c r="T22" s="1149"/>
      <c r="U22" s="1155">
        <f>47.486</f>
        <v>47.485999999999997</v>
      </c>
      <c r="V22" s="1156">
        <f>45.579</f>
        <v>45.579000000000001</v>
      </c>
      <c r="W22" s="1156">
        <f>37.538</f>
        <v>37.537999999999997</v>
      </c>
      <c r="X22" s="1156">
        <f>39.497</f>
        <v>39.497</v>
      </c>
      <c r="Y22" s="1148">
        <f t="shared" si="19"/>
        <v>39.497</v>
      </c>
      <c r="Z22" s="1149"/>
      <c r="AA22" s="1155">
        <v>2.0070000000000001</v>
      </c>
      <c r="AB22" s="1156">
        <v>16.989999999999998</v>
      </c>
      <c r="AC22" s="1156">
        <v>19.356000000000002</v>
      </c>
      <c r="AD22" s="1156">
        <v>19.675000000000001</v>
      </c>
      <c r="AE22" s="1150">
        <f t="shared" si="20"/>
        <v>19.675000000000001</v>
      </c>
      <c r="AF22" s="1151"/>
      <c r="AG22" s="1155">
        <v>26.478999999999999</v>
      </c>
      <c r="AH22" s="1156">
        <v>48.859000000000002</v>
      </c>
      <c r="AI22" s="1156">
        <v>54.41</v>
      </c>
      <c r="AJ22" s="1156">
        <v>40.183</v>
      </c>
      <c r="AK22" s="1150">
        <f t="shared" si="21"/>
        <v>40.183</v>
      </c>
      <c r="AL22" s="1158"/>
      <c r="AM22" s="1155">
        <v>21.646000000000001</v>
      </c>
      <c r="AN22" s="1156">
        <v>9.7149999999999999</v>
      </c>
      <c r="AO22" s="1156">
        <v>43.295999999999999</v>
      </c>
      <c r="AP22" s="1156">
        <v>88.48</v>
      </c>
      <c r="AQ22" s="1150">
        <f t="shared" si="22"/>
        <v>88.48</v>
      </c>
      <c r="AR22" s="1158"/>
      <c r="AS22" s="1449">
        <v>101.336</v>
      </c>
      <c r="AT22" s="1507">
        <v>70.126000000000005</v>
      </c>
      <c r="AU22" s="1507">
        <v>39.728999999999999</v>
      </c>
      <c r="AV22" s="1507">
        <v>49.847999999999999</v>
      </c>
      <c r="AW22" s="1587">
        <f t="shared" si="23"/>
        <v>49.847999999999999</v>
      </c>
      <c r="AX22" s="1158"/>
      <c r="AY22" s="1449">
        <v>63.122</v>
      </c>
      <c r="AZ22" s="1507">
        <v>66.722999999999999</v>
      </c>
      <c r="BA22" s="1507">
        <v>86.826999999999998</v>
      </c>
      <c r="BB22" s="1507">
        <v>134.51499999999999</v>
      </c>
      <c r="BC22" s="1587">
        <f t="shared" si="24"/>
        <v>134.51499999999999</v>
      </c>
      <c r="BD22" s="1158"/>
      <c r="BE22" s="2757">
        <v>196.19800000000001</v>
      </c>
      <c r="BF22" s="2756">
        <v>186.46199999999999</v>
      </c>
      <c r="BG22" s="2756">
        <v>182.12200000000001</v>
      </c>
      <c r="BH22" s="2758">
        <v>123.31699999999999</v>
      </c>
      <c r="BI22" s="1587">
        <f t="shared" si="25"/>
        <v>123.31699999999999</v>
      </c>
      <c r="BJ22" s="1158"/>
      <c r="BK22" s="2757">
        <v>83</v>
      </c>
      <c r="BL22" s="2756">
        <v>103</v>
      </c>
      <c r="BM22" s="2756">
        <v>117</v>
      </c>
      <c r="BN22" s="2758">
        <v>88</v>
      </c>
      <c r="BO22" s="1150">
        <f t="shared" si="26"/>
        <v>88</v>
      </c>
      <c r="BP22" s="1158"/>
      <c r="BQ22" s="1161">
        <f>+BN22</f>
        <v>88</v>
      </c>
      <c r="BR22" s="1162">
        <f>+BQ22</f>
        <v>88</v>
      </c>
      <c r="BS22" s="1162">
        <f>+BR22</f>
        <v>88</v>
      </c>
      <c r="BT22" s="1163">
        <f>+BS22</f>
        <v>88</v>
      </c>
      <c r="BU22" s="1150">
        <f t="shared" si="27"/>
        <v>88</v>
      </c>
      <c r="BV22" s="1158"/>
      <c r="BW22" s="1161">
        <f t="shared" ref="BW22" si="32">+BT22</f>
        <v>88</v>
      </c>
      <c r="BX22" s="1162">
        <f t="shared" ref="BX22:BZ22" si="33">+BW22</f>
        <v>88</v>
      </c>
      <c r="BY22" s="1162">
        <f t="shared" si="33"/>
        <v>88</v>
      </c>
      <c r="BZ22" s="1163">
        <f t="shared" si="33"/>
        <v>88</v>
      </c>
      <c r="CA22" s="1150">
        <f t="shared" si="28"/>
        <v>88</v>
      </c>
      <c r="CB22" s="1158"/>
      <c r="CC22" s="1161">
        <f t="shared" ref="CC22" si="34">+BZ22</f>
        <v>88</v>
      </c>
      <c r="CD22" s="1162">
        <f t="shared" ref="CD22:CF22" si="35">+CC22</f>
        <v>88</v>
      </c>
      <c r="CE22" s="1162">
        <f t="shared" si="35"/>
        <v>88</v>
      </c>
      <c r="CF22" s="1163">
        <f t="shared" si="35"/>
        <v>88</v>
      </c>
      <c r="CG22" s="1150">
        <f t="shared" si="29"/>
        <v>88</v>
      </c>
      <c r="CH22" s="1158"/>
      <c r="CI22" s="1161">
        <f t="shared" ref="CI22" si="36">+CF22</f>
        <v>88</v>
      </c>
      <c r="CJ22" s="1162">
        <f t="shared" ref="CJ22" si="37">+CI22</f>
        <v>88</v>
      </c>
      <c r="CK22" s="1162">
        <f t="shared" ref="CK22" si="38">+CJ22</f>
        <v>88</v>
      </c>
      <c r="CL22" s="1163">
        <f t="shared" ref="CL22" si="39">+CK22</f>
        <v>88</v>
      </c>
      <c r="CM22" s="1150">
        <f t="shared" si="30"/>
        <v>88</v>
      </c>
      <c r="CN22" s="1158"/>
      <c r="CO22" s="1161">
        <f t="shared" ref="CO22" si="40">+CL22</f>
        <v>88</v>
      </c>
      <c r="CP22" s="1162">
        <f t="shared" ref="CP22" si="41">+CO22</f>
        <v>88</v>
      </c>
      <c r="CQ22" s="1162">
        <f t="shared" ref="CQ22" si="42">+CP22</f>
        <v>88</v>
      </c>
      <c r="CR22" s="1163">
        <f t="shared" ref="CR22" si="43">+CQ22</f>
        <v>88</v>
      </c>
      <c r="CS22" s="1150">
        <f t="shared" si="31"/>
        <v>88</v>
      </c>
      <c r="CT22" s="1151"/>
      <c r="CU22" s="63"/>
      <c r="CV22" s="1144"/>
      <c r="CW22" s="63"/>
    </row>
    <row r="23" spans="1:101">
      <c r="A23" s="1879" t="s">
        <v>204</v>
      </c>
      <c r="B23" s="1139"/>
      <c r="C23" s="1155">
        <v>12.993</v>
      </c>
      <c r="D23" s="1156">
        <v>12.631</v>
      </c>
      <c r="E23" s="1156">
        <v>12.087999999999999</v>
      </c>
      <c r="F23" s="1156">
        <v>11.608000000000001</v>
      </c>
      <c r="G23" s="1148">
        <f t="shared" si="0"/>
        <v>11.608000000000001</v>
      </c>
      <c r="H23" s="1149"/>
      <c r="I23" s="1155">
        <v>12.099</v>
      </c>
      <c r="J23" s="1156">
        <v>12.125</v>
      </c>
      <c r="K23" s="1156">
        <v>11.933999999999999</v>
      </c>
      <c r="L23" s="1156">
        <v>12.016999999999999</v>
      </c>
      <c r="M23" s="1148">
        <f t="shared" si="17"/>
        <v>12.016999999999999</v>
      </c>
      <c r="N23" s="1149"/>
      <c r="O23" s="1155">
        <v>24.395</v>
      </c>
      <c r="P23" s="1156">
        <v>24.594999999999999</v>
      </c>
      <c r="Q23" s="1156">
        <v>24.030999999999999</v>
      </c>
      <c r="R23" s="1156">
        <v>26.547999999999998</v>
      </c>
      <c r="S23" s="1148">
        <f t="shared" si="18"/>
        <v>26.547999999999998</v>
      </c>
      <c r="T23" s="1149"/>
      <c r="U23" s="1155">
        <v>43.682000000000002</v>
      </c>
      <c r="V23" s="1156">
        <v>43.524000000000001</v>
      </c>
      <c r="W23" s="1156">
        <v>70.622</v>
      </c>
      <c r="X23" s="1156">
        <v>63.113999999999997</v>
      </c>
      <c r="Y23" s="1148">
        <f t="shared" si="19"/>
        <v>63.113999999999997</v>
      </c>
      <c r="Z23" s="1149"/>
      <c r="AA23" s="1155">
        <v>45.521999999999998</v>
      </c>
      <c r="AB23" s="1156">
        <v>52.357999999999997</v>
      </c>
      <c r="AC23" s="1156">
        <v>56.475999999999999</v>
      </c>
      <c r="AD23" s="1156">
        <v>59.734999999999999</v>
      </c>
      <c r="AE23" s="1150">
        <f t="shared" si="20"/>
        <v>59.734999999999999</v>
      </c>
      <c r="AF23" s="1151"/>
      <c r="AG23" s="1155">
        <v>69.349999999999994</v>
      </c>
      <c r="AH23" s="1156">
        <v>76.73</v>
      </c>
      <c r="AI23" s="1156">
        <v>77.45</v>
      </c>
      <c r="AJ23" s="1156">
        <v>73.164000000000001</v>
      </c>
      <c r="AK23" s="1150">
        <f t="shared" si="21"/>
        <v>73.164000000000001</v>
      </c>
      <c r="AL23" s="1158"/>
      <c r="AM23" s="1155">
        <v>73.27</v>
      </c>
      <c r="AN23" s="1156">
        <v>78.677000000000007</v>
      </c>
      <c r="AO23" s="1156">
        <v>78.001999999999995</v>
      </c>
      <c r="AP23" s="1156">
        <v>56.091000000000001</v>
      </c>
      <c r="AQ23" s="1150">
        <f t="shared" si="22"/>
        <v>56.091000000000001</v>
      </c>
      <c r="AR23" s="1160"/>
      <c r="AS23" s="1449">
        <v>69.676000000000002</v>
      </c>
      <c r="AT23" s="1507">
        <v>87.596999999999994</v>
      </c>
      <c r="AU23" s="1507">
        <v>59.648000000000003</v>
      </c>
      <c r="AV23" s="1507">
        <v>95.521000000000001</v>
      </c>
      <c r="AW23" s="1587">
        <f t="shared" si="23"/>
        <v>95.521000000000001</v>
      </c>
      <c r="AX23" s="1160"/>
      <c r="AY23" s="1449">
        <v>68.855999999999995</v>
      </c>
      <c r="AZ23" s="1507">
        <v>82.79</v>
      </c>
      <c r="BA23" s="1507">
        <v>84.537999999999997</v>
      </c>
      <c r="BB23" s="1507">
        <v>87.465000000000003</v>
      </c>
      <c r="BC23" s="1587">
        <f t="shared" si="24"/>
        <v>87.465000000000003</v>
      </c>
      <c r="BD23" s="1160"/>
      <c r="BE23" s="2757">
        <v>92.852000000000004</v>
      </c>
      <c r="BF23" s="2756">
        <v>99.789000000000001</v>
      </c>
      <c r="BG23" s="2756">
        <v>102.458</v>
      </c>
      <c r="BH23" s="2758">
        <v>107.211</v>
      </c>
      <c r="BI23" s="1587">
        <f t="shared" si="25"/>
        <v>107.211</v>
      </c>
      <c r="BJ23" s="1160"/>
      <c r="BK23" s="2757">
        <v>286</v>
      </c>
      <c r="BL23" s="2756">
        <v>308</v>
      </c>
      <c r="BM23" s="2756">
        <v>306</v>
      </c>
      <c r="BN23" s="2758">
        <v>312</v>
      </c>
      <c r="BO23" s="1150">
        <f t="shared" si="26"/>
        <v>312</v>
      </c>
      <c r="BP23" s="1160"/>
      <c r="BQ23" s="1161">
        <f>BO23</f>
        <v>312</v>
      </c>
      <c r="BR23" s="1162">
        <f>BQ23</f>
        <v>312</v>
      </c>
      <c r="BS23" s="1162">
        <f>BR23</f>
        <v>312</v>
      </c>
      <c r="BT23" s="1163">
        <f>BS23</f>
        <v>312</v>
      </c>
      <c r="BU23" s="1150">
        <f t="shared" si="27"/>
        <v>312</v>
      </c>
      <c r="BV23" s="1160"/>
      <c r="BW23" s="1161">
        <f>BU23</f>
        <v>312</v>
      </c>
      <c r="BX23" s="1162">
        <f>BW23</f>
        <v>312</v>
      </c>
      <c r="BY23" s="1162">
        <f>BX23</f>
        <v>312</v>
      </c>
      <c r="BZ23" s="1163">
        <f>BY23</f>
        <v>312</v>
      </c>
      <c r="CA23" s="1150">
        <f t="shared" si="28"/>
        <v>312</v>
      </c>
      <c r="CB23" s="1160"/>
      <c r="CC23" s="1161">
        <f>CA23</f>
        <v>312</v>
      </c>
      <c r="CD23" s="1162">
        <f>CC23</f>
        <v>312</v>
      </c>
      <c r="CE23" s="1162">
        <f>CD23</f>
        <v>312</v>
      </c>
      <c r="CF23" s="1163">
        <f>CE23</f>
        <v>312</v>
      </c>
      <c r="CG23" s="1150">
        <f t="shared" si="29"/>
        <v>312</v>
      </c>
      <c r="CH23" s="1160"/>
      <c r="CI23" s="1161">
        <f>CG23</f>
        <v>312</v>
      </c>
      <c r="CJ23" s="1162">
        <f>CI23</f>
        <v>312</v>
      </c>
      <c r="CK23" s="1162">
        <f>CJ23</f>
        <v>312</v>
      </c>
      <c r="CL23" s="1163">
        <f>CK23</f>
        <v>312</v>
      </c>
      <c r="CM23" s="1150">
        <f t="shared" si="30"/>
        <v>312</v>
      </c>
      <c r="CN23" s="1160"/>
      <c r="CO23" s="1161">
        <f>CM23</f>
        <v>312</v>
      </c>
      <c r="CP23" s="1162">
        <f>CO23</f>
        <v>312</v>
      </c>
      <c r="CQ23" s="1162">
        <f>CP23</f>
        <v>312</v>
      </c>
      <c r="CR23" s="1163">
        <f>CQ23</f>
        <v>312</v>
      </c>
      <c r="CS23" s="1150">
        <f t="shared" si="31"/>
        <v>312</v>
      </c>
      <c r="CT23" s="1151"/>
      <c r="CU23" s="63"/>
      <c r="CV23" s="1144"/>
      <c r="CW23" s="63"/>
    </row>
    <row r="24" spans="1:101">
      <c r="A24" s="1881" t="s">
        <v>292</v>
      </c>
      <c r="B24" s="1164"/>
      <c r="C24" s="1165">
        <f t="shared" ref="C24:AK24" si="44">SUM(C17:C23)</f>
        <v>742.83699999999999</v>
      </c>
      <c r="D24" s="1166">
        <f t="shared" si="44"/>
        <v>773.57399999999996</v>
      </c>
      <c r="E24" s="1166">
        <f t="shared" si="44"/>
        <v>810.20899999999995</v>
      </c>
      <c r="F24" s="1166">
        <f t="shared" si="44"/>
        <v>987.73199999999997</v>
      </c>
      <c r="G24" s="1167">
        <f t="shared" si="44"/>
        <v>987.73199999999997</v>
      </c>
      <c r="H24" s="1166"/>
      <c r="I24" s="1165">
        <f t="shared" si="44"/>
        <v>935.75200000000029</v>
      </c>
      <c r="J24" s="1166">
        <f t="shared" si="44"/>
        <v>992.68499999999995</v>
      </c>
      <c r="K24" s="1166">
        <f t="shared" si="44"/>
        <v>1361.3219999999999</v>
      </c>
      <c r="L24" s="1166">
        <f t="shared" si="44"/>
        <v>1377.1000000000001</v>
      </c>
      <c r="M24" s="1167">
        <f t="shared" si="44"/>
        <v>1377.1000000000001</v>
      </c>
      <c r="N24" s="1166"/>
      <c r="O24" s="1165">
        <f t="shared" si="44"/>
        <v>1372.57</v>
      </c>
      <c r="P24" s="1166">
        <f t="shared" si="44"/>
        <v>1477.1679999999999</v>
      </c>
      <c r="Q24" s="1166">
        <f t="shared" si="44"/>
        <v>1541.7159999999999</v>
      </c>
      <c r="R24" s="1166">
        <f t="shared" si="44"/>
        <v>1429.9370000000001</v>
      </c>
      <c r="S24" s="1167">
        <f t="shared" si="44"/>
        <v>1429.9370000000001</v>
      </c>
      <c r="T24" s="1166"/>
      <c r="U24" s="1165">
        <f t="shared" si="44"/>
        <v>1505.211</v>
      </c>
      <c r="V24" s="1166">
        <f t="shared" si="44"/>
        <v>1641.8849999999998</v>
      </c>
      <c r="W24" s="1166">
        <f t="shared" si="44"/>
        <v>1725.2210000000002</v>
      </c>
      <c r="X24" s="1166">
        <f t="shared" si="44"/>
        <v>1839.1130000000001</v>
      </c>
      <c r="Y24" s="1167">
        <f t="shared" si="44"/>
        <v>1839.1130000000001</v>
      </c>
      <c r="Z24" s="1166"/>
      <c r="AA24" s="1165">
        <f t="shared" si="44"/>
        <v>2123.1489999999999</v>
      </c>
      <c r="AB24" s="1166">
        <f t="shared" si="44"/>
        <v>2256.9859999999999</v>
      </c>
      <c r="AC24" s="1166">
        <f>SUM(AC17:AC23)</f>
        <v>2147.0590000000007</v>
      </c>
      <c r="AD24" s="1166">
        <f>SUM(AD17:AD23)</f>
        <v>2195.84</v>
      </c>
      <c r="AE24" s="1168">
        <f t="shared" si="44"/>
        <v>2195.84</v>
      </c>
      <c r="AF24" s="1166"/>
      <c r="AG24" s="1165">
        <f t="shared" si="44"/>
        <v>2301.4739999999997</v>
      </c>
      <c r="AH24" s="1166">
        <f t="shared" si="44"/>
        <v>2348.7379999999998</v>
      </c>
      <c r="AI24" s="1166">
        <f>SUM(AI17:AI23)</f>
        <v>2437.9829999999997</v>
      </c>
      <c r="AJ24" s="1170">
        <f>SUM(AJ17:AJ23)</f>
        <v>2566.085</v>
      </c>
      <c r="AK24" s="1168">
        <f t="shared" si="44"/>
        <v>2566.085</v>
      </c>
      <c r="AL24" s="1166"/>
      <c r="AM24" s="1165">
        <f>SUM(AM17:AM23)</f>
        <v>2744.1880000000001</v>
      </c>
      <c r="AN24" s="1166">
        <f>SUM(AN17:AN23)</f>
        <v>2823.2020000000002</v>
      </c>
      <c r="AO24" s="1166">
        <f>SUM(AO17:AO23)</f>
        <v>2817.6959999999995</v>
      </c>
      <c r="AP24" s="1170">
        <f>SUM(AP17:AP23)</f>
        <v>3019.0059999999994</v>
      </c>
      <c r="AQ24" s="1168">
        <f>SUM(AQ17:AQ23)</f>
        <v>3019.0059999999994</v>
      </c>
      <c r="AR24" s="1166"/>
      <c r="AS24" s="1450">
        <f>SUM(AS17:AS23)</f>
        <v>3053.57</v>
      </c>
      <c r="AT24" s="1508">
        <f>SUM(AT17:AT23)</f>
        <v>3035.0550000000007</v>
      </c>
      <c r="AU24" s="1508">
        <f>SUM(AU17:AU23)</f>
        <v>3278.2059999999997</v>
      </c>
      <c r="AV24" s="1508">
        <f>SUM(AV17:AV23)</f>
        <v>3339.6400000000003</v>
      </c>
      <c r="AW24" s="1772">
        <f>SUM(AW17:AW23)</f>
        <v>3339.6400000000003</v>
      </c>
      <c r="AX24" s="1166"/>
      <c r="AY24" s="1450">
        <f>SUM(AY17:AY23)</f>
        <v>3499.0929999999998</v>
      </c>
      <c r="AZ24" s="1508">
        <f>SUM(AZ17:AZ23)</f>
        <v>3703.125</v>
      </c>
      <c r="BA24" s="1508">
        <f>SUM(BA17:BA23)</f>
        <v>3733.5480000000002</v>
      </c>
      <c r="BB24" s="1508">
        <f>SUM(BB17:BB23)</f>
        <v>3687.7469999999998</v>
      </c>
      <c r="BC24" s="1772">
        <f>SUM(BC17:BC23)</f>
        <v>3687.7469999999998</v>
      </c>
      <c r="BD24" s="1166"/>
      <c r="BE24" s="1453">
        <f>SUM(BE17:BE23)</f>
        <v>3793.7060000000001</v>
      </c>
      <c r="BF24" s="1166">
        <f>SUM(BF17:BF23)</f>
        <v>3985.0899999999997</v>
      </c>
      <c r="BG24" s="1166">
        <f>SUM(BG17:BG23)</f>
        <v>4227.8269999999993</v>
      </c>
      <c r="BH24" s="1508">
        <f>SUM(BH17:BH23)</f>
        <v>4280.5999999999995</v>
      </c>
      <c r="BI24" s="1772">
        <f>SUM(BI17:BI23)</f>
        <v>4280.5999999999995</v>
      </c>
      <c r="BJ24" s="1166"/>
      <c r="BK24" s="1453">
        <f>SUM(BK17:BK23)</f>
        <v>4598</v>
      </c>
      <c r="BL24" s="1166">
        <f>SUM(BL17:BL23)</f>
        <v>4858</v>
      </c>
      <c r="BM24" s="1166">
        <f>SUM(BM17:BM23)</f>
        <v>5046</v>
      </c>
      <c r="BN24" s="1508">
        <f>SUM(BN17:BN23)</f>
        <v>5257</v>
      </c>
      <c r="BO24" s="1168">
        <f>SUM(BO17:BO23)</f>
        <v>5257</v>
      </c>
      <c r="BP24" s="1166"/>
      <c r="BQ24" s="1169">
        <f>SUM(BQ17:BQ23)</f>
        <v>5195.618083050671</v>
      </c>
      <c r="BR24" s="1166">
        <f>SUM(BR17:BR23)</f>
        <v>5331.696203159775</v>
      </c>
      <c r="BS24" s="1166">
        <f>SUM(BS17:BS23)</f>
        <v>5429.8365311930147</v>
      </c>
      <c r="BT24" s="1170">
        <f>SUM(BT17:BT23)</f>
        <v>5554.3396582463847</v>
      </c>
      <c r="BU24" s="1168">
        <f>SUM(BU17:BU23)</f>
        <v>5554.3396582463847</v>
      </c>
      <c r="BV24" s="1166"/>
      <c r="BW24" s="1169">
        <f>SUM(BW17:BW23)</f>
        <v>5650.8086720654428</v>
      </c>
      <c r="BX24" s="1166">
        <f>SUM(BX17:BX23)</f>
        <v>5800.0989692532949</v>
      </c>
      <c r="BY24" s="1166">
        <f>SUM(BY17:BY23)</f>
        <v>5915.4728258379464</v>
      </c>
      <c r="BZ24" s="1170">
        <f>SUM(BZ17:BZ23)</f>
        <v>6060.6133715312735</v>
      </c>
      <c r="CA24" s="1168">
        <f>SUM(CA17:CA23)</f>
        <v>6060.6133715312735</v>
      </c>
      <c r="CB24" s="1166"/>
      <c r="CC24" s="1169">
        <f>SUM(CC17:CC23)</f>
        <v>6212.2610692522867</v>
      </c>
      <c r="CD24" s="1166">
        <f>SUM(CD17:CD23)</f>
        <v>6457.8665217668095</v>
      </c>
      <c r="CE24" s="1166">
        <f>SUM(CE17:CE23)</f>
        <v>6674.5045394199424</v>
      </c>
      <c r="CF24" s="1170">
        <f>SUM(CF17:CF23)</f>
        <v>6929.5589311874573</v>
      </c>
      <c r="CG24" s="1168">
        <f>SUM(CG17:CG23)</f>
        <v>6929.5589311874573</v>
      </c>
      <c r="CH24" s="1166"/>
      <c r="CI24" s="1169">
        <f>SUM(CI17:CI23)</f>
        <v>7199.2982927632775</v>
      </c>
      <c r="CJ24" s="1166">
        <f>SUM(CJ17:CJ23)</f>
        <v>7439.1841947622324</v>
      </c>
      <c r="CK24" s="1166">
        <f>SUM(CK17:CK23)</f>
        <v>7643.0065636474274</v>
      </c>
      <c r="CL24" s="1170">
        <f>SUM(CL17:CL23)</f>
        <v>7887.6883814823577</v>
      </c>
      <c r="CM24" s="1168">
        <f>SUM(CM17:CM23)</f>
        <v>7887.6883814823577</v>
      </c>
      <c r="CN24" s="1166"/>
      <c r="CO24" s="1169">
        <f>SUM(CO17:CO23)</f>
        <v>8144.6591224323829</v>
      </c>
      <c r="CP24" s="1166">
        <f>SUM(CP17:CP23)</f>
        <v>8446.9263213325921</v>
      </c>
      <c r="CQ24" s="1166">
        <f>SUM(CQ17:CQ23)</f>
        <v>8713.9420215368264</v>
      </c>
      <c r="CR24" s="1170">
        <f>SUM(CR17:CR23)</f>
        <v>9024.855384591172</v>
      </c>
      <c r="CS24" s="1168">
        <f>SUM(CS17:CS23)</f>
        <v>9024.855384591172</v>
      </c>
      <c r="CT24" s="2390"/>
      <c r="CU24" s="63"/>
      <c r="CV24" s="63"/>
      <c r="CW24" s="63"/>
    </row>
    <row r="25" spans="1:101">
      <c r="A25" s="1883" t="s">
        <v>293</v>
      </c>
      <c r="B25" s="1128"/>
      <c r="C25" s="293"/>
      <c r="D25" s="1176"/>
      <c r="E25" s="1176"/>
      <c r="F25" s="1176"/>
      <c r="G25" s="1177"/>
      <c r="H25" s="291"/>
      <c r="I25" s="293"/>
      <c r="J25" s="1176"/>
      <c r="K25" s="1176"/>
      <c r="L25" s="1176"/>
      <c r="M25" s="1177"/>
      <c r="N25" s="291"/>
      <c r="O25" s="293"/>
      <c r="P25" s="1176"/>
      <c r="Q25" s="1176"/>
      <c r="R25" s="1176"/>
      <c r="S25" s="1177"/>
      <c r="T25" s="291"/>
      <c r="U25" s="293"/>
      <c r="V25" s="1176"/>
      <c r="W25" s="1176"/>
      <c r="X25" s="1176"/>
      <c r="Y25" s="1177"/>
      <c r="Z25" s="291"/>
      <c r="AA25" s="293"/>
      <c r="AB25" s="1176"/>
      <c r="AC25" s="1176"/>
      <c r="AD25" s="1176"/>
      <c r="AE25" s="292"/>
      <c r="AF25" s="291"/>
      <c r="AG25" s="293"/>
      <c r="AH25" s="1176"/>
      <c r="AI25" s="1176"/>
      <c r="AJ25" s="1176"/>
      <c r="AK25" s="292"/>
      <c r="AL25" s="1176"/>
      <c r="AM25" s="293"/>
      <c r="AN25" s="1176"/>
      <c r="AO25" s="1176"/>
      <c r="AP25" s="1176"/>
      <c r="AQ25" s="292"/>
      <c r="AR25" s="291"/>
      <c r="AS25" s="1451"/>
      <c r="AT25" s="1509"/>
      <c r="AU25" s="1509"/>
      <c r="AV25" s="1509"/>
      <c r="AW25" s="1774"/>
      <c r="AX25" s="291"/>
      <c r="AY25" s="1859"/>
      <c r="AZ25" s="1509"/>
      <c r="BA25" s="1509"/>
      <c r="BB25" s="1509"/>
      <c r="BC25" s="1774"/>
      <c r="BD25" s="291"/>
      <c r="BE25" s="1859"/>
      <c r="BF25" s="291"/>
      <c r="BG25" s="291"/>
      <c r="BH25" s="1509"/>
      <c r="BI25" s="1774"/>
      <c r="BJ25" s="291"/>
      <c r="BK25" s="1859"/>
      <c r="BL25" s="291"/>
      <c r="BM25" s="291"/>
      <c r="BN25" s="1509"/>
      <c r="BO25" s="292"/>
      <c r="BP25" s="291"/>
      <c r="BQ25" s="1178"/>
      <c r="BR25" s="291"/>
      <c r="BS25" s="291"/>
      <c r="BT25" s="294"/>
      <c r="BU25" s="292"/>
      <c r="BV25" s="291"/>
      <c r="BW25" s="1178"/>
      <c r="BX25" s="291"/>
      <c r="BY25" s="291"/>
      <c r="BZ25" s="294"/>
      <c r="CA25" s="292"/>
      <c r="CB25" s="291"/>
      <c r="CC25" s="1178"/>
      <c r="CD25" s="291"/>
      <c r="CE25" s="291"/>
      <c r="CF25" s="294"/>
      <c r="CG25" s="292"/>
      <c r="CH25" s="291"/>
      <c r="CI25" s="1178"/>
      <c r="CJ25" s="291"/>
      <c r="CK25" s="291"/>
      <c r="CL25" s="294"/>
      <c r="CM25" s="292"/>
      <c r="CN25" s="291"/>
      <c r="CO25" s="1178"/>
      <c r="CP25" s="291"/>
      <c r="CQ25" s="291"/>
      <c r="CR25" s="294"/>
      <c r="CS25" s="292"/>
      <c r="CT25" s="291"/>
      <c r="CU25" s="63"/>
      <c r="CV25" s="63"/>
      <c r="CW25" s="63"/>
    </row>
    <row r="26" spans="1:101">
      <c r="A26" s="1879" t="s">
        <v>294</v>
      </c>
      <c r="B26" s="1139"/>
      <c r="C26" s="1146">
        <v>66.661000000000001</v>
      </c>
      <c r="D26" s="1147">
        <v>76.564999999999998</v>
      </c>
      <c r="E26" s="1147">
        <v>78.995999999999995</v>
      </c>
      <c r="F26" s="1147">
        <v>24.311</v>
      </c>
      <c r="G26" s="1148">
        <f>F26</f>
        <v>24.311</v>
      </c>
      <c r="H26" s="1149"/>
      <c r="I26" s="1146">
        <v>69.518000000000001</v>
      </c>
      <c r="J26" s="1147">
        <v>86.048000000000002</v>
      </c>
      <c r="K26" s="1147">
        <v>91.22</v>
      </c>
      <c r="L26" s="1147">
        <v>29.204000000000001</v>
      </c>
      <c r="M26" s="1148">
        <f>L26</f>
        <v>29.204000000000001</v>
      </c>
      <c r="N26" s="1149"/>
      <c r="O26" s="1146">
        <v>36.591000000000001</v>
      </c>
      <c r="P26" s="1147">
        <v>41.158000000000001</v>
      </c>
      <c r="Q26" s="1147">
        <v>41.750999999999998</v>
      </c>
      <c r="R26" s="1147">
        <v>52.780999999999999</v>
      </c>
      <c r="S26" s="1148">
        <f>R26</f>
        <v>52.780999999999999</v>
      </c>
      <c r="T26" s="1149"/>
      <c r="U26" s="1146">
        <v>47.55</v>
      </c>
      <c r="V26" s="1147">
        <v>57.573999999999998</v>
      </c>
      <c r="W26" s="1147">
        <v>59.792000000000002</v>
      </c>
      <c r="X26" s="1147">
        <v>66.744</v>
      </c>
      <c r="Y26" s="1148">
        <f>X26</f>
        <v>66.744</v>
      </c>
      <c r="Z26" s="1149"/>
      <c r="AA26" s="1146">
        <v>66.287000000000006</v>
      </c>
      <c r="AB26" s="1147">
        <v>58.27</v>
      </c>
      <c r="AC26" s="1147">
        <v>52.249000000000002</v>
      </c>
      <c r="AD26" s="1147">
        <v>49.805999999999997</v>
      </c>
      <c r="AE26" s="1150">
        <f t="shared" ref="AE26:AE32" si="45">AD26</f>
        <v>49.805999999999997</v>
      </c>
      <c r="AF26" s="1151"/>
      <c r="AG26" s="1146">
        <v>59.860999999999997</v>
      </c>
      <c r="AH26" s="1147">
        <v>56.667999999999999</v>
      </c>
      <c r="AI26" s="1147">
        <v>74.971000000000004</v>
      </c>
      <c r="AJ26" s="1147">
        <v>65.727000000000004</v>
      </c>
      <c r="AK26" s="1150">
        <f>AJ26</f>
        <v>65.727000000000004</v>
      </c>
      <c r="AL26" s="1176"/>
      <c r="AM26" s="1146">
        <v>76.626999999999995</v>
      </c>
      <c r="AN26" s="1147">
        <v>67.647999999999996</v>
      </c>
      <c r="AO26" s="1147">
        <v>63.125999999999998</v>
      </c>
      <c r="AP26" s="1147">
        <v>73.655000000000001</v>
      </c>
      <c r="AQ26" s="1150">
        <f>AP26</f>
        <v>73.655000000000001</v>
      </c>
      <c r="AR26" s="291"/>
      <c r="AS26" s="1448">
        <v>86.471000000000004</v>
      </c>
      <c r="AT26" s="1506">
        <v>91.513000000000005</v>
      </c>
      <c r="AU26" s="1506">
        <v>96.069000000000003</v>
      </c>
      <c r="AV26" s="1506">
        <v>82.626000000000005</v>
      </c>
      <c r="AW26" s="1587">
        <f>AV26</f>
        <v>82.626000000000005</v>
      </c>
      <c r="AX26" s="291"/>
      <c r="AY26" s="1448">
        <v>106.67400000000001</v>
      </c>
      <c r="AZ26" s="1506">
        <v>107.884</v>
      </c>
      <c r="BA26" s="1506">
        <v>123.432</v>
      </c>
      <c r="BB26" s="1506">
        <v>139.226</v>
      </c>
      <c r="BC26" s="1587">
        <f>BB26</f>
        <v>139.226</v>
      </c>
      <c r="BD26" s="291"/>
      <c r="BE26" s="2755">
        <v>154.68</v>
      </c>
      <c r="BF26" s="2756">
        <v>250.67</v>
      </c>
      <c r="BG26" s="2756">
        <v>134.09</v>
      </c>
      <c r="BH26" s="2756">
        <v>137.93</v>
      </c>
      <c r="BI26" s="1587">
        <f>BH26</f>
        <v>137.93</v>
      </c>
      <c r="BJ26" s="291"/>
      <c r="BK26" s="2755">
        <v>142</v>
      </c>
      <c r="BL26" s="2756">
        <v>175</v>
      </c>
      <c r="BM26" s="2756">
        <v>158</v>
      </c>
      <c r="BN26" s="2756">
        <v>160</v>
      </c>
      <c r="BO26" s="1150">
        <f>BN26</f>
        <v>160</v>
      </c>
      <c r="BP26" s="291"/>
      <c r="BQ26" s="1153">
        <f>(IS!BQ12*BS!BQ69)/(365/4)</f>
        <v>166.21157755192223</v>
      </c>
      <c r="BR26" s="1149">
        <f>(IS!BR12*BS!BR69)/(365/4)</f>
        <v>173.14516970144976</v>
      </c>
      <c r="BS26" s="1149">
        <f>(IS!BS12*BS!BS69)/(365/4)</f>
        <v>175.61445139492378</v>
      </c>
      <c r="BT26" s="1154">
        <f>(IS!BT12*BS!BT69)/(365/4)</f>
        <v>182.3646271201566</v>
      </c>
      <c r="BU26" s="1150">
        <f>BT26</f>
        <v>182.3646271201566</v>
      </c>
      <c r="BV26" s="291"/>
      <c r="BW26" s="1153">
        <f>(IS!BW12*BS!BW69)/(365/4)</f>
        <v>187.96819670690141</v>
      </c>
      <c r="BX26" s="1149">
        <f>(IS!BX12*BS!BX69)/(365/4)</f>
        <v>193.17973866950999</v>
      </c>
      <c r="BY26" s="1149">
        <f>(IS!BY12*BS!BY69)/(365/4)</f>
        <v>194.4713851820992</v>
      </c>
      <c r="BZ26" s="1154">
        <f>(IS!BZ12*BS!BZ69)/(365/4)</f>
        <v>201.84891158205633</v>
      </c>
      <c r="CA26" s="1150">
        <f>BZ26</f>
        <v>201.84891158205633</v>
      </c>
      <c r="CB26" s="291"/>
      <c r="CC26" s="1153">
        <f>(IS!CC12*BS!CC69)/(365/4)</f>
        <v>208.10446391605154</v>
      </c>
      <c r="CD26" s="1149">
        <f>(IS!CD12*BS!CD69)/(365/4)</f>
        <v>217.43555293516854</v>
      </c>
      <c r="CE26" s="1149">
        <f>(IS!CE12*BS!CE69)/(365/4)</f>
        <v>221.3178692805553</v>
      </c>
      <c r="CF26" s="1154">
        <f>(IS!CF12*BS!CF69)/(365/4)</f>
        <v>232.87438197063946</v>
      </c>
      <c r="CG26" s="1150">
        <f>CF26</f>
        <v>232.87438197063946</v>
      </c>
      <c r="CH26" s="291"/>
      <c r="CI26" s="1153">
        <f>(IS!CI12*BS!CI69)/(365/4)</f>
        <v>239.4779560144722</v>
      </c>
      <c r="CJ26" s="1149">
        <f>(IS!CJ12*BS!CJ69)/(365/4)</f>
        <v>250.81922369382167</v>
      </c>
      <c r="CK26" s="1149">
        <f>(IS!CK12*BS!CK69)/(365/4)</f>
        <v>255.09591926487408</v>
      </c>
      <c r="CL26" s="1154">
        <f>(IS!CL12*BS!CL69)/(365/4)</f>
        <v>269.0503581792513</v>
      </c>
      <c r="CM26" s="1150">
        <f>CL26</f>
        <v>269.0503581792513</v>
      </c>
      <c r="CN26" s="291"/>
      <c r="CO26" s="1153">
        <f>(IS!CO12*BS!CO69)/(365/4)</f>
        <v>273.11354517989736</v>
      </c>
      <c r="CP26" s="1149">
        <f>(IS!CP12*BS!CP69)/(365/4)</f>
        <v>287.33165209016909</v>
      </c>
      <c r="CQ26" s="1149">
        <f>(IS!CQ12*BS!CQ69)/(365/4)</f>
        <v>293.06407891003391</v>
      </c>
      <c r="CR26" s="1154">
        <f>(IS!CR12*BS!CR69)/(365/4)</f>
        <v>309.51108993655305</v>
      </c>
      <c r="CS26" s="1150">
        <f>CR26</f>
        <v>309.51108993655305</v>
      </c>
      <c r="CT26" s="1151"/>
      <c r="CU26" s="63"/>
      <c r="CV26" s="1144"/>
      <c r="CW26" s="63"/>
    </row>
    <row r="27" spans="1:101">
      <c r="A27" s="1879" t="s">
        <v>295</v>
      </c>
      <c r="B27" s="1139"/>
      <c r="C27" s="1146">
        <v>0</v>
      </c>
      <c r="D27" s="1147">
        <v>0</v>
      </c>
      <c r="E27" s="1147">
        <v>0</v>
      </c>
      <c r="F27" s="1147">
        <f>50.852+0.016</f>
        <v>50.867999999999995</v>
      </c>
      <c r="G27" s="1148">
        <f>F27</f>
        <v>50.867999999999995</v>
      </c>
      <c r="H27" s="1149"/>
      <c r="I27" s="1146">
        <v>0</v>
      </c>
      <c r="J27" s="1147">
        <v>0</v>
      </c>
      <c r="K27" s="1147">
        <v>0</v>
      </c>
      <c r="L27" s="1147">
        <v>80.355000000000004</v>
      </c>
      <c r="M27" s="1148">
        <f>L27</f>
        <v>80.355000000000004</v>
      </c>
      <c r="N27" s="1149"/>
      <c r="O27" s="1146">
        <v>71.930000000000007</v>
      </c>
      <c r="P27" s="1147">
        <v>84.436000000000007</v>
      </c>
      <c r="Q27" s="1147">
        <v>86.183000000000007</v>
      </c>
      <c r="R27" s="1147">
        <v>98.253</v>
      </c>
      <c r="S27" s="1148">
        <f>R27</f>
        <v>98.253</v>
      </c>
      <c r="T27" s="1149"/>
      <c r="U27" s="1146">
        <v>102.886</v>
      </c>
      <c r="V27" s="1147">
        <v>123.577</v>
      </c>
      <c r="W27" s="1147">
        <v>134.52600000000001</v>
      </c>
      <c r="X27" s="1147">
        <v>156.16399999999999</v>
      </c>
      <c r="Y27" s="1148">
        <f>X27</f>
        <v>156.16399999999999</v>
      </c>
      <c r="Z27" s="1149"/>
      <c r="AA27" s="1146">
        <v>167.703</v>
      </c>
      <c r="AB27" s="1147">
        <v>185.536</v>
      </c>
      <c r="AC27" s="1147">
        <v>211.17099999999999</v>
      </c>
      <c r="AD27" s="1147">
        <v>187.774</v>
      </c>
      <c r="AE27" s="1150">
        <f t="shared" si="45"/>
        <v>187.774</v>
      </c>
      <c r="AF27" s="1151"/>
      <c r="AG27" s="1146">
        <v>198.04</v>
      </c>
      <c r="AH27" s="1147">
        <v>206.81299999999999</v>
      </c>
      <c r="AI27" s="1147">
        <v>191.821</v>
      </c>
      <c r="AJ27" s="1147">
        <v>201.87700000000001</v>
      </c>
      <c r="AK27" s="1150">
        <f>AJ27</f>
        <v>201.87700000000001</v>
      </c>
      <c r="AL27" s="1176"/>
      <c r="AM27" s="1146">
        <f>188.751+106.922</f>
        <v>295.673</v>
      </c>
      <c r="AN27" s="1147">
        <v>198.78800000000001</v>
      </c>
      <c r="AO27" s="1147">
        <v>199.977</v>
      </c>
      <c r="AP27" s="1147">
        <v>219.12</v>
      </c>
      <c r="AQ27" s="1150">
        <f>AP27</f>
        <v>219.12</v>
      </c>
      <c r="AR27" s="291"/>
      <c r="AS27" s="1448">
        <v>215.292</v>
      </c>
      <c r="AT27" s="1506">
        <v>259.67599999999999</v>
      </c>
      <c r="AU27" s="1506">
        <v>304.13299999999998</v>
      </c>
      <c r="AV27" s="1506">
        <v>335.27600000000001</v>
      </c>
      <c r="AW27" s="1587">
        <f>AV27</f>
        <v>335.27600000000001</v>
      </c>
      <c r="AX27" s="291"/>
      <c r="AY27" s="1448">
        <v>296.14999999999998</v>
      </c>
      <c r="AZ27" s="1506">
        <v>314.72199999999998</v>
      </c>
      <c r="BA27" s="1506">
        <v>358.25900000000001</v>
      </c>
      <c r="BB27" s="1506">
        <v>396.339</v>
      </c>
      <c r="BC27" s="1587">
        <f>BB27</f>
        <v>396.339</v>
      </c>
      <c r="BD27" s="291"/>
      <c r="BE27" s="2755">
        <v>326.548</v>
      </c>
      <c r="BF27" s="2759">
        <v>330.32600000000002</v>
      </c>
      <c r="BG27" s="2759">
        <v>315.20400000000001</v>
      </c>
      <c r="BH27" s="2756">
        <v>342.75099999999998</v>
      </c>
      <c r="BI27" s="1587">
        <f>BH27</f>
        <v>342.75099999999998</v>
      </c>
      <c r="BJ27" s="291"/>
      <c r="BK27" s="2755">
        <v>386</v>
      </c>
      <c r="BL27" s="2759">
        <v>378</v>
      </c>
      <c r="BM27" s="2759">
        <v>381</v>
      </c>
      <c r="BN27" s="2756">
        <v>432</v>
      </c>
      <c r="BO27" s="1150">
        <f>BN27</f>
        <v>432</v>
      </c>
      <c r="BP27" s="291"/>
      <c r="BQ27" s="1153">
        <f>(IS!BQ19*4*BS!BQ79)</f>
        <v>353.92</v>
      </c>
      <c r="BR27" s="1149">
        <f>(IS!BR19*4*BS!BR79)</f>
        <v>398.37781357419283</v>
      </c>
      <c r="BS27" s="1149">
        <f>(IS!BS19*4*BS!BS79)</f>
        <v>401.54924160277545</v>
      </c>
      <c r="BT27" s="1154">
        <f>(IS!BT19*4*BS!BT79)</f>
        <v>414.10877307002318</v>
      </c>
      <c r="BU27" s="1150">
        <f>BT27</f>
        <v>414.10877307002318</v>
      </c>
      <c r="BV27" s="291"/>
      <c r="BW27" s="1153">
        <f>(IS!BW19*4*BS!BW79)</f>
        <v>366.74169768959445</v>
      </c>
      <c r="BX27" s="1149">
        <f>(IS!BX19*4*BS!BX79)</f>
        <v>405.4546407774414</v>
      </c>
      <c r="BY27" s="1149">
        <f>(IS!BY19*4*BS!BY79)</f>
        <v>406.38671819067741</v>
      </c>
      <c r="BZ27" s="1154">
        <f>(IS!BZ19*4*BS!BZ79)</f>
        <v>418.08900020367042</v>
      </c>
      <c r="CA27" s="1150">
        <f>BZ27</f>
        <v>418.08900020367042</v>
      </c>
      <c r="CB27" s="291"/>
      <c r="CC27" s="1153">
        <f>(IS!CC19*4*BS!CC79)</f>
        <v>388.44736864585411</v>
      </c>
      <c r="CD27" s="1149">
        <f>(IS!CD19*4*BS!CD79)</f>
        <v>427.91598597807354</v>
      </c>
      <c r="CE27" s="1149">
        <f>(IS!CE19*4*BS!CE79)</f>
        <v>428.76102443648733</v>
      </c>
      <c r="CF27" s="1154">
        <f>(IS!CF19*4*BS!CF79)</f>
        <v>441.69348345585092</v>
      </c>
      <c r="CG27" s="1150">
        <f>CF27</f>
        <v>441.69348345585092</v>
      </c>
      <c r="CH27" s="291"/>
      <c r="CI27" s="1153">
        <f>(IS!CI19*4*BS!CI79)</f>
        <v>411.8149770114382</v>
      </c>
      <c r="CJ27" s="1149">
        <f>(IS!CJ19*4*BS!CJ79)</f>
        <v>451.54269418189187</v>
      </c>
      <c r="CK27" s="1149">
        <f>(IS!CK19*4*BS!CK79)</f>
        <v>452.15771912072751</v>
      </c>
      <c r="CL27" s="1154">
        <f>(IS!CL19*4*BS!CL79)</f>
        <v>466.91672451301139</v>
      </c>
      <c r="CM27" s="1150">
        <f>CL27</f>
        <v>466.91672451301139</v>
      </c>
      <c r="CN27" s="291"/>
      <c r="CO27" s="1153">
        <f>(IS!CO19*4*BS!CO79)</f>
        <v>433.96900280785115</v>
      </c>
      <c r="CP27" s="1149">
        <f>(IS!CP19*4*BS!CP79)</f>
        <v>475.76699629448751</v>
      </c>
      <c r="CQ27" s="1149">
        <f>(IS!CQ19*4*BS!CQ79)</f>
        <v>478.12259098431309</v>
      </c>
      <c r="CR27" s="1154">
        <f>(IS!CR19*4*BS!CR79)</f>
        <v>494.28089181346769</v>
      </c>
      <c r="CS27" s="1150">
        <f>CR27</f>
        <v>494.28089181346769</v>
      </c>
      <c r="CT27" s="1151"/>
      <c r="CU27" s="63"/>
      <c r="CV27" s="1144"/>
      <c r="CW27" s="63"/>
    </row>
    <row r="28" spans="1:101" outlineLevel="1">
      <c r="A28" s="1879" t="s">
        <v>296</v>
      </c>
      <c r="B28" s="1139"/>
      <c r="C28" s="1146">
        <v>0</v>
      </c>
      <c r="D28" s="1147">
        <v>0</v>
      </c>
      <c r="E28" s="1147">
        <v>0</v>
      </c>
      <c r="F28" s="1147">
        <v>90.536000000000001</v>
      </c>
      <c r="G28" s="1148">
        <f>F28</f>
        <v>90.536000000000001</v>
      </c>
      <c r="H28" s="1149"/>
      <c r="I28" s="1146">
        <v>0</v>
      </c>
      <c r="J28" s="1147">
        <v>0</v>
      </c>
      <c r="K28" s="1147">
        <v>0</v>
      </c>
      <c r="L28" s="1147">
        <v>0</v>
      </c>
      <c r="M28" s="1148">
        <f>L28</f>
        <v>0</v>
      </c>
      <c r="N28" s="1149"/>
      <c r="O28" s="1146">
        <v>0</v>
      </c>
      <c r="P28" s="1147">
        <v>0</v>
      </c>
      <c r="Q28" s="1147">
        <v>0</v>
      </c>
      <c r="R28" s="1147">
        <v>0</v>
      </c>
      <c r="S28" s="1148">
        <f>R28</f>
        <v>0</v>
      </c>
      <c r="T28" s="1149"/>
      <c r="U28" s="1146">
        <v>0</v>
      </c>
      <c r="V28" s="1147">
        <v>0</v>
      </c>
      <c r="W28" s="1147">
        <v>0</v>
      </c>
      <c r="X28" s="1147">
        <v>0</v>
      </c>
      <c r="Y28" s="1148">
        <f>X28</f>
        <v>0</v>
      </c>
      <c r="Z28" s="1149"/>
      <c r="AA28" s="1146">
        <v>0</v>
      </c>
      <c r="AB28" s="1147">
        <v>0</v>
      </c>
      <c r="AC28" s="1147">
        <v>0</v>
      </c>
      <c r="AD28" s="1147">
        <v>0</v>
      </c>
      <c r="AE28" s="1150">
        <f t="shared" si="45"/>
        <v>0</v>
      </c>
      <c r="AF28" s="1151"/>
      <c r="AG28" s="1146">
        <v>0</v>
      </c>
      <c r="AH28" s="1147">
        <v>0</v>
      </c>
      <c r="AI28" s="1147">
        <v>0</v>
      </c>
      <c r="AJ28" s="1147">
        <v>0</v>
      </c>
      <c r="AK28" s="1150">
        <f>AJ28</f>
        <v>0</v>
      </c>
      <c r="AL28" s="1176"/>
      <c r="AM28" s="1146">
        <v>0</v>
      </c>
      <c r="AN28" s="1147">
        <v>122.71299999999999</v>
      </c>
      <c r="AO28" s="1147">
        <v>127.012</v>
      </c>
      <c r="AP28" s="1147">
        <v>0</v>
      </c>
      <c r="AQ28" s="1150">
        <f>AP28</f>
        <v>0</v>
      </c>
      <c r="AR28" s="291"/>
      <c r="AS28" s="1448">
        <v>0</v>
      </c>
      <c r="AT28" s="1506">
        <v>0</v>
      </c>
      <c r="AU28" s="1506">
        <v>155.08000000000001</v>
      </c>
      <c r="AV28" s="1506">
        <v>0</v>
      </c>
      <c r="AW28" s="1587">
        <f>AV28</f>
        <v>0</v>
      </c>
      <c r="AX28" s="291"/>
      <c r="AY28" s="1448">
        <v>0</v>
      </c>
      <c r="AZ28" s="1506">
        <v>0</v>
      </c>
      <c r="BA28" s="1506">
        <v>0</v>
      </c>
      <c r="BB28" s="1506">
        <v>0</v>
      </c>
      <c r="BC28" s="1587">
        <f>BB28</f>
        <v>0</v>
      </c>
      <c r="BD28" s="291"/>
      <c r="BE28" s="2755">
        <f>BC28</f>
        <v>0</v>
      </c>
      <c r="BF28" s="2756">
        <v>0</v>
      </c>
      <c r="BG28" s="2756">
        <v>178.31100000000001</v>
      </c>
      <c r="BH28" s="2756">
        <v>222.73400000000001</v>
      </c>
      <c r="BI28" s="1587">
        <f>BH28</f>
        <v>222.73400000000001</v>
      </c>
      <c r="BJ28" s="291"/>
      <c r="BK28" s="2755">
        <v>192</v>
      </c>
      <c r="BL28" s="2756">
        <v>124</v>
      </c>
      <c r="BM28" s="2756">
        <v>124</v>
      </c>
      <c r="BN28" s="2756">
        <v>144</v>
      </c>
      <c r="BO28" s="1150">
        <f>BN28</f>
        <v>144</v>
      </c>
      <c r="BP28" s="291"/>
      <c r="BQ28" s="1153">
        <f>BO28</f>
        <v>144</v>
      </c>
      <c r="BR28" s="1149">
        <f>BQ28</f>
        <v>144</v>
      </c>
      <c r="BS28" s="1149">
        <f>BR28</f>
        <v>144</v>
      </c>
      <c r="BT28" s="1154">
        <f>BS28</f>
        <v>144</v>
      </c>
      <c r="BU28" s="1150">
        <f>BT28</f>
        <v>144</v>
      </c>
      <c r="BV28" s="291"/>
      <c r="BW28" s="1153">
        <f>BU28</f>
        <v>144</v>
      </c>
      <c r="BX28" s="1149">
        <f>BW28</f>
        <v>144</v>
      </c>
      <c r="BY28" s="1149">
        <f>BX28</f>
        <v>144</v>
      </c>
      <c r="BZ28" s="1154">
        <f>BY28</f>
        <v>144</v>
      </c>
      <c r="CA28" s="1150">
        <f>BZ28</f>
        <v>144</v>
      </c>
      <c r="CB28" s="291"/>
      <c r="CC28" s="1153">
        <f>CA28</f>
        <v>144</v>
      </c>
      <c r="CD28" s="1149">
        <f>CC28</f>
        <v>144</v>
      </c>
      <c r="CE28" s="1149">
        <f>CD28</f>
        <v>144</v>
      </c>
      <c r="CF28" s="1154">
        <f>CE28</f>
        <v>144</v>
      </c>
      <c r="CG28" s="1150">
        <f>CF28</f>
        <v>144</v>
      </c>
      <c r="CH28" s="291"/>
      <c r="CI28" s="1153">
        <f>CG28</f>
        <v>144</v>
      </c>
      <c r="CJ28" s="1149">
        <f>CI28</f>
        <v>144</v>
      </c>
      <c r="CK28" s="1149">
        <f>CJ28</f>
        <v>144</v>
      </c>
      <c r="CL28" s="1154">
        <f>CK28</f>
        <v>144</v>
      </c>
      <c r="CM28" s="1150">
        <f>CL28</f>
        <v>144</v>
      </c>
      <c r="CN28" s="291"/>
      <c r="CO28" s="1153">
        <f>CM28</f>
        <v>144</v>
      </c>
      <c r="CP28" s="1149">
        <f>CO28</f>
        <v>144</v>
      </c>
      <c r="CQ28" s="1149">
        <f>CP28</f>
        <v>144</v>
      </c>
      <c r="CR28" s="1154">
        <f>CQ28</f>
        <v>144</v>
      </c>
      <c r="CS28" s="1150">
        <f>CR28</f>
        <v>144</v>
      </c>
      <c r="CT28" s="1151"/>
      <c r="CU28" s="63"/>
      <c r="CV28" s="1144"/>
      <c r="CW28" s="63"/>
    </row>
    <row r="29" spans="1:101" ht="12" customHeight="1">
      <c r="A29" s="1879" t="s">
        <v>297</v>
      </c>
      <c r="B29" s="1139"/>
      <c r="C29" s="1146">
        <v>6.7000000000000004E-2</v>
      </c>
      <c r="D29" s="1147">
        <v>4.2000000000000003E-2</v>
      </c>
      <c r="E29" s="1147">
        <v>2.5000000000000001E-2</v>
      </c>
      <c r="F29" s="1147">
        <v>0</v>
      </c>
      <c r="G29" s="1148">
        <f>F29</f>
        <v>0</v>
      </c>
      <c r="H29" s="1149"/>
      <c r="I29" s="1146">
        <v>400.00599999999997</v>
      </c>
      <c r="J29" s="1147">
        <v>400</v>
      </c>
      <c r="K29" s="1147">
        <v>400.12700000000001</v>
      </c>
      <c r="L29" s="1147">
        <v>399.99900000000002</v>
      </c>
      <c r="M29" s="1148">
        <f>L29</f>
        <v>399.99900000000002</v>
      </c>
      <c r="N29" s="1149"/>
      <c r="O29" s="1146">
        <v>274.791</v>
      </c>
      <c r="P29" s="1147">
        <v>279.70299999999997</v>
      </c>
      <c r="Q29" s="1147">
        <v>284.70800000000003</v>
      </c>
      <c r="R29" s="1147">
        <f>290.202</f>
        <v>290.202</v>
      </c>
      <c r="S29" s="1148">
        <f>R29</f>
        <v>290.202</v>
      </c>
      <c r="T29" s="1149"/>
      <c r="U29" s="1146">
        <v>295.404</v>
      </c>
      <c r="V29" s="1147">
        <v>300.70499999999998</v>
      </c>
      <c r="W29" s="1147">
        <v>306.10599999999999</v>
      </c>
      <c r="X29" s="1147">
        <v>311.60899999999998</v>
      </c>
      <c r="Y29" s="1148">
        <f>X29</f>
        <v>311.60899999999998</v>
      </c>
      <c r="Z29" s="1149"/>
      <c r="AA29" s="1146">
        <v>111.32299999999999</v>
      </c>
      <c r="AB29" s="1147">
        <v>40.649000000000001</v>
      </c>
      <c r="AC29" s="1147">
        <v>33.792999999999999</v>
      </c>
      <c r="AD29" s="1147">
        <v>0</v>
      </c>
      <c r="AE29" s="1150">
        <f t="shared" si="45"/>
        <v>0</v>
      </c>
      <c r="AF29" s="1151"/>
      <c r="AG29" s="1146">
        <v>35.024999999999999</v>
      </c>
      <c r="AH29" s="1147">
        <v>35.659999999999997</v>
      </c>
      <c r="AI29" s="1147">
        <v>36.307000000000002</v>
      </c>
      <c r="AJ29" s="1147">
        <v>36.966999999999999</v>
      </c>
      <c r="AK29" s="1150">
        <f>AJ29</f>
        <v>36.966999999999999</v>
      </c>
      <c r="AL29" s="1176"/>
      <c r="AM29" s="1146">
        <v>37.640999999999998</v>
      </c>
      <c r="AN29" s="1147">
        <v>29.731000000000002</v>
      </c>
      <c r="AO29" s="1147">
        <v>28.81</v>
      </c>
      <c r="AP29" s="1147">
        <v>29.288</v>
      </c>
      <c r="AQ29" s="1150">
        <f>AP29</f>
        <v>29.288</v>
      </c>
      <c r="AR29" s="291"/>
      <c r="AS29" s="1448">
        <v>848.01599999999996</v>
      </c>
      <c r="AT29" s="1506">
        <v>298.01799999999997</v>
      </c>
      <c r="AU29" s="1506">
        <v>301.11900000000003</v>
      </c>
      <c r="AV29" s="1506">
        <v>304.25599999999997</v>
      </c>
      <c r="AW29" s="1587">
        <f>AV29</f>
        <v>304.25599999999997</v>
      </c>
      <c r="AX29" s="291"/>
      <c r="AY29" s="1448">
        <v>307.42700000000002</v>
      </c>
      <c r="AZ29" s="1506">
        <v>302.447</v>
      </c>
      <c r="BA29" s="1506">
        <v>102.166</v>
      </c>
      <c r="BB29" s="1506">
        <v>74.929000000000002</v>
      </c>
      <c r="BC29" s="1587">
        <f>BB29</f>
        <v>74.929000000000002</v>
      </c>
      <c r="BD29" s="291"/>
      <c r="BE29" s="2755">
        <v>0</v>
      </c>
      <c r="BF29" s="2756">
        <v>0.51100000000000001</v>
      </c>
      <c r="BG29" s="2756">
        <v>1.25</v>
      </c>
      <c r="BH29" s="2756">
        <v>1.25</v>
      </c>
      <c r="BI29" s="1587">
        <f>BH29</f>
        <v>1.25</v>
      </c>
      <c r="BJ29" s="291"/>
      <c r="BK29" s="2755">
        <v>1</v>
      </c>
      <c r="BL29" s="2756">
        <v>5</v>
      </c>
      <c r="BM29" s="2756">
        <v>2</v>
      </c>
      <c r="BN29" s="2756">
        <v>10</v>
      </c>
      <c r="BO29" s="1150">
        <f>BN29</f>
        <v>10</v>
      </c>
      <c r="BP29" s="291"/>
      <c r="BQ29" s="1180">
        <f>Debt!BQ52</f>
        <v>0</v>
      </c>
      <c r="BR29" s="1179">
        <f>Debt!BR52</f>
        <v>615.70165700748942</v>
      </c>
      <c r="BS29" s="1179">
        <f>Debt!BS52</f>
        <v>620.20231686291822</v>
      </c>
      <c r="BT29" s="1179">
        <f>Debt!BT52</f>
        <v>624.73587567014238</v>
      </c>
      <c r="BU29" s="1150">
        <f>BT29</f>
        <v>624.73587567014238</v>
      </c>
      <c r="BV29" s="291"/>
      <c r="BW29" s="1180">
        <f>Debt!BW52</f>
        <v>629.20294378936092</v>
      </c>
      <c r="BX29" s="1179">
        <f>Debt!BX52</f>
        <v>633.75212219358787</v>
      </c>
      <c r="BY29" s="1179">
        <f>Debt!BY52</f>
        <v>638.38472745327272</v>
      </c>
      <c r="BZ29" s="1179">
        <f>Debt!BZ52</f>
        <v>643.05119616010109</v>
      </c>
      <c r="CA29" s="1150">
        <f>BZ29</f>
        <v>643.05119616010109</v>
      </c>
      <c r="CB29" s="291"/>
      <c r="CC29" s="1180">
        <f>Debt!CC52</f>
        <v>647.64922487793433</v>
      </c>
      <c r="CD29" s="1179">
        <f>Debt!CD52</f>
        <v>1154.727618141452</v>
      </c>
      <c r="CE29" s="1179">
        <f>Debt!CE52</f>
        <v>1163.2767058141358</v>
      </c>
      <c r="CF29" s="1179">
        <f>Debt!CF52</f>
        <v>1171.8940036504232</v>
      </c>
      <c r="CG29" s="1150">
        <f>CF29</f>
        <v>1171.8940036504232</v>
      </c>
      <c r="CH29" s="291"/>
      <c r="CI29" s="1180">
        <f>Debt!CI52</f>
        <v>1180.3904983633502</v>
      </c>
      <c r="CJ29" s="1179">
        <f>Debt!CJ52</f>
        <v>1189.0488302709182</v>
      </c>
      <c r="CK29" s="1179">
        <f>Debt!CK52</f>
        <v>1197.8717835185155</v>
      </c>
      <c r="CL29" s="1179">
        <f>Debt!CL52</f>
        <v>1206.7651516056812</v>
      </c>
      <c r="CM29" s="1150">
        <f>CL29</f>
        <v>1206.7651516056812</v>
      </c>
      <c r="CN29" s="291"/>
      <c r="CO29" s="1180">
        <f>Debt!CO52</f>
        <v>1215.533865546334</v>
      </c>
      <c r="CP29" s="1179">
        <f>Debt!CP52</f>
        <v>1224.4696211621451</v>
      </c>
      <c r="CQ29" s="1179">
        <f>Debt!CQ52</f>
        <v>1233.5752927581691</v>
      </c>
      <c r="CR29" s="1179">
        <f>Debt!CR52</f>
        <v>1242.7536557724875</v>
      </c>
      <c r="CS29" s="1150">
        <f>CR29</f>
        <v>1242.7536557724875</v>
      </c>
      <c r="CT29" s="1151"/>
      <c r="CU29" s="63"/>
      <c r="CV29" s="1144"/>
      <c r="CW29" s="63"/>
    </row>
    <row r="30" spans="1:101">
      <c r="A30" s="1881" t="s">
        <v>298</v>
      </c>
      <c r="B30" s="1164"/>
      <c r="C30" s="1165">
        <f>SUM(C26:C29)</f>
        <v>66.727999999999994</v>
      </c>
      <c r="D30" s="1166">
        <f>SUM(D26:D29)</f>
        <v>76.606999999999999</v>
      </c>
      <c r="E30" s="1166">
        <f>SUM(E26:E29)</f>
        <v>79.021000000000001</v>
      </c>
      <c r="F30" s="1166">
        <f>SUM(F26:F29)</f>
        <v>165.715</v>
      </c>
      <c r="G30" s="1167">
        <f>SUM(G26:G29)</f>
        <v>165.715</v>
      </c>
      <c r="H30" s="1166"/>
      <c r="I30" s="1165">
        <f>SUM(I26:I29)</f>
        <v>469.524</v>
      </c>
      <c r="J30" s="1166">
        <f>SUM(J26:J29)</f>
        <v>486.048</v>
      </c>
      <c r="K30" s="1166">
        <f>SUM(K26:K29)</f>
        <v>491.34699999999998</v>
      </c>
      <c r="L30" s="1166">
        <f>SUM(L26:L29)</f>
        <v>509.55799999999999</v>
      </c>
      <c r="M30" s="1167">
        <f>SUM(M26:M29)</f>
        <v>509.55799999999999</v>
      </c>
      <c r="N30" s="1166"/>
      <c r="O30" s="1165">
        <f>SUM(O26:O29)</f>
        <v>383.31200000000001</v>
      </c>
      <c r="P30" s="1166">
        <f>SUM(P26:P29)</f>
        <v>405.29699999999997</v>
      </c>
      <c r="Q30" s="1166">
        <f>SUM(Q26:Q29)</f>
        <v>412.64200000000005</v>
      </c>
      <c r="R30" s="1166">
        <f>SUM(R26:R29)</f>
        <v>441.23599999999999</v>
      </c>
      <c r="S30" s="1167">
        <f>SUM(S26:S29)</f>
        <v>441.23599999999999</v>
      </c>
      <c r="T30" s="1166"/>
      <c r="U30" s="1165">
        <f>SUM(U26:U29)</f>
        <v>445.84</v>
      </c>
      <c r="V30" s="1166">
        <f>SUM(V26:V29)</f>
        <v>481.85599999999999</v>
      </c>
      <c r="W30" s="1166">
        <f>SUM(W26:W29)</f>
        <v>500.42399999999998</v>
      </c>
      <c r="X30" s="1166">
        <f>SUM(X26:X29)</f>
        <v>534.51699999999994</v>
      </c>
      <c r="Y30" s="1167">
        <f>SUM(Y26:Y29)</f>
        <v>534.51699999999994</v>
      </c>
      <c r="Z30" s="1166"/>
      <c r="AA30" s="1165">
        <f>SUM(AA26:AA29)</f>
        <v>345.31299999999999</v>
      </c>
      <c r="AB30" s="1166">
        <f>SUM(AB26:AB29)</f>
        <v>284.45500000000004</v>
      </c>
      <c r="AC30" s="1166">
        <f>SUM(AC26:AC29)</f>
        <v>297.21300000000002</v>
      </c>
      <c r="AD30" s="1166">
        <f>SUM(AD26:AD29)</f>
        <v>237.57999999999998</v>
      </c>
      <c r="AE30" s="1168">
        <f>SUM(AE26:AE29)</f>
        <v>237.57999999999998</v>
      </c>
      <c r="AF30" s="1166"/>
      <c r="AG30" s="1165">
        <f>SUM(AG26:AG29)</f>
        <v>292.92599999999999</v>
      </c>
      <c r="AH30" s="1166">
        <f>SUM(AH26:AH29)</f>
        <v>299.14099999999996</v>
      </c>
      <c r="AI30" s="1166">
        <f>SUM(AI26:AI29)</f>
        <v>303.09900000000005</v>
      </c>
      <c r="AJ30" s="1166">
        <f>SUM(AJ26:AJ29)</f>
        <v>304.57100000000003</v>
      </c>
      <c r="AK30" s="1168">
        <f>SUM(AK26:AK29)</f>
        <v>304.57100000000003</v>
      </c>
      <c r="AL30" s="1166"/>
      <c r="AM30" s="1165">
        <f>SUM(AM26:AM29)</f>
        <v>409.94100000000003</v>
      </c>
      <c r="AN30" s="1166">
        <f>SUM(AN26:AN29)</f>
        <v>418.88</v>
      </c>
      <c r="AO30" s="1166">
        <f>SUM(AO26:AO29)</f>
        <v>418.92500000000001</v>
      </c>
      <c r="AP30" s="1170">
        <f>SUM(AP26:AP29)</f>
        <v>322.06299999999999</v>
      </c>
      <c r="AQ30" s="1168">
        <f>SUM(AQ26:AQ29)</f>
        <v>322.06299999999999</v>
      </c>
      <c r="AR30" s="1166"/>
      <c r="AS30" s="1450">
        <f>SUM(AS26:AS29)</f>
        <v>1149.779</v>
      </c>
      <c r="AT30" s="1508">
        <f>SUM(AT26:AT29)</f>
        <v>649.20699999999988</v>
      </c>
      <c r="AU30" s="1508">
        <f>SUM(AU26:AU29)</f>
        <v>856.40100000000007</v>
      </c>
      <c r="AV30" s="1508">
        <f>SUM(AV26:AV29)</f>
        <v>722.15800000000002</v>
      </c>
      <c r="AW30" s="1772">
        <f>SUM(AW26:AW29)</f>
        <v>722.15800000000002</v>
      </c>
      <c r="AX30" s="1166"/>
      <c r="AY30" s="1450">
        <f>SUM(AY26:AY29)</f>
        <v>710.25099999999998</v>
      </c>
      <c r="AZ30" s="1508">
        <f>SUM(AZ26:AZ29)</f>
        <v>725.053</v>
      </c>
      <c r="BA30" s="1508">
        <f>SUM(BA26:BA29)</f>
        <v>583.85699999999997</v>
      </c>
      <c r="BB30" s="1508">
        <f>SUM(BB26:BB29)</f>
        <v>610.49400000000003</v>
      </c>
      <c r="BC30" s="1772">
        <f>SUM(BC26:BC29)</f>
        <v>610.49400000000003</v>
      </c>
      <c r="BD30" s="1166"/>
      <c r="BE30" s="1450">
        <f>SUM(BE26:BE29)</f>
        <v>481.22800000000001</v>
      </c>
      <c r="BF30" s="1166">
        <f>SUM(BF26:BF29)</f>
        <v>581.50699999999995</v>
      </c>
      <c r="BG30" s="1166">
        <f>SUM(BG26:BG29)</f>
        <v>628.85500000000002</v>
      </c>
      <c r="BH30" s="1508">
        <f>SUM(BH26:BH29)</f>
        <v>704.66499999999996</v>
      </c>
      <c r="BI30" s="1772">
        <f>SUM(BI26:BI29)</f>
        <v>704.66499999999996</v>
      </c>
      <c r="BJ30" s="1166"/>
      <c r="BK30" s="1450">
        <f>SUM(BK26:BK29)</f>
        <v>721</v>
      </c>
      <c r="BL30" s="1166">
        <f>SUM(BL26:BL29)</f>
        <v>682</v>
      </c>
      <c r="BM30" s="1166">
        <f>SUM(BM26:BM29)</f>
        <v>665</v>
      </c>
      <c r="BN30" s="1508">
        <f>SUM(BN26:BN29)</f>
        <v>746</v>
      </c>
      <c r="BO30" s="1168">
        <f>SUM(BO26:BO29)</f>
        <v>746</v>
      </c>
      <c r="BP30" s="1166"/>
      <c r="BQ30" s="1169">
        <f>SUM(BQ26:BQ29)</f>
        <v>664.13157755192219</v>
      </c>
      <c r="BR30" s="1166">
        <f>SUM(BR26:BR29)</f>
        <v>1331.224640283132</v>
      </c>
      <c r="BS30" s="1166">
        <f>SUM(BS26:BS29)</f>
        <v>1341.3660098606174</v>
      </c>
      <c r="BT30" s="1170">
        <f>SUM(BT26:BT29)</f>
        <v>1365.2092758603221</v>
      </c>
      <c r="BU30" s="1168">
        <f>SUM(BU26:BU29)</f>
        <v>1365.2092758603221</v>
      </c>
      <c r="BV30" s="1166"/>
      <c r="BW30" s="1169">
        <f>SUM(BW26:BW29)</f>
        <v>1327.9128381858568</v>
      </c>
      <c r="BX30" s="1166">
        <f>SUM(BX26:BX29)</f>
        <v>1376.3865016405393</v>
      </c>
      <c r="BY30" s="1166">
        <f>SUM(BY26:BY29)</f>
        <v>1383.2428308260494</v>
      </c>
      <c r="BZ30" s="1170">
        <f>SUM(BZ26:BZ29)</f>
        <v>1406.989107945828</v>
      </c>
      <c r="CA30" s="1168">
        <f>SUM(CA26:CA29)</f>
        <v>1406.989107945828</v>
      </c>
      <c r="CB30" s="1166"/>
      <c r="CC30" s="1169">
        <f>SUM(CC26:CC29)</f>
        <v>1388.20105743984</v>
      </c>
      <c r="CD30" s="1166">
        <f>SUM(CD26:CD29)</f>
        <v>1944.079157054694</v>
      </c>
      <c r="CE30" s="1166">
        <f>SUM(CE26:CE29)</f>
        <v>1957.3555995311785</v>
      </c>
      <c r="CF30" s="1170">
        <f>SUM(CF26:CF29)</f>
        <v>1990.4618690769134</v>
      </c>
      <c r="CG30" s="1168">
        <f>SUM(CG26:CG29)</f>
        <v>1990.4618690769134</v>
      </c>
      <c r="CH30" s="1166"/>
      <c r="CI30" s="1169">
        <f>SUM(CI26:CI29)</f>
        <v>1975.6834313892605</v>
      </c>
      <c r="CJ30" s="1166">
        <f>SUM(CJ26:CJ29)</f>
        <v>2035.4107481466317</v>
      </c>
      <c r="CK30" s="1166">
        <f>SUM(CK26:CK29)</f>
        <v>2049.125421904117</v>
      </c>
      <c r="CL30" s="1170">
        <f>SUM(CL26:CL29)</f>
        <v>2086.7322342979442</v>
      </c>
      <c r="CM30" s="1168">
        <f>SUM(CM26:CM29)</f>
        <v>2086.7322342979442</v>
      </c>
      <c r="CN30" s="1166"/>
      <c r="CO30" s="1169">
        <f>SUM(CO26:CO29)</f>
        <v>2066.6164135340823</v>
      </c>
      <c r="CP30" s="1166">
        <f>SUM(CP26:CP29)</f>
        <v>2131.5682695468017</v>
      </c>
      <c r="CQ30" s="1166">
        <f>SUM(CQ26:CQ29)</f>
        <v>2148.7619626525161</v>
      </c>
      <c r="CR30" s="1170">
        <f>SUM(CR26:CR29)</f>
        <v>2190.5456375225085</v>
      </c>
      <c r="CS30" s="1168">
        <f>SUM(CS26:CS29)</f>
        <v>2190.5456375225085</v>
      </c>
      <c r="CT30" s="2390"/>
      <c r="CU30" s="63"/>
      <c r="CV30" s="1144"/>
      <c r="CW30" s="63"/>
    </row>
    <row r="31" spans="1:101" ht="12.75" customHeight="1">
      <c r="A31" s="1879" t="s">
        <v>299</v>
      </c>
      <c r="B31" s="1139"/>
      <c r="C31" s="1155">
        <v>10.143000000000001</v>
      </c>
      <c r="D31" s="1156">
        <v>10.132</v>
      </c>
      <c r="E31" s="1156">
        <v>9.93</v>
      </c>
      <c r="F31" s="1156">
        <f>2.485+7.854</f>
        <v>10.339</v>
      </c>
      <c r="G31" s="1148">
        <f>F31</f>
        <v>10.339</v>
      </c>
      <c r="H31" s="1149"/>
      <c r="I31" s="1155">
        <v>15.138999999999999</v>
      </c>
      <c r="J31" s="1156">
        <v>14.885</v>
      </c>
      <c r="K31" s="1156">
        <v>16.521999999999998</v>
      </c>
      <c r="L31" s="1156">
        <f>16.632+2.314</f>
        <v>18.946000000000002</v>
      </c>
      <c r="M31" s="1148">
        <f>L31</f>
        <v>18.946000000000002</v>
      </c>
      <c r="N31" s="1149"/>
      <c r="O31" s="1155">
        <v>18.914999999999999</v>
      </c>
      <c r="P31" s="1156">
        <v>21.835000000000001</v>
      </c>
      <c r="Q31" s="1156">
        <v>21.663</v>
      </c>
      <c r="R31" s="1156">
        <v>24.655999999999999</v>
      </c>
      <c r="S31" s="1148">
        <f>R31</f>
        <v>24.655999999999999</v>
      </c>
      <c r="T31" s="1149"/>
      <c r="U31" s="1155">
        <v>22.978999999999999</v>
      </c>
      <c r="V31" s="1156">
        <v>33.774999999999999</v>
      </c>
      <c r="W31" s="1156">
        <v>32.783000000000001</v>
      </c>
      <c r="X31" s="1156">
        <v>28.530999999999999</v>
      </c>
      <c r="Y31" s="1148">
        <f>X31</f>
        <v>28.530999999999999</v>
      </c>
      <c r="Z31" s="1149"/>
      <c r="AA31" s="1155">
        <v>35.985999999999997</v>
      </c>
      <c r="AB31" s="1156">
        <v>38.512</v>
      </c>
      <c r="AC31" s="1156">
        <v>42.896999999999998</v>
      </c>
      <c r="AD31" s="1156">
        <v>69.953999999999994</v>
      </c>
      <c r="AE31" s="1150">
        <f t="shared" si="45"/>
        <v>69.953999999999994</v>
      </c>
      <c r="AF31" s="1151"/>
      <c r="AG31" s="1155">
        <v>62.332999999999998</v>
      </c>
      <c r="AH31" s="1156">
        <v>75.340999999999994</v>
      </c>
      <c r="AI31" s="1156">
        <v>111.69</v>
      </c>
      <c r="AJ31" s="1156">
        <v>134.369</v>
      </c>
      <c r="AK31" s="1150">
        <f>AJ31</f>
        <v>134.369</v>
      </c>
      <c r="AL31" s="1158"/>
      <c r="AM31" s="1155">
        <v>206.19499999999999</v>
      </c>
      <c r="AN31" s="1156">
        <v>192.167</v>
      </c>
      <c r="AO31" s="1156">
        <v>192.80699999999999</v>
      </c>
      <c r="AP31" s="1156">
        <f>132.933+191.221</f>
        <v>324.154</v>
      </c>
      <c r="AQ31" s="1150">
        <f>AP31</f>
        <v>324.154</v>
      </c>
      <c r="AR31" s="1160"/>
      <c r="AS31" s="1449">
        <f>138.78+191.398</f>
        <v>330.178</v>
      </c>
      <c r="AT31" s="1507">
        <f>188.87+143.597</f>
        <v>332.46699999999998</v>
      </c>
      <c r="AU31" s="1507">
        <v>167.65600000000001</v>
      </c>
      <c r="AV31" s="1507">
        <v>167.904</v>
      </c>
      <c r="AW31" s="1587">
        <f>AV31</f>
        <v>167.904</v>
      </c>
      <c r="AX31" s="1160"/>
      <c r="AY31" s="1449">
        <v>171.739</v>
      </c>
      <c r="AZ31" s="1507">
        <v>183.33099999999999</v>
      </c>
      <c r="BA31" s="1507">
        <f>173.061+32.128</f>
        <v>205.18900000000002</v>
      </c>
      <c r="BB31" s="1507">
        <f>180.505+32.546</f>
        <v>213.05099999999999</v>
      </c>
      <c r="BC31" s="1587">
        <f>BB31</f>
        <v>213.05099999999999</v>
      </c>
      <c r="BD31" s="1160"/>
      <c r="BE31" s="2757">
        <f>185.526+33.383+79.814</f>
        <v>298.72300000000001</v>
      </c>
      <c r="BF31" s="2756">
        <f>198.568+33.733+84.141</f>
        <v>316.44200000000001</v>
      </c>
      <c r="BG31" s="2756">
        <f>204.273+34.257+79.53</f>
        <v>318.06</v>
      </c>
      <c r="BH31" s="2758">
        <f>213.955+43.94+73.006</f>
        <v>330.90099999999995</v>
      </c>
      <c r="BI31" s="1587">
        <f>BH31</f>
        <v>330.90099999999995</v>
      </c>
      <c r="BJ31" s="1160"/>
      <c r="BK31" s="2757">
        <f>212+59</f>
        <v>271</v>
      </c>
      <c r="BL31" s="2756">
        <f>212+80</f>
        <v>292</v>
      </c>
      <c r="BM31" s="2756">
        <f>222+124</f>
        <v>346</v>
      </c>
      <c r="BN31" s="2758">
        <f>360+220</f>
        <v>580</v>
      </c>
      <c r="BO31" s="1150">
        <f>BN31</f>
        <v>580</v>
      </c>
      <c r="BP31" s="1160"/>
      <c r="BQ31" s="1161">
        <f>BO31+CFS!BQ16</f>
        <v>580</v>
      </c>
      <c r="BR31" s="1162">
        <f>BQ31+CFS!BR16</f>
        <v>580</v>
      </c>
      <c r="BS31" s="1162">
        <f>BR31+CFS!BS16</f>
        <v>580</v>
      </c>
      <c r="BT31" s="1163">
        <f>BS31+CFS!BT16</f>
        <v>580</v>
      </c>
      <c r="BU31" s="1150">
        <f>BT31</f>
        <v>580</v>
      </c>
      <c r="BV31" s="1160"/>
      <c r="BW31" s="1161">
        <f>BU31+CFS!BW16</f>
        <v>580</v>
      </c>
      <c r="BX31" s="1162">
        <f>BW31+CFS!BX16</f>
        <v>580</v>
      </c>
      <c r="BY31" s="1162">
        <f>BX31+CFS!BY16</f>
        <v>580</v>
      </c>
      <c r="BZ31" s="1163">
        <f>BY31+CFS!BZ16</f>
        <v>580</v>
      </c>
      <c r="CA31" s="1150">
        <f>BZ31</f>
        <v>580</v>
      </c>
      <c r="CB31" s="1160"/>
      <c r="CC31" s="1161">
        <f>CA31+CFS!CC16</f>
        <v>580</v>
      </c>
      <c r="CD31" s="1162">
        <f>CC31+CFS!CD16</f>
        <v>580</v>
      </c>
      <c r="CE31" s="1162">
        <f>CD31+CFS!CE16</f>
        <v>580</v>
      </c>
      <c r="CF31" s="1163">
        <f>CE31+CFS!CF16</f>
        <v>580</v>
      </c>
      <c r="CG31" s="1150">
        <f>CF31</f>
        <v>580</v>
      </c>
      <c r="CH31" s="1160"/>
      <c r="CI31" s="1161">
        <f>CG31+CFS!CI16</f>
        <v>580</v>
      </c>
      <c r="CJ31" s="1162">
        <f>CI31+CFS!CJ16</f>
        <v>580</v>
      </c>
      <c r="CK31" s="1162">
        <f>CJ31+CFS!CK16</f>
        <v>580</v>
      </c>
      <c r="CL31" s="1163">
        <f>CK31+CFS!CL16</f>
        <v>580</v>
      </c>
      <c r="CM31" s="1150">
        <f>CL31</f>
        <v>580</v>
      </c>
      <c r="CN31" s="1160"/>
      <c r="CO31" s="1161">
        <f>CM31+CFS!CO16</f>
        <v>580</v>
      </c>
      <c r="CP31" s="1162">
        <f>CO31+CFS!CP16</f>
        <v>580</v>
      </c>
      <c r="CQ31" s="1162">
        <f>CP31+CFS!CQ16</f>
        <v>580</v>
      </c>
      <c r="CR31" s="1163">
        <f>CQ31+CFS!CR16</f>
        <v>580</v>
      </c>
      <c r="CS31" s="1150">
        <f>CR31</f>
        <v>580</v>
      </c>
      <c r="CT31" s="1151"/>
      <c r="CU31" s="63"/>
      <c r="CV31" s="1144"/>
      <c r="CW31" s="63"/>
    </row>
    <row r="32" spans="1:101" ht="12.75" customHeight="1">
      <c r="A32" s="1879" t="s">
        <v>300</v>
      </c>
      <c r="B32" s="1139"/>
      <c r="C32" s="1155">
        <v>400.00599999999997</v>
      </c>
      <c r="D32" s="1156">
        <v>400</v>
      </c>
      <c r="E32" s="1156">
        <v>400</v>
      </c>
      <c r="F32" s="1156">
        <v>400</v>
      </c>
      <c r="G32" s="1148">
        <f>F32</f>
        <v>400</v>
      </c>
      <c r="H32" s="1149"/>
      <c r="I32" s="1155">
        <v>0</v>
      </c>
      <c r="J32" s="1156">
        <v>0</v>
      </c>
      <c r="K32" s="1156">
        <v>0.46</v>
      </c>
      <c r="L32" s="1156">
        <v>0</v>
      </c>
      <c r="M32" s="1148">
        <f>L32</f>
        <v>0</v>
      </c>
      <c r="N32" s="1149"/>
      <c r="O32" s="1155">
        <v>115.208</v>
      </c>
      <c r="P32" s="1156">
        <v>110.29600000000001</v>
      </c>
      <c r="Q32" s="1156">
        <v>105.291</v>
      </c>
      <c r="R32" s="1156">
        <f>99.797</f>
        <v>99.796999999999997</v>
      </c>
      <c r="S32" s="1148">
        <f>R32</f>
        <v>99.796999999999997</v>
      </c>
      <c r="T32" s="1149"/>
      <c r="U32" s="1155">
        <v>94.594999999999999</v>
      </c>
      <c r="V32" s="1156">
        <v>89.293999999999997</v>
      </c>
      <c r="W32" s="1156">
        <v>83.893000000000001</v>
      </c>
      <c r="X32" s="1156">
        <v>78.39</v>
      </c>
      <c r="Y32" s="1148">
        <f>X32</f>
        <v>78.39</v>
      </c>
      <c r="Z32" s="1149"/>
      <c r="AA32" s="1155">
        <f>652.083+25.541</f>
        <v>677.62400000000002</v>
      </c>
      <c r="AB32" s="1156">
        <f>757.274+8.441</f>
        <v>765.71500000000003</v>
      </c>
      <c r="AC32" s="1156">
        <f>765.077+6.332</f>
        <v>771.40899999999999</v>
      </c>
      <c r="AD32" s="1156">
        <f>807.369+5.722</f>
        <v>813.09100000000001</v>
      </c>
      <c r="AE32" s="1150">
        <f t="shared" si="45"/>
        <v>813.09100000000001</v>
      </c>
      <c r="AF32" s="1151"/>
      <c r="AG32" s="1155">
        <f>780.943+5.1</f>
        <v>786.04300000000001</v>
      </c>
      <c r="AH32" s="1156">
        <f>789.008+4.465</f>
        <v>793.47300000000007</v>
      </c>
      <c r="AI32" s="1156">
        <v>800.98</v>
      </c>
      <c r="AJ32" s="1156">
        <f>805.406+3.158</f>
        <v>808.56399999999996</v>
      </c>
      <c r="AK32" s="1150">
        <f>AJ32</f>
        <v>808.56399999999996</v>
      </c>
      <c r="AL32" s="1158"/>
      <c r="AM32" s="1155">
        <f>813.741+2.484</f>
        <v>816.22500000000002</v>
      </c>
      <c r="AN32" s="1156">
        <f>822.169+1.394</f>
        <v>823.56299999999999</v>
      </c>
      <c r="AO32" s="1156">
        <f>830.69+0.81</f>
        <v>831.5</v>
      </c>
      <c r="AP32" s="1156">
        <f>839.305+0.282</f>
        <v>839.58699999999999</v>
      </c>
      <c r="AQ32" s="1150">
        <f>AP32</f>
        <v>839.58699999999999</v>
      </c>
      <c r="AR32" s="1158"/>
      <c r="AS32" s="1449">
        <v>0</v>
      </c>
      <c r="AT32" s="1507">
        <f>972.945</f>
        <v>972.94500000000005</v>
      </c>
      <c r="AU32" s="1507">
        <v>979.83600000000001</v>
      </c>
      <c r="AV32" s="1507">
        <v>986.78</v>
      </c>
      <c r="AW32" s="1587">
        <f>AV32</f>
        <v>986.78</v>
      </c>
      <c r="AX32" s="1158"/>
      <c r="AY32" s="1449">
        <v>993.77700000000004</v>
      </c>
      <c r="AZ32" s="1507">
        <v>1000.829</v>
      </c>
      <c r="BA32" s="1507">
        <v>1007.9349999999999</v>
      </c>
      <c r="BB32" s="1507">
        <v>1015.649</v>
      </c>
      <c r="BC32" s="1587">
        <f>BB32</f>
        <v>1015.649</v>
      </c>
      <c r="BD32" s="1158"/>
      <c r="BE32" s="2757">
        <v>1022.646</v>
      </c>
      <c r="BF32" s="2756">
        <v>1031.3699999999999</v>
      </c>
      <c r="BG32" s="2756">
        <v>1040.7650000000001</v>
      </c>
      <c r="BH32" s="2758">
        <v>1047.8050000000001</v>
      </c>
      <c r="BI32" s="1587">
        <f>BH32</f>
        <v>1047.8050000000001</v>
      </c>
      <c r="BJ32" s="1158"/>
      <c r="BK32" s="2757">
        <v>1055</v>
      </c>
      <c r="BL32" s="2756">
        <v>1169</v>
      </c>
      <c r="BM32" s="2756">
        <v>1180</v>
      </c>
      <c r="BN32" s="2758">
        <v>1182</v>
      </c>
      <c r="BO32" s="1150">
        <f>BN32</f>
        <v>1182</v>
      </c>
      <c r="BP32" s="1158"/>
      <c r="BQ32" s="1182">
        <f>Debt!BQ53</f>
        <v>1081.3702252500977</v>
      </c>
      <c r="BR32" s="1181">
        <f>Debt!BR53</f>
        <v>473.54565893883068</v>
      </c>
      <c r="BS32" s="1181">
        <f>Debt!BS53</f>
        <v>477.07180460320001</v>
      </c>
      <c r="BT32" s="1181">
        <f>Debt!BT53</f>
        <v>480.6290587501652</v>
      </c>
      <c r="BU32" s="1150">
        <f>BT32</f>
        <v>480.6290587501652</v>
      </c>
      <c r="BV32" s="1158"/>
      <c r="BW32" s="1182">
        <f>Debt!BW53</f>
        <v>484.13934633642191</v>
      </c>
      <c r="BX32" s="1181">
        <f>Debt!BX53</f>
        <v>487.71943729698609</v>
      </c>
      <c r="BY32" s="1181">
        <f>Debt!BY53</f>
        <v>491.37062735241079</v>
      </c>
      <c r="BZ32" s="1181">
        <f>Debt!BZ53</f>
        <v>495.05402906132508</v>
      </c>
      <c r="CA32" s="1150">
        <f>BZ32</f>
        <v>495.05402906132508</v>
      </c>
      <c r="CB32" s="1158"/>
      <c r="CC32" s="1182">
        <f>Debt!CC53</f>
        <v>498.68879867851115</v>
      </c>
      <c r="CD32" s="1181">
        <f>Debt!CD53</f>
        <v>0</v>
      </c>
      <c r="CE32" s="1181">
        <f>Debt!CE53</f>
        <v>0</v>
      </c>
      <c r="CF32" s="1181">
        <f>Debt!CF53</f>
        <v>0</v>
      </c>
      <c r="CG32" s="1150">
        <f>CF32</f>
        <v>0</v>
      </c>
      <c r="CH32" s="1158"/>
      <c r="CI32" s="1182">
        <f>Debt!CI53</f>
        <v>0</v>
      </c>
      <c r="CJ32" s="1181">
        <f>Debt!CJ53</f>
        <v>0</v>
      </c>
      <c r="CK32" s="1181">
        <f>Debt!CK53</f>
        <v>0</v>
      </c>
      <c r="CL32" s="1181">
        <f>Debt!CL53</f>
        <v>0</v>
      </c>
      <c r="CM32" s="1150">
        <f>CL32</f>
        <v>0</v>
      </c>
      <c r="CN32" s="1158"/>
      <c r="CO32" s="1182">
        <f>Debt!CO53</f>
        <v>0</v>
      </c>
      <c r="CP32" s="1181">
        <f>Debt!CP53</f>
        <v>0</v>
      </c>
      <c r="CQ32" s="1181">
        <f>Debt!CQ53</f>
        <v>0</v>
      </c>
      <c r="CR32" s="1181">
        <f>Debt!CR53</f>
        <v>0</v>
      </c>
      <c r="CS32" s="1150">
        <f>CR32</f>
        <v>0</v>
      </c>
      <c r="CT32" s="1151"/>
      <c r="CU32" s="63"/>
      <c r="CV32" s="1144"/>
      <c r="CW32" s="63"/>
    </row>
    <row r="33" spans="1:101" ht="12.75" customHeight="1">
      <c r="A33" s="1881" t="s">
        <v>301</v>
      </c>
      <c r="B33" s="1164"/>
      <c r="C33" s="1165">
        <f>SUM(C30:C32)</f>
        <v>476.87699999999995</v>
      </c>
      <c r="D33" s="1166">
        <f>SUM(D30:D32)</f>
        <v>486.73900000000003</v>
      </c>
      <c r="E33" s="1166">
        <f>SUM(E30:E32)</f>
        <v>488.95100000000002</v>
      </c>
      <c r="F33" s="1166">
        <f>SUM(F30:F32)</f>
        <v>576.05399999999997</v>
      </c>
      <c r="G33" s="1167">
        <f>SUM(G30:G32)</f>
        <v>576.05399999999997</v>
      </c>
      <c r="H33" s="1166"/>
      <c r="I33" s="1165">
        <f>SUM(I30:I32)</f>
        <v>484.66300000000001</v>
      </c>
      <c r="J33" s="1166">
        <f>SUM(J30:J32)</f>
        <v>500.93299999999999</v>
      </c>
      <c r="K33" s="1166">
        <f>SUM(K30:K32)</f>
        <v>508.32899999999995</v>
      </c>
      <c r="L33" s="1166">
        <f>SUM(L30:L32)</f>
        <v>528.50400000000002</v>
      </c>
      <c r="M33" s="1167">
        <f>SUM(M30:M32)</f>
        <v>528.50400000000002</v>
      </c>
      <c r="N33" s="1166"/>
      <c r="O33" s="1165">
        <f>SUM(O30:O32)</f>
        <v>517.43500000000006</v>
      </c>
      <c r="P33" s="1166">
        <f>SUM(P30:P32)</f>
        <v>537.428</v>
      </c>
      <c r="Q33" s="1166">
        <f>SUM(Q30:Q32)</f>
        <v>539.596</v>
      </c>
      <c r="R33" s="1166">
        <f>SUM(R30:R32)</f>
        <v>565.68899999999996</v>
      </c>
      <c r="S33" s="1167">
        <f>SUM(S30:S32)</f>
        <v>565.68899999999996</v>
      </c>
      <c r="T33" s="1166"/>
      <c r="U33" s="1165">
        <f>SUM(U30:U32)</f>
        <v>563.41399999999999</v>
      </c>
      <c r="V33" s="1166">
        <f>SUM(V30:V32)</f>
        <v>604.92499999999995</v>
      </c>
      <c r="W33" s="1166">
        <f>SUM(W30:W32)</f>
        <v>617.1</v>
      </c>
      <c r="X33" s="1166">
        <f>SUM(X30:X32)</f>
        <v>641.43799999999987</v>
      </c>
      <c r="Y33" s="1167">
        <f>SUM(Y30:Y32)</f>
        <v>641.43799999999987</v>
      </c>
      <c r="Z33" s="1166"/>
      <c r="AA33" s="1165">
        <f>SUM(AA30:AA32)</f>
        <v>1058.923</v>
      </c>
      <c r="AB33" s="1166">
        <f>SUM(AB30:AB32)</f>
        <v>1088.682</v>
      </c>
      <c r="AC33" s="1166">
        <f>SUM(AC30:AC32)</f>
        <v>1111.519</v>
      </c>
      <c r="AD33" s="1166">
        <f>SUM(AD30:AD32)</f>
        <v>1120.625</v>
      </c>
      <c r="AE33" s="1168">
        <f>SUM(AE30:AE32)</f>
        <v>1120.625</v>
      </c>
      <c r="AF33" s="1166"/>
      <c r="AG33" s="1165">
        <f>SUM(AG30:AG32)</f>
        <v>1141.3020000000001</v>
      </c>
      <c r="AH33" s="1166">
        <f>SUM(AH30:AH32)</f>
        <v>1167.9549999999999</v>
      </c>
      <c r="AI33" s="1166">
        <f>SUM(AI30:AI32)</f>
        <v>1215.769</v>
      </c>
      <c r="AJ33" s="1166">
        <f>SUM(AJ30:AJ32)</f>
        <v>1247.5039999999999</v>
      </c>
      <c r="AK33" s="1168">
        <f>SUM(AK30:AK32)</f>
        <v>1247.5039999999999</v>
      </c>
      <c r="AL33" s="1166"/>
      <c r="AM33" s="1165">
        <f>SUM(AM30:AM32)</f>
        <v>1432.3609999999999</v>
      </c>
      <c r="AN33" s="1166">
        <f>SUM(AN30:AN32)</f>
        <v>1434.6100000000001</v>
      </c>
      <c r="AO33" s="1166">
        <f>SUM(AO30:AO32)</f>
        <v>1443.232</v>
      </c>
      <c r="AP33" s="1166">
        <f>SUM(AP30:AP32)</f>
        <v>1485.8040000000001</v>
      </c>
      <c r="AQ33" s="1168">
        <f>SUM(AQ30:AQ32)</f>
        <v>1485.8040000000001</v>
      </c>
      <c r="AR33" s="1166"/>
      <c r="AS33" s="1450">
        <f>SUM(AS30:AS32)</f>
        <v>1479.9569999999999</v>
      </c>
      <c r="AT33" s="1508">
        <f>SUM(AT30:AT32)</f>
        <v>1954.6189999999999</v>
      </c>
      <c r="AU33" s="1508">
        <f>SUM(AU30:AU32)</f>
        <v>2003.893</v>
      </c>
      <c r="AV33" s="1508">
        <f>SUM(AV30:AV32)</f>
        <v>1876.8420000000001</v>
      </c>
      <c r="AW33" s="1772">
        <f>SUM(AW30:AW32)</f>
        <v>1876.8420000000001</v>
      </c>
      <c r="AX33" s="1166"/>
      <c r="AY33" s="1450">
        <f>SUM(AY30:AY32)</f>
        <v>1875.7670000000001</v>
      </c>
      <c r="AZ33" s="1508">
        <f>SUM(AZ30:AZ32)</f>
        <v>1909.213</v>
      </c>
      <c r="BA33" s="1508">
        <f>SUM(BA30:BA32)</f>
        <v>1796.981</v>
      </c>
      <c r="BB33" s="1508">
        <f>SUM(BB30:BB32)</f>
        <v>1839.194</v>
      </c>
      <c r="BC33" s="1772">
        <f>SUM(BC30:BC32)</f>
        <v>1839.194</v>
      </c>
      <c r="BD33" s="1166"/>
      <c r="BE33" s="1453">
        <f>SUM(BE30:BE32)</f>
        <v>1802.597</v>
      </c>
      <c r="BF33" s="1166">
        <f>SUM(BF30:BF32)</f>
        <v>1929.319</v>
      </c>
      <c r="BG33" s="1166">
        <f>SUM(BG30:BG32)</f>
        <v>1987.68</v>
      </c>
      <c r="BH33" s="1508">
        <f>SUM(BH30:BH32)</f>
        <v>2083.3710000000001</v>
      </c>
      <c r="BI33" s="1772">
        <f>SUM(BI30:BI32)</f>
        <v>2083.3710000000001</v>
      </c>
      <c r="BJ33" s="1166"/>
      <c r="BK33" s="1453">
        <f>SUM(BK30:BK32)</f>
        <v>2047</v>
      </c>
      <c r="BL33" s="1166">
        <f>SUM(BL30:BL32)</f>
        <v>2143</v>
      </c>
      <c r="BM33" s="1166">
        <f>SUM(BM30:BM32)</f>
        <v>2191</v>
      </c>
      <c r="BN33" s="1508">
        <f>SUM(BN30:BN32)</f>
        <v>2508</v>
      </c>
      <c r="BO33" s="1168">
        <f>SUM(BO30:BO32)</f>
        <v>2508</v>
      </c>
      <c r="BP33" s="1166"/>
      <c r="BQ33" s="1169">
        <f>SUM(BQ30:BQ32)</f>
        <v>2325.5018028020199</v>
      </c>
      <c r="BR33" s="1166">
        <f>SUM(BR30:BR32)</f>
        <v>2384.7702992219629</v>
      </c>
      <c r="BS33" s="1166">
        <f>SUM(BS30:BS32)</f>
        <v>2398.4378144638176</v>
      </c>
      <c r="BT33" s="1170">
        <f>SUM(BT30:BT32)</f>
        <v>2425.8383346104874</v>
      </c>
      <c r="BU33" s="1168">
        <f>SUM(BU30:BU32)</f>
        <v>2425.8383346104874</v>
      </c>
      <c r="BV33" s="1166"/>
      <c r="BW33" s="1169">
        <f>SUM(BW30:BW32)</f>
        <v>2392.0521845222788</v>
      </c>
      <c r="BX33" s="1166">
        <f>SUM(BX30:BX32)</f>
        <v>2444.1059389375255</v>
      </c>
      <c r="BY33" s="1166">
        <f>SUM(BY30:BY32)</f>
        <v>2454.61345817846</v>
      </c>
      <c r="BZ33" s="1170">
        <f>SUM(BZ30:BZ32)</f>
        <v>2482.0431370071528</v>
      </c>
      <c r="CA33" s="1168">
        <f>SUM(CA30:CA32)</f>
        <v>2482.0431370071528</v>
      </c>
      <c r="CB33" s="1166"/>
      <c r="CC33" s="1169">
        <f>SUM(CC30:CC32)</f>
        <v>2466.8898561183514</v>
      </c>
      <c r="CD33" s="1166">
        <f>SUM(CD30:CD32)</f>
        <v>2524.079157054694</v>
      </c>
      <c r="CE33" s="1166">
        <f>SUM(CE30:CE32)</f>
        <v>2537.3555995311785</v>
      </c>
      <c r="CF33" s="1170">
        <f>SUM(CF30:CF32)</f>
        <v>2570.4618690769134</v>
      </c>
      <c r="CG33" s="1168">
        <f>SUM(CG30:CG32)</f>
        <v>2570.4618690769134</v>
      </c>
      <c r="CH33" s="1166"/>
      <c r="CI33" s="1169">
        <f>SUM(CI30:CI32)</f>
        <v>2555.6834313892605</v>
      </c>
      <c r="CJ33" s="1166">
        <f>SUM(CJ30:CJ32)</f>
        <v>2615.4107481466317</v>
      </c>
      <c r="CK33" s="1166">
        <f>SUM(CK30:CK32)</f>
        <v>2629.125421904117</v>
      </c>
      <c r="CL33" s="1170">
        <f>SUM(CL30:CL32)</f>
        <v>2666.7322342979442</v>
      </c>
      <c r="CM33" s="1168">
        <f>SUM(CM30:CM32)</f>
        <v>2666.7322342979442</v>
      </c>
      <c r="CN33" s="1166"/>
      <c r="CO33" s="1169">
        <f>SUM(CO30:CO32)</f>
        <v>2646.6164135340823</v>
      </c>
      <c r="CP33" s="1166">
        <f>SUM(CP30:CP32)</f>
        <v>2711.5682695468017</v>
      </c>
      <c r="CQ33" s="1166">
        <f>SUM(CQ30:CQ32)</f>
        <v>2728.7619626525161</v>
      </c>
      <c r="CR33" s="1170">
        <f>SUM(CR30:CR32)</f>
        <v>2770.5456375225085</v>
      </c>
      <c r="CS33" s="1168">
        <f>SUM(CS30:CS32)</f>
        <v>2770.5456375225085</v>
      </c>
      <c r="CT33" s="2390"/>
      <c r="CU33" s="63"/>
      <c r="CV33" s="63"/>
      <c r="CW33" s="63"/>
    </row>
    <row r="34" spans="1:101" ht="12.75" customHeight="1" outlineLevel="1">
      <c r="A34" s="1884" t="s">
        <v>302</v>
      </c>
      <c r="B34" s="1183"/>
      <c r="C34" s="1155"/>
      <c r="D34" s="1156"/>
      <c r="E34" s="1156"/>
      <c r="F34" s="1156"/>
      <c r="G34" s="1184"/>
      <c r="H34" s="1160"/>
      <c r="I34" s="1155"/>
      <c r="J34" s="1156"/>
      <c r="K34" s="1156"/>
      <c r="L34" s="1156"/>
      <c r="M34" s="1184"/>
      <c r="N34" s="1160"/>
      <c r="O34" s="1155">
        <v>0</v>
      </c>
      <c r="P34" s="1156">
        <v>0</v>
      </c>
      <c r="Q34" s="1156">
        <v>0</v>
      </c>
      <c r="R34" s="1156"/>
      <c r="S34" s="1184"/>
      <c r="T34" s="1160"/>
      <c r="U34" s="1155">
        <v>0</v>
      </c>
      <c r="V34" s="1156">
        <v>0</v>
      </c>
      <c r="W34" s="1156">
        <v>0</v>
      </c>
      <c r="X34" s="1156"/>
      <c r="Y34" s="1184"/>
      <c r="Z34" s="1160"/>
      <c r="AA34" s="1155"/>
      <c r="AB34" s="1156"/>
      <c r="AC34" s="1156"/>
      <c r="AD34" s="1156"/>
      <c r="AE34" s="1172"/>
      <c r="AF34" s="1160"/>
      <c r="AG34" s="1155"/>
      <c r="AH34" s="1156"/>
      <c r="AI34" s="1158"/>
      <c r="AJ34" s="1156"/>
      <c r="AK34" s="1185"/>
      <c r="AL34" s="1158"/>
      <c r="AM34" s="1186"/>
      <c r="AN34" s="1158"/>
      <c r="AO34" s="1158"/>
      <c r="AP34" s="1158"/>
      <c r="AQ34" s="1185"/>
      <c r="AR34" s="1160"/>
      <c r="AS34" s="1452"/>
      <c r="AT34" s="1459"/>
      <c r="AU34" s="1459"/>
      <c r="AV34" s="1459"/>
      <c r="AW34" s="1775"/>
      <c r="AX34" s="1160"/>
      <c r="AY34" s="1452"/>
      <c r="AZ34" s="1459"/>
      <c r="BA34" s="1459"/>
      <c r="BB34" s="1459"/>
      <c r="BC34" s="1775"/>
      <c r="BD34" s="1160"/>
      <c r="BE34" s="1452"/>
      <c r="BF34" s="1160"/>
      <c r="BG34" s="1160"/>
      <c r="BH34" s="1459"/>
      <c r="BI34" s="1775"/>
      <c r="BJ34" s="1160"/>
      <c r="BK34" s="1452"/>
      <c r="BL34" s="1160"/>
      <c r="BM34" s="1160"/>
      <c r="BN34" s="1459"/>
      <c r="BO34" s="1185"/>
      <c r="BP34" s="1160"/>
      <c r="BQ34" s="1187"/>
      <c r="BR34" s="1160"/>
      <c r="BS34" s="1160"/>
      <c r="BT34" s="1188"/>
      <c r="BU34" s="1185"/>
      <c r="BV34" s="1160"/>
      <c r="BW34" s="1187"/>
      <c r="BX34" s="1160"/>
      <c r="BY34" s="1160"/>
      <c r="BZ34" s="1188"/>
      <c r="CA34" s="1185"/>
      <c r="CB34" s="1160"/>
      <c r="CC34" s="1187"/>
      <c r="CD34" s="1160"/>
      <c r="CE34" s="1160"/>
      <c r="CF34" s="1188"/>
      <c r="CG34" s="1185"/>
      <c r="CH34" s="1160"/>
      <c r="CI34" s="1187"/>
      <c r="CJ34" s="1160"/>
      <c r="CK34" s="1160"/>
      <c r="CL34" s="1188"/>
      <c r="CM34" s="1185"/>
      <c r="CN34" s="1160"/>
      <c r="CO34" s="1187"/>
      <c r="CP34" s="1160"/>
      <c r="CQ34" s="1160"/>
      <c r="CR34" s="1188"/>
      <c r="CS34" s="1185"/>
      <c r="CT34" s="1160"/>
      <c r="CU34" s="63"/>
      <c r="CV34" s="63"/>
      <c r="CW34" s="63"/>
    </row>
    <row r="35" spans="1:101" outlineLevel="1" collapsed="1">
      <c r="A35" s="1879" t="s">
        <v>303</v>
      </c>
      <c r="B35" s="1183"/>
      <c r="C35" s="1155">
        <v>0.46899999999999997</v>
      </c>
      <c r="D35" s="1157">
        <f>C35</f>
        <v>0.46899999999999997</v>
      </c>
      <c r="E35" s="1157">
        <f>D35</f>
        <v>0.46899999999999997</v>
      </c>
      <c r="F35" s="1156">
        <v>0.628</v>
      </c>
      <c r="G35" s="1148">
        <f>F35</f>
        <v>0.628</v>
      </c>
      <c r="H35" s="1149"/>
      <c r="I35" s="1159">
        <f>G35</f>
        <v>0.628</v>
      </c>
      <c r="J35" s="1157">
        <f>I35</f>
        <v>0.628</v>
      </c>
      <c r="K35" s="1157">
        <f>J35</f>
        <v>0.628</v>
      </c>
      <c r="L35" s="1156">
        <v>1.389</v>
      </c>
      <c r="M35" s="1148">
        <f>L35</f>
        <v>1.389</v>
      </c>
      <c r="N35" s="1149"/>
      <c r="O35" s="1155">
        <v>1.407</v>
      </c>
      <c r="P35" s="1156">
        <v>1.421</v>
      </c>
      <c r="Q35" s="1156">
        <v>1.43</v>
      </c>
      <c r="R35" s="1156">
        <v>1.4359999999999999</v>
      </c>
      <c r="S35" s="1148">
        <f>R35</f>
        <v>1.4359999999999999</v>
      </c>
      <c r="T35" s="1149"/>
      <c r="U35" s="1155">
        <v>1.456</v>
      </c>
      <c r="V35" s="1156">
        <v>1.4830000000000001</v>
      </c>
      <c r="W35" s="1156">
        <v>1.4950000000000001</v>
      </c>
      <c r="X35" s="1156">
        <v>1.516</v>
      </c>
      <c r="Y35" s="1148">
        <f>X35</f>
        <v>1.516</v>
      </c>
      <c r="Z35" s="1149"/>
      <c r="AA35" s="1155">
        <v>1.6080000000000001</v>
      </c>
      <c r="AB35" s="1156">
        <v>1.651</v>
      </c>
      <c r="AC35" s="1156">
        <v>1.661</v>
      </c>
      <c r="AD35" s="1156">
        <v>1.6679999999999999</v>
      </c>
      <c r="AE35" s="1150">
        <f>AD35</f>
        <v>1.6679999999999999</v>
      </c>
      <c r="AF35" s="1151"/>
      <c r="AG35" s="1155">
        <v>1.681</v>
      </c>
      <c r="AH35" s="1156">
        <v>1.6850000000000001</v>
      </c>
      <c r="AI35" s="1156">
        <v>1.69</v>
      </c>
      <c r="AJ35" s="1156">
        <v>1.7030000000000001</v>
      </c>
      <c r="AK35" s="1150">
        <f>AJ35</f>
        <v>1.7030000000000001</v>
      </c>
      <c r="AL35" s="1158"/>
      <c r="AM35" s="1155">
        <v>1.7110000000000001</v>
      </c>
      <c r="AN35" s="1156">
        <v>1.726</v>
      </c>
      <c r="AO35" s="1156">
        <v>1.7390000000000001</v>
      </c>
      <c r="AP35" s="1156">
        <v>1.7529999999999999</v>
      </c>
      <c r="AQ35" s="1150">
        <f>AP35</f>
        <v>1.7529999999999999</v>
      </c>
      <c r="AR35" s="1160"/>
      <c r="AS35" s="1449">
        <v>1.778</v>
      </c>
      <c r="AT35" s="1507">
        <v>1.7849999999999999</v>
      </c>
      <c r="AU35" s="1507">
        <v>1.794</v>
      </c>
      <c r="AV35" s="1507">
        <v>1.8049999999999999</v>
      </c>
      <c r="AW35" s="1587">
        <f>AV35</f>
        <v>1.8049999999999999</v>
      </c>
      <c r="AX35" s="1160"/>
      <c r="AY35" s="1449">
        <v>1.823</v>
      </c>
      <c r="AZ35" s="1507">
        <v>1.829</v>
      </c>
      <c r="BA35" s="1507">
        <v>1.849</v>
      </c>
      <c r="BB35" s="1507">
        <v>1.859</v>
      </c>
      <c r="BC35" s="1587">
        <f>BB35</f>
        <v>1.859</v>
      </c>
      <c r="BD35" s="1160"/>
      <c r="BE35" s="2757">
        <v>1.8759999999999999</v>
      </c>
      <c r="BF35" s="2756">
        <v>1.8779999999999999</v>
      </c>
      <c r="BG35" s="2756">
        <v>1.8819999999999999</v>
      </c>
      <c r="BH35" s="2758">
        <v>1.887</v>
      </c>
      <c r="BI35" s="1587">
        <f>BH35</f>
        <v>1.887</v>
      </c>
      <c r="BJ35" s="1160"/>
      <c r="BK35" s="2757">
        <v>2</v>
      </c>
      <c r="BL35" s="2756">
        <v>2</v>
      </c>
      <c r="BM35" s="2756">
        <v>2</v>
      </c>
      <c r="BN35" s="2758">
        <v>2</v>
      </c>
      <c r="BO35" s="1150">
        <f>BN35</f>
        <v>2</v>
      </c>
      <c r="BP35" s="1160"/>
      <c r="BQ35" s="1161">
        <f>BO35</f>
        <v>2</v>
      </c>
      <c r="BR35" s="1162">
        <f>BQ35</f>
        <v>2</v>
      </c>
      <c r="BS35" s="1162">
        <f>BR35</f>
        <v>2</v>
      </c>
      <c r="BT35" s="1163">
        <f>BS35</f>
        <v>2</v>
      </c>
      <c r="BU35" s="1150">
        <f>BT35</f>
        <v>2</v>
      </c>
      <c r="BV35" s="1160"/>
      <c r="BW35" s="1161">
        <f>BU35</f>
        <v>2</v>
      </c>
      <c r="BX35" s="1162">
        <f>BW35</f>
        <v>2</v>
      </c>
      <c r="BY35" s="1162">
        <f>BX35</f>
        <v>2</v>
      </c>
      <c r="BZ35" s="1163">
        <f>BY35</f>
        <v>2</v>
      </c>
      <c r="CA35" s="1150">
        <f>BZ35</f>
        <v>2</v>
      </c>
      <c r="CB35" s="1160"/>
      <c r="CC35" s="1161">
        <f>CA35</f>
        <v>2</v>
      </c>
      <c r="CD35" s="1162">
        <f>CC35</f>
        <v>2</v>
      </c>
      <c r="CE35" s="1162">
        <f>CD35</f>
        <v>2</v>
      </c>
      <c r="CF35" s="1163">
        <f>CE35</f>
        <v>2</v>
      </c>
      <c r="CG35" s="1150">
        <f>CF35</f>
        <v>2</v>
      </c>
      <c r="CH35" s="1160"/>
      <c r="CI35" s="1161">
        <f>CG35</f>
        <v>2</v>
      </c>
      <c r="CJ35" s="1162">
        <f>CI35</f>
        <v>2</v>
      </c>
      <c r="CK35" s="1162">
        <f>CJ35</f>
        <v>2</v>
      </c>
      <c r="CL35" s="1163">
        <f>CK35</f>
        <v>2</v>
      </c>
      <c r="CM35" s="1150">
        <f>CL35</f>
        <v>2</v>
      </c>
      <c r="CN35" s="1160"/>
      <c r="CO35" s="1161">
        <f>CM35</f>
        <v>2</v>
      </c>
      <c r="CP35" s="1162">
        <f>CO35</f>
        <v>2</v>
      </c>
      <c r="CQ35" s="1162">
        <f>CP35</f>
        <v>2</v>
      </c>
      <c r="CR35" s="1163">
        <f>CQ35</f>
        <v>2</v>
      </c>
      <c r="CS35" s="1150">
        <f>CR35</f>
        <v>2</v>
      </c>
      <c r="CT35" s="1151"/>
      <c r="CU35" s="63"/>
      <c r="CV35" s="1144"/>
      <c r="CW35" s="63"/>
    </row>
    <row r="36" spans="1:101" outlineLevel="1">
      <c r="A36" s="1879" t="s">
        <v>304</v>
      </c>
      <c r="B36" s="1183"/>
      <c r="C36" s="1159">
        <f>340.197+CFS!C37+CFS!C14+CFS!C15+CFS!C39+CFS!C40</f>
        <v>313.00599999999997</v>
      </c>
      <c r="D36" s="1157">
        <f>C36+CFS!D37+CFS!D14+CFS!D15+CFS!D39+CFS!D40</f>
        <v>324.46999999999997</v>
      </c>
      <c r="E36" s="1157">
        <f>D36+CFS!E37+CFS!E14+CFS!E15+CFS!E39+CFS!E40</f>
        <v>343.61299999999994</v>
      </c>
      <c r="F36" s="1156">
        <v>1044.3019999999999</v>
      </c>
      <c r="G36" s="1148">
        <f>F36</f>
        <v>1044.3019999999999</v>
      </c>
      <c r="H36" s="1149"/>
      <c r="I36" s="1159">
        <f>G36+CFS!I37+CFS!I14+CFS!I15+CFS!I39+CFS!I40</f>
        <v>1071.1469999999999</v>
      </c>
      <c r="J36" s="1157">
        <f>I36+CFS!J37+CFS!J14+CFS!J15+CFS!J39+CFS!J40</f>
        <v>1097.5989999999999</v>
      </c>
      <c r="K36" s="1157">
        <f>J36+CFS!K37+CFS!K14+CFS!K15+CFS!K39+CFS!K40</f>
        <v>1467.2729999999999</v>
      </c>
      <c r="L36" s="1156">
        <v>1499.7080000000001</v>
      </c>
      <c r="M36" s="1148">
        <f>L36</f>
        <v>1499.7080000000001</v>
      </c>
      <c r="N36" s="1149"/>
      <c r="O36" s="1155">
        <v>1507.961</v>
      </c>
      <c r="P36" s="1156">
        <v>1566.8989999999999</v>
      </c>
      <c r="Q36" s="1156">
        <v>1611.7919999999999</v>
      </c>
      <c r="R36" s="1156">
        <v>1637.751</v>
      </c>
      <c r="S36" s="1148">
        <f>R36</f>
        <v>1637.751</v>
      </c>
      <c r="T36" s="1149"/>
      <c r="U36" s="1155">
        <v>1694.25</v>
      </c>
      <c r="V36" s="1156">
        <v>1759.625</v>
      </c>
      <c r="W36" s="1156">
        <v>1811.3879999999999</v>
      </c>
      <c r="X36" s="1156">
        <v>1891.288</v>
      </c>
      <c r="Y36" s="1148">
        <f>X36</f>
        <v>1891.288</v>
      </c>
      <c r="Z36" s="1149"/>
      <c r="AA36" s="1155">
        <v>2070.3180000000002</v>
      </c>
      <c r="AB36" s="1156">
        <v>2170.5639999999999</v>
      </c>
      <c r="AC36" s="1156">
        <v>2221.98</v>
      </c>
      <c r="AD36" s="1156">
        <v>2249.9</v>
      </c>
      <c r="AE36" s="1150">
        <f>AD36</f>
        <v>2249.9</v>
      </c>
      <c r="AF36" s="1151"/>
      <c r="AG36" s="1155">
        <v>2309.2849999999999</v>
      </c>
      <c r="AH36" s="1156">
        <v>2339.049</v>
      </c>
      <c r="AI36" s="1156">
        <v>2370.9690000000001</v>
      </c>
      <c r="AJ36" s="1156">
        <v>2419.8310000000001</v>
      </c>
      <c r="AK36" s="1150">
        <f>AJ36</f>
        <v>2419.8310000000001</v>
      </c>
      <c r="AL36" s="1158"/>
      <c r="AM36" s="1155">
        <v>2463.5549999999998</v>
      </c>
      <c r="AN36" s="1156">
        <v>2530.0749999999998</v>
      </c>
      <c r="AO36" s="1156">
        <v>2484.4569999999999</v>
      </c>
      <c r="AP36" s="1156">
        <v>2562.7049999999999</v>
      </c>
      <c r="AQ36" s="1150">
        <f>AP36</f>
        <v>2562.7049999999999</v>
      </c>
      <c r="AR36" s="1158"/>
      <c r="AS36" s="1449">
        <v>2681.9830000000002</v>
      </c>
      <c r="AT36" s="1507">
        <v>2056.922</v>
      </c>
      <c r="AU36" s="1507">
        <v>2101.183</v>
      </c>
      <c r="AV36" s="1507">
        <v>2172.94</v>
      </c>
      <c r="AW36" s="1587">
        <f>AV36</f>
        <v>2172.94</v>
      </c>
      <c r="AX36" s="1158"/>
      <c r="AY36" s="1449">
        <v>2311.9699999999998</v>
      </c>
      <c r="AZ36" s="1507">
        <v>2388.181</v>
      </c>
      <c r="BA36" s="1507">
        <v>2454.8760000000002</v>
      </c>
      <c r="BB36" s="1507">
        <v>2497.5010000000002</v>
      </c>
      <c r="BC36" s="1587">
        <f>BB36</f>
        <v>2497.5010000000002</v>
      </c>
      <c r="BD36" s="1158"/>
      <c r="BE36" s="2757">
        <v>2617.681</v>
      </c>
      <c r="BF36" s="2756">
        <f>2664.865</f>
        <v>2664.8649999999998</v>
      </c>
      <c r="BG36" s="2756">
        <v>2738.0010000000002</v>
      </c>
      <c r="BH36" s="2758">
        <v>2733.3939999999998</v>
      </c>
      <c r="BI36" s="1587">
        <f>BH36</f>
        <v>2733.3939999999998</v>
      </c>
      <c r="BJ36" s="1158"/>
      <c r="BK36" s="2757">
        <v>2798</v>
      </c>
      <c r="BL36" s="2756">
        <v>2836</v>
      </c>
      <c r="BM36" s="2756">
        <v>2891</v>
      </c>
      <c r="BN36" s="2758">
        <v>2833</v>
      </c>
      <c r="BO36" s="1150">
        <f>BN36</f>
        <v>2833</v>
      </c>
      <c r="BP36" s="1158"/>
      <c r="BQ36" s="1159">
        <f>BO36+CFS!BQ37+CFS!BQ14+CFS!BQ15+CFS!BQ39+CFS!BQ40</f>
        <v>2896.116280248651</v>
      </c>
      <c r="BR36" s="1157">
        <f>BQ36+CFS!BR37+CFS!BR14+CFS!BR15+CFS!BR39+CFS!BR40</f>
        <v>2964.6542539220968</v>
      </c>
      <c r="BS36" s="1157">
        <f>BR36+CFS!BS37+CFS!BS14+CFS!BS15+CFS!BS39+CFS!BS40</f>
        <v>3033.6877296787034</v>
      </c>
      <c r="BT36" s="1157">
        <f>BS36+CFS!BT37+CFS!BT14+CFS!BT15+CFS!BT39+CFS!BT40</f>
        <v>3104.464191582817</v>
      </c>
      <c r="BU36" s="1150">
        <f>BT36</f>
        <v>3104.464191582817</v>
      </c>
      <c r="BV36" s="1158"/>
      <c r="BW36" s="1159">
        <f>BU36+CFS!BW37+CFS!BW14+CFS!BW15+CFS!BW39+CFS!BW40</f>
        <v>3178.857606707963</v>
      </c>
      <c r="BX36" s="1157">
        <f>BW36+CFS!BX37+CFS!BX14+CFS!BX15+CFS!BX39+CFS!BX40</f>
        <v>3258.2159194670357</v>
      </c>
      <c r="BY36" s="1157">
        <f>BX36+CFS!BY37+CFS!BY14+CFS!BY15+CFS!BY39+CFS!BY40</f>
        <v>3337.7741272761709</v>
      </c>
      <c r="BZ36" s="1157">
        <f>BY36+CFS!BZ37+CFS!BZ14+CFS!BZ15+CFS!BZ39+CFS!BZ40</f>
        <v>3419.0961358737477</v>
      </c>
      <c r="CA36" s="1150">
        <f>BZ36</f>
        <v>3419.0961358737477</v>
      </c>
      <c r="CB36" s="1158"/>
      <c r="CC36" s="1159">
        <f>CA36+CFS!CC37+CFS!CC14+CFS!CC15+CFS!CC39+CFS!CC40</f>
        <v>3508.3225784576334</v>
      </c>
      <c r="CD36" s="1157">
        <f>CC36+CFS!CD37+CFS!CD14+CFS!CD15+CFS!CD39+CFS!CD40</f>
        <v>3602.7965158041416</v>
      </c>
      <c r="CE36" s="1157">
        <f>CD36+CFS!CE37+CFS!CE14+CFS!CE15+CFS!CE39+CFS!CE40</f>
        <v>3697.4692240095796</v>
      </c>
      <c r="CF36" s="1157">
        <f>CE36+CFS!CF37+CFS!CF14+CFS!CF15+CFS!CF39+CFS!CF40</f>
        <v>3794.1706924994364</v>
      </c>
      <c r="CG36" s="1150">
        <f>CF36</f>
        <v>3794.1706924994364</v>
      </c>
      <c r="CH36" s="1158"/>
      <c r="CI36" s="1159">
        <f>CG36+CFS!CI37+CFS!CI14+CFS!CI15+CFS!CI39+CFS!CI40</f>
        <v>3904.4157248884826</v>
      </c>
      <c r="CJ36" s="1157">
        <f>CI36+CFS!CJ37+CFS!CJ14+CFS!CJ15+CFS!CJ39+CFS!CJ40</f>
        <v>4020.1294001808728</v>
      </c>
      <c r="CK36" s="1157">
        <f>CJ36+CFS!CK37+CFS!CK14+CFS!CK15+CFS!CK39+CFS!CK40</f>
        <v>4136.019564438292</v>
      </c>
      <c r="CL36" s="1157">
        <f>CK36+CFS!CL37+CFS!CL14+CFS!CL15+CFS!CL39+CFS!CL40</f>
        <v>4254.3185984548045</v>
      </c>
      <c r="CM36" s="1150">
        <f>CL36</f>
        <v>4254.3185984548045</v>
      </c>
      <c r="CN36" s="1158"/>
      <c r="CO36" s="1159">
        <f>CM36+CFS!CO37+CFS!CO14+CFS!CO15+CFS!CO39+CFS!CO40</f>
        <v>4394.0529364120621</v>
      </c>
      <c r="CP36" s="1157">
        <f>CO36+CFS!CP37+CFS!CP14+CFS!CP15+CFS!CP39+CFS!CP40</f>
        <v>4539.7818627842344</v>
      </c>
      <c r="CQ36" s="1157">
        <f>CP36+CFS!CQ37+CFS!CQ14+CFS!CQ15+CFS!CQ39+CFS!CQ40</f>
        <v>4685.9827185980594</v>
      </c>
      <c r="CR36" s="1157">
        <f>CQ36+CFS!CR37+CFS!CR14+CFS!CR15+CFS!CR39+CFS!CR40</f>
        <v>4834.9373022537284</v>
      </c>
      <c r="CS36" s="1150">
        <f>CR36</f>
        <v>4834.9373022537284</v>
      </c>
      <c r="CT36" s="1151"/>
      <c r="CU36" s="63"/>
      <c r="CV36" s="1144"/>
      <c r="CW36" s="63"/>
    </row>
    <row r="37" spans="1:101" outlineLevel="1">
      <c r="A37" s="1879" t="s">
        <v>305</v>
      </c>
      <c r="B37" s="1183"/>
      <c r="C37" s="1159">
        <f>C40-SUM(C35:C36,C38:C39)</f>
        <v>302.94900000000001</v>
      </c>
      <c r="D37" s="1157">
        <f>D40-SUM(D35:D36,D38:D39)</f>
        <v>288.56800000000004</v>
      </c>
      <c r="E37" s="1157">
        <f>E40-SUM(E35:E36,E38:E39)</f>
        <v>283.94600000000003</v>
      </c>
      <c r="F37" s="1156">
        <v>1.347</v>
      </c>
      <c r="G37" s="1148">
        <f>F37</f>
        <v>1.347</v>
      </c>
      <c r="H37" s="1149"/>
      <c r="I37" s="1159">
        <f>I40-SUM(I35:I36,I38:I39)</f>
        <v>-8.571999999999889</v>
      </c>
      <c r="J37" s="1157">
        <f>J40-SUM(J35:J36,J38:J39)</f>
        <v>-21.811999999999841</v>
      </c>
      <c r="K37" s="1157">
        <f>K40-SUM(K35:K36,K38:K39)</f>
        <v>-58.885999999999626</v>
      </c>
      <c r="L37" s="1156">
        <v>2.4060000000000001</v>
      </c>
      <c r="M37" s="1148">
        <f>L37</f>
        <v>2.4060000000000001</v>
      </c>
      <c r="N37" s="1149"/>
      <c r="O37" s="1155">
        <v>1.8720000000000001</v>
      </c>
      <c r="P37" s="1156">
        <v>2.8370000000000002</v>
      </c>
      <c r="Q37" s="1156">
        <v>3.2370000000000001</v>
      </c>
      <c r="R37" s="1156">
        <v>2.83</v>
      </c>
      <c r="S37" s="1148">
        <f>R37</f>
        <v>2.83</v>
      </c>
      <c r="T37" s="1149"/>
      <c r="U37" s="1155">
        <v>2.6520000000000001</v>
      </c>
      <c r="V37" s="1156">
        <v>2.6120000000000001</v>
      </c>
      <c r="W37" s="1156">
        <v>2.5649999999999999</v>
      </c>
      <c r="X37" s="1156">
        <v>1.7649999999999999</v>
      </c>
      <c r="Y37" s="1148">
        <f>X37</f>
        <v>1.7649999999999999</v>
      </c>
      <c r="Z37" s="1149"/>
      <c r="AA37" s="1155">
        <v>1.1200000000000001</v>
      </c>
      <c r="AB37" s="1156">
        <v>2.347</v>
      </c>
      <c r="AC37" s="1156">
        <v>2.0859999999999999</v>
      </c>
      <c r="AD37" s="1156">
        <v>2.117</v>
      </c>
      <c r="AE37" s="1150">
        <f>AD37</f>
        <v>2.117</v>
      </c>
      <c r="AF37" s="1151"/>
      <c r="AG37" s="1155">
        <v>2.2629999999999999</v>
      </c>
      <c r="AH37" s="1156">
        <v>2.2029999999999998</v>
      </c>
      <c r="AI37" s="1156">
        <v>2.4470000000000001</v>
      </c>
      <c r="AJ37" s="1156">
        <v>2.1230000000000002</v>
      </c>
      <c r="AK37" s="1150">
        <f>AJ37</f>
        <v>2.1230000000000002</v>
      </c>
      <c r="AL37" s="1158"/>
      <c r="AM37" s="1155">
        <v>1.7030000000000001</v>
      </c>
      <c r="AN37" s="1156">
        <v>1.163</v>
      </c>
      <c r="AO37" s="1156">
        <v>1.3680000000000001</v>
      </c>
      <c r="AP37" s="1156">
        <v>1.234</v>
      </c>
      <c r="AQ37" s="1150">
        <f>AP37</f>
        <v>1.234</v>
      </c>
      <c r="AR37" s="1160"/>
      <c r="AS37" s="1449">
        <v>1.208</v>
      </c>
      <c r="AT37" s="1507">
        <v>1.333</v>
      </c>
      <c r="AU37" s="1507">
        <v>0.36099999999999999</v>
      </c>
      <c r="AV37" s="1507">
        <v>-1.08</v>
      </c>
      <c r="AW37" s="1587">
        <f>AV37</f>
        <v>-1.08</v>
      </c>
      <c r="AX37" s="1160"/>
      <c r="AY37" s="1449">
        <v>2.3340000000000001</v>
      </c>
      <c r="AZ37" s="1507">
        <v>0.59899999999999998</v>
      </c>
      <c r="BA37" s="1507">
        <v>1.04</v>
      </c>
      <c r="BB37" s="1507">
        <v>3.5999999999999997E-2</v>
      </c>
      <c r="BC37" s="1587">
        <f>BB37</f>
        <v>3.5999999999999997E-2</v>
      </c>
      <c r="BD37" s="1160"/>
      <c r="BE37" s="2757">
        <v>1.982</v>
      </c>
      <c r="BF37" s="2756">
        <v>2.3180000000000001</v>
      </c>
      <c r="BG37" s="2756">
        <v>1.3140000000000001</v>
      </c>
      <c r="BH37" s="2758">
        <v>-1.0369999999999999</v>
      </c>
      <c r="BI37" s="1587">
        <f>BH37</f>
        <v>-1.0369999999999999</v>
      </c>
      <c r="BJ37" s="1160"/>
      <c r="BK37" s="2757">
        <v>-1</v>
      </c>
      <c r="BL37" s="2756">
        <v>0</v>
      </c>
      <c r="BM37" s="2756">
        <v>0</v>
      </c>
      <c r="BN37" s="2758">
        <v>-1</v>
      </c>
      <c r="BO37" s="1150">
        <f>BN37</f>
        <v>-1</v>
      </c>
      <c r="BP37" s="1160"/>
      <c r="BQ37" s="1161">
        <f>BO37+CFS!BQ45</f>
        <v>-1</v>
      </c>
      <c r="BR37" s="1162">
        <f>BQ37+CFS!BR45</f>
        <v>-1</v>
      </c>
      <c r="BS37" s="1162">
        <f>BR37+CFS!BS45</f>
        <v>-1</v>
      </c>
      <c r="BT37" s="1163">
        <f>BS37+CFS!BT45</f>
        <v>-1</v>
      </c>
      <c r="BU37" s="1150">
        <f>BT37</f>
        <v>-1</v>
      </c>
      <c r="BV37" s="1160"/>
      <c r="BW37" s="1161">
        <f>BU37+CFS!BW45</f>
        <v>-1</v>
      </c>
      <c r="BX37" s="1162">
        <f>BW37+CFS!BX45</f>
        <v>-1</v>
      </c>
      <c r="BY37" s="1162">
        <f>BX37+CFS!BY45</f>
        <v>-1</v>
      </c>
      <c r="BZ37" s="1163">
        <f>BY37+CFS!BZ45</f>
        <v>-1</v>
      </c>
      <c r="CA37" s="1150">
        <f>BZ37</f>
        <v>-1</v>
      </c>
      <c r="CB37" s="1160"/>
      <c r="CC37" s="1161">
        <f>CA37+CFS!CC45</f>
        <v>-1</v>
      </c>
      <c r="CD37" s="1162">
        <f>CC37+CFS!CD45</f>
        <v>-1</v>
      </c>
      <c r="CE37" s="1162">
        <f>CD37+CFS!CE45</f>
        <v>-1</v>
      </c>
      <c r="CF37" s="1163">
        <f>CE37+CFS!CF45</f>
        <v>-1</v>
      </c>
      <c r="CG37" s="1150">
        <f>CF37</f>
        <v>-1</v>
      </c>
      <c r="CH37" s="1160"/>
      <c r="CI37" s="1161">
        <f>CG37+CFS!CI45</f>
        <v>-1</v>
      </c>
      <c r="CJ37" s="1162">
        <f>CI37+CFS!CJ45</f>
        <v>-1</v>
      </c>
      <c r="CK37" s="1162">
        <f>CJ37+CFS!CK45</f>
        <v>-1</v>
      </c>
      <c r="CL37" s="1163">
        <f>CK37+CFS!CL45</f>
        <v>-1</v>
      </c>
      <c r="CM37" s="1150">
        <f>CL37</f>
        <v>-1</v>
      </c>
      <c r="CN37" s="1160"/>
      <c r="CO37" s="1161">
        <f>CM37+CFS!CO45</f>
        <v>-1</v>
      </c>
      <c r="CP37" s="1162">
        <f>CO37+CFS!CP45</f>
        <v>-1</v>
      </c>
      <c r="CQ37" s="1162">
        <f>CP37+CFS!CQ45</f>
        <v>-1</v>
      </c>
      <c r="CR37" s="1163">
        <f>CQ37+CFS!CR45</f>
        <v>-1</v>
      </c>
      <c r="CS37" s="1150">
        <f>CR37</f>
        <v>-1</v>
      </c>
      <c r="CT37" s="1151"/>
      <c r="CU37" s="63"/>
      <c r="CV37" s="1144"/>
      <c r="CW37" s="63"/>
    </row>
    <row r="38" spans="1:101" outlineLevel="1">
      <c r="A38" s="1879" t="s">
        <v>393</v>
      </c>
      <c r="B38" s="1183"/>
      <c r="C38" s="1159">
        <f>-104.618+IS!C30+IS!C26</f>
        <v>-99.574999999999989</v>
      </c>
      <c r="D38" s="1157">
        <v>-75.05</v>
      </c>
      <c r="E38" s="1157">
        <v>-55.147999999999989</v>
      </c>
      <c r="F38" s="1156">
        <v>-382.97699999999998</v>
      </c>
      <c r="G38" s="1148">
        <f>F38</f>
        <v>-382.97699999999998</v>
      </c>
      <c r="H38" s="1149"/>
      <c r="I38" s="1159">
        <v>-360.49199999999996</v>
      </c>
      <c r="J38" s="1157">
        <v>-333.041</v>
      </c>
      <c r="K38" s="1157">
        <v>-304.40000000000003</v>
      </c>
      <c r="L38" s="1156">
        <v>-332.5</v>
      </c>
      <c r="M38" s="1148">
        <f>L38</f>
        <v>-332.5</v>
      </c>
      <c r="N38" s="1149"/>
      <c r="O38" s="1155">
        <v>-333.69799999999998</v>
      </c>
      <c r="P38" s="1156">
        <v>-309.01</v>
      </c>
      <c r="Q38" s="1156">
        <v>-291.93200000000002</v>
      </c>
      <c r="R38" s="1156">
        <v>-280.226</v>
      </c>
      <c r="S38" s="1148">
        <f>R38</f>
        <v>-280.226</v>
      </c>
      <c r="T38" s="1149"/>
      <c r="U38" s="1155">
        <v>-259.01799999999997</v>
      </c>
      <c r="V38" s="1156">
        <v>-229.21799999999999</v>
      </c>
      <c r="W38" s="1156">
        <v>-193.779</v>
      </c>
      <c r="X38" s="1156">
        <v>-155.33500000000001</v>
      </c>
      <c r="Y38" s="1148">
        <f>X38</f>
        <v>-155.33500000000001</v>
      </c>
      <c r="Z38" s="1149"/>
      <c r="AA38" s="1155">
        <v>-131.20400000000001</v>
      </c>
      <c r="AB38" s="1156">
        <v>-100.584</v>
      </c>
      <c r="AC38" s="1156">
        <v>-80.432000000000002</v>
      </c>
      <c r="AD38" s="1156">
        <v>-68.706999999999994</v>
      </c>
      <c r="AE38" s="1150">
        <f>AD38</f>
        <v>-68.706999999999994</v>
      </c>
      <c r="AF38" s="1151"/>
      <c r="AG38" s="1155">
        <v>-42.51</v>
      </c>
      <c r="AH38" s="1156">
        <v>-19.108000000000001</v>
      </c>
      <c r="AI38" s="1156">
        <v>10.64</v>
      </c>
      <c r="AJ38" s="1156">
        <v>82.546999999999997</v>
      </c>
      <c r="AK38" s="1150">
        <f>AJ38</f>
        <v>82.546999999999997</v>
      </c>
      <c r="AL38" s="1158"/>
      <c r="AM38" s="1155">
        <v>59.96</v>
      </c>
      <c r="AN38" s="1156">
        <v>95.837000000000003</v>
      </c>
      <c r="AO38" s="1156">
        <v>127.187</v>
      </c>
      <c r="AP38" s="1156">
        <v>207.85499999999999</v>
      </c>
      <c r="AQ38" s="1150">
        <f>AP38</f>
        <v>207.85499999999999</v>
      </c>
      <c r="AR38" s="1160"/>
      <c r="AS38" s="1449">
        <v>267.83199999999999</v>
      </c>
      <c r="AT38" s="1507">
        <v>314.43700000000001</v>
      </c>
      <c r="AU38" s="1507">
        <v>407.92599999999999</v>
      </c>
      <c r="AV38" s="1507">
        <v>561.20600000000002</v>
      </c>
      <c r="AW38" s="1587">
        <f>AV38</f>
        <v>561.20600000000002</v>
      </c>
      <c r="AX38" s="1160"/>
      <c r="AY38" s="1449">
        <v>697.86400000000003</v>
      </c>
      <c r="AZ38" s="1507">
        <v>800.11099999999999</v>
      </c>
      <c r="BA38" s="1507">
        <v>918.28800000000001</v>
      </c>
      <c r="BB38" s="1507">
        <v>1022.765</v>
      </c>
      <c r="BC38" s="1587">
        <f>BB38</f>
        <v>1022.765</v>
      </c>
      <c r="BD38" s="1160"/>
      <c r="BE38" s="2757">
        <v>1112.3520000000001</v>
      </c>
      <c r="BF38" s="2756">
        <v>1232.7639999999999</v>
      </c>
      <c r="BG38" s="2756">
        <v>1361.652</v>
      </c>
      <c r="BH38" s="2758">
        <v>1485.414</v>
      </c>
      <c r="BI38" s="1587">
        <f>BH38</f>
        <v>1485.414</v>
      </c>
      <c r="BJ38" s="1160"/>
      <c r="BK38" s="2757">
        <v>1897</v>
      </c>
      <c r="BL38" s="2756">
        <v>2025</v>
      </c>
      <c r="BM38" s="2756">
        <v>2188</v>
      </c>
      <c r="BN38" s="2758">
        <v>2256</v>
      </c>
      <c r="BO38" s="1150">
        <f>BN38</f>
        <v>2256</v>
      </c>
      <c r="BP38" s="1160"/>
      <c r="BQ38" s="1159">
        <f>BO38+IS!BQ32</f>
        <v>2464</v>
      </c>
      <c r="BR38" s="1157">
        <f>BQ38+IS!BR32</f>
        <v>2622.2716500157148</v>
      </c>
      <c r="BS38" s="1157">
        <f>BR38+IS!BS32</f>
        <v>2787.7109870504933</v>
      </c>
      <c r="BT38" s="1157">
        <f>BS38+IS!BT32</f>
        <v>2964.0371320530799</v>
      </c>
      <c r="BU38" s="1150">
        <f>BT38</f>
        <v>2964.0371320530799</v>
      </c>
      <c r="BV38" s="1160"/>
      <c r="BW38" s="1159">
        <f>BU38+IS!BW32</f>
        <v>3169.8988808351996</v>
      </c>
      <c r="BX38" s="1157">
        <f>BW38+IS!BX32</f>
        <v>3337.7771108487332</v>
      </c>
      <c r="BY38" s="1157">
        <f>BX38+IS!BY32</f>
        <v>3513.0852403833142</v>
      </c>
      <c r="BZ38" s="1157">
        <f>BY38+IS!BZ32</f>
        <v>3699.4740986503712</v>
      </c>
      <c r="CA38" s="1150">
        <f>BZ38</f>
        <v>3699.4740986503712</v>
      </c>
      <c r="CB38" s="1160"/>
      <c r="CC38" s="1159">
        <f>CA38+IS!CC32</f>
        <v>3927.0486346763018</v>
      </c>
      <c r="CD38" s="1157">
        <f>CC38+IS!CD32</f>
        <v>4170.9908489079726</v>
      </c>
      <c r="CE38" s="1157">
        <f>CD38+IS!CE32</f>
        <v>4429.6797158791833</v>
      </c>
      <c r="CF38" s="1157">
        <f>CE38+IS!CF32</f>
        <v>4704.9263696111075</v>
      </c>
      <c r="CG38" s="1150">
        <f>CF38</f>
        <v>4704.9263696111075</v>
      </c>
      <c r="CH38" s="1160"/>
      <c r="CI38" s="1159">
        <f>CG38+IS!CI32</f>
        <v>5029.1991364855321</v>
      </c>
      <c r="CJ38" s="1157">
        <f>CI38+IS!CJ32</f>
        <v>5243.6440464347261</v>
      </c>
      <c r="CK38" s="1157">
        <f>CJ38+IS!CK32</f>
        <v>5467.8615773050169</v>
      </c>
      <c r="CL38" s="1157">
        <f>CK38+IS!CL32</f>
        <v>5706.6375487296082</v>
      </c>
      <c r="CM38" s="1150">
        <f>CL38</f>
        <v>5706.6375487296082</v>
      </c>
      <c r="CN38" s="1160"/>
      <c r="CO38" s="1159">
        <f>CM38+IS!CO32</f>
        <v>5993.9897724862358</v>
      </c>
      <c r="CP38" s="1157">
        <f>CO38+IS!CP32</f>
        <v>6235.5761890015547</v>
      </c>
      <c r="CQ38" s="1157">
        <f>CP38+IS!CQ32</f>
        <v>6489.1973402862504</v>
      </c>
      <c r="CR38" s="1157">
        <f>CQ38+IS!CR32</f>
        <v>6759.3724448149351</v>
      </c>
      <c r="CS38" s="1150">
        <f>CR38</f>
        <v>6759.3724448149351</v>
      </c>
      <c r="CT38" s="1151"/>
      <c r="CU38" s="63"/>
      <c r="CV38" s="1144"/>
      <c r="CW38" s="63"/>
    </row>
    <row r="39" spans="1:101" outlineLevel="1">
      <c r="A39" s="1879" t="s">
        <v>306</v>
      </c>
      <c r="B39" s="1183"/>
      <c r="C39" s="1159">
        <f>0+CFS!C41</f>
        <v>-250.88900000000001</v>
      </c>
      <c r="D39" s="1157">
        <f>C39+CFS!D41</f>
        <v>-251.62200000000001</v>
      </c>
      <c r="E39" s="1157">
        <f>D39+CFS!E41</f>
        <v>-251.62200000000001</v>
      </c>
      <c r="F39" s="1156">
        <v>-251.62200000000001</v>
      </c>
      <c r="G39" s="1148">
        <f>F39</f>
        <v>-251.62200000000001</v>
      </c>
      <c r="H39" s="1149"/>
      <c r="I39" s="1159">
        <f>G39+CFS!I41</f>
        <v>-251.62200000000001</v>
      </c>
      <c r="J39" s="1157">
        <f>I39+CFS!J41</f>
        <v>-251.62200000000001</v>
      </c>
      <c r="K39" s="1157">
        <f>J39+CFS!K41</f>
        <v>-251.62200000000001</v>
      </c>
      <c r="L39" s="1156">
        <v>-322.40699999999998</v>
      </c>
      <c r="M39" s="1148">
        <f>L39</f>
        <v>-322.40699999999998</v>
      </c>
      <c r="N39" s="1149"/>
      <c r="O39" s="1155">
        <v>-322.40699999999998</v>
      </c>
      <c r="P39" s="1156">
        <v>-322.40699999999998</v>
      </c>
      <c r="Q39" s="1156">
        <v>-322.40699999999998</v>
      </c>
      <c r="R39" s="1156">
        <v>-497.54300000000001</v>
      </c>
      <c r="S39" s="1148">
        <f>R39</f>
        <v>-497.54300000000001</v>
      </c>
      <c r="T39" s="1149"/>
      <c r="U39" s="1155">
        <v>-497.54300000000001</v>
      </c>
      <c r="V39" s="1156">
        <v>-497.54199999999997</v>
      </c>
      <c r="W39" s="1156">
        <v>-513.548</v>
      </c>
      <c r="X39" s="1156">
        <f>-541.559</f>
        <v>-541.55899999999997</v>
      </c>
      <c r="Y39" s="1148">
        <f>X39</f>
        <v>-541.55899999999997</v>
      </c>
      <c r="Z39" s="1149"/>
      <c r="AA39" s="1155">
        <v>-877.61599999999999</v>
      </c>
      <c r="AB39" s="1156">
        <v>-905.67399999999998</v>
      </c>
      <c r="AC39" s="1156">
        <v>-1109.7550000000001</v>
      </c>
      <c r="AD39" s="1156">
        <v>-1109.7629999999999</v>
      </c>
      <c r="AE39" s="1150">
        <f>AD39</f>
        <v>-1109.7629999999999</v>
      </c>
      <c r="AF39" s="1151"/>
      <c r="AG39" s="1155">
        <v>-1110.547</v>
      </c>
      <c r="AH39" s="1156">
        <v>-1143.046</v>
      </c>
      <c r="AI39" s="1156">
        <v>-1163.5319999999999</v>
      </c>
      <c r="AJ39" s="1156">
        <v>-1187.623</v>
      </c>
      <c r="AK39" s="1150">
        <f>AJ39</f>
        <v>-1187.623</v>
      </c>
      <c r="AL39" s="1158"/>
      <c r="AM39" s="1155">
        <v>-1215.1020000000001</v>
      </c>
      <c r="AN39" s="1156">
        <v>-1240.2090000000001</v>
      </c>
      <c r="AO39" s="1156">
        <v>-1240.287</v>
      </c>
      <c r="AP39" s="1156">
        <f>-1240.345</f>
        <v>-1240.345</v>
      </c>
      <c r="AQ39" s="1150">
        <f>AP39</f>
        <v>-1240.345</v>
      </c>
      <c r="AR39" s="1160"/>
      <c r="AS39" s="1449">
        <v>-1379.1880000000001</v>
      </c>
      <c r="AT39" s="1507">
        <v>-1294.0409999999999</v>
      </c>
      <c r="AU39" s="1507">
        <v>-1236.951</v>
      </c>
      <c r="AV39" s="1507">
        <v>-1272.0730000000001</v>
      </c>
      <c r="AW39" s="1587">
        <f>AV39</f>
        <v>-1272.0730000000001</v>
      </c>
      <c r="AX39" s="1160"/>
      <c r="AY39" s="1449">
        <v>-1390.665</v>
      </c>
      <c r="AZ39" s="1507">
        <v>-1396.808</v>
      </c>
      <c r="BA39" s="1507">
        <v>-1439.4860000000001</v>
      </c>
      <c r="BB39" s="1507">
        <v>-1673.6079999999999</v>
      </c>
      <c r="BC39" s="1587">
        <f>BB39</f>
        <v>-1673.6079999999999</v>
      </c>
      <c r="BD39" s="1160"/>
      <c r="BE39" s="2757">
        <v>-1742.7819999999999</v>
      </c>
      <c r="BF39" s="2756">
        <v>-1846.0540000000001</v>
      </c>
      <c r="BG39" s="2756">
        <f>-1862.702</f>
        <v>-1862.702</v>
      </c>
      <c r="BH39" s="2758">
        <v>-2022.4290000000001</v>
      </c>
      <c r="BI39" s="1587">
        <f>BH39</f>
        <v>-2022.4290000000001</v>
      </c>
      <c r="BJ39" s="1160"/>
      <c r="BK39" s="2757">
        <v>-2145</v>
      </c>
      <c r="BL39" s="2756">
        <v>-2148</v>
      </c>
      <c r="BM39" s="2756">
        <v>-2226</v>
      </c>
      <c r="BN39" s="2758">
        <v>-2341</v>
      </c>
      <c r="BO39" s="1150">
        <f>BN39</f>
        <v>-2341</v>
      </c>
      <c r="BP39" s="1160"/>
      <c r="BQ39" s="1190">
        <f>BO39+CFS!BQ41</f>
        <v>-2491</v>
      </c>
      <c r="BR39" s="1151">
        <f>BQ39+CFS!BR41</f>
        <v>-2641</v>
      </c>
      <c r="BS39" s="1151">
        <f>BR39+CFS!BS41</f>
        <v>-2791</v>
      </c>
      <c r="BT39" s="1191">
        <f>BS39+CFS!BT41</f>
        <v>-2941</v>
      </c>
      <c r="BU39" s="1150">
        <f>BT39</f>
        <v>-2941</v>
      </c>
      <c r="BV39" s="1160"/>
      <c r="BW39" s="1190">
        <f>BU39+CFS!BW41</f>
        <v>-3091</v>
      </c>
      <c r="BX39" s="1151">
        <f>BW39+CFS!BX41</f>
        <v>-3241</v>
      </c>
      <c r="BY39" s="1151">
        <f>BX39+CFS!BY41</f>
        <v>-3391</v>
      </c>
      <c r="BZ39" s="1191">
        <f>BY39+CFS!BZ41</f>
        <v>-3541</v>
      </c>
      <c r="CA39" s="1150">
        <f>BZ39</f>
        <v>-3541</v>
      </c>
      <c r="CB39" s="1160"/>
      <c r="CC39" s="1190">
        <f>CA39+CFS!CC41</f>
        <v>-3691</v>
      </c>
      <c r="CD39" s="1151">
        <f>CC39+CFS!CD41</f>
        <v>-3841</v>
      </c>
      <c r="CE39" s="1151">
        <f>CD39+CFS!CE41</f>
        <v>-3991</v>
      </c>
      <c r="CF39" s="1191">
        <f>CE39+CFS!CF41</f>
        <v>-4141</v>
      </c>
      <c r="CG39" s="1150">
        <f>CF39</f>
        <v>-4141</v>
      </c>
      <c r="CH39" s="1160"/>
      <c r="CI39" s="1190">
        <f>CG39+CFS!CI41</f>
        <v>-4291</v>
      </c>
      <c r="CJ39" s="1151">
        <f>CI39+CFS!CJ41</f>
        <v>-4441</v>
      </c>
      <c r="CK39" s="1151">
        <f>CJ39+CFS!CK41</f>
        <v>-4591</v>
      </c>
      <c r="CL39" s="1191">
        <f>CK39+CFS!CL41</f>
        <v>-4741</v>
      </c>
      <c r="CM39" s="1150">
        <f>CL39</f>
        <v>-4741</v>
      </c>
      <c r="CN39" s="1160"/>
      <c r="CO39" s="1190">
        <f>CM39+CFS!CO41</f>
        <v>-4891</v>
      </c>
      <c r="CP39" s="1151">
        <f>CO39+CFS!CP41</f>
        <v>-5041</v>
      </c>
      <c r="CQ39" s="1151">
        <f>CP39+CFS!CQ41</f>
        <v>-5191</v>
      </c>
      <c r="CR39" s="1191">
        <f>CQ39+CFS!CR41</f>
        <v>-5341</v>
      </c>
      <c r="CS39" s="1150">
        <f>CR39</f>
        <v>-5341</v>
      </c>
      <c r="CT39" s="1151"/>
      <c r="CU39" s="63"/>
      <c r="CV39" s="1144"/>
      <c r="CW39" s="63"/>
    </row>
    <row r="40" spans="1:101">
      <c r="A40" s="1881" t="s">
        <v>307</v>
      </c>
      <c r="B40" s="1164"/>
      <c r="C40" s="1192">
        <v>265.95999999999998</v>
      </c>
      <c r="D40" s="1193">
        <v>286.83499999999998</v>
      </c>
      <c r="E40" s="1193">
        <v>321.25799999999998</v>
      </c>
      <c r="F40" s="1166">
        <f>SUM(F35:F39)</f>
        <v>411.67799999999983</v>
      </c>
      <c r="G40" s="1167">
        <f>SUM(G35:G39)</f>
        <v>411.67799999999983</v>
      </c>
      <c r="H40" s="1166"/>
      <c r="I40" s="1192">
        <v>451.089</v>
      </c>
      <c r="J40" s="1193">
        <v>491.75200000000001</v>
      </c>
      <c r="K40" s="1193">
        <v>852.99300000000005</v>
      </c>
      <c r="L40" s="1166">
        <f>SUM(L35:L39)</f>
        <v>848.596</v>
      </c>
      <c r="M40" s="1167">
        <f>SUM(M35:M39)</f>
        <v>848.596</v>
      </c>
      <c r="N40" s="1166"/>
      <c r="O40" s="1165">
        <f>SUM(O35:O39)</f>
        <v>855.13499999999999</v>
      </c>
      <c r="P40" s="1166">
        <f>SUM(P35:P39)</f>
        <v>939.74</v>
      </c>
      <c r="Q40" s="1166">
        <f>SUM(Q35:Q39)</f>
        <v>1002.1200000000001</v>
      </c>
      <c r="R40" s="1166">
        <f>SUM(R35:R39)</f>
        <v>864.24799999999971</v>
      </c>
      <c r="S40" s="1167">
        <f>SUM(S35:S39)</f>
        <v>864.24799999999971</v>
      </c>
      <c r="T40" s="1166"/>
      <c r="U40" s="1165">
        <f>SUM(U35:U39)</f>
        <v>941.79699999999991</v>
      </c>
      <c r="V40" s="1166">
        <f>SUM(V35:V39)</f>
        <v>1036.96</v>
      </c>
      <c r="W40" s="1166">
        <f>SUM(W35:W39)</f>
        <v>1108.1209999999999</v>
      </c>
      <c r="X40" s="1166">
        <f>SUM(X35:X39)</f>
        <v>1197.6750000000002</v>
      </c>
      <c r="Y40" s="1167">
        <f>SUM(Y35:Y39)</f>
        <v>1197.6750000000002</v>
      </c>
      <c r="Z40" s="1166"/>
      <c r="AA40" s="1165">
        <f>SUM(AA35:AA39)</f>
        <v>1064.2260000000003</v>
      </c>
      <c r="AB40" s="1166">
        <f>SUM(AB35:AB39)</f>
        <v>1168.3040000000001</v>
      </c>
      <c r="AC40" s="1166">
        <f>SUM(AC35:AC39)</f>
        <v>1035.54</v>
      </c>
      <c r="AD40" s="1166">
        <f>SUM(AD35:AD39)</f>
        <v>1075.2150000000006</v>
      </c>
      <c r="AE40" s="1168">
        <f>SUM(AE35:AE39)</f>
        <v>1075.2150000000006</v>
      </c>
      <c r="AF40" s="1166"/>
      <c r="AG40" s="1165">
        <f>SUM(AG35:AG39)</f>
        <v>1160.1719999999996</v>
      </c>
      <c r="AH40" s="1166">
        <f>SUM(AH35:AH39)</f>
        <v>1180.7829999999997</v>
      </c>
      <c r="AI40" s="1166">
        <f>SUM(AI35:AI39)</f>
        <v>1222.2140000000002</v>
      </c>
      <c r="AJ40" s="1166">
        <f>SUM(AJ35:AJ39)</f>
        <v>1318.5810000000001</v>
      </c>
      <c r="AK40" s="1168">
        <f>SUM(AK35:AK39)</f>
        <v>1318.5810000000001</v>
      </c>
      <c r="AL40" s="1166"/>
      <c r="AM40" s="1165">
        <f>SUM(AM35:AM39)</f>
        <v>1311.8269999999995</v>
      </c>
      <c r="AN40" s="1166">
        <f>SUM(AN35:AN39)</f>
        <v>1388.5919999999999</v>
      </c>
      <c r="AO40" s="1166">
        <f>SUM(AO35:AO39)</f>
        <v>1374.4639999999997</v>
      </c>
      <c r="AP40" s="1166">
        <f>SUM(AP35:AP39)</f>
        <v>1533.202</v>
      </c>
      <c r="AQ40" s="1168">
        <f>SUM(AQ35:AQ39)</f>
        <v>1533.202</v>
      </c>
      <c r="AR40" s="1166"/>
      <c r="AS40" s="1453">
        <f>SUM(AS35:AS39)</f>
        <v>1573.6129999999998</v>
      </c>
      <c r="AT40" s="1508">
        <f>SUM(AT35:AT39)</f>
        <v>1080.4359999999999</v>
      </c>
      <c r="AU40" s="1508">
        <f>SUM(AU35:AU39)</f>
        <v>1274.3129999999996</v>
      </c>
      <c r="AV40" s="1508">
        <f>SUM(AV35:AV39)</f>
        <v>1462.798</v>
      </c>
      <c r="AW40" s="1772">
        <f>SUM(AW35:AW39)</f>
        <v>1462.798</v>
      </c>
      <c r="AX40" s="1166"/>
      <c r="AY40" s="1453">
        <f>SUM(AY35:AY39)</f>
        <v>1623.3259999999996</v>
      </c>
      <c r="AZ40" s="1508">
        <f>SUM(AZ35:AZ39)</f>
        <v>1793.9120000000003</v>
      </c>
      <c r="BA40" s="1508">
        <f>SUM(BA35:BA39)</f>
        <v>1936.5670000000002</v>
      </c>
      <c r="BB40" s="1508">
        <f>SUM(BB35:BB39)</f>
        <v>1848.5530000000001</v>
      </c>
      <c r="BC40" s="1772">
        <f>SUM(BC35:BC39)</f>
        <v>1848.5530000000001</v>
      </c>
      <c r="BD40" s="1166"/>
      <c r="BE40" s="1453">
        <f>SUM(BE35:BE39)</f>
        <v>1991.1090000000006</v>
      </c>
      <c r="BF40" s="1166">
        <f>SUM(BF35:BF39)</f>
        <v>2055.7709999999997</v>
      </c>
      <c r="BG40" s="1166">
        <f>SUM(BG35:BG39)</f>
        <v>2240.1469999999999</v>
      </c>
      <c r="BH40" s="1508">
        <f>SUM(BH35:BH39)</f>
        <v>2197.2290000000003</v>
      </c>
      <c r="BI40" s="1772">
        <f>SUM(BI35:BI39)</f>
        <v>2197.2290000000003</v>
      </c>
      <c r="BJ40" s="1166"/>
      <c r="BK40" s="1453">
        <f>SUM(BK35:BK39)</f>
        <v>2551</v>
      </c>
      <c r="BL40" s="1166">
        <f>SUM(BL35:BL39)</f>
        <v>2715</v>
      </c>
      <c r="BM40" s="1166">
        <f>SUM(BM35:BM39)</f>
        <v>2855</v>
      </c>
      <c r="BN40" s="1508">
        <f>SUM(BN35:BN39)</f>
        <v>2749</v>
      </c>
      <c r="BO40" s="1168">
        <f>SUM(BO35:BO39)</f>
        <v>2749</v>
      </c>
      <c r="BP40" s="1166"/>
      <c r="BQ40" s="1169">
        <f>SUM(BQ35:BQ39)</f>
        <v>2870.1162802486506</v>
      </c>
      <c r="BR40" s="1166">
        <f>SUM(BR35:BR39)</f>
        <v>2946.9259039378121</v>
      </c>
      <c r="BS40" s="1166">
        <f>SUM(BS35:BS39)</f>
        <v>3031.3987167291962</v>
      </c>
      <c r="BT40" s="1170">
        <f>SUM(BT35:BT39)</f>
        <v>3128.5013236358973</v>
      </c>
      <c r="BU40" s="1168">
        <f>SUM(BU35:BU39)</f>
        <v>3128.5013236358973</v>
      </c>
      <c r="BV40" s="1166"/>
      <c r="BW40" s="1169">
        <f>SUM(BW35:BW39)</f>
        <v>3258.7564875431626</v>
      </c>
      <c r="BX40" s="1166">
        <f>SUM(BX35:BX39)</f>
        <v>3355.9930303157689</v>
      </c>
      <c r="BY40" s="1166">
        <f>SUM(BY35:BY39)</f>
        <v>3460.8593676594846</v>
      </c>
      <c r="BZ40" s="1170">
        <f>SUM(BZ35:BZ39)</f>
        <v>3578.5702345241189</v>
      </c>
      <c r="CA40" s="1168">
        <f>SUM(CA35:CA39)</f>
        <v>3578.5702345241189</v>
      </c>
      <c r="CB40" s="1166"/>
      <c r="CC40" s="1169">
        <f>SUM(CC35:CC39)</f>
        <v>3745.3712131339353</v>
      </c>
      <c r="CD40" s="1166">
        <f>SUM(CD35:CD39)</f>
        <v>3933.7873647121141</v>
      </c>
      <c r="CE40" s="1166">
        <f>SUM(CE35:CE39)</f>
        <v>4137.1489398887625</v>
      </c>
      <c r="CF40" s="1170">
        <f>SUM(CF35:CF39)</f>
        <v>4359.0970621105444</v>
      </c>
      <c r="CG40" s="1168">
        <f>SUM(CG35:CG39)</f>
        <v>4359.0970621105444</v>
      </c>
      <c r="CH40" s="1166"/>
      <c r="CI40" s="1169">
        <f>SUM(CI35:CI39)</f>
        <v>4643.6148613740152</v>
      </c>
      <c r="CJ40" s="1166">
        <f>SUM(CJ35:CJ39)</f>
        <v>4823.7734466155998</v>
      </c>
      <c r="CK40" s="1166">
        <f>SUM(CK35:CK39)</f>
        <v>5013.8811417433099</v>
      </c>
      <c r="CL40" s="1170">
        <f>SUM(CL35:CL39)</f>
        <v>5220.9561471844136</v>
      </c>
      <c r="CM40" s="1168">
        <f>SUM(CM35:CM39)</f>
        <v>5220.9561471844136</v>
      </c>
      <c r="CN40" s="1166"/>
      <c r="CO40" s="1169">
        <f>SUM(CO35:CO39)</f>
        <v>5498.0427088982979</v>
      </c>
      <c r="CP40" s="1166">
        <f>SUM(CP35:CP39)</f>
        <v>5735.3580517857881</v>
      </c>
      <c r="CQ40" s="1166">
        <f>SUM(CQ35:CQ39)</f>
        <v>5985.1800588843107</v>
      </c>
      <c r="CR40" s="1170">
        <f>SUM(CR35:CR39)</f>
        <v>6254.3097470686625</v>
      </c>
      <c r="CS40" s="1168">
        <f>SUM(CS35:CS39)</f>
        <v>6254.3097470686625</v>
      </c>
      <c r="CT40" s="2390"/>
      <c r="CU40" s="63"/>
      <c r="CV40" s="63"/>
      <c r="CW40" s="63"/>
    </row>
    <row r="41" spans="1:101" ht="13.5" customHeight="1">
      <c r="A41" s="1885" t="s">
        <v>308</v>
      </c>
      <c r="B41" s="1194"/>
      <c r="C41" s="1195">
        <f>+C33+C40</f>
        <v>742.83699999999999</v>
      </c>
      <c r="D41" s="1196">
        <f>+D33+D40</f>
        <v>773.57400000000007</v>
      </c>
      <c r="E41" s="1196">
        <f>+E33+E40</f>
        <v>810.20900000000006</v>
      </c>
      <c r="F41" s="1196">
        <f>+F33+F40</f>
        <v>987.73199999999974</v>
      </c>
      <c r="G41" s="1197">
        <f>+G33+G40</f>
        <v>987.73199999999974</v>
      </c>
      <c r="H41" s="1196"/>
      <c r="I41" s="1195">
        <f>+I33+I40</f>
        <v>935.75199999999995</v>
      </c>
      <c r="J41" s="1196">
        <f>+J33+J40</f>
        <v>992.68499999999995</v>
      </c>
      <c r="K41" s="1196">
        <f>+K33+K40</f>
        <v>1361.3220000000001</v>
      </c>
      <c r="L41" s="1196">
        <f>+L33+L40</f>
        <v>1377.1</v>
      </c>
      <c r="M41" s="1197">
        <f>+M33+M40</f>
        <v>1377.1</v>
      </c>
      <c r="N41" s="1196"/>
      <c r="O41" s="1195">
        <f>+O33+O40</f>
        <v>1372.5700000000002</v>
      </c>
      <c r="P41" s="1196">
        <f>+P33+P40</f>
        <v>1477.1680000000001</v>
      </c>
      <c r="Q41" s="1196">
        <f>+Q33+Q40</f>
        <v>1541.7160000000001</v>
      </c>
      <c r="R41" s="1196">
        <f>+R33+R40</f>
        <v>1429.9369999999997</v>
      </c>
      <c r="S41" s="1197">
        <f>+S33+S40</f>
        <v>1429.9369999999997</v>
      </c>
      <c r="T41" s="1196"/>
      <c r="U41" s="1195">
        <f>+U33+U40</f>
        <v>1505.2109999999998</v>
      </c>
      <c r="V41" s="1196">
        <f>+V33+V40</f>
        <v>1641.885</v>
      </c>
      <c r="W41" s="1196">
        <f>+W33+W40</f>
        <v>1725.221</v>
      </c>
      <c r="X41" s="1196">
        <f>+X33+X40</f>
        <v>1839.1130000000001</v>
      </c>
      <c r="Y41" s="1197">
        <f>+Y33+Y40</f>
        <v>1839.1130000000001</v>
      </c>
      <c r="Z41" s="1196"/>
      <c r="AA41" s="1195">
        <f>+AA33+AA40</f>
        <v>2123.1490000000003</v>
      </c>
      <c r="AB41" s="1196">
        <f>+AB33+AB40</f>
        <v>2256.9859999999999</v>
      </c>
      <c r="AC41" s="1196">
        <f>+AC33+AC40</f>
        <v>2147.0590000000002</v>
      </c>
      <c r="AD41" s="1196">
        <f>+AD33+AD40</f>
        <v>2195.8400000000006</v>
      </c>
      <c r="AE41" s="1198">
        <f>+AE33+AE40</f>
        <v>2195.8400000000006</v>
      </c>
      <c r="AF41" s="1196"/>
      <c r="AG41" s="1195">
        <f>+AG33+AG40</f>
        <v>2301.4739999999997</v>
      </c>
      <c r="AH41" s="1196">
        <f>+AH33+AH40</f>
        <v>2348.7379999999994</v>
      </c>
      <c r="AI41" s="1196">
        <f>+AI33+AI40</f>
        <v>2437.9830000000002</v>
      </c>
      <c r="AJ41" s="1196">
        <f>+AJ33+AJ40</f>
        <v>2566.085</v>
      </c>
      <c r="AK41" s="1198">
        <f>+AK33+AK40</f>
        <v>2566.085</v>
      </c>
      <c r="AL41" s="1196"/>
      <c r="AM41" s="1195">
        <f>+AM33+AM40</f>
        <v>2744.1879999999992</v>
      </c>
      <c r="AN41" s="1196">
        <f>+AN33+AN40</f>
        <v>2823.2020000000002</v>
      </c>
      <c r="AO41" s="1196">
        <f>+AO33+AO40</f>
        <v>2817.6959999999999</v>
      </c>
      <c r="AP41" s="1196">
        <f>+AP33+AP40</f>
        <v>3019.0060000000003</v>
      </c>
      <c r="AQ41" s="1198">
        <f>+AQ33+AQ40</f>
        <v>3019.0060000000003</v>
      </c>
      <c r="AR41" s="1196"/>
      <c r="AS41" s="1454">
        <f>+AS33+AS40</f>
        <v>3053.5699999999997</v>
      </c>
      <c r="AT41" s="1510">
        <f>+AT33+AT40</f>
        <v>3035.0549999999998</v>
      </c>
      <c r="AU41" s="1510">
        <f>+AU33+AU40</f>
        <v>3278.2059999999997</v>
      </c>
      <c r="AV41" s="1510">
        <f>+AV33+AV40</f>
        <v>3339.6400000000003</v>
      </c>
      <c r="AW41" s="1776">
        <f>+AW33+AW40</f>
        <v>3339.6400000000003</v>
      </c>
      <c r="AX41" s="1196"/>
      <c r="AY41" s="1199">
        <f>+AY33+AY40</f>
        <v>3499.0929999999998</v>
      </c>
      <c r="AZ41" s="1510">
        <f>+AZ33+AZ40</f>
        <v>3703.125</v>
      </c>
      <c r="BA41" s="1510">
        <f>+BA33+BA40</f>
        <v>3733.5480000000002</v>
      </c>
      <c r="BB41" s="1510">
        <f>+BB33+BB40</f>
        <v>3687.7470000000003</v>
      </c>
      <c r="BC41" s="1776">
        <f>+BC33+BC40</f>
        <v>3687.7470000000003</v>
      </c>
      <c r="BD41" s="1196"/>
      <c r="BE41" s="1454">
        <f>+BE33+BE40</f>
        <v>3793.7060000000006</v>
      </c>
      <c r="BF41" s="1196">
        <f>+BF33+BF40</f>
        <v>3985.0899999999997</v>
      </c>
      <c r="BG41" s="1196">
        <f>+BG33+BG40</f>
        <v>4227.8270000000002</v>
      </c>
      <c r="BH41" s="1510">
        <f>+BH33+BH40</f>
        <v>4280.6000000000004</v>
      </c>
      <c r="BI41" s="1776">
        <f>+BI33+BI40</f>
        <v>4280.6000000000004</v>
      </c>
      <c r="BJ41" s="1196"/>
      <c r="BK41" s="1454">
        <f>+BK33+BK40</f>
        <v>4598</v>
      </c>
      <c r="BL41" s="1196">
        <f>+BL33+BL40</f>
        <v>4858</v>
      </c>
      <c r="BM41" s="1196">
        <f>+BM33+BM40</f>
        <v>5046</v>
      </c>
      <c r="BN41" s="1510">
        <f>+BN33+BN40</f>
        <v>5257</v>
      </c>
      <c r="BO41" s="1198">
        <f>+BO33+BO40</f>
        <v>5257</v>
      </c>
      <c r="BP41" s="1196"/>
      <c r="BQ41" s="1199">
        <f>+BQ33+BQ40</f>
        <v>5195.618083050671</v>
      </c>
      <c r="BR41" s="1196">
        <f>+BR33+BR40</f>
        <v>5331.696203159775</v>
      </c>
      <c r="BS41" s="1196">
        <f>+BS33+BS40</f>
        <v>5429.8365311930138</v>
      </c>
      <c r="BT41" s="1200">
        <f>+BT33+BT40</f>
        <v>5554.3396582463847</v>
      </c>
      <c r="BU41" s="1198">
        <f>+BU33+BU40</f>
        <v>5554.3396582463847</v>
      </c>
      <c r="BV41" s="1196"/>
      <c r="BW41" s="1199">
        <f>+BW33+BW40</f>
        <v>5650.808672065441</v>
      </c>
      <c r="BX41" s="1196">
        <f>+BX33+BX40</f>
        <v>5800.0989692532949</v>
      </c>
      <c r="BY41" s="1196">
        <f>+BY33+BY40</f>
        <v>5915.4728258379446</v>
      </c>
      <c r="BZ41" s="1200">
        <f>+BZ33+BZ40</f>
        <v>6060.6133715312717</v>
      </c>
      <c r="CA41" s="1198">
        <f>+CA33+CA40</f>
        <v>6060.6133715312717</v>
      </c>
      <c r="CB41" s="1196"/>
      <c r="CC41" s="1199">
        <f>+CC33+CC40</f>
        <v>6212.2610692522867</v>
      </c>
      <c r="CD41" s="1196">
        <f>+CD33+CD40</f>
        <v>6457.8665217668076</v>
      </c>
      <c r="CE41" s="1196">
        <f>+CE33+CE40</f>
        <v>6674.5045394199406</v>
      </c>
      <c r="CF41" s="1200">
        <f>+CF33+CF40</f>
        <v>6929.5589311874573</v>
      </c>
      <c r="CG41" s="1198">
        <f>+CG33+CG40</f>
        <v>6929.5589311874573</v>
      </c>
      <c r="CH41" s="1196"/>
      <c r="CI41" s="1199">
        <f>+CI33+CI40</f>
        <v>7199.2982927632756</v>
      </c>
      <c r="CJ41" s="1196">
        <f>+CJ33+CJ40</f>
        <v>7439.1841947622315</v>
      </c>
      <c r="CK41" s="1196">
        <f>+CK33+CK40</f>
        <v>7643.0065636474264</v>
      </c>
      <c r="CL41" s="1200">
        <f>+CL33+CL40</f>
        <v>7887.6883814823577</v>
      </c>
      <c r="CM41" s="1198">
        <f>+CM33+CM40</f>
        <v>7887.6883814823577</v>
      </c>
      <c r="CN41" s="1196"/>
      <c r="CO41" s="1199">
        <f>+CO33+CO40</f>
        <v>8144.6591224323802</v>
      </c>
      <c r="CP41" s="1196">
        <f>+CP33+CP40</f>
        <v>8446.9263213325903</v>
      </c>
      <c r="CQ41" s="1196">
        <f>+CQ33+CQ40</f>
        <v>8713.9420215368264</v>
      </c>
      <c r="CR41" s="1200">
        <f>+CR33+CR40</f>
        <v>9024.8553845911702</v>
      </c>
      <c r="CS41" s="1198">
        <f>+CS33+CS40</f>
        <v>9024.8553845911702</v>
      </c>
      <c r="CT41" s="2390"/>
      <c r="CU41" s="63"/>
      <c r="CV41" s="1171"/>
      <c r="CW41" s="63"/>
    </row>
    <row r="42" spans="1:101" outlineLevel="1">
      <c r="A42" s="247" t="s">
        <v>309</v>
      </c>
      <c r="B42" s="247"/>
      <c r="C42" s="1403">
        <f>C41-C24</f>
        <v>0</v>
      </c>
      <c r="D42" s="1403">
        <f>D41-D24</f>
        <v>0</v>
      </c>
      <c r="E42" s="1403">
        <f>E41-E24</f>
        <v>0</v>
      </c>
      <c r="F42" s="1403">
        <f>F41-F24</f>
        <v>0</v>
      </c>
      <c r="G42" s="1404">
        <f>G41-G24</f>
        <v>0</v>
      </c>
      <c r="H42" s="1404"/>
      <c r="I42" s="1403">
        <f>I41-I24</f>
        <v>0</v>
      </c>
      <c r="J42" s="1403">
        <f>J41-J24</f>
        <v>0</v>
      </c>
      <c r="K42" s="1403">
        <f>K41-K24</f>
        <v>0</v>
      </c>
      <c r="L42" s="1403">
        <f>L41-L24</f>
        <v>0</v>
      </c>
      <c r="M42" s="1404">
        <f>M41-M24</f>
        <v>0</v>
      </c>
      <c r="N42" s="1404"/>
      <c r="O42" s="1403">
        <f>O41-O24</f>
        <v>0</v>
      </c>
      <c r="P42" s="1403">
        <f>P41-P24</f>
        <v>0</v>
      </c>
      <c r="Q42" s="1403">
        <f>Q41-Q24</f>
        <v>0</v>
      </c>
      <c r="R42" s="1403">
        <f>R41-R24</f>
        <v>0</v>
      </c>
      <c r="S42" s="1404">
        <f>S41-S24</f>
        <v>0</v>
      </c>
      <c r="T42" s="1404"/>
      <c r="U42" s="1403">
        <f>U41-U24</f>
        <v>0</v>
      </c>
      <c r="V42" s="1403">
        <f>V41-V24</f>
        <v>0</v>
      </c>
      <c r="W42" s="1403">
        <f>W41-W24</f>
        <v>0</v>
      </c>
      <c r="X42" s="1403">
        <f>X41-X24</f>
        <v>0</v>
      </c>
      <c r="Y42" s="1404">
        <f>Y41-Y24</f>
        <v>0</v>
      </c>
      <c r="Z42" s="1404"/>
      <c r="AA42" s="1403">
        <f>AA41-AA24</f>
        <v>0</v>
      </c>
      <c r="AB42" s="1403">
        <f>AB41-AB24</f>
        <v>0</v>
      </c>
      <c r="AC42" s="1405">
        <f>AC41-AC24</f>
        <v>0</v>
      </c>
      <c r="AD42" s="1405">
        <f>AD41-AD24</f>
        <v>0</v>
      </c>
      <c r="AE42" s="1405">
        <f>AE41-AE24</f>
        <v>0</v>
      </c>
      <c r="AF42" s="1405"/>
      <c r="AG42" s="1403">
        <f>AG41-AG24</f>
        <v>0</v>
      </c>
      <c r="AH42" s="1405">
        <f>AH41-AH24</f>
        <v>0</v>
      </c>
      <c r="AI42" s="1405">
        <f>AI41-AI24</f>
        <v>0</v>
      </c>
      <c r="AJ42" s="1405">
        <f>AJ41-AJ24</f>
        <v>0</v>
      </c>
      <c r="AK42" s="1405">
        <f>AK41-AK24</f>
        <v>0</v>
      </c>
      <c r="AL42" s="1404"/>
      <c r="AM42" s="1405">
        <f>AM41-AM24</f>
        <v>0</v>
      </c>
      <c r="AN42" s="1406">
        <f>AN41-AN24</f>
        <v>0</v>
      </c>
      <c r="AO42" s="1406">
        <f>AO41-AO24</f>
        <v>0</v>
      </c>
      <c r="AP42" s="1406">
        <f>AP41-AP24</f>
        <v>0</v>
      </c>
      <c r="AQ42" s="1406">
        <f>AQ41-AQ24</f>
        <v>0</v>
      </c>
      <c r="AR42" s="1407"/>
      <c r="AS42" s="1406">
        <f>AS41-AS24</f>
        <v>0</v>
      </c>
      <c r="AT42" s="1406">
        <f>AT41-AT24</f>
        <v>0</v>
      </c>
      <c r="AU42" s="1406">
        <f>AU41-AU24</f>
        <v>0</v>
      </c>
      <c r="AV42" s="1406">
        <f>AV41-AV24</f>
        <v>0</v>
      </c>
      <c r="AW42" s="1408">
        <f>AW41-AW24</f>
        <v>0</v>
      </c>
      <c r="AX42" s="1407"/>
      <c r="AY42" s="1406">
        <f>AY41-AY24</f>
        <v>0</v>
      </c>
      <c r="AZ42" s="1406">
        <f>AZ41-AZ24</f>
        <v>0</v>
      </c>
      <c r="BA42" s="1406">
        <f>BA41-BA24</f>
        <v>0</v>
      </c>
      <c r="BB42" s="1406">
        <f>BB41-BB24</f>
        <v>0</v>
      </c>
      <c r="BC42" s="1408">
        <f>BC41-BC24</f>
        <v>0</v>
      </c>
      <c r="BD42" s="1407"/>
      <c r="BE42" s="1406">
        <f>BE41-BE24</f>
        <v>0</v>
      </c>
      <c r="BF42" s="1406">
        <f>BF41-BF24</f>
        <v>0</v>
      </c>
      <c r="BG42" s="1406">
        <f>BG41-BG24</f>
        <v>0</v>
      </c>
      <c r="BH42" s="1406">
        <f>BH41-BH24</f>
        <v>0</v>
      </c>
      <c r="BI42" s="1408">
        <f>BI41-BI24</f>
        <v>0</v>
      </c>
      <c r="BJ42" s="1407"/>
      <c r="BK42" s="1406">
        <f>BK41-BK24</f>
        <v>0</v>
      </c>
      <c r="BL42" s="1406">
        <f>BL41-BL24</f>
        <v>0</v>
      </c>
      <c r="BM42" s="1406">
        <f>BM41-BM24</f>
        <v>0</v>
      </c>
      <c r="BN42" s="1406">
        <f>BN41-BN24</f>
        <v>0</v>
      </c>
      <c r="BO42" s="1408">
        <f>BO41-BO24</f>
        <v>0</v>
      </c>
      <c r="BP42" s="1407"/>
      <c r="BQ42" s="1406">
        <f>BQ41-BQ24</f>
        <v>0</v>
      </c>
      <c r="BR42" s="1406">
        <f>BR41-BR24</f>
        <v>0</v>
      </c>
      <c r="BS42" s="1406">
        <f>BS41-BS24</f>
        <v>0</v>
      </c>
      <c r="BT42" s="1406">
        <f>BT41-BT24</f>
        <v>0</v>
      </c>
      <c r="BU42" s="1408">
        <f>BU41-BU24</f>
        <v>0</v>
      </c>
      <c r="BV42" s="1407"/>
      <c r="BW42" s="1406">
        <f>BW41-BW24</f>
        <v>0</v>
      </c>
      <c r="BX42" s="1406">
        <f>BX41-BX24</f>
        <v>0</v>
      </c>
      <c r="BY42" s="1406">
        <f>BY41-BY24</f>
        <v>0</v>
      </c>
      <c r="BZ42" s="1406">
        <f>BZ41-BZ24</f>
        <v>0</v>
      </c>
      <c r="CA42" s="1408">
        <f>CA41-CA24</f>
        <v>0</v>
      </c>
      <c r="CB42" s="1407"/>
      <c r="CC42" s="1406">
        <f>CC41-CC24</f>
        <v>0</v>
      </c>
      <c r="CD42" s="1406">
        <f>CD41-CD24</f>
        <v>0</v>
      </c>
      <c r="CE42" s="1406">
        <f>CE41-CE24</f>
        <v>0</v>
      </c>
      <c r="CF42" s="1406">
        <f>CF41-CF24</f>
        <v>0</v>
      </c>
      <c r="CG42" s="1408">
        <f>CG41-CG24</f>
        <v>0</v>
      </c>
      <c r="CH42" s="1407"/>
      <c r="CI42" s="1406">
        <f>CI41-CI24</f>
        <v>0</v>
      </c>
      <c r="CJ42" s="1406">
        <f>CJ41-CJ24</f>
        <v>0</v>
      </c>
      <c r="CK42" s="1406">
        <f>CK41-CK24</f>
        <v>0</v>
      </c>
      <c r="CL42" s="1406">
        <f>CL41-CL24</f>
        <v>0</v>
      </c>
      <c r="CM42" s="1408">
        <f>CM41-CM24</f>
        <v>0</v>
      </c>
      <c r="CN42" s="1407"/>
      <c r="CO42" s="1406">
        <f>CO41-CO24</f>
        <v>0</v>
      </c>
      <c r="CP42" s="1406">
        <f>CP41-CP24</f>
        <v>0</v>
      </c>
      <c r="CQ42" s="1406">
        <f>CQ41-CQ24</f>
        <v>0</v>
      </c>
      <c r="CR42" s="1406">
        <f>CR41-CR24</f>
        <v>0</v>
      </c>
      <c r="CS42" s="1408">
        <f>CS41-CS24</f>
        <v>0</v>
      </c>
      <c r="CT42" s="1408"/>
      <c r="CU42" s="1409"/>
      <c r="CV42" s="1409"/>
      <c r="CW42" s="1409"/>
    </row>
    <row r="43" spans="1:101">
      <c r="A43" s="1139"/>
      <c r="B43" s="1139"/>
      <c r="C43" s="1158"/>
      <c r="D43" s="1158"/>
      <c r="E43" s="1158"/>
      <c r="F43" s="1158"/>
      <c r="G43" s="1201"/>
      <c r="H43" s="1201"/>
      <c r="I43" s="1158"/>
      <c r="J43" s="1158"/>
      <c r="K43" s="1158"/>
      <c r="L43" s="1158"/>
      <c r="M43" s="1158"/>
      <c r="N43" s="1158"/>
      <c r="O43" s="1158"/>
      <c r="P43" s="1158"/>
      <c r="Q43" s="1158"/>
      <c r="R43" s="1158"/>
      <c r="S43" s="1158"/>
      <c r="T43" s="1158"/>
      <c r="U43" s="1158"/>
      <c r="V43" s="1158"/>
      <c r="W43" s="1158"/>
      <c r="X43" s="1158"/>
      <c r="Y43" s="1158"/>
      <c r="Z43" s="1158"/>
      <c r="AA43" s="1158"/>
      <c r="AB43" s="1158"/>
      <c r="AC43" s="1202"/>
      <c r="AD43" s="1202"/>
      <c r="AE43" s="1158"/>
      <c r="AF43" s="1158"/>
      <c r="AG43" s="1158"/>
      <c r="AH43" s="1202"/>
      <c r="AI43" s="1158"/>
      <c r="AJ43" s="1202"/>
      <c r="AK43" s="1158"/>
      <c r="AL43" s="1158"/>
      <c r="AM43" s="1158"/>
      <c r="AN43" s="1158"/>
      <c r="AO43" s="1158"/>
      <c r="AP43" s="1158"/>
      <c r="AQ43" s="1364"/>
      <c r="AR43" s="1160"/>
      <c r="AS43" s="1455"/>
      <c r="AT43" s="1459"/>
      <c r="AU43" s="1462"/>
      <c r="AV43" s="1160"/>
      <c r="AW43" s="1160"/>
      <c r="AX43" s="1160"/>
      <c r="AY43" s="1160"/>
      <c r="AZ43" s="1160"/>
      <c r="BA43" s="1160"/>
      <c r="BB43" s="1160"/>
      <c r="BC43" s="1160"/>
      <c r="BD43" s="1160"/>
      <c r="BE43" s="1160"/>
      <c r="BF43" s="1160"/>
      <c r="BG43" s="1160"/>
      <c r="BH43" s="1160"/>
      <c r="BI43" s="1160"/>
      <c r="BJ43" s="1160"/>
      <c r="BK43" s="1151"/>
      <c r="BL43" s="1160"/>
      <c r="BM43" s="1160"/>
      <c r="BN43" s="1160"/>
      <c r="BO43" s="1160"/>
      <c r="BP43" s="1160"/>
      <c r="BQ43" s="1151"/>
      <c r="BR43" s="1151"/>
      <c r="BS43" s="1160"/>
      <c r="BT43" s="1160"/>
      <c r="BU43" s="1160"/>
      <c r="BV43" s="1160"/>
      <c r="BW43" s="1151"/>
      <c r="BX43" s="1151"/>
      <c r="BY43" s="1160"/>
      <c r="BZ43" s="1160"/>
      <c r="CA43" s="1160"/>
      <c r="CB43" s="1160"/>
      <c r="CC43" s="1151"/>
      <c r="CD43" s="1151"/>
      <c r="CE43" s="1160"/>
      <c r="CF43" s="1160"/>
      <c r="CG43" s="1160"/>
      <c r="CH43" s="1160"/>
      <c r="CI43" s="1151"/>
      <c r="CJ43" s="1151"/>
      <c r="CK43" s="1160"/>
      <c r="CL43" s="1160"/>
      <c r="CM43" s="1160"/>
      <c r="CN43" s="1160"/>
      <c r="CO43" s="1151"/>
      <c r="CP43" s="1151"/>
      <c r="CQ43" s="1160"/>
      <c r="CR43" s="1160"/>
      <c r="CS43" s="1160"/>
      <c r="CT43" s="1160"/>
      <c r="CU43" s="63"/>
      <c r="CV43" s="63"/>
      <c r="CW43" s="63"/>
    </row>
    <row r="44" spans="1:101" outlineLevel="1">
      <c r="A44" s="50" t="s">
        <v>310</v>
      </c>
      <c r="B44" s="111"/>
      <c r="C44" s="51"/>
      <c r="D44" s="51"/>
      <c r="E44" s="51"/>
      <c r="F44" s="51"/>
      <c r="G44" s="53"/>
      <c r="H44" s="53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2"/>
      <c r="AD44" s="52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4"/>
      <c r="AX44" s="51"/>
      <c r="AY44" s="51"/>
      <c r="AZ44" s="51"/>
      <c r="BA44" s="51"/>
      <c r="BB44" s="51"/>
      <c r="BC44" s="54"/>
      <c r="BD44" s="51"/>
      <c r="BE44" s="51"/>
      <c r="BF44" s="51"/>
      <c r="BG44" s="51"/>
      <c r="BH44" s="51"/>
      <c r="BI44" s="54"/>
      <c r="BJ44" s="51"/>
      <c r="BK44" s="51"/>
      <c r="BL44" s="51"/>
      <c r="BM44" s="51"/>
      <c r="BN44" s="51"/>
      <c r="BO44" s="54"/>
      <c r="BP44" s="51"/>
      <c r="BQ44" s="51"/>
      <c r="BR44" s="51"/>
      <c r="BS44" s="51"/>
      <c r="BT44" s="51"/>
      <c r="BU44" s="54"/>
      <c r="BV44" s="51"/>
      <c r="BW44" s="51"/>
      <c r="BX44" s="51"/>
      <c r="BY44" s="51"/>
      <c r="BZ44" s="51"/>
      <c r="CA44" s="54"/>
      <c r="CB44" s="51"/>
      <c r="CC44" s="51"/>
      <c r="CD44" s="51"/>
      <c r="CE44" s="51"/>
      <c r="CF44" s="51"/>
      <c r="CG44" s="54"/>
      <c r="CH44" s="51"/>
      <c r="CI44" s="51"/>
      <c r="CJ44" s="51"/>
      <c r="CK44" s="51"/>
      <c r="CL44" s="51"/>
      <c r="CM44" s="54"/>
      <c r="CN44" s="51"/>
      <c r="CO44" s="51"/>
      <c r="CP44" s="51"/>
      <c r="CQ44" s="51"/>
      <c r="CR44" s="51"/>
      <c r="CS44" s="54"/>
      <c r="CT44" s="2911"/>
      <c r="CU44" s="31"/>
      <c r="CV44" s="63"/>
      <c r="CW44" s="63"/>
    </row>
    <row r="45" spans="1:101" outlineLevel="1">
      <c r="A45" s="248" t="s">
        <v>207</v>
      </c>
      <c r="B45" s="248"/>
      <c r="C45" s="1203">
        <f t="shared" ref="C45:AB45" si="46">+C32+C29</f>
        <v>400.07299999999998</v>
      </c>
      <c r="D45" s="1204">
        <f t="shared" si="46"/>
        <v>400.04199999999997</v>
      </c>
      <c r="E45" s="1204">
        <f t="shared" si="46"/>
        <v>400.02499999999998</v>
      </c>
      <c r="F45" s="1204">
        <f t="shared" si="46"/>
        <v>400</v>
      </c>
      <c r="G45" s="1205">
        <f t="shared" si="46"/>
        <v>400</v>
      </c>
      <c r="H45" s="1204"/>
      <c r="I45" s="1203">
        <f t="shared" si="46"/>
        <v>400.00599999999997</v>
      </c>
      <c r="J45" s="1204">
        <f t="shared" si="46"/>
        <v>400</v>
      </c>
      <c r="K45" s="1204">
        <f t="shared" si="46"/>
        <v>400.58699999999999</v>
      </c>
      <c r="L45" s="1204">
        <f t="shared" si="46"/>
        <v>399.99900000000002</v>
      </c>
      <c r="M45" s="1205">
        <f t="shared" si="46"/>
        <v>399.99900000000002</v>
      </c>
      <c r="N45" s="1204"/>
      <c r="O45" s="1203">
        <f t="shared" si="46"/>
        <v>389.99900000000002</v>
      </c>
      <c r="P45" s="1204">
        <f t="shared" si="46"/>
        <v>389.99899999999997</v>
      </c>
      <c r="Q45" s="1204">
        <f t="shared" si="46"/>
        <v>389.99900000000002</v>
      </c>
      <c r="R45" s="1204">
        <f t="shared" si="46"/>
        <v>389.99900000000002</v>
      </c>
      <c r="S45" s="1205">
        <f t="shared" si="46"/>
        <v>389.99900000000002</v>
      </c>
      <c r="T45" s="1204"/>
      <c r="U45" s="1203">
        <f t="shared" si="46"/>
        <v>389.99900000000002</v>
      </c>
      <c r="V45" s="1204">
        <f t="shared" si="46"/>
        <v>389.99899999999997</v>
      </c>
      <c r="W45" s="1204">
        <f t="shared" si="46"/>
        <v>389.99900000000002</v>
      </c>
      <c r="X45" s="1204">
        <f t="shared" si="46"/>
        <v>389.99899999999997</v>
      </c>
      <c r="Y45" s="1205">
        <f t="shared" si="46"/>
        <v>389.99899999999997</v>
      </c>
      <c r="Z45" s="1204"/>
      <c r="AA45" s="1203">
        <f t="shared" si="46"/>
        <v>788.947</v>
      </c>
      <c r="AB45" s="1204">
        <f t="shared" si="46"/>
        <v>806.36400000000003</v>
      </c>
      <c r="AC45" s="1204">
        <f>+AC32+AC29</f>
        <v>805.202</v>
      </c>
      <c r="AD45" s="1204">
        <f>+AD32+AD29</f>
        <v>813.09100000000001</v>
      </c>
      <c r="AE45" s="1205">
        <f>+AE32+AE29</f>
        <v>813.09100000000001</v>
      </c>
      <c r="AF45" s="1204"/>
      <c r="AG45" s="1203">
        <f>+AG32+AG29</f>
        <v>821.06799999999998</v>
      </c>
      <c r="AH45" s="1204">
        <f>+AH32+AH29</f>
        <v>829.13300000000004</v>
      </c>
      <c r="AI45" s="1204">
        <f t="shared" ref="AI45:AW45" si="47">+AI32+AI29</f>
        <v>837.28700000000003</v>
      </c>
      <c r="AJ45" s="1204">
        <f>+AJ32+AJ29</f>
        <v>845.53099999999995</v>
      </c>
      <c r="AK45" s="1205">
        <f t="shared" si="47"/>
        <v>845.53099999999995</v>
      </c>
      <c r="AL45" s="1204"/>
      <c r="AM45" s="1203">
        <f t="shared" si="47"/>
        <v>853.86599999999999</v>
      </c>
      <c r="AN45" s="1204">
        <f t="shared" si="47"/>
        <v>853.29399999999998</v>
      </c>
      <c r="AO45" s="1204">
        <f t="shared" si="47"/>
        <v>860.31</v>
      </c>
      <c r="AP45" s="1204">
        <f>+AP32+AP29</f>
        <v>868.875</v>
      </c>
      <c r="AQ45" s="1205">
        <f>+AQ32+AQ29</f>
        <v>868.875</v>
      </c>
      <c r="AR45" s="1204"/>
      <c r="AS45" s="1456">
        <f>+AS32+AS29</f>
        <v>848.01599999999996</v>
      </c>
      <c r="AT45" s="1511">
        <f>+AT32+AT29</f>
        <v>1270.963</v>
      </c>
      <c r="AU45" s="1511">
        <f>+AU32+AU29</f>
        <v>1280.9549999999999</v>
      </c>
      <c r="AV45" s="1204">
        <f t="shared" si="47"/>
        <v>1291.0360000000001</v>
      </c>
      <c r="AW45" s="1205">
        <f t="shared" si="47"/>
        <v>1291.0360000000001</v>
      </c>
      <c r="AX45" s="1204"/>
      <c r="AY45" s="1203">
        <f>+AY32+AY29</f>
        <v>1301.2040000000002</v>
      </c>
      <c r="AZ45" s="1511">
        <f>+AZ32+AZ29</f>
        <v>1303.2759999999998</v>
      </c>
      <c r="BA45" s="1511">
        <f>+BA32+BA29</f>
        <v>1110.1009999999999</v>
      </c>
      <c r="BB45" s="1204">
        <f>+BB32+BB29</f>
        <v>1090.578</v>
      </c>
      <c r="BC45" s="1205">
        <f>+BC32+BC29</f>
        <v>1090.578</v>
      </c>
      <c r="BD45" s="1204"/>
      <c r="BE45" s="1203">
        <f>+BE32+BE29</f>
        <v>1022.646</v>
      </c>
      <c r="BF45" s="1511">
        <f>+BF32+BF29</f>
        <v>1031.8809999999999</v>
      </c>
      <c r="BG45" s="1511">
        <f>+BG32+BG29</f>
        <v>1042.0150000000001</v>
      </c>
      <c r="BH45" s="1204">
        <f>+BH32+BH29</f>
        <v>1049.0550000000001</v>
      </c>
      <c r="BI45" s="1205">
        <f>+BI32+BI29</f>
        <v>1049.0550000000001</v>
      </c>
      <c r="BJ45" s="1204"/>
      <c r="BK45" s="1203">
        <f>+BK32+BK29</f>
        <v>1056</v>
      </c>
      <c r="BL45" s="1511">
        <f>+BL32+BL29</f>
        <v>1174</v>
      </c>
      <c r="BM45" s="1511">
        <f>+BM32+BM29</f>
        <v>1182</v>
      </c>
      <c r="BN45" s="1204">
        <f>+BN32+BN29</f>
        <v>1192</v>
      </c>
      <c r="BO45" s="1205">
        <f>+BO32+BO29</f>
        <v>1192</v>
      </c>
      <c r="BP45" s="1204"/>
      <c r="BQ45" s="1203">
        <f>+BQ32+BQ29</f>
        <v>1081.3702252500977</v>
      </c>
      <c r="BR45" s="1204">
        <f>+BR32+BR29</f>
        <v>1089.2473159463202</v>
      </c>
      <c r="BS45" s="1204">
        <f>+BS32+BS29</f>
        <v>1097.2741214661182</v>
      </c>
      <c r="BT45" s="1204">
        <f>+BT32+BT29</f>
        <v>1105.3649344203077</v>
      </c>
      <c r="BU45" s="1205">
        <f>+BU32+BU29</f>
        <v>1105.3649344203077</v>
      </c>
      <c r="BV45" s="1204"/>
      <c r="BW45" s="1203">
        <f>+BW32+BW29</f>
        <v>1113.3422901257827</v>
      </c>
      <c r="BX45" s="1204">
        <f>+BX32+BX29</f>
        <v>1121.471559490574</v>
      </c>
      <c r="BY45" s="1204">
        <f>+BY32+BY29</f>
        <v>1129.7553548056835</v>
      </c>
      <c r="BZ45" s="1204">
        <f>+BZ32+BZ29</f>
        <v>1138.1052252214263</v>
      </c>
      <c r="CA45" s="1205">
        <f>+CA32+CA29</f>
        <v>1138.1052252214263</v>
      </c>
      <c r="CB45" s="1204"/>
      <c r="CC45" s="1203">
        <f>+CC32+CC29</f>
        <v>1146.3380235564455</v>
      </c>
      <c r="CD45" s="1204">
        <f>+CD32+CD29</f>
        <v>1154.727618141452</v>
      </c>
      <c r="CE45" s="1204">
        <f>+CE32+CE29</f>
        <v>1163.2767058141358</v>
      </c>
      <c r="CF45" s="1204">
        <f>+CF32+CF29</f>
        <v>1171.8940036504232</v>
      </c>
      <c r="CG45" s="1205">
        <f>+CG32+CG29</f>
        <v>1171.8940036504232</v>
      </c>
      <c r="CH45" s="1204"/>
      <c r="CI45" s="1203">
        <f>+CI32+CI29</f>
        <v>1180.3904983633502</v>
      </c>
      <c r="CJ45" s="1204">
        <f>+CJ32+CJ29</f>
        <v>1189.0488302709182</v>
      </c>
      <c r="CK45" s="1204">
        <f>+CK32+CK29</f>
        <v>1197.8717835185155</v>
      </c>
      <c r="CL45" s="1204">
        <f>+CL32+CL29</f>
        <v>1206.7651516056812</v>
      </c>
      <c r="CM45" s="1205">
        <f>+CM32+CM29</f>
        <v>1206.7651516056812</v>
      </c>
      <c r="CN45" s="1204"/>
      <c r="CO45" s="1203">
        <f>+CO32+CO29</f>
        <v>1215.533865546334</v>
      </c>
      <c r="CP45" s="1204">
        <f>+CP32+CP29</f>
        <v>1224.4696211621451</v>
      </c>
      <c r="CQ45" s="1204">
        <f>+CQ32+CQ29</f>
        <v>1233.5752927581691</v>
      </c>
      <c r="CR45" s="1204">
        <f>+CR32+CR29</f>
        <v>1242.7536557724875</v>
      </c>
      <c r="CS45" s="1205">
        <f>+CS32+CS29</f>
        <v>1242.7536557724875</v>
      </c>
      <c r="CT45" s="1204"/>
      <c r="CU45" s="870"/>
      <c r="CV45" s="870"/>
      <c r="CW45" s="870"/>
    </row>
    <row r="46" spans="1:101" outlineLevel="1">
      <c r="A46" s="248" t="s">
        <v>311</v>
      </c>
      <c r="B46" s="249"/>
      <c r="C46" s="1206">
        <f>C45-(C10+C19)</f>
        <v>73.251999999999953</v>
      </c>
      <c r="D46" s="1204">
        <f>D45-(D10+D19)</f>
        <v>56.779999999999973</v>
      </c>
      <c r="E46" s="1204">
        <f>E45-(E10+E19)</f>
        <v>47.173000000000002</v>
      </c>
      <c r="F46" s="1204">
        <f>F45-(F10+F19)</f>
        <v>13.918000000000006</v>
      </c>
      <c r="G46" s="1205">
        <f>G45-(G10+G19)</f>
        <v>13.918000000000006</v>
      </c>
      <c r="H46" s="1204"/>
      <c r="I46" s="1206">
        <f>I45-(I10+I19)</f>
        <v>71.20799999999997</v>
      </c>
      <c r="J46" s="1204">
        <f>J45-(J10+J19)</f>
        <v>43.900000000000034</v>
      </c>
      <c r="K46" s="1204">
        <f>K45-(K10+K19)</f>
        <v>-300.62699999999995</v>
      </c>
      <c r="L46" s="1204">
        <f>L45-(L10+L19)</f>
        <v>-295.976</v>
      </c>
      <c r="M46" s="1205">
        <f>M45-(M10+M19)</f>
        <v>-295.976</v>
      </c>
      <c r="N46" s="1204"/>
      <c r="O46" s="1206">
        <f>O45-(O10+O19)</f>
        <v>-338.49099999999999</v>
      </c>
      <c r="P46" s="1204">
        <f>P45-(P10+P19)</f>
        <v>-400.32</v>
      </c>
      <c r="Q46" s="1204">
        <f>Q45-(Q10+Q19)</f>
        <v>-425.38100000000009</v>
      </c>
      <c r="R46" s="1204">
        <f>R45-(R10+R19)</f>
        <v>-303.52800000000002</v>
      </c>
      <c r="S46" s="1205">
        <f>S45-(S10+S19)</f>
        <v>-303.52800000000002</v>
      </c>
      <c r="T46" s="1204"/>
      <c r="U46" s="1206">
        <f>U45-(U10+U19)</f>
        <v>-357.98099999999999</v>
      </c>
      <c r="V46" s="1204">
        <f>V45-(V10+V19)</f>
        <v>-395.38100000000003</v>
      </c>
      <c r="W46" s="1204">
        <f>W45-(W10+W19)</f>
        <v>-416.81700000000001</v>
      </c>
      <c r="X46" s="1204">
        <f>X45-(X10+X19)</f>
        <v>-504.29</v>
      </c>
      <c r="Y46" s="1205">
        <f>Y45-(Y10+Y19)</f>
        <v>-504.29</v>
      </c>
      <c r="Z46" s="1204"/>
      <c r="AA46" s="1206">
        <f>AA45-(AA10+AA19)</f>
        <v>-345.69099999999992</v>
      </c>
      <c r="AB46" s="1204">
        <f>AB45-(AB10+AB19)</f>
        <v>-427.54999999999995</v>
      </c>
      <c r="AC46" s="1204">
        <f>AC45-(AC10+AC19)</f>
        <v>-326.98800000000006</v>
      </c>
      <c r="AD46" s="1204">
        <f>AD45-(AD10+AD19)</f>
        <v>-376.47699999999998</v>
      </c>
      <c r="AE46" s="1205">
        <f>AE45-(AE10+AE19)</f>
        <v>-376.47699999999998</v>
      </c>
      <c r="AF46" s="1204"/>
      <c r="AG46" s="1206">
        <f>AG45-(AG10+AG19)</f>
        <v>-445.29500000000007</v>
      </c>
      <c r="AH46" s="1204">
        <f>AH45-(AH10+AH19)</f>
        <v>-472.55299999999988</v>
      </c>
      <c r="AI46" s="1204">
        <f>AI45-(AI10+AI19)</f>
        <v>-395.779</v>
      </c>
      <c r="AJ46" s="1204">
        <f>AJ45-(AJ10+AJ19)</f>
        <v>-504.673</v>
      </c>
      <c r="AK46" s="1205">
        <f>AK45-(AK10+AK19)</f>
        <v>-504.673</v>
      </c>
      <c r="AL46" s="1204"/>
      <c r="AM46" s="1206">
        <f>AM45-(AM10+AM19)</f>
        <v>-213.60400000000004</v>
      </c>
      <c r="AN46" s="1204">
        <f>AN45-(AN10+AN19)</f>
        <v>-276.16899999999998</v>
      </c>
      <c r="AO46" s="1204">
        <f>AO45-(AO10+AO19)</f>
        <v>-167.68100000000004</v>
      </c>
      <c r="AP46" s="1204">
        <f>AP45-(AP10+AP19)</f>
        <v>-296.72800000000007</v>
      </c>
      <c r="AQ46" s="1205">
        <f>AQ45-(AQ10+AQ19)</f>
        <v>-296.72800000000007</v>
      </c>
      <c r="AR46" s="1204"/>
      <c r="AS46" s="1457">
        <f>AS45-(AS10+AS19)</f>
        <v>-243.78600000000017</v>
      </c>
      <c r="AT46" s="1511">
        <f>AT45-(AT10+AT19)</f>
        <v>167.90699999999993</v>
      </c>
      <c r="AU46" s="1511">
        <f>AU45-(AU10+AU19)</f>
        <v>9.52800000000002</v>
      </c>
      <c r="AV46" s="1204">
        <f>AV45-(AV10+AV19)</f>
        <v>-47.335000000000036</v>
      </c>
      <c r="AW46" s="1205">
        <f>AW45-(AW10+AW19)</f>
        <v>-47.335000000000036</v>
      </c>
      <c r="AX46" s="1204"/>
      <c r="AY46" s="1206">
        <f>AY45-(AY10+AY19)</f>
        <v>-65.284999999999854</v>
      </c>
      <c r="AZ46" s="1511">
        <f>AZ45-(AZ10+AZ19)</f>
        <v>-207.10600000000022</v>
      </c>
      <c r="BA46" s="1511">
        <f>BA45-(BA10+BA19)</f>
        <v>-329.30500000000006</v>
      </c>
      <c r="BB46" s="1204">
        <f>BB45-(BB10+BB19)</f>
        <v>-295.64200000000005</v>
      </c>
      <c r="BC46" s="1205">
        <f>BC45-(BC10+BC19)</f>
        <v>-295.64200000000005</v>
      </c>
      <c r="BD46" s="1204"/>
      <c r="BE46" s="1206">
        <f>BE45-(BE10+BE19)</f>
        <v>-320.44600000000014</v>
      </c>
      <c r="BF46" s="1511">
        <f>BF45-(BF10+BF19)</f>
        <v>-393.37500000000023</v>
      </c>
      <c r="BG46" s="1511">
        <f>BG45-(BG10+BG19)</f>
        <v>-494.25099999999998</v>
      </c>
      <c r="BH46" s="1204">
        <f>BH45-(BH10+BH19)</f>
        <v>-509.66899999999987</v>
      </c>
      <c r="BI46" s="1205">
        <f>BI45-(BI10+BI19)</f>
        <v>-509.66899999999987</v>
      </c>
      <c r="BJ46" s="1204"/>
      <c r="BK46" s="1206">
        <f>BK45-(BK10+BK19)</f>
        <v>-722</v>
      </c>
      <c r="BL46" s="1511">
        <f>BL45-(BL10+BL19)</f>
        <v>-719</v>
      </c>
      <c r="BM46" s="1511">
        <f>BM45-(BM10+BM19)</f>
        <v>-859</v>
      </c>
      <c r="BN46" s="1204">
        <f>BN45-(BN10+BN19)</f>
        <v>-953</v>
      </c>
      <c r="BO46" s="1205">
        <f>BO45-(BO10+BO19)</f>
        <v>-953</v>
      </c>
      <c r="BP46" s="1204"/>
      <c r="BQ46" s="1206">
        <f>BQ45-(BQ10+BQ19)</f>
        <v>-864.85249414466944</v>
      </c>
      <c r="BR46" s="1204">
        <f>BR45-(BR10+BR19)</f>
        <v>-987.40458910613097</v>
      </c>
      <c r="BS46" s="1204">
        <f>BS45-(BS10+BS19)</f>
        <v>-1023.243911206785</v>
      </c>
      <c r="BT46" s="1204">
        <f>BT45-(BT10+BT19)</f>
        <v>-1061.5790999851174</v>
      </c>
      <c r="BU46" s="1205">
        <f>BU45-(BU10+BU19)</f>
        <v>-1061.5790999851174</v>
      </c>
      <c r="BV46" s="1204"/>
      <c r="BW46" s="1206">
        <f>BW45-(BW10+BW19)</f>
        <v>-996.21784358509422</v>
      </c>
      <c r="BX46" s="1204">
        <f>BX45-(BX10+BX19)</f>
        <v>-1150.0269415068694</v>
      </c>
      <c r="BY46" s="1204">
        <f>BY45-(BY10+BY19)</f>
        <v>-1208.6769094547021</v>
      </c>
      <c r="BZ46" s="1204">
        <f>BZ45-(BZ10+BZ19)</f>
        <v>-1266.7498357409117</v>
      </c>
      <c r="CA46" s="1205">
        <f>CA45-(CA10+CA19)</f>
        <v>-1266.7498357409117</v>
      </c>
      <c r="CB46" s="1204"/>
      <c r="CC46" s="1206">
        <f>CC45-(CC10+CC19)</f>
        <v>-1244.0651498683042</v>
      </c>
      <c r="CD46" s="1204">
        <f>CD45-(CD10+CD19)</f>
        <v>-1497.333983656835</v>
      </c>
      <c r="CE46" s="1204">
        <f>CE45-(CE10+CE19)</f>
        <v>-1657.0061893276193</v>
      </c>
      <c r="CF46" s="1204">
        <f>CF45-(CF10+CF19)</f>
        <v>-1819.4047884499496</v>
      </c>
      <c r="CG46" s="1205">
        <f>CG45-(CG10+CG19)</f>
        <v>-1819.4047884499496</v>
      </c>
      <c r="CH46" s="1204"/>
      <c r="CI46" s="1206">
        <f>CI45-(CI10+CI19)</f>
        <v>-1900.2162990263037</v>
      </c>
      <c r="CJ46" s="1204">
        <f>CJ45-(CJ10+CJ19)</f>
        <v>-2150.2690370987934</v>
      </c>
      <c r="CK46" s="1204">
        <f>CK45-(CK10+CK19)</f>
        <v>-2294.4226211090509</v>
      </c>
      <c r="CL46" s="1204">
        <f>CL45-(CL10+CL19)</f>
        <v>-2436.2073874526282</v>
      </c>
      <c r="CM46" s="1205">
        <f>CM45-(CM10+CM19)</f>
        <v>-2436.2073874526282</v>
      </c>
      <c r="CN46" s="1204"/>
      <c r="CO46" s="1206">
        <f>CO45-(CO10+CO19)</f>
        <v>-2499.8852461243241</v>
      </c>
      <c r="CP46" s="1204">
        <f>CP45-(CP10+CP19)</f>
        <v>-2810.2347464586328</v>
      </c>
      <c r="CQ46" s="1204">
        <f>CQ45-(CQ10+CQ19)</f>
        <v>-3009.2837446545491</v>
      </c>
      <c r="CR46" s="1204">
        <f>CR45-(CR10+CR19)</f>
        <v>-3207.0711893366929</v>
      </c>
      <c r="CS46" s="1205">
        <f>CS45-(CS10+CS19)</f>
        <v>-3207.0711893366929</v>
      </c>
      <c r="CT46" s="1204"/>
      <c r="CU46" s="870"/>
      <c r="CV46" s="63"/>
      <c r="CW46" s="63"/>
    </row>
    <row r="47" spans="1:101" outlineLevel="1">
      <c r="A47" s="250" t="s">
        <v>312</v>
      </c>
      <c r="B47" s="251"/>
      <c r="C47" s="1207">
        <f>C46/IS!C43</f>
        <v>0.6855976938340006</v>
      </c>
      <c r="D47" s="1208">
        <f>D46/IS!D43</f>
        <v>0.48896849864797343</v>
      </c>
      <c r="E47" s="1208">
        <f>E46/IS!E43</f>
        <v>0.39711255156157926</v>
      </c>
      <c r="F47" s="1208">
        <f>F46/IS!F43</f>
        <v>0.12640087185541737</v>
      </c>
      <c r="G47" s="1209">
        <f>G46/IS!G43</f>
        <v>0.12850389629574921</v>
      </c>
      <c r="H47" s="1208"/>
      <c r="I47" s="1207">
        <f>I46/IS!I43</f>
        <v>0.55837149488739701</v>
      </c>
      <c r="J47" s="1208">
        <f>J46/IS!J43</f>
        <v>0.32909532519715762</v>
      </c>
      <c r="K47" s="1208">
        <f>K46/IS!K43</f>
        <v>-2.5108115557114576</v>
      </c>
      <c r="L47" s="1208">
        <f>L46/IS!L43</f>
        <v>-2.2541793284133407</v>
      </c>
      <c r="M47" s="1209">
        <f>M46/IS!M43</f>
        <v>-2.2152731518558157</v>
      </c>
      <c r="N47" s="1208"/>
      <c r="O47" s="1207">
        <f>O46/IS!O43</f>
        <v>-2.5456767468620032</v>
      </c>
      <c r="P47" s="1208">
        <f>P46/IS!P43</f>
        <v>-2.870397590793389</v>
      </c>
      <c r="Q47" s="1208">
        <f>Q46/IS!Q43</f>
        <v>-3.0411727697785156</v>
      </c>
      <c r="R47" s="1208">
        <f>R46/IS!R43</f>
        <v>-2.2302656232778575</v>
      </c>
      <c r="S47" s="1209">
        <f>S46/IS!S43</f>
        <v>-2.2139814436599172</v>
      </c>
      <c r="T47" s="1208"/>
      <c r="U47" s="1207">
        <f>U46/IS!U43</f>
        <v>-2.6243594536937254</v>
      </c>
      <c r="V47" s="1208">
        <f>V46/IS!V43</f>
        <v>-2.8050953877588669</v>
      </c>
      <c r="W47" s="1208">
        <f>W46/IS!W43</f>
        <v>-2.8705416480148753</v>
      </c>
      <c r="X47" s="1208">
        <f>X46/IS!X43</f>
        <v>-3.3358911431425344</v>
      </c>
      <c r="Y47" s="1209">
        <f>Y46/IS!Y43</f>
        <v>-3.5158575781026684</v>
      </c>
      <c r="Z47" s="1208"/>
      <c r="AA47" s="1207">
        <f>AA46/IS!AA43</f>
        <v>-2.2575149057330743</v>
      </c>
      <c r="AB47" s="1208">
        <f>AB46/IS!AB43</f>
        <v>-3.0159066060028921</v>
      </c>
      <c r="AC47" s="1208">
        <f>AC46/IS!AC43</f>
        <v>-2.4049247606019155</v>
      </c>
      <c r="AD47" s="1208">
        <f>AD46/IS!AD43</f>
        <v>-3.0145170072384855</v>
      </c>
      <c r="AE47" s="1209">
        <f>AE46/IS!AE43</f>
        <v>-2.7096957613882546</v>
      </c>
      <c r="AF47" s="1208"/>
      <c r="AG47" s="1207">
        <f>AG46/IS!AG43</f>
        <v>-3.3265973897907504</v>
      </c>
      <c r="AH47" s="1208">
        <f>AH46/IS!AH43</f>
        <v>-3.5527362398598603</v>
      </c>
      <c r="AI47" s="1208">
        <f>AI46/IS!AI43</f>
        <v>-2.9868535247194488</v>
      </c>
      <c r="AJ47" s="1208">
        <f>AJ46/IS!AJ43</f>
        <v>-3.727467446618363</v>
      </c>
      <c r="AK47" s="1209">
        <f>AK46/IS!AK43</f>
        <v>-3.7748648021960758</v>
      </c>
      <c r="AL47" s="1208"/>
      <c r="AM47" s="1207">
        <f>AM46/IS!AM43</f>
        <v>-1.7258418977441667</v>
      </c>
      <c r="AN47" s="1208">
        <f>AN46/IS!AN43</f>
        <v>-1.9814531809409011</v>
      </c>
      <c r="AO47" s="1208">
        <f>AO46/IS!AO43</f>
        <v>-1.1926017595891925</v>
      </c>
      <c r="AP47" s="1208">
        <f>AP46/IS!AP43</f>
        <v>-2.0627024622186387</v>
      </c>
      <c r="AQ47" s="1209">
        <f>AQ46/IS!AQ43</f>
        <v>-2.1204550651726506</v>
      </c>
      <c r="AR47" s="1208"/>
      <c r="AS47" s="1458">
        <f>AS46/IS!AS43</f>
        <v>-1.6185607393489545</v>
      </c>
      <c r="AT47" s="1512">
        <f>AT46/IS!AT43</f>
        <v>1.1259782324421101</v>
      </c>
      <c r="AU47" s="1512">
        <f>AU46/IS!AU43</f>
        <v>6.4591355279570606E-2</v>
      </c>
      <c r="AV47" s="1208">
        <f>AV46/IS!AV43</f>
        <v>-0.31841756526769699</v>
      </c>
      <c r="AW47" s="1209">
        <f>AW46/IS!AW43</f>
        <v>-0.31773307669459622</v>
      </c>
      <c r="AX47" s="1208"/>
      <c r="AY47" s="1207">
        <f>AY46/IS!AY43</f>
        <v>-0.43908853063228381</v>
      </c>
      <c r="AZ47" s="1512">
        <f>AZ46/IS!AZ43</f>
        <v>-1.390262403587325</v>
      </c>
      <c r="BA47" s="1512">
        <f>BA46/IS!BA43</f>
        <v>-2.2001777219520022</v>
      </c>
      <c r="BB47" s="1208">
        <f>BB46/IS!BB43</f>
        <v>-1.9848138997797953</v>
      </c>
      <c r="BC47" s="1209">
        <f>BC46/IS!BC43</f>
        <v>-1.9832560760453217</v>
      </c>
      <c r="BD47" s="1208"/>
      <c r="BE47" s="1207">
        <f>BE46/IS!BE43</f>
        <v>-2.1599654886523734</v>
      </c>
      <c r="BF47" s="1512">
        <f>BF46/IS!BF43</f>
        <v>-2.6599341397940361</v>
      </c>
      <c r="BG47" s="1512">
        <f>BG46/IS!BG43</f>
        <v>-3.3417691563951557</v>
      </c>
      <c r="BH47" s="1208">
        <f>BH46/IS!BH43</f>
        <v>-3.4433604702226122</v>
      </c>
      <c r="BI47" s="1209">
        <f>BI46/IS!BI43</f>
        <v>-3.4427673508262933</v>
      </c>
      <c r="BJ47" s="1208"/>
      <c r="BK47" s="1207">
        <f>BK46/IS!BK43</f>
        <v>-4.8982360922659431</v>
      </c>
      <c r="BL47" s="1512">
        <f>BL46/IS!BL43</f>
        <v>-4.9246575342465757</v>
      </c>
      <c r="BM47" s="1512">
        <f>BM46/IS!BM43</f>
        <v>-5.8237288135593221</v>
      </c>
      <c r="BN47" s="1208">
        <f>BN46/IS!BN43</f>
        <v>-6.4610169491525422</v>
      </c>
      <c r="BO47" s="1209">
        <f>BO46/IS!BO43</f>
        <v>-6.4785859959211427</v>
      </c>
      <c r="BP47" s="1208"/>
      <c r="BQ47" s="1207">
        <f>BQ46/IS!BQ43</f>
        <v>-5.8833503003038734</v>
      </c>
      <c r="BR47" s="1208">
        <f>BR46/IS!BR43</f>
        <v>-6.6933242424402035</v>
      </c>
      <c r="BS47" s="1208">
        <f>BS46/IS!BS43</f>
        <v>-6.9676641844222491</v>
      </c>
      <c r="BT47" s="1208">
        <f>BT46/IS!BT43</f>
        <v>-7.2608678477572326</v>
      </c>
      <c r="BU47" s="1209">
        <f>BU46/IS!BU43</f>
        <v>-7.22675857843881</v>
      </c>
      <c r="BV47" s="1208"/>
      <c r="BW47" s="1207">
        <f>BW46/IS!BW43</f>
        <v>-6.8436193950920412</v>
      </c>
      <c r="BX47" s="1208">
        <f>BX46/IS!BX43</f>
        <v>-7.9341891980173429</v>
      </c>
      <c r="BY47" s="1208">
        <f>BY46/IS!BY43</f>
        <v>-8.3740554381338921</v>
      </c>
      <c r="BZ47" s="1208">
        <f>BZ46/IS!BZ43</f>
        <v>-8.8128425330189089</v>
      </c>
      <c r="CA47" s="1209">
        <f>CA46/IS!CA43</f>
        <v>-8.757501854352677</v>
      </c>
      <c r="CB47" s="1208"/>
      <c r="CC47" s="1207">
        <f>CC46/IS!CC43</f>
        <v>-8.6877072018657735</v>
      </c>
      <c r="CD47" s="1208">
        <f>CD46/IS!CD43</f>
        <v>-10.491254298746888</v>
      </c>
      <c r="CE47" s="1208">
        <f>CE46/IS!CE43</f>
        <v>-11.648054428656405</v>
      </c>
      <c r="CF47" s="1208">
        <f>CF46/IS!CF43</f>
        <v>-12.83078886413843</v>
      </c>
      <c r="CG47" s="1209">
        <f>CG46/IS!CG43</f>
        <v>-12.768281417026442</v>
      </c>
      <c r="CH47" s="1208"/>
      <c r="CI47" s="1207">
        <f>CI46/IS!CI43</f>
        <v>-13.443007826128554</v>
      </c>
      <c r="CJ47" s="1208">
        <f>CJ46/IS!CJ43</f>
        <v>-15.259159337051983</v>
      </c>
      <c r="CK47" s="1208">
        <f>CK46/IS!CK43</f>
        <v>-16.331685347429502</v>
      </c>
      <c r="CL47" s="1208">
        <f>CL46/IS!CL43</f>
        <v>-17.392715411766556</v>
      </c>
      <c r="CM47" s="1209">
        <f>CM46/IS!CM43</f>
        <v>-17.313992860200226</v>
      </c>
      <c r="CN47" s="1208"/>
      <c r="CO47" s="1207">
        <f>CO46/IS!CO43</f>
        <v>-17.899664674687884</v>
      </c>
      <c r="CP47" s="1208">
        <f>CP46/IS!CP43</f>
        <v>-20.179742435012034</v>
      </c>
      <c r="CQ47" s="1208">
        <f>CQ46/IS!CQ43</f>
        <v>-21.670115994038113</v>
      </c>
      <c r="CR47" s="1208">
        <f>CR46/IS!CR43</f>
        <v>-23.158424926994325</v>
      </c>
      <c r="CS47" s="1209">
        <f>CS46/IS!CS43</f>
        <v>-23.061127077385269</v>
      </c>
      <c r="CT47" s="2391"/>
      <c r="CU47" s="63"/>
      <c r="CV47" s="63"/>
      <c r="CW47" s="63"/>
    </row>
    <row r="48" spans="1:101" outlineLevel="1">
      <c r="A48" s="252"/>
      <c r="B48" s="252"/>
      <c r="C48" s="1158"/>
      <c r="D48" s="1158"/>
      <c r="E48" s="1158"/>
      <c r="F48" s="1158"/>
      <c r="G48" s="1201"/>
      <c r="H48" s="1201"/>
      <c r="I48" s="1158"/>
      <c r="J48" s="1158"/>
      <c r="K48" s="1158"/>
      <c r="L48" s="1158"/>
      <c r="M48" s="1158"/>
      <c r="N48" s="1158"/>
      <c r="O48" s="1158"/>
      <c r="P48" s="1158"/>
      <c r="Q48" s="1158"/>
      <c r="R48" s="1158"/>
      <c r="S48" s="1158"/>
      <c r="T48" s="1158"/>
      <c r="U48" s="1158"/>
      <c r="V48" s="1158"/>
      <c r="W48" s="1158"/>
      <c r="X48" s="1158"/>
      <c r="Y48" s="1158"/>
      <c r="Z48" s="1158"/>
      <c r="AA48" s="1158"/>
      <c r="AB48" s="1158"/>
      <c r="AC48" s="1158"/>
      <c r="AD48" s="1158"/>
      <c r="AE48" s="1158"/>
      <c r="AF48" s="1158"/>
      <c r="AG48" s="1158"/>
      <c r="AH48" s="1158"/>
      <c r="AI48" s="1158"/>
      <c r="AJ48" s="1158"/>
      <c r="AK48" s="1158"/>
      <c r="AL48" s="1158"/>
      <c r="AM48" s="1158"/>
      <c r="AN48" s="1158"/>
      <c r="AO48" s="1158"/>
      <c r="AP48" s="1158"/>
      <c r="AQ48" s="1158"/>
      <c r="AR48" s="1160"/>
      <c r="AS48" s="1459"/>
      <c r="AT48" s="1459"/>
      <c r="AU48" s="1459"/>
      <c r="AV48" s="1160"/>
      <c r="AW48" s="1160"/>
      <c r="AX48" s="1160"/>
      <c r="AY48" s="1160"/>
      <c r="AZ48" s="1459"/>
      <c r="BA48" s="1459"/>
      <c r="BB48" s="1160"/>
      <c r="BC48" s="1160"/>
      <c r="BD48" s="1160"/>
      <c r="BE48" s="1160"/>
      <c r="BF48" s="1459"/>
      <c r="BG48" s="1459"/>
      <c r="BH48" s="1160"/>
      <c r="BI48" s="1160"/>
      <c r="BJ48" s="1160"/>
      <c r="BK48" s="1160"/>
      <c r="BL48" s="1459"/>
      <c r="BM48" s="1459"/>
      <c r="BN48" s="1160"/>
      <c r="BO48" s="1160"/>
      <c r="BP48" s="1160"/>
      <c r="BQ48" s="1160"/>
      <c r="BR48" s="1160"/>
      <c r="BS48" s="1160"/>
      <c r="BT48" s="1160"/>
      <c r="BU48" s="1160"/>
      <c r="BV48" s="1160"/>
      <c r="BW48" s="1160"/>
      <c r="BX48" s="1160"/>
      <c r="BY48" s="1160"/>
      <c r="BZ48" s="1160"/>
      <c r="CA48" s="1160"/>
      <c r="CB48" s="1160"/>
      <c r="CC48" s="1160"/>
      <c r="CD48" s="1160"/>
      <c r="CE48" s="1160"/>
      <c r="CF48" s="1160"/>
      <c r="CG48" s="1160"/>
      <c r="CH48" s="1160"/>
      <c r="CI48" s="1160"/>
      <c r="CJ48" s="1160"/>
      <c r="CK48" s="1160"/>
      <c r="CL48" s="1160"/>
      <c r="CM48" s="1160"/>
      <c r="CN48" s="1160"/>
      <c r="CO48" s="1160"/>
      <c r="CP48" s="1160"/>
      <c r="CQ48" s="1160"/>
      <c r="CR48" s="1160"/>
      <c r="CS48" s="1160"/>
      <c r="CT48" s="1160"/>
      <c r="CU48" s="63"/>
      <c r="CV48" s="63"/>
      <c r="CW48" s="63"/>
    </row>
    <row r="49" spans="1:101" outlineLevel="1">
      <c r="A49" s="50" t="s">
        <v>313</v>
      </c>
      <c r="B49" s="111"/>
      <c r="C49" s="51"/>
      <c r="D49" s="51"/>
      <c r="E49" s="51"/>
      <c r="F49" s="51"/>
      <c r="G49" s="53"/>
      <c r="H49" s="53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2"/>
      <c r="AD49" s="52"/>
      <c r="AE49" s="51"/>
      <c r="AF49" s="51"/>
      <c r="AG49" s="51"/>
      <c r="AH49" s="51"/>
      <c r="AI49" s="51"/>
      <c r="AJ49" s="52"/>
      <c r="AK49" s="51"/>
      <c r="AL49" s="51"/>
      <c r="AM49" s="51"/>
      <c r="AN49" s="51"/>
      <c r="AO49" s="51"/>
      <c r="AP49" s="52"/>
      <c r="AQ49" s="51"/>
      <c r="AR49" s="51"/>
      <c r="AS49" s="51"/>
      <c r="AT49" s="51"/>
      <c r="AU49" s="51"/>
      <c r="AV49" s="51"/>
      <c r="AW49" s="54"/>
      <c r="AX49" s="51"/>
      <c r="AY49" s="51"/>
      <c r="AZ49" s="51"/>
      <c r="BA49" s="51"/>
      <c r="BB49" s="51"/>
      <c r="BC49" s="54"/>
      <c r="BD49" s="51"/>
      <c r="BE49" s="51"/>
      <c r="BF49" s="51"/>
      <c r="BG49" s="51"/>
      <c r="BH49" s="51"/>
      <c r="BI49" s="54"/>
      <c r="BJ49" s="51"/>
      <c r="BK49" s="51"/>
      <c r="BL49" s="51"/>
      <c r="BM49" s="51"/>
      <c r="BN49" s="51"/>
      <c r="BO49" s="54"/>
      <c r="BP49" s="51"/>
      <c r="BQ49" s="51"/>
      <c r="BR49" s="51"/>
      <c r="BS49" s="51"/>
      <c r="BT49" s="51"/>
      <c r="BU49" s="54"/>
      <c r="BV49" s="51"/>
      <c r="BW49" s="51"/>
      <c r="BX49" s="51"/>
      <c r="BY49" s="51"/>
      <c r="BZ49" s="51"/>
      <c r="CA49" s="54"/>
      <c r="CB49" s="51"/>
      <c r="CC49" s="51"/>
      <c r="CD49" s="51"/>
      <c r="CE49" s="51"/>
      <c r="CF49" s="51"/>
      <c r="CG49" s="54"/>
      <c r="CH49" s="51"/>
      <c r="CI49" s="51"/>
      <c r="CJ49" s="51"/>
      <c r="CK49" s="51"/>
      <c r="CL49" s="51"/>
      <c r="CM49" s="54"/>
      <c r="CN49" s="51"/>
      <c r="CO49" s="51"/>
      <c r="CP49" s="51"/>
      <c r="CQ49" s="51"/>
      <c r="CR49" s="51"/>
      <c r="CS49" s="54"/>
      <c r="CT49" s="2911"/>
      <c r="CU49" s="31"/>
      <c r="CV49" s="63"/>
      <c r="CW49" s="63"/>
    </row>
    <row r="50" spans="1:101" outlineLevel="1">
      <c r="A50" s="41" t="s">
        <v>314</v>
      </c>
      <c r="B50" s="41"/>
      <c r="C50" s="1210"/>
      <c r="D50" s="1211">
        <f>IS!D32*4/AVERAGE(BS!D40,BS!C40)</f>
        <v>0.13406778281279672</v>
      </c>
      <c r="E50" s="1211">
        <f>IS!E32*4/AVERAGE(BS!E40,BS!D40)</f>
        <v>0.19079976253632261</v>
      </c>
      <c r="F50" s="1211">
        <f>IS!F32*4/AVERAGE(BS!F40,BS!E40)</f>
        <v>-4.4205769671567294E-2</v>
      </c>
      <c r="G50" s="1212"/>
      <c r="H50" s="1211"/>
      <c r="I50" s="1210">
        <f>IS!I32*4/AVERAGE(BS!I40,BS!G40)</f>
        <v>9.9614380244028827E-2</v>
      </c>
      <c r="J50" s="1211">
        <f>IS!J32*4/AVERAGE(BS!J40,BS!I40)</f>
        <v>0.10741153598538877</v>
      </c>
      <c r="K50" s="1211">
        <f>IS!K32*4/AVERAGE(BS!K40,BS!J40)</f>
        <v>-5.9954861330586917E-2</v>
      </c>
      <c r="L50" s="1211">
        <f>IS!L32*4/AVERAGE(BS!L40,BS!K40)</f>
        <v>0.1226712208412256</v>
      </c>
      <c r="M50" s="1212">
        <f>IS!M32/AVERAGE(BS!M40,BS!G40)</f>
        <v>6.2551476901054864E-2</v>
      </c>
      <c r="N50" s="1211"/>
      <c r="O50" s="1210">
        <f>IS!O32*4/AVERAGE(BS!O40,BS!M40)</f>
        <v>8.8328497867327674E-2</v>
      </c>
      <c r="P50" s="1211">
        <f>IS!P32*4/AVERAGE(BS!P40,BS!O40)</f>
        <v>0.11003774636116723</v>
      </c>
      <c r="Q50" s="1211">
        <f>IS!Q32*4/AVERAGE(BS!Q40,BS!P40)</f>
        <v>7.0353166551656729E-2</v>
      </c>
      <c r="R50" s="1211">
        <f>IS!R32*4/AVERAGE(BS!R40,BS!Q40)</f>
        <v>5.0172313284411137E-2</v>
      </c>
      <c r="S50" s="1212">
        <f>IS!S32/AVERAGE(BS!S40,BS!M40)</f>
        <v>8.4398812734843412E-2</v>
      </c>
      <c r="T50" s="1211"/>
      <c r="U50" s="1210">
        <f>IS!U32*4/AVERAGE(BS!U40,BS!S40)</f>
        <v>9.3942288259705672E-2</v>
      </c>
      <c r="V50" s="1211">
        <f>IS!V32*4/AVERAGE(BS!V40,BS!U40)</f>
        <v>0.12046350309815704</v>
      </c>
      <c r="W50" s="1211">
        <f>IS!W32*4/AVERAGE(BS!W40,BS!V40)</f>
        <v>0.13219827130071077</v>
      </c>
      <c r="X50" s="1211">
        <f>IS!X32*4/AVERAGE(BS!X40,BS!W40)</f>
        <v>0.13336825981136222</v>
      </c>
      <c r="Y50" s="1212">
        <f>IS!Y32/AVERAGE(BS!Y40,BS!S40)</f>
        <v>0.12114031416304104</v>
      </c>
      <c r="Z50" s="1211"/>
      <c r="AA50" s="1210">
        <f>IS!AA32*4/AVERAGE(BS!AA40,BS!Y40)</f>
        <v>8.5368899876696533E-2</v>
      </c>
      <c r="AB50" s="1211">
        <f>IS!AB32*4/AVERAGE(BS!AB40,BS!AA40)</f>
        <v>0.10972304963427135</v>
      </c>
      <c r="AC50" s="1211">
        <f>IS!AC32*4/AVERAGE(BS!AC40,BS!AB40)</f>
        <v>7.3148553164380042E-2</v>
      </c>
      <c r="AD50" s="1211">
        <f>IS!AD32*4/AVERAGE(BS!AD40,BS!AC40)</f>
        <v>4.4420124552588799E-2</v>
      </c>
      <c r="AE50" s="1212">
        <f>IS!AE32/AVERAGE(BS!AE40,BS!Y40)</f>
        <v>7.6227182133758994E-2</v>
      </c>
      <c r="AF50" s="1211"/>
      <c r="AG50" s="1210">
        <f>IS!AG32*4/AVERAGE(BS!AG40,BS!AE40)</f>
        <v>9.3771682487193461E-2</v>
      </c>
      <c r="AH50" s="1211">
        <f>IS!AH32*4/AVERAGE(BS!AH40,BS!AG40)</f>
        <v>7.9970781155553908E-2</v>
      </c>
      <c r="AI50" s="1211">
        <f>IS!AI32*4/AVERAGE(BS!AI40,BS!AH40)</f>
        <v>9.9036328384929442E-2</v>
      </c>
      <c r="AJ50" s="1211">
        <f>IS!AJ32*4/AVERAGE(BS!AJ40,BS!AI40)</f>
        <v>0.22639528179172272</v>
      </c>
      <c r="AK50" s="1212">
        <f>IS!AK32/AVERAGE(BS!AK40,BS!AE40)</f>
        <v>0.12637167076893774</v>
      </c>
      <c r="AL50" s="1213"/>
      <c r="AM50" s="1210">
        <f>IS!AM32*4/AVERAGE(BS!AM40,BS!AK40)</f>
        <v>-6.869504654791185E-2</v>
      </c>
      <c r="AN50" s="1211">
        <f>IS!AN32*4/AVERAGE(BS!AN40,BS!AM40)</f>
        <v>0.10628572825180098</v>
      </c>
      <c r="AO50" s="1211">
        <f>IS!AO32*4/AVERAGE(BS!AO40,BS!AN40)</f>
        <v>9.0789328916967449E-2</v>
      </c>
      <c r="AP50" s="1211">
        <f>IS!AP32*4/AVERAGE(BS!AP40,BS!AO40)</f>
        <v>0.22192645235044201</v>
      </c>
      <c r="AQ50" s="1212">
        <f>IS!AQ32/AVERAGE(BS!AQ40,BS!AK40)</f>
        <v>8.7880459347713422E-2</v>
      </c>
      <c r="AR50" s="1213"/>
      <c r="AS50" s="1460">
        <f>IS!AS32*4/AVERAGE(BS!AS40,BS!AQ40)</f>
        <v>0.15443983629537003</v>
      </c>
      <c r="AT50" s="1513">
        <f>IS!AT32*4/AVERAGE(BS!AT40,BS!AS40)</f>
        <v>0.14047969724748863</v>
      </c>
      <c r="AU50" s="1513">
        <f>IS!AU32*4/AVERAGE(BS!AU40,BS!AT40)</f>
        <v>0.31761856571549679</v>
      </c>
      <c r="AV50" s="1211">
        <f>IS!AV32*4/AVERAGE(BS!AV40,BS!AU40)</f>
        <v>0.44800521425693007</v>
      </c>
      <c r="AW50" s="1212">
        <f>IS!AW32/AVERAGE(BS!AW40,BS!AQ40)</f>
        <v>0.23588184245660859</v>
      </c>
      <c r="AX50" s="1213"/>
      <c r="AY50" s="1210">
        <f>IS!AY32*4/AVERAGE(BS!AY40,BS!AW40)</f>
        <v>0.35425148179399163</v>
      </c>
      <c r="AZ50" s="1513">
        <f>IS!AZ32*4/AVERAGE(BS!AZ40,BS!AY40)</f>
        <v>0.2393675828256619</v>
      </c>
      <c r="BA50" s="1513">
        <f>IS!BA32*4/AVERAGE(BS!BA40,BS!AZ40)</f>
        <v>0.25343018952793989</v>
      </c>
      <c r="BB50" s="1211">
        <f>IS!BB32*4/AVERAGE(BS!BB40,BS!BA40)</f>
        <v>0.22081624889039184</v>
      </c>
      <c r="BC50" s="1212">
        <f>IS!BC32/AVERAGE(BS!BC40,BS!AW40)</f>
        <v>0.27877382977521842</v>
      </c>
      <c r="BD50" s="1213"/>
      <c r="BE50" s="1210">
        <f>IS!BE32*4/AVERAGE(BS!BE40,BS!BC40)</f>
        <v>0.18665601295114012</v>
      </c>
      <c r="BF50" s="1513">
        <f>IS!BF32*4/AVERAGE(BS!BF40,BS!BE40)</f>
        <v>0.23803423872217611</v>
      </c>
      <c r="BG50" s="1513">
        <f>IS!BG32*4/AVERAGE(BS!BG40,BS!BF40)</f>
        <v>0.24001947895653511</v>
      </c>
      <c r="BH50" s="1211">
        <f>IS!BH32*4/AVERAGE(BS!BH40,BS!BG40)</f>
        <v>0.22312646032249697</v>
      </c>
      <c r="BI50" s="1212">
        <f>IS!BI32/AVERAGE(BS!BI40,BS!BC40)</f>
        <v>0.22870683590959692</v>
      </c>
      <c r="BJ50" s="1213"/>
      <c r="BK50" s="1210">
        <f>IS!BK32*4/AVERAGE(BS!BK40,BS!BI40)</f>
        <v>0.60822677255035507</v>
      </c>
      <c r="BL50" s="1513">
        <f>IS!BL32*4/AVERAGE(BS!BL40,BS!BK40)</f>
        <v>0.1933915685529814</v>
      </c>
      <c r="BM50" s="1513">
        <f>IS!BM32*4/AVERAGE(BS!BM40,BS!BL40)</f>
        <v>0.23471454219030524</v>
      </c>
      <c r="BN50" s="1211">
        <f>IS!BN32*4/AVERAGE(BS!BN40,BS!BM40)</f>
        <v>9.724482512491095E-2</v>
      </c>
      <c r="BO50" s="1212">
        <f>IS!BO32/AVERAGE(BS!BO40,BS!BI40)</f>
        <v>0.29106618395549427</v>
      </c>
      <c r="BP50" s="1213"/>
      <c r="BQ50" s="1210">
        <f>IS!BQ32*4/AVERAGE(BS!BQ40,BS!BO40)</f>
        <v>0.29613197467527164</v>
      </c>
      <c r="BR50" s="1211">
        <f>IS!BR32*4/AVERAGE(BS!BR40,BS!BQ40)</f>
        <v>0.21766615404093001</v>
      </c>
      <c r="BS50" s="1211">
        <f>IS!BS32*4/AVERAGE(BS!BS40,BS!BR40)</f>
        <v>0.22138555201617019</v>
      </c>
      <c r="BT50" s="1211">
        <f>IS!BT32*4/AVERAGE(BS!BT40,BS!BS40)</f>
        <v>0.22899870952079387</v>
      </c>
      <c r="BU50" s="1212">
        <f>IS!BU32/AVERAGE(BS!BU40,BS!BO40)</f>
        <v>0.24093133903884156</v>
      </c>
      <c r="BV50" s="1213"/>
      <c r="BW50" s="1210">
        <f>IS!BW32*4/AVERAGE(BS!BW40,BS!BU40)</f>
        <v>0.25784053798087575</v>
      </c>
      <c r="BX50" s="1211">
        <f>IS!BX32*4/AVERAGE(BS!BX40,BS!BW40)</f>
        <v>0.20303502596466855</v>
      </c>
      <c r="BY50" s="1211">
        <f>IS!BY32*4/AVERAGE(BS!BY40,BS!BX40)</f>
        <v>0.20573498653032446</v>
      </c>
      <c r="BZ50" s="1211">
        <f>IS!BZ32*4/AVERAGE(BS!BZ40,BS!BY40)</f>
        <v>0.2118226831438047</v>
      </c>
      <c r="CA50" s="1212">
        <f>IS!CA32/AVERAGE(BS!CA40,BS!BU40)</f>
        <v>0.21930195919932843</v>
      </c>
      <c r="CB50" s="1213"/>
      <c r="CC50" s="1210">
        <f>IS!CC32*4/AVERAGE(BS!CC40,BS!CA40)</f>
        <v>0.24858149143035688</v>
      </c>
      <c r="CD50" s="1211">
        <f>IS!CD32*4/AVERAGE(BS!CD40,BS!CC40)</f>
        <v>0.25413431615847176</v>
      </c>
      <c r="CE50" s="1211">
        <f>IS!CE32*4/AVERAGE(BS!CE40,BS!CD40)</f>
        <v>0.256415223422089</v>
      </c>
      <c r="CF50" s="1211">
        <f>IS!CF32*4/AVERAGE(BS!CF40,BS!CE40)</f>
        <v>0.25917013576787146</v>
      </c>
      <c r="CG50" s="1212">
        <f>IS!CG32/AVERAGE(BS!CG40,BS!CA40)</f>
        <v>0.25333696497635233</v>
      </c>
      <c r="CH50" s="1213"/>
      <c r="CI50" s="1210">
        <f>IS!CI32*4/AVERAGE(BS!CI40,BS!CG40)</f>
        <v>0.28815563099694308</v>
      </c>
      <c r="CJ50" s="1211">
        <f>IS!CJ32*4/AVERAGE(BS!CJ40,BS!CI40)</f>
        <v>0.18120723728483551</v>
      </c>
      <c r="CK50" s="1211">
        <f>IS!CK32*4/AVERAGE(BS!CK40,BS!CJ40)</f>
        <v>0.1823341357283364</v>
      </c>
      <c r="CL50" s="1211">
        <f>IS!CL32*4/AVERAGE(BS!CL40,BS!CK40)</f>
        <v>0.18663782505494614</v>
      </c>
      <c r="CM50" s="1212">
        <f>IS!CM32/AVERAGE(BS!CM40,BS!CG40)</f>
        <v>0.20912434560313295</v>
      </c>
      <c r="CN50" s="1213"/>
      <c r="CO50" s="1210">
        <f>IS!CO32*4/AVERAGE(BS!CO40,BS!CM40)</f>
        <v>0.21446198669463543</v>
      </c>
      <c r="CP50" s="1211">
        <f>IS!CP32*4/AVERAGE(BS!CP40,BS!CO40)</f>
        <v>0.17204864077197365</v>
      </c>
      <c r="CQ50" s="1211">
        <f>IS!CQ32*4/AVERAGE(BS!CQ40,BS!CP40)</f>
        <v>0.17311229152784721</v>
      </c>
      <c r="CR50" s="1211">
        <f>IS!CR32*4/AVERAGE(BS!CR40,BS!CQ40)</f>
        <v>0.17659239645579214</v>
      </c>
      <c r="CS50" s="1212">
        <f>IS!CS32/AVERAGE(BS!CS40,BS!CM40)</f>
        <v>0.18347895478614509</v>
      </c>
      <c r="CT50" s="1215"/>
      <c r="CU50" s="63"/>
      <c r="CV50" s="63"/>
      <c r="CW50" s="63"/>
    </row>
    <row r="51" spans="1:101" outlineLevel="1">
      <c r="A51" s="41" t="s">
        <v>315</v>
      </c>
      <c r="B51" s="41"/>
      <c r="C51" s="1214"/>
      <c r="D51" s="1215">
        <f>IS!D32*4/AVERAGE(BS!D24,BS!C24)</f>
        <v>4.8873293585973691E-2</v>
      </c>
      <c r="E51" s="1215">
        <f>IS!E32*4/AVERAGE(BS!E24,BS!D24)</f>
        <v>7.3257510656447269E-2</v>
      </c>
      <c r="F51" s="1215">
        <f>IS!F32*4/AVERAGE(BS!F24,BS!E24)</f>
        <v>-1.8020613579644625E-2</v>
      </c>
      <c r="G51" s="1216"/>
      <c r="H51" s="1215"/>
      <c r="I51" s="1214">
        <f>IS!I32*4/AVERAGE(BS!I24,BS!G24)</f>
        <v>4.4681421836625615E-2</v>
      </c>
      <c r="J51" s="1215">
        <f>IS!J32*4/AVERAGE(BS!J24,BS!I24)</f>
        <v>5.2515067902140396E-2</v>
      </c>
      <c r="K51" s="1215">
        <f>IS!K32*4/AVERAGE(BS!K24,BS!J24)</f>
        <v>-3.4249685748598081E-2</v>
      </c>
      <c r="L51" s="1215">
        <f>IS!L32*4/AVERAGE(BS!L24,BS!K24)</f>
        <v>7.6224920775541619E-2</v>
      </c>
      <c r="M51" s="1216">
        <f>IS!M32/AVERAGE(BS!M24,BS!G24)</f>
        <v>3.3335137548882961E-2</v>
      </c>
      <c r="N51" s="1215"/>
      <c r="O51" s="1214">
        <f>IS!O32*4/AVERAGE(BS!O24,BS!M24)</f>
        <v>5.4729476628104484E-2</v>
      </c>
      <c r="P51" s="1215">
        <f>IS!P32*4/AVERAGE(BS!P24,BS!O24)</f>
        <v>6.9306020413104658E-2</v>
      </c>
      <c r="Q51" s="1215">
        <f>IS!Q32*4/AVERAGE(BS!Q24,BS!P24)</f>
        <v>4.5253809023466998E-2</v>
      </c>
      <c r="R51" s="1215">
        <f>IS!R32*4/AVERAGE(BS!R24,BS!Q24)</f>
        <v>3.1511081542831491E-2</v>
      </c>
      <c r="S51" s="1216">
        <f>IS!S32/AVERAGE(BS!S24,BS!M24)</f>
        <v>5.1499855541626303E-2</v>
      </c>
      <c r="T51" s="1215"/>
      <c r="U51" s="1214">
        <f>IS!U32*4/AVERAGE(BS!U24,BS!S24)</f>
        <v>5.7804240195043009E-2</v>
      </c>
      <c r="V51" s="1215">
        <f>IS!V32*4/AVERAGE(BS!V24,BS!U24)</f>
        <v>7.5742208054663723E-2</v>
      </c>
      <c r="W51" s="1215">
        <f>IS!W32*4/AVERAGE(BS!W24,BS!V24)</f>
        <v>8.4219504821054045E-2</v>
      </c>
      <c r="X51" s="1215">
        <f>IS!X32*4/AVERAGE(BS!X24,BS!W24)</f>
        <v>8.6276987510149103E-2</v>
      </c>
      <c r="Y51" s="1216">
        <f>IS!Y32/AVERAGE(BS!Y24,BS!S24)</f>
        <v>7.640813080252673E-2</v>
      </c>
      <c r="Z51" s="1215"/>
      <c r="AA51" s="1214">
        <f>IS!AA32*4/AVERAGE(BS!AA24,BS!Y24)</f>
        <v>4.8733778836432283E-2</v>
      </c>
      <c r="AB51" s="1215">
        <f>IS!AB32*4/AVERAGE(BS!AB24,BS!AA24)</f>
        <v>5.592521691683016E-2</v>
      </c>
      <c r="AC51" s="1215">
        <f>IS!AC32*4/AVERAGE(BS!AC24,BS!AB24)</f>
        <v>3.6604530607657268E-2</v>
      </c>
      <c r="AD51" s="1215">
        <f>IS!AD32*4/AVERAGE(BS!AD24,BS!AC24)</f>
        <v>2.1589265603459709E-2</v>
      </c>
      <c r="AE51" s="1216">
        <f>IS!AE32/AVERAGE(BS!AE24,BS!Y24)</f>
        <v>4.2938790117257757E-2</v>
      </c>
      <c r="AF51" s="1215"/>
      <c r="AG51" s="1214">
        <f>IS!AG32*4/AVERAGE(BS!AG24,BS!AE24)</f>
        <v>4.6609153819368615E-2</v>
      </c>
      <c r="AH51" s="1215">
        <f>IS!AH32*4/AVERAGE(BS!AH24,BS!AG24)</f>
        <v>4.0257949530042858E-2</v>
      </c>
      <c r="AI51" s="1215">
        <f>IS!AI32*4/AVERAGE(BS!AI24,BS!AH24)</f>
        <v>4.971754150701499E-2</v>
      </c>
      <c r="AJ51" s="1215">
        <f>IS!AJ32*4/AVERAGE(BS!AJ24,BS!AI24)</f>
        <v>0.1149512756421376</v>
      </c>
      <c r="AK51" s="1216">
        <f>IS!AK32/AVERAGE(BS!AK24,BS!AE24)</f>
        <v>6.3526410012757481E-2</v>
      </c>
      <c r="AL51" s="1160"/>
      <c r="AM51" s="1214">
        <f>IS!AM32*4/AVERAGE(BS!AM24,BS!AK24)</f>
        <v>-3.4027629087995982E-2</v>
      </c>
      <c r="AN51" s="1215">
        <f>IS!AN32*4/AVERAGE(BS!AN24,BS!AM24)</f>
        <v>5.1553061668034764E-2</v>
      </c>
      <c r="AO51" s="1215">
        <f>IS!AO32*4/AVERAGE(BS!AO24,BS!AN24)</f>
        <v>4.4470933528668738E-2</v>
      </c>
      <c r="AP51" s="1215">
        <f>IS!AP32*4/AVERAGE(BS!AP24,BS!AO24)</f>
        <v>0.11055695493790849</v>
      </c>
      <c r="AQ51" s="1216">
        <f>IS!AQ32/AVERAGE(BS!AQ24,BS!AK24)</f>
        <v>4.4872321686432737E-2</v>
      </c>
      <c r="AR51" s="1160"/>
      <c r="AS51" s="1461">
        <f>IS!AS32*4/AVERAGE(BS!AS24,BS!AQ24)</f>
        <v>7.9013585009063705E-2</v>
      </c>
      <c r="AT51" s="1514">
        <f>IS!AT32*4/AVERAGE(BS!AT24,BS!AS24)</f>
        <v>6.1235500626167623E-2</v>
      </c>
      <c r="AU51" s="1514">
        <f>IS!AU32*4/AVERAGE(BS!AU24,BS!AT24)</f>
        <v>0.11846682720704882</v>
      </c>
      <c r="AV51" s="1215">
        <f>IS!AV32*4/AVERAGE(BS!AV24,BS!AU24)</f>
        <v>0.18529291857199459</v>
      </c>
      <c r="AW51" s="1216">
        <f>IS!AW32/AVERAGE(BS!AW24,BS!AQ24)</f>
        <v>0.11114032767353291</v>
      </c>
      <c r="AX51" s="1160"/>
      <c r="AY51" s="1214">
        <f>IS!AY32*4/AVERAGE(BS!AY24,BS!AW24)</f>
        <v>0.15986353027673408</v>
      </c>
      <c r="AZ51" s="1514">
        <f>IS!AZ32*4/AVERAGE(BS!AZ24,BS!AY24)</f>
        <v>0.11357279104853522</v>
      </c>
      <c r="BA51" s="1514">
        <f>IS!BA32*4/AVERAGE(BS!BA24,BS!AZ24)</f>
        <v>0.12712889218068343</v>
      </c>
      <c r="BB51" s="1215">
        <f>IS!BB32*4/AVERAGE(BS!BB24,BS!BA24)</f>
        <v>0.11262400969103102</v>
      </c>
      <c r="BC51" s="1216">
        <f>IS!BC32/AVERAGE(BS!BC24,BS!AW24)</f>
        <v>0.13136006313584256</v>
      </c>
      <c r="BD51" s="1160"/>
      <c r="BE51" s="1214">
        <f>IS!BE32*4/AVERAGE(BS!BE24,BS!BC24)</f>
        <v>9.5796364690121122E-2</v>
      </c>
      <c r="BF51" s="1514">
        <f>IS!BF32*4/AVERAGE(BS!BF24,BS!BE24)</f>
        <v>0.12383613093851542</v>
      </c>
      <c r="BG51" s="1514">
        <f>IS!BG32*4/AVERAGE(BS!BG24,BS!BF24)</f>
        <v>0.12554662369046227</v>
      </c>
      <c r="BH51" s="1215">
        <f>IS!BH32*4/AVERAGE(BS!BH24,BS!BG24)</f>
        <v>0.11636651522073356</v>
      </c>
      <c r="BI51" s="1216">
        <f>IS!BI32/AVERAGE(BS!BI24,BS!BC24)</f>
        <v>0.11612170002134709</v>
      </c>
      <c r="BJ51" s="1160"/>
      <c r="BK51" s="1214">
        <f>IS!BK32*4/AVERAGE(BS!BK24,BS!BI24)</f>
        <v>0.32527650755749787</v>
      </c>
      <c r="BL51" s="1514">
        <f>IS!BL32*4/AVERAGE(BS!BL24,BS!BK24)</f>
        <v>0.10769881556683587</v>
      </c>
      <c r="BM51" s="1514">
        <f>IS!BM32*4/AVERAGE(BS!BM24,BS!BL24)</f>
        <v>0.13200323101777062</v>
      </c>
      <c r="BN51" s="1215">
        <f>IS!BN32*4/AVERAGE(BS!BN24,BS!BM24)</f>
        <v>5.2893332039211975E-2</v>
      </c>
      <c r="BO51" s="1216">
        <f>IS!BO32/AVERAGE(BS!BO24,BS!BI24)</f>
        <v>0.1509478275457139</v>
      </c>
      <c r="BP51" s="1160"/>
      <c r="BQ51" s="1214">
        <f>IS!BQ32*4/AVERAGE(BS!BQ24,BS!BO24)</f>
        <v>0.15919456606744689</v>
      </c>
      <c r="BR51" s="1215">
        <f>IS!BR32*4/AVERAGE(BS!BR24,BS!BQ24)</f>
        <v>0.12027504505914273</v>
      </c>
      <c r="BS51" s="1215">
        <f>IS!BS32*4/AVERAGE(BS!BS24,BS!BR24)</f>
        <v>0.1229857055634208</v>
      </c>
      <c r="BT51" s="1215">
        <f>IS!BT32*4/AVERAGE(BS!BT24,BS!BS24)</f>
        <v>0.12842193494464385</v>
      </c>
      <c r="BU51" s="1216">
        <f>IS!BU32/AVERAGE(BS!BU24,BS!BO24)</f>
        <v>0.13098046207678296</v>
      </c>
      <c r="BV51" s="1160"/>
      <c r="BW51" s="1214">
        <f>IS!BW32*4/AVERAGE(BS!BW24,BS!BU24)</f>
        <v>0.14697654521911432</v>
      </c>
      <c r="BX51" s="1215">
        <f>IS!BX32*4/AVERAGE(BS!BX24,BS!BW24)</f>
        <v>0.11728553597464857</v>
      </c>
      <c r="BY51" s="1215">
        <f>IS!BY32*4/AVERAGE(BS!BY24,BS!BX24)</f>
        <v>0.11970948245686769</v>
      </c>
      <c r="BZ51" s="1215">
        <f>IS!BZ32*4/AVERAGE(BS!BZ24,BS!BY24)</f>
        <v>0.12450735921256213</v>
      </c>
      <c r="CA51" s="1216">
        <f>IS!CA32/AVERAGE(BS!CA24,BS!BU24)</f>
        <v>0.12663623601607801</v>
      </c>
      <c r="CB51" s="1160"/>
      <c r="CC51" s="1214">
        <f>IS!CC32*4/AVERAGE(BS!CC24,BS!CA24)</f>
        <v>0.14834310389076305</v>
      </c>
      <c r="CD51" s="1215">
        <f>IS!CD32*4/AVERAGE(BS!CD24,BS!CC24)</f>
        <v>0.15402668203883496</v>
      </c>
      <c r="CE51" s="1215">
        <f>IS!CE32*4/AVERAGE(BS!CE24,BS!CD24)</f>
        <v>0.15758852122951397</v>
      </c>
      <c r="CF51" s="1215">
        <f>IS!CF32*4/AVERAGE(BS!CF24,BS!CE24)</f>
        <v>0.16186143460833771</v>
      </c>
      <c r="CG51" s="1216">
        <f>IS!CG32/AVERAGE(BS!CG24,BS!CA24)</f>
        <v>0.15480199146400916</v>
      </c>
      <c r="CH51" s="1160"/>
      <c r="CI51" s="1214">
        <f>IS!CI32*4/AVERAGE(BS!CI24,BS!CG24)</f>
        <v>0.18360877273201057</v>
      </c>
      <c r="CJ51" s="1215">
        <f>IS!CJ32*4/AVERAGE(BS!CJ24,BS!CI24)</f>
        <v>0.11719515879159614</v>
      </c>
      <c r="CK51" s="1215">
        <f>IS!CK32*4/AVERAGE(BS!CK24,BS!CJ24)</f>
        <v>0.11893101444577311</v>
      </c>
      <c r="CL51" s="1215">
        <f>IS!CL32*4/AVERAGE(BS!CL24,BS!CK24)</f>
        <v>0.12299564044915756</v>
      </c>
      <c r="CM51" s="1216">
        <f>IS!CM32/AVERAGE(BS!CM24,BS!CG24)</f>
        <v>0.13520880875923097</v>
      </c>
      <c r="CN51" s="1160"/>
      <c r="CO51" s="1214">
        <f>IS!CO32*4/AVERAGE(BS!CO24,BS!CM24)</f>
        <v>0.14338622522320593</v>
      </c>
      <c r="CP51" s="1215">
        <f>IS!CP32*4/AVERAGE(BS!CP24,BS!CO24)</f>
        <v>0.11648623566886711</v>
      </c>
      <c r="CQ51" s="1215">
        <f>IS!CQ32*4/AVERAGE(BS!CQ24,BS!CP24)</f>
        <v>0.11823231608909993</v>
      </c>
      <c r="CR51" s="1215">
        <f>IS!CR32*4/AVERAGE(BS!CR24,BS!CQ24)</f>
        <v>0.121845962087757</v>
      </c>
      <c r="CS51" s="1216">
        <f>IS!CS32/AVERAGE(BS!CS24,BS!CM24)</f>
        <v>0.12449160938132878</v>
      </c>
      <c r="CT51" s="1215"/>
      <c r="CU51" s="63"/>
      <c r="CV51" s="63"/>
      <c r="CW51" s="63"/>
    </row>
    <row r="52" spans="1:101" outlineLevel="1">
      <c r="A52" s="2909" t="s">
        <v>869</v>
      </c>
      <c r="B52" s="2909" t="s">
        <v>16</v>
      </c>
      <c r="C52" s="1217">
        <f t="shared" ref="C52:I52" si="48">C181</f>
        <v>0.15048604493549031</v>
      </c>
      <c r="D52" s="1218">
        <f>D181</f>
        <v>0.29272139597668262</v>
      </c>
      <c r="E52" s="1218">
        <f t="shared" ref="E52:G52" si="49">E181</f>
        <v>0.27995687012584197</v>
      </c>
      <c r="F52" s="1218">
        <f t="shared" si="49"/>
        <v>0.44700995117403791</v>
      </c>
      <c r="G52" s="1219">
        <f t="shared" si="49"/>
        <v>0.29114607921576535</v>
      </c>
      <c r="H52" s="1220"/>
      <c r="I52" s="1217">
        <f t="shared" si="48"/>
        <v>0.17121768893343953</v>
      </c>
      <c r="J52" s="1218">
        <f>J181</f>
        <v>0.24128139163886911</v>
      </c>
      <c r="K52" s="1218">
        <f t="shared" ref="K52:M52" si="50">K181</f>
        <v>0.21724580695166154</v>
      </c>
      <c r="L52" s="1218">
        <f t="shared" si="50"/>
        <v>0.3957775247926909</v>
      </c>
      <c r="M52" s="1219">
        <f t="shared" si="50"/>
        <v>0.25793144210639768</v>
      </c>
      <c r="N52" s="1221"/>
      <c r="O52" s="1217">
        <f t="shared" ref="O52" si="51">O181</f>
        <v>0.38271388945302642</v>
      </c>
      <c r="P52" s="1218">
        <f>P181</f>
        <v>0.37383771628428031</v>
      </c>
      <c r="Q52" s="1218">
        <f t="shared" ref="Q52:S52" si="52">Q181</f>
        <v>0.26189604428528024</v>
      </c>
      <c r="R52" s="1218">
        <f t="shared" si="52"/>
        <v>0.33792290906668382</v>
      </c>
      <c r="S52" s="1219">
        <f t="shared" si="52"/>
        <v>0.33653538951355216</v>
      </c>
      <c r="T52" s="1221"/>
      <c r="U52" s="1217">
        <f t="shared" ref="U52" si="53">U181</f>
        <v>0.3235780513612298</v>
      </c>
      <c r="V52" s="1218">
        <f>V181</f>
        <v>0.39171167169987064</v>
      </c>
      <c r="W52" s="1218">
        <f t="shared" ref="W52:Y52" si="54">W181</f>
        <v>0.39876752060453563</v>
      </c>
      <c r="X52" s="1218">
        <f t="shared" si="54"/>
        <v>0.41980585825305627</v>
      </c>
      <c r="Y52" s="1219">
        <f t="shared" si="54"/>
        <v>0.38565435471671849</v>
      </c>
      <c r="Z52" s="1221"/>
      <c r="AA52" s="1217">
        <f t="shared" ref="AA52" si="55">AA181</f>
        <v>0.48318869861270042</v>
      </c>
      <c r="AB52" s="1218">
        <f>AB181</f>
        <v>0.49641757744002901</v>
      </c>
      <c r="AC52" s="1218">
        <f t="shared" ref="AC52:AE52" si="56">AC181</f>
        <v>0.30207504616433978</v>
      </c>
      <c r="AD52" s="1218">
        <f t="shared" si="56"/>
        <v>0.42156336337600114</v>
      </c>
      <c r="AE52" s="1219">
        <f t="shared" si="56"/>
        <v>0.42823689336164067</v>
      </c>
      <c r="AF52" s="1221"/>
      <c r="AG52" s="1217">
        <f t="shared" ref="AG52:AM52" si="57">AG181</f>
        <v>0.47281026431239814</v>
      </c>
      <c r="AH52" s="1218">
        <f>AH181</f>
        <v>0.53693017624083417</v>
      </c>
      <c r="AI52" s="1218">
        <f t="shared" ref="AI52:AK52" si="58">AI181</f>
        <v>0.42009222807177754</v>
      </c>
      <c r="AJ52" s="1218">
        <f t="shared" si="58"/>
        <v>0.43803088214959268</v>
      </c>
      <c r="AK52" s="1219">
        <f t="shared" si="58"/>
        <v>0.46257676988996227</v>
      </c>
      <c r="AL52" s="1221"/>
      <c r="AM52" s="1217">
        <f t="shared" si="57"/>
        <v>0.41198089432054402</v>
      </c>
      <c r="AN52" s="1218">
        <f>AN181</f>
        <v>0.39409707950544909</v>
      </c>
      <c r="AO52" s="1218">
        <f t="shared" ref="AO52:AQ52" si="59">AO181</f>
        <v>0.41257231766662766</v>
      </c>
      <c r="AP52" s="1218">
        <f t="shared" si="59"/>
        <v>0.35989047887557779</v>
      </c>
      <c r="AQ52" s="1219">
        <f t="shared" si="59"/>
        <v>0.39315853652663102</v>
      </c>
      <c r="AR52" s="1221"/>
      <c r="AS52" s="1217">
        <f t="shared" ref="AS52" si="60">AS181</f>
        <v>0.40020493128506213</v>
      </c>
      <c r="AT52" s="1218">
        <f>AT181</f>
        <v>0.45185695108747709</v>
      </c>
      <c r="AU52" s="1218">
        <f t="shared" ref="AU52:AW52" si="61">AU181</f>
        <v>0.78571150219934516</v>
      </c>
      <c r="AV52" s="1218">
        <f t="shared" si="61"/>
        <v>0.67491672220120724</v>
      </c>
      <c r="AW52" s="1219">
        <f t="shared" si="61"/>
        <v>0.56415787343413137</v>
      </c>
      <c r="AX52" s="1221"/>
      <c r="AY52" s="1217">
        <f t="shared" ref="AY52" si="62">AY181</f>
        <v>0.60822912535371432</v>
      </c>
      <c r="AZ52" s="1218">
        <f>AZ181</f>
        <v>0.51739637969237273</v>
      </c>
      <c r="BA52" s="1218">
        <f t="shared" ref="BA52:BC52" si="63">BA181</f>
        <v>0.51149771786878018</v>
      </c>
      <c r="BB52" s="1218">
        <f t="shared" si="63"/>
        <v>0.54171539315602224</v>
      </c>
      <c r="BC52" s="1219">
        <f t="shared" si="63"/>
        <v>0.54418765801769176</v>
      </c>
      <c r="BD52" s="1221"/>
      <c r="BE52" s="1217">
        <f t="shared" ref="BE52" si="64">BE181</f>
        <v>0.40818128135909187</v>
      </c>
      <c r="BF52" s="1218">
        <f>BF181</f>
        <v>0.47780000551416862</v>
      </c>
      <c r="BG52" s="1218">
        <f t="shared" ref="BG52:BI52" si="65">BG181</f>
        <v>0.47509622242511584</v>
      </c>
      <c r="BH52" s="1218">
        <f t="shared" si="65"/>
        <v>0.39741359848894126</v>
      </c>
      <c r="BI52" s="1219">
        <f t="shared" si="65"/>
        <v>0.43955384283227383</v>
      </c>
      <c r="BJ52" s="1221"/>
      <c r="BK52" s="1217">
        <f t="shared" ref="BK52" si="66">BK181</f>
        <v>0.25280898876404495</v>
      </c>
      <c r="BL52" s="1218">
        <f>BL181</f>
        <v>0.31124469589816123</v>
      </c>
      <c r="BM52" s="1218">
        <f>BM181</f>
        <v>0.41311955142154771</v>
      </c>
      <c r="BN52" s="1218">
        <f t="shared" ref="BN52:BO52" si="67">BN181</f>
        <v>0.5280927472286836</v>
      </c>
      <c r="BO52" s="1219">
        <f t="shared" si="67"/>
        <v>0.38290779298955785</v>
      </c>
      <c r="BP52" s="1221"/>
      <c r="BQ52" s="1217">
        <f t="shared" ref="BQ52" si="68">BQ181</f>
        <v>0.46432362819050732</v>
      </c>
      <c r="BR52" s="1218">
        <f>BR181</f>
        <v>0.35785610869680329</v>
      </c>
      <c r="BS52" s="1218">
        <f t="shared" ref="BS52:BU52" si="69">BS181</f>
        <v>0.36243263523728003</v>
      </c>
      <c r="BT52" s="1218">
        <f t="shared" si="69"/>
        <v>0.37332325026199514</v>
      </c>
      <c r="BU52" s="1219">
        <f t="shared" si="69"/>
        <v>0.38947339088315103</v>
      </c>
      <c r="BV52" s="1221"/>
      <c r="BW52" s="1217">
        <f t="shared" ref="BW52" si="70">BW181</f>
        <v>0.40669596748743253</v>
      </c>
      <c r="BX52" s="1218">
        <f>BX181</f>
        <v>0.33864013177201319</v>
      </c>
      <c r="BY52" s="1218">
        <f t="shared" ref="BY52:CA52" si="71">BY181</f>
        <v>0.34369062988723509</v>
      </c>
      <c r="BZ52" s="1218">
        <f t="shared" si="71"/>
        <v>0.35369753116785269</v>
      </c>
      <c r="CA52" s="1219">
        <f t="shared" si="71"/>
        <v>0.36081732556972329</v>
      </c>
      <c r="CB52" s="1221"/>
      <c r="CC52" s="1217">
        <f t="shared" ref="CC52" si="72">CC181</f>
        <v>0.39603872690514519</v>
      </c>
      <c r="CD52" s="1218">
        <f>CD181</f>
        <v>0.33047132867302831</v>
      </c>
      <c r="CE52" s="1218">
        <f t="shared" ref="CE52:CG52" si="73">CE181</f>
        <v>0.33679673775388763</v>
      </c>
      <c r="CF52" s="1218">
        <f t="shared" si="73"/>
        <v>0.34789797410256285</v>
      </c>
      <c r="CG52" s="1219">
        <f t="shared" si="73"/>
        <v>0.35298200119628759</v>
      </c>
      <c r="CH52" s="1221"/>
      <c r="CI52" s="1217">
        <f t="shared" ref="CI52" si="74">CI181</f>
        <v>0.38997195074596369</v>
      </c>
      <c r="CJ52" s="1218">
        <f>CJ181</f>
        <v>0.32557441351032401</v>
      </c>
      <c r="CK52" s="1218">
        <f t="shared" ref="CK52:CM52" si="75">CK181</f>
        <v>0.33206548702876471</v>
      </c>
      <c r="CL52" s="1218">
        <f t="shared" si="75"/>
        <v>0.34393804725357774</v>
      </c>
      <c r="CM52" s="1219">
        <f t="shared" si="75"/>
        <v>0.34806850492398655</v>
      </c>
      <c r="CN52" s="1221"/>
      <c r="CO52" s="1217">
        <f t="shared" ref="CO52" si="76">CO181</f>
        <v>0.38583379847464983</v>
      </c>
      <c r="CP52" s="1218">
        <f>CP181</f>
        <v>0.3250484029068928</v>
      </c>
      <c r="CQ52" s="1218">
        <f t="shared" ref="CQ52:CS52" si="77">CQ181</f>
        <v>0.33301468960290498</v>
      </c>
      <c r="CR52" s="1218">
        <f t="shared" si="77"/>
        <v>0.3452364545137368</v>
      </c>
      <c r="CS52" s="1219">
        <f t="shared" si="77"/>
        <v>0.34745332827099873</v>
      </c>
      <c r="CT52" s="1215"/>
      <c r="CU52" s="63"/>
      <c r="CV52" s="63"/>
      <c r="CW52" s="63"/>
    </row>
    <row r="53" spans="1:101" outlineLevel="1">
      <c r="A53" s="252"/>
      <c r="B53" s="252"/>
      <c r="C53" s="1158"/>
      <c r="D53" s="1158"/>
      <c r="E53" s="1158"/>
      <c r="F53" s="1158"/>
      <c r="G53" s="1201"/>
      <c r="H53" s="1201"/>
      <c r="I53" s="1158"/>
      <c r="J53" s="1158"/>
      <c r="K53" s="1158"/>
      <c r="L53" s="1158"/>
      <c r="M53" s="1158"/>
      <c r="N53" s="1158"/>
      <c r="O53" s="1158"/>
      <c r="P53" s="1158"/>
      <c r="Q53" s="1158"/>
      <c r="R53" s="1158"/>
      <c r="S53" s="1158"/>
      <c r="T53" s="1158"/>
      <c r="U53" s="1158"/>
      <c r="V53" s="1158"/>
      <c r="W53" s="1158"/>
      <c r="X53" s="1158"/>
      <c r="Y53" s="1158"/>
      <c r="Z53" s="1158"/>
      <c r="AA53" s="1158"/>
      <c r="AB53" s="1158"/>
      <c r="AC53" s="1158"/>
      <c r="AD53" s="1158"/>
      <c r="AE53" s="1158"/>
      <c r="AF53" s="1158"/>
      <c r="AG53" s="1158"/>
      <c r="AH53" s="1158"/>
      <c r="AI53" s="1158"/>
      <c r="AJ53" s="1158"/>
      <c r="AK53" s="1158"/>
      <c r="AL53" s="1158"/>
      <c r="AM53" s="1158"/>
      <c r="AN53" s="1158"/>
      <c r="AO53" s="1158"/>
      <c r="AP53" s="1158"/>
      <c r="AQ53" s="1158"/>
      <c r="AR53" s="1160"/>
      <c r="AS53" s="1462"/>
      <c r="AT53" s="1459"/>
      <c r="AU53" s="1459"/>
      <c r="AV53" s="1160"/>
      <c r="AW53" s="1160"/>
      <c r="AX53" s="1160"/>
      <c r="AY53" s="1160"/>
      <c r="AZ53" s="1459"/>
      <c r="BA53" s="1459"/>
      <c r="BB53" s="1160"/>
      <c r="BC53" s="1160"/>
      <c r="BD53" s="1160"/>
      <c r="BE53" s="1160"/>
      <c r="BF53" s="1160"/>
      <c r="BG53" s="1160"/>
      <c r="BH53" s="1160"/>
      <c r="BI53" s="1160"/>
      <c r="BJ53" s="1160"/>
      <c r="BK53" s="1160"/>
      <c r="BL53" s="1160"/>
      <c r="BM53" s="1160"/>
      <c r="BN53" s="1160"/>
      <c r="BO53" s="1160"/>
      <c r="BP53" s="1160"/>
      <c r="BQ53" s="1160"/>
      <c r="BR53" s="1160"/>
      <c r="BS53" s="1160"/>
      <c r="BT53" s="1160"/>
      <c r="BU53" s="1160"/>
      <c r="BV53" s="1160"/>
      <c r="BW53" s="1160"/>
      <c r="BX53" s="1160"/>
      <c r="BY53" s="1160"/>
      <c r="BZ53" s="1160"/>
      <c r="CA53" s="1160"/>
      <c r="CB53" s="1160"/>
      <c r="CC53" s="1160"/>
      <c r="CD53" s="1160"/>
      <c r="CE53" s="1160"/>
      <c r="CF53" s="1160"/>
      <c r="CG53" s="1160"/>
      <c r="CH53" s="1160"/>
      <c r="CI53" s="1160"/>
      <c r="CJ53" s="1160"/>
      <c r="CK53" s="1160"/>
      <c r="CL53" s="1160"/>
      <c r="CM53" s="1160"/>
      <c r="CN53" s="1160"/>
      <c r="CO53" s="1160"/>
      <c r="CP53" s="1160"/>
      <c r="CQ53" s="1160"/>
      <c r="CR53" s="1160"/>
      <c r="CS53" s="1160"/>
      <c r="CT53" s="1160"/>
      <c r="CU53" s="63"/>
      <c r="CV53" s="63"/>
      <c r="CW53" s="63"/>
    </row>
    <row r="54" spans="1:101">
      <c r="A54" s="50" t="s">
        <v>317</v>
      </c>
      <c r="B54" s="111"/>
      <c r="C54" s="51"/>
      <c r="D54" s="51"/>
      <c r="E54" s="51"/>
      <c r="F54" s="51"/>
      <c r="G54" s="53"/>
      <c r="H54" s="53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2"/>
      <c r="AD54" s="52"/>
      <c r="AE54" s="51"/>
      <c r="AF54" s="51"/>
      <c r="AG54" s="51"/>
      <c r="AH54" s="51"/>
      <c r="AI54" s="51"/>
      <c r="AJ54" s="52"/>
      <c r="AK54" s="51"/>
      <c r="AL54" s="51"/>
      <c r="AM54" s="51"/>
      <c r="AN54" s="51"/>
      <c r="AO54" s="51"/>
      <c r="AP54" s="52"/>
      <c r="AQ54" s="51"/>
      <c r="AR54" s="51"/>
      <c r="AS54" s="51"/>
      <c r="AT54" s="51"/>
      <c r="AU54" s="51"/>
      <c r="AV54" s="51"/>
      <c r="AW54" s="54"/>
      <c r="AX54" s="51"/>
      <c r="AY54" s="51"/>
      <c r="AZ54" s="51"/>
      <c r="BA54" s="51"/>
      <c r="BB54" s="51"/>
      <c r="BC54" s="54"/>
      <c r="BD54" s="51"/>
      <c r="BE54" s="51"/>
      <c r="BF54" s="51"/>
      <c r="BG54" s="51"/>
      <c r="BH54" s="51"/>
      <c r="BI54" s="54"/>
      <c r="BJ54" s="51"/>
      <c r="BK54" s="51"/>
      <c r="BL54" s="51"/>
      <c r="BM54" s="51"/>
      <c r="BN54" s="51"/>
      <c r="BO54" s="54"/>
      <c r="BP54" s="51"/>
      <c r="BQ54" s="51"/>
      <c r="BR54" s="51"/>
      <c r="BS54" s="51"/>
      <c r="BT54" s="51"/>
      <c r="BU54" s="54"/>
      <c r="BV54" s="51"/>
      <c r="BW54" s="51"/>
      <c r="BX54" s="51"/>
      <c r="BY54" s="51"/>
      <c r="BZ54" s="51"/>
      <c r="CA54" s="54"/>
      <c r="CB54" s="51"/>
      <c r="CC54" s="51"/>
      <c r="CD54" s="51"/>
      <c r="CE54" s="51"/>
      <c r="CF54" s="51"/>
      <c r="CG54" s="54"/>
      <c r="CH54" s="51"/>
      <c r="CI54" s="51"/>
      <c r="CJ54" s="51"/>
      <c r="CK54" s="51"/>
      <c r="CL54" s="51"/>
      <c r="CM54" s="54"/>
      <c r="CN54" s="51"/>
      <c r="CO54" s="51"/>
      <c r="CP54" s="51"/>
      <c r="CQ54" s="51"/>
      <c r="CR54" s="51"/>
      <c r="CS54" s="54"/>
      <c r="CT54" s="2911"/>
      <c r="CU54" s="31"/>
      <c r="CV54" s="63"/>
      <c r="CW54" s="63"/>
    </row>
    <row r="55" spans="1:101">
      <c r="A55" s="253" t="s">
        <v>318</v>
      </c>
      <c r="B55" s="253"/>
      <c r="C55" s="1222"/>
      <c r="D55" s="1223"/>
      <c r="E55" s="1223"/>
      <c r="F55" s="1223"/>
      <c r="G55" s="1224"/>
      <c r="H55" s="1223"/>
      <c r="I55" s="1222"/>
      <c r="J55" s="1223"/>
      <c r="K55" s="1223"/>
      <c r="L55" s="1223"/>
      <c r="M55" s="1224"/>
      <c r="N55" s="1223"/>
      <c r="O55" s="1222"/>
      <c r="P55" s="1223"/>
      <c r="Q55" s="1223"/>
      <c r="R55" s="1223"/>
      <c r="S55" s="1224"/>
      <c r="T55" s="1223"/>
      <c r="U55" s="1222"/>
      <c r="V55" s="1223"/>
      <c r="W55" s="1223"/>
      <c r="X55" s="1223"/>
      <c r="Y55" s="1224"/>
      <c r="Z55" s="1223"/>
      <c r="AA55" s="1222" t="str">
        <f>+IF(OR(IS!AA24&lt;0,Debt!AA56=0),"NM",((IS!AA24/-Debt!AA56)))</f>
        <v>NM</v>
      </c>
      <c r="AB55" s="1223" t="str">
        <f>+IF(OR(IS!AB24&lt;0,Debt!AB56=0),"NM",((IS!AB24/-Debt!AB56)))</f>
        <v>NM</v>
      </c>
      <c r="AC55" s="1223" t="str">
        <f>+IF(OR(IS!AC24&lt;0,Debt!AC56=0),"NM",((IS!AC24/-Debt!AC56)))</f>
        <v>NM</v>
      </c>
      <c r="AD55" s="1223">
        <f>+IF(OR(IS!AD24&lt;0,Debt!AD56=0),"NM",((IS!AD24/-Debt!AD56)))</f>
        <v>-127.0936110260336</v>
      </c>
      <c r="AE55" s="1224" t="str">
        <f>+IF(OR(IS!AE24&lt;0,Debt!AE56=0),"NM",((IS!AE24/-Debt!AE56)))</f>
        <v>NM</v>
      </c>
      <c r="AF55" s="1223"/>
      <c r="AG55" s="1222">
        <f>+IF(OR(IS!AG24&lt;0,Debt!AG56=0),"NM",((IS!AG24/-Debt!AG56)))</f>
        <v>132.77814395099537</v>
      </c>
      <c r="AH55" s="1223">
        <f>+IF(OR(IS!AH24&lt;0,Debt!AH56=0),"NM",((IS!AH24/-Debt!AH56)))</f>
        <v>141.79498928024492</v>
      </c>
      <c r="AI55" s="1223">
        <f>+IF(OR(IS!AI24&lt;0,Debt!AI56=0),"NM",((IS!AI24/-Debt!AI56)))</f>
        <v>140.11236753445638</v>
      </c>
      <c r="AJ55" s="1223">
        <f>+IF(OR(IS!AJ24&lt;0,Debt!AJ56=0),"NM",((IS!AJ24/-Debt!AJ56)))</f>
        <v>-142.58533537519142</v>
      </c>
      <c r="AK55" s="1224">
        <f>+IF(OR(IS!AK24&lt;0,Debt!AK56=0),"NM",((IS!AK24/-Debt!AK56)))</f>
        <v>278.63541807044413</v>
      </c>
      <c r="AL55" s="1213"/>
      <c r="AM55" s="1222">
        <f>+IF(OR(IS!AM24&lt;0,Debt!AM56=0),"NM",((IS!AM24/-Debt!AM56)))</f>
        <v>153.05585298621747</v>
      </c>
      <c r="AN55" s="1223">
        <f>+IF(OR(IS!AN24&lt;0,Debt!AN56=0),"NM",((IS!AN24/-Debt!AN56)))</f>
        <v>157.24694951997523</v>
      </c>
      <c r="AO55" s="1223">
        <f>+IF(OR(IS!AO24&lt;0,Debt!AO56=0),"NM",((IS!AO24/-Debt!AO56)))</f>
        <v>163.12611939830188</v>
      </c>
      <c r="AP55" s="1223">
        <f>+IF(OR(IS!AP24&lt;0,Debt!AP56=0),"NM",((IS!AP24/-Debt!AP56)))</f>
        <v>175.29556458204956</v>
      </c>
      <c r="AQ55" s="1224">
        <f>+IF(OR(IS!AQ24&lt;0,Debt!AQ56=0),"NM",((IS!AQ24/-Debt!AQ56)))</f>
        <v>162.10330484055814</v>
      </c>
      <c r="AR55" s="1213"/>
      <c r="AS55" s="1463">
        <f>+IF(OR(IS!AS24&lt;0,Debt!AS56=0),"NM",((IS!AS24/-Debt!AS56)))</f>
        <v>214.25792546729883</v>
      </c>
      <c r="AT55" s="1515">
        <f>+IF(OR(IS!AT24&lt;0,Debt!AT56=0),"NM",((IS!AT24/-Debt!AT56)))</f>
        <v>348.6916129032258</v>
      </c>
      <c r="AU55" s="1515">
        <f>+IF(OR(IS!AU24&lt;0,Debt!AU56=0),"NM",((IS!AU24/-Debt!AU56)))</f>
        <v>803.56500000000005</v>
      </c>
      <c r="AV55" s="1223">
        <f>+IF(OR(IS!AV24&lt;0,Debt!AV56=0),"NM",((IS!AV24/-Debt!AV56)))</f>
        <v>202.6863468634686</v>
      </c>
      <c r="AW55" s="1224">
        <f>+IF(OR(IS!AW24&lt;0,Debt!AW56=0),"NM",((IS!AW24/-Debt!AW56)))</f>
        <v>293.05577785721675</v>
      </c>
      <c r="AX55" s="1213"/>
      <c r="AY55" s="1222">
        <f>+IF(OR(IS!AY24&lt;0,Debt!AY56=0),"NM",((IS!AY24/-Debt!AY56)))</f>
        <v>232.1228044280443</v>
      </c>
      <c r="AZ55" s="1515">
        <f>+IF(OR(IS!AZ24&lt;0,Debt!AZ56=0),"NM",((IS!AZ24/-Debt!AZ56)))</f>
        <v>942.18619379353947</v>
      </c>
      <c r="BA55" s="1515">
        <f>+IF(OR(IS!BA24&lt;0,Debt!BA56=0),"NM",((IS!BA24/-Debt!BA56)))</f>
        <v>1418.2049062049059</v>
      </c>
      <c r="BB55" s="1223">
        <f>+IF(OR(IS!BB24&lt;0,Debt!BB56=0),"NM",((IS!BB24/-Debt!BB56)))</f>
        <v>258.50202249188783</v>
      </c>
      <c r="BC55" s="1224">
        <f>+IF(OR(IS!BC24&lt;0,Debt!BC56=0),"NM",((IS!BC24/-Debt!BC56)))</f>
        <v>398.75800302974795</v>
      </c>
      <c r="BD55" s="1213"/>
      <c r="BE55" s="1222">
        <f>+IF(OR(IS!BE24&lt;0,Debt!BE56=0),"NM",((IS!BE24/-Debt!BE56)))</f>
        <v>234.50309951060379</v>
      </c>
      <c r="BF55" s="1515">
        <f>+IF(OR(IS!BF24&lt;0,Debt!BF56=0),"NM",((IS!BF24/-Debt!BF56)))</f>
        <v>286.36444444444447</v>
      </c>
      <c r="BG55" s="1515">
        <f>+IF(OR(IS!BG24&lt;0,Debt!BG56=0),"NM",((IS!BG24/-Debt!BG56)))</f>
        <v>304.85797101449282</v>
      </c>
      <c r="BH55" s="1223">
        <f>+IF(OR(IS!BH24&lt;0,Debt!BH56=0),"NM",((IS!BH24/-Debt!BH56)))</f>
        <v>278.45565217391311</v>
      </c>
      <c r="BI55" s="1224">
        <f>+IF(OR(IS!BI24&lt;0,Debt!BI56=0),"NM",((IS!BI24/-Debt!BI56)))</f>
        <v>275.66991801807211</v>
      </c>
      <c r="BJ55" s="1213"/>
      <c r="BK55" s="1222">
        <f>+IF(OR(IS!BK24&lt;0,Debt!BK56=0),"NM",((IS!BK24/-Debt!BK56)))</f>
        <v>202.60995650072496</v>
      </c>
      <c r="BL55" s="1515">
        <f>+IF(OR(IS!BL24&lt;0,Debt!BL56=0),"NM",((IS!BL24/-Debt!BL56)))</f>
        <v>267.2340425531915</v>
      </c>
      <c r="BM55" s="1515">
        <f>+IF(OR(IS!BM24&lt;0,Debt!BM56=0),"NM",((IS!BM24/-Debt!BM56)))</f>
        <v>341.38491295938104</v>
      </c>
      <c r="BN55" s="1223">
        <f>+IF(OR(IS!BN24&lt;0,Debt!BN56=0),"NM",((IS!BN24/-Debt!BN56)))</f>
        <v>422.62282398452629</v>
      </c>
      <c r="BO55" s="1224">
        <f>+IF(OR(IS!BO24&lt;0,Debt!BO56=0),"NM",((IS!BO24/-Debt!BO56)))</f>
        <v>308.45013900640646</v>
      </c>
      <c r="BP55" s="1213"/>
      <c r="BQ55" s="1222">
        <f>+IF(OR(IS!BQ24&lt;0,Debt!BQ56=0),"NM",((IS!BQ24/-Debt!BQ56)))</f>
        <v>402.9988394584139</v>
      </c>
      <c r="BR55" s="1223">
        <f>+IF(OR(IS!BR24&lt;0,Debt!BR56=0),"NM",((IS!BR24/-Debt!BR56)))</f>
        <v>341.23211717006825</v>
      </c>
      <c r="BS55" s="1223">
        <f>+IF(OR(IS!BS24&lt;0,Debt!BS56=0),"NM",((IS!BS24/-Debt!BS56)))</f>
        <v>356.83807349750799</v>
      </c>
      <c r="BT55" s="1223">
        <f>+IF(OR(IS!BT24&lt;0,Debt!BT56=0),"NM",((IS!BT24/-Debt!BT56)))</f>
        <v>379.9815731865308</v>
      </c>
      <c r="BU55" s="1224">
        <f>+IF(OR(IS!BU24&lt;0,Debt!BU56=0),"NM",((IS!BU24/-Debt!BU56)))</f>
        <v>370.2626508281304</v>
      </c>
      <c r="BV55" s="1213"/>
      <c r="BW55" s="1222">
        <f>+IF(OR(IS!BW24&lt;0,Debt!BW56=0),"NM",((IS!BW24/-Debt!BW56)))</f>
        <v>450.88052464851393</v>
      </c>
      <c r="BX55" s="1223">
        <f>+IF(OR(IS!BX24&lt;0,Debt!BX56=0),"NM",((IS!BX24/-Debt!BX56)))</f>
        <v>380.05379245936052</v>
      </c>
      <c r="BY55" s="1223">
        <f>+IF(OR(IS!BY24&lt;0,Debt!BY56=0),"NM",((IS!BY24/-Debt!BY56)))</f>
        <v>396.14385074841448</v>
      </c>
      <c r="BZ55" s="1223">
        <f>+IF(OR(IS!BZ24&lt;0,Debt!BZ56=0),"NM",((IS!BZ24/-Debt!BZ56)))</f>
        <v>419.64551394228261</v>
      </c>
      <c r="CA55" s="1224">
        <f>+IF(OR(IS!CA24&lt;0,Debt!CA56=0),"NM",((IS!CA24/-Debt!CA56)))</f>
        <v>411.68092044964317</v>
      </c>
      <c r="CB55" s="1213"/>
      <c r="CC55" s="1222">
        <f>+IF(OR(IS!CC24&lt;0,Debt!CC56=0),"NM",((IS!CC24/-Debt!CC56)))</f>
        <v>501.46011448965487</v>
      </c>
      <c r="CD55" s="1223">
        <f>+IF(OR(IS!CD24&lt;0,Debt!CD56=0),"NM",((IS!CD24/-Debt!CD56)))</f>
        <v>424.72729206948583</v>
      </c>
      <c r="CE55" s="1223">
        <f>+IF(OR(IS!CE24&lt;0,Debt!CE56=0),"NM",((IS!CE24/-Debt!CE56)))</f>
        <v>442.52438960609879</v>
      </c>
      <c r="CF55" s="1223">
        <f>+IF(OR(IS!CF24&lt;0,Debt!CF56=0),"NM",((IS!CF24/-Debt!CF56)))</f>
        <v>468.49554042840816</v>
      </c>
      <c r="CG55" s="1224">
        <f>+IF(OR(IS!CG24&lt;0,Debt!CG56=0),"NM",((IS!CG24/-Debt!CG56)))</f>
        <v>459.3018341484119</v>
      </c>
      <c r="CH55" s="1213"/>
      <c r="CI55" s="1222">
        <f>+IF(OR(IS!CI24&lt;0,Debt!CI56=0),"NM",((IS!CI24/-Debt!CI56)))</f>
        <v>557.21457671633311</v>
      </c>
      <c r="CJ55" s="1223">
        <f>+IF(OR(IS!CJ24&lt;0,Debt!CJ56=0),"NM",((IS!CJ24/-Debt!CJ56)))</f>
        <v>473.98677772311447</v>
      </c>
      <c r="CK55" s="1223">
        <f>+IF(OR(IS!CK24&lt;0,Debt!CK56=0),"NM",((IS!CK24/-Debt!CK56)))</f>
        <v>493.38961568711557</v>
      </c>
      <c r="CL55" s="1223">
        <f>+IF(OR(IS!CL24&lt;0,Debt!CL56=0),"NM",((IS!CL24/-Debt!CL56)))</f>
        <v>522.82467290883721</v>
      </c>
      <c r="CM55" s="1224">
        <f>+IF(OR(IS!CM24&lt;0,Debt!CM56=0),"NM",((IS!CM24/-Debt!CM56)))</f>
        <v>511.85391075885025</v>
      </c>
      <c r="CN55" s="1213"/>
      <c r="CO55" s="1222">
        <f>+IF(OR(IS!CO24&lt;0,Debt!CO56=0),"NM",((IS!CO24/-Debt!CO56)))</f>
        <v>618.1740102234678</v>
      </c>
      <c r="CP55" s="1223">
        <f>+IF(OR(IS!CP24&lt;0,Debt!CP56=0),"NM",((IS!CP24/-Debt!CP56)))</f>
        <v>531.73674359120707</v>
      </c>
      <c r="CQ55" s="1223">
        <f>+IF(OR(IS!CQ24&lt;0,Debt!CQ56=0),"NM",((IS!CQ24/-Debt!CQ56)))</f>
        <v>555.08485560744418</v>
      </c>
      <c r="CR55" s="1223">
        <f>+IF(OR(IS!CR24&lt;0,Debt!CR56=0),"NM",((IS!CR24/-Debt!CR56)))</f>
        <v>587.99399477339318</v>
      </c>
      <c r="CS55" s="1224">
        <f>+IF(OR(IS!CS24&lt;0,Debt!CS56=0),"NM",((IS!CS24/-Debt!CS56)))</f>
        <v>573.24740104887803</v>
      </c>
      <c r="CT55" s="1226"/>
      <c r="CU55" s="63"/>
      <c r="CV55" s="63"/>
      <c r="CW55" s="63"/>
    </row>
    <row r="56" spans="1:101">
      <c r="A56" s="254" t="s">
        <v>319</v>
      </c>
      <c r="B56" s="254"/>
      <c r="C56" s="1225"/>
      <c r="D56" s="1226"/>
      <c r="E56" s="1226"/>
      <c r="F56" s="1226"/>
      <c r="G56" s="1227"/>
      <c r="H56" s="1226"/>
      <c r="I56" s="1225"/>
      <c r="J56" s="1226"/>
      <c r="K56" s="1226"/>
      <c r="L56" s="1226"/>
      <c r="M56" s="1227"/>
      <c r="N56" s="1226"/>
      <c r="O56" s="1225"/>
      <c r="P56" s="1226"/>
      <c r="Q56" s="1226"/>
      <c r="R56" s="1226"/>
      <c r="S56" s="1227"/>
      <c r="T56" s="1226"/>
      <c r="U56" s="1225"/>
      <c r="V56" s="1226"/>
      <c r="W56" s="1226"/>
      <c r="X56" s="1226"/>
      <c r="Y56" s="1227"/>
      <c r="Z56" s="1226"/>
      <c r="AA56" s="1225" t="str">
        <f>+IF(OR(IS!AA20&lt;0,Debt!AA56=0),"NM",(IS!AA20/-Debt!AA56))</f>
        <v>NM</v>
      </c>
      <c r="AB56" s="1226" t="str">
        <f>+IF(OR(IS!AB20&lt;0,Debt!AB56=0),"NM",(IS!AB20/-Debt!AB56))</f>
        <v>NM</v>
      </c>
      <c r="AC56" s="1226" t="str">
        <f>+IF(OR(IS!AC20&lt;0,Debt!AC56=0),"NM",(IS!AC20/-Debt!AC56))</f>
        <v>NM</v>
      </c>
      <c r="AD56" s="1226">
        <f>+IF(OR(IS!AD20&lt;0,Debt!AD56=0),"NM",(IS!AD20/-Debt!AD56))</f>
        <v>-103.14486983154661</v>
      </c>
      <c r="AE56" s="1227" t="str">
        <f>+IF(OR(IS!AE20&lt;0,Debt!AE56=0),"NM",(IS!AE20/-Debt!AE56))</f>
        <v>NM</v>
      </c>
      <c r="AF56" s="1226"/>
      <c r="AG56" s="1225">
        <f>+IF(OR(IS!AG20&lt;0,Debt!AG56=0),"NM",(IS!AG20/-Debt!AG56))</f>
        <v>114.02467381316995</v>
      </c>
      <c r="AH56" s="1226">
        <f>+IF(OR(IS!AH20&lt;0,Debt!AH56=0),"NM",(IS!AH20/-Debt!AH56))</f>
        <v>123.73307197549761</v>
      </c>
      <c r="AI56" s="1226">
        <f>+IF(OR(IS!AI20&lt;0,Debt!AI56=0),"NM",(IS!AI20/-Debt!AI56))</f>
        <v>121.15817457886679</v>
      </c>
      <c r="AJ56" s="1226">
        <f>+IF(OR(IS!AJ20&lt;0,Debt!AJ56=0),"NM",(IS!AJ20/-Debt!AJ56))</f>
        <v>-122.69339050535987</v>
      </c>
      <c r="AK56" s="1227">
        <f>+IF(OR(IS!AK20&lt;0,Debt!AK56=0),"NM",(IS!AK20/-Debt!AK56))</f>
        <v>240.80465543644718</v>
      </c>
      <c r="AL56" s="1160"/>
      <c r="AM56" s="1225">
        <f>+IF(OR(IS!AM20&lt;0,Debt!AM56=0),"NM",(IS!AM20/-Debt!AM56))</f>
        <v>134.61601225114856</v>
      </c>
      <c r="AN56" s="1226">
        <f>+IF(OR(IS!AN20&lt;0,Debt!AN56=0),"NM",(IS!AN20/-Debt!AN56))</f>
        <v>138.28439764633015</v>
      </c>
      <c r="AO56" s="1226">
        <f>+IF(OR(IS!AO20&lt;0,Debt!AO56=0),"NM",(IS!AO20/-Debt!AO56))</f>
        <v>141.65797086897319</v>
      </c>
      <c r="AP56" s="1226">
        <f>+IF(OR(IS!AP20&lt;0,Debt!AP56=0),"NM",(IS!AP20/-Debt!AP56))</f>
        <v>153.1962927099184</v>
      </c>
      <c r="AQ56" s="1227">
        <f>+IF(OR(IS!AQ20&lt;0,Debt!AQ56=0),"NM",(IS!AQ20/-Debt!AQ56))</f>
        <v>141.87686580509327</v>
      </c>
      <c r="AR56" s="1160"/>
      <c r="AS56" s="1464">
        <f>+IF(OR(IS!AS20&lt;0,Debt!AS56=0),"NM",(IS!AS20/-Debt!AS56))</f>
        <v>189.85905926303275</v>
      </c>
      <c r="AT56" s="1516">
        <f>+IF(OR(IS!AT20&lt;0,Debt!AT56=0),"NM",(IS!AT20/-Debt!AT56))</f>
        <v>308.97032258064513</v>
      </c>
      <c r="AU56" s="1516">
        <f>+IF(OR(IS!AU20&lt;0,Debt!AU56=0),"NM",(IS!AU20/-Debt!AU56))</f>
        <v>729.57500000000005</v>
      </c>
      <c r="AV56" s="1226">
        <f>+IF(OR(IS!AV20&lt;0,Debt!AV56=0),"NM",(IS!AV20/-Debt!AV56))</f>
        <v>182.46848708487082</v>
      </c>
      <c r="AW56" s="1227">
        <f>+IF(OR(IS!AW20&lt;0,Debt!AW56=0),"NM",(IS!AW20/-Debt!AW56))</f>
        <v>262.59786206021727</v>
      </c>
      <c r="AX56" s="1160"/>
      <c r="AY56" s="1225">
        <f>+IF(OR(IS!AY20&lt;0,Debt!AY56=0),"NM",(IS!AY20/-Debt!AY56))</f>
        <v>212.33948339483399</v>
      </c>
      <c r="AZ56" s="1516">
        <f>+IF(OR(IS!AZ20&lt;0,Debt!AZ56=0),"NM",(IS!AZ20/-Debt!AZ56))</f>
        <v>853.77580747308366</v>
      </c>
      <c r="BA56" s="1516">
        <f>+IF(OR(IS!BA20&lt;0,Debt!BA56=0),"NM",(IS!BA20/-Debt!BA56))</f>
        <v>1275.2900432900431</v>
      </c>
      <c r="BB56" s="1226">
        <f>+IF(OR(IS!BB20&lt;0,Debt!BB56=0),"NM",(IS!BB20/-Debt!BB56))</f>
        <v>230.17753478241545</v>
      </c>
      <c r="BC56" s="1227">
        <f>+IF(OR(IS!BC20&lt;0,Debt!BC56=0),"NM",(IS!BC20/-Debt!BC56))</f>
        <v>360.03742238351265</v>
      </c>
      <c r="BD56" s="1160"/>
      <c r="BE56" s="1225">
        <f>+IF(OR(IS!BE20&lt;0,Debt!BE56=0),"NM",(IS!BE20/-Debt!BE56))</f>
        <v>203.6679561873691</v>
      </c>
      <c r="BF56" s="1516">
        <f>+IF(OR(IS!BF20&lt;0,Debt!BF56=0),"NM",(IS!BF20/-Debt!BF56))</f>
        <v>252.73352657004835</v>
      </c>
      <c r="BG56" s="1516">
        <f>+IF(OR(IS!BG20&lt;0,Debt!BG56=0),"NM",(IS!BG20/-Debt!BG56))</f>
        <v>269.29623188405799</v>
      </c>
      <c r="BH56" s="1226">
        <f>+IF(OR(IS!BH20&lt;0,Debt!BH56=0),"NM",(IS!BH20/-Debt!BH56))</f>
        <v>240.54724637681167</v>
      </c>
      <c r="BI56" s="1227">
        <f>+IF(OR(IS!BI20&lt;0,Debt!BI56=0),"NM",(IS!BI20/-Debt!BI56))</f>
        <v>241.21883789120955</v>
      </c>
      <c r="BJ56" s="1160"/>
      <c r="BK56" s="1225">
        <f>+IF(OR(IS!BK20&lt;0,Debt!BK56=0),"NM",(IS!BK20/-Debt!BK56))</f>
        <v>162.39729337844369</v>
      </c>
      <c r="BL56" s="1516">
        <f>+IF(OR(IS!BL20&lt;0,Debt!BL56=0),"NM",(IS!BL20/-Debt!BL56))</f>
        <v>227.00193423597676</v>
      </c>
      <c r="BM56" s="1516">
        <f>+IF(OR(IS!BM20&lt;0,Debt!BM56=0),"NM",(IS!BM20/-Debt!BM56))</f>
        <v>296.51063829787233</v>
      </c>
      <c r="BN56" s="1226">
        <f>+IF(OR(IS!BN20&lt;0,Debt!BN56=0),"NM",(IS!BN20/-Debt!BN56))</f>
        <v>377.74854932301758</v>
      </c>
      <c r="BO56" s="1227">
        <f>+IF(OR(IS!BO20&lt;0,Debt!BO56=0),"NM",(IS!BO20/-Debt!BO56))</f>
        <v>265.90209113985264</v>
      </c>
      <c r="BP56" s="1160"/>
      <c r="BQ56" s="1225">
        <f>+IF(OR(IS!BQ20&lt;0,Debt!BQ56=0),"NM",(IS!BQ20/-Debt!BQ56))</f>
        <v>355.89941972920695</v>
      </c>
      <c r="BR56" s="1226">
        <f>+IF(OR(IS!BR20&lt;0,Debt!BR56=0),"NM",(IS!BR20/-Debt!BR56))</f>
        <v>290.80503786639315</v>
      </c>
      <c r="BS56" s="1226">
        <f>+IF(OR(IS!BS20&lt;0,Debt!BS56=0),"NM",(IS!BS20/-Debt!BS56))</f>
        <v>303.04745304579006</v>
      </c>
      <c r="BT56" s="1226">
        <f>+IF(OR(IS!BT20&lt;0,Debt!BT56=0),"NM",(IS!BT20/-Debt!BT56))</f>
        <v>322.76254146468233</v>
      </c>
      <c r="BU56" s="1227">
        <f>+IF(OR(IS!BU20&lt;0,Debt!BU56=0),"NM",(IS!BU20/-Debt!BU56))</f>
        <v>318.12861302651828</v>
      </c>
      <c r="BV56" s="1160"/>
      <c r="BW56" s="1225">
        <f>+IF(OR(IS!BW20&lt;0,Debt!BW56=0),"NM",(IS!BW20/-Debt!BW56))</f>
        <v>390.08567110891516</v>
      </c>
      <c r="BX56" s="1226">
        <f>+IF(OR(IS!BX20&lt;0,Debt!BX56=0),"NM",(IS!BX20/-Debt!BX56))</f>
        <v>315.54547883677293</v>
      </c>
      <c r="BY56" s="1226">
        <f>+IF(OR(IS!BY20&lt;0,Debt!BY56=0),"NM",(IS!BY20/-Debt!BY56))</f>
        <v>327.93245741917059</v>
      </c>
      <c r="BZ56" s="1226">
        <f>+IF(OR(IS!BZ20&lt;0,Debt!BZ56=0),"NM",(IS!BZ20/-Debt!BZ56))</f>
        <v>347.68063653639763</v>
      </c>
      <c r="CA56" s="1227">
        <f>+IF(OR(IS!CA20&lt;0,Debt!CA56=0),"NM",(IS!CA20/-Debt!CA56))</f>
        <v>345.31106097531432</v>
      </c>
      <c r="CB56" s="1160"/>
      <c r="CC56" s="1225">
        <f>+IF(OR(IS!CC20&lt;0,Debt!CC56=0),"NM",(IS!CC20/-Debt!CC56))</f>
        <v>425.5895861166855</v>
      </c>
      <c r="CD56" s="1226">
        <f>+IF(OR(IS!CD20&lt;0,Debt!CD56=0),"NM",(IS!CD20/-Debt!CD56))</f>
        <v>344.76619216027819</v>
      </c>
      <c r="CE56" s="1226">
        <f>+IF(OR(IS!CE20&lt;0,Debt!CE56=0),"NM",(IS!CE20/-Debt!CE56))</f>
        <v>358.48051146983187</v>
      </c>
      <c r="CF56" s="1226">
        <f>+IF(OR(IS!CF20&lt;0,Debt!CF56=0),"NM",(IS!CF20/-Debt!CF56))</f>
        <v>380.31444007535657</v>
      </c>
      <c r="CG56" s="1227">
        <f>+IF(OR(IS!CG20&lt;0,Debt!CG56=0),"NM",(IS!CG20/-Debt!CG56))</f>
        <v>377.287682455538</v>
      </c>
      <c r="CH56" s="1160"/>
      <c r="CI56" s="1225">
        <f>+IF(OR(IS!CI20&lt;0,Debt!CI56=0),"NM",(IS!CI20/-Debt!CI56))</f>
        <v>464.72258934926771</v>
      </c>
      <c r="CJ56" s="1226">
        <f>+IF(OR(IS!CJ20&lt;0,Debt!CJ56=0),"NM",(IS!CJ20/-Debt!CJ56))</f>
        <v>376.97745105237863</v>
      </c>
      <c r="CK56" s="1226">
        <f>+IF(OR(IS!CK20&lt;0,Debt!CK56=0),"NM",(IS!CK20/-Debt!CK56))</f>
        <v>391.87236326301434</v>
      </c>
      <c r="CL56" s="1226">
        <f>+IF(OR(IS!CL20&lt;0,Debt!CL56=0),"NM",(IS!CL20/-Debt!CL56))</f>
        <v>416.7419416490448</v>
      </c>
      <c r="CM56" s="1227">
        <f>+IF(OR(IS!CM20&lt;0,Debt!CM56=0),"NM",(IS!CM20/-Debt!CM56))</f>
        <v>412.57858632842652</v>
      </c>
      <c r="CN56" s="1160"/>
      <c r="CO56" s="1225">
        <f>+IF(OR(IS!CO20&lt;0,Debt!CO56=0),"NM",(IS!CO20/-Debt!CO56))</f>
        <v>507.32246253035458</v>
      </c>
      <c r="CP56" s="1226">
        <f>+IF(OR(IS!CP20&lt;0,Debt!CP56=0),"NM",(IS!CP20/-Debt!CP56))</f>
        <v>415.9178695799323</v>
      </c>
      <c r="CQ56" s="1226">
        <f>+IF(OR(IS!CQ20&lt;0,Debt!CQ56=0),"NM",(IS!CQ20/-Debt!CQ56))</f>
        <v>434.28727706694514</v>
      </c>
      <c r="CR56" s="1226">
        <f>+IF(OR(IS!CR20&lt;0,Debt!CR56=0),"NM",(IS!CR20/-Debt!CR56))</f>
        <v>462.13581475802965</v>
      </c>
      <c r="CS56" s="1227">
        <f>+IF(OR(IS!CS20&lt;0,Debt!CS56=0),"NM",(IS!CS20/-Debt!CS56))</f>
        <v>454.91585598381533</v>
      </c>
      <c r="CT56" s="1226"/>
      <c r="CU56" s="63"/>
      <c r="CV56" s="63"/>
      <c r="CW56" s="63"/>
    </row>
    <row r="57" spans="1:101">
      <c r="A57" s="254" t="s">
        <v>320</v>
      </c>
      <c r="B57" s="254"/>
      <c r="C57" s="1225">
        <f>C46/(IS!C24*4)</f>
        <v>1.6876785549718902</v>
      </c>
      <c r="D57" s="1226">
        <f>D46/(IS!D24*4)</f>
        <v>0.89372284832840132</v>
      </c>
      <c r="E57" s="1226">
        <f>E46/(IS!E24*4)</f>
        <v>0.61709225053634031</v>
      </c>
      <c r="F57" s="1226">
        <f>F46/(IS!F24*4)</f>
        <v>0.13525753158406217</v>
      </c>
      <c r="G57" s="1227">
        <f>G46/IS!G24</f>
        <v>0.1944669554282521</v>
      </c>
      <c r="H57" s="1226"/>
      <c r="I57" s="1225">
        <f>I46/(IS!I24*4)</f>
        <v>0.70738297703250375</v>
      </c>
      <c r="J57" s="1226">
        <f>J46/(IS!J24*4)</f>
        <v>0.31754528094439005</v>
      </c>
      <c r="K57" s="1226">
        <f>K46/(IS!K24*4)</f>
        <v>-2.2112730963869609</v>
      </c>
      <c r="L57" s="1226">
        <f>L46/(IS!L24*4)</f>
        <v>-1.6544584563098104</v>
      </c>
      <c r="M57" s="1227">
        <f>M46/IS!M24</f>
        <v>-2.137937012424155</v>
      </c>
      <c r="N57" s="1226"/>
      <c r="O57" s="1225">
        <f>O46/(IS!O24*4)</f>
        <v>-1.8930840473367483</v>
      </c>
      <c r="P57" s="1226">
        <f>P46/(IS!P24*4)</f>
        <v>-2.2339784370186835</v>
      </c>
      <c r="Q57" s="1226">
        <f>Q46/(IS!Q24*4)</f>
        <v>-2.6746793259557338</v>
      </c>
      <c r="R57" s="1226">
        <f>R46/(IS!R24*4)</f>
        <v>-1.7044091552301168</v>
      </c>
      <c r="S57" s="1227">
        <f>S46/IS!S24</f>
        <v>-1.7466121152485021</v>
      </c>
      <c r="T57" s="1226"/>
      <c r="U57" s="1225">
        <f>U46/(IS!U24*4)</f>
        <v>-1.8584830235697225</v>
      </c>
      <c r="V57" s="1226">
        <f>V46/(IS!V24*4)</f>
        <v>-1.6415113923209781</v>
      </c>
      <c r="W57" s="1226">
        <f>W46/(IS!W24*4)</f>
        <v>-1.5024547263394661</v>
      </c>
      <c r="X57" s="1226">
        <f>X46/(IS!X24*4)</f>
        <v>-1.7732713514121754</v>
      </c>
      <c r="Y57" s="1227">
        <f>Y46/IS!Y24</f>
        <v>-2.0267017116584878</v>
      </c>
      <c r="Z57" s="1226"/>
      <c r="AA57" s="1225">
        <f>AA46/(IS!AA24*4)</f>
        <v>-0.95899542821633843</v>
      </c>
      <c r="AB57" s="1226">
        <f>AB46/(IS!AB24*4)</f>
        <v>-1.155340697825241</v>
      </c>
      <c r="AC57" s="1226">
        <f>AC46/(IS!AC24*4)</f>
        <v>-1.3930506799359264</v>
      </c>
      <c r="AD57" s="1226">
        <f>AD46/(IS!AD24*4)</f>
        <v>-1.1612922131602657</v>
      </c>
      <c r="AE57" s="1227">
        <f>AE46/IS!AE24</f>
        <v>-1.1678666596352567</v>
      </c>
      <c r="AF57" s="1226"/>
      <c r="AG57" s="1225">
        <f>AG46/(IS!AG24*4)</f>
        <v>-1.3147646211262285</v>
      </c>
      <c r="AH57" s="1226">
        <f>AH46/(IS!AH24*4)</f>
        <v>-1.3065210900002215</v>
      </c>
      <c r="AI57" s="1226">
        <f>AI46/(IS!AI24*4)</f>
        <v>-1.1073962775184945</v>
      </c>
      <c r="AJ57" s="1226">
        <f>AJ46/(IS!AJ24*4)</f>
        <v>-1.3875926577656554</v>
      </c>
      <c r="AK57" s="1227">
        <f>AK46/IS!AK24</f>
        <v>-1.420137941125984</v>
      </c>
      <c r="AL57" s="1160"/>
      <c r="AM57" s="1225">
        <f>AM46/(IS!AM24*4)</f>
        <v>-0.54712457608884968</v>
      </c>
      <c r="AN57" s="1226">
        <f>AN46/(IS!AN24*4)</f>
        <v>-0.69620096803468778</v>
      </c>
      <c r="AO57" s="1226">
        <f>AO46/(IS!AO24*4)</f>
        <v>-0.41284875762022466</v>
      </c>
      <c r="AP57" s="1226">
        <f>AP46/(IS!AP24*4)</f>
        <v>-0.68118750057391575</v>
      </c>
      <c r="AQ57" s="1227">
        <f>AQ46/IS!AQ24</f>
        <v>-0.72868007652015032</v>
      </c>
      <c r="AR57" s="1160"/>
      <c r="AS57" s="1464">
        <f>AS46/(IS!AS24*4)</f>
        <v>-0.47559462496488469</v>
      </c>
      <c r="AT57" s="1516">
        <f>AT46/(IS!AT24*4)</f>
        <v>0.310667342619044</v>
      </c>
      <c r="AU57" s="1516">
        <f>AU46/(IS!AU24*4)</f>
        <v>1.4821451904948602E-2</v>
      </c>
      <c r="AV57" s="1226">
        <f>AV46/(IS!AV24*4)</f>
        <v>-6.8941159335857913E-2</v>
      </c>
      <c r="AW57" s="1227">
        <f>AW46/IS!AW24</f>
        <v>-7.9470610060960886E-2</v>
      </c>
      <c r="AX57" s="1160"/>
      <c r="AY57" s="1225">
        <f>AY46/(IS!AY24*4)</f>
        <v>-8.3026416860396898E-2</v>
      </c>
      <c r="AZ57" s="1516">
        <f>AZ46/(IS!AZ24*4)</f>
        <v>-0.27842216773138934</v>
      </c>
      <c r="BA57" s="1516">
        <f>BA46/(IS!BA24*4)</f>
        <v>-0.44675029032223074</v>
      </c>
      <c r="BB57" s="1226">
        <f>BB46/(IS!BB24*4)</f>
        <v>-0.40669381241918184</v>
      </c>
      <c r="BC57" s="1227">
        <f>BC46/IS!BC24</f>
        <v>-0.39494974323898302</v>
      </c>
      <c r="BD57" s="1160"/>
      <c r="BE57" s="1225">
        <f>BE46/(IS!BE24*4)</f>
        <v>-0.50952762566225884</v>
      </c>
      <c r="BF57" s="1516">
        <f>BF46/(IS!BF24*4)</f>
        <v>-0.53089337191349717</v>
      </c>
      <c r="BG57" s="1516">
        <f>BG46/(IS!BG24*4)</f>
        <v>-0.62657006668187909</v>
      </c>
      <c r="BH57" s="1226">
        <f>BH46/(IS!BH24*4)</f>
        <v>-0.70737844619877166</v>
      </c>
      <c r="BI57" s="1227">
        <f>BI46/IS!BI24</f>
        <v>-0.7080702973048062</v>
      </c>
      <c r="BJ57" s="1160"/>
      <c r="BK57" s="1225">
        <f>BK46/(IS!BK24*4)</f>
        <v>-1.3778625954198473</v>
      </c>
      <c r="BL57" s="1516">
        <f>BL46/(IS!BL24*4)</f>
        <v>-1.0408222350897511</v>
      </c>
      <c r="BM57" s="1516">
        <f>BM46/(IS!BM24*4)</f>
        <v>-0.97339316471761395</v>
      </c>
      <c r="BN57" s="1226">
        <f>BN46/(IS!BN24*4)</f>
        <v>-0.87232718219097793</v>
      </c>
      <c r="BO57" s="1227">
        <f>BO46/IS!BO24</f>
        <v>-1.1950742375601922</v>
      </c>
      <c r="BP57" s="1160"/>
      <c r="BQ57" s="1225">
        <f>BQ46/(IS!BQ24*4)</f>
        <v>-0.83019038518252852</v>
      </c>
      <c r="BR57" s="1226">
        <f>BR46/(IS!BR24*4)</f>
        <v>-1.1193984292773556</v>
      </c>
      <c r="BS57" s="1226">
        <f>BS46/(IS!BS24*4)</f>
        <v>-1.1092959709639543</v>
      </c>
      <c r="BT57" s="1226">
        <f>BT46/(IS!BT24*4)</f>
        <v>-1.0807600327454325</v>
      </c>
      <c r="BU57" s="1227">
        <f>BU46/IS!BU24</f>
        <v>-1.1091286052245153</v>
      </c>
      <c r="BV57" s="1160"/>
      <c r="BW57" s="1225">
        <f>BW46/(IS!BW24*4)</f>
        <v>-0.8547365825054225</v>
      </c>
      <c r="BX57" s="1226">
        <f>BX46/(IS!BX24*4)</f>
        <v>-1.170583495638849</v>
      </c>
      <c r="BY57" s="1226">
        <f>BY46/(IS!BY24*4)</f>
        <v>-1.1803118277185505</v>
      </c>
      <c r="BZ57" s="1226">
        <f>BZ46/(IS!BZ24*4)</f>
        <v>-1.1677442148083284</v>
      </c>
      <c r="CA57" s="1227">
        <f>CA46/IS!CA24</f>
        <v>-1.1903360025554299</v>
      </c>
      <c r="CB57" s="1160"/>
      <c r="CC57" s="1225">
        <f>CC46/(IS!CC24*4)</f>
        <v>-0.95972361542406359</v>
      </c>
      <c r="CD57" s="1226">
        <f>CD46/(IS!CD24*4)</f>
        <v>-1.363791456087674</v>
      </c>
      <c r="CE57" s="1226">
        <f>CE46/(IS!CE24*4)</f>
        <v>-1.4485262554738221</v>
      </c>
      <c r="CF57" s="1226">
        <f>CF46/(IS!CF24*4)</f>
        <v>-1.5023230295615368</v>
      </c>
      <c r="CG57" s="1227">
        <f>CG46/IS!CG24</f>
        <v>-1.5323945765151248</v>
      </c>
      <c r="CH57" s="1160"/>
      <c r="CI57" s="1225">
        <f>CI46/(IS!CI24*4)</f>
        <v>-1.3192284921609105</v>
      </c>
      <c r="CJ57" s="1226">
        <f>CJ46/(IS!CJ24*4)</f>
        <v>-1.7549551704000899</v>
      </c>
      <c r="CK57" s="1226">
        <f>CK46/(IS!CK24*4)</f>
        <v>-1.7989656201124309</v>
      </c>
      <c r="CL57" s="1226">
        <f>CL46/(IS!CL24*4)</f>
        <v>-1.8025928078386877</v>
      </c>
      <c r="CM57" s="1227">
        <f>CM46/IS!CM24</f>
        <v>-1.8412284742513108</v>
      </c>
      <c r="CN57" s="1160"/>
      <c r="CO57" s="1225">
        <f>CO46/(IS!CO24*4)</f>
        <v>-1.5644035177571258</v>
      </c>
      <c r="CP57" s="1226">
        <f>CP46/(IS!CP24*4)</f>
        <v>-2.0444918337267075</v>
      </c>
      <c r="CQ57" s="1226">
        <f>CQ46/(IS!CQ24*4)</f>
        <v>-2.0972162452200029</v>
      </c>
      <c r="CR57" s="1226">
        <f>CR46/(IS!CR24*4)</f>
        <v>-2.1099645675564149</v>
      </c>
      <c r="CS57" s="1227">
        <f>CS46/IS!CS24</f>
        <v>-2.1642426858591683</v>
      </c>
      <c r="CT57" s="1226"/>
      <c r="CU57" s="63"/>
      <c r="CV57" s="63"/>
      <c r="CW57" s="63"/>
    </row>
    <row r="58" spans="1:101">
      <c r="A58" s="255" t="s">
        <v>321</v>
      </c>
      <c r="B58" s="255"/>
      <c r="C58" s="1228">
        <f>(C32+C29)/(C32+C29+C40)</f>
        <v>0.60068044676464982</v>
      </c>
      <c r="D58" s="1229">
        <f>(D32+D29)/(D32+D29+D40)</f>
        <v>0.58240703939715555</v>
      </c>
      <c r="E58" s="1229">
        <f>(E32+E29)/(E32+E29+E40)</f>
        <v>0.55460200781108115</v>
      </c>
      <c r="F58" s="1229">
        <f>(F32+F29)/(F32+F29+F40)</f>
        <v>0.49280626061073485</v>
      </c>
      <c r="G58" s="1230">
        <f>(G32+G29)/(G32+G29+G40)</f>
        <v>0.49280626061073485</v>
      </c>
      <c r="H58" s="1229"/>
      <c r="I58" s="1228">
        <f>(I32+I29)/(I32+I29+I40)</f>
        <v>0.46998983662223365</v>
      </c>
      <c r="J58" s="1229">
        <f>(J32+J29)/(J32+J29+J40)</f>
        <v>0.44855520368891799</v>
      </c>
      <c r="K58" s="1229">
        <f>(K32+K29)/(K32+K29+K40)</f>
        <v>0.31955439620925669</v>
      </c>
      <c r="L58" s="1229">
        <f>(L32+L29)/(L32+L29+L40)</f>
        <v>0.32035928383503059</v>
      </c>
      <c r="M58" s="1230">
        <f>(M32+M29)/(M32+M29+M40)</f>
        <v>0.32035928383503059</v>
      </c>
      <c r="N58" s="1229"/>
      <c r="O58" s="1228">
        <f>(O32+O29)/(O32+O29+O40)</f>
        <v>0.31321849696498533</v>
      </c>
      <c r="P58" s="1229">
        <f>(P32+P29)/(P32+P29+P40)</f>
        <v>0.29328988621075258</v>
      </c>
      <c r="Q58" s="1229">
        <f>(Q32+Q29)/(Q32+Q29+Q40)</f>
        <v>0.28014774599010572</v>
      </c>
      <c r="R58" s="1229">
        <f>(R32+R29)/(R32+R29+R40)</f>
        <v>0.31094274094337088</v>
      </c>
      <c r="S58" s="1230">
        <f>(S32+S29)/(S32+S29+S40)</f>
        <v>0.31094274094337088</v>
      </c>
      <c r="T58" s="1229"/>
      <c r="U58" s="1228">
        <f>(U32+U29)/(U32+U29+U40)</f>
        <v>0.2928368909352484</v>
      </c>
      <c r="V58" s="1229">
        <f>(V32+V29)/(V32+V29+V40)</f>
        <v>0.27330778249410104</v>
      </c>
      <c r="W58" s="1229">
        <f>(W32+W29)/(W32+W29+W40)</f>
        <v>0.26032560809547972</v>
      </c>
      <c r="X58" s="1229">
        <f>(X32+X29)/(X32+X29+X40)</f>
        <v>0.24564173753553936</v>
      </c>
      <c r="Y58" s="1230">
        <f>(Y32+Y29)/(Y32+Y29+Y40)</f>
        <v>0.24564173753553936</v>
      </c>
      <c r="Z58" s="1229"/>
      <c r="AA58" s="1228">
        <f>(AA32+AA29)/(AA32+AA29+AA40)</f>
        <v>0.42572765737467572</v>
      </c>
      <c r="AB58" s="1229">
        <f>(AB32+AB29)/(AB32+AB29+AB40)</f>
        <v>0.40835421448061143</v>
      </c>
      <c r="AC58" s="1229">
        <f>(AC32+AC29)/(AC32+AC29+AC40)</f>
        <v>0.43743338284235378</v>
      </c>
      <c r="AD58" s="1229">
        <f>(AD32+AD29)/(AD32+AD29+AD40)</f>
        <v>0.43059281705401548</v>
      </c>
      <c r="AE58" s="1230">
        <f>(AE32+AE29)/(AE32+AE29+AE40)</f>
        <v>0.43059281705401548</v>
      </c>
      <c r="AF58" s="1229"/>
      <c r="AG58" s="1228">
        <f>(AG32+AG29)/(AG32+AG29+AG40)</f>
        <v>0.4144212715269226</v>
      </c>
      <c r="AH58" s="1229">
        <f>(AH32+AH29)/(AH32+AH29+AH40)</f>
        <v>0.41252121979227002</v>
      </c>
      <c r="AI58" s="1229">
        <f>(AI32+AI29)/(AI32+AI29+AI40)</f>
        <v>0.40654847946177253</v>
      </c>
      <c r="AJ58" s="1229">
        <f>(AJ32+AJ29)/(AJ32+AJ29+AJ40)</f>
        <v>0.39070574905550171</v>
      </c>
      <c r="AK58" s="1230">
        <f>(AK32+AK29)/(AK32+AK29+AK40)</f>
        <v>0.39070574905550171</v>
      </c>
      <c r="AL58" s="1221"/>
      <c r="AM58" s="1228">
        <f>(AM32+AM29)/(AM32+AM29+AM40)</f>
        <v>0.39426917850313975</v>
      </c>
      <c r="AN58" s="1229">
        <f>(AN32+AN29)/(AN32+AN29+AN40)</f>
        <v>0.38061435773273039</v>
      </c>
      <c r="AO58" s="1229">
        <f>(AO32+AO29)/(AO32+AO29+AO40)</f>
        <v>0.38496510161653935</v>
      </c>
      <c r="AP58" s="1229">
        <f>(AP32+AP29)/(AP32+AP29+AP40)</f>
        <v>0.36171821302980711</v>
      </c>
      <c r="AQ58" s="1230">
        <f>(AQ32+AQ29)/(AQ32+AQ29+AQ40)</f>
        <v>0.36171821302980711</v>
      </c>
      <c r="AR58" s="1221"/>
      <c r="AS58" s="1465">
        <f>(AS32+AS29)/(AS32+AS29+AS40)</f>
        <v>0.35018411160421353</v>
      </c>
      <c r="AT58" s="1471">
        <f>(AT32+AT29)/(AT32+AT29+AT40)</f>
        <v>0.54051354108766736</v>
      </c>
      <c r="AU58" s="1471">
        <f>(AU32+AU29)/(AU32+AU29+AU40)</f>
        <v>0.50129966798003189</v>
      </c>
      <c r="AV58" s="1229">
        <f>(AV32+AV29)/(AV32+AV29+AV40)</f>
        <v>0.46881402437474451</v>
      </c>
      <c r="AW58" s="1230">
        <f>(AW32+AW29)/(AW32+AW29+AW40)</f>
        <v>0.46881402437474451</v>
      </c>
      <c r="AX58" s="1221"/>
      <c r="AY58" s="1228">
        <f>(AY32+AY29)/(AY32+AY29+AY40)</f>
        <v>0.44492756100980341</v>
      </c>
      <c r="AZ58" s="1471">
        <f>(AZ32+AZ29)/(AZ32+AZ29+AZ40)</f>
        <v>0.42079331316019558</v>
      </c>
      <c r="BA58" s="1471">
        <f>(BA32+BA29)/(BA32+BA29+BA40)</f>
        <v>0.36436559546363434</v>
      </c>
      <c r="BB58" s="1229">
        <f>(BB32+BB29)/(BB32+BB29+BB40)</f>
        <v>0.37105457361376537</v>
      </c>
      <c r="BC58" s="1230">
        <f>(BC32+BC29)/(BC32+BC29+BC40)</f>
        <v>0.37105457361376537</v>
      </c>
      <c r="BD58" s="1221"/>
      <c r="BE58" s="1228">
        <f>(BE32+BE29)/(BE32+BE29+BE40)</f>
        <v>0.33932618942150233</v>
      </c>
      <c r="BF58" s="1471">
        <f>(BF32+BF29)/(BF32+BF29+BF40)</f>
        <v>0.33419601690864126</v>
      </c>
      <c r="BG58" s="1471">
        <f>(BG32+BG29)/(BG32+BG29+BG40)</f>
        <v>0.3174782353826533</v>
      </c>
      <c r="BH58" s="1229">
        <f>(BH32+BH29)/(BH32+BH29+BH40)</f>
        <v>0.32315564503906619</v>
      </c>
      <c r="BI58" s="1230">
        <f>(BI32+BI29)/(BI32+BI29+BI40)</f>
        <v>0.32315564503906619</v>
      </c>
      <c r="BJ58" s="1221"/>
      <c r="BK58" s="1228">
        <f>(BK32+BK29)/(BK32+BK29+BK40)</f>
        <v>0.29276406986415304</v>
      </c>
      <c r="BL58" s="1471">
        <f>(BL32+BL29)/(BL32+BL29+BL40)</f>
        <v>0.30187708922602213</v>
      </c>
      <c r="BM58" s="1471">
        <f>(BM32+BM29)/(BM32+BM29+BM40)</f>
        <v>0.29279167698786229</v>
      </c>
      <c r="BN58" s="1229">
        <f>(BN32+BN29)/(BN32+BN29+BN40)</f>
        <v>0.30246130423750317</v>
      </c>
      <c r="BO58" s="1230">
        <f>(BO32+BO29)/(BO32+BO29+BO40)</f>
        <v>0.30246130423750317</v>
      </c>
      <c r="BP58" s="1221"/>
      <c r="BQ58" s="1228">
        <f>(BQ32+BQ29)/(BQ32+BQ29+BQ40)</f>
        <v>0.27366162676888844</v>
      </c>
      <c r="BR58" s="1229">
        <f>(BR32+BR29)/(BR32+BR29+BR40)</f>
        <v>0.2698713005131107</v>
      </c>
      <c r="BS58" s="1229">
        <f>(BS32+BS29)/(BS32+BS29+BS40)</f>
        <v>0.26576921070494608</v>
      </c>
      <c r="BT58" s="1229">
        <f>(BT32+BT29)/(BT32+BT29+BT40)</f>
        <v>0.2610769606425376</v>
      </c>
      <c r="BU58" s="1230">
        <f>(BU32+BU29)/(BU32+BU29+BU40)</f>
        <v>0.2610769606425376</v>
      </c>
      <c r="BV58" s="1221"/>
      <c r="BW58" s="1228">
        <f>(BW32+BW29)/(BW32+BW29+BW40)</f>
        <v>0.25464710354036857</v>
      </c>
      <c r="BX58" s="1229">
        <f>(BX32+BX29)/(BX32+BX29+BX40)</f>
        <v>0.25047022416297421</v>
      </c>
      <c r="BY58" s="1229">
        <f>(BY32+BY29)/(BY32+BY29+BY40)</f>
        <v>0.24610110477731462</v>
      </c>
      <c r="BZ58" s="1229">
        <f>(BZ32+BZ29)/(BZ32+BZ29+BZ40)</f>
        <v>0.24129394420595235</v>
      </c>
      <c r="CA58" s="1230">
        <f>(CA32+CA29)/(CA32+CA29+CA40)</f>
        <v>0.24129394420595235</v>
      </c>
      <c r="CB58" s="1221"/>
      <c r="CC58" s="1228">
        <f>(CC32+CC29)/(CC32+CC29+CC40)</f>
        <v>0.23434304209218121</v>
      </c>
      <c r="CD58" s="1229">
        <f>(CD32+CD29)/(CD32+CD29+CD40)</f>
        <v>0.22692821422997903</v>
      </c>
      <c r="CE58" s="1229">
        <f>(CE32+CE29)/(CE32+CE29+CE40)</f>
        <v>0.21946854527753151</v>
      </c>
      <c r="CF58" s="1229">
        <f>(CF32+CF29)/(CF32+CF29+CF40)</f>
        <v>0.21187776109509793</v>
      </c>
      <c r="CG58" s="1230">
        <f>(CG32+CG29)/(CG32+CG29+CG40)</f>
        <v>0.21187776109509793</v>
      </c>
      <c r="CH58" s="1221"/>
      <c r="CI58" s="1228">
        <f>(CI32+CI29)/(CI32+CI29+CI40)</f>
        <v>0.20267675344594466</v>
      </c>
      <c r="CJ58" s="1229">
        <f>(CJ32+CJ29)/(CJ32+CJ29+CJ40)</f>
        <v>0.19775219946906797</v>
      </c>
      <c r="CK58" s="1229">
        <f>(CK32+CK29)/(CK32+CK29+CK40)</f>
        <v>0.19283957329452625</v>
      </c>
      <c r="CL58" s="1229">
        <f>(CL32+CL29)/(CL32+CL29+CL40)</f>
        <v>0.18774385128254292</v>
      </c>
      <c r="CM58" s="1230">
        <f>(CM32+CM29)/(CM32+CM29+CM40)</f>
        <v>0.18774385128254292</v>
      </c>
      <c r="CN58" s="1221"/>
      <c r="CO58" s="1228">
        <f>(CO32+CO29)/(CO32+CO29+CO40)</f>
        <v>0.18105608122104228</v>
      </c>
      <c r="CP58" s="1229">
        <f>(CP32+CP29)/(CP32+CP29+CP40)</f>
        <v>0.17593389932936426</v>
      </c>
      <c r="CQ58" s="1229">
        <f>(CQ32+CQ29)/(CQ32+CQ29+CQ40)</f>
        <v>0.17088476235414937</v>
      </c>
      <c r="CR58" s="1229">
        <f>(CR32+CR29)/(CR32+CR29+CR40)</f>
        <v>0.16576539226032466</v>
      </c>
      <c r="CS58" s="1230">
        <f>(CS32+CS29)/(CS32+CS29+CS40)</f>
        <v>0.16576539226032466</v>
      </c>
      <c r="CT58" s="1151"/>
      <c r="CU58" s="63"/>
      <c r="CV58" s="63"/>
      <c r="CW58" s="63"/>
    </row>
    <row r="59" spans="1:101">
      <c r="A59" s="256"/>
      <c r="B59" s="256"/>
      <c r="C59" s="1158"/>
      <c r="D59" s="1158"/>
      <c r="E59" s="1158"/>
      <c r="F59" s="1158"/>
      <c r="G59" s="1201"/>
      <c r="H59" s="1201"/>
      <c r="I59" s="1158"/>
      <c r="J59" s="1158"/>
      <c r="K59" s="1158"/>
      <c r="L59" s="1158"/>
      <c r="M59" s="1158"/>
      <c r="N59" s="1158"/>
      <c r="O59" s="1158"/>
      <c r="P59" s="1158"/>
      <c r="Q59" s="1158"/>
      <c r="R59" s="1158"/>
      <c r="S59" s="1158"/>
      <c r="T59" s="1158"/>
      <c r="U59" s="1158"/>
      <c r="V59" s="1158"/>
      <c r="W59" s="1158"/>
      <c r="X59" s="1158"/>
      <c r="Y59" s="1158"/>
      <c r="Z59" s="1158"/>
      <c r="AA59" s="1158"/>
      <c r="AB59" s="1158"/>
      <c r="AC59" s="1158"/>
      <c r="AD59" s="1158"/>
      <c r="AE59" s="1158"/>
      <c r="AF59" s="1158"/>
      <c r="AG59" s="1158"/>
      <c r="AH59" s="1158"/>
      <c r="AI59" s="1158"/>
      <c r="AJ59" s="1158"/>
      <c r="AK59" s="1158"/>
      <c r="AL59" s="1158"/>
      <c r="AM59" s="1158"/>
      <c r="AN59" s="1158"/>
      <c r="AO59" s="1158"/>
      <c r="AP59" s="1158"/>
      <c r="AQ59" s="1158"/>
      <c r="AR59" s="1160"/>
      <c r="AS59" s="1459"/>
      <c r="AT59" s="1459"/>
      <c r="AU59" s="1459"/>
      <c r="AV59" s="1160"/>
      <c r="AW59" s="1160"/>
      <c r="AX59" s="1160"/>
      <c r="AY59" s="1160"/>
      <c r="AZ59" s="1459"/>
      <c r="BA59" s="1459"/>
      <c r="BB59" s="1160"/>
      <c r="BC59" s="1160"/>
      <c r="BD59" s="1160"/>
      <c r="BE59" s="1160"/>
      <c r="BF59" s="1160"/>
      <c r="BG59" s="1160"/>
      <c r="BH59" s="1160"/>
      <c r="BI59" s="1160"/>
      <c r="BJ59" s="1160"/>
      <c r="BK59" s="1160"/>
      <c r="BL59" s="1160"/>
      <c r="BM59" s="1160"/>
      <c r="BN59" s="1160"/>
      <c r="BO59" s="1160"/>
      <c r="BP59" s="1160"/>
      <c r="BQ59" s="1160"/>
      <c r="BR59" s="1160"/>
      <c r="BS59" s="1160"/>
      <c r="BT59" s="1160"/>
      <c r="BU59" s="1160"/>
      <c r="BV59" s="1160"/>
      <c r="BW59" s="1160"/>
      <c r="BX59" s="1160"/>
      <c r="BY59" s="1160"/>
      <c r="BZ59" s="1160"/>
      <c r="CA59" s="1160"/>
      <c r="CB59" s="1160"/>
      <c r="CC59" s="1160"/>
      <c r="CD59" s="1160"/>
      <c r="CE59" s="1160"/>
      <c r="CF59" s="1160"/>
      <c r="CG59" s="1160"/>
      <c r="CH59" s="1160"/>
      <c r="CI59" s="1160"/>
      <c r="CJ59" s="1160"/>
      <c r="CK59" s="1160"/>
      <c r="CL59" s="1160"/>
      <c r="CM59" s="1160"/>
      <c r="CN59" s="1160"/>
      <c r="CO59" s="1160"/>
      <c r="CP59" s="1160"/>
      <c r="CQ59" s="1160"/>
      <c r="CR59" s="1160"/>
      <c r="CS59" s="1160"/>
      <c r="CT59" s="1160"/>
      <c r="CU59" s="63"/>
      <c r="CV59" s="63"/>
      <c r="CW59" s="63"/>
    </row>
    <row r="60" spans="1:101" outlineLevel="1">
      <c r="A60" s="50" t="s">
        <v>322</v>
      </c>
      <c r="B60" s="111"/>
      <c r="C60" s="51"/>
      <c r="D60" s="51"/>
      <c r="E60" s="51"/>
      <c r="F60" s="51"/>
      <c r="G60" s="53"/>
      <c r="H60" s="53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2"/>
      <c r="AD60" s="52"/>
      <c r="AE60" s="51"/>
      <c r="AF60" s="51"/>
      <c r="AG60" s="51"/>
      <c r="AH60" s="51"/>
      <c r="AI60" s="51"/>
      <c r="AJ60" s="52"/>
      <c r="AK60" s="51"/>
      <c r="AL60" s="51"/>
      <c r="AM60" s="51"/>
      <c r="AN60" s="51"/>
      <c r="AO60" s="51"/>
      <c r="AP60" s="52"/>
      <c r="AQ60" s="51"/>
      <c r="AR60" s="51"/>
      <c r="AS60" s="51"/>
      <c r="AT60" s="51"/>
      <c r="AU60" s="51"/>
      <c r="AV60" s="51"/>
      <c r="AW60" s="54"/>
      <c r="AX60" s="51"/>
      <c r="AY60" s="51"/>
      <c r="AZ60" s="51"/>
      <c r="BA60" s="51"/>
      <c r="BB60" s="51"/>
      <c r="BC60" s="54"/>
      <c r="BD60" s="51"/>
      <c r="BE60" s="51"/>
      <c r="BF60" s="51"/>
      <c r="BG60" s="51"/>
      <c r="BH60" s="51"/>
      <c r="BI60" s="54"/>
      <c r="BJ60" s="51"/>
      <c r="BK60" s="51"/>
      <c r="BL60" s="51"/>
      <c r="BM60" s="51"/>
      <c r="BN60" s="51"/>
      <c r="BO60" s="54"/>
      <c r="BP60" s="51"/>
      <c r="BQ60" s="51"/>
      <c r="BR60" s="51"/>
      <c r="BS60" s="51"/>
      <c r="BT60" s="51"/>
      <c r="BU60" s="54"/>
      <c r="BV60" s="51"/>
      <c r="BW60" s="51"/>
      <c r="BX60" s="51"/>
      <c r="BY60" s="51"/>
      <c r="BZ60" s="51"/>
      <c r="CA60" s="54"/>
      <c r="CB60" s="51"/>
      <c r="CC60" s="51"/>
      <c r="CD60" s="51"/>
      <c r="CE60" s="51"/>
      <c r="CF60" s="51"/>
      <c r="CG60" s="54"/>
      <c r="CH60" s="51"/>
      <c r="CI60" s="51"/>
      <c r="CJ60" s="51"/>
      <c r="CK60" s="51"/>
      <c r="CL60" s="51"/>
      <c r="CM60" s="54"/>
      <c r="CN60" s="51"/>
      <c r="CO60" s="51"/>
      <c r="CP60" s="51"/>
      <c r="CQ60" s="51"/>
      <c r="CR60" s="51"/>
      <c r="CS60" s="54"/>
      <c r="CT60" s="2911"/>
      <c r="CU60" s="31"/>
      <c r="CV60" s="63"/>
      <c r="CW60" s="63"/>
    </row>
    <row r="61" spans="1:101" outlineLevel="1">
      <c r="A61" s="253" t="s">
        <v>323</v>
      </c>
      <c r="B61" s="58"/>
      <c r="C61" s="1231">
        <f>C17/C30</f>
        <v>6.3621867881548981</v>
      </c>
      <c r="D61" s="1232">
        <f>D17/D30</f>
        <v>5.9026720795749732</v>
      </c>
      <c r="E61" s="1232">
        <f>E17/E30</f>
        <v>6.1620455322002998</v>
      </c>
      <c r="F61" s="1232">
        <f>F17/F30</f>
        <v>3.3959207072383308</v>
      </c>
      <c r="G61" s="1233">
        <f>G17/G30</f>
        <v>3.3959207072383308</v>
      </c>
      <c r="H61" s="1232"/>
      <c r="I61" s="1231">
        <f>I17/I30</f>
        <v>0.98964483178708673</v>
      </c>
      <c r="J61" s="1232">
        <f>J17/J30</f>
        <v>1.0423991046151821</v>
      </c>
      <c r="K61" s="1232">
        <f>K17/K30</f>
        <v>1.7812788111049829</v>
      </c>
      <c r="L61" s="1232">
        <f>L17/L30</f>
        <v>1.6974260044980161</v>
      </c>
      <c r="M61" s="1233">
        <f>M17/M30</f>
        <v>1.6974260044980161</v>
      </c>
      <c r="N61" s="1232"/>
      <c r="O61" s="1231">
        <f>O17/O30</f>
        <v>2.3405659097549778</v>
      </c>
      <c r="P61" s="1232">
        <f>P17/P30</f>
        <v>2.4223199283488404</v>
      </c>
      <c r="Q61" s="1232">
        <f>Q17/Q30</f>
        <v>2.4993965713621003</v>
      </c>
      <c r="R61" s="1232">
        <f>R17/R30</f>
        <v>2.2246371556264672</v>
      </c>
      <c r="S61" s="1233">
        <f>S17/S30</f>
        <v>2.2246371556264672</v>
      </c>
      <c r="T61" s="1232"/>
      <c r="U61" s="1231">
        <f>U17/U30</f>
        <v>2.3338282792033014</v>
      </c>
      <c r="V61" s="1232">
        <f>V17/V30</f>
        <v>2.2584900883251424</v>
      </c>
      <c r="W61" s="1232">
        <f>W17/W30</f>
        <v>2.2787616101545889</v>
      </c>
      <c r="X61" s="1232">
        <f>X17/X30</f>
        <v>2.3542712392683489</v>
      </c>
      <c r="Y61" s="1233">
        <f>Y17/Y30</f>
        <v>2.3542712392683489</v>
      </c>
      <c r="Z61" s="1232"/>
      <c r="AA61" s="1231">
        <f>AA17/AA30</f>
        <v>4.3771100421936042</v>
      </c>
      <c r="AB61" s="1232">
        <f>AB17/AB30</f>
        <v>5.7067550227628265</v>
      </c>
      <c r="AC61" s="1232">
        <f>AC17/AC30</f>
        <v>5.0610639507693138</v>
      </c>
      <c r="AD61" s="1232">
        <f>AD17/AD30</f>
        <v>6.5014689788702755</v>
      </c>
      <c r="AE61" s="1233">
        <f>AE17/AE30</f>
        <v>6.5014689788702755</v>
      </c>
      <c r="AF61" s="1232"/>
      <c r="AG61" s="1231">
        <f>AG17/AG30</f>
        <v>5.5894355571031591</v>
      </c>
      <c r="AH61" s="1232">
        <f>AH17/AH30</f>
        <v>5.5638377888687955</v>
      </c>
      <c r="AI61" s="1232">
        <f>AI17/AI30</f>
        <v>5.4313475135186851</v>
      </c>
      <c r="AJ61" s="1232">
        <f>AJ17/AJ30</f>
        <v>5.8674266427204165</v>
      </c>
      <c r="AK61" s="1233">
        <f>AK17/AK30</f>
        <v>5.8674266427204165</v>
      </c>
      <c r="AL61" s="1232"/>
      <c r="AM61" s="1231">
        <f>AM17/AM30</f>
        <v>3.7829175417925995</v>
      </c>
      <c r="AN61" s="1232">
        <f>AN17/AN30</f>
        <v>3.9304597975553857</v>
      </c>
      <c r="AO61" s="1232">
        <f>AO17/AO30</f>
        <v>3.6704565256310788</v>
      </c>
      <c r="AP61" s="1232">
        <f>AP17/AP30</f>
        <v>5.0224179741230754</v>
      </c>
      <c r="AQ61" s="1233">
        <f>AQ17/AQ30</f>
        <v>5.0224179741230754</v>
      </c>
      <c r="AR61" s="1232"/>
      <c r="AS61" s="1466">
        <f>AS17/AS30</f>
        <v>1.4193536323067304</v>
      </c>
      <c r="AT61" s="1517">
        <f>AT17/AT30</f>
        <v>2.4964626074580227</v>
      </c>
      <c r="AU61" s="1517">
        <f>AU17/AU30</f>
        <v>2.2267068814725808</v>
      </c>
      <c r="AV61" s="1232">
        <f>AV17/AV30</f>
        <v>2.6166060612774493</v>
      </c>
      <c r="AW61" s="1233">
        <f>AW17/AW30</f>
        <v>2.6166060612774493</v>
      </c>
      <c r="AX61" s="1232"/>
      <c r="AY61" s="1231">
        <f>AY17/AY30</f>
        <v>2.9007787387838948</v>
      </c>
      <c r="AZ61" s="1517">
        <f>AZ17/AZ30</f>
        <v>3.0862447296956219</v>
      </c>
      <c r="BA61" s="1517">
        <f>BA17/BA30</f>
        <v>3.7859064805251981</v>
      </c>
      <c r="BB61" s="1232">
        <f>BB17/BB30</f>
        <v>3.4346332642089843</v>
      </c>
      <c r="BC61" s="1233">
        <f>BC17/BC30</f>
        <v>3.4346332642089843</v>
      </c>
      <c r="BD61" s="1232"/>
      <c r="BE61" s="1231">
        <f>BE17/BE30</f>
        <v>4.3093876499289321</v>
      </c>
      <c r="BF61" s="1232">
        <f>BF17/BF30</f>
        <v>3.6852883972161985</v>
      </c>
      <c r="BG61" s="1232">
        <f>BG17/BG30</f>
        <v>3.6221958957152287</v>
      </c>
      <c r="BH61" s="1232">
        <f>BH17/BH30</f>
        <v>3.2896355005570022</v>
      </c>
      <c r="BI61" s="1233">
        <f>BI17/BI30</f>
        <v>3.2896355005570022</v>
      </c>
      <c r="BJ61" s="1232"/>
      <c r="BK61" s="1231">
        <f>BK17/BK30</f>
        <v>3.4909847434119277</v>
      </c>
      <c r="BL61" s="1232">
        <f>BL17/BL30</f>
        <v>3.8753665689149561</v>
      </c>
      <c r="BM61" s="1232">
        <f>BM17/BM30</f>
        <v>4.2180451127819545</v>
      </c>
      <c r="BN61" s="1232">
        <f>BN17/BN30</f>
        <v>3.9946380697050938</v>
      </c>
      <c r="BO61" s="1233">
        <f>BO17/BO30</f>
        <v>3.9946380697050938</v>
      </c>
      <c r="BP61" s="1232"/>
      <c r="BQ61" s="1231">
        <f>BQ17/BQ30</f>
        <v>4.3260043343234278</v>
      </c>
      <c r="BR61" s="1232">
        <f>BR17/BR30</f>
        <v>2.2270885579854558</v>
      </c>
      <c r="BS61" s="1232">
        <f>BS17/BS30</f>
        <v>2.2507154851522326</v>
      </c>
      <c r="BT61" s="1232">
        <f>BT17/BT30</f>
        <v>2.2693071580637993</v>
      </c>
      <c r="BU61" s="1233">
        <f>BU17/BU30</f>
        <v>2.2693071580637993</v>
      </c>
      <c r="BV61" s="1232"/>
      <c r="BW61" s="1231">
        <f>BW17/BW30</f>
        <v>2.370519989127561</v>
      </c>
      <c r="BX61" s="1232">
        <f>BX17/BX30</f>
        <v>2.3635062588238451</v>
      </c>
      <c r="BY61" s="1232">
        <f>BY17/BY30</f>
        <v>2.4041519993598115</v>
      </c>
      <c r="BZ61" s="1232">
        <f>BZ17/BZ30</f>
        <v>2.4351381032014632</v>
      </c>
      <c r="CA61" s="1233">
        <f>CA17/CA30</f>
        <v>2.4351381032014632</v>
      </c>
      <c r="CB61" s="1232"/>
      <c r="CC61" s="1231">
        <f>CC17/CC30</f>
        <v>2.5436881214676901</v>
      </c>
      <c r="CD61" s="1232">
        <f>CD17/CD30</f>
        <v>1.9201332531311917</v>
      </c>
      <c r="CE61" s="1232">
        <f>CE17/CE30</f>
        <v>1.9960068659524901</v>
      </c>
      <c r="CF61" s="1232">
        <f>CF17/CF30</f>
        <v>2.0686154697566326</v>
      </c>
      <c r="CG61" s="1233">
        <f>CG17/CG30</f>
        <v>2.0686154697566326</v>
      </c>
      <c r="CH61" s="1232"/>
      <c r="CI61" s="1231">
        <f>CI17/CI30</f>
        <v>2.1955639414837314</v>
      </c>
      <c r="CJ61" s="1232">
        <f>CJ17/CJ30</f>
        <v>2.2262276076249239</v>
      </c>
      <c r="CK61" s="1232">
        <f>CK17/CK30</f>
        <v>2.2888778869298747</v>
      </c>
      <c r="CL61" s="1232">
        <f>CL17/CL30</f>
        <v>2.3422563103774579</v>
      </c>
      <c r="CM61" s="1233">
        <f>CM17/CM30</f>
        <v>2.3422563103774579</v>
      </c>
      <c r="CN61" s="1232"/>
      <c r="CO61" s="1231">
        <f>CO17/CO30</f>
        <v>2.4643493968314241</v>
      </c>
      <c r="CP61" s="1232">
        <f>CP17/CP30</f>
        <v>2.5081441784929885</v>
      </c>
      <c r="CQ61" s="1232">
        <f>CQ17/CQ30</f>
        <v>2.5901171140728132</v>
      </c>
      <c r="CR61" s="1232">
        <f>CR17/CR30</f>
        <v>2.6596074797844014</v>
      </c>
      <c r="CS61" s="1233">
        <f>CS17/CS30</f>
        <v>2.6596074797844014</v>
      </c>
      <c r="CT61" s="1235"/>
      <c r="CU61" s="31"/>
      <c r="CV61" s="63"/>
      <c r="CW61" s="63"/>
    </row>
    <row r="62" spans="1:101" outlineLevel="1">
      <c r="A62" s="1237" t="s">
        <v>324</v>
      </c>
      <c r="B62" s="59"/>
      <c r="C62" s="1234">
        <f>(C10+C13)/C30</f>
        <v>5.6939815369859739</v>
      </c>
      <c r="D62" s="1235">
        <f>(D10+D13)/D30</f>
        <v>5.2306316655135952</v>
      </c>
      <c r="E62" s="1235">
        <f>(E10+E13)/E30</f>
        <v>5.4762404930334965</v>
      </c>
      <c r="F62" s="1235">
        <f>(F10+F13)/F30</f>
        <v>2.8313731406330147</v>
      </c>
      <c r="G62" s="1236">
        <f>(G10+G13)/G30</f>
        <v>2.8313731406330147</v>
      </c>
      <c r="H62" s="1235"/>
      <c r="I62" s="1234">
        <f>(I10+I13)/I30</f>
        <v>0.78103355739003766</v>
      </c>
      <c r="J62" s="1235">
        <f>(J10+J13)/J30</f>
        <v>0.83378596352623602</v>
      </c>
      <c r="K62" s="1235">
        <f>(K10+K13)/K30</f>
        <v>1.5748707125514148</v>
      </c>
      <c r="L62" s="1235">
        <f>(L10+L13)/L30</f>
        <v>1.5176702161481128</v>
      </c>
      <c r="M62" s="1236">
        <f>(M10+M13)/M30</f>
        <v>1.5176702161481128</v>
      </c>
      <c r="N62" s="1235"/>
      <c r="O62" s="1234">
        <f>(O10+O13)/O30</f>
        <v>2.1059058938932256</v>
      </c>
      <c r="P62" s="1235">
        <f>(P10+P13)/P30</f>
        <v>2.1930090772939352</v>
      </c>
      <c r="Q62" s="1235">
        <f>(Q10+Q13)/Q30</f>
        <v>2.2364058917899774</v>
      </c>
      <c r="R62" s="1235">
        <f>(R10+R13)/R30</f>
        <v>1.929303139363062</v>
      </c>
      <c r="S62" s="1236">
        <f>(S10+S13)/S30</f>
        <v>1.929303139363062</v>
      </c>
      <c r="T62" s="1235"/>
      <c r="U62" s="1234">
        <f>(U10+U13)/U30</f>
        <v>2.0276556612237573</v>
      </c>
      <c r="V62" s="1235">
        <f>(V10+V13)/V30</f>
        <v>1.9369251394607516</v>
      </c>
      <c r="W62" s="1235">
        <f>(W10+W13)/W30</f>
        <v>1.9532116764983294</v>
      </c>
      <c r="X62" s="1235">
        <f>(X10+X13)/X30</f>
        <v>1.9828873543778778</v>
      </c>
      <c r="Y62" s="1236">
        <f>(Y10+Y13)/Y30</f>
        <v>1.9828873543778778</v>
      </c>
      <c r="Z62" s="1235"/>
      <c r="AA62" s="1234">
        <f>(AA10+AA13)/AA30</f>
        <v>3.8126627146965215</v>
      </c>
      <c r="AB62" s="1235">
        <f>(AB10+AB13)/AB30</f>
        <v>5.0178235573289269</v>
      </c>
      <c r="AC62" s="1235">
        <f>(AC10+AC13)/AC30</f>
        <v>4.3781463125771749</v>
      </c>
      <c r="AD62" s="1235">
        <f>(AD10+AD13)/AD30</f>
        <v>5.7389258355080397</v>
      </c>
      <c r="AE62" s="1236">
        <f>(AE10+AE13)/AE30</f>
        <v>5.7389258355080397</v>
      </c>
      <c r="AF62" s="1235"/>
      <c r="AG62" s="1234">
        <f>(AG10+AG13)/AG30</f>
        <v>5.0135426694796639</v>
      </c>
      <c r="AH62" s="1235">
        <f>(AH10+AH13)/AH30</f>
        <v>4.9817577664044723</v>
      </c>
      <c r="AI62" s="1235">
        <f>(AI10+AI13)/AI30</f>
        <v>4.7879108806033663</v>
      </c>
      <c r="AJ62" s="1235">
        <f>(AJ10+AJ13)/AJ30</f>
        <v>5.1389626720863104</v>
      </c>
      <c r="AK62" s="1236">
        <f>(AK10+AK13)/AK30</f>
        <v>5.1389626720863104</v>
      </c>
      <c r="AL62" s="1235"/>
      <c r="AM62" s="1234">
        <f>(AM10+AM13)/AM30</f>
        <v>3.1182560417230767</v>
      </c>
      <c r="AN62" s="1235">
        <f>(AN10+AN13)/AN30</f>
        <v>3.1915488922841866</v>
      </c>
      <c r="AO62" s="1235">
        <f>(AO10+AO13)/AO30</f>
        <v>3.0158811243062598</v>
      </c>
      <c r="AP62" s="1235">
        <f>(AP10+AP13)/AP30</f>
        <v>4.3611001574226158</v>
      </c>
      <c r="AQ62" s="1236">
        <f>(AQ10+AQ13)/AQ30</f>
        <v>4.3611001574226158</v>
      </c>
      <c r="AR62" s="1235"/>
      <c r="AS62" s="1467">
        <f>(AS10+AS13)/AS30</f>
        <v>1.2044462457567935</v>
      </c>
      <c r="AT62" s="1518">
        <f>(AT10+AT13)/AT30</f>
        <v>2.0975590220068487</v>
      </c>
      <c r="AU62" s="1518">
        <f>(AU10+AU13)/AU30</f>
        <v>1.8076835501126223</v>
      </c>
      <c r="AV62" s="1235">
        <f>(AV10+AV13)/AV30</f>
        <v>2.2541175199887009</v>
      </c>
      <c r="AW62" s="1236">
        <f>(AW10+AW13)/AW30</f>
        <v>2.2541175199887009</v>
      </c>
      <c r="AX62" s="1235"/>
      <c r="AY62" s="1234">
        <f>(AY10+AY13)/AY30</f>
        <v>2.4167977236216491</v>
      </c>
      <c r="AZ62" s="1518">
        <f>(AZ10+AZ13)/AZ30</f>
        <v>2.59152503334239</v>
      </c>
      <c r="BA62" s="1518">
        <f>(BA10+BA13)/BA30</f>
        <v>3.1735168029157825</v>
      </c>
      <c r="BB62" s="1235">
        <f>(BB10+BB13)/BB30</f>
        <v>2.9021562865482706</v>
      </c>
      <c r="BC62" s="1236">
        <f>(BC10+BC13)/BC30</f>
        <v>2.9021562865482706</v>
      </c>
      <c r="BD62" s="1235"/>
      <c r="BE62" s="1234">
        <f>(BE10+BE13)/BE30</f>
        <v>3.6273990707107653</v>
      </c>
      <c r="BF62" s="1235">
        <f>(BF10+BF13)/BF30</f>
        <v>3.0915122259921208</v>
      </c>
      <c r="BG62" s="1235">
        <f>(BG10+BG13)/BG30</f>
        <v>3.0498254764611876</v>
      </c>
      <c r="BH62" s="1235">
        <f>(BH10+BH13)/BH30</f>
        <v>2.753138015936651</v>
      </c>
      <c r="BI62" s="1236">
        <f>(BI10+BI13)/BI30</f>
        <v>2.753138015936651</v>
      </c>
      <c r="BJ62" s="1235"/>
      <c r="BK62" s="1234">
        <f>(BK10+BK13)/BK30</f>
        <v>2.9764216366158114</v>
      </c>
      <c r="BL62" s="1235">
        <f>(BL10+BL13)/BL30</f>
        <v>3.3211143695014664</v>
      </c>
      <c r="BM62" s="1235">
        <f>(BM10+BM13)/BM30</f>
        <v>3.6451127819548872</v>
      </c>
      <c r="BN62" s="1235">
        <f>(BN10+BN13)/BN30</f>
        <v>3.4262734584450403</v>
      </c>
      <c r="BO62" s="1236">
        <f>(BO10+BO13)/BO30</f>
        <v>3.4262734584450403</v>
      </c>
      <c r="BP62" s="1235"/>
      <c r="BQ62" s="1234">
        <f>(BQ10+BQ13)/BQ30</f>
        <v>3.6486272284338752</v>
      </c>
      <c r="BR62" s="1235">
        <f>(BR10+BR13)/BR30</f>
        <v>1.8901564905521724</v>
      </c>
      <c r="BS62" s="1235">
        <f>(BS10+BS13)/BS30</f>
        <v>1.8997648941185425</v>
      </c>
      <c r="BT62" s="1235">
        <f>(BT10+BT13)/BT30</f>
        <v>1.9091813353030787</v>
      </c>
      <c r="BU62" s="1236">
        <f>(BU10+BU13)/BU30</f>
        <v>1.9091813353030787</v>
      </c>
      <c r="BV62" s="1235"/>
      <c r="BW62" s="1234">
        <f>(BW10+BW13)/BW30</f>
        <v>1.9858382904273919</v>
      </c>
      <c r="BX62" s="1235">
        <f>(BX10+BX13)/BX30</f>
        <v>1.9984752842945337</v>
      </c>
      <c r="BY62" s="1235">
        <f>(BY10+BY13)/BY30</f>
        <v>2.0256170679064995</v>
      </c>
      <c r="BZ62" s="1235">
        <f>(BZ10+BZ13)/BZ30</f>
        <v>2.0468187623153464</v>
      </c>
      <c r="CA62" s="1236">
        <f>(CA10+CA13)/CA30</f>
        <v>2.0468187623153464</v>
      </c>
      <c r="CB62" s="1235"/>
      <c r="CC62" s="1234">
        <f>(CC10+CC13)/CC30</f>
        <v>2.1366939606177526</v>
      </c>
      <c r="CD62" s="1235">
        <f>(CD10+CD13)/CD30</f>
        <v>1.6332220523559802</v>
      </c>
      <c r="CE62" s="1235">
        <f>(CE10+CE13)/CE30</f>
        <v>1.6991436409099034</v>
      </c>
      <c r="CF62" s="1235">
        <f>(CF10+CF13)/CF30</f>
        <v>1.7634240564486221</v>
      </c>
      <c r="CG62" s="1236">
        <f>(CG10+CG13)/CG30</f>
        <v>1.7634240564486221</v>
      </c>
      <c r="CH62" s="1235"/>
      <c r="CI62" s="1234">
        <f>(CI10+CI13)/CI30</f>
        <v>1.8781430809170678</v>
      </c>
      <c r="CJ62" s="1235">
        <f>(CJ10+CJ13)/CJ30</f>
        <v>1.9214946337856837</v>
      </c>
      <c r="CK62" s="1235">
        <f>(CK10+CK13)/CK30</f>
        <v>1.9736671630733931</v>
      </c>
      <c r="CL62" s="1235">
        <f>(CL10+CL13)/CL30</f>
        <v>2.0178267509935588</v>
      </c>
      <c r="CM62" s="1236">
        <f>(CM10+CM13)/CM30</f>
        <v>2.0178267509935588</v>
      </c>
      <c r="CN62" s="1235"/>
      <c r="CO62" s="1234">
        <f>(CO10+CO13)/CO30</f>
        <v>2.1299499378954652</v>
      </c>
      <c r="CP62" s="1235">
        <f>(CP10+CP13)/CP30</f>
        <v>2.1860488765771704</v>
      </c>
      <c r="CQ62" s="1235">
        <f>(CQ10+CQ13)/CQ30</f>
        <v>2.2562775903396077</v>
      </c>
      <c r="CR62" s="1235">
        <f>(CR10+CR13)/CR30</f>
        <v>2.3158631884492178</v>
      </c>
      <c r="CS62" s="1236">
        <f>(CS10+CS13)/CS30</f>
        <v>2.3158631884492178</v>
      </c>
      <c r="CT62" s="1235"/>
      <c r="CU62" s="31"/>
      <c r="CV62" s="63"/>
      <c r="CW62" s="63"/>
    </row>
    <row r="63" spans="1:101" outlineLevel="1">
      <c r="A63" s="1237" t="s">
        <v>325</v>
      </c>
      <c r="B63" s="1237"/>
      <c r="C63" s="1234">
        <f>C10/C30</f>
        <v>4.897809015705552</v>
      </c>
      <c r="D63" s="1235">
        <f>D10/D30</f>
        <v>4.4808176798464894</v>
      </c>
      <c r="E63" s="1235">
        <f>E10/E30</f>
        <v>4.4652940357626454</v>
      </c>
      <c r="F63" s="1235">
        <f>F10/F30</f>
        <v>2.3297951301934043</v>
      </c>
      <c r="G63" s="1236">
        <f>G10/G30</f>
        <v>2.3297951301934043</v>
      </c>
      <c r="H63" s="1235"/>
      <c r="I63" s="1234">
        <f>I10/I30</f>
        <v>0.5863427641611505</v>
      </c>
      <c r="J63" s="1235">
        <f>J10/J30</f>
        <v>0.62396100796629139</v>
      </c>
      <c r="K63" s="1235">
        <f>K10/K30</f>
        <v>1.3221755704217182</v>
      </c>
      <c r="L63" s="1235">
        <f>L10/L30</f>
        <v>1.2561376722571327</v>
      </c>
      <c r="M63" s="1236">
        <f>M10/M30</f>
        <v>1.2561376722571327</v>
      </c>
      <c r="N63" s="1235"/>
      <c r="O63" s="1234">
        <f>O10/O30</f>
        <v>1.7546802604666696</v>
      </c>
      <c r="P63" s="1235">
        <f>P10/P30</f>
        <v>1.8124215081779536</v>
      </c>
      <c r="Q63" s="1235">
        <f>Q10/Q30</f>
        <v>1.8416205815210278</v>
      </c>
      <c r="R63" s="1235">
        <f>R10/R30</f>
        <v>1.571782447488419</v>
      </c>
      <c r="S63" s="1236">
        <f>S10/S30</f>
        <v>1.571782447488419</v>
      </c>
      <c r="T63" s="1235"/>
      <c r="U63" s="1234">
        <f>U10/U30</f>
        <v>1.6776870626233629</v>
      </c>
      <c r="V63" s="1235">
        <f>V10/V30</f>
        <v>1.6299060300172665</v>
      </c>
      <c r="W63" s="1235">
        <f>W10/W30</f>
        <v>1.6122647994500665</v>
      </c>
      <c r="X63" s="1235">
        <f>X10/X30</f>
        <v>1.6730786859912783</v>
      </c>
      <c r="Y63" s="1236">
        <f>Y10/Y30</f>
        <v>1.6730786859912783</v>
      </c>
      <c r="Z63" s="1235"/>
      <c r="AA63" s="1234">
        <f>AA10/AA30</f>
        <v>3.2858247445071571</v>
      </c>
      <c r="AB63" s="1235">
        <f>AB10/AB30</f>
        <v>4.3378179325376589</v>
      </c>
      <c r="AC63" s="1235">
        <f>AC10/AC30</f>
        <v>3.8093555800049121</v>
      </c>
      <c r="AD63" s="1235">
        <f>AD10/AD30</f>
        <v>5.0070207929960437</v>
      </c>
      <c r="AE63" s="1236">
        <f>AE10/AE30</f>
        <v>5.0070207929960437</v>
      </c>
      <c r="AF63" s="1235"/>
      <c r="AG63" s="1234">
        <f>AG10/AG30</f>
        <v>4.3231498740296184</v>
      </c>
      <c r="AH63" s="1235">
        <f>AH10/AH30</f>
        <v>4.3514128788765163</v>
      </c>
      <c r="AI63" s="1235">
        <f>AI10/AI30</f>
        <v>4.0681955400710654</v>
      </c>
      <c r="AJ63" s="1235">
        <f>AJ10/AJ30</f>
        <v>4.4331338177305124</v>
      </c>
      <c r="AK63" s="1236">
        <f>AK10/AK30</f>
        <v>4.4331338177305124</v>
      </c>
      <c r="AL63" s="1235"/>
      <c r="AM63" s="1234">
        <f>AM10/AM30</f>
        <v>2.6039600820605893</v>
      </c>
      <c r="AN63" s="1235">
        <f>AN10/AN30</f>
        <v>2.696387987012987</v>
      </c>
      <c r="AO63" s="1235">
        <f>AO10/AO30</f>
        <v>2.4538783791848182</v>
      </c>
      <c r="AP63" s="1235">
        <f>AP10/AP30</f>
        <v>3.619176993321183</v>
      </c>
      <c r="AQ63" s="1236">
        <f>AQ10/AQ30</f>
        <v>3.619176993321183</v>
      </c>
      <c r="AR63" s="1235"/>
      <c r="AS63" s="1467">
        <f>AS10/AS30</f>
        <v>0.9495755271230385</v>
      </c>
      <c r="AT63" s="1518">
        <f>AT10/AT30</f>
        <v>1.6990821109445835</v>
      </c>
      <c r="AU63" s="1518">
        <f>AU10/AU30</f>
        <v>1.4846164355249467</v>
      </c>
      <c r="AV63" s="1235">
        <f>AV10/AV30</f>
        <v>1.8532938775171086</v>
      </c>
      <c r="AW63" s="1236">
        <f>AW10/AW30</f>
        <v>1.8532938775171086</v>
      </c>
      <c r="AX63" s="1235"/>
      <c r="AY63" s="1234">
        <f>AY10/AY30</f>
        <v>1.9239522366036796</v>
      </c>
      <c r="AZ63" s="1518">
        <f>AZ10/AZ30</f>
        <v>2.0831332330188275</v>
      </c>
      <c r="BA63" s="1518">
        <f>BA10/BA30</f>
        <v>2.4653399719451854</v>
      </c>
      <c r="BB63" s="1235">
        <f>BB10/BB30</f>
        <v>2.270652946630106</v>
      </c>
      <c r="BC63" s="1236">
        <f>BC10/BC30</f>
        <v>2.270652946630106</v>
      </c>
      <c r="BD63" s="1235"/>
      <c r="BE63" s="1234">
        <f>BE10/BE30</f>
        <v>2.7909681065939638</v>
      </c>
      <c r="BF63" s="1235">
        <f>BF10/BF30</f>
        <v>2.450969635791143</v>
      </c>
      <c r="BG63" s="1235">
        <f>BG10/BG30</f>
        <v>2.4429574385192137</v>
      </c>
      <c r="BH63" s="1235">
        <f>BH10/BH30</f>
        <v>2.2120071239525165</v>
      </c>
      <c r="BI63" s="1236">
        <f>BI10/BI30</f>
        <v>2.2120071239525165</v>
      </c>
      <c r="BJ63" s="1235"/>
      <c r="BK63" s="1234">
        <f>BK10/BK30</f>
        <v>2.4660194174757279</v>
      </c>
      <c r="BL63" s="1235">
        <f>BL10/BL30</f>
        <v>2.775659824046921</v>
      </c>
      <c r="BM63" s="1235">
        <f>BM10/BM30</f>
        <v>3.0691729323308272</v>
      </c>
      <c r="BN63" s="1235">
        <f>BN10/BN30</f>
        <v>2.8753351206434314</v>
      </c>
      <c r="BO63" s="1236">
        <f>BO10/BO30</f>
        <v>2.8753351206434314</v>
      </c>
      <c r="BP63" s="1235"/>
      <c r="BQ63" s="1234">
        <f>BQ10/BQ30</f>
        <v>2.9304776119346778</v>
      </c>
      <c r="BR63" s="1235">
        <f>BR10/BR30</f>
        <v>1.5599560301188369</v>
      </c>
      <c r="BS63" s="1235">
        <f>BS10/BS30</f>
        <v>1.580864594066498</v>
      </c>
      <c r="BT63" s="1235">
        <f>BT10/BT30</f>
        <v>1.5872614350938019</v>
      </c>
      <c r="BU63" s="1236">
        <f>BU10/BU30</f>
        <v>1.5872614350938019</v>
      </c>
      <c r="BV63" s="1235"/>
      <c r="BW63" s="1234">
        <f>BW10/BW30</f>
        <v>1.5886284649471998</v>
      </c>
      <c r="BX63" s="1235">
        <f>BX10/BX30</f>
        <v>1.6503347702771018</v>
      </c>
      <c r="BY63" s="1235">
        <f>BY10/BY30</f>
        <v>1.6905435633914785</v>
      </c>
      <c r="BZ63" s="1235">
        <f>BZ10/BZ30</f>
        <v>1.7092208087334604</v>
      </c>
      <c r="CA63" s="1236">
        <f>CA10/CA30</f>
        <v>1.7092208087334604</v>
      </c>
      <c r="CB63" s="1235"/>
      <c r="CC63" s="1234">
        <f>CC10/CC30</f>
        <v>1.7219430576095363</v>
      </c>
      <c r="CD63" s="1235">
        <f>CD10/CD30</f>
        <v>1.3641736717223985</v>
      </c>
      <c r="CE63" s="1235">
        <f>CE10/CE30</f>
        <v>1.4408638347662852</v>
      </c>
      <c r="CF63" s="1235">
        <f>CF10/CF30</f>
        <v>1.5028164259622829</v>
      </c>
      <c r="CG63" s="1236">
        <f>CG10/CG30</f>
        <v>1.5028164259622829</v>
      </c>
      <c r="CH63" s="1235"/>
      <c r="CI63" s="1234">
        <f>CI10/CI30</f>
        <v>1.5592613413898164</v>
      </c>
      <c r="CJ63" s="1235">
        <f>CJ10/CJ30</f>
        <v>1.6406112969632143</v>
      </c>
      <c r="CK63" s="1235">
        <f>CK10/CK30</f>
        <v>1.7042853342683182</v>
      </c>
      <c r="CL63" s="1235">
        <f>CL10/CL30</f>
        <v>1.7457786289882773</v>
      </c>
      <c r="CM63" s="1236">
        <f>CM10/CM30</f>
        <v>1.7457786289882773</v>
      </c>
      <c r="CN63" s="1235"/>
      <c r="CO63" s="1234">
        <f>CO10/CO30</f>
        <v>1.7978271571534599</v>
      </c>
      <c r="CP63" s="1235">
        <f>CP10/CP30</f>
        <v>1.89283375309326</v>
      </c>
      <c r="CQ63" s="1235">
        <f>CQ10/CQ30</f>
        <v>1.9745598214960796</v>
      </c>
      <c r="CR63" s="1235">
        <f>CR10/CR30</f>
        <v>2.0313773741513557</v>
      </c>
      <c r="CS63" s="1236">
        <f>CS10/CS30</f>
        <v>2.0313773741513557</v>
      </c>
      <c r="CT63" s="1235"/>
      <c r="CU63" s="31"/>
      <c r="CV63" s="63"/>
      <c r="CW63" s="63"/>
    </row>
    <row r="64" spans="1:101" outlineLevel="1">
      <c r="A64" s="257" t="s">
        <v>326</v>
      </c>
      <c r="B64" s="1238"/>
      <c r="C64" s="1239">
        <f>(C17-C14)/C30</f>
        <v>5.8175878192063308</v>
      </c>
      <c r="D64" s="1240">
        <f>(D17-D14)/D30</f>
        <v>5.342697142558773</v>
      </c>
      <c r="E64" s="1240">
        <f>(E17-E14)/E30</f>
        <v>5.5894762151833044</v>
      </c>
      <c r="F64" s="1240">
        <f>(F17-F14)/F30</f>
        <v>3.0701807319796033</v>
      </c>
      <c r="G64" s="1241">
        <f>(G17-G14)/G30</f>
        <v>3.0701807319796033</v>
      </c>
      <c r="H64" s="1240"/>
      <c r="I64" s="1239">
        <f>(I17-I14)/I30</f>
        <v>0.87289467631047635</v>
      </c>
      <c r="J64" s="1240">
        <f>(J17-J14)/J30</f>
        <v>0.90255283428797162</v>
      </c>
      <c r="K64" s="1240">
        <f>(K17-K14)/K30</f>
        <v>1.632803293802547</v>
      </c>
      <c r="L64" s="1240">
        <f>(L17-L14)/L30</f>
        <v>1.5533187586104036</v>
      </c>
      <c r="M64" s="1241">
        <f>(M17-M14)/M30</f>
        <v>1.5533187586104036</v>
      </c>
      <c r="N64" s="1240"/>
      <c r="O64" s="1239">
        <f>(O17-O14)/O30</f>
        <v>2.1600810827733024</v>
      </c>
      <c r="P64" s="1240">
        <f>(P17-P14)/P30</f>
        <v>2.2479638388638454</v>
      </c>
      <c r="Q64" s="1240">
        <f>(Q17-Q14)/Q30</f>
        <v>2.303466443066871</v>
      </c>
      <c r="R64" s="1240">
        <f>(R17-R14)/R30</f>
        <v>2.0143732605680404</v>
      </c>
      <c r="S64" s="1241">
        <f>(S17-S14)/S30</f>
        <v>2.0143732605680404</v>
      </c>
      <c r="T64" s="1240"/>
      <c r="U64" s="1239">
        <f>(U17-U14)/U30</f>
        <v>2.1081352054548717</v>
      </c>
      <c r="V64" s="1240">
        <f>(V17-V14)/V30</f>
        <v>2.0106048279984061</v>
      </c>
      <c r="W64" s="1240">
        <f>(W17-W14)/W30</f>
        <v>2.01892395248829</v>
      </c>
      <c r="X64" s="1240">
        <f>(X17-X14)/X30</f>
        <v>2.0882160904143365</v>
      </c>
      <c r="Y64" s="1241">
        <f>(Y17-Y14)/Y30</f>
        <v>2.0882160904143365</v>
      </c>
      <c r="Z64" s="1240"/>
      <c r="AA64" s="1239">
        <f>(AA17-AA14)/AA30</f>
        <v>3.9406712171276492</v>
      </c>
      <c r="AB64" s="1240">
        <f>(AB17-AB14)/AB30</f>
        <v>5.2055052644530759</v>
      </c>
      <c r="AC64" s="1240">
        <f>(AC17-AC14)/AC30</f>
        <v>4.5924942717848811</v>
      </c>
      <c r="AD64" s="1240">
        <f>(AD17-AD14)/AD30</f>
        <v>5.959415775738699</v>
      </c>
      <c r="AE64" s="1241">
        <f>(AE17-AE14)/AE30</f>
        <v>5.959415775738699</v>
      </c>
      <c r="AF64" s="1240"/>
      <c r="AG64" s="1239">
        <f>(AG17-AG14)/AG30</f>
        <v>5.1501300669793739</v>
      </c>
      <c r="AH64" s="1240">
        <f>(AH17-AH14)/AH30</f>
        <v>5.1164099872635322</v>
      </c>
      <c r="AI64" s="1240">
        <f>(AI17-AI14)/AI30</f>
        <v>4.9441007723549069</v>
      </c>
      <c r="AJ64" s="1240">
        <f>(AJ17-AJ14)/AJ30</f>
        <v>5.3463067724766962</v>
      </c>
      <c r="AK64" s="1241">
        <f>(AK17-AK14)/AK30</f>
        <v>5.3463067724766962</v>
      </c>
      <c r="AL64" s="1240"/>
      <c r="AM64" s="1239">
        <f>(AM17-AM14)/AM30</f>
        <v>3.3732024852356801</v>
      </c>
      <c r="AN64" s="1240">
        <f>(AN17-AN14)/AN30</f>
        <v>3.5292231665393428</v>
      </c>
      <c r="AO64" s="1240">
        <f>(AO17-AO14)/AO30</f>
        <v>3.2888464522289187</v>
      </c>
      <c r="AP64" s="1240">
        <f>(AP17-AP14)/AP30</f>
        <v>4.5439432657585623</v>
      </c>
      <c r="AQ64" s="1241">
        <f>(AQ17-AQ14)/AQ30</f>
        <v>4.5439432657585623</v>
      </c>
      <c r="AR64" s="1240"/>
      <c r="AS64" s="1468">
        <f>(AS17-AS14)/AS30</f>
        <v>1.2765166175412843</v>
      </c>
      <c r="AT64" s="1519">
        <f>(AT17-AT14)/AT30</f>
        <v>2.2229997520051397</v>
      </c>
      <c r="AU64" s="1519">
        <f>(AU17-AU14)/AU30</f>
        <v>1.9939911326586492</v>
      </c>
      <c r="AV64" s="1240">
        <f>(AV17-AV14)/AV30</f>
        <v>2.3519216016439621</v>
      </c>
      <c r="AW64" s="1241">
        <f>(AW17-AW14)/AW30</f>
        <v>2.3519216016439621</v>
      </c>
      <c r="AX64" s="1240"/>
      <c r="AY64" s="1239">
        <f>(AY17-AY14)/AY30</f>
        <v>2.6118893180016642</v>
      </c>
      <c r="AZ64" s="1519">
        <f>(AZ17-AZ14)/AZ30</f>
        <v>2.7778258968654703</v>
      </c>
      <c r="BA64" s="1519">
        <f>(BA17-BA14)/BA30</f>
        <v>3.3854985039144867</v>
      </c>
      <c r="BB64" s="1240">
        <f>(BB17-BB14)/BB30</f>
        <v>2.9910957355846244</v>
      </c>
      <c r="BC64" s="1241">
        <f>(BC17-BC14)/BC30</f>
        <v>2.9910957355846244</v>
      </c>
      <c r="BD64" s="1240"/>
      <c r="BE64" s="1239">
        <f>(BE17-BE14)/BE30</f>
        <v>3.7110870522912225</v>
      </c>
      <c r="BF64" s="1240">
        <f>(BF17-BF14)/BF30</f>
        <v>3.1498451437385961</v>
      </c>
      <c r="BG64" s="1240">
        <f>(BG17-BG14)/BG30</f>
        <v>3.1256712596703538</v>
      </c>
      <c r="BH64" s="1240">
        <f>(BH17-BH14)/BH30</f>
        <v>2.8636600370388767</v>
      </c>
      <c r="BI64" s="1241">
        <f>(BI17-BI14)/BI30</f>
        <v>2.8636600370388767</v>
      </c>
      <c r="BJ64" s="1240"/>
      <c r="BK64" s="1239">
        <f>(BK17-BK14)/BK30</f>
        <v>3.0762829403606102</v>
      </c>
      <c r="BL64" s="1240">
        <f>(BL17-BL14)/BL30</f>
        <v>3.4222873900293256</v>
      </c>
      <c r="BM64" s="1240">
        <f>(BM17-BM14)/BM30</f>
        <v>3.7263157894736842</v>
      </c>
      <c r="BN64" s="1240">
        <f>(BN17-BN14)/BN30</f>
        <v>3.5482573726541555</v>
      </c>
      <c r="BO64" s="1241">
        <f>(BO17-BO14)/BO30</f>
        <v>3.5482573726541555</v>
      </c>
      <c r="BP64" s="1240"/>
      <c r="BQ64" s="1239">
        <f>(BQ17-BQ14)/BQ30</f>
        <v>3.7993443504369688</v>
      </c>
      <c r="BR64" s="1240">
        <f>(BR17-BR14)/BR30</f>
        <v>1.9661581770230672</v>
      </c>
      <c r="BS64" s="1240">
        <f>(BS17-BS14)/BS30</f>
        <v>1.9766466775001299</v>
      </c>
      <c r="BT64" s="1240">
        <f>(BT17-BT14)/BT30</f>
        <v>1.9879683185003219</v>
      </c>
      <c r="BU64" s="1241">
        <f>(BU17-BU14)/BU30</f>
        <v>1.9879683185003219</v>
      </c>
      <c r="BV64" s="1240"/>
      <c r="BW64" s="1239">
        <f>(BW17-BW14)/BW30</f>
        <v>2.0725845952011936</v>
      </c>
      <c r="BX64" s="1240">
        <f>(BX17-BX14)/BX30</f>
        <v>2.0819326070476714</v>
      </c>
      <c r="BY64" s="1240">
        <f>(BY17-BY14)/BY30</f>
        <v>2.1097910635800408</v>
      </c>
      <c r="BZ64" s="1240">
        <f>(BZ17-BZ14)/BZ30</f>
        <v>2.1329269576913843</v>
      </c>
      <c r="CA64" s="1241">
        <f>(CA17-CA14)/CA30</f>
        <v>2.1329269576913843</v>
      </c>
      <c r="CB64" s="1240"/>
      <c r="CC64" s="1239">
        <f>(CC17-CC14)/CC30</f>
        <v>2.2280996891857212</v>
      </c>
      <c r="CD64" s="1240">
        <f>(CD17-CD14)/CD30</f>
        <v>1.6983674350137774</v>
      </c>
      <c r="CE64" s="1240">
        <f>(CE17-CE14)/CE30</f>
        <v>1.7647099760180474</v>
      </c>
      <c r="CF64" s="1240">
        <f>(CF17-CF14)/CF30</f>
        <v>1.8306063106038961</v>
      </c>
      <c r="CG64" s="1241">
        <f>(CG17-CG14)/CG30</f>
        <v>1.8306063106038961</v>
      </c>
      <c r="CH64" s="1240"/>
      <c r="CI64" s="1239">
        <f>(CI17-CI14)/CI30</f>
        <v>1.9490693553259808</v>
      </c>
      <c r="CJ64" s="1240">
        <f>(CJ17-CJ14)/CJ30</f>
        <v>1.9901961757210016</v>
      </c>
      <c r="CK64" s="1240">
        <f>(CK17-CK14)/CK30</f>
        <v>2.0427801377938692</v>
      </c>
      <c r="CL64" s="1240">
        <f>(CL17-CL14)/CL30</f>
        <v>2.0887168648904093</v>
      </c>
      <c r="CM64" s="1241">
        <f>(CM17-CM14)/CM30</f>
        <v>2.0887168648904093</v>
      </c>
      <c r="CN64" s="1240"/>
      <c r="CO64" s="1239">
        <f>(CO17-CO14)/CO30</f>
        <v>2.2045097165656973</v>
      </c>
      <c r="CP64" s="1240">
        <f>(CP17-CP14)/CP30</f>
        <v>2.2585022981742999</v>
      </c>
      <c r="CQ64" s="1240">
        <f>(CQ17-CQ14)/CQ30</f>
        <v>2.3293335455727853</v>
      </c>
      <c r="CR64" s="1240">
        <f>(CR17-CR14)/CR30</f>
        <v>2.3908049458179503</v>
      </c>
      <c r="CS64" s="1241">
        <f>(CS17-CS14)/CS30</f>
        <v>2.3908049458179503</v>
      </c>
      <c r="CT64" s="1235"/>
      <c r="CU64" s="31"/>
      <c r="CV64" s="63"/>
      <c r="CW64" s="63"/>
    </row>
    <row r="65" spans="1:101" outlineLevel="1">
      <c r="A65" s="256"/>
      <c r="B65" s="256"/>
      <c r="C65" s="1158"/>
      <c r="D65" s="1158"/>
      <c r="E65" s="1158"/>
      <c r="F65" s="1158"/>
      <c r="G65" s="1201"/>
      <c r="H65" s="1201"/>
      <c r="I65" s="1158"/>
      <c r="J65" s="1158"/>
      <c r="K65" s="1158"/>
      <c r="L65" s="1158"/>
      <c r="M65" s="1158"/>
      <c r="N65" s="1158"/>
      <c r="O65" s="1158"/>
      <c r="P65" s="1158"/>
      <c r="Q65" s="1158"/>
      <c r="R65" s="1158"/>
      <c r="S65" s="1158"/>
      <c r="T65" s="1158"/>
      <c r="U65" s="1158"/>
      <c r="V65" s="1158"/>
      <c r="W65" s="1158"/>
      <c r="X65" s="1158"/>
      <c r="Y65" s="1158"/>
      <c r="Z65" s="1158"/>
      <c r="AA65" s="1158"/>
      <c r="AB65" s="1158"/>
      <c r="AC65" s="1158"/>
      <c r="AD65" s="1158"/>
      <c r="AE65" s="1158"/>
      <c r="AF65" s="1158"/>
      <c r="AG65" s="1158"/>
      <c r="AH65" s="1158"/>
      <c r="AI65" s="1158"/>
      <c r="AJ65" s="1158"/>
      <c r="AK65" s="1158"/>
      <c r="AL65" s="1158"/>
      <c r="AM65" s="1158"/>
      <c r="AN65" s="1158"/>
      <c r="AO65" s="1158"/>
      <c r="AP65" s="1158"/>
      <c r="AQ65" s="1160"/>
      <c r="AR65" s="1160"/>
      <c r="AS65" s="1459"/>
      <c r="AT65" s="1459"/>
      <c r="AU65" s="1459"/>
      <c r="AV65" s="1160"/>
      <c r="AW65" s="1160"/>
      <c r="AX65" s="1160"/>
      <c r="AY65" s="1160"/>
      <c r="AZ65" s="1459"/>
      <c r="BA65" s="1160"/>
      <c r="BB65" s="1160"/>
      <c r="BC65" s="1160"/>
      <c r="BD65" s="1160"/>
      <c r="BE65" s="1160"/>
      <c r="BF65" s="1160"/>
      <c r="BG65" s="1160"/>
      <c r="BH65" s="1160"/>
      <c r="BI65" s="1160"/>
      <c r="BJ65" s="1160"/>
      <c r="BK65" s="1160"/>
      <c r="BL65" s="1160"/>
      <c r="BM65" s="1160"/>
      <c r="BN65" s="1160"/>
      <c r="BO65" s="1160"/>
      <c r="BP65" s="1160"/>
      <c r="BQ65" s="1160"/>
      <c r="BR65" s="1160"/>
      <c r="BS65" s="1160"/>
      <c r="BT65" s="1160"/>
      <c r="BU65" s="1160"/>
      <c r="BV65" s="1160"/>
      <c r="BW65" s="1160"/>
      <c r="BX65" s="1160"/>
      <c r="BY65" s="1160"/>
      <c r="BZ65" s="1160"/>
      <c r="CA65" s="1160"/>
      <c r="CB65" s="1160"/>
      <c r="CC65" s="1160"/>
      <c r="CD65" s="1160"/>
      <c r="CE65" s="1160"/>
      <c r="CF65" s="1160"/>
      <c r="CG65" s="1160"/>
      <c r="CH65" s="1160"/>
      <c r="CI65" s="1160"/>
      <c r="CJ65" s="1160"/>
      <c r="CK65" s="1160"/>
      <c r="CL65" s="1160"/>
      <c r="CM65" s="1160"/>
      <c r="CN65" s="1160"/>
      <c r="CO65" s="1160"/>
      <c r="CP65" s="1160"/>
      <c r="CQ65" s="1160"/>
      <c r="CR65" s="1160"/>
      <c r="CS65" s="1160"/>
      <c r="CT65" s="1160"/>
      <c r="CU65" s="63"/>
      <c r="CV65" s="63"/>
      <c r="CW65" s="63"/>
    </row>
    <row r="66" spans="1:101">
      <c r="A66" s="50" t="s">
        <v>327</v>
      </c>
      <c r="B66" s="111"/>
      <c r="C66" s="51"/>
      <c r="D66" s="51"/>
      <c r="E66" s="51"/>
      <c r="F66" s="51"/>
      <c r="G66" s="53"/>
      <c r="H66" s="53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2"/>
      <c r="AD66" s="52"/>
      <c r="AE66" s="51"/>
      <c r="AF66" s="51"/>
      <c r="AG66" s="51"/>
      <c r="AH66" s="51"/>
      <c r="AI66" s="51"/>
      <c r="AJ66" s="52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4"/>
      <c r="AX66" s="51"/>
      <c r="AY66" s="51"/>
      <c r="AZ66" s="51"/>
      <c r="BA66" s="51"/>
      <c r="BB66" s="51"/>
      <c r="BC66" s="54"/>
      <c r="BD66" s="51"/>
      <c r="BE66" s="51"/>
      <c r="BF66" s="51"/>
      <c r="BG66" s="51"/>
      <c r="BH66" s="51"/>
      <c r="BI66" s="54"/>
      <c r="BJ66" s="51"/>
      <c r="BK66" s="51"/>
      <c r="BL66" s="51"/>
      <c r="BM66" s="51"/>
      <c r="BN66" s="51"/>
      <c r="BO66" s="54"/>
      <c r="BP66" s="51"/>
      <c r="BQ66" s="51"/>
      <c r="BR66" s="51"/>
      <c r="BS66" s="51"/>
      <c r="BT66" s="51"/>
      <c r="BU66" s="54"/>
      <c r="BV66" s="51"/>
      <c r="BW66" s="51"/>
      <c r="BX66" s="51"/>
      <c r="BY66" s="51"/>
      <c r="BZ66" s="51"/>
      <c r="CA66" s="54"/>
      <c r="CB66" s="51"/>
      <c r="CC66" s="51"/>
      <c r="CD66" s="51"/>
      <c r="CE66" s="51"/>
      <c r="CF66" s="51"/>
      <c r="CG66" s="54"/>
      <c r="CH66" s="51"/>
      <c r="CI66" s="51"/>
      <c r="CJ66" s="51"/>
      <c r="CK66" s="51"/>
      <c r="CL66" s="51"/>
      <c r="CM66" s="54"/>
      <c r="CN66" s="51"/>
      <c r="CO66" s="51"/>
      <c r="CP66" s="51"/>
      <c r="CQ66" s="51"/>
      <c r="CR66" s="51"/>
      <c r="CS66" s="54"/>
      <c r="CT66" s="2911"/>
      <c r="CU66" s="31"/>
      <c r="CV66" s="63"/>
      <c r="CW66" s="63"/>
    </row>
    <row r="67" spans="1:101">
      <c r="A67" s="1237" t="s">
        <v>328</v>
      </c>
      <c r="B67" s="1237"/>
      <c r="C67" s="1242">
        <f>(365/4)/(IS!C9/BS!C13)</f>
        <v>67.19111226611227</v>
      </c>
      <c r="D67" s="1243">
        <f>(365/4)/(IS!D9/BS!D13)</f>
        <v>62.003800201100141</v>
      </c>
      <c r="E67" s="1243">
        <f>(365/4)/(IS!E9/BS!E13)</f>
        <v>74.757435134857957</v>
      </c>
      <c r="F67" s="1243">
        <f>(365/4)/(IS!F9/BS!F13)</f>
        <v>67.356477123370382</v>
      </c>
      <c r="G67" s="1244">
        <f>(365)/(IS!G9/BS!G13)</f>
        <v>82.711335090880823</v>
      </c>
      <c r="H67" s="1243"/>
      <c r="I67" s="1242">
        <f>(365/4)/(IS!I9/BS!I13)</f>
        <v>68.449668064434078</v>
      </c>
      <c r="J67" s="1243">
        <f>(365/4)/(IS!J9/BS!J13)</f>
        <v>66.388432125098987</v>
      </c>
      <c r="K67" s="1243">
        <f>(365/4)/(IS!K9/BS!K13)</f>
        <v>75.400580660189007</v>
      </c>
      <c r="L67" s="1243">
        <f>(365/4)/(IS!L9/BS!L13)</f>
        <v>75.565458251256757</v>
      </c>
      <c r="M67" s="1244">
        <f>(365)/(IS!M9/BS!M13)</f>
        <v>84.856888656286785</v>
      </c>
      <c r="N67" s="1243"/>
      <c r="O67" s="1242">
        <f>(365/4)/(IS!O9/BS!O13)</f>
        <v>74.113891117720513</v>
      </c>
      <c r="P67" s="1243">
        <f>(365/4)/(IS!P9/BS!P13)</f>
        <v>87.077100462129508</v>
      </c>
      <c r="Q67" s="1243">
        <f>(365/4)/(IS!Q9/BS!Q13)</f>
        <v>93.868914182874448</v>
      </c>
      <c r="R67" s="1243">
        <f>(365/4)/(IS!R9/BS!R13)</f>
        <v>79.721199962340251</v>
      </c>
      <c r="S67" s="1244">
        <f>(365)/(IS!S9/BS!S13)</f>
        <v>86.413088827657404</v>
      </c>
      <c r="T67" s="1243"/>
      <c r="U67" s="1242">
        <f>(365/4)/(IS!U9/BS!U13)</f>
        <v>74.104322051100553</v>
      </c>
      <c r="V67" s="1243">
        <f>(365/4)/(IS!V9/BS!V13)</f>
        <v>63.675673221605351</v>
      </c>
      <c r="W67" s="1243">
        <f>(365/4)/(IS!W9/BS!W13)</f>
        <v>65.605992608792761</v>
      </c>
      <c r="X67" s="1243">
        <f>(365/4)/(IS!X9/BS!X13)</f>
        <v>57.829824568117637</v>
      </c>
      <c r="Y67" s="1244">
        <f>(365)/(IS!Y9/BS!Y13)</f>
        <v>66.955272885578495</v>
      </c>
      <c r="Z67" s="1243"/>
      <c r="AA67" s="1242">
        <f>(365/4)/(IS!AA9/BS!AA13)</f>
        <v>58.759941949984956</v>
      </c>
      <c r="AB67" s="1243">
        <f>(365/4)/(IS!AB9/BS!AB13)</f>
        <v>61.403996347190827</v>
      </c>
      <c r="AC67" s="1243">
        <f>(365/4)/(IS!AC9/BS!AC13)</f>
        <v>65.503441628202239</v>
      </c>
      <c r="AD67" s="1243">
        <f>(365/4)/(IS!AD9/BS!AD13)</f>
        <v>63.450370094893053</v>
      </c>
      <c r="AE67" s="1244">
        <f>(365)/(IS!AE9/BS!AE13)</f>
        <v>60.129119356534851</v>
      </c>
      <c r="AF67" s="1243"/>
      <c r="AG67" s="1242">
        <f>(365/4)/(IS!AG9/BS!AG13)</f>
        <v>67.653526780804356</v>
      </c>
      <c r="AH67" s="1243">
        <f>(365/4)/(IS!AH9/BS!AH13)</f>
        <v>61.318080090660615</v>
      </c>
      <c r="AI67" s="1243">
        <f>(365/4)/(IS!AI9/BS!AI13)</f>
        <v>69.631135570216244</v>
      </c>
      <c r="AJ67" s="1243">
        <f>(365/4)/(IS!AJ9/BS!AJ13)</f>
        <v>63.429320323993984</v>
      </c>
      <c r="AK67" s="1244">
        <f>(365)/(IS!AK9/BS!AK13)</f>
        <v>68.319357327194396</v>
      </c>
      <c r="AL67" s="1243"/>
      <c r="AM67" s="1243">
        <f>(365/4)/(IS!AM9/BS!AM13)</f>
        <v>58.129215036349017</v>
      </c>
      <c r="AN67" s="1243">
        <f>(365/4)/(IS!AN9/BS!AN13)</f>
        <v>54.685825960577183</v>
      </c>
      <c r="AO67" s="1243">
        <f>(365/4)/(IS!AO9/BS!AO13)</f>
        <v>60.211956978699554</v>
      </c>
      <c r="AP67" s="1243">
        <f>(365/4)/(IS!AP9/BS!AP13)</f>
        <v>56.293206497885492</v>
      </c>
      <c r="AQ67" s="1244">
        <f>(365)/(IS!AQ9/BS!AQ13)</f>
        <v>61.368308544038818</v>
      </c>
      <c r="AR67" s="1243"/>
      <c r="AS67" s="1469">
        <f>(365/4)/(IS!AS9/BS!AS13)</f>
        <v>63.54934336388763</v>
      </c>
      <c r="AT67" s="1469">
        <f>(365/4)/(IS!AT9/BS!AT13)</f>
        <v>52.742438020591294</v>
      </c>
      <c r="AU67" s="1469">
        <f>(365/4)/(IS!AU9/BS!AU13)</f>
        <v>52.528127145621376</v>
      </c>
      <c r="AV67" s="1243">
        <f>(365/4)/(IS!AV9/BS!AV13)</f>
        <v>51.549814687955603</v>
      </c>
      <c r="AW67" s="1244">
        <f>(365)/(IS!AW9/BS!AW13)</f>
        <v>56.760800447845085</v>
      </c>
      <c r="AX67" s="1243"/>
      <c r="AY67" s="1469">
        <f>(365/4)/(IS!AY9/BS!AY13)</f>
        <v>59.308560712263137</v>
      </c>
      <c r="AZ67" s="1469">
        <f>(365/4)/(IS!AZ9/BS!AZ13)</f>
        <v>62.360262654390802</v>
      </c>
      <c r="BA67" s="1469">
        <f>(365/4)/(IS!BA9/BS!BA13)</f>
        <v>68.565311455628233</v>
      </c>
      <c r="BB67" s="1243">
        <f>(365/4)/(IS!BB9/BS!BB13)</f>
        <v>59.470273333693974</v>
      </c>
      <c r="BC67" s="1244">
        <f>(365)/(IS!BC9/BS!BC13)</f>
        <v>63.393320995674316</v>
      </c>
      <c r="BD67" s="1243"/>
      <c r="BE67" s="1242">
        <f>(365/4)/(IS!BE9/BS!BE13)</f>
        <v>64.238858583014292</v>
      </c>
      <c r="BF67" s="1469">
        <f>(365/4)/(IS!BF9/BS!BF13)</f>
        <v>56.636295165665764</v>
      </c>
      <c r="BG67" s="1469">
        <f>(365/4)/(IS!BG9/BS!BG13)</f>
        <v>57.357409094128357</v>
      </c>
      <c r="BH67" s="1243">
        <f>(365/4)/(IS!BH9/BS!BH13)</f>
        <v>56.180275354526614</v>
      </c>
      <c r="BI67" s="1244">
        <f>(365)/(IS!BI9/BS!BI13)</f>
        <v>58.031148616166028</v>
      </c>
      <c r="BJ67" s="1243"/>
      <c r="BK67" s="1242">
        <f>(365/4)/(IS!BK9/BS!BK13)</f>
        <v>56.153846153846153</v>
      </c>
      <c r="BL67" s="1469">
        <f>(365/4)/(IS!BL9/BS!BL13)</f>
        <v>51.245471014492757</v>
      </c>
      <c r="BM67" s="1469">
        <f>(365/4)/(IS!BM9/BS!BM13)</f>
        <v>48.947829131652661</v>
      </c>
      <c r="BN67" s="1243">
        <f>(365/4)/(IS!BN9/BS!BN13)</f>
        <v>48.223929535810726</v>
      </c>
      <c r="BO67" s="1244">
        <f>(365)/(IS!BO9/BS!BO13)</f>
        <v>54.509283819628635</v>
      </c>
      <c r="BP67" s="1151"/>
      <c r="BQ67" s="2382">
        <f>+BK67-0.5</f>
        <v>55.653846153846153</v>
      </c>
      <c r="BR67" s="2381">
        <f t="shared" ref="BR67" si="78">+BL67-0.5</f>
        <v>50.745471014492757</v>
      </c>
      <c r="BS67" s="2381">
        <f t="shared" ref="BS67" si="79">+BM67-0.5</f>
        <v>48.447829131652661</v>
      </c>
      <c r="BT67" s="2381">
        <f t="shared" ref="BT67" si="80">+BN67-0.5</f>
        <v>47.723929535810726</v>
      </c>
      <c r="BU67" s="1244">
        <f>(365)/(IS!BU9/BS!BU13)</f>
        <v>49.842092138312985</v>
      </c>
      <c r="BV67" s="1151"/>
      <c r="BW67" s="2382">
        <f t="shared" ref="BW67" si="81">+BQ67-0.5</f>
        <v>55.153846153846153</v>
      </c>
      <c r="BX67" s="2381">
        <f t="shared" ref="BX67" si="82">+BR67-0.5</f>
        <v>50.245471014492757</v>
      </c>
      <c r="BY67" s="2381">
        <f t="shared" ref="BY67" si="83">+BS67-0.5</f>
        <v>47.947829131652661</v>
      </c>
      <c r="BZ67" s="2381">
        <f t="shared" ref="BZ67" si="84">+BT67-0.5</f>
        <v>47.223929535810726</v>
      </c>
      <c r="CA67" s="1244">
        <f>(365)/(IS!CA9/BS!CA13)</f>
        <v>48.937162176726147</v>
      </c>
      <c r="CB67" s="1151"/>
      <c r="CC67" s="2382">
        <f t="shared" ref="CC67" si="85">+BW67-0.5</f>
        <v>54.653846153846153</v>
      </c>
      <c r="CD67" s="2381">
        <f t="shared" ref="CD67" si="86">+BX67-0.5</f>
        <v>49.745471014492757</v>
      </c>
      <c r="CE67" s="2381">
        <f t="shared" ref="CE67" si="87">+BY67-0.5</f>
        <v>47.447829131652661</v>
      </c>
      <c r="CF67" s="2381">
        <f t="shared" ref="CF67" si="88">+BZ67-0.5</f>
        <v>46.723929535810726</v>
      </c>
      <c r="CG67" s="1244">
        <f>(365)/(IS!CG9/BS!CG13)</f>
        <v>48.472659626610685</v>
      </c>
      <c r="CH67" s="1151"/>
      <c r="CI67" s="2382">
        <f t="shared" ref="CI67:CI68" si="89">+CC67-0.5</f>
        <v>54.153846153846153</v>
      </c>
      <c r="CJ67" s="2381">
        <f t="shared" ref="CJ67:CJ68" si="90">+CD67-0.5</f>
        <v>49.245471014492757</v>
      </c>
      <c r="CK67" s="2381">
        <f t="shared" ref="CK67:CK68" si="91">+CE67-0.5</f>
        <v>46.947829131652661</v>
      </c>
      <c r="CL67" s="2381">
        <f t="shared" ref="CL67:CL68" si="92">+CF67-0.5</f>
        <v>46.223929535810726</v>
      </c>
      <c r="CM67" s="1244">
        <f>(365)/(IS!CM9/BS!CM13)</f>
        <v>48.025863554105655</v>
      </c>
      <c r="CN67" s="1151"/>
      <c r="CO67" s="2382">
        <f t="shared" ref="CO67:CO68" si="93">+CI67-0.5</f>
        <v>53.653846153846153</v>
      </c>
      <c r="CP67" s="2381">
        <f t="shared" ref="CP67:CP68" si="94">+CJ67-0.5</f>
        <v>48.745471014492757</v>
      </c>
      <c r="CQ67" s="2381">
        <f t="shared" ref="CQ67:CQ68" si="95">+CK67-0.5</f>
        <v>46.447829131652661</v>
      </c>
      <c r="CR67" s="2381">
        <f t="shared" ref="CR67:CR68" si="96">+CL67-0.5</f>
        <v>45.723929535810726</v>
      </c>
      <c r="CS67" s="1244">
        <f>(365)/(IS!CS9/BS!CS13)</f>
        <v>47.683415189379708</v>
      </c>
      <c r="CT67" s="1151"/>
      <c r="CU67" s="63"/>
      <c r="CV67" s="63"/>
      <c r="CW67" s="63"/>
    </row>
    <row r="68" spans="1:101">
      <c r="A68" s="1237" t="s">
        <v>329</v>
      </c>
      <c r="B68" s="1237"/>
      <c r="C68" s="1189">
        <f>(365/4)/(IS!C12/BS!C14)</f>
        <v>136.4394749835418</v>
      </c>
      <c r="D68" s="1151">
        <f>(365/4)/(IS!D12/BS!D14)</f>
        <v>130.41620856238549</v>
      </c>
      <c r="E68" s="1151">
        <f>(365/4)/(IS!E12/BS!E14)</f>
        <v>111.34921651653269</v>
      </c>
      <c r="F68" s="1151">
        <f>(365/4)/(IS!F12/BS!F14)</f>
        <v>122.84397835249521</v>
      </c>
      <c r="G68" s="1150">
        <f>(365)/(IS!G12/BS!G14)</f>
        <v>149.83725493178395</v>
      </c>
      <c r="H68" s="1151"/>
      <c r="I68" s="1189">
        <f>(365/4)/(IS!I12/BS!I14)</f>
        <v>108.54910375208871</v>
      </c>
      <c r="J68" s="1151">
        <f>(365/4)/(IS!J12/BS!J14)</f>
        <v>122.92048990269326</v>
      </c>
      <c r="K68" s="1151">
        <f>(365/4)/(IS!K12/BS!K14)</f>
        <v>122.30316461510196</v>
      </c>
      <c r="L68" s="1151">
        <f>(365/4)/(IS!L12/BS!L14)</f>
        <v>122.59996981007795</v>
      </c>
      <c r="M68" s="1150">
        <f>(365)/(IS!M12/BS!M14)</f>
        <v>130.34623876590283</v>
      </c>
      <c r="N68" s="1151"/>
      <c r="O68" s="1189">
        <f>(365/4)/(IS!O12/BS!O14)</f>
        <v>116.85716004590722</v>
      </c>
      <c r="P68" s="1151">
        <f>(365/4)/(IS!P12/BS!P14)</f>
        <v>132.09612823927071</v>
      </c>
      <c r="Q68" s="1151">
        <f>(365/4)/(IS!Q12/BS!Q14)</f>
        <v>148.84737410217093</v>
      </c>
      <c r="R68" s="1151">
        <f>(365/4)/(IS!R12/BS!R14)</f>
        <v>158.63082746214963</v>
      </c>
      <c r="S68" s="1150">
        <f>(365)/(IS!S12/BS!S14)</f>
        <v>164.56920138602024</v>
      </c>
      <c r="T68" s="1151"/>
      <c r="U68" s="1189">
        <f>(365/4)/(IS!U12/BS!U14)</f>
        <v>157.40402088011933</v>
      </c>
      <c r="V68" s="1151">
        <f>(365/4)/(IS!V12/BS!V14)</f>
        <v>169.46306963944212</v>
      </c>
      <c r="W68" s="1151">
        <f>(365/4)/(IS!W12/BS!W14)</f>
        <v>152.37316839820724</v>
      </c>
      <c r="X68" s="1151">
        <f>(365/4)/(IS!X12/BS!X14)</f>
        <v>139.71977723225342</v>
      </c>
      <c r="Y68" s="1150">
        <f>(365)/(IS!Y12/BS!Y14)</f>
        <v>176.91793684985478</v>
      </c>
      <c r="Z68" s="1151"/>
      <c r="AA68" s="1189">
        <f>(365/4)/(IS!AA12/BS!AA14)</f>
        <v>150.314300079791</v>
      </c>
      <c r="AB68" s="1151">
        <f>(365/4)/(IS!AB12/BS!AB14)</f>
        <v>142.88207371045146</v>
      </c>
      <c r="AC68" s="1151">
        <f>(365/4)/(IS!AC12/BS!AC14)</f>
        <v>168.65427875618789</v>
      </c>
      <c r="AD68" s="1151">
        <f>(365/4)/(IS!AD12/BS!AD14)</f>
        <v>153.71379939567552</v>
      </c>
      <c r="AE68" s="1150">
        <f>(365)/(IS!AE12/BS!AE14)</f>
        <v>140.58808838747885</v>
      </c>
      <c r="AF68" s="1151"/>
      <c r="AG68" s="1189">
        <f>(365/4)/(IS!AG12/BS!AG14)</f>
        <v>135.76144890337946</v>
      </c>
      <c r="AH68" s="1151">
        <f>(365/4)/(IS!AH12/BS!AH14)</f>
        <v>145.79521308344275</v>
      </c>
      <c r="AI68" s="1151">
        <f>(365/4)/(IS!AI12/BS!AI14)</f>
        <v>155.95066714498972</v>
      </c>
      <c r="AJ68" s="1151">
        <f>(365/4)/(IS!AJ12/BS!AJ14)</f>
        <v>145.29366178108165</v>
      </c>
      <c r="AK68" s="1150">
        <f>(365)/(IS!AK12/BS!AK14)</f>
        <v>162.56750954800941</v>
      </c>
      <c r="AL68" s="1151"/>
      <c r="AM68" s="1151">
        <f>(365/4)/(IS!AM12/BS!AM14)</f>
        <v>147.95256977092163</v>
      </c>
      <c r="AN68" s="1151">
        <f>(365/4)/(IS!AN12/BS!AN14)</f>
        <v>143.25307310056232</v>
      </c>
      <c r="AO68" s="1151">
        <f>(365/4)/(IS!AO12/BS!AO14)</f>
        <v>134.96699326449803</v>
      </c>
      <c r="AP68" s="1151">
        <f>(365/4)/(IS!AP12/BS!AP14)</f>
        <v>124.4901308508849</v>
      </c>
      <c r="AQ68" s="1150">
        <f>(365)/(IS!AQ12/BS!AQ14)</f>
        <v>130.29469473040464</v>
      </c>
      <c r="AR68" s="1151"/>
      <c r="AS68" s="1470">
        <f>(365/4)/(IS!AS12/BS!AS14)</f>
        <v>117.90035835667305</v>
      </c>
      <c r="AT68" s="1470">
        <f>(365/4)/(IS!AT12/BS!AT14)</f>
        <v>122.11099678892859</v>
      </c>
      <c r="AU68" s="1470">
        <f>(365/4)/(IS!AU12/BS!AU14)</f>
        <v>137.95204736474801</v>
      </c>
      <c r="AV68" s="1151">
        <f>(365/4)/(IS!AV12/BS!AV14)</f>
        <v>120.23416927467498</v>
      </c>
      <c r="AW68" s="1150">
        <f>(365)/(IS!AW12/BS!AW14)</f>
        <v>130.00134161157365</v>
      </c>
      <c r="AX68" s="1151"/>
      <c r="AY68" s="1470">
        <f>(365/4)/(IS!AY12/BS!AY14)</f>
        <v>123.05403113970807</v>
      </c>
      <c r="AZ68" s="1470">
        <f>(365/4)/(IS!AZ12/BS!AZ14)</f>
        <v>134.57402607680586</v>
      </c>
      <c r="BA68" s="1470">
        <f>(365/4)/(IS!BA12/BS!BA14)</f>
        <v>141.70286593952602</v>
      </c>
      <c r="BB68" s="1151">
        <f>(365/4)/(IS!BB12/BS!BB14)</f>
        <v>145.05683619434527</v>
      </c>
      <c r="BC68" s="1150">
        <f>(365)/(IS!BC12/BS!BC14)</f>
        <v>158.21933301529464</v>
      </c>
      <c r="BD68" s="1151"/>
      <c r="BE68" s="1189">
        <f>(365/4)/(IS!BE12/BS!BE14)</f>
        <v>159.9910405997089</v>
      </c>
      <c r="BF68" s="1470">
        <f>(365/4)/(IS!BF12/BS!BF14)</f>
        <v>171.39388912348434</v>
      </c>
      <c r="BG68" s="1470">
        <f>(365/4)/(IS!BG12/BS!BG14)</f>
        <v>167.57189949949716</v>
      </c>
      <c r="BH68" s="1151">
        <f>(365/4)/(IS!BH12/BS!BH14)</f>
        <v>144.96246341605408</v>
      </c>
      <c r="BI68" s="1150">
        <f>(365)/(IS!BI12/BS!BI14)</f>
        <v>159.02503915315961</v>
      </c>
      <c r="BJ68" s="1151"/>
      <c r="BK68" s="1189">
        <f>(365/4)/(IS!BK12/BS!BK14)</f>
        <v>135.74004975124379</v>
      </c>
      <c r="BL68" s="1470">
        <f>(365/4)/(IS!BL12/BS!BL14)</f>
        <v>128.92661179698217</v>
      </c>
      <c r="BM68" s="1470">
        <f>(365/4)/(IS!BM12/BS!BM14)</f>
        <v>133.9863044454423</v>
      </c>
      <c r="BN68" s="1151">
        <f>(365/4)/(IS!BN12/BS!BN14)</f>
        <v>134.2741935483871</v>
      </c>
      <c r="BO68" s="1150">
        <f>(365)/(IS!BO12/BS!BO14)</f>
        <v>139.91596638655463</v>
      </c>
      <c r="BP68" s="1151"/>
      <c r="BQ68" s="2382">
        <f>+BK68-0.5</f>
        <v>135.24004975124379</v>
      </c>
      <c r="BR68" s="2381">
        <f t="shared" ref="BR68:BT68" si="97">+BL68-0.5</f>
        <v>128.42661179698217</v>
      </c>
      <c r="BS68" s="2381">
        <f t="shared" si="97"/>
        <v>133.4863044454423</v>
      </c>
      <c r="BT68" s="2381">
        <f t="shared" si="97"/>
        <v>133.7741935483871</v>
      </c>
      <c r="BU68" s="1150">
        <f>(365)/(IS!BU12/BS!BU14)</f>
        <v>140.73986740863882</v>
      </c>
      <c r="BV68" s="1151"/>
      <c r="BW68" s="2382">
        <f t="shared" ref="BW68" si="98">+BQ68-0.5</f>
        <v>134.74004975124379</v>
      </c>
      <c r="BX68" s="2381">
        <f t="shared" ref="BX68" si="99">+BR68-0.5</f>
        <v>127.92661179698217</v>
      </c>
      <c r="BY68" s="2381">
        <f t="shared" ref="BY68" si="100">+BS68-0.5</f>
        <v>132.9863044454423</v>
      </c>
      <c r="BZ68" s="2381">
        <f t="shared" ref="BZ68" si="101">+BT68-0.5</f>
        <v>133.2741935483871</v>
      </c>
      <c r="CA68" s="1150">
        <f>(365)/(IS!CA12/BS!CA14)</f>
        <v>139.20695283828601</v>
      </c>
      <c r="CB68" s="1151"/>
      <c r="CC68" s="2382">
        <f t="shared" ref="CC68" si="102">+BW68-0.5</f>
        <v>134.24004975124379</v>
      </c>
      <c r="CD68" s="2381">
        <f t="shared" ref="CD68" si="103">+BX68-0.5</f>
        <v>127.42661179698217</v>
      </c>
      <c r="CE68" s="2381">
        <f t="shared" ref="CE68" si="104">+BY68-0.5</f>
        <v>132.4863044454423</v>
      </c>
      <c r="CF68" s="2381">
        <f t="shared" ref="CF68" si="105">+BZ68-0.5</f>
        <v>132.7741935483871</v>
      </c>
      <c r="CG68" s="1150">
        <f>(365)/(IS!CG12/BS!CG14)</f>
        <v>139.00878286945175</v>
      </c>
      <c r="CH68" s="1151"/>
      <c r="CI68" s="2382">
        <f t="shared" si="89"/>
        <v>133.74004975124379</v>
      </c>
      <c r="CJ68" s="2381">
        <f t="shared" si="90"/>
        <v>126.92661179698217</v>
      </c>
      <c r="CK68" s="2381">
        <f t="shared" si="91"/>
        <v>131.9863044454423</v>
      </c>
      <c r="CL68" s="2381">
        <f t="shared" si="92"/>
        <v>132.2741935483871</v>
      </c>
      <c r="CM68" s="1150">
        <f>(365)/(IS!CM12/BS!CM14)</f>
        <v>138.8002661254973</v>
      </c>
      <c r="CN68" s="1151"/>
      <c r="CO68" s="2382">
        <f t="shared" si="93"/>
        <v>133.24004975124379</v>
      </c>
      <c r="CP68" s="2381">
        <f t="shared" si="94"/>
        <v>126.42661179698217</v>
      </c>
      <c r="CQ68" s="2381">
        <f t="shared" si="95"/>
        <v>131.4863044454423</v>
      </c>
      <c r="CR68" s="2381">
        <f t="shared" si="96"/>
        <v>131.7741935483871</v>
      </c>
      <c r="CS68" s="1150">
        <f>(365)/(IS!CS12/BS!CS14)</f>
        <v>138.79659800574822</v>
      </c>
      <c r="CT68" s="1151"/>
      <c r="CU68" s="63"/>
      <c r="CV68" s="63"/>
      <c r="CW68" s="63"/>
    </row>
    <row r="69" spans="1:101">
      <c r="A69" s="1237" t="s">
        <v>330</v>
      </c>
      <c r="B69" s="1237"/>
      <c r="C69" s="1189">
        <f>(365/4)/(IS!C12/BS!C26)</f>
        <v>250.28045794930875</v>
      </c>
      <c r="D69" s="1151">
        <f>(365/4)/(IS!D12/BS!D26)</f>
        <v>232.76882392137264</v>
      </c>
      <c r="E69" s="1151">
        <f>(365/4)/(IS!E12/BS!E26)</f>
        <v>194.41137601812392</v>
      </c>
      <c r="F69" s="1151">
        <f>(365/4)/(IS!F12/BS!F26)</f>
        <v>55.325304885652301</v>
      </c>
      <c r="G69" s="1150">
        <f>(365)/(IS!G12/BS!G26)</f>
        <v>67.482280560329741</v>
      </c>
      <c r="H69" s="1151"/>
      <c r="I69" s="1189">
        <f>(365/4)/(IS!I12/BS!I26)</f>
        <v>137.66015277446235</v>
      </c>
      <c r="J69" s="1151">
        <f>(365/4)/(IS!J12/BS!J26)</f>
        <v>155.60910838502545</v>
      </c>
      <c r="K69" s="1151">
        <f>(365/4)/(IS!K12/BS!K26)</f>
        <v>152.92715414293588</v>
      </c>
      <c r="L69" s="1151">
        <f>(365/4)/(IS!L12/BS!L26)</f>
        <v>48.758828265085818</v>
      </c>
      <c r="M69" s="1150">
        <f>(365)/(IS!M12/BS!M26)</f>
        <v>51.839571256273594</v>
      </c>
      <c r="N69" s="1151"/>
      <c r="O69" s="1189">
        <f>(365/4)/(IS!O12/BS!O26)</f>
        <v>61.806833327163012</v>
      </c>
      <c r="P69" s="1151">
        <f>(365/4)/(IS!P12/BS!P26)</f>
        <v>76.936750998668458</v>
      </c>
      <c r="Q69" s="1151">
        <f>(365/4)/(IS!Q12/BS!Q26)</f>
        <v>76.865845169881368</v>
      </c>
      <c r="R69" s="1151">
        <f>(365/4)/(IS!R12/BS!R26)</f>
        <v>90.246332071653441</v>
      </c>
      <c r="S69" s="1150">
        <f>(365)/(IS!S12/BS!S26)</f>
        <v>93.624719952956951</v>
      </c>
      <c r="T69" s="1151"/>
      <c r="U69" s="1189">
        <f>(365/4)/(IS!U12/BS!U26)</f>
        <v>74.382210755490036</v>
      </c>
      <c r="V69" s="1151">
        <f>(365/4)/(IS!V12/BS!V26)</f>
        <v>81.683341884727199</v>
      </c>
      <c r="W69" s="1151">
        <f>(365/4)/(IS!W12/BS!W26)</f>
        <v>70.066650400030824</v>
      </c>
      <c r="X69" s="1151">
        <f>(365/4)/(IS!X12/BS!X26)</f>
        <v>65.574792467456959</v>
      </c>
      <c r="Y69" s="1150">
        <f>(365)/(IS!Y12/BS!Y26)</f>
        <v>83.033033851858917</v>
      </c>
      <c r="Z69" s="1151"/>
      <c r="AA69" s="1189">
        <f>(365/4)/(IS!AA12/BS!AA26)</f>
        <v>66.113836089584538</v>
      </c>
      <c r="AB69" s="1151">
        <f>(365/4)/(IS!AB12/BS!AB26)</f>
        <v>58.392223723080647</v>
      </c>
      <c r="AC69" s="1151">
        <f>(365/4)/(IS!AC12/BS!AC26)</f>
        <v>63.275176180174931</v>
      </c>
      <c r="AD69" s="1151">
        <f>(365/4)/(IS!AD12/BS!AD26)</f>
        <v>59.448750147156922</v>
      </c>
      <c r="AE69" s="1150">
        <f>(365)/(IS!AE12/BS!AE26)</f>
        <v>54.372386689238091</v>
      </c>
      <c r="AF69" s="1151"/>
      <c r="AG69" s="1189">
        <f>(365/4)/(IS!AG12/BS!AG26)</f>
        <v>63.153275409570718</v>
      </c>
      <c r="AH69" s="1151">
        <f>(365/4)/(IS!AH12/BS!AH26)</f>
        <v>61.728005252477011</v>
      </c>
      <c r="AI69" s="1151">
        <f>(365/4)/(IS!AI12/BS!AI26)</f>
        <v>79.167529769826288</v>
      </c>
      <c r="AJ69" s="1151">
        <f>(365/4)/(IS!AJ12/BS!AJ26)</f>
        <v>60.167822854907158</v>
      </c>
      <c r="AK69" s="1150">
        <f>(365)/(IS!AK12/BS!AK26)</f>
        <v>67.321127408750215</v>
      </c>
      <c r="AL69" s="1151"/>
      <c r="AM69" s="1151">
        <f>(365/4)/(IS!AM12/BS!AM26)</f>
        <v>67.499577657859419</v>
      </c>
      <c r="AN69" s="1151">
        <f>(365/4)/(IS!AN12/BS!AN26)</f>
        <v>57.659212763175105</v>
      </c>
      <c r="AO69" s="1151">
        <f>(365/4)/(IS!AO12/BS!AO26)</f>
        <v>53.294173975796618</v>
      </c>
      <c r="AP69" s="1151">
        <f>(365/4)/(IS!AP12/BS!AP26)</f>
        <v>59.50279098386055</v>
      </c>
      <c r="AQ69" s="1150">
        <f>(365)/(IS!AQ12/BS!AQ26)</f>
        <v>62.277209718219801</v>
      </c>
      <c r="AR69" s="1151"/>
      <c r="AS69" s="1470">
        <f>(365/4)/(IS!AS12/BS!AS26)</f>
        <v>62.076964077792113</v>
      </c>
      <c r="AT69" s="1470">
        <f>(365/4)/(IS!AT12/BS!AT26)</f>
        <v>62.944245322840821</v>
      </c>
      <c r="AU69" s="1470">
        <f>(365/4)/(IS!AU12/BS!AU26)</f>
        <v>66.497984115665858</v>
      </c>
      <c r="AV69" s="1151">
        <f>(365/4)/(IS!AV12/BS!AV26)</f>
        <v>51.973739539244207</v>
      </c>
      <c r="AW69" s="1150">
        <f>(365)/(IS!AW12/BS!AW26)</f>
        <v>56.195804482473335</v>
      </c>
      <c r="AX69" s="1151"/>
      <c r="AY69" s="1470">
        <f>(365/4)/(IS!AY12/BS!AY26)</f>
        <v>63.975094148653014</v>
      </c>
      <c r="AZ69" s="1470">
        <f>(365/4)/(IS!AZ12/BS!AZ26)</f>
        <v>64.924354839773386</v>
      </c>
      <c r="BA69" s="1470">
        <f>(365/4)/(IS!BA12/BS!BA26)</f>
        <v>74.816465618025305</v>
      </c>
      <c r="BB69" s="1151">
        <f>(365/4)/(IS!BB12/BS!BB26)</f>
        <v>74.584189484313356</v>
      </c>
      <c r="BC69" s="1150">
        <f>(365)/(IS!BC12/BS!BC26)</f>
        <v>81.351979150324496</v>
      </c>
      <c r="BD69" s="1151"/>
      <c r="BE69" s="1189">
        <f>(365/4)/(IS!BE12/BS!BE26)</f>
        <v>85.952695584393453</v>
      </c>
      <c r="BF69" s="1470">
        <f>(365/4)/(IS!BF12/BS!BF26)</f>
        <v>137.98417988779636</v>
      </c>
      <c r="BG69" s="1470">
        <f>(365/4)/(IS!BG12/BS!BG26)</f>
        <v>71.962503455292918</v>
      </c>
      <c r="BH69" s="1151">
        <f>(365/4)/(IS!BH12/BS!BH26)</f>
        <v>66.611162271300728</v>
      </c>
      <c r="BI69" s="1150">
        <f>(365)/(IS!BI12/BS!BI26)</f>
        <v>73.073004132309379</v>
      </c>
      <c r="BJ69" s="1151"/>
      <c r="BK69" s="1189">
        <f>(365/4)/(IS!BK12/BS!BK26)</f>
        <v>64.465174129353244</v>
      </c>
      <c r="BL69" s="1470">
        <f>(365/4)/(IS!BL12/BS!BL26)</f>
        <v>73.016689529035219</v>
      </c>
      <c r="BM69" s="1470">
        <f>(365/4)/(IS!BM12/BS!BM26)</f>
        <v>64.739559946115847</v>
      </c>
      <c r="BN69" s="1151">
        <f>(365/4)/(IS!BN12/BS!BN26)</f>
        <v>64.516129032258064</v>
      </c>
      <c r="BO69" s="1150">
        <f>(365)/(IS!BO12/BS!BO26)</f>
        <v>67.226890756302524</v>
      </c>
      <c r="BP69" s="1151"/>
      <c r="BQ69" s="2382">
        <f>BN69-0.25</f>
        <v>64.266129032258064</v>
      </c>
      <c r="BR69" s="2381">
        <f>BQ69-0.25</f>
        <v>64.016129032258064</v>
      </c>
      <c r="BS69" s="2381">
        <f t="shared" ref="BS69" si="106">BR69-0.25</f>
        <v>63.766129032258064</v>
      </c>
      <c r="BT69" s="2381">
        <f t="shared" ref="BT69" si="107">BS69-0.25</f>
        <v>63.516129032258064</v>
      </c>
      <c r="BU69" s="1150">
        <f>(365)/(IS!BU12/BS!BU26)</f>
        <v>66.823438371740991</v>
      </c>
      <c r="BV69" s="1151"/>
      <c r="BW69" s="2382">
        <f>+BQ69-0.25</f>
        <v>64.016129032258064</v>
      </c>
      <c r="BX69" s="2381">
        <f t="shared" ref="BX69:BZ69" si="108">+BR69-0.25</f>
        <v>63.766129032258064</v>
      </c>
      <c r="BY69" s="2381">
        <f t="shared" si="108"/>
        <v>63.516129032258064</v>
      </c>
      <c r="BZ69" s="2381">
        <f t="shared" si="108"/>
        <v>63.266129032258064</v>
      </c>
      <c r="CA69" s="1150">
        <f>(365)/(IS!CA12/BS!CA26)</f>
        <v>66.082448566885745</v>
      </c>
      <c r="CB69" s="1151"/>
      <c r="CC69" s="2382">
        <f>BZ69+0.5</f>
        <v>63.766129032258064</v>
      </c>
      <c r="CD69" s="2381">
        <f>CC69+0.5</f>
        <v>64.266129032258064</v>
      </c>
      <c r="CE69" s="2381">
        <f>CD69+0.5</f>
        <v>64.766129032258064</v>
      </c>
      <c r="CF69" s="2381">
        <f>CE69+0.5</f>
        <v>65.266129032258064</v>
      </c>
      <c r="CG69" s="1150">
        <f>(365)/(IS!CG12/BS!CG26)</f>
        <v>68.330787157584595</v>
      </c>
      <c r="CH69" s="1151"/>
      <c r="CI69" s="2382">
        <f>CF69+0.5</f>
        <v>65.766129032258064</v>
      </c>
      <c r="CJ69" s="2381">
        <f>CI69+0.5</f>
        <v>66.266129032258064</v>
      </c>
      <c r="CK69" s="2381">
        <f>CJ69+0.5</f>
        <v>66.766129032258064</v>
      </c>
      <c r="CL69" s="2381">
        <f>CK69+0.5</f>
        <v>67.266129032258064</v>
      </c>
      <c r="CM69" s="1150">
        <f>(365)/(IS!CM12/BS!CM26)</f>
        <v>70.584868903351605</v>
      </c>
      <c r="CN69" s="1151"/>
      <c r="CO69" s="2382">
        <f>CL69+0.5</f>
        <v>67.766129032258064</v>
      </c>
      <c r="CP69" s="2381">
        <f>CO69+0.5</f>
        <v>68.266129032258064</v>
      </c>
      <c r="CQ69" s="2381">
        <f>CP69+0.5</f>
        <v>68.766129032258064</v>
      </c>
      <c r="CR69" s="2381">
        <f>CQ69+0.5</f>
        <v>69.266129032258064</v>
      </c>
      <c r="CS69" s="1150">
        <f>(365)/(IS!CS12/BS!CS26)</f>
        <v>72.957403933376455</v>
      </c>
      <c r="CT69" s="1151"/>
      <c r="CU69" s="63"/>
      <c r="CV69" s="63"/>
      <c r="CW69" s="63"/>
    </row>
    <row r="70" spans="1:101">
      <c r="A70" s="257" t="s">
        <v>331</v>
      </c>
      <c r="B70" s="257"/>
      <c r="C70" s="1228">
        <f>C67+C68-C69</f>
        <v>-46.649870699654684</v>
      </c>
      <c r="D70" s="1229">
        <f>D67+D68-D69</f>
        <v>-40.348815157887003</v>
      </c>
      <c r="E70" s="1229">
        <f>E67+E68-E69</f>
        <v>-8.304724366733268</v>
      </c>
      <c r="F70" s="1229">
        <f>F67+F68-F69</f>
        <v>134.87515059021331</v>
      </c>
      <c r="G70" s="1230">
        <f>G67+G68-G69</f>
        <v>165.06630946233503</v>
      </c>
      <c r="H70" s="1229"/>
      <c r="I70" s="1228">
        <f>I67+I68-I69</f>
        <v>39.338619042060429</v>
      </c>
      <c r="J70" s="1229">
        <f>J67+J68-J69</f>
        <v>33.699813642766799</v>
      </c>
      <c r="K70" s="1229">
        <f>K67+K68-K69</f>
        <v>44.776591132355094</v>
      </c>
      <c r="L70" s="1229">
        <f>L67+L68-L69</f>
        <v>149.40659979624888</v>
      </c>
      <c r="M70" s="1230">
        <f>M67+M68-M69</f>
        <v>163.36355616591601</v>
      </c>
      <c r="N70" s="1229"/>
      <c r="O70" s="1228">
        <f>O67+O68-O69</f>
        <v>129.16421783646473</v>
      </c>
      <c r="P70" s="1229">
        <f>P67+P68-P69</f>
        <v>142.23647770273175</v>
      </c>
      <c r="Q70" s="1229">
        <f>Q67+Q68-Q69</f>
        <v>165.85044311516401</v>
      </c>
      <c r="R70" s="1229">
        <f>R67+R68-R69</f>
        <v>148.10569535283645</v>
      </c>
      <c r="S70" s="1230">
        <f>S67+S68-S69</f>
        <v>157.35757026072068</v>
      </c>
      <c r="T70" s="1229"/>
      <c r="U70" s="1228">
        <f>U67+U68-U69</f>
        <v>157.12613217572985</v>
      </c>
      <c r="V70" s="1229">
        <f>V67+V68-V69</f>
        <v>151.45540097632028</v>
      </c>
      <c r="W70" s="1229">
        <f>W67+W68-W69</f>
        <v>147.91251060696919</v>
      </c>
      <c r="X70" s="1229">
        <f>X67+X68-X69</f>
        <v>131.97480933291411</v>
      </c>
      <c r="Y70" s="1230">
        <f>Y67+Y68-Y69</f>
        <v>160.84017588357437</v>
      </c>
      <c r="Z70" s="1229"/>
      <c r="AA70" s="1228">
        <f>AA67+AA68-AA69</f>
        <v>142.96040594019141</v>
      </c>
      <c r="AB70" s="1229">
        <f>AB67+AB68-AB69</f>
        <v>145.89384633456166</v>
      </c>
      <c r="AC70" s="1229">
        <f>AC67+AC68-AC69</f>
        <v>170.88254420421521</v>
      </c>
      <c r="AD70" s="1229">
        <f>AD67+AD68-AD69</f>
        <v>157.71541934341167</v>
      </c>
      <c r="AE70" s="1230">
        <f>AE67+AE68-AE69</f>
        <v>146.34482105477562</v>
      </c>
      <c r="AF70" s="1229"/>
      <c r="AG70" s="1228">
        <f>AG67+AG68-AG69</f>
        <v>140.2617002746131</v>
      </c>
      <c r="AH70" s="1229">
        <f>AH67+AH68-AH69</f>
        <v>145.38528792162637</v>
      </c>
      <c r="AI70" s="1229">
        <f>AI67+AI68-AI69</f>
        <v>146.41427294537971</v>
      </c>
      <c r="AJ70" s="1229">
        <f>AJ67+AJ68-AJ69</f>
        <v>148.55515925016846</v>
      </c>
      <c r="AK70" s="1230">
        <f>AK67+AK68-AK69</f>
        <v>163.56573946645358</v>
      </c>
      <c r="AL70" s="1229"/>
      <c r="AM70" s="1229">
        <f>AM67+AM68-AM69</f>
        <v>138.58220714941123</v>
      </c>
      <c r="AN70" s="1229">
        <f>AN67+AN68-AN69</f>
        <v>140.27968629796439</v>
      </c>
      <c r="AO70" s="1229">
        <f>AO67+AO68-AO69</f>
        <v>141.88477626740098</v>
      </c>
      <c r="AP70" s="1229">
        <f>AP67+AP68-AP69</f>
        <v>121.28054636490982</v>
      </c>
      <c r="AQ70" s="1230">
        <f>AQ67+AQ68-AQ69</f>
        <v>129.38579355622366</v>
      </c>
      <c r="AR70" s="1229"/>
      <c r="AS70" s="1471">
        <f>AS67+AS68-AS69</f>
        <v>119.37273764276857</v>
      </c>
      <c r="AT70" s="1471">
        <f>AT67+AT68-AT69</f>
        <v>111.90918948667905</v>
      </c>
      <c r="AU70" s="1471">
        <f>AU67+AU68-AU69</f>
        <v>123.98219039470352</v>
      </c>
      <c r="AV70" s="1229">
        <f>AV67+AV68-AV69</f>
        <v>119.81024442338639</v>
      </c>
      <c r="AW70" s="1230">
        <f>AW67+AW68-AW69</f>
        <v>130.56633757694541</v>
      </c>
      <c r="AX70" s="1229"/>
      <c r="AY70" s="1471">
        <f>AY67+AY68-AY69</f>
        <v>118.3874977033182</v>
      </c>
      <c r="AZ70" s="1471">
        <f>AZ67+AZ68-AZ69</f>
        <v>132.00993389142326</v>
      </c>
      <c r="BA70" s="1471">
        <f>BA67+BA68-BA69</f>
        <v>135.45171177712893</v>
      </c>
      <c r="BB70" s="1229">
        <f>BB67+BB68-BB69</f>
        <v>129.94292004372588</v>
      </c>
      <c r="BC70" s="1230">
        <f>BC67+BC68-BC69</f>
        <v>140.26067486064446</v>
      </c>
      <c r="BD70" s="1229"/>
      <c r="BE70" s="1228">
        <f>BE67+BE68-BE69</f>
        <v>138.27720359832972</v>
      </c>
      <c r="BF70" s="1229">
        <f>BF67+BF68-BF69</f>
        <v>90.046004401353741</v>
      </c>
      <c r="BG70" s="1229">
        <f>BG67+BG68-BG69</f>
        <v>152.96680513833263</v>
      </c>
      <c r="BH70" s="1229">
        <f>BH67+BH68-BH69</f>
        <v>134.53157649927999</v>
      </c>
      <c r="BI70" s="1230">
        <f>BI67+BI68-BI69</f>
        <v>143.98318363701628</v>
      </c>
      <c r="BJ70" s="1229"/>
      <c r="BK70" s="1228">
        <f>BK67+BK68-BK69</f>
        <v>127.4287217757367</v>
      </c>
      <c r="BL70" s="1229">
        <f>BL67+BL68-BL69</f>
        <v>107.1553932824397</v>
      </c>
      <c r="BM70" s="1229">
        <f>BM67+BM68-BM69</f>
        <v>118.19457363097912</v>
      </c>
      <c r="BN70" s="1229">
        <f>BN67+BN68-BN69</f>
        <v>117.98199405193976</v>
      </c>
      <c r="BO70" s="1230">
        <f>BO67+BO68-BO69</f>
        <v>127.19835944988073</v>
      </c>
      <c r="BP70" s="1229"/>
      <c r="BQ70" s="1228">
        <f>BQ67+BQ68-BQ69</f>
        <v>126.62776687283188</v>
      </c>
      <c r="BR70" s="1229">
        <f>BR67+BR68-BR69</f>
        <v>115.15595377921686</v>
      </c>
      <c r="BS70" s="1229">
        <f>BS67+BS68-BS69</f>
        <v>118.1680045448369</v>
      </c>
      <c r="BT70" s="1229">
        <f>BT67+BT68-BT69</f>
        <v>117.98199405193976</v>
      </c>
      <c r="BU70" s="1230">
        <f>BU67+BU68-BU69</f>
        <v>123.7585211752108</v>
      </c>
      <c r="BV70" s="1229"/>
      <c r="BW70" s="1228">
        <f>BW67+BW68-BW69</f>
        <v>125.87776687283188</v>
      </c>
      <c r="BX70" s="1229">
        <f>BX67+BX68-BX69</f>
        <v>114.40595377921686</v>
      </c>
      <c r="BY70" s="1229">
        <f>BY67+BY68-BY69</f>
        <v>117.4180045448369</v>
      </c>
      <c r="BZ70" s="1229">
        <f>BZ67+BZ68-BZ69</f>
        <v>117.23199405193976</v>
      </c>
      <c r="CA70" s="1230">
        <f>CA67+CA68-CA69</f>
        <v>122.06166644812643</v>
      </c>
      <c r="CB70" s="1229"/>
      <c r="CC70" s="1228">
        <f>CC67+CC68-CC69</f>
        <v>125.12776687283188</v>
      </c>
      <c r="CD70" s="1229">
        <f>CD67+CD68-CD69</f>
        <v>112.90595377921686</v>
      </c>
      <c r="CE70" s="1229">
        <f>CE67+CE68-CE69</f>
        <v>115.1680045448369</v>
      </c>
      <c r="CF70" s="1229">
        <f>CF67+CF68-CF69</f>
        <v>114.23199405193976</v>
      </c>
      <c r="CG70" s="1230">
        <f>CG67+CG68-CG69</f>
        <v>119.15065533847785</v>
      </c>
      <c r="CH70" s="1229"/>
      <c r="CI70" s="1228">
        <f>CI67+CI68-CI69</f>
        <v>122.12776687283188</v>
      </c>
      <c r="CJ70" s="1229">
        <f>CJ67+CJ68-CJ69</f>
        <v>109.90595377921686</v>
      </c>
      <c r="CK70" s="1229">
        <f>CK67+CK68-CK69</f>
        <v>112.1680045448369</v>
      </c>
      <c r="CL70" s="1229">
        <f>CL67+CL68-CL69</f>
        <v>111.23199405193976</v>
      </c>
      <c r="CM70" s="1230">
        <f>CM67+CM68-CM69</f>
        <v>116.24126077625135</v>
      </c>
      <c r="CN70" s="1229"/>
      <c r="CO70" s="1228">
        <f>CO67+CO68-CO69</f>
        <v>119.12776687283188</v>
      </c>
      <c r="CP70" s="1229">
        <f>CP67+CP68-CP69</f>
        <v>106.90595377921686</v>
      </c>
      <c r="CQ70" s="1229">
        <f>CQ67+CQ68-CQ69</f>
        <v>109.1680045448369</v>
      </c>
      <c r="CR70" s="1229">
        <f>CR67+CR68-CR69</f>
        <v>108.23199405193976</v>
      </c>
      <c r="CS70" s="1230">
        <f>CS67+CS68-CS69</f>
        <v>113.52260926175147</v>
      </c>
      <c r="CT70" s="1151"/>
      <c r="CU70" s="63"/>
      <c r="CV70" s="63"/>
      <c r="CW70" s="63"/>
    </row>
    <row r="71" spans="1:101">
      <c r="A71" s="258"/>
      <c r="B71" s="258"/>
      <c r="C71" s="1158"/>
      <c r="D71" s="1158"/>
      <c r="E71" s="1158"/>
      <c r="F71" s="1158"/>
      <c r="G71" s="1201"/>
      <c r="H71" s="1201"/>
      <c r="I71" s="1158"/>
      <c r="J71" s="1158"/>
      <c r="K71" s="1158"/>
      <c r="L71" s="1158"/>
      <c r="M71" s="1158"/>
      <c r="N71" s="1158"/>
      <c r="O71" s="1158"/>
      <c r="P71" s="1158"/>
      <c r="Q71" s="1158"/>
      <c r="R71" s="1158"/>
      <c r="S71" s="1158"/>
      <c r="T71" s="1158"/>
      <c r="U71" s="1158"/>
      <c r="V71" s="1158"/>
      <c r="W71" s="1158"/>
      <c r="X71" s="1158"/>
      <c r="Y71" s="1158"/>
      <c r="Z71" s="1158"/>
      <c r="AA71" s="1158"/>
      <c r="AB71" s="1158"/>
      <c r="AC71" s="1158"/>
      <c r="AD71" s="1158"/>
      <c r="AE71" s="1158"/>
      <c r="AF71" s="1158"/>
      <c r="AG71" s="1158"/>
      <c r="AH71" s="1158"/>
      <c r="AI71" s="1158"/>
      <c r="AJ71" s="1158"/>
      <c r="AK71" s="1158"/>
      <c r="AL71" s="1158"/>
      <c r="AM71" s="1158"/>
      <c r="AN71" s="1158"/>
      <c r="AO71" s="1158"/>
      <c r="AP71" s="1158"/>
      <c r="AQ71" s="1158"/>
      <c r="AR71" s="1160"/>
      <c r="AS71" s="1459"/>
      <c r="AT71" s="1459"/>
      <c r="AU71" s="1459"/>
      <c r="AV71" s="1160"/>
      <c r="AW71" s="1160"/>
      <c r="AX71" s="1160"/>
      <c r="AY71" s="1160"/>
      <c r="AZ71" s="1459"/>
      <c r="BA71" s="1459"/>
      <c r="BB71" s="1160"/>
      <c r="BC71" s="1160"/>
      <c r="BD71" s="1160"/>
      <c r="BE71" s="1160"/>
      <c r="BF71" s="1160"/>
      <c r="BG71" s="1160"/>
      <c r="BH71" s="1160"/>
      <c r="BI71" s="1160"/>
      <c r="BJ71" s="1160"/>
      <c r="BK71" s="1160"/>
      <c r="BL71" s="1160"/>
      <c r="BM71" s="1160"/>
      <c r="BN71" s="1160"/>
      <c r="BO71" s="1160"/>
      <c r="BP71" s="1160"/>
      <c r="BQ71" s="1160"/>
      <c r="BR71" s="1160"/>
      <c r="BS71" s="1160"/>
      <c r="BT71" s="1160"/>
      <c r="BU71" s="1160"/>
      <c r="BV71" s="1160"/>
      <c r="BW71" s="1160"/>
      <c r="BX71" s="1160"/>
      <c r="BY71" s="1160"/>
      <c r="BZ71" s="1160"/>
      <c r="CA71" s="1160"/>
      <c r="CB71" s="1160"/>
      <c r="CC71" s="1160"/>
      <c r="CD71" s="1160"/>
      <c r="CE71" s="1160"/>
      <c r="CF71" s="1160"/>
      <c r="CG71" s="1160"/>
      <c r="CH71" s="1160"/>
      <c r="CI71" s="1160"/>
      <c r="CJ71" s="1160"/>
      <c r="CK71" s="1160"/>
      <c r="CL71" s="1160"/>
      <c r="CM71" s="1160"/>
      <c r="CN71" s="1160"/>
      <c r="CO71" s="1160"/>
      <c r="CP71" s="1160"/>
      <c r="CQ71" s="1160"/>
      <c r="CR71" s="1160"/>
      <c r="CS71" s="1160"/>
      <c r="CT71" s="1160"/>
      <c r="CU71" s="63"/>
      <c r="CV71" s="63"/>
      <c r="CW71" s="63"/>
    </row>
    <row r="72" spans="1:101" collapsed="1">
      <c r="A72" s="1952" t="s">
        <v>556</v>
      </c>
      <c r="B72" s="111"/>
      <c r="C72" s="51"/>
      <c r="D72" s="51"/>
      <c r="E72" s="51"/>
      <c r="F72" s="51"/>
      <c r="G72" s="53"/>
      <c r="H72" s="53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2"/>
      <c r="AD72" s="52"/>
      <c r="AE72" s="51"/>
      <c r="AF72" s="51"/>
      <c r="AG72" s="51"/>
      <c r="AH72" s="51"/>
      <c r="AI72" s="51"/>
      <c r="AJ72" s="52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4"/>
      <c r="AX72" s="51"/>
      <c r="AY72" s="51"/>
      <c r="AZ72" s="51"/>
      <c r="BA72" s="51"/>
      <c r="BB72" s="51"/>
      <c r="BC72" s="54"/>
      <c r="BD72" s="51"/>
      <c r="BE72" s="51"/>
      <c r="BF72" s="51"/>
      <c r="BG72" s="51"/>
      <c r="BH72" s="51"/>
      <c r="BI72" s="54"/>
      <c r="BJ72" s="51"/>
      <c r="BK72" s="51"/>
      <c r="BL72" s="51"/>
      <c r="BM72" s="51"/>
      <c r="BN72" s="51"/>
      <c r="BO72" s="54"/>
      <c r="BP72" s="51"/>
      <c r="BQ72" s="51"/>
      <c r="BR72" s="51"/>
      <c r="BS72" s="51"/>
      <c r="BT72" s="51"/>
      <c r="BU72" s="54"/>
      <c r="BV72" s="51"/>
      <c r="BW72" s="51"/>
      <c r="BX72" s="51"/>
      <c r="BY72" s="51"/>
      <c r="BZ72" s="51"/>
      <c r="CA72" s="54"/>
      <c r="CB72" s="51"/>
      <c r="CC72" s="51"/>
      <c r="CD72" s="51"/>
      <c r="CE72" s="51"/>
      <c r="CF72" s="51"/>
      <c r="CG72" s="54"/>
      <c r="CH72" s="51"/>
      <c r="CI72" s="51"/>
      <c r="CJ72" s="51"/>
      <c r="CK72" s="51"/>
      <c r="CL72" s="51"/>
      <c r="CM72" s="54"/>
      <c r="CN72" s="51"/>
      <c r="CO72" s="51"/>
      <c r="CP72" s="51"/>
      <c r="CQ72" s="51"/>
      <c r="CR72" s="51"/>
      <c r="CS72" s="54"/>
      <c r="CT72" s="2911"/>
      <c r="CU72" s="31"/>
      <c r="CV72" s="63"/>
      <c r="CW72" s="63"/>
    </row>
    <row r="73" spans="1:101">
      <c r="A73" s="1953" t="s">
        <v>277</v>
      </c>
      <c r="B73" s="1941"/>
      <c r="C73" s="1944">
        <f>CFS!C47</f>
        <v>85.142999999999986</v>
      </c>
      <c r="D73" s="1944">
        <f>CFS!D47</f>
        <v>-42.41200000000007</v>
      </c>
      <c r="E73" s="1944">
        <f>CFS!E47</f>
        <v>-17.009999999999973</v>
      </c>
      <c r="F73" s="1942">
        <f>CFS!F47</f>
        <v>110.83400000000002</v>
      </c>
      <c r="G73" s="1943">
        <f>CFS!G47</f>
        <v>136.55499999999998</v>
      </c>
      <c r="H73" s="1942"/>
      <c r="I73" s="1944">
        <f>CFS!I47</f>
        <v>-56.326999999999998</v>
      </c>
      <c r="J73" s="1944">
        <f>CFS!J47</f>
        <v>14.354000000000012</v>
      </c>
      <c r="K73" s="1944">
        <f>CFS!K47</f>
        <v>222.25100000000003</v>
      </c>
      <c r="L73" s="1942">
        <f>CFS!L47</f>
        <v>-28.19500000000005</v>
      </c>
      <c r="M73" s="1943">
        <f>CFS!M47</f>
        <v>152.08299999999994</v>
      </c>
      <c r="N73" s="1942"/>
      <c r="O73" s="1944">
        <f>CFS!O47</f>
        <v>24.122000000000007</v>
      </c>
      <c r="P73" s="1944">
        <f>CFS!P47</f>
        <v>0.95099999999999341</v>
      </c>
      <c r="Q73" s="1944">
        <f>CFS!Q47</f>
        <v>-113.5689999999999</v>
      </c>
      <c r="R73" s="1942">
        <f>CFS!R47</f>
        <v>-93.894999999999996</v>
      </c>
      <c r="S73" s="1943">
        <f>CFS!S47</f>
        <v>-182.39099999999999</v>
      </c>
      <c r="T73" s="1942"/>
      <c r="U73" s="1944">
        <f>CFS!U47</f>
        <v>68.592000000000027</v>
      </c>
      <c r="V73" s="1944">
        <f>CFS!V47</f>
        <v>23.961999999999943</v>
      </c>
      <c r="W73" s="1944">
        <f>CFS!W47</f>
        <v>-26.419999999999924</v>
      </c>
      <c r="X73" s="1942">
        <f>CFS!X47</f>
        <v>38.179999999999843</v>
      </c>
      <c r="Y73" s="1943">
        <f>CFS!Y47</f>
        <v>104.31399999999999</v>
      </c>
      <c r="Z73" s="1942"/>
      <c r="AA73" s="1944">
        <f>CFS!AA47</f>
        <v>161.39399999999995</v>
      </c>
      <c r="AB73" s="1944">
        <f>CFS!AB47</f>
        <v>-149.25700000000006</v>
      </c>
      <c r="AC73" s="1944">
        <f>CFS!AC47</f>
        <v>-31.237999999999925</v>
      </c>
      <c r="AD73" s="1942">
        <f>CFS!AD47</f>
        <v>73.132000000000048</v>
      </c>
      <c r="AE73" s="1943">
        <f>CFS!AE47</f>
        <v>54.030999999999985</v>
      </c>
      <c r="AF73" s="1942"/>
      <c r="AG73" s="1944">
        <f>CFS!AG47</f>
        <v>-42.784000000000006</v>
      </c>
      <c r="AH73" s="1944">
        <f>CFS!AH47</f>
        <v>56.217999999999996</v>
      </c>
      <c r="AI73" s="1944">
        <f>CFS!AI47</f>
        <v>26.677000000000021</v>
      </c>
      <c r="AJ73" s="1942">
        <f>CFS!AJ47</f>
        <v>90.892000000000053</v>
      </c>
      <c r="AK73" s="1943">
        <f>CFS!AK47</f>
        <v>131.00300000000007</v>
      </c>
      <c r="AL73" s="1942"/>
      <c r="AM73" s="1944">
        <f>CFS!AM47</f>
        <v>9.1010000000000595</v>
      </c>
      <c r="AN73" s="1944">
        <f>CFS!AN47</f>
        <v>340.52899999999994</v>
      </c>
      <c r="AO73" s="1944">
        <f>CFS!AO47</f>
        <v>-91.774999999999963</v>
      </c>
      <c r="AP73" s="1942">
        <f>CFS!AP47</f>
        <v>19.801000000000158</v>
      </c>
      <c r="AQ73" s="1943">
        <f>CFS!AQ47</f>
        <v>277.65600000000018</v>
      </c>
      <c r="AR73" s="1942"/>
      <c r="AS73" s="1944">
        <f>CFS!AS47</f>
        <v>-193.12399999999997</v>
      </c>
      <c r="AT73" s="1944">
        <f>CFS!AT47</f>
        <v>156.7079999999998</v>
      </c>
      <c r="AU73" s="1944">
        <f>CFS!AU47</f>
        <v>154.67399999999995</v>
      </c>
      <c r="AV73" s="1942">
        <f>CFS!AV47</f>
        <v>-193.74099999999981</v>
      </c>
      <c r="AW73" s="1943">
        <f>CFS!AW47</f>
        <v>-75.483000000000175</v>
      </c>
      <c r="AX73" s="1942"/>
      <c r="AY73" s="1944">
        <f>CFS!AY47</f>
        <v>-102.61699999999986</v>
      </c>
      <c r="AZ73" s="1944">
        <f>CFS!AZ47</f>
        <v>57.519999999999889</v>
      </c>
      <c r="BA73" s="1944">
        <f>CFS!BA47</f>
        <v>-39.528000000000041</v>
      </c>
      <c r="BB73" s="1942">
        <f>CFS!BB47</f>
        <v>217.24099999999981</v>
      </c>
      <c r="BC73" s="1943">
        <f>CFS!BC47</f>
        <v>132.61599999999981</v>
      </c>
      <c r="BD73" s="1942"/>
      <c r="BE73" s="1944">
        <f>CFS!BE47</f>
        <v>-13.85999999999993</v>
      </c>
      <c r="BF73" s="1944">
        <f>CFS!BF47</f>
        <v>196.75199999999995</v>
      </c>
      <c r="BG73" s="1944">
        <f>CFS!BG47</f>
        <v>-156.96499999999992</v>
      </c>
      <c r="BH73" s="1942">
        <f>CFS!BH47</f>
        <v>-60.181000000000054</v>
      </c>
      <c r="BI73" s="1943">
        <f>CFS!BI47</f>
        <v>-34.253999999999841</v>
      </c>
      <c r="BJ73" s="1942"/>
      <c r="BK73" s="1944">
        <f>CFS!BK47</f>
        <v>246.48400000000004</v>
      </c>
      <c r="BL73" s="1944">
        <f>CFS!BL47</f>
        <v>238</v>
      </c>
      <c r="BM73" s="1944">
        <f>CFS!BM47</f>
        <v>135</v>
      </c>
      <c r="BN73" s="1942">
        <f>CFS!BN47</f>
        <v>-129</v>
      </c>
      <c r="BO73" s="1943">
        <f>CFS!BO47</f>
        <v>490.48399999999998</v>
      </c>
      <c r="BP73" s="1942"/>
      <c r="BQ73" s="1944">
        <f>CFS!BQ47</f>
        <v>-198.77728060523276</v>
      </c>
      <c r="BR73" s="1944">
        <f>CFS!BR47</f>
        <v>130.42918565768389</v>
      </c>
      <c r="BS73" s="1944">
        <f>CFS!BS47</f>
        <v>43.866127620452176</v>
      </c>
      <c r="BT73" s="1942">
        <f>CFS!BT47</f>
        <v>46.42600173252174</v>
      </c>
      <c r="BU73" s="1943">
        <f>CFS!BU47</f>
        <v>21.944034405425327</v>
      </c>
      <c r="BV73" s="1942"/>
      <c r="BW73" s="1944">
        <f>CFS!BW47</f>
        <v>-57.383900694548288</v>
      </c>
      <c r="BX73" s="1944">
        <f>CFS!BX47</f>
        <v>161.93836728656683</v>
      </c>
      <c r="BY73" s="1944">
        <f>CFS!BY47</f>
        <v>66.933763262941937</v>
      </c>
      <c r="BZ73" s="1942">
        <f>CFS!BZ47</f>
        <v>66.422796701952308</v>
      </c>
      <c r="CA73" s="1943">
        <f>CFS!CA47</f>
        <v>237.91102655691282</v>
      </c>
      <c r="CB73" s="1942"/>
      <c r="CC73" s="1944">
        <f>CFS!CC47</f>
        <v>-14.451887537588391</v>
      </c>
      <c r="CD73" s="1944">
        <f>CFS!CD47</f>
        <v>261.6584283735375</v>
      </c>
      <c r="CE73" s="1944">
        <f>CFS!CE47</f>
        <v>168.22129334346786</v>
      </c>
      <c r="CF73" s="1942">
        <f>CFS!CF47</f>
        <v>171.01589695861807</v>
      </c>
      <c r="CG73" s="1943">
        <f>CFS!CG47</f>
        <v>586.44373113803522</v>
      </c>
      <c r="CH73" s="1942"/>
      <c r="CI73" s="1944">
        <f>CFS!CI47</f>
        <v>89.308005289280686</v>
      </c>
      <c r="CJ73" s="1944">
        <f>CFS!CJ47</f>
        <v>258.71106998005797</v>
      </c>
      <c r="CK73" s="1944">
        <f>CFS!CK47</f>
        <v>152.976537257855</v>
      </c>
      <c r="CL73" s="1942">
        <f>CFS!CL47</f>
        <v>150.67813443074272</v>
      </c>
      <c r="CM73" s="1943">
        <f>CFS!CM47</f>
        <v>651.67374695793637</v>
      </c>
      <c r="CN73" s="1942"/>
      <c r="CO73" s="1944">
        <f>CFS!CO47</f>
        <v>72.446572612348433</v>
      </c>
      <c r="CP73" s="1944">
        <f>CFS!CP47</f>
        <v>319.28525595011996</v>
      </c>
      <c r="CQ73" s="1944">
        <f>CFS!CQ47</f>
        <v>208.15466979194042</v>
      </c>
      <c r="CR73" s="1942">
        <f>CFS!CR47</f>
        <v>206.96580769646181</v>
      </c>
      <c r="CS73" s="1943">
        <f>CFS!CS47</f>
        <v>806.85230605087054</v>
      </c>
      <c r="CT73" s="1151"/>
      <c r="CU73" s="63"/>
      <c r="CV73" s="63"/>
      <c r="CW73" s="63"/>
    </row>
    <row r="74" spans="1:101">
      <c r="A74" s="1953" t="s">
        <v>557</v>
      </c>
      <c r="B74" s="1941"/>
      <c r="C74" s="1947">
        <f>CFS!C26</f>
        <v>14.642999999999958</v>
      </c>
      <c r="D74" s="1947">
        <f>CFS!D26</f>
        <v>24.483000000000008</v>
      </c>
      <c r="E74" s="1947">
        <f>CFS!E26</f>
        <v>5.3150000000000297</v>
      </c>
      <c r="F74" s="1945">
        <f>CFS!F26</f>
        <v>11.853000000000002</v>
      </c>
      <c r="G74" s="1946">
        <f>CFS!G26</f>
        <v>56.293999999999983</v>
      </c>
      <c r="H74" s="1945"/>
      <c r="I74" s="1947">
        <f>CFS!I26</f>
        <v>-26.75500000000001</v>
      </c>
      <c r="J74" s="1947">
        <f>CFS!J26</f>
        <v>37.223000000000013</v>
      </c>
      <c r="K74" s="1947">
        <f>CFS!K26</f>
        <v>27.29699999999999</v>
      </c>
      <c r="L74" s="1945">
        <f>CFS!L26</f>
        <v>50.117000000000004</v>
      </c>
      <c r="M74" s="1946">
        <f>CFS!M26</f>
        <v>87.882000000000005</v>
      </c>
      <c r="N74" s="1945"/>
      <c r="O74" s="1947">
        <f>CFS!O26</f>
        <v>50.748000000000005</v>
      </c>
      <c r="P74" s="1947">
        <f>CFS!P26</f>
        <v>39.369</v>
      </c>
      <c r="Q74" s="1947">
        <f>CFS!Q26</f>
        <v>20.785000000000025</v>
      </c>
      <c r="R74" s="1945">
        <f>CFS!R26</f>
        <v>61.288999999999987</v>
      </c>
      <c r="S74" s="1946">
        <f>CFS!S26</f>
        <v>172.19099999999997</v>
      </c>
      <c r="T74" s="1945"/>
      <c r="U74" s="1947">
        <f>CFS!U26</f>
        <v>59.065000000000012</v>
      </c>
      <c r="V74" s="1947">
        <f>CFS!V26</f>
        <v>77.198999999999984</v>
      </c>
      <c r="W74" s="1947">
        <f>CFS!W26</f>
        <v>54.827999999999996</v>
      </c>
      <c r="X74" s="1945">
        <f>CFS!X26</f>
        <v>81.480999999999966</v>
      </c>
      <c r="Y74" s="1946">
        <f>CFS!Y26</f>
        <v>272.57299999999998</v>
      </c>
      <c r="Z74" s="1945"/>
      <c r="AA74" s="1947">
        <f>CFS!AA26</f>
        <v>88.577999999999989</v>
      </c>
      <c r="AB74" s="1947">
        <f>CFS!AB26</f>
        <v>71.22</v>
      </c>
      <c r="AC74" s="1947">
        <f>CFS!AC26</f>
        <v>90.041999999999987</v>
      </c>
      <c r="AD74" s="1945">
        <f>CFS!AD26</f>
        <v>108.29999999999994</v>
      </c>
      <c r="AE74" s="1946">
        <f>CFS!AE26</f>
        <v>358.13999999999993</v>
      </c>
      <c r="AF74" s="1945"/>
      <c r="AG74" s="1947">
        <f>CFS!AG26</f>
        <v>65.44</v>
      </c>
      <c r="AH74" s="1947">
        <f>CFS!AH26</f>
        <v>96.328999999999965</v>
      </c>
      <c r="AI74" s="1947">
        <f>CFS!AI26</f>
        <v>51.228000000000037</v>
      </c>
      <c r="AJ74" s="1945">
        <f>CFS!AJ26</f>
        <v>78.876000000000005</v>
      </c>
      <c r="AK74" s="1946">
        <f>CFS!AK26</f>
        <v>291.87299999999999</v>
      </c>
      <c r="AL74" s="1945"/>
      <c r="AM74" s="1947">
        <f>CFS!AM26</f>
        <v>87.840000000000032</v>
      </c>
      <c r="AN74" s="1947">
        <f>CFS!AN26</f>
        <v>88.606000000000037</v>
      </c>
      <c r="AO74" s="1947">
        <f>CFS!AO26</f>
        <v>83.136000000000067</v>
      </c>
      <c r="AP74" s="1945">
        <f>CFS!AP26</f>
        <v>126.83900000000006</v>
      </c>
      <c r="AQ74" s="1946">
        <f>CFS!AQ26</f>
        <v>386.42100000000016</v>
      </c>
      <c r="AR74" s="1945"/>
      <c r="AS74" s="1947">
        <f>CFS!AS26</f>
        <v>37.087000000000003</v>
      </c>
      <c r="AT74" s="1947">
        <f>CFS!AT26</f>
        <v>178.02999999999997</v>
      </c>
      <c r="AU74" s="1947">
        <f>CFS!AU26</f>
        <v>145.60500000000005</v>
      </c>
      <c r="AV74" s="1945">
        <f>CFS!AV26</f>
        <v>140.54899999999992</v>
      </c>
      <c r="AW74" s="1946">
        <f>CFS!AW26</f>
        <v>501.27099999999984</v>
      </c>
      <c r="AX74" s="1945"/>
      <c r="AY74" s="1947">
        <f>CFS!AY26</f>
        <v>66.77900000000011</v>
      </c>
      <c r="AZ74" s="1947">
        <f>CFS!AZ26</f>
        <v>171.44499999999988</v>
      </c>
      <c r="BA74" s="1947">
        <f>CFS!BA26</f>
        <v>180.99399999999994</v>
      </c>
      <c r="BB74" s="1945">
        <f>CFS!BB26</f>
        <v>240.37799999999996</v>
      </c>
      <c r="BC74" s="1946">
        <f>CFS!BC26</f>
        <v>659.59599999999989</v>
      </c>
      <c r="BD74" s="1945"/>
      <c r="BE74" s="1947">
        <f>CFS!BE26</f>
        <v>98.73100000000008</v>
      </c>
      <c r="BF74" s="1947">
        <f>CFS!BF26</f>
        <v>214.44500000000002</v>
      </c>
      <c r="BG74" s="1947">
        <f>CFS!BG26</f>
        <v>146.30400000000003</v>
      </c>
      <c r="BH74" s="1945">
        <f>CFS!BH26</f>
        <v>225.52800000000002</v>
      </c>
      <c r="BI74" s="1946">
        <f>CFS!BI26</f>
        <v>685.00800000000015</v>
      </c>
      <c r="BJ74" s="1945"/>
      <c r="BK74" s="1947">
        <f>CFS!BK26</f>
        <v>168</v>
      </c>
      <c r="BL74" s="1947">
        <f>CFS!BL26</f>
        <v>178</v>
      </c>
      <c r="BM74" s="1947">
        <f>CFS!BM26</f>
        <v>235</v>
      </c>
      <c r="BN74" s="1945">
        <f>CFS!BN26</f>
        <v>294</v>
      </c>
      <c r="BO74" s="1946">
        <f>CFS!BO26</f>
        <v>875</v>
      </c>
      <c r="BP74" s="1945"/>
      <c r="BQ74" s="1947">
        <f>CFS!BQ26</f>
        <v>132.75621389601832</v>
      </c>
      <c r="BR74" s="1947">
        <f>CFS!BR26</f>
        <v>344.38335338971746</v>
      </c>
      <c r="BS74" s="1947">
        <f>CFS!BS26</f>
        <v>259.34747318487871</v>
      </c>
      <c r="BT74" s="1945">
        <f>CFS!BT26</f>
        <v>265.65390251852568</v>
      </c>
      <c r="BU74" s="1946">
        <f>CFS!BU26</f>
        <v>1002.1409429891405</v>
      </c>
      <c r="BV74" s="1945"/>
      <c r="BW74" s="1947">
        <f>CFS!BW26</f>
        <v>159.86245072739734</v>
      </c>
      <c r="BX74" s="1947">
        <f>CFS!BX26</f>
        <v>378.76447232099872</v>
      </c>
      <c r="BY74" s="1947">
        <f>CFS!BY26</f>
        <v>284.90829531116526</v>
      </c>
      <c r="BZ74" s="1945">
        <f>CFS!BZ26</f>
        <v>288.2647677674986</v>
      </c>
      <c r="CA74" s="1946">
        <f>CFS!CA26</f>
        <v>1111.79998612706</v>
      </c>
      <c r="CB74" s="1945"/>
      <c r="CC74" s="1947">
        <f>CFS!CC26</f>
        <v>202.91586290012094</v>
      </c>
      <c r="CD74" s="1947">
        <f>CFS!CD26</f>
        <v>478.6679255189789</v>
      </c>
      <c r="CE74" s="1947">
        <f>CFS!CE26</f>
        <v>386.47867453563782</v>
      </c>
      <c r="CF74" s="1945">
        <f>CFS!CF26</f>
        <v>393.69430299555461</v>
      </c>
      <c r="CG74" s="1946">
        <f>CFS!CG26</f>
        <v>1461.7567659502924</v>
      </c>
      <c r="CH74" s="1945"/>
      <c r="CI74" s="1947">
        <f>CFS!CI26</f>
        <v>302.63958894808195</v>
      </c>
      <c r="CJ74" s="1947">
        <f>CFS!CJ26</f>
        <v>471.63747616883063</v>
      </c>
      <c r="CK74" s="1947">
        <f>CFS!CK26</f>
        <v>367.22606928472453</v>
      </c>
      <c r="CL74" s="1945">
        <f>CFS!CL26</f>
        <v>370.11352851676645</v>
      </c>
      <c r="CM74" s="1946">
        <f>CFS!CM26</f>
        <v>1511.6166629184036</v>
      </c>
      <c r="CN74" s="1945"/>
      <c r="CO74" s="1947">
        <f>CFS!CO26</f>
        <v>274.20627899359459</v>
      </c>
      <c r="CP74" s="1947">
        <f>CFS!CP26</f>
        <v>521.17204741218143</v>
      </c>
      <c r="CQ74" s="1947">
        <f>CFS!CQ26</f>
        <v>411.98858131858776</v>
      </c>
      <c r="CR74" s="1945">
        <f>CFS!CR26</f>
        <v>416.71326273985687</v>
      </c>
      <c r="CS74" s="1946">
        <f>CFS!CS26</f>
        <v>1624.0801704642206</v>
      </c>
      <c r="CT74" s="1151"/>
      <c r="CU74" s="63"/>
      <c r="CV74" s="63"/>
      <c r="CW74" s="63"/>
    </row>
    <row r="75" spans="1:101">
      <c r="A75" s="1953" t="s">
        <v>2</v>
      </c>
      <c r="B75" s="1941"/>
      <c r="C75" s="1947">
        <f>CFS!C54</f>
        <v>11.403999999999957</v>
      </c>
      <c r="D75" s="1947">
        <f>CFS!D54</f>
        <v>17.797000000000008</v>
      </c>
      <c r="E75" s="1947">
        <f>CFS!E54</f>
        <v>-1.6999999999968374E-2</v>
      </c>
      <c r="F75" s="1945">
        <f>CFS!F54</f>
        <v>2.7669999999999995</v>
      </c>
      <c r="G75" s="1946">
        <f>CFS!G54</f>
        <v>31.950999999999983</v>
      </c>
      <c r="H75" s="1945"/>
      <c r="I75" s="1947">
        <f>CFS!I54</f>
        <v>-33.718000000000011</v>
      </c>
      <c r="J75" s="1947">
        <f>CFS!J54</f>
        <v>14.363000000000014</v>
      </c>
      <c r="K75" s="1947">
        <f>CFS!K54</f>
        <v>11.980999999999987</v>
      </c>
      <c r="L75" s="1945">
        <f>CFS!L54</f>
        <v>35.563000000000009</v>
      </c>
      <c r="M75" s="1946">
        <f>CFS!M54</f>
        <v>28.189000000000007</v>
      </c>
      <c r="N75" s="1945"/>
      <c r="O75" s="1947">
        <f>CFS!O54</f>
        <v>38.179000000000002</v>
      </c>
      <c r="P75" s="1947">
        <f>CFS!P54</f>
        <v>25.347000000000001</v>
      </c>
      <c r="Q75" s="1947">
        <f>CFS!Q54</f>
        <v>1.0880000000000294</v>
      </c>
      <c r="R75" s="1945">
        <f>CFS!R54</f>
        <v>54.903999999999982</v>
      </c>
      <c r="S75" s="1946">
        <f>CFS!S54</f>
        <v>119.51799999999997</v>
      </c>
      <c r="T75" s="1945"/>
      <c r="U75" s="1947">
        <f>CFS!U54</f>
        <v>47.885000000000012</v>
      </c>
      <c r="V75" s="1947">
        <f>CFS!V54</f>
        <v>64.056999999999988</v>
      </c>
      <c r="W75" s="1947">
        <f>CFS!W54</f>
        <v>41.715999999999994</v>
      </c>
      <c r="X75" s="1945">
        <f>CFS!X54</f>
        <v>69.096999999999966</v>
      </c>
      <c r="Y75" s="1946">
        <f>CFS!Y54</f>
        <v>222.755</v>
      </c>
      <c r="Z75" s="1945"/>
      <c r="AA75" s="1947">
        <f>CFS!AA54</f>
        <v>76.277999999999992</v>
      </c>
      <c r="AB75" s="1947">
        <f>CFS!AB54</f>
        <v>55.016999999999996</v>
      </c>
      <c r="AC75" s="1947">
        <f>CFS!AC54</f>
        <v>67.85899999999998</v>
      </c>
      <c r="AD75" s="1945">
        <f>CFS!AD54</f>
        <v>81.18599999999995</v>
      </c>
      <c r="AE75" s="1946">
        <f>CFS!AE54</f>
        <v>280.33999999999992</v>
      </c>
      <c r="AF75" s="1945"/>
      <c r="AG75" s="1947">
        <f>CFS!AG54</f>
        <v>52.355999999999995</v>
      </c>
      <c r="AH75" s="1947">
        <f>CFS!AH54</f>
        <v>75.382999999999967</v>
      </c>
      <c r="AI75" s="1947">
        <f>CFS!AI54</f>
        <v>33.578000000000031</v>
      </c>
      <c r="AJ75" s="1945">
        <f>CFS!AJ54</f>
        <v>61.775000000000006</v>
      </c>
      <c r="AK75" s="1946">
        <f>CFS!AK54</f>
        <v>223.09199999999998</v>
      </c>
      <c r="AL75" s="1945"/>
      <c r="AM75" s="1947">
        <f>CFS!AM54</f>
        <v>66.399000000000029</v>
      </c>
      <c r="AN75" s="1947">
        <f>CFS!AN54</f>
        <v>77.072000000000031</v>
      </c>
      <c r="AO75" s="1947">
        <f>CFS!AO54</f>
        <v>64.206000000000074</v>
      </c>
      <c r="AP75" s="1945">
        <f>CFS!AP54</f>
        <v>99.529000000000053</v>
      </c>
      <c r="AQ75" s="1946">
        <f>CFS!AQ54</f>
        <v>307.20600000000013</v>
      </c>
      <c r="AR75" s="1945"/>
      <c r="AS75" s="1947">
        <f>CFS!AS54</f>
        <v>18.075000000000003</v>
      </c>
      <c r="AT75" s="1947">
        <f>CFS!AT54</f>
        <v>154.70599999999996</v>
      </c>
      <c r="AU75" s="1947">
        <f>CFS!AU54</f>
        <v>116.77700000000004</v>
      </c>
      <c r="AV75" s="1945">
        <f>CFS!AV54</f>
        <v>105.71699999999993</v>
      </c>
      <c r="AW75" s="1946">
        <f>CFS!AW54</f>
        <v>395.27499999999986</v>
      </c>
      <c r="AX75" s="1945"/>
      <c r="AY75" s="1947">
        <f>CFS!AY54</f>
        <v>30.228000000000108</v>
      </c>
      <c r="AZ75" s="1947">
        <f>CFS!AZ54</f>
        <v>130.09399999999988</v>
      </c>
      <c r="BA75" s="1947">
        <f>CFS!BA54</f>
        <v>151.53499999999994</v>
      </c>
      <c r="BB75" s="1945">
        <f>CFS!BB54</f>
        <v>204.89199999999994</v>
      </c>
      <c r="BC75" s="1946">
        <f>CFS!BC54</f>
        <v>516.74899999999991</v>
      </c>
      <c r="BD75" s="1945"/>
      <c r="BE75" s="1947">
        <f>CFS!BE54</f>
        <v>45.313000000000081</v>
      </c>
      <c r="BF75" s="1947">
        <f>CFS!BF54</f>
        <v>146.63200000000003</v>
      </c>
      <c r="BG75" s="1947">
        <f>CFS!BG54</f>
        <v>89.182000000000016</v>
      </c>
      <c r="BH75" s="1945">
        <f>CFS!BH54</f>
        <v>143.99</v>
      </c>
      <c r="BI75" s="1946">
        <f>CFS!BI54</f>
        <v>425.11700000000013</v>
      </c>
      <c r="BJ75" s="1945"/>
      <c r="BK75" s="1947">
        <f>CFS!BK54</f>
        <v>85</v>
      </c>
      <c r="BL75" s="1947">
        <f>CFS!BL54</f>
        <v>109</v>
      </c>
      <c r="BM75" s="1947">
        <f>CFS!BM54</f>
        <v>153</v>
      </c>
      <c r="BN75" s="1945">
        <f>CFS!BN54</f>
        <v>218</v>
      </c>
      <c r="BO75" s="1946">
        <f>CFS!BO54</f>
        <v>565</v>
      </c>
      <c r="BP75" s="1945"/>
      <c r="BQ75" s="1947">
        <f>CFS!BQ54</f>
        <v>46.736213896018327</v>
      </c>
      <c r="BR75" s="1947">
        <f>CFS!BR54</f>
        <v>257.43581471281027</v>
      </c>
      <c r="BS75" s="1947">
        <f>CFS!BS54</f>
        <v>170.72304185200289</v>
      </c>
      <c r="BT75" s="1945">
        <f>CFS!BT54</f>
        <v>173.21890852968124</v>
      </c>
      <c r="BU75" s="1946">
        <f>CFS!BU54</f>
        <v>648.11397899051303</v>
      </c>
      <c r="BV75" s="1945"/>
      <c r="BW75" s="1947">
        <f>CFS!BW54</f>
        <v>63.869507582135299</v>
      </c>
      <c r="BX75" s="1947">
        <f>CFS!BX54</f>
        <v>283.03986190393454</v>
      </c>
      <c r="BY75" s="1947">
        <f>CFS!BY54</f>
        <v>187.88073192999121</v>
      </c>
      <c r="BZ75" s="1945">
        <f>CFS!BZ54</f>
        <v>187.30369026836848</v>
      </c>
      <c r="CA75" s="1946">
        <f>CFS!CA54</f>
        <v>722.09379168442956</v>
      </c>
      <c r="CB75" s="1945"/>
      <c r="CC75" s="1947">
        <f>CFS!CC54</f>
        <v>97.174588688360274</v>
      </c>
      <c r="CD75" s="1947">
        <f>CFS!CD54</f>
        <v>373.12810834949892</v>
      </c>
      <c r="CE75" s="1947">
        <f>CFS!CE54</f>
        <v>279.53148023175208</v>
      </c>
      <c r="CF75" s="1945">
        <f>CFS!CF54</f>
        <v>282.25787368329861</v>
      </c>
      <c r="CG75" s="1946">
        <f>CFS!CG54</f>
        <v>1032.0920509529101</v>
      </c>
      <c r="CH75" s="1945"/>
      <c r="CI75" s="1947">
        <f>CFS!CI54</f>
        <v>185.86636794820089</v>
      </c>
      <c r="CJ75" s="1947">
        <f>CFS!CJ54</f>
        <v>355.10759544433711</v>
      </c>
      <c r="CK75" s="1947">
        <f>CFS!CK54</f>
        <v>249.20844138210487</v>
      </c>
      <c r="CL75" s="1945">
        <f>CFS!CL54</f>
        <v>246.83962371542412</v>
      </c>
      <c r="CM75" s="1946">
        <f>CFS!CM54</f>
        <v>1037.022028490067</v>
      </c>
      <c r="CN75" s="1945"/>
      <c r="CO75" s="1947">
        <f>CFS!CO54</f>
        <v>145.80089366911963</v>
      </c>
      <c r="CP75" s="1947">
        <f>CFS!CP54</f>
        <v>392.47253533173284</v>
      </c>
      <c r="CQ75" s="1947">
        <f>CFS!CQ54</f>
        <v>281.17203319334044</v>
      </c>
      <c r="CR75" s="1945">
        <f>CFS!CR54</f>
        <v>279.9104796795674</v>
      </c>
      <c r="CS75" s="1946">
        <f>CFS!CS54</f>
        <v>1099.3559418737602</v>
      </c>
      <c r="CT75" s="1151"/>
      <c r="CU75" s="63"/>
      <c r="CV75" s="63"/>
      <c r="CW75" s="63"/>
    </row>
    <row r="76" spans="1:101">
      <c r="A76" s="1954" t="s">
        <v>558</v>
      </c>
      <c r="B76" s="1948"/>
      <c r="C76" s="1951">
        <f>CFS!C55</f>
        <v>0.10673505297442962</v>
      </c>
      <c r="D76" s="1951">
        <f>CFS!D55</f>
        <v>0.15326122526308544</v>
      </c>
      <c r="E76" s="1951">
        <f>CFS!E55</f>
        <v>-1.4310968936752567E-4</v>
      </c>
      <c r="F76" s="1949">
        <f>CFS!F55</f>
        <v>2.5129416038506942E-2</v>
      </c>
      <c r="G76" s="1950">
        <f>CFS!G55</f>
        <v>0.29500129260996399</v>
      </c>
      <c r="H76" s="1949"/>
      <c r="I76" s="1951">
        <f>CFS!I55</f>
        <v>-0.26439683834138394</v>
      </c>
      <c r="J76" s="1951">
        <f>CFS!J55</f>
        <v>0.10767189420972155</v>
      </c>
      <c r="K76" s="1951">
        <f>CFS!K55</f>
        <v>0.10006430975587338</v>
      </c>
      <c r="L76" s="1949">
        <f>CFS!L55</f>
        <v>0.27085094553735323</v>
      </c>
      <c r="M76" s="1950">
        <f>CFS!M55</f>
        <v>0.21098445440732902</v>
      </c>
      <c r="N76" s="1949"/>
      <c r="O76" s="1951">
        <f>CFS!O55</f>
        <v>0.28713139350365124</v>
      </c>
      <c r="P76" s="1951">
        <f>CFS!P55</f>
        <v>0.18174452371562758</v>
      </c>
      <c r="Q76" s="1951">
        <f>CFS!Q55</f>
        <v>7.7784291576706854E-3</v>
      </c>
      <c r="R76" s="1949">
        <f>CFS!R55</f>
        <v>0.40342407876850717</v>
      </c>
      <c r="S76" s="1950">
        <f>CFS!S55</f>
        <v>0.87178327595261695</v>
      </c>
      <c r="T76" s="1949"/>
      <c r="U76" s="1951">
        <f>CFS!U55</f>
        <v>0.3510450343457448</v>
      </c>
      <c r="V76" s="1951">
        <f>CFS!V55</f>
        <v>0.45446289845407262</v>
      </c>
      <c r="W76" s="1951">
        <f>CFS!W55</f>
        <v>0.28729038256258388</v>
      </c>
      <c r="X76" s="1949">
        <f>CFS!X55</f>
        <v>0.45707840789569409</v>
      </c>
      <c r="Y76" s="1950">
        <f>CFS!Y55</f>
        <v>1.5530247572037119</v>
      </c>
      <c r="Z76" s="1949"/>
      <c r="AA76" s="1951">
        <f>CFS!AA55</f>
        <v>0.49812902846619517</v>
      </c>
      <c r="AB76" s="1951">
        <f>CFS!AB55</f>
        <v>0.38808591683419746</v>
      </c>
      <c r="AC76" s="1951">
        <f>CFS!AC55</f>
        <v>0.49908800729594144</v>
      </c>
      <c r="AD76" s="1949">
        <f>CFS!AD55</f>
        <v>0.65007046313496852</v>
      </c>
      <c r="AE76" s="1950">
        <f>CFS!AE55</f>
        <v>2.0177490517284804</v>
      </c>
      <c r="AF76" s="1949"/>
      <c r="AG76" s="1951">
        <f>CFS!AG55</f>
        <v>0.39112797794694409</v>
      </c>
      <c r="AH76" s="1951">
        <f>CFS!AH55</f>
        <v>0.56674260023607048</v>
      </c>
      <c r="AI76" s="1951">
        <f>CFS!AI55</f>
        <v>0.25340548046518319</v>
      </c>
      <c r="AJ76" s="1949">
        <f>CFS!AJ55</f>
        <v>0.45626435635520302</v>
      </c>
      <c r="AK76" s="1950">
        <f>CFS!AK55</f>
        <v>1.6686887121988434</v>
      </c>
      <c r="AL76" s="1949"/>
      <c r="AM76" s="1951">
        <f>CFS!AM55</f>
        <v>0.53647954236959494</v>
      </c>
      <c r="AN76" s="1951">
        <f>CFS!AN55</f>
        <v>0.55297502457363856</v>
      </c>
      <c r="AO76" s="1951">
        <f>CFS!AO55</f>
        <v>0.45665393560501044</v>
      </c>
      <c r="AP76" s="1949">
        <f>CFS!AP55</f>
        <v>0.69187509558302196</v>
      </c>
      <c r="AQ76" s="1950">
        <f>CFS!AQ55</f>
        <v>2.1953321518408422</v>
      </c>
      <c r="AR76" s="1949"/>
      <c r="AS76" s="1951">
        <f>CFS!AS55</f>
        <v>0.1200047802734051</v>
      </c>
      <c r="AT76" s="1951">
        <f>CFS!AT55</f>
        <v>1.03745280678107</v>
      </c>
      <c r="AU76" s="1951">
        <f>CFS!AU55</f>
        <v>0.79164406963501299</v>
      </c>
      <c r="AV76" s="1949">
        <f>CFS!AV55</f>
        <v>0.71114713736991808</v>
      </c>
      <c r="AW76" s="1950">
        <f>CFS!AW55</f>
        <v>2.6532574604511754</v>
      </c>
      <c r="AX76" s="1949"/>
      <c r="AY76" s="1951">
        <f>CFS!AY55</f>
        <v>0.20330501805855483</v>
      </c>
      <c r="AZ76" s="1951">
        <f>CFS!AZ55</f>
        <v>0.8732957863716605</v>
      </c>
      <c r="BA76" s="1951">
        <f>CFS!BA55</f>
        <v>1.0124472179165105</v>
      </c>
      <c r="BB76" s="1949">
        <f>CFS!BB55</f>
        <v>1.3755572264890699</v>
      </c>
      <c r="BC76" s="1950">
        <f>CFS!BC55</f>
        <v>3.4665087979392091</v>
      </c>
      <c r="BD76" s="1949"/>
      <c r="BE76" s="1951">
        <f>CFS!BE55</f>
        <v>0.3054321670025687</v>
      </c>
      <c r="BF76" s="1951">
        <f>CFS!BF55</f>
        <v>0.99150038204328939</v>
      </c>
      <c r="BG76" s="1951">
        <f>CFS!BG55</f>
        <v>0.60298442877330116</v>
      </c>
      <c r="BH76" s="1949">
        <f>CFS!BH55</f>
        <v>0.972806810120596</v>
      </c>
      <c r="BI76" s="1950">
        <f>CFS!BI55</f>
        <v>2.8716263454932949</v>
      </c>
      <c r="BJ76" s="1949"/>
      <c r="BK76" s="1951">
        <f>CFS!BK55</f>
        <v>0.57666214382632286</v>
      </c>
      <c r="BL76" s="1951">
        <f>CFS!BL55</f>
        <v>0.74657534246575341</v>
      </c>
      <c r="BM76" s="1951">
        <f>CFS!BM55</f>
        <v>1.0372881355932204</v>
      </c>
      <c r="BN76" s="1949">
        <f>CFS!BN55</f>
        <v>1.4779661016949153</v>
      </c>
      <c r="BO76" s="1950">
        <f>CFS!BO55</f>
        <v>3.840924541128484</v>
      </c>
      <c r="BP76" s="1949"/>
      <c r="BQ76" s="1951">
        <f>CFS!BQ55</f>
        <v>0.31793342786407025</v>
      </c>
      <c r="BR76" s="1951">
        <f>CFS!BR55</f>
        <v>1.7450813967245904</v>
      </c>
      <c r="BS76" s="1951">
        <f>CFS!BS55</f>
        <v>1.1625193281286281</v>
      </c>
      <c r="BT76" s="1949">
        <f>CFS!BT55</f>
        <v>1.1847629664001447</v>
      </c>
      <c r="BU76" s="1950">
        <f>CFS!BU55</f>
        <v>4.4120718442379507</v>
      </c>
      <c r="BV76" s="1949"/>
      <c r="BW76" s="1951">
        <f>CFS!BW55</f>
        <v>0.43875805242665633</v>
      </c>
      <c r="BX76" s="1951">
        <f>CFS!BX55</f>
        <v>1.9527297438649647</v>
      </c>
      <c r="BY76" s="1951">
        <f>CFS!BY55</f>
        <v>1.3016908427982861</v>
      </c>
      <c r="BZ76" s="1949">
        <f>CFS!BZ55</f>
        <v>1.3030812253652353</v>
      </c>
      <c r="CA76" s="1950">
        <f>CFS!CA55</f>
        <v>4.9920967354965109</v>
      </c>
      <c r="CB76" s="1949"/>
      <c r="CC76" s="1951">
        <f>CFS!CC55</f>
        <v>0.67860141735790991</v>
      </c>
      <c r="CD76" s="1951">
        <f>CFS!CD55</f>
        <v>2.614367878797931</v>
      </c>
      <c r="CE76" s="1951">
        <f>CFS!CE55</f>
        <v>1.9649883731475744</v>
      </c>
      <c r="CF76" s="1949">
        <f>CFS!CF55</f>
        <v>1.9905362487016927</v>
      </c>
      <c r="CG76" s="1950">
        <f>CFS!CG55</f>
        <v>7.2430510453200698</v>
      </c>
      <c r="CH76" s="1949"/>
      <c r="CI76" s="1951">
        <f>CFS!CI55</f>
        <v>1.3149045401947514</v>
      </c>
      <c r="CJ76" s="1951">
        <f>CFS!CJ55</f>
        <v>2.5199839123356997</v>
      </c>
      <c r="CK76" s="1951">
        <f>CFS!CK55</f>
        <v>1.7738640706952933</v>
      </c>
      <c r="CL76" s="1949">
        <f>CFS!CL55</f>
        <v>1.7622519945311494</v>
      </c>
      <c r="CM76" s="1950">
        <f>CFS!CM55</f>
        <v>7.3700589242205909</v>
      </c>
      <c r="CN76" s="1949"/>
      <c r="CO76" s="1951">
        <f>CFS!CO55</f>
        <v>1.0439627618880212</v>
      </c>
      <c r="CP76" s="1951">
        <f>CFS!CP55</f>
        <v>2.818268006183843</v>
      </c>
      <c r="CQ76" s="1951">
        <f>CFS!CQ55</f>
        <v>2.0247444543580824</v>
      </c>
      <c r="CR76" s="1949">
        <f>CFS!CR55</f>
        <v>2.0212478760968633</v>
      </c>
      <c r="CS76" s="1950">
        <f>CFS!CS55</f>
        <v>7.9051525775681029</v>
      </c>
      <c r="CT76" s="1151"/>
      <c r="CU76" s="63"/>
      <c r="CV76" s="63"/>
      <c r="CW76" s="63"/>
    </row>
    <row r="77" spans="1:101">
      <c r="A77" s="258"/>
      <c r="B77" s="258"/>
      <c r="C77" s="1158"/>
      <c r="D77" s="1158"/>
      <c r="E77" s="1158"/>
      <c r="F77" s="1158"/>
      <c r="G77" s="1201"/>
      <c r="H77" s="1201"/>
      <c r="I77" s="1158"/>
      <c r="J77" s="1158"/>
      <c r="K77" s="1158"/>
      <c r="L77" s="1158"/>
      <c r="M77" s="1158"/>
      <c r="N77" s="1158"/>
      <c r="O77" s="1158"/>
      <c r="P77" s="1158"/>
      <c r="Q77" s="1158"/>
      <c r="R77" s="1158"/>
      <c r="S77" s="1158"/>
      <c r="T77" s="1158"/>
      <c r="U77" s="1158"/>
      <c r="V77" s="1158"/>
      <c r="W77" s="1158"/>
      <c r="X77" s="1158"/>
      <c r="Y77" s="1158"/>
      <c r="Z77" s="1158"/>
      <c r="AA77" s="1158"/>
      <c r="AB77" s="1158"/>
      <c r="AC77" s="1158"/>
      <c r="AD77" s="1158"/>
      <c r="AE77" s="1158"/>
      <c r="AF77" s="1158"/>
      <c r="AG77" s="1158"/>
      <c r="AH77" s="1158"/>
      <c r="AI77" s="1158"/>
      <c r="AJ77" s="1158"/>
      <c r="AK77" s="1158"/>
      <c r="AL77" s="1158"/>
      <c r="AM77" s="1158"/>
      <c r="AN77" s="1158"/>
      <c r="AO77" s="1158"/>
      <c r="AP77" s="1158"/>
      <c r="AQ77" s="1158"/>
      <c r="AR77" s="1160"/>
      <c r="AS77" s="1459"/>
      <c r="AT77" s="1459"/>
      <c r="AU77" s="1459"/>
      <c r="AV77" s="1160"/>
      <c r="AW77" s="1160"/>
      <c r="AX77" s="1160"/>
      <c r="AY77" s="1160"/>
      <c r="AZ77" s="1459"/>
      <c r="BA77" s="1160"/>
      <c r="BB77" s="1160"/>
      <c r="BC77" s="1160"/>
      <c r="BD77" s="1160"/>
      <c r="BE77" s="1160"/>
      <c r="BF77" s="1160"/>
      <c r="BG77" s="1160"/>
      <c r="BH77" s="1160"/>
      <c r="BI77" s="1160"/>
      <c r="BJ77" s="1160"/>
      <c r="BK77" s="1160"/>
      <c r="BL77" s="1160"/>
      <c r="BM77" s="1160"/>
      <c r="BN77" s="1160"/>
      <c r="BO77" s="1160"/>
      <c r="BP77" s="1160"/>
      <c r="BQ77" s="1160"/>
      <c r="BR77" s="1160"/>
      <c r="BS77" s="1160"/>
      <c r="BT77" s="1160"/>
      <c r="BU77" s="1160"/>
      <c r="BV77" s="1160"/>
      <c r="BW77" s="1160"/>
      <c r="BX77" s="1160"/>
      <c r="BY77" s="1160"/>
      <c r="BZ77" s="1160"/>
      <c r="CA77" s="1160"/>
      <c r="CB77" s="1160"/>
      <c r="CC77" s="1160"/>
      <c r="CD77" s="1160"/>
      <c r="CE77" s="1160"/>
      <c r="CF77" s="1160"/>
      <c r="CG77" s="1160"/>
      <c r="CH77" s="1160"/>
      <c r="CI77" s="1160"/>
      <c r="CJ77" s="1160"/>
      <c r="CK77" s="1160"/>
      <c r="CL77" s="1160"/>
      <c r="CM77" s="1160"/>
      <c r="CN77" s="1160"/>
      <c r="CO77" s="1160"/>
      <c r="CP77" s="1160"/>
      <c r="CQ77" s="1160"/>
      <c r="CR77" s="1160"/>
      <c r="CS77" s="1160"/>
      <c r="CT77" s="1160"/>
      <c r="CU77" s="63"/>
      <c r="CV77" s="63"/>
      <c r="CW77" s="63"/>
    </row>
    <row r="78" spans="1:101">
      <c r="A78" s="50" t="s">
        <v>332</v>
      </c>
      <c r="B78" s="111"/>
      <c r="C78" s="51"/>
      <c r="D78" s="51"/>
      <c r="E78" s="51"/>
      <c r="F78" s="51"/>
      <c r="G78" s="53"/>
      <c r="H78" s="53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2"/>
      <c r="AD78" s="52"/>
      <c r="AE78" s="51"/>
      <c r="AF78" s="51"/>
      <c r="AG78" s="51"/>
      <c r="AH78" s="51"/>
      <c r="AI78" s="51"/>
      <c r="AJ78" s="52"/>
      <c r="AK78" s="51"/>
      <c r="AL78" s="51"/>
      <c r="AM78" s="51"/>
      <c r="AN78" s="51"/>
      <c r="AO78" s="51"/>
      <c r="AP78" s="52"/>
      <c r="AQ78" s="51"/>
      <c r="AR78" s="51"/>
      <c r="AS78" s="51"/>
      <c r="AT78" s="51"/>
      <c r="AU78" s="51"/>
      <c r="AV78" s="51"/>
      <c r="AW78" s="54"/>
      <c r="AX78" s="51"/>
      <c r="AY78" s="51"/>
      <c r="AZ78" s="51"/>
      <c r="BA78" s="51"/>
      <c r="BB78" s="51"/>
      <c r="BC78" s="54"/>
      <c r="BD78" s="51"/>
      <c r="BE78" s="51"/>
      <c r="BF78" s="51"/>
      <c r="BG78" s="51"/>
      <c r="BH78" s="51"/>
      <c r="BI78" s="54"/>
      <c r="BJ78" s="51"/>
      <c r="BK78" s="51"/>
      <c r="BL78" s="51"/>
      <c r="BM78" s="51"/>
      <c r="BN78" s="51"/>
      <c r="BO78" s="54"/>
      <c r="BP78" s="51"/>
      <c r="BQ78" s="51"/>
      <c r="BR78" s="51"/>
      <c r="BS78" s="51"/>
      <c r="BT78" s="51"/>
      <c r="BU78" s="54"/>
      <c r="BV78" s="51"/>
      <c r="BW78" s="51"/>
      <c r="BX78" s="51"/>
      <c r="BY78" s="51"/>
      <c r="BZ78" s="51"/>
      <c r="CA78" s="54"/>
      <c r="CB78" s="51"/>
      <c r="CC78" s="51"/>
      <c r="CD78" s="51"/>
      <c r="CE78" s="51"/>
      <c r="CF78" s="51"/>
      <c r="CG78" s="54"/>
      <c r="CH78" s="51"/>
      <c r="CI78" s="51"/>
      <c r="CJ78" s="51"/>
      <c r="CK78" s="51"/>
      <c r="CL78" s="51"/>
      <c r="CM78" s="54"/>
      <c r="CN78" s="51"/>
      <c r="CO78" s="51"/>
      <c r="CP78" s="51"/>
      <c r="CQ78" s="51"/>
      <c r="CR78" s="51"/>
      <c r="CS78" s="54"/>
      <c r="CT78" s="2911"/>
      <c r="CU78" s="31"/>
      <c r="CV78" s="63"/>
      <c r="CW78" s="63"/>
    </row>
    <row r="79" spans="1:101">
      <c r="A79" s="55" t="s">
        <v>333</v>
      </c>
      <c r="B79" s="55"/>
      <c r="C79" s="1245">
        <f>C27/4/IS!C19</f>
        <v>0</v>
      </c>
      <c r="D79" s="1246">
        <f>D27/4/IS!D19</f>
        <v>0</v>
      </c>
      <c r="E79" s="1246">
        <f>E27/4/IS!E19</f>
        <v>0</v>
      </c>
      <c r="F79" s="1246">
        <f>F27/4/IS!F19</f>
        <v>0.25398949449759328</v>
      </c>
      <c r="G79" s="1247">
        <f>G27/IS!G19</f>
        <v>0.29034412296873835</v>
      </c>
      <c r="H79" s="1246"/>
      <c r="I79" s="1245">
        <f>I27/4/IS!I19</f>
        <v>0</v>
      </c>
      <c r="J79" s="1246">
        <f>J27/4/IS!J19</f>
        <v>0</v>
      </c>
      <c r="K79" s="1246">
        <f>K27/4/IS!K19</f>
        <v>0</v>
      </c>
      <c r="L79" s="1246">
        <f>L27/4/IS!L19</f>
        <v>0.30150612355165995</v>
      </c>
      <c r="M79" s="1247">
        <f>M27/IS!M19</f>
        <v>0.32605520073362931</v>
      </c>
      <c r="N79" s="1246"/>
      <c r="O79" s="1245">
        <f>O27/4/IS!O19</f>
        <v>0.24756325890030012</v>
      </c>
      <c r="P79" s="1246">
        <f>P27/4/IS!P19</f>
        <v>0.28472962218595305</v>
      </c>
      <c r="Q79" s="1246">
        <f>Q27/4/IS!Q19</f>
        <v>0.28506079409391005</v>
      </c>
      <c r="R79" s="1246">
        <f>R27/4/IS!R19</f>
        <v>0.27623987854251014</v>
      </c>
      <c r="S79" s="1247">
        <f>S27/IS!S19</f>
        <v>0.31564389388263864</v>
      </c>
      <c r="T79" s="1246"/>
      <c r="U79" s="1245">
        <f>U27/4/IS!U19</f>
        <v>0.27647419223079733</v>
      </c>
      <c r="V79" s="1246">
        <f>V27/4/IS!V19</f>
        <v>0.32220779491672136</v>
      </c>
      <c r="W79" s="1246">
        <f>W27/4/IS!W19</f>
        <v>0.34008655994984377</v>
      </c>
      <c r="X79" s="1246">
        <f>X27/4/IS!X19</f>
        <v>0.36514899268598361</v>
      </c>
      <c r="Y79" s="1247">
        <f>Y27/IS!Y19</f>
        <v>0.39562633320328527</v>
      </c>
      <c r="Z79" s="1246"/>
      <c r="AA79" s="1245">
        <f>AA27/4/IS!AA19</f>
        <v>0.36862014999516429</v>
      </c>
      <c r="AB79" s="1246">
        <f>AB27/4/IS!AB19</f>
        <v>0.3963258854188918</v>
      </c>
      <c r="AC79" s="1246">
        <f>AC27/4/IS!AC19</f>
        <v>0.45596681694909391</v>
      </c>
      <c r="AD79" s="1246">
        <f>AD27/4/IS!AD19</f>
        <v>0.43527868183630508</v>
      </c>
      <c r="AE79" s="1247">
        <f>AE27/IS!AE19</f>
        <v>0.41323412580518082</v>
      </c>
      <c r="AF79" s="1246"/>
      <c r="AG79" s="1245">
        <f>AG27/4/IS!AG19</f>
        <v>0.43596562290866825</v>
      </c>
      <c r="AH79" s="1246">
        <f>AH27/4/IS!AH19</f>
        <v>0.43841206447728792</v>
      </c>
      <c r="AI79" s="1246">
        <f>AI27/4/IS!AI19</f>
        <v>0.39243569914647425</v>
      </c>
      <c r="AJ79" s="1246">
        <f>AJ27/4/IS!AJ19</f>
        <v>0.38425534668768041</v>
      </c>
      <c r="AK79" s="1247">
        <f>AK27/IS!AK19</f>
        <v>0.41620776885982369</v>
      </c>
      <c r="AL79" s="1213"/>
      <c r="AM79" s="1245">
        <f>AM27/4/IS!AM19</f>
        <v>0.52229818053347465</v>
      </c>
      <c r="AN79" s="1246">
        <f>AN27/4/IS!AN19</f>
        <v>0.32733080849662444</v>
      </c>
      <c r="AO79" s="1246">
        <f>AO27/4/IS!AO19</f>
        <v>0.31141304347826088</v>
      </c>
      <c r="AP79" s="1246">
        <f>AP27/4/IS!AP19</f>
        <v>0.30569025842489717</v>
      </c>
      <c r="AQ79" s="1247">
        <f>AQ27/IS!AQ19</f>
        <v>0.34611138051243817</v>
      </c>
      <c r="AR79" s="1213"/>
      <c r="AS79" s="1472">
        <f>AS27/4/IS!AS19</f>
        <v>0.29882077304877913</v>
      </c>
      <c r="AT79" s="1520">
        <f>AT27/4/IS!AT19</f>
        <v>0.33261773988605159</v>
      </c>
      <c r="AU79" s="1520">
        <f>AU27/4/IS!AU19</f>
        <v>0.37475663793145936</v>
      </c>
      <c r="AV79" s="1246">
        <f>AV27/4/IS!AV19</f>
        <v>0.39391404469300001</v>
      </c>
      <c r="AW79" s="1247">
        <f>AW27/IS!AW19</f>
        <v>0.42388168391561709</v>
      </c>
      <c r="AX79" s="1213"/>
      <c r="AY79" s="1472">
        <f>AY27/4/IS!AY19</f>
        <v>0.35838411903943618</v>
      </c>
      <c r="AZ79" s="1520">
        <f>AZ27/4/IS!AZ19</f>
        <v>0.35888658289050557</v>
      </c>
      <c r="BA79" s="1520">
        <f>BA27/4/IS!BA19</f>
        <v>0.38272426597840348</v>
      </c>
      <c r="BB79" s="1246">
        <f>BB27/4/IS!BB19</f>
        <v>0.38199140290681988</v>
      </c>
      <c r="BC79" s="1247">
        <f>BC27/IS!BC19</f>
        <v>0.4311636574484542</v>
      </c>
      <c r="BD79" s="1213"/>
      <c r="BE79" s="1472">
        <f>BE27/4/IS!BE19</f>
        <v>0.30124687727170418</v>
      </c>
      <c r="BF79" s="1520">
        <f>BF27/4/IS!BF19</f>
        <v>0.30487840896085533</v>
      </c>
      <c r="BG79" s="1520">
        <f>BG27/4/IS!BG19</f>
        <v>0.29972728206337557</v>
      </c>
      <c r="BH79" s="1246">
        <f>BH27/4/IS!BH19</f>
        <v>0.31182540375699613</v>
      </c>
      <c r="BI79" s="1247">
        <f>BI27/IS!BI19</f>
        <v>0.31748932673933156</v>
      </c>
      <c r="BJ79" s="1213"/>
      <c r="BK79" s="1472">
        <f>BK27/4/IS!BK19</f>
        <v>0.33047945205479451</v>
      </c>
      <c r="BL79" s="1520">
        <f>BL27/4/IS!BL19</f>
        <v>0.31818181818181818</v>
      </c>
      <c r="BM79" s="1520">
        <f>BM27/4/IS!BM19</f>
        <v>0.31783902829684996</v>
      </c>
      <c r="BN79" s="1246">
        <f>BN27/4/IS!BN19</f>
        <v>0.35147097110127573</v>
      </c>
      <c r="BO79" s="1247">
        <f>BO27/IS!BO19</f>
        <v>0.36121609418375195</v>
      </c>
      <c r="BP79" s="1213"/>
      <c r="BQ79" s="2601">
        <v>0.28000000000000003</v>
      </c>
      <c r="BR79" s="2602">
        <f t="shared" ref="BR79:BT81" si="109">BQ79</f>
        <v>0.28000000000000003</v>
      </c>
      <c r="BS79" s="2602">
        <f t="shared" si="109"/>
        <v>0.28000000000000003</v>
      </c>
      <c r="BT79" s="2602">
        <f t="shared" si="109"/>
        <v>0.28000000000000003</v>
      </c>
      <c r="BU79" s="1247">
        <f>BU27/IS!BU19</f>
        <v>0.29580031368419762</v>
      </c>
      <c r="BV79" s="1213"/>
      <c r="BW79" s="2601">
        <f>+BQ79-2%</f>
        <v>0.26</v>
      </c>
      <c r="BX79" s="2602">
        <f t="shared" ref="BX79:BX81" si="110">BW79</f>
        <v>0.26</v>
      </c>
      <c r="BY79" s="2602">
        <f t="shared" ref="BY79:BY81" si="111">BX79</f>
        <v>0.26</v>
      </c>
      <c r="BZ79" s="2602">
        <f t="shared" ref="BZ79:BZ81" si="112">BY79</f>
        <v>0.26</v>
      </c>
      <c r="CA79" s="1247">
        <f>CA27/IS!CA19</f>
        <v>0.27232427494631467</v>
      </c>
      <c r="CB79" s="1213"/>
      <c r="CC79" s="2601">
        <f t="shared" ref="CC79" si="113">+BW79-1%</f>
        <v>0.25</v>
      </c>
      <c r="CD79" s="2602">
        <f t="shared" ref="CD79" si="114">CC79</f>
        <v>0.25</v>
      </c>
      <c r="CE79" s="2602">
        <f t="shared" ref="CE79" si="115">CD79</f>
        <v>0.25</v>
      </c>
      <c r="CF79" s="2602">
        <f t="shared" ref="CF79" si="116">CE79</f>
        <v>0.25</v>
      </c>
      <c r="CG79" s="1247">
        <f>CG27/IS!CG19</f>
        <v>0.2618501340725467</v>
      </c>
      <c r="CH79" s="1213"/>
      <c r="CI79" s="2601">
        <f t="shared" ref="CI79" si="117">+CC79-1%</f>
        <v>0.24</v>
      </c>
      <c r="CJ79" s="2602">
        <f t="shared" ref="CJ79:CJ81" si="118">CI79</f>
        <v>0.24</v>
      </c>
      <c r="CK79" s="2602">
        <f t="shared" ref="CK79:CK81" si="119">CJ79</f>
        <v>0.24</v>
      </c>
      <c r="CL79" s="2602">
        <f t="shared" ref="CL79:CL81" si="120">CK79</f>
        <v>0.24</v>
      </c>
      <c r="CM79" s="1247">
        <f>CM27/IS!CM19</f>
        <v>0.25147664912667883</v>
      </c>
      <c r="CN79" s="1213"/>
      <c r="CO79" s="2601">
        <f t="shared" ref="CO79" si="121">+CI79-1%</f>
        <v>0.22999999999999998</v>
      </c>
      <c r="CP79" s="2602">
        <f t="shared" ref="CP79:CP81" si="122">CO79</f>
        <v>0.22999999999999998</v>
      </c>
      <c r="CQ79" s="2602">
        <f t="shared" ref="CQ79:CQ81" si="123">CP79</f>
        <v>0.22999999999999998</v>
      </c>
      <c r="CR79" s="2602">
        <f t="shared" ref="CR79:CR81" si="124">CQ79</f>
        <v>0.22999999999999998</v>
      </c>
      <c r="CS79" s="1247">
        <f>CS27/IS!CS19</f>
        <v>0.24160718418664048</v>
      </c>
      <c r="CT79" s="1249"/>
      <c r="CU79" s="63"/>
      <c r="CV79" s="63"/>
      <c r="CW79" s="63"/>
    </row>
    <row r="80" spans="1:101">
      <c r="A80" s="55" t="s">
        <v>334</v>
      </c>
      <c r="B80" s="55"/>
      <c r="C80" s="1248">
        <f>C28/4/IS!C19</f>
        <v>0</v>
      </c>
      <c r="D80" s="1249">
        <f>D28/4/IS!D19</f>
        <v>0</v>
      </c>
      <c r="E80" s="1249">
        <f>E28/4/IS!E19</f>
        <v>0</v>
      </c>
      <c r="F80" s="1249">
        <f>F28/4/IS!F19</f>
        <v>0.45205616249575586</v>
      </c>
      <c r="G80" s="1250">
        <f>G28/IS!G19</f>
        <v>0.51676094041632659</v>
      </c>
      <c r="H80" s="1249"/>
      <c r="I80" s="1248">
        <f>I28/4/IS!I19</f>
        <v>0</v>
      </c>
      <c r="J80" s="1249">
        <f>J28/4/IS!J19</f>
        <v>0</v>
      </c>
      <c r="K80" s="1249">
        <f>K28/4/IS!K19</f>
        <v>0</v>
      </c>
      <c r="L80" s="1249">
        <f>L28/4/IS!L19</f>
        <v>0</v>
      </c>
      <c r="M80" s="1250">
        <f>M28/IS!M19</f>
        <v>0</v>
      </c>
      <c r="N80" s="1249"/>
      <c r="O80" s="1248">
        <f>O28/4/IS!O19</f>
        <v>0</v>
      </c>
      <c r="P80" s="1249">
        <f>P28/4/IS!P19</f>
        <v>0</v>
      </c>
      <c r="Q80" s="1249">
        <f>Q28/4/IS!Q19</f>
        <v>0</v>
      </c>
      <c r="R80" s="1249">
        <f>R28/4/IS!R19</f>
        <v>0</v>
      </c>
      <c r="S80" s="1250">
        <f>S28/IS!S19</f>
        <v>0</v>
      </c>
      <c r="T80" s="1249"/>
      <c r="U80" s="1248">
        <f>U28/4/IS!U19</f>
        <v>0</v>
      </c>
      <c r="V80" s="1249">
        <f>V28/4/IS!V19</f>
        <v>0</v>
      </c>
      <c r="W80" s="1249">
        <f>W28/4/IS!W19</f>
        <v>0</v>
      </c>
      <c r="X80" s="1249">
        <f>X28/4/IS!X19</f>
        <v>0</v>
      </c>
      <c r="Y80" s="1250">
        <f>Y28/IS!Y19</f>
        <v>0</v>
      </c>
      <c r="Z80" s="1249"/>
      <c r="AA80" s="1248">
        <f>AA28/4/IS!AA19</f>
        <v>0</v>
      </c>
      <c r="AB80" s="1249">
        <f>AB28/4/IS!AB19</f>
        <v>0</v>
      </c>
      <c r="AC80" s="1249">
        <f>AC28/4/IS!AC19</f>
        <v>0</v>
      </c>
      <c r="AD80" s="1249">
        <f>AD28/4/IS!AD19</f>
        <v>0</v>
      </c>
      <c r="AE80" s="1250">
        <f>AE28/IS!AE19</f>
        <v>0</v>
      </c>
      <c r="AF80" s="1249"/>
      <c r="AG80" s="1248">
        <f>AG28/4/IS!AG19</f>
        <v>0</v>
      </c>
      <c r="AH80" s="1249">
        <f>AH28/4/IS!AH19</f>
        <v>0</v>
      </c>
      <c r="AI80" s="1249">
        <f>AI28/4/IS!AI19</f>
        <v>0</v>
      </c>
      <c r="AJ80" s="1249">
        <f>AJ28/4/IS!AJ19</f>
        <v>0</v>
      </c>
      <c r="AK80" s="1250">
        <f>AK28/IS!AK19</f>
        <v>0</v>
      </c>
      <c r="AL80" s="1160"/>
      <c r="AM80" s="1248">
        <f>AM28/4/IS!AM19</f>
        <v>0</v>
      </c>
      <c r="AN80" s="1249">
        <f>AN28/4/IS!AN19</f>
        <v>0.20206323069323234</v>
      </c>
      <c r="AO80" s="1249">
        <f>AO28/4/IS!AO19</f>
        <v>0.19778871309331009</v>
      </c>
      <c r="AP80" s="1249">
        <f>AP28/4/IS!AP19</f>
        <v>0</v>
      </c>
      <c r="AQ80" s="1250">
        <f>AQ28/IS!AQ19</f>
        <v>0</v>
      </c>
      <c r="AR80" s="1160"/>
      <c r="AS80" s="1473">
        <f>AS28/4/IS!AS19</f>
        <v>0</v>
      </c>
      <c r="AT80" s="1521">
        <f>AT28/4/IS!AT19</f>
        <v>0</v>
      </c>
      <c r="AU80" s="1521">
        <f>AU28/4/IS!AU19</f>
        <v>0.19109159285710767</v>
      </c>
      <c r="AV80" s="1249">
        <f>AV28/4/IS!AV19</f>
        <v>0</v>
      </c>
      <c r="AW80" s="1250">
        <f>AW28/IS!AW19</f>
        <v>0</v>
      </c>
      <c r="AX80" s="1160"/>
      <c r="AY80" s="1473">
        <f>AY28/4/IS!AY19</f>
        <v>0</v>
      </c>
      <c r="AZ80" s="1521">
        <f>AZ28/4/IS!AZ19</f>
        <v>0</v>
      </c>
      <c r="BA80" s="1521">
        <f>BA28/4/IS!BA19</f>
        <v>0</v>
      </c>
      <c r="BB80" s="1249">
        <f>BB28/4/IS!BB19</f>
        <v>0</v>
      </c>
      <c r="BC80" s="1250">
        <f>BC28/IS!BC19</f>
        <v>0</v>
      </c>
      <c r="BD80" s="1160"/>
      <c r="BE80" s="1473">
        <f>BE28/4/IS!BE19</f>
        <v>0</v>
      </c>
      <c r="BF80" s="1521">
        <f>BF28/4/IS!BF19</f>
        <v>0</v>
      </c>
      <c r="BG80" s="1521">
        <f>BG28/4/IS!BG19</f>
        <v>0.1695558158906694</v>
      </c>
      <c r="BH80" s="1249">
        <f>BH28/4/IS!BH19</f>
        <v>0.20263724826597382</v>
      </c>
      <c r="BI80" s="1250">
        <f>BI28/IS!BI19</f>
        <v>0.20631790338163358</v>
      </c>
      <c r="BJ80" s="1160"/>
      <c r="BK80" s="1473">
        <f>BK28/4/IS!BK19</f>
        <v>0.16438356164383561</v>
      </c>
      <c r="BL80" s="1521">
        <f>BL28/4/IS!BL19</f>
        <v>0.10437710437710437</v>
      </c>
      <c r="BM80" s="1521">
        <f>BM28/4/IS!BM19</f>
        <v>0.10344367325146823</v>
      </c>
      <c r="BN80" s="1249">
        <f>BN28/4/IS!BN19</f>
        <v>0.11715699036709191</v>
      </c>
      <c r="BO80" s="1250">
        <f>BO28/IS!BO19</f>
        <v>0.12040536472791732</v>
      </c>
      <c r="BP80" s="1160"/>
      <c r="BQ80" s="2603">
        <v>0.2</v>
      </c>
      <c r="BR80" s="2604">
        <f t="shared" si="109"/>
        <v>0.2</v>
      </c>
      <c r="BS80" s="2604">
        <f t="shared" si="109"/>
        <v>0.2</v>
      </c>
      <c r="BT80" s="2604">
        <f t="shared" si="109"/>
        <v>0.2</v>
      </c>
      <c r="BU80" s="1250">
        <f>BU28/IS!BU19</f>
        <v>0.10286004050274461</v>
      </c>
      <c r="BV80" s="1160"/>
      <c r="BW80" s="2603">
        <f>BT80-0.005</f>
        <v>0.19500000000000001</v>
      </c>
      <c r="BX80" s="2604">
        <f t="shared" si="110"/>
        <v>0.19500000000000001</v>
      </c>
      <c r="BY80" s="2604">
        <f t="shared" si="111"/>
        <v>0.19500000000000001</v>
      </c>
      <c r="BZ80" s="2604">
        <f t="shared" si="112"/>
        <v>0.19500000000000001</v>
      </c>
      <c r="CA80" s="1250">
        <f>CA28/IS!CA19</f>
        <v>9.37950904548219E-2</v>
      </c>
      <c r="CB80" s="1160"/>
      <c r="CC80" s="2603">
        <f>BZ80-0.005</f>
        <v>0.19</v>
      </c>
      <c r="CD80" s="1249">
        <f t="shared" ref="CD80:CD81" si="125">CC80</f>
        <v>0.19</v>
      </c>
      <c r="CE80" s="1249">
        <f t="shared" ref="CE80:CE81" si="126">CD80</f>
        <v>0.19</v>
      </c>
      <c r="CF80" s="1249">
        <f t="shared" ref="CF80:CF81" si="127">CE80</f>
        <v>0.19</v>
      </c>
      <c r="CG80" s="1250">
        <f>CG28/IS!CG19</f>
        <v>8.5367841543479872E-2</v>
      </c>
      <c r="CH80" s="1160"/>
      <c r="CI80" s="2603">
        <f>CF80-0.005</f>
        <v>0.185</v>
      </c>
      <c r="CJ80" s="1249">
        <f t="shared" si="118"/>
        <v>0.185</v>
      </c>
      <c r="CK80" s="1249">
        <f t="shared" si="119"/>
        <v>0.185</v>
      </c>
      <c r="CL80" s="1249">
        <f t="shared" si="120"/>
        <v>0.185</v>
      </c>
      <c r="CM80" s="1250">
        <f>CM28/IS!CM19</f>
        <v>7.7556950893140741E-2</v>
      </c>
      <c r="CN80" s="1160"/>
      <c r="CO80" s="2603">
        <f>CL80-0.005</f>
        <v>0.18</v>
      </c>
      <c r="CP80" s="1249">
        <f t="shared" si="122"/>
        <v>0.18</v>
      </c>
      <c r="CQ80" s="1249">
        <f t="shared" si="123"/>
        <v>0.18</v>
      </c>
      <c r="CR80" s="1249">
        <f t="shared" si="124"/>
        <v>0.18</v>
      </c>
      <c r="CS80" s="1250">
        <f>CS28/IS!CS19</f>
        <v>7.0387982014093034E-2</v>
      </c>
      <c r="CT80" s="1249"/>
      <c r="CU80" s="63"/>
      <c r="CV80" s="63"/>
      <c r="CW80" s="63"/>
    </row>
    <row r="81" spans="1:101">
      <c r="A81" s="251" t="s">
        <v>335</v>
      </c>
      <c r="B81" s="251"/>
      <c r="C81" s="1251">
        <f>C16/4/IS!C9</f>
        <v>2.8579348579348574E-2</v>
      </c>
      <c r="D81" s="1252">
        <f>D16/4/IS!D9</f>
        <v>2.5388892174838827E-2</v>
      </c>
      <c r="E81" s="1252">
        <f>E16/4/IS!E9</f>
        <v>2.2941236796226026E-2</v>
      </c>
      <c r="F81" s="1252">
        <f>F16/4/IS!F9</f>
        <v>2.8062946254129514E-2</v>
      </c>
      <c r="G81" s="1253">
        <f>G16/IS!G9</f>
        <v>3.4460290240704038E-2</v>
      </c>
      <c r="H81" s="1252"/>
      <c r="I81" s="1251">
        <f>I16/4/IS!I9</f>
        <v>6.8048842533706438E-2</v>
      </c>
      <c r="J81" s="1252">
        <f>J16/4/IS!J9</f>
        <v>4.2407099595511387E-2</v>
      </c>
      <c r="K81" s="1252">
        <f>K16/4/IS!K9</f>
        <v>3.3343870624251301E-2</v>
      </c>
      <c r="L81" s="1252">
        <f>L16/4/IS!L9</f>
        <v>1.4804849403766923E-2</v>
      </c>
      <c r="M81" s="1253">
        <f>M16/IS!M9</f>
        <v>1.6625234419294341E-2</v>
      </c>
      <c r="N81" s="1252"/>
      <c r="O81" s="1251">
        <f>O16/4/IS!O9</f>
        <v>1.789517184794609E-2</v>
      </c>
      <c r="P81" s="1252">
        <f>P16/4/IS!P9</f>
        <v>1.9091454625316282E-2</v>
      </c>
      <c r="Q81" s="1252">
        <f>Q16/4/IS!Q9</f>
        <v>2.5702513260924473E-2</v>
      </c>
      <c r="R81" s="1252">
        <f>R16/4/IS!R9</f>
        <v>2.4250404288784038E-2</v>
      </c>
      <c r="S81" s="1253">
        <f>S16/IS!S9</f>
        <v>2.6286011009658963E-2</v>
      </c>
      <c r="T81" s="1252"/>
      <c r="U81" s="1251">
        <f>U16/4/IS!U9</f>
        <v>2.1856181459525011E-2</v>
      </c>
      <c r="V81" s="1252">
        <f>V16/4/IS!V9</f>
        <v>1.9274491398706621E-2</v>
      </c>
      <c r="W81" s="1252">
        <f>W16/4/IS!W9</f>
        <v>1.6935725151595599E-2</v>
      </c>
      <c r="X81" s="1252">
        <f>X16/4/IS!X9</f>
        <v>3.5325566977167829E-2</v>
      </c>
      <c r="Y81" s="1253">
        <f>Y16/IS!Y9</f>
        <v>4.0899881582868176E-2</v>
      </c>
      <c r="Z81" s="1252"/>
      <c r="AA81" s="1251">
        <f>AA16/4/IS!AA9</f>
        <v>2.3681043484416756E-2</v>
      </c>
      <c r="AB81" s="1252">
        <f>AB16/4/IS!AB9</f>
        <v>2.6906418507566535E-2</v>
      </c>
      <c r="AC81" s="1252">
        <f>AC16/4/IS!AC9</f>
        <v>4.0960895799982168E-2</v>
      </c>
      <c r="AD81" s="1252">
        <f>AD16/4/IS!AD9</f>
        <v>2.9187710690163998E-2</v>
      </c>
      <c r="AE81" s="1253">
        <f>AE16/IS!AE9</f>
        <v>2.7659907061348042E-2</v>
      </c>
      <c r="AF81" s="1252"/>
      <c r="AG81" s="1251">
        <f>AG16/4/IS!AG9</f>
        <v>1.5872346665689045E-2</v>
      </c>
      <c r="AH81" s="1252">
        <f>AH16/4/IS!AH9</f>
        <v>1.4580890711920943E-2</v>
      </c>
      <c r="AI81" s="1252">
        <f>AI16/4/IS!AI9</f>
        <v>1.7588168213968389E-2</v>
      </c>
      <c r="AJ81" s="1252">
        <f>AJ16/4/IS!AJ9</f>
        <v>2.643364105217209E-2</v>
      </c>
      <c r="AK81" s="1253">
        <f>AK16/IS!AK9</f>
        <v>2.8471523252614678E-2</v>
      </c>
      <c r="AL81" s="1221"/>
      <c r="AM81" s="1251">
        <f>AM16/4/IS!AM9</f>
        <v>2.3058061748016362E-2</v>
      </c>
      <c r="AN81" s="1252">
        <f>AN16/4/IS!AN9</f>
        <v>4.0854507734892832E-2</v>
      </c>
      <c r="AO81" s="1252">
        <f>AO16/4/IS!AO9</f>
        <v>2.023332399103139E-2</v>
      </c>
      <c r="AP81" s="1252">
        <f>AP16/4/IS!AP9</f>
        <v>1.4723385468571694E-2</v>
      </c>
      <c r="AQ81" s="1253">
        <f>AQ16/IS!AQ9</f>
        <v>1.6050769150662336E-2</v>
      </c>
      <c r="AR81" s="1221"/>
      <c r="AS81" s="1474">
        <f>AS16/4/IS!AS9</f>
        <v>2.5260170967795599E-2</v>
      </c>
      <c r="AT81" s="1522">
        <f>AT16/4/IS!AT9</f>
        <v>2.0392431987988419E-2</v>
      </c>
      <c r="AU81" s="1522">
        <f>AU16/4/IS!AU9</f>
        <v>2.9973160227201798E-2</v>
      </c>
      <c r="AV81" s="1252">
        <f>AV16/4/IS!AV9</f>
        <v>1.4561486711984683E-2</v>
      </c>
      <c r="AW81" s="1253">
        <f>AW16/IS!AW9</f>
        <v>1.6033455144040001E-2</v>
      </c>
      <c r="AX81" s="1221"/>
      <c r="AY81" s="1474">
        <f>AY16/4/IS!AY9</f>
        <v>4.1526556683037327E-2</v>
      </c>
      <c r="AZ81" s="1522">
        <f>AZ16/4/IS!AZ9</f>
        <v>3.8656563671488273E-2</v>
      </c>
      <c r="BA81" s="1522">
        <f>BA16/4/IS!BA9</f>
        <v>3.6359357480223384E-2</v>
      </c>
      <c r="BB81" s="1252">
        <f>BB16/4/IS!BB9</f>
        <v>2.2946996693421328E-2</v>
      </c>
      <c r="BC81" s="1253">
        <f>BC16/IS!BC9</f>
        <v>2.446073047470855E-2</v>
      </c>
      <c r="BD81" s="1221"/>
      <c r="BE81" s="1474">
        <f>BE16/4/IS!BE9</f>
        <v>1.7609131755640012E-2</v>
      </c>
      <c r="BF81" s="1522">
        <f>BF16/4/IS!BF9</f>
        <v>1.4130829628543434E-2</v>
      </c>
      <c r="BG81" s="1522">
        <f>BG16/4/IS!BG9</f>
        <v>1.9639654181332445E-2</v>
      </c>
      <c r="BH81" s="1252">
        <f>BH16/4/IS!BH9</f>
        <v>3.1436739017061517E-2</v>
      </c>
      <c r="BI81" s="1253">
        <f>BI16/IS!BI9</f>
        <v>3.2472430268352746E-2</v>
      </c>
      <c r="BJ81" s="1221"/>
      <c r="BK81" s="1474">
        <f>BK16/4/IS!BK9</f>
        <v>3.0100334448160536E-2</v>
      </c>
      <c r="BL81" s="1522">
        <f>BL16/4/IS!BL9</f>
        <v>2.6041666666666668E-2</v>
      </c>
      <c r="BM81" s="1522">
        <f>BM16/4/IS!BM9</f>
        <v>1.8907563025210083E-2</v>
      </c>
      <c r="BN81" s="1252">
        <f>BN16/4/IS!BN9</f>
        <v>2.925292529252925E-2</v>
      </c>
      <c r="BO81" s="1253">
        <f>BO16/IS!BO9</f>
        <v>3.3065658951346243E-2</v>
      </c>
      <c r="BP81" s="1221"/>
      <c r="BQ81" s="2605">
        <v>3.2000000000000001E-2</v>
      </c>
      <c r="BR81" s="2606">
        <f t="shared" si="109"/>
        <v>3.2000000000000001E-2</v>
      </c>
      <c r="BS81" s="2606">
        <f t="shared" si="109"/>
        <v>3.2000000000000001E-2</v>
      </c>
      <c r="BT81" s="2606">
        <f t="shared" si="109"/>
        <v>3.2000000000000001E-2</v>
      </c>
      <c r="BU81" s="1253">
        <f>BU16/IS!BU9</f>
        <v>3.3420277079849667E-2</v>
      </c>
      <c r="BV81" s="1221"/>
      <c r="BW81" s="2605">
        <v>3.3000000000000002E-2</v>
      </c>
      <c r="BX81" s="2606">
        <f t="shared" si="110"/>
        <v>3.3000000000000002E-2</v>
      </c>
      <c r="BY81" s="2606">
        <f t="shared" si="111"/>
        <v>3.3000000000000002E-2</v>
      </c>
      <c r="BZ81" s="2606">
        <f t="shared" si="112"/>
        <v>3.3000000000000002E-2</v>
      </c>
      <c r="CA81" s="1253">
        <f>CA16/IS!CA9</f>
        <v>3.419720399606594E-2</v>
      </c>
      <c r="CB81" s="1221"/>
      <c r="CC81" s="2605">
        <v>3.3000000000000002E-2</v>
      </c>
      <c r="CD81" s="2606">
        <f t="shared" si="125"/>
        <v>3.3000000000000002E-2</v>
      </c>
      <c r="CE81" s="2606">
        <f t="shared" si="126"/>
        <v>3.3000000000000002E-2</v>
      </c>
      <c r="CF81" s="2606">
        <f t="shared" si="127"/>
        <v>3.3000000000000002E-2</v>
      </c>
      <c r="CG81" s="1253">
        <f>CG16/IS!CG9</f>
        <v>3.4235086465751331E-2</v>
      </c>
      <c r="CH81" s="1221"/>
      <c r="CI81" s="2605">
        <v>3.3000000000000002E-2</v>
      </c>
      <c r="CJ81" s="2606">
        <f t="shared" si="118"/>
        <v>3.3000000000000002E-2</v>
      </c>
      <c r="CK81" s="2606">
        <f t="shared" si="119"/>
        <v>3.3000000000000002E-2</v>
      </c>
      <c r="CL81" s="2606">
        <f t="shared" si="120"/>
        <v>3.3000000000000002E-2</v>
      </c>
      <c r="CM81" s="1253">
        <f>CM16/IS!CM9</f>
        <v>3.428642941439379E-2</v>
      </c>
      <c r="CN81" s="1221"/>
      <c r="CO81" s="2605">
        <v>3.3000000000000002E-2</v>
      </c>
      <c r="CP81" s="2606">
        <f t="shared" si="122"/>
        <v>3.3000000000000002E-2</v>
      </c>
      <c r="CQ81" s="2606">
        <f t="shared" si="123"/>
        <v>3.3000000000000002E-2</v>
      </c>
      <c r="CR81" s="2606">
        <f t="shared" si="124"/>
        <v>3.3000000000000002E-2</v>
      </c>
      <c r="CS81" s="1253">
        <f>CS16/IS!CS9</f>
        <v>3.4414205367391551E-2</v>
      </c>
      <c r="CT81" s="1249"/>
      <c r="CU81" s="63"/>
      <c r="CV81" s="63"/>
      <c r="CW81" s="63"/>
    </row>
    <row r="82" spans="1:101">
      <c r="A82" s="256"/>
      <c r="B82" s="256"/>
      <c r="C82" s="1158"/>
      <c r="D82" s="1158"/>
      <c r="E82" s="1158"/>
      <c r="F82" s="1158"/>
      <c r="G82" s="1201"/>
      <c r="H82" s="1201"/>
      <c r="I82" s="1158"/>
      <c r="J82" s="1158"/>
      <c r="K82" s="1158"/>
      <c r="L82" s="1158"/>
      <c r="M82" s="1158"/>
      <c r="N82" s="1158"/>
      <c r="O82" s="1158"/>
      <c r="P82" s="1158"/>
      <c r="Q82" s="1158"/>
      <c r="R82" s="1158"/>
      <c r="S82" s="1158"/>
      <c r="T82" s="1158"/>
      <c r="U82" s="1158"/>
      <c r="V82" s="1158"/>
      <c r="W82" s="1158"/>
      <c r="X82" s="1158"/>
      <c r="Y82" s="1158"/>
      <c r="Z82" s="1158"/>
      <c r="AA82" s="1158"/>
      <c r="AB82" s="1158"/>
      <c r="AC82" s="1158"/>
      <c r="AD82" s="1158"/>
      <c r="AE82" s="1158"/>
      <c r="AF82" s="1158"/>
      <c r="AG82" s="1158"/>
      <c r="AH82" s="1158"/>
      <c r="AI82" s="1158"/>
      <c r="AJ82" s="1158"/>
      <c r="AK82" s="1158"/>
      <c r="AL82" s="1158"/>
      <c r="AM82" s="1158"/>
      <c r="AN82" s="1158"/>
      <c r="AO82" s="1158"/>
      <c r="AP82" s="1158"/>
      <c r="AQ82" s="1160"/>
      <c r="AR82" s="1160"/>
      <c r="AS82" s="1462"/>
      <c r="AT82" s="1459"/>
      <c r="AU82" s="1462"/>
      <c r="AV82" s="1158"/>
      <c r="AW82" s="1160"/>
      <c r="AX82" s="1160"/>
      <c r="AY82" s="1462"/>
      <c r="AZ82" s="1160"/>
      <c r="BA82" s="1160"/>
      <c r="BB82" s="1160"/>
      <c r="BC82" s="1160"/>
      <c r="BD82" s="1160"/>
      <c r="BE82" s="1160"/>
      <c r="BF82" s="1160"/>
      <c r="BG82" s="1160"/>
      <c r="BH82" s="1160"/>
      <c r="BI82" s="1160"/>
      <c r="BJ82" s="1160"/>
      <c r="BK82" s="1160"/>
      <c r="BL82" s="1160"/>
      <c r="BM82" s="1160"/>
      <c r="BN82" s="1160"/>
      <c r="BO82" s="1160"/>
      <c r="BP82" s="1160"/>
      <c r="BQ82" s="1160"/>
      <c r="BR82" s="1160"/>
      <c r="BS82" s="1160"/>
      <c r="BT82" s="1160"/>
      <c r="BU82" s="1160"/>
      <c r="BV82" s="1160"/>
      <c r="BW82" s="1160"/>
      <c r="BX82" s="1160"/>
      <c r="BY82" s="1160"/>
      <c r="BZ82" s="1160"/>
      <c r="CA82" s="1160"/>
      <c r="CB82" s="1160"/>
      <c r="CC82" s="1160"/>
      <c r="CD82" s="1160"/>
      <c r="CE82" s="1160"/>
      <c r="CF82" s="1160"/>
      <c r="CG82" s="1160"/>
      <c r="CH82" s="1160"/>
      <c r="CI82" s="1160"/>
      <c r="CJ82" s="1160"/>
      <c r="CK82" s="1160"/>
      <c r="CL82" s="1160"/>
      <c r="CM82" s="1160"/>
      <c r="CN82" s="1160"/>
      <c r="CO82" s="1160"/>
      <c r="CP82" s="1160"/>
      <c r="CQ82" s="1160"/>
      <c r="CR82" s="1160"/>
      <c r="CS82" s="1160"/>
      <c r="CT82" s="1160"/>
      <c r="CU82" s="63"/>
      <c r="CV82" s="63"/>
      <c r="CW82" s="63"/>
    </row>
    <row r="83" spans="1:101">
      <c r="A83" s="50" t="s">
        <v>336</v>
      </c>
      <c r="B83" s="111"/>
      <c r="C83" s="51"/>
      <c r="D83" s="51"/>
      <c r="E83" s="51"/>
      <c r="F83" s="51"/>
      <c r="G83" s="53"/>
      <c r="H83" s="53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2"/>
      <c r="AD83" s="52"/>
      <c r="AE83" s="51"/>
      <c r="AF83" s="51"/>
      <c r="AG83" s="51"/>
      <c r="AH83" s="51"/>
      <c r="AI83" s="51"/>
      <c r="AJ83" s="52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  <c r="AX83" s="51"/>
      <c r="AY83" s="51"/>
      <c r="AZ83" s="51"/>
      <c r="BA83" s="51"/>
      <c r="BB83" s="51"/>
      <c r="BC83" s="54"/>
      <c r="BD83" s="51"/>
      <c r="BE83" s="51"/>
      <c r="BF83" s="51"/>
      <c r="BG83" s="51"/>
      <c r="BH83" s="51"/>
      <c r="BI83" s="54"/>
      <c r="BJ83" s="51"/>
      <c r="BK83" s="51"/>
      <c r="BL83" s="51"/>
      <c r="BM83" s="51"/>
      <c r="BN83" s="51"/>
      <c r="BO83" s="54"/>
      <c r="BP83" s="51"/>
      <c r="BQ83" s="51"/>
      <c r="BR83" s="51"/>
      <c r="BS83" s="51"/>
      <c r="BT83" s="51"/>
      <c r="BU83" s="54"/>
      <c r="BV83" s="51"/>
      <c r="BW83" s="51"/>
      <c r="BX83" s="51"/>
      <c r="BY83" s="51"/>
      <c r="BZ83" s="51"/>
      <c r="CA83" s="54"/>
      <c r="CB83" s="51"/>
      <c r="CC83" s="51"/>
      <c r="CD83" s="51"/>
      <c r="CE83" s="51"/>
      <c r="CF83" s="51"/>
      <c r="CG83" s="54"/>
      <c r="CH83" s="51"/>
      <c r="CI83" s="51"/>
      <c r="CJ83" s="51"/>
      <c r="CK83" s="51"/>
      <c r="CL83" s="51"/>
      <c r="CM83" s="54"/>
      <c r="CN83" s="51"/>
      <c r="CO83" s="51"/>
      <c r="CP83" s="51"/>
      <c r="CQ83" s="51"/>
      <c r="CR83" s="51"/>
      <c r="CS83" s="54"/>
      <c r="CT83" s="2911"/>
      <c r="CU83" s="31"/>
      <c r="CV83" s="63"/>
      <c r="CW83" s="63"/>
    </row>
    <row r="84" spans="1:101">
      <c r="A84" s="248" t="s">
        <v>337</v>
      </c>
      <c r="B84" s="248"/>
      <c r="C84" s="1254">
        <v>247.34200000000001</v>
      </c>
      <c r="D84" s="1255">
        <f>C90</f>
        <v>265.96000000000004</v>
      </c>
      <c r="E84" s="1255">
        <f>D90</f>
        <v>286.83500000000009</v>
      </c>
      <c r="F84" s="1255">
        <f>E90</f>
        <v>321.25800000000004</v>
      </c>
      <c r="G84" s="1256">
        <f>C84</f>
        <v>247.34200000000001</v>
      </c>
      <c r="H84" s="1255"/>
      <c r="I84" s="1203">
        <f>G90</f>
        <v>411.67799999999977</v>
      </c>
      <c r="J84" s="1255">
        <f>I90</f>
        <v>451.08899999999977</v>
      </c>
      <c r="K84" s="1255">
        <f>J90</f>
        <v>491.75199999999961</v>
      </c>
      <c r="L84" s="1255">
        <f>K90</f>
        <v>852.9929999999996</v>
      </c>
      <c r="M84" s="1256">
        <f>G90</f>
        <v>411.67799999999977</v>
      </c>
      <c r="N84" s="1255"/>
      <c r="O84" s="1203">
        <f>M90</f>
        <v>848.59599999999955</v>
      </c>
      <c r="P84" s="1255">
        <f>O90</f>
        <v>855.13499999999954</v>
      </c>
      <c r="Q84" s="1255">
        <f>P90</f>
        <v>939.73999999999955</v>
      </c>
      <c r="R84" s="1255">
        <f>Q90</f>
        <v>1002.1199999999995</v>
      </c>
      <c r="S84" s="1256">
        <f>M90</f>
        <v>848.59599999999955</v>
      </c>
      <c r="T84" s="1255"/>
      <c r="U84" s="1203">
        <f>S90</f>
        <v>864.24799999999937</v>
      </c>
      <c r="V84" s="1255">
        <f>U90</f>
        <v>941.79699999999946</v>
      </c>
      <c r="W84" s="1255">
        <f>V90</f>
        <v>1036.9599999999996</v>
      </c>
      <c r="X84" s="1255">
        <f>W90</f>
        <v>1108.1209999999992</v>
      </c>
      <c r="Y84" s="1256">
        <f>S90</f>
        <v>864.24799999999937</v>
      </c>
      <c r="Z84" s="1255"/>
      <c r="AA84" s="1203">
        <f>Y90</f>
        <v>1197.6749999999997</v>
      </c>
      <c r="AB84" s="1255">
        <f>AA90</f>
        <v>1064.2259999999999</v>
      </c>
      <c r="AC84" s="1255">
        <f>AB90</f>
        <v>1168.3039999999994</v>
      </c>
      <c r="AD84" s="1255">
        <f>AC90</f>
        <v>1035.5399999999995</v>
      </c>
      <c r="AE84" s="1256">
        <f>Y90</f>
        <v>1197.6749999999997</v>
      </c>
      <c r="AF84" s="1255"/>
      <c r="AG84" s="1203">
        <f>AE90</f>
        <v>1075.2149999999999</v>
      </c>
      <c r="AH84" s="1255">
        <f>AG90</f>
        <v>1160.1719999999996</v>
      </c>
      <c r="AI84" s="1255">
        <f>AH90</f>
        <v>1180.7829999999997</v>
      </c>
      <c r="AJ84" s="1255">
        <f>AI90</f>
        <v>1222.2139999999999</v>
      </c>
      <c r="AK84" s="1256">
        <f>AE90</f>
        <v>1075.2149999999999</v>
      </c>
      <c r="AL84" s="1255"/>
      <c r="AM84" s="1203">
        <f>AK90</f>
        <v>1318.5809999999999</v>
      </c>
      <c r="AN84" s="1255">
        <f>AM90</f>
        <v>1289.0359999999991</v>
      </c>
      <c r="AO84" s="1255">
        <f>AN90</f>
        <v>1365.8009999999992</v>
      </c>
      <c r="AP84" s="1255">
        <f>AO90</f>
        <v>1351.6729999999991</v>
      </c>
      <c r="AQ84" s="1256">
        <f>AK90</f>
        <v>1318.5809999999999</v>
      </c>
      <c r="AR84" s="1255"/>
      <c r="AS84" s="1456">
        <f>AQ90</f>
        <v>1533.2019999999998</v>
      </c>
      <c r="AT84" s="1523">
        <f>AS90</f>
        <v>1573.6129999999998</v>
      </c>
      <c r="AU84" s="1523">
        <f>AT90</f>
        <v>1080.4359999999997</v>
      </c>
      <c r="AV84" s="1255">
        <f>AU90</f>
        <v>1274.3129999999996</v>
      </c>
      <c r="AW84" s="1256">
        <f>AQ90</f>
        <v>1533.2019999999998</v>
      </c>
      <c r="AX84" s="1255"/>
      <c r="AY84" s="1456">
        <f>AW90</f>
        <v>1462.7979999999991</v>
      </c>
      <c r="AZ84" s="1523">
        <f>AY90</f>
        <v>1623.3259999999991</v>
      </c>
      <c r="BA84" s="1523">
        <f>AZ90</f>
        <v>1793.9119999999996</v>
      </c>
      <c r="BB84" s="1255">
        <f>BA90</f>
        <v>1936.5669999999998</v>
      </c>
      <c r="BC84" s="1256">
        <f>AW90</f>
        <v>1462.7979999999991</v>
      </c>
      <c r="BD84" s="1255"/>
      <c r="BE84" s="1456">
        <f>BC90</f>
        <v>1848.5529999999999</v>
      </c>
      <c r="BF84" s="1523">
        <f>BE90</f>
        <v>1991.1089999999997</v>
      </c>
      <c r="BG84" s="1523">
        <f>BF90</f>
        <v>2055.7709999999993</v>
      </c>
      <c r="BH84" s="1255">
        <f>BG90</f>
        <v>2240.1469999999999</v>
      </c>
      <c r="BI84" s="1256">
        <f>BC90</f>
        <v>1848.5529999999999</v>
      </c>
      <c r="BJ84" s="1255"/>
      <c r="BK84" s="1456">
        <f>BI90</f>
        <v>2197.2290000000003</v>
      </c>
      <c r="BL84" s="1523">
        <f>BK90</f>
        <v>2551</v>
      </c>
      <c r="BM84" s="1523">
        <f>BL90</f>
        <v>2715</v>
      </c>
      <c r="BN84" s="1255">
        <f>BM90</f>
        <v>2855</v>
      </c>
      <c r="BO84" s="1256">
        <f>BI90</f>
        <v>2197.2290000000003</v>
      </c>
      <c r="BP84" s="1255"/>
      <c r="BQ84" s="1203">
        <f>BO90</f>
        <v>2749.0000000000005</v>
      </c>
      <c r="BR84" s="1255">
        <f>BQ90</f>
        <v>2870.1162802486515</v>
      </c>
      <c r="BS84" s="1255">
        <f>BR90</f>
        <v>2946.9259039378121</v>
      </c>
      <c r="BT84" s="1255">
        <f>BS90</f>
        <v>3031.3987167291971</v>
      </c>
      <c r="BU84" s="1256">
        <f>BO90</f>
        <v>2749.0000000000005</v>
      </c>
      <c r="BV84" s="1255"/>
      <c r="BW84" s="1203">
        <f>BU90</f>
        <v>3128.5013236358973</v>
      </c>
      <c r="BX84" s="1255">
        <f>BW90</f>
        <v>3258.7564875431631</v>
      </c>
      <c r="BY84" s="1255">
        <f>BX90</f>
        <v>3355.9930303157694</v>
      </c>
      <c r="BZ84" s="1255">
        <f>BY90</f>
        <v>3460.8593676594855</v>
      </c>
      <c r="CA84" s="1256">
        <f>BU90</f>
        <v>3128.5013236358973</v>
      </c>
      <c r="CB84" s="1255"/>
      <c r="CC84" s="1203">
        <f>CA90</f>
        <v>3578.5702345241198</v>
      </c>
      <c r="CD84" s="1255">
        <f>CC90</f>
        <v>3745.3712131339362</v>
      </c>
      <c r="CE84" s="1255">
        <f>CD90</f>
        <v>3933.787364712115</v>
      </c>
      <c r="CF84" s="1255">
        <f>CE90</f>
        <v>4137.1489398887634</v>
      </c>
      <c r="CG84" s="1256">
        <f>CA90</f>
        <v>3578.5702345241198</v>
      </c>
      <c r="CH84" s="1255"/>
      <c r="CI84" s="1203">
        <f>CG90</f>
        <v>4359.0970621105453</v>
      </c>
      <c r="CJ84" s="1255">
        <f>CI90</f>
        <v>4643.6148613740161</v>
      </c>
      <c r="CK84" s="1255">
        <f>CJ90</f>
        <v>4823.7734466156007</v>
      </c>
      <c r="CL84" s="1255">
        <f>CK90</f>
        <v>5013.8811417433108</v>
      </c>
      <c r="CM84" s="1256">
        <f>CG90</f>
        <v>4359.0970621105453</v>
      </c>
      <c r="CN84" s="1255"/>
      <c r="CO84" s="1203">
        <f>CM90</f>
        <v>5220.9561471844145</v>
      </c>
      <c r="CP84" s="1255">
        <f>CO90</f>
        <v>5498.0427088982997</v>
      </c>
      <c r="CQ84" s="1255">
        <f>CP90</f>
        <v>5735.3580517857908</v>
      </c>
      <c r="CR84" s="1255">
        <f>CQ90</f>
        <v>5985.1800588843116</v>
      </c>
      <c r="CS84" s="1256">
        <f>CM90</f>
        <v>5220.9561471844145</v>
      </c>
      <c r="CT84" s="1204"/>
      <c r="CU84" s="870"/>
      <c r="CV84" s="870"/>
      <c r="CW84" s="870"/>
    </row>
    <row r="85" spans="1:101">
      <c r="A85" s="259" t="s">
        <v>338</v>
      </c>
      <c r="B85" s="259"/>
      <c r="C85" s="1257">
        <f>C35+C36+C39-0.469-340.197</f>
        <v>-278.08000000000004</v>
      </c>
      <c r="D85" s="1204">
        <f>D35+D36+D39-C35-C36-C39</f>
        <v>10.730999999999995</v>
      </c>
      <c r="E85" s="1204">
        <f>E35+E36+E39-D35-D36-D39</f>
        <v>19.142999999999972</v>
      </c>
      <c r="F85" s="1204">
        <f>F35+F36+F39-E35-E36-E39</f>
        <v>700.84799999999973</v>
      </c>
      <c r="G85" s="1205">
        <f>SUM(C85:F85)</f>
        <v>452.64199999999965</v>
      </c>
      <c r="H85" s="1204"/>
      <c r="I85" s="1206">
        <f>I35+I36+I39-G35-G36-G39</f>
        <v>26.844999999999857</v>
      </c>
      <c r="J85" s="1204">
        <f>J35+J36+J39-I35-I36-I39</f>
        <v>26.451999999999828</v>
      </c>
      <c r="K85" s="1204">
        <f>K35+K36+K39-J35-J36-J39</f>
        <v>369.67399999999992</v>
      </c>
      <c r="L85" s="1204">
        <f>L35+L36+L39-K35-K36-K39</f>
        <v>-37.588999999999771</v>
      </c>
      <c r="M85" s="1205">
        <f>SUM(I85:L85)</f>
        <v>385.38199999999983</v>
      </c>
      <c r="N85" s="1204"/>
      <c r="O85" s="1206">
        <f>O35+O36+O39-M35-M36-M39</f>
        <v>8.271000000000015</v>
      </c>
      <c r="P85" s="1204">
        <f>P35+P36+P39-O35-O36-O39</f>
        <v>58.952000000000055</v>
      </c>
      <c r="Q85" s="1204">
        <f>Q35+Q36+Q39-P35-P36-P39</f>
        <v>44.9020000000001</v>
      </c>
      <c r="R85" s="1204">
        <f>R35+R36+R39-Q35-Q36-Q39</f>
        <v>-149.17100000000022</v>
      </c>
      <c r="S85" s="1205">
        <f>SUM(O85:R85)</f>
        <v>-37.046000000000049</v>
      </c>
      <c r="T85" s="1204"/>
      <c r="U85" s="1206">
        <f>U35+U36+U39-S35-S36-S39</f>
        <v>56.519000000000119</v>
      </c>
      <c r="V85" s="1204">
        <f>V35+V36+V39-U35-U36-U39</f>
        <v>65.403000000000134</v>
      </c>
      <c r="W85" s="1204">
        <f>W35+W36+W39-V35-V36-V39</f>
        <v>35.768999999999835</v>
      </c>
      <c r="X85" s="1204">
        <f>X35+X36+X39-W35-W36-W39</f>
        <v>51.910000000000309</v>
      </c>
      <c r="Y85" s="1205">
        <f>SUM(U85:X85)</f>
        <v>209.6010000000004</v>
      </c>
      <c r="Z85" s="1204"/>
      <c r="AA85" s="1206">
        <f>AA35+AA36+AA39-Y35-Y36-Y39</f>
        <v>-156.93499999999972</v>
      </c>
      <c r="AB85" s="1204">
        <f>AB35+AB36+AB39-AA35-AA36-AA39</f>
        <v>72.23099999999954</v>
      </c>
      <c r="AC85" s="1204">
        <f>AC35+AC36+AC39-AB35-AB36-AB39</f>
        <v>-152.65499999999997</v>
      </c>
      <c r="AD85" s="1204">
        <f>AD35+AD36+AD39-AC35-AC36-AC39</f>
        <v>27.919000000000324</v>
      </c>
      <c r="AE85" s="1205">
        <f>SUM(AA85:AD85)</f>
        <v>-209.43999999999983</v>
      </c>
      <c r="AF85" s="1204"/>
      <c r="AG85" s="1206">
        <f>AG35+AG36+AG39-AE35-AE36-AE39</f>
        <v>58.613999999999805</v>
      </c>
      <c r="AH85" s="1204">
        <f>AH35+AH36+AH39-AG35-AG36-AG39</f>
        <v>-2.7309999999999945</v>
      </c>
      <c r="AI85" s="1204">
        <f>AI35+AI36+AI39-AH35-AH36-AH39</f>
        <v>11.439000000000306</v>
      </c>
      <c r="AJ85" s="1204">
        <f>AJ35+AJ36+AJ39-AI35-AI36-AI39</f>
        <v>24.783999999999878</v>
      </c>
      <c r="AK85" s="1205">
        <f>SUM(AG85:AJ85)</f>
        <v>92.105999999999995</v>
      </c>
      <c r="AL85" s="1204"/>
      <c r="AM85" s="1206">
        <f>AM35+AM36+AM39-AK35-AK36-AK39</f>
        <v>16.252999999999474</v>
      </c>
      <c r="AN85" s="1204">
        <f>AN35+AN36+AN39-AM35-AM36-AM39</f>
        <v>41.428000000000111</v>
      </c>
      <c r="AO85" s="1204">
        <f>AO35+AO36+AO39-AN35-AN36-AN39</f>
        <v>-45.682999999999993</v>
      </c>
      <c r="AP85" s="1204">
        <f>AP35+AP36+AP39-AO35-AO36-AO39</f>
        <v>78.204000000000178</v>
      </c>
      <c r="AQ85" s="1205">
        <f>SUM(AM85:AP85)</f>
        <v>90.201999999999771</v>
      </c>
      <c r="AR85" s="1204"/>
      <c r="AS85" s="1457">
        <f>AS35+AS36+AS39-AQ35-AQ36-AQ39</f>
        <v>-19.539999999999964</v>
      </c>
      <c r="AT85" s="1511">
        <f>AT35+AT36+AT39-AS35-AS36-AS39</f>
        <v>-539.90700000000015</v>
      </c>
      <c r="AU85" s="1511">
        <f>AU35+AU36+AU39-AT35-AT36-AT39</f>
        <v>101.3599999999999</v>
      </c>
      <c r="AV85" s="1204">
        <f>AV35+AV36+AV39-AU35-AU36-AU39</f>
        <v>36.645999999999731</v>
      </c>
      <c r="AW85" s="1205">
        <f>SUM(AS85:AV85)</f>
        <v>-421.44100000000049</v>
      </c>
      <c r="AX85" s="1204"/>
      <c r="AY85" s="1457">
        <f>AY35+AY36+AY39-AW35-AW36-AW39</f>
        <v>20.455999999999904</v>
      </c>
      <c r="AZ85" s="1511">
        <f>AZ35+AZ36+AZ39-AY35-AY36-AY39</f>
        <v>70.074000000000524</v>
      </c>
      <c r="BA85" s="1511">
        <f>BA35+BA36+BA39-AZ35-AZ36-AZ39</f>
        <v>24.037000000000262</v>
      </c>
      <c r="BB85" s="1204">
        <f>BB35+BB36+BB39-BA35-BA36-BA39</f>
        <v>-191.48699999999985</v>
      </c>
      <c r="BC85" s="1205">
        <f>SUM(AY85:BB85)</f>
        <v>-76.919999999999163</v>
      </c>
      <c r="BD85" s="1204"/>
      <c r="BE85" s="1457">
        <f>BE35+BE36+BE39-BC35-BC36-BC39</f>
        <v>51.022999999999911</v>
      </c>
      <c r="BF85" s="1511">
        <f>BF35+BF36+BF39-BE35-BE36-BE39</f>
        <v>-56.08600000000024</v>
      </c>
      <c r="BG85" s="1511">
        <f>BG35+BG36+BG39-BF35-BF36-BF39</f>
        <v>56.492000000000644</v>
      </c>
      <c r="BH85" s="1204">
        <f>BH35+BH36+BH39-BG35-BG36-BG39</f>
        <v>-164.32900000000041</v>
      </c>
      <c r="BI85" s="1205">
        <f>SUM(BE85:BH85)</f>
        <v>-112.90000000000009</v>
      </c>
      <c r="BJ85" s="1204"/>
      <c r="BK85" s="1457">
        <f>BK35+BK36+BK39-BI35-BI36-BI39</f>
        <v>-57.851999999999862</v>
      </c>
      <c r="BL85" s="1511">
        <f>BL35+BL36+BL39-BK35-BK36-BK39</f>
        <v>35</v>
      </c>
      <c r="BM85" s="1511">
        <f>BM35+BM36+BM39-BL35-BL36-BL39</f>
        <v>-23</v>
      </c>
      <c r="BN85" s="1204">
        <f>BN35+BN36+BN39-BM35-BM36-BM39</f>
        <v>-173</v>
      </c>
      <c r="BO85" s="1205">
        <f>SUM(BK85:BN85)</f>
        <v>-218.85199999999986</v>
      </c>
      <c r="BP85" s="1204"/>
      <c r="BQ85" s="1206">
        <f>BQ35+BQ36+BQ39-BO35-BO36-BO39</f>
        <v>-86.883719751348963</v>
      </c>
      <c r="BR85" s="1204">
        <f>BR35+BR36+BR39-BQ35-BQ36-BQ39</f>
        <v>-81.462026326554223</v>
      </c>
      <c r="BS85" s="1204">
        <f>BS35+BS36+BS39-BR35-BR36-BR39</f>
        <v>-80.966524243393451</v>
      </c>
      <c r="BT85" s="1204">
        <f>BT35+BT36+BT39-BS35-BS36-BS39</f>
        <v>-79.223538095886397</v>
      </c>
      <c r="BU85" s="1205">
        <f>SUM(BQ85:BT85)</f>
        <v>-328.53580841718303</v>
      </c>
      <c r="BV85" s="1204"/>
      <c r="BW85" s="1206">
        <f>BW35+BW36+BW39-BU35-BU36-BU39</f>
        <v>-75.606584874853979</v>
      </c>
      <c r="BX85" s="1204">
        <f>BX35+BX36+BX39-BW35-BW36-BW39</f>
        <v>-70.64168724092724</v>
      </c>
      <c r="BY85" s="1204">
        <f>BY35+BY36+BY39-BX35-BX36-BX39</f>
        <v>-70.441792190864817</v>
      </c>
      <c r="BZ85" s="1204">
        <f>BZ35+BZ36+BZ39-BY35-BY36-BY39</f>
        <v>-68.677991402423231</v>
      </c>
      <c r="CA85" s="1205">
        <f>SUM(BW85:BZ85)</f>
        <v>-285.36805570906927</v>
      </c>
      <c r="CB85" s="1204"/>
      <c r="CC85" s="1206">
        <f>CC35+CC36+CC39-CA35-CA36-CA39</f>
        <v>-60.773557416114272</v>
      </c>
      <c r="CD85" s="1204">
        <f>CD35+CD36+CD39-CC35-CC36-CC39</f>
        <v>-55.526062653491863</v>
      </c>
      <c r="CE85" s="1204">
        <f>CE35+CE36+CE39-CD35-CD36-CD39</f>
        <v>-55.327291794561916</v>
      </c>
      <c r="CF85" s="1204">
        <f>CF35+CF36+CF39-CE35-CE36-CE39</f>
        <v>-53.298531510143221</v>
      </c>
      <c r="CG85" s="1205">
        <f>SUM(CC85:CF85)</f>
        <v>-224.92544337431127</v>
      </c>
      <c r="CH85" s="1204"/>
      <c r="CI85" s="1206">
        <f>CI35+CI36+CI39-CG35-CG36-CG39</f>
        <v>-39.754967610953827</v>
      </c>
      <c r="CJ85" s="1204">
        <f>CJ35+CJ36+CJ39-CI35-CI36-CI39</f>
        <v>-34.28632470760931</v>
      </c>
      <c r="CK85" s="1204">
        <f>CK35+CK36+CK39-CJ35-CJ36-CJ39</f>
        <v>-34.109835742580799</v>
      </c>
      <c r="CL85" s="1204">
        <f>CL35+CL36+CL39-CK35-CK36-CK39</f>
        <v>-31.700965983487549</v>
      </c>
      <c r="CM85" s="1205">
        <f>SUM(CI85:CL85)</f>
        <v>-139.85209404463149</v>
      </c>
      <c r="CN85" s="1204"/>
      <c r="CO85" s="1206">
        <f>CO35+CO36+CO39-CM35-CM36-CM39</f>
        <v>-10.265662042742406</v>
      </c>
      <c r="CP85" s="1204">
        <f>CP35+CP36+CP39-CO35-CO36-CO39</f>
        <v>-4.2710736278277182</v>
      </c>
      <c r="CQ85" s="1204">
        <f>CQ35+CQ36+CQ39-CP35-CP36-CP39</f>
        <v>-3.799144186174999</v>
      </c>
      <c r="CR85" s="1204">
        <f>CR35+CR36+CR39-CQ35-CQ36-CQ39</f>
        <v>-1.0454163443309881</v>
      </c>
      <c r="CS85" s="1205">
        <f>SUM(CO85:CR85)</f>
        <v>-19.381296201076111</v>
      </c>
      <c r="CT85" s="1204"/>
      <c r="CU85" s="870"/>
      <c r="CV85" s="870"/>
      <c r="CW85" s="870"/>
    </row>
    <row r="86" spans="1:101">
      <c r="A86" s="259" t="s">
        <v>206</v>
      </c>
      <c r="B86" s="259"/>
      <c r="C86" s="1206">
        <f>IS!C32</f>
        <v>-298.07599999999996</v>
      </c>
      <c r="D86" s="1204">
        <f>IS!D32</f>
        <v>9.263999999999994</v>
      </c>
      <c r="E86" s="1204">
        <f>IS!E32</f>
        <v>14.503000000000002</v>
      </c>
      <c r="F86" s="1204">
        <f>IS!F32</f>
        <v>-4.0499999999999794</v>
      </c>
      <c r="G86" s="1205">
        <f>SUM(C86:F86)</f>
        <v>-278.35899999999992</v>
      </c>
      <c r="H86" s="1204"/>
      <c r="I86" s="1206">
        <f>IS!I32</f>
        <v>10.743</v>
      </c>
      <c r="J86" s="1204">
        <f>IS!J32</f>
        <v>12.658999999999992</v>
      </c>
      <c r="K86" s="1204">
        <f>IS!K32</f>
        <v>-10.078000000000014</v>
      </c>
      <c r="L86" s="1204">
        <f>IS!L32</f>
        <v>26.092000000000027</v>
      </c>
      <c r="M86" s="1205">
        <f>SUM(I86:L86)</f>
        <v>39.416000000000011</v>
      </c>
      <c r="N86" s="1204"/>
      <c r="O86" s="1206">
        <f>IS!O32</f>
        <v>18.811000000000007</v>
      </c>
      <c r="P86" s="1204">
        <f>IS!P32</f>
        <v>24.688000000000002</v>
      </c>
      <c r="Q86" s="1204">
        <f>IS!Q32</f>
        <v>17.077000000000019</v>
      </c>
      <c r="R86" s="1204">
        <f>IS!R32</f>
        <v>11.704999999999981</v>
      </c>
      <c r="S86" s="1205">
        <f>SUM(O86:R86)</f>
        <v>72.281000000000006</v>
      </c>
      <c r="T86" s="1204"/>
      <c r="U86" s="1206">
        <f>IS!U32</f>
        <v>21.208000000000013</v>
      </c>
      <c r="V86" s="1204">
        <f>IS!V32</f>
        <v>29.795999999999992</v>
      </c>
      <c r="W86" s="1204">
        <f>IS!W32</f>
        <v>35.446999999999996</v>
      </c>
      <c r="X86" s="1204">
        <f>IS!X32</f>
        <v>38.439999999999976</v>
      </c>
      <c r="Y86" s="1205">
        <f>SUM(U86:X86)</f>
        <v>124.89099999999996</v>
      </c>
      <c r="Z86" s="1204"/>
      <c r="AA86" s="1206">
        <f>IS!AA32</f>
        <v>24.136999999999979</v>
      </c>
      <c r="AB86" s="1204">
        <f>IS!AB32</f>
        <v>30.619999999999987</v>
      </c>
      <c r="AC86" s="1204">
        <f>IS!AC32</f>
        <v>20.150999999999996</v>
      </c>
      <c r="AD86" s="1204">
        <f>IS!AD32</f>
        <v>11.719999999999949</v>
      </c>
      <c r="AE86" s="1205">
        <f>SUM(AA86:AD86)</f>
        <v>86.627999999999901</v>
      </c>
      <c r="AF86" s="1204"/>
      <c r="AG86" s="1206">
        <f>IS!AG32</f>
        <v>26.201999999999995</v>
      </c>
      <c r="AH86" s="1204">
        <f>IS!AH32</f>
        <v>23.400999999999954</v>
      </c>
      <c r="AI86" s="1204">
        <f>IS!AI32</f>
        <v>29.748000000000033</v>
      </c>
      <c r="AJ86" s="1204">
        <f>IS!AJ32</f>
        <v>71.90300000000002</v>
      </c>
      <c r="AK86" s="1205">
        <f>SUM(AG86:AJ86)</f>
        <v>151.25400000000002</v>
      </c>
      <c r="AL86" s="1204"/>
      <c r="AM86" s="1358">
        <f>IS!AM32</f>
        <v>-22.586999999999961</v>
      </c>
      <c r="AN86" s="1359">
        <f>IS!AN32</f>
        <v>35.87700000000001</v>
      </c>
      <c r="AO86" s="1359">
        <f>IS!AO32</f>
        <v>31.357000000000049</v>
      </c>
      <c r="AP86" s="1359">
        <f>IS!AP32</f>
        <v>80.66100000000003</v>
      </c>
      <c r="AQ86" s="1205">
        <f>SUM(AM86:AP86)</f>
        <v>125.30800000000013</v>
      </c>
      <c r="AR86" s="1204"/>
      <c r="AS86" s="1475">
        <f>IS!AS32</f>
        <v>59.976999999999997</v>
      </c>
      <c r="AT86" s="1524">
        <f>IS!AT32</f>
        <v>46.60499999999999</v>
      </c>
      <c r="AU86" s="1524">
        <f>IS!AU32</f>
        <v>93.489000000000033</v>
      </c>
      <c r="AV86" s="1359">
        <f>IS!AV32</f>
        <v>153.28</v>
      </c>
      <c r="AW86" s="1205">
        <f>SUM(AS86:AV86)</f>
        <v>353.351</v>
      </c>
      <c r="AX86" s="1204"/>
      <c r="AY86" s="1475">
        <f>IS!AY32</f>
        <v>136.65800000000007</v>
      </c>
      <c r="AZ86" s="1524">
        <f>IS!AZ32</f>
        <v>102.2469999999999</v>
      </c>
      <c r="BA86" s="1524">
        <f>IS!BA32</f>
        <v>118.17699999999996</v>
      </c>
      <c r="BB86" s="1204">
        <f>IS!BB32</f>
        <v>104.477</v>
      </c>
      <c r="BC86" s="1205">
        <f>SUM(AY86:BB86)</f>
        <v>461.55899999999997</v>
      </c>
      <c r="BD86" s="1204"/>
      <c r="BE86" s="1475">
        <f>IS!BE32</f>
        <v>89.587000000000089</v>
      </c>
      <c r="BF86" s="1524">
        <f>IS!BF32</f>
        <v>120.41200000000001</v>
      </c>
      <c r="BG86" s="1524">
        <f>IS!BG32</f>
        <v>128.88800000000003</v>
      </c>
      <c r="BH86" s="2472">
        <f>IS!BH32</f>
        <v>123.76200000000004</v>
      </c>
      <c r="BI86" s="1205">
        <f>SUM(BE86:BH86)</f>
        <v>462.64900000000017</v>
      </c>
      <c r="BJ86" s="1204"/>
      <c r="BK86" s="1475">
        <f>IS!BK32</f>
        <v>361</v>
      </c>
      <c r="BL86" s="1524">
        <f>IS!BL32</f>
        <v>127.3</v>
      </c>
      <c r="BM86" s="1524">
        <f>IS!BM32</f>
        <v>163.42000000000002</v>
      </c>
      <c r="BN86" s="2472">
        <f>IS!BN32</f>
        <v>68.120000000000118</v>
      </c>
      <c r="BO86" s="1205">
        <f>SUM(BK86:BN86)</f>
        <v>719.84000000000015</v>
      </c>
      <c r="BP86" s="1204"/>
      <c r="BQ86" s="1206">
        <f>IS!BQ32</f>
        <v>208</v>
      </c>
      <c r="BR86" s="1204">
        <f>IS!BR32</f>
        <v>158.27165001571481</v>
      </c>
      <c r="BS86" s="1204">
        <f>IS!BS32</f>
        <v>165.43933703477836</v>
      </c>
      <c r="BT86" s="1204">
        <f>IS!BT32</f>
        <v>176.32614500258657</v>
      </c>
      <c r="BU86" s="1205">
        <f>SUM(BQ86:BT86)</f>
        <v>708.03713205307986</v>
      </c>
      <c r="BV86" s="1204"/>
      <c r="BW86" s="1206">
        <f>IS!BW32</f>
        <v>205.86174878211997</v>
      </c>
      <c r="BX86" s="1204">
        <f>IS!BX32</f>
        <v>167.87823001353337</v>
      </c>
      <c r="BY86" s="1204">
        <f>IS!BY32</f>
        <v>175.3081295345811</v>
      </c>
      <c r="BZ86" s="1204">
        <f>IS!BZ32</f>
        <v>186.38885826705709</v>
      </c>
      <c r="CA86" s="1205">
        <f>SUM(BW86:BZ86)</f>
        <v>735.43696659729153</v>
      </c>
      <c r="CB86" s="1204"/>
      <c r="CC86" s="1206">
        <f>IS!CC32</f>
        <v>227.57453602593077</v>
      </c>
      <c r="CD86" s="1204">
        <f>IS!CD32</f>
        <v>243.94221423167102</v>
      </c>
      <c r="CE86" s="1204">
        <f>IS!CE32</f>
        <v>258.68886697121042</v>
      </c>
      <c r="CF86" s="1204">
        <f>IS!CF32</f>
        <v>275.24665373192443</v>
      </c>
      <c r="CG86" s="1205">
        <f>SUM(CC86:CF86)</f>
        <v>1005.4522709607365</v>
      </c>
      <c r="CH86" s="1204"/>
      <c r="CI86" s="1206">
        <f>IS!CI32</f>
        <v>324.27276687442452</v>
      </c>
      <c r="CJ86" s="1204">
        <f>IS!CJ32</f>
        <v>214.44490994919394</v>
      </c>
      <c r="CK86" s="1204">
        <f>IS!CK32</f>
        <v>224.2175308702906</v>
      </c>
      <c r="CL86" s="1204">
        <f>IS!CL32</f>
        <v>238.77597142459146</v>
      </c>
      <c r="CM86" s="1205">
        <f>SUM(CI86:CL86)</f>
        <v>1001.7111791185006</v>
      </c>
      <c r="CN86" s="1204"/>
      <c r="CO86" s="1206">
        <f>IS!CO32</f>
        <v>287.35222375662784</v>
      </c>
      <c r="CP86" s="1204">
        <f>IS!CP32</f>
        <v>241.586416515319</v>
      </c>
      <c r="CQ86" s="1204">
        <f>IS!CQ32</f>
        <v>253.62115128469571</v>
      </c>
      <c r="CR86" s="1204">
        <f>IS!CR32</f>
        <v>270.17510452868424</v>
      </c>
      <c r="CS86" s="1205">
        <f>SUM(CO86:CR86)</f>
        <v>1052.7348960853267</v>
      </c>
      <c r="CT86" s="1204"/>
      <c r="CU86" s="870"/>
      <c r="CV86" s="870"/>
      <c r="CW86" s="870"/>
    </row>
    <row r="87" spans="1:101">
      <c r="A87" s="259" t="s">
        <v>339</v>
      </c>
      <c r="B87" s="259"/>
      <c r="C87" s="1257">
        <v>0</v>
      </c>
      <c r="D87" s="1258">
        <v>0</v>
      </c>
      <c r="E87" s="1258">
        <v>0</v>
      </c>
      <c r="F87" s="1258">
        <v>0</v>
      </c>
      <c r="G87" s="1205">
        <f>SUM(C87:F87)</f>
        <v>0</v>
      </c>
      <c r="H87" s="1204"/>
      <c r="I87" s="1257">
        <v>0</v>
      </c>
      <c r="J87" s="1258">
        <v>0</v>
      </c>
      <c r="K87" s="1258">
        <v>0</v>
      </c>
      <c r="L87" s="1258">
        <v>0</v>
      </c>
      <c r="M87" s="1205">
        <f>SUM(I87:L87)</f>
        <v>0</v>
      </c>
      <c r="N87" s="1204"/>
      <c r="O87" s="1257">
        <v>0</v>
      </c>
      <c r="P87" s="1258">
        <v>0</v>
      </c>
      <c r="Q87" s="1258">
        <v>0</v>
      </c>
      <c r="R87" s="1258">
        <v>0</v>
      </c>
      <c r="S87" s="1205">
        <f>SUM(O87:R87)</f>
        <v>0</v>
      </c>
      <c r="T87" s="1204"/>
      <c r="U87" s="1257">
        <v>0</v>
      </c>
      <c r="V87" s="1258">
        <v>0</v>
      </c>
      <c r="W87" s="1258">
        <v>0</v>
      </c>
      <c r="X87" s="1258">
        <v>0</v>
      </c>
      <c r="Y87" s="1205">
        <f>SUM(U87:X87)</f>
        <v>0</v>
      </c>
      <c r="Z87" s="1204"/>
      <c r="AA87" s="1257">
        <v>0</v>
      </c>
      <c r="AB87" s="1258">
        <v>0</v>
      </c>
      <c r="AC87" s="1258">
        <v>0</v>
      </c>
      <c r="AD87" s="1258">
        <v>0</v>
      </c>
      <c r="AE87" s="1205">
        <f>SUM(AA87:AD87)</f>
        <v>0</v>
      </c>
      <c r="AF87" s="1258"/>
      <c r="AG87" s="1257">
        <v>0</v>
      </c>
      <c r="AH87" s="1258">
        <v>0</v>
      </c>
      <c r="AI87" s="1258">
        <v>0</v>
      </c>
      <c r="AJ87" s="1258">
        <v>0</v>
      </c>
      <c r="AK87" s="1205">
        <f>SUM(AG87:AJ87)</f>
        <v>0</v>
      </c>
      <c r="AL87" s="1204"/>
      <c r="AM87" s="1257">
        <v>0</v>
      </c>
      <c r="AN87" s="1258">
        <v>0</v>
      </c>
      <c r="AO87" s="1258">
        <v>0</v>
      </c>
      <c r="AP87" s="1258">
        <v>0</v>
      </c>
      <c r="AQ87" s="1205">
        <f>SUM(AM87:AP87)</f>
        <v>0</v>
      </c>
      <c r="AR87" s="1204"/>
      <c r="AS87" s="1476">
        <v>0</v>
      </c>
      <c r="AT87" s="1525">
        <v>0</v>
      </c>
      <c r="AU87" s="1525">
        <v>0</v>
      </c>
      <c r="AV87" s="1258">
        <v>0</v>
      </c>
      <c r="AW87" s="1205">
        <f>SUM(AS87:AV87)</f>
        <v>0</v>
      </c>
      <c r="AX87" s="1204"/>
      <c r="AY87" s="1476">
        <v>0</v>
      </c>
      <c r="AZ87" s="1525">
        <v>0</v>
      </c>
      <c r="BA87" s="1525">
        <v>0</v>
      </c>
      <c r="BB87" s="1258">
        <v>0</v>
      </c>
      <c r="BC87" s="1205">
        <f>SUM(AY87:BB87)</f>
        <v>0</v>
      </c>
      <c r="BD87" s="1204"/>
      <c r="BE87" s="2760">
        <v>0</v>
      </c>
      <c r="BF87" s="2761">
        <v>0</v>
      </c>
      <c r="BG87" s="2761">
        <v>0</v>
      </c>
      <c r="BH87" s="2761">
        <v>0</v>
      </c>
      <c r="BI87" s="1205">
        <f>SUM(BE87:BH87)</f>
        <v>0</v>
      </c>
      <c r="BJ87" s="1204"/>
      <c r="BK87" s="2760">
        <v>0</v>
      </c>
      <c r="BL87" s="2761">
        <v>0</v>
      </c>
      <c r="BM87" s="2761">
        <v>0</v>
      </c>
      <c r="BN87" s="2761">
        <v>0</v>
      </c>
      <c r="BO87" s="1205">
        <f>SUM(BK87:BN87)</f>
        <v>0</v>
      </c>
      <c r="BP87" s="1204"/>
      <c r="BQ87" s="1257">
        <v>0</v>
      </c>
      <c r="BR87" s="1258">
        <v>0</v>
      </c>
      <c r="BS87" s="1258">
        <v>0</v>
      </c>
      <c r="BT87" s="1258">
        <v>0</v>
      </c>
      <c r="BU87" s="1205">
        <f>SUM(BQ87:BT87)</f>
        <v>0</v>
      </c>
      <c r="BV87" s="1204"/>
      <c r="BW87" s="1257">
        <v>0</v>
      </c>
      <c r="BX87" s="1258">
        <v>0</v>
      </c>
      <c r="BY87" s="1258">
        <v>0</v>
      </c>
      <c r="BZ87" s="1258">
        <v>0</v>
      </c>
      <c r="CA87" s="1205">
        <f>SUM(BW87:BZ87)</f>
        <v>0</v>
      </c>
      <c r="CB87" s="1204"/>
      <c r="CC87" s="1257">
        <v>0</v>
      </c>
      <c r="CD87" s="1258">
        <v>0</v>
      </c>
      <c r="CE87" s="1258">
        <v>0</v>
      </c>
      <c r="CF87" s="1258">
        <v>0</v>
      </c>
      <c r="CG87" s="1205">
        <f>SUM(CC87:CF87)</f>
        <v>0</v>
      </c>
      <c r="CH87" s="1204"/>
      <c r="CI87" s="1257">
        <v>0</v>
      </c>
      <c r="CJ87" s="1258">
        <v>0</v>
      </c>
      <c r="CK87" s="1258">
        <v>0</v>
      </c>
      <c r="CL87" s="1258">
        <v>0</v>
      </c>
      <c r="CM87" s="1205">
        <f>SUM(CI87:CL87)</f>
        <v>0</v>
      </c>
      <c r="CN87" s="1204"/>
      <c r="CO87" s="1257">
        <v>0</v>
      </c>
      <c r="CP87" s="1258">
        <v>0</v>
      </c>
      <c r="CQ87" s="1258">
        <v>0</v>
      </c>
      <c r="CR87" s="1258">
        <v>0</v>
      </c>
      <c r="CS87" s="1205">
        <f>SUM(CO87:CR87)</f>
        <v>0</v>
      </c>
      <c r="CT87" s="1204"/>
      <c r="CU87" s="870"/>
      <c r="CV87" s="870"/>
      <c r="CW87" s="870"/>
    </row>
    <row r="88" spans="1:101">
      <c r="A88" s="259" t="s">
        <v>340</v>
      </c>
      <c r="B88" s="259"/>
      <c r="C88" s="1257">
        <f>C37-11.294</f>
        <v>291.65500000000003</v>
      </c>
      <c r="D88" s="1204">
        <f>D37-C37</f>
        <v>-14.380999999999972</v>
      </c>
      <c r="E88" s="1204">
        <f>E37-D37</f>
        <v>-4.6220000000000141</v>
      </c>
      <c r="F88" s="1204">
        <f>F37-E37</f>
        <v>-282.59900000000005</v>
      </c>
      <c r="G88" s="1205">
        <f>SUM(C88:F88)</f>
        <v>-9.9470000000000027</v>
      </c>
      <c r="H88" s="1204"/>
      <c r="I88" s="1206">
        <f>I37-G37</f>
        <v>-9.9189999999998886</v>
      </c>
      <c r="J88" s="1204">
        <f>J37-I37</f>
        <v>-13.239999999999952</v>
      </c>
      <c r="K88" s="1204">
        <f>K37-J37</f>
        <v>-37.073999999999785</v>
      </c>
      <c r="L88" s="1204">
        <f>L37-K37</f>
        <v>61.291999999999625</v>
      </c>
      <c r="M88" s="1205">
        <f>SUM(I88:L88)</f>
        <v>1.0589999999999975</v>
      </c>
      <c r="N88" s="1204"/>
      <c r="O88" s="1206">
        <f>O37-M37</f>
        <v>-0.53400000000000003</v>
      </c>
      <c r="P88" s="1204">
        <f>P37-O37</f>
        <v>0.96500000000000008</v>
      </c>
      <c r="Q88" s="1204">
        <f>Q37-P37</f>
        <v>0.39999999999999991</v>
      </c>
      <c r="R88" s="1204">
        <f>R37-Q37</f>
        <v>-0.40700000000000003</v>
      </c>
      <c r="S88" s="1205">
        <f>SUM(O88:R88)</f>
        <v>0.42399999999999993</v>
      </c>
      <c r="T88" s="1204"/>
      <c r="U88" s="1206">
        <f>U37-S37</f>
        <v>-0.17799999999999994</v>
      </c>
      <c r="V88" s="1204">
        <f>V37-U37</f>
        <v>-4.0000000000000036E-2</v>
      </c>
      <c r="W88" s="1204">
        <f>W37-V37</f>
        <v>-4.7000000000000153E-2</v>
      </c>
      <c r="X88" s="1204">
        <f>X37-W37</f>
        <v>-0.8</v>
      </c>
      <c r="Y88" s="1205">
        <f>SUM(U88:X88)</f>
        <v>-1.0650000000000002</v>
      </c>
      <c r="Z88" s="1204"/>
      <c r="AA88" s="1206">
        <f>AA37-Y37</f>
        <v>-0.6449999999999998</v>
      </c>
      <c r="AB88" s="1204">
        <f>AB37-AA37</f>
        <v>1.2269999999999999</v>
      </c>
      <c r="AC88" s="1204">
        <f>AC37-AB37</f>
        <v>-0.26100000000000012</v>
      </c>
      <c r="AD88" s="1204">
        <f>AD37-AC37</f>
        <v>3.1000000000000139E-2</v>
      </c>
      <c r="AE88" s="1205">
        <f>SUM(AA88:AD88)</f>
        <v>0.35200000000000009</v>
      </c>
      <c r="AF88" s="1204"/>
      <c r="AG88" s="1206">
        <f>AG37-AE37</f>
        <v>0.14599999999999991</v>
      </c>
      <c r="AH88" s="1204">
        <f>AH37-AG37</f>
        <v>-6.0000000000000053E-2</v>
      </c>
      <c r="AI88" s="1204">
        <f>AI37-AH37</f>
        <v>0.24400000000000022</v>
      </c>
      <c r="AJ88" s="1204">
        <f>AJ37-AI37</f>
        <v>-0.32399999999999984</v>
      </c>
      <c r="AK88" s="1205">
        <f>SUM(AG88:AJ88)</f>
        <v>6.0000000000002274E-3</v>
      </c>
      <c r="AL88" s="1204"/>
      <c r="AM88" s="1206">
        <f>AM37-AK37</f>
        <v>-0.42000000000000015</v>
      </c>
      <c r="AN88" s="1204">
        <f>AN37-AM37</f>
        <v>-0.54</v>
      </c>
      <c r="AO88" s="1204">
        <f>AO37-AN37</f>
        <v>0.20500000000000007</v>
      </c>
      <c r="AP88" s="1204">
        <f>AP37-AO37</f>
        <v>-0.13400000000000012</v>
      </c>
      <c r="AQ88" s="1205">
        <f>SUM(AM88:AP88)</f>
        <v>-0.88900000000000023</v>
      </c>
      <c r="AR88" s="1204"/>
      <c r="AS88" s="1206">
        <f>AS37-AP37</f>
        <v>-2.6000000000000023E-2</v>
      </c>
      <c r="AT88" s="1511">
        <f>AT37-AS37</f>
        <v>0.125</v>
      </c>
      <c r="AU88" s="1511">
        <f>AU37-AT37</f>
        <v>-0.97199999999999998</v>
      </c>
      <c r="AV88" s="1204">
        <f>AV37-AU37</f>
        <v>-1.4410000000000001</v>
      </c>
      <c r="AW88" s="1205">
        <f>SUM(AS88:AV88)</f>
        <v>-2.3140000000000001</v>
      </c>
      <c r="AX88" s="1204"/>
      <c r="AY88" s="1206">
        <f>AY37-AV37</f>
        <v>3.4140000000000001</v>
      </c>
      <c r="AZ88" s="1511">
        <f>AZ37-AY37</f>
        <v>-1.7350000000000001</v>
      </c>
      <c r="BA88" s="1511">
        <f>BA37-AZ37</f>
        <v>0.44100000000000006</v>
      </c>
      <c r="BB88" s="1204">
        <f>BB37-BA37</f>
        <v>-1.004</v>
      </c>
      <c r="BC88" s="1205">
        <f>SUM(AY88:BB88)</f>
        <v>1.1160000000000001</v>
      </c>
      <c r="BD88" s="1204"/>
      <c r="BE88" s="1206">
        <f>BE37-BB37</f>
        <v>1.946</v>
      </c>
      <c r="BF88" s="1511">
        <f>BF37-BE37</f>
        <v>0.33600000000000008</v>
      </c>
      <c r="BG88" s="1511">
        <f>BG37-BF37</f>
        <v>-1.004</v>
      </c>
      <c r="BH88" s="1204">
        <f>BH37-BG37</f>
        <v>-2.351</v>
      </c>
      <c r="BI88" s="1205">
        <f>SUM(BE88:BH88)</f>
        <v>-1.073</v>
      </c>
      <c r="BJ88" s="1204"/>
      <c r="BK88" s="1206">
        <f>BK37-BH37</f>
        <v>3.6999999999999922E-2</v>
      </c>
      <c r="BL88" s="1511">
        <f>BL37-BK37</f>
        <v>1</v>
      </c>
      <c r="BM88" s="1511">
        <f>BM37-BL37</f>
        <v>0</v>
      </c>
      <c r="BN88" s="1204">
        <f>BN37-BM37</f>
        <v>-1</v>
      </c>
      <c r="BO88" s="1205">
        <f>SUM(BK88:BN88)</f>
        <v>3.6999999999999922E-2</v>
      </c>
      <c r="BP88" s="1204"/>
      <c r="BQ88" s="1206">
        <f>BQ37-BO37</f>
        <v>0</v>
      </c>
      <c r="BR88" s="1204">
        <f>BR37-BQ37</f>
        <v>0</v>
      </c>
      <c r="BS88" s="1204">
        <f>BS37-BR37</f>
        <v>0</v>
      </c>
      <c r="BT88" s="1204">
        <f>BT37-BS37</f>
        <v>0</v>
      </c>
      <c r="BU88" s="1205">
        <f>SUM(BQ88:BT88)</f>
        <v>0</v>
      </c>
      <c r="BV88" s="1204"/>
      <c r="BW88" s="1206">
        <f>BW37-BU37</f>
        <v>0</v>
      </c>
      <c r="BX88" s="1204">
        <f>BX37-BW37</f>
        <v>0</v>
      </c>
      <c r="BY88" s="1204">
        <f>BY37-BX37</f>
        <v>0</v>
      </c>
      <c r="BZ88" s="1204">
        <f>BZ37-BY37</f>
        <v>0</v>
      </c>
      <c r="CA88" s="1205">
        <f>SUM(BW88:BZ88)</f>
        <v>0</v>
      </c>
      <c r="CB88" s="1204"/>
      <c r="CC88" s="1206">
        <f>CC37-CA37</f>
        <v>0</v>
      </c>
      <c r="CD88" s="1204">
        <f>CD37-CC37</f>
        <v>0</v>
      </c>
      <c r="CE88" s="1204">
        <f>CE37-CD37</f>
        <v>0</v>
      </c>
      <c r="CF88" s="1204">
        <f>CF37-CE37</f>
        <v>0</v>
      </c>
      <c r="CG88" s="1205">
        <f>SUM(CC88:CF88)</f>
        <v>0</v>
      </c>
      <c r="CH88" s="1204"/>
      <c r="CI88" s="1206">
        <f>CI37-CG37</f>
        <v>0</v>
      </c>
      <c r="CJ88" s="1204">
        <f>CJ37-CI37</f>
        <v>0</v>
      </c>
      <c r="CK88" s="1204">
        <f>CK37-CJ37</f>
        <v>0</v>
      </c>
      <c r="CL88" s="1204">
        <f>CL37-CK37</f>
        <v>0</v>
      </c>
      <c r="CM88" s="1205">
        <f>SUM(CI88:CL88)</f>
        <v>0</v>
      </c>
      <c r="CN88" s="1204"/>
      <c r="CO88" s="1206">
        <f>CO37-CM37</f>
        <v>0</v>
      </c>
      <c r="CP88" s="1204">
        <f>CP37-CO37</f>
        <v>0</v>
      </c>
      <c r="CQ88" s="1204">
        <f>CQ37-CP37</f>
        <v>0</v>
      </c>
      <c r="CR88" s="1204">
        <f>CR37-CQ37</f>
        <v>0</v>
      </c>
      <c r="CS88" s="1205">
        <f>SUM(CO88:CR88)</f>
        <v>0</v>
      </c>
      <c r="CT88" s="1204"/>
      <c r="CU88" s="870"/>
      <c r="CV88" s="870"/>
      <c r="CW88" s="870"/>
    </row>
    <row r="89" spans="1:101">
      <c r="A89" s="259" t="s">
        <v>341</v>
      </c>
      <c r="B89" s="259"/>
      <c r="C89" s="1257">
        <f>C38-(-104.618)-C86-C87</f>
        <v>303.11899999999997</v>
      </c>
      <c r="D89" s="1204">
        <f>D38-C38-D86-D87</f>
        <v>15.260999999999997</v>
      </c>
      <c r="E89" s="1204">
        <f>E38-D38-E86-E87</f>
        <v>5.3990000000000062</v>
      </c>
      <c r="F89" s="1204">
        <f>F38-E38-F86-F87</f>
        <v>-323.77900000000005</v>
      </c>
      <c r="G89" s="1205">
        <f>SUM(C89:F89)</f>
        <v>0</v>
      </c>
      <c r="H89" s="1204"/>
      <c r="I89" s="1206">
        <f>I38-G38-I86-I87</f>
        <v>11.742000000000013</v>
      </c>
      <c r="J89" s="1204">
        <f>J38-I38-J86-J87</f>
        <v>14.791999999999973</v>
      </c>
      <c r="K89" s="1204">
        <f>K38-J38-K86-K87</f>
        <v>38.71899999999998</v>
      </c>
      <c r="L89" s="1204">
        <f>L38-K38-L86-L87</f>
        <v>-54.191999999999993</v>
      </c>
      <c r="M89" s="1205">
        <f>SUM(I89:L89)</f>
        <v>11.060999999999964</v>
      </c>
      <c r="N89" s="1204"/>
      <c r="O89" s="1206">
        <f>O38-M38-O86-O87</f>
        <v>-20.008999999999986</v>
      </c>
      <c r="P89" s="1204">
        <f>P38-O38-P86-P87</f>
        <v>-1.4210854715202004E-14</v>
      </c>
      <c r="Q89" s="1204">
        <f>Q38-P38-Q86-Q87</f>
        <v>9.9999999995503686E-4</v>
      </c>
      <c r="R89" s="1204">
        <f>R38-Q38-R86-R87</f>
        <v>1.0000000000367493E-3</v>
      </c>
      <c r="S89" s="1205">
        <f>SUM(O89:R89)</f>
        <v>-20.007000000000009</v>
      </c>
      <c r="T89" s="1204"/>
      <c r="U89" s="1206">
        <f>U38-S38-U86-U87</f>
        <v>1.4210854715202004E-14</v>
      </c>
      <c r="V89" s="1204">
        <f>V38-U38-V86-V87</f>
        <v>3.9999999999906777E-3</v>
      </c>
      <c r="W89" s="1204">
        <f>W38-V38-W86-W87</f>
        <v>-8.0000000000026716E-3</v>
      </c>
      <c r="X89" s="1204">
        <f>X38-W38-X86-X87</f>
        <v>4.000000000011994E-3</v>
      </c>
      <c r="Y89" s="1205">
        <f>SUM(U89:X89)</f>
        <v>1.4210854715202004E-14</v>
      </c>
      <c r="Z89" s="1204"/>
      <c r="AA89" s="1206">
        <f>AA38-Y38-AA86-AA87</f>
        <v>-5.9999999999789111E-3</v>
      </c>
      <c r="AB89" s="1204">
        <f>AB38-AA38-AB86-AB87</f>
        <v>1.7763568394002505E-14</v>
      </c>
      <c r="AC89" s="1204">
        <f>AC38-AB38-AC86-AC87</f>
        <v>1.0000000000047748E-3</v>
      </c>
      <c r="AD89" s="1204">
        <f>AD38-AC38-AD86-AD87</f>
        <v>5.0000000000594014E-3</v>
      </c>
      <c r="AE89" s="1205">
        <f>SUM(AA89:AD89)</f>
        <v>1.0302869668521453E-13</v>
      </c>
      <c r="AF89" s="1204"/>
      <c r="AG89" s="1206">
        <f>AG38-AE38-AG86-AG87</f>
        <v>-4.9999999999990052E-3</v>
      </c>
      <c r="AH89" s="1204">
        <f>AH38-AG38-AH86-AH87</f>
        <v>1.0000000000438547E-3</v>
      </c>
      <c r="AI89" s="1204">
        <f>AI38-AH38-AI86-AI87</f>
        <v>-3.1974423109204508E-14</v>
      </c>
      <c r="AJ89" s="1204">
        <f>AJ38-AI38-AJ86-AJ87</f>
        <v>3.9999999999764668E-3</v>
      </c>
      <c r="AK89" s="1205">
        <f>SUM(AG89:AJ89)</f>
        <v>-1.0658141036401503E-14</v>
      </c>
      <c r="AL89" s="1204"/>
      <c r="AM89" s="1206">
        <f>AM38-AK38-AM86-AM87</f>
        <v>-3.5527136788005009E-14</v>
      </c>
      <c r="AN89" s="1204">
        <f>AN38-AM38-AN86-AN87</f>
        <v>-7.1054273576010019E-15</v>
      </c>
      <c r="AO89" s="1204">
        <f>AO38-AN38-AO86-AO87</f>
        <v>-7.0000000000547402E-3</v>
      </c>
      <c r="AP89" s="1204">
        <f>AP38-AO38-AP86-AP87</f>
        <v>6.9999999999623697E-3</v>
      </c>
      <c r="AQ89" s="1205">
        <f>SUM(AM89:AP89)</f>
        <v>-1.3500311979441904E-13</v>
      </c>
      <c r="AR89" s="1204"/>
      <c r="AS89" s="1206">
        <f>AS38-AP38-AS86-AS87</f>
        <v>7.1054273576010019E-15</v>
      </c>
      <c r="AT89" s="1511">
        <f>AT38-AS38-AT86-AT87</f>
        <v>2.8421709430404007E-14</v>
      </c>
      <c r="AU89" s="1511">
        <f>AU38-AT38-AU86-AU87</f>
        <v>-5.6843418860808015E-14</v>
      </c>
      <c r="AV89" s="1204">
        <f>AV38-AU38-AV86-AV87</f>
        <v>2.8421709430404007E-14</v>
      </c>
      <c r="AW89" s="1205">
        <f>SUM(AS89:AV89)</f>
        <v>7.1054273576010019E-15</v>
      </c>
      <c r="AX89" s="1204"/>
      <c r="AY89" s="1206">
        <f>AY38-AV38-AY86-AY87</f>
        <v>-5.6843418860808015E-14</v>
      </c>
      <c r="AZ89" s="1511">
        <f>AZ38-AY38-AZ86-AZ87</f>
        <v>5.6843418860808015E-14</v>
      </c>
      <c r="BA89" s="1511">
        <f>BA38-AZ38-BA86-BA87</f>
        <v>5.6843418860808015E-14</v>
      </c>
      <c r="BB89" s="1204">
        <f>BB38-BA38-BB86-BB87</f>
        <v>-2.8421709430404007E-14</v>
      </c>
      <c r="BC89" s="1205">
        <f>SUM(AY89:BB89)</f>
        <v>2.8421709430404007E-14</v>
      </c>
      <c r="BD89" s="1204"/>
      <c r="BE89" s="1206">
        <f>BE38-BB38-BE86-BE87</f>
        <v>1.4210854715202004E-14</v>
      </c>
      <c r="BF89" s="1511">
        <f>BF38-BE38-BF86-BF87</f>
        <v>-1.9895196601282805E-13</v>
      </c>
      <c r="BG89" s="1511">
        <f>BG38-BF38-BG86-BG87</f>
        <v>1.1368683772161603E-13</v>
      </c>
      <c r="BH89" s="1204">
        <f>BH38-BG38-BH86-BH87</f>
        <v>-9.9475983006414026E-14</v>
      </c>
      <c r="BI89" s="1205">
        <f>SUM(BE89:BH89)</f>
        <v>-1.7053025658242404E-13</v>
      </c>
      <c r="BJ89" s="1204"/>
      <c r="BK89" s="1206">
        <f>BK38-BH38-BK86-BK87</f>
        <v>50.586000000000013</v>
      </c>
      <c r="BL89" s="1511">
        <f>BL38-BK38-BL86-BL87</f>
        <v>0.70000000000000284</v>
      </c>
      <c r="BM89" s="1511">
        <f>BM38-BL38-BM86-BM87</f>
        <v>-0.42000000000001592</v>
      </c>
      <c r="BN89" s="1204">
        <f>BN38-BM38-BN86-BN87</f>
        <v>-0.12000000000011823</v>
      </c>
      <c r="BO89" s="1205">
        <f>SUM(BK89:BN89)</f>
        <v>50.745999999999881</v>
      </c>
      <c r="BP89" s="1204"/>
      <c r="BQ89" s="1206">
        <f>BQ38-BO38-BQ86-BQ87</f>
        <v>0</v>
      </c>
      <c r="BR89" s="1204">
        <f>BR38-BQ38-BR86-BR87</f>
        <v>2.8421709430404007E-14</v>
      </c>
      <c r="BS89" s="1204">
        <f>BS38-BR38-BS86-BS87</f>
        <v>5.6843418860808015E-14</v>
      </c>
      <c r="BT89" s="1204">
        <f>BT38-BS38-BT86-BT87</f>
        <v>2.8421709430404007E-14</v>
      </c>
      <c r="BU89" s="1205">
        <f>SUM(BQ89:BT89)</f>
        <v>1.1368683772161603E-13</v>
      </c>
      <c r="BV89" s="1204"/>
      <c r="BW89" s="1206">
        <f>BW38-BU38-BW86-BW87</f>
        <v>-1.9895196601282805E-13</v>
      </c>
      <c r="BX89" s="1204">
        <f>BX38-BW38-BX86-BX87</f>
        <v>1.7053025658242404E-13</v>
      </c>
      <c r="BY89" s="1204">
        <f>BY38-BX38-BY86-BY87</f>
        <v>-1.1368683772161603E-13</v>
      </c>
      <c r="BZ89" s="1204">
        <f>BZ38-BY38-BZ86-BZ87</f>
        <v>-8.5265128291212022E-14</v>
      </c>
      <c r="CA89" s="1205">
        <f>SUM(BW89:BZ89)</f>
        <v>-2.2737367544323206E-13</v>
      </c>
      <c r="CB89" s="1204"/>
      <c r="CC89" s="1206">
        <f>CC38-CA38-CC86-CC87</f>
        <v>-8.5265128291212022E-14</v>
      </c>
      <c r="CD89" s="1204">
        <f>CD38-CC38-CD86-CD87</f>
        <v>-2.8421709430404007E-13</v>
      </c>
      <c r="CE89" s="1204">
        <f>CE38-CD38-CE86-CE87</f>
        <v>2.8421709430404007E-13</v>
      </c>
      <c r="CF89" s="1204">
        <f>CF38-CE38-CF86-CF87</f>
        <v>-2.2737367544323206E-13</v>
      </c>
      <c r="CG89" s="1205">
        <f>SUM(CC89:CF89)</f>
        <v>-3.1263880373444408E-13</v>
      </c>
      <c r="CH89" s="1204"/>
      <c r="CI89" s="1206">
        <f>CI38-CG38-CI86-CI87</f>
        <v>1.1368683772161603E-13</v>
      </c>
      <c r="CJ89" s="1204">
        <f>CJ38-CI38-CJ86-CJ87</f>
        <v>2.8421709430404007E-14</v>
      </c>
      <c r="CK89" s="1204">
        <f>CK38-CJ38-CK86-CK87</f>
        <v>2.2737367544323206E-13</v>
      </c>
      <c r="CL89" s="1204">
        <f>CL38-CK38-CL86-CL87</f>
        <v>-1.9895196601282805E-13</v>
      </c>
      <c r="CM89" s="1205">
        <f>SUM(CI89:CL89)</f>
        <v>1.7053025658242404E-13</v>
      </c>
      <c r="CN89" s="1204"/>
      <c r="CO89" s="1206">
        <f>CO38-CM38-CO86-CO87</f>
        <v>-2.2737367544323206E-13</v>
      </c>
      <c r="CP89" s="1204">
        <f>CP38-CO38-CP86-CP87</f>
        <v>-1.1368683772161603E-13</v>
      </c>
      <c r="CQ89" s="1204">
        <f>CQ38-CP38-CQ86-CQ87</f>
        <v>5.6843418860808015E-14</v>
      </c>
      <c r="CR89" s="1204">
        <f>CR38-CQ38-CR86-CR87</f>
        <v>3.979039320256561E-13</v>
      </c>
      <c r="CS89" s="1205">
        <f>SUM(CO89:CR89)</f>
        <v>1.1368683772161603E-13</v>
      </c>
      <c r="CT89" s="1204"/>
      <c r="CU89" s="870"/>
      <c r="CV89" s="870"/>
      <c r="CW89" s="870"/>
    </row>
    <row r="90" spans="1:101">
      <c r="A90" s="260" t="s">
        <v>342</v>
      </c>
      <c r="B90" s="260"/>
      <c r="C90" s="1259">
        <f>SUM(C84:C89)</f>
        <v>265.96000000000004</v>
      </c>
      <c r="D90" s="1260">
        <f>SUM(D84:D89)</f>
        <v>286.83500000000009</v>
      </c>
      <c r="E90" s="1260">
        <f>SUM(E84:E89)</f>
        <v>321.25800000000004</v>
      </c>
      <c r="F90" s="1260">
        <f>SUM(F84:F89)</f>
        <v>411.67799999999971</v>
      </c>
      <c r="G90" s="1261">
        <f>SUM(G84:G89)</f>
        <v>411.67799999999977</v>
      </c>
      <c r="H90" s="1260"/>
      <c r="I90" s="1259">
        <f>SUM(I84:I89)</f>
        <v>451.08899999999977</v>
      </c>
      <c r="J90" s="1260">
        <f>SUM(J84:J89)</f>
        <v>491.75199999999961</v>
      </c>
      <c r="K90" s="1260">
        <f>SUM(K84:K89)</f>
        <v>852.9929999999996</v>
      </c>
      <c r="L90" s="1260">
        <f>SUM(L84:L89)</f>
        <v>848.59599999999932</v>
      </c>
      <c r="M90" s="1261">
        <f>SUM(M84:M89)</f>
        <v>848.59599999999955</v>
      </c>
      <c r="N90" s="1260"/>
      <c r="O90" s="1259">
        <f>SUM(O84:O89)</f>
        <v>855.13499999999954</v>
      </c>
      <c r="P90" s="1260">
        <f>SUM(P84:P89)</f>
        <v>939.73999999999955</v>
      </c>
      <c r="Q90" s="1260">
        <f>SUM(Q84:Q89)</f>
        <v>1002.1199999999995</v>
      </c>
      <c r="R90" s="1260">
        <f>SUM(R84:R89)</f>
        <v>864.24799999999937</v>
      </c>
      <c r="S90" s="1261">
        <f>SUM(S84:S89)</f>
        <v>864.24799999999937</v>
      </c>
      <c r="T90" s="1260"/>
      <c r="U90" s="1259">
        <f>SUM(U84:U89)</f>
        <v>941.79699999999946</v>
      </c>
      <c r="V90" s="1260">
        <f>SUM(V84:V89)</f>
        <v>1036.9599999999996</v>
      </c>
      <c r="W90" s="1260">
        <f>SUM(W84:W89)</f>
        <v>1108.1209999999992</v>
      </c>
      <c r="X90" s="1260">
        <f>SUM(X84:X89)</f>
        <v>1197.6749999999995</v>
      </c>
      <c r="Y90" s="1261">
        <f>SUM(Y84:Y89)</f>
        <v>1197.6749999999997</v>
      </c>
      <c r="Z90" s="1260"/>
      <c r="AA90" s="1259">
        <f>SUM(AA84:AA89)</f>
        <v>1064.2259999999999</v>
      </c>
      <c r="AB90" s="1260">
        <f>SUM(AB84:AB89)</f>
        <v>1168.3039999999994</v>
      </c>
      <c r="AC90" s="1260">
        <f>SUM(AC84:AC89)</f>
        <v>1035.5399999999995</v>
      </c>
      <c r="AD90" s="1260">
        <f>SUM(AD84:AD89)</f>
        <v>1075.2149999999999</v>
      </c>
      <c r="AE90" s="1261">
        <f>SUM(AE84:AE89)</f>
        <v>1075.2149999999999</v>
      </c>
      <c r="AF90" s="1260"/>
      <c r="AG90" s="1259">
        <f>SUM(AG84:AG89)</f>
        <v>1160.1719999999996</v>
      </c>
      <c r="AH90" s="1260">
        <f>SUM(AH84:AH89)</f>
        <v>1180.7829999999997</v>
      </c>
      <c r="AI90" s="1260">
        <f>SUM(AI84:AI89)</f>
        <v>1222.2139999999999</v>
      </c>
      <c r="AJ90" s="1260">
        <f>SUM(AJ84:AJ89)</f>
        <v>1318.5809999999997</v>
      </c>
      <c r="AK90" s="1261">
        <f>SUM(AK84:AK89)</f>
        <v>1318.5809999999999</v>
      </c>
      <c r="AL90" s="1260"/>
      <c r="AM90" s="1259">
        <f>SUM(AM84:AM89)+-22.7910000000002</f>
        <v>1289.0359999999991</v>
      </c>
      <c r="AN90" s="1260">
        <f>SUM(AN84:AN89)</f>
        <v>1365.8009999999992</v>
      </c>
      <c r="AO90" s="1260">
        <f>SUM(AO84:AO89)</f>
        <v>1351.6729999999991</v>
      </c>
      <c r="AP90" s="1260">
        <f>SUM(AP84:AP89)</f>
        <v>1510.4109999999994</v>
      </c>
      <c r="AQ90" s="1261">
        <f>SUM(AQ84:AQ89)</f>
        <v>1533.2019999999998</v>
      </c>
      <c r="AR90" s="1260"/>
      <c r="AS90" s="1477">
        <f>SUM(AS84:AS89)</f>
        <v>1573.6129999999998</v>
      </c>
      <c r="AT90" s="1478">
        <f>SUM(AT84:AT89)</f>
        <v>1080.4359999999997</v>
      </c>
      <c r="AU90" s="1478">
        <f>SUM(AU84:AU89)</f>
        <v>1274.3129999999996</v>
      </c>
      <c r="AV90" s="1260">
        <f>SUM(AV84:AV89)</f>
        <v>1462.7979999999993</v>
      </c>
      <c r="AW90" s="1261">
        <f>SUM(AW84:AW89)</f>
        <v>1462.7979999999991</v>
      </c>
      <c r="AX90" s="1260"/>
      <c r="AY90" s="1477">
        <f>SUM(AY84:AY89)</f>
        <v>1623.3259999999991</v>
      </c>
      <c r="AZ90" s="1478">
        <f>SUM(AZ84:AZ89)</f>
        <v>1793.9119999999996</v>
      </c>
      <c r="BA90" s="1478">
        <f>SUM(BA84:BA89)</f>
        <v>1936.5669999999998</v>
      </c>
      <c r="BB90" s="1260">
        <f>SUM(BB84:BB89)</f>
        <v>1848.5530000000001</v>
      </c>
      <c r="BC90" s="1261">
        <f>SUM(BC84:BC89)</f>
        <v>1848.5529999999999</v>
      </c>
      <c r="BD90" s="1260"/>
      <c r="BE90" s="1477">
        <f>SUM(BE84:BE89)</f>
        <v>1991.1089999999997</v>
      </c>
      <c r="BF90" s="1478">
        <f>SUM(BF84:BF89)</f>
        <v>2055.7709999999993</v>
      </c>
      <c r="BG90" s="1478">
        <f>SUM(BG84:BG89)</f>
        <v>2240.1469999999999</v>
      </c>
      <c r="BH90" s="1260">
        <f>SUM(BH84:BH89)</f>
        <v>2197.2289999999994</v>
      </c>
      <c r="BI90" s="1261">
        <f>SUM(BI84:BI89)</f>
        <v>2197.2290000000003</v>
      </c>
      <c r="BJ90" s="1260"/>
      <c r="BK90" s="1477">
        <f>SUM(BK84:BK89)</f>
        <v>2551</v>
      </c>
      <c r="BL90" s="1478">
        <f>SUM(BL84:BL89)</f>
        <v>2715</v>
      </c>
      <c r="BM90" s="1478">
        <f>SUM(BM84:BM89)</f>
        <v>2855</v>
      </c>
      <c r="BN90" s="1260">
        <f>SUM(BN84:BN89)</f>
        <v>2749</v>
      </c>
      <c r="BO90" s="1261">
        <f>SUM(BO84:BO89)</f>
        <v>2749.0000000000005</v>
      </c>
      <c r="BP90" s="1260"/>
      <c r="BQ90" s="1259">
        <f>SUM(BQ84:BQ89)</f>
        <v>2870.1162802486515</v>
      </c>
      <c r="BR90" s="1260">
        <f>SUM(BR84:BR89)</f>
        <v>2946.9259039378121</v>
      </c>
      <c r="BS90" s="1260">
        <f>SUM(BS84:BS89)</f>
        <v>3031.3987167291971</v>
      </c>
      <c r="BT90" s="1260">
        <f>SUM(BT84:BT89)</f>
        <v>3128.5013236358973</v>
      </c>
      <c r="BU90" s="1261">
        <f>SUM(BU84:BU89)</f>
        <v>3128.5013236358973</v>
      </c>
      <c r="BV90" s="1260"/>
      <c r="BW90" s="1259">
        <f>SUM(BW84:BW89)</f>
        <v>3258.7564875431631</v>
      </c>
      <c r="BX90" s="1260">
        <f>SUM(BX84:BX89)</f>
        <v>3355.9930303157694</v>
      </c>
      <c r="BY90" s="1260">
        <f>SUM(BY84:BY89)</f>
        <v>3460.8593676594855</v>
      </c>
      <c r="BZ90" s="1260">
        <f>SUM(BZ84:BZ89)</f>
        <v>3578.5702345241193</v>
      </c>
      <c r="CA90" s="1261">
        <f>SUM(CA84:CA89)</f>
        <v>3578.5702345241198</v>
      </c>
      <c r="CB90" s="1260"/>
      <c r="CC90" s="1259">
        <f>SUM(CC84:CC89)</f>
        <v>3745.3712131339362</v>
      </c>
      <c r="CD90" s="1260">
        <f>SUM(CD84:CD89)</f>
        <v>3933.787364712115</v>
      </c>
      <c r="CE90" s="1260">
        <f>SUM(CE84:CE89)</f>
        <v>4137.1489398887634</v>
      </c>
      <c r="CF90" s="1260">
        <f>SUM(CF84:CF89)</f>
        <v>4359.0970621105444</v>
      </c>
      <c r="CG90" s="1261">
        <f>SUM(CG84:CG89)</f>
        <v>4359.0970621105453</v>
      </c>
      <c r="CH90" s="1260"/>
      <c r="CI90" s="1259">
        <f>SUM(CI84:CI89)</f>
        <v>4643.6148613740161</v>
      </c>
      <c r="CJ90" s="1260">
        <f>SUM(CJ84:CJ89)</f>
        <v>4823.7734466156007</v>
      </c>
      <c r="CK90" s="1260">
        <f>SUM(CK84:CK89)</f>
        <v>5013.8811417433108</v>
      </c>
      <c r="CL90" s="1260">
        <f>SUM(CL84:CL89)</f>
        <v>5220.9561471844145</v>
      </c>
      <c r="CM90" s="1261">
        <f>SUM(CM84:CM89)</f>
        <v>5220.9561471844145</v>
      </c>
      <c r="CN90" s="1260"/>
      <c r="CO90" s="1259">
        <f>SUM(CO84:CO89)</f>
        <v>5498.0427088982997</v>
      </c>
      <c r="CP90" s="1260">
        <f>SUM(CP84:CP89)</f>
        <v>5735.3580517857908</v>
      </c>
      <c r="CQ90" s="1260">
        <f>SUM(CQ84:CQ89)</f>
        <v>5985.1800588843116</v>
      </c>
      <c r="CR90" s="1260">
        <f>SUM(CR84:CR89)</f>
        <v>6254.3097470686653</v>
      </c>
      <c r="CS90" s="1261">
        <f>SUM(CS84:CS89)</f>
        <v>6254.3097470686653</v>
      </c>
      <c r="CT90" s="1204"/>
      <c r="CU90" s="870"/>
      <c r="CV90" s="870"/>
      <c r="CW90" s="870"/>
    </row>
    <row r="91" spans="1:101">
      <c r="A91" s="260"/>
      <c r="B91" s="261"/>
      <c r="C91" s="1260"/>
      <c r="D91" s="1260"/>
      <c r="E91" s="1260"/>
      <c r="F91" s="1260"/>
      <c r="G91" s="1260"/>
      <c r="H91" s="1260"/>
      <c r="I91" s="1260"/>
      <c r="J91" s="1260"/>
      <c r="K91" s="1260"/>
      <c r="L91" s="1260"/>
      <c r="M91" s="1260"/>
      <c r="N91" s="1260"/>
      <c r="O91" s="1260"/>
      <c r="P91" s="1260"/>
      <c r="Q91" s="1260"/>
      <c r="R91" s="1260"/>
      <c r="S91" s="1260"/>
      <c r="T91" s="1260"/>
      <c r="U91" s="1260"/>
      <c r="V91" s="1260"/>
      <c r="W91" s="1260"/>
      <c r="X91" s="1260"/>
      <c r="Y91" s="1260"/>
      <c r="Z91" s="1260"/>
      <c r="AA91" s="1260"/>
      <c r="AB91" s="1260"/>
      <c r="AC91" s="1260"/>
      <c r="AD91" s="1260"/>
      <c r="AE91" s="1260"/>
      <c r="AF91" s="1260"/>
      <c r="AG91" s="1260"/>
      <c r="AH91" s="1260"/>
      <c r="AI91" s="1260"/>
      <c r="AJ91" s="1260"/>
      <c r="AK91" s="1260"/>
      <c r="AL91" s="1260"/>
      <c r="AM91" s="1260"/>
      <c r="AN91" s="1260"/>
      <c r="AO91" s="1260"/>
      <c r="AP91" s="1260"/>
      <c r="AQ91" s="1260"/>
      <c r="AR91" s="1260"/>
      <c r="AS91" s="1478"/>
      <c r="AT91" s="1478"/>
      <c r="AU91" s="1478"/>
      <c r="AV91" s="1260"/>
      <c r="AW91" s="1260"/>
      <c r="AX91" s="1262"/>
      <c r="AY91" s="1260"/>
      <c r="AZ91" s="1478"/>
      <c r="BA91" s="1478"/>
      <c r="BB91" s="1260"/>
      <c r="BC91" s="1263"/>
      <c r="BD91" s="1262"/>
      <c r="BE91" s="1260"/>
      <c r="BF91" s="1260"/>
      <c r="BG91" s="1260"/>
      <c r="BH91" s="1260"/>
      <c r="BI91" s="1263"/>
      <c r="BJ91" s="1262"/>
      <c r="BK91" s="1260"/>
      <c r="BL91" s="1260"/>
      <c r="BM91" s="1260"/>
      <c r="BN91" s="1260"/>
      <c r="BO91" s="1263"/>
      <c r="BP91" s="1262"/>
      <c r="BQ91" s="1260"/>
      <c r="BR91" s="1260"/>
      <c r="BS91" s="1260"/>
      <c r="BT91" s="1260"/>
      <c r="BU91" s="1263"/>
      <c r="BV91" s="1262"/>
      <c r="BW91" s="1260"/>
      <c r="BX91" s="1260"/>
      <c r="BY91" s="1260"/>
      <c r="BZ91" s="1260"/>
      <c r="CA91" s="1263"/>
      <c r="CB91" s="1262"/>
      <c r="CC91" s="1260"/>
      <c r="CD91" s="1260"/>
      <c r="CE91" s="1260"/>
      <c r="CF91" s="1260"/>
      <c r="CG91" s="1263"/>
      <c r="CH91" s="1262"/>
      <c r="CI91" s="1260"/>
      <c r="CJ91" s="1260"/>
      <c r="CK91" s="1260"/>
      <c r="CL91" s="1260"/>
      <c r="CM91" s="1263"/>
      <c r="CN91" s="1262"/>
      <c r="CO91" s="1260"/>
      <c r="CP91" s="1260"/>
      <c r="CQ91" s="1260"/>
      <c r="CR91" s="1260"/>
      <c r="CS91" s="1263"/>
      <c r="CT91" s="1204"/>
      <c r="CU91" s="870"/>
      <c r="CV91" s="870"/>
      <c r="CW91" s="870"/>
    </row>
    <row r="92" spans="1:101">
      <c r="A92" s="50" t="s">
        <v>343</v>
      </c>
      <c r="B92" s="111"/>
      <c r="C92" s="51"/>
      <c r="D92" s="51"/>
      <c r="E92" s="51"/>
      <c r="F92" s="51"/>
      <c r="G92" s="53"/>
      <c r="H92" s="53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2"/>
      <c r="AD92" s="52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4"/>
      <c r="AX92" s="51"/>
      <c r="AY92" s="51"/>
      <c r="AZ92" s="51"/>
      <c r="BA92" s="51"/>
      <c r="BB92" s="51"/>
      <c r="BC92" s="54"/>
      <c r="BD92" s="51"/>
      <c r="BE92" s="51"/>
      <c r="BF92" s="51"/>
      <c r="BG92" s="51"/>
      <c r="BH92" s="51"/>
      <c r="BI92" s="54"/>
      <c r="BJ92" s="51"/>
      <c r="BK92" s="51"/>
      <c r="BL92" s="51"/>
      <c r="BM92" s="51"/>
      <c r="BN92" s="51"/>
      <c r="BO92" s="54"/>
      <c r="BP92" s="51"/>
      <c r="BQ92" s="51"/>
      <c r="BR92" s="51"/>
      <c r="BS92" s="51"/>
      <c r="BT92" s="51"/>
      <c r="BU92" s="54"/>
      <c r="BV92" s="51"/>
      <c r="BW92" s="51"/>
      <c r="BX92" s="51"/>
      <c r="BY92" s="51"/>
      <c r="BZ92" s="51"/>
      <c r="CA92" s="54"/>
      <c r="CB92" s="51"/>
      <c r="CC92" s="51"/>
      <c r="CD92" s="51"/>
      <c r="CE92" s="51"/>
      <c r="CF92" s="51"/>
      <c r="CG92" s="54"/>
      <c r="CH92" s="51"/>
      <c r="CI92" s="51"/>
      <c r="CJ92" s="51"/>
      <c r="CK92" s="51"/>
      <c r="CL92" s="51"/>
      <c r="CM92" s="54"/>
      <c r="CN92" s="51"/>
      <c r="CO92" s="51"/>
      <c r="CP92" s="51"/>
      <c r="CQ92" s="51"/>
      <c r="CR92" s="51"/>
      <c r="CS92" s="54"/>
      <c r="CT92" s="2911"/>
      <c r="CU92" s="31"/>
      <c r="CV92" s="63"/>
      <c r="CW92" s="63"/>
    </row>
    <row r="93" spans="1:101" outlineLevel="1">
      <c r="A93" s="262" t="s">
        <v>344</v>
      </c>
      <c r="B93" s="262"/>
      <c r="C93" s="786">
        <v>45.78</v>
      </c>
      <c r="D93" s="781">
        <f>C98</f>
        <v>49.018999999999998</v>
      </c>
      <c r="E93" s="781">
        <f>D98</f>
        <v>55.704999999999998</v>
      </c>
      <c r="F93" s="18">
        <f>E98</f>
        <v>61.036999999999999</v>
      </c>
      <c r="G93" s="1264">
        <f>C93</f>
        <v>45.78</v>
      </c>
      <c r="H93" s="1265"/>
      <c r="I93" s="782">
        <f>G98</f>
        <v>77.378000000000014</v>
      </c>
      <c r="J93" s="781">
        <f>I98</f>
        <v>84.341000000000008</v>
      </c>
      <c r="K93" s="781">
        <f>J98</f>
        <v>107.20100000000001</v>
      </c>
      <c r="L93" s="18">
        <f>K98</f>
        <v>122.51700000000001</v>
      </c>
      <c r="M93" s="1264">
        <f>G98</f>
        <v>77.378000000000014</v>
      </c>
      <c r="N93" s="1265"/>
      <c r="O93" s="782">
        <f>M98</f>
        <v>141.61099999999999</v>
      </c>
      <c r="P93" s="781">
        <f>O98</f>
        <v>154.17999999999998</v>
      </c>
      <c r="Q93" s="781">
        <f>P98</f>
        <v>168.20199999999997</v>
      </c>
      <c r="R93" s="18">
        <f>Q98</f>
        <v>187.89899999999997</v>
      </c>
      <c r="S93" s="1264">
        <f>M98</f>
        <v>141.61099999999999</v>
      </c>
      <c r="T93" s="1265"/>
      <c r="U93" s="782">
        <f>S98</f>
        <v>191.34200000000001</v>
      </c>
      <c r="V93" s="781">
        <f>U98</f>
        <v>202.52200000000002</v>
      </c>
      <c r="W93" s="781">
        <f>V98</f>
        <v>215.66400000000002</v>
      </c>
      <c r="X93" s="18">
        <f>W98</f>
        <v>228.77600000000001</v>
      </c>
      <c r="Y93" s="1264">
        <f>S98</f>
        <v>191.34200000000001</v>
      </c>
      <c r="Z93" s="1265"/>
      <c r="AA93" s="782">
        <f>Y98</f>
        <v>231.37799999999999</v>
      </c>
      <c r="AB93" s="781">
        <f>AA98</f>
        <v>243.678</v>
      </c>
      <c r="AC93" s="781">
        <f>AB98</f>
        <v>259.88099999999997</v>
      </c>
      <c r="AD93" s="18">
        <f>AC98</f>
        <v>282.06399999999996</v>
      </c>
      <c r="AE93" s="1264">
        <f>Y98</f>
        <v>231.37799999999999</v>
      </c>
      <c r="AF93" s="1265"/>
      <c r="AG93" s="782">
        <f>AE98</f>
        <v>280.16500000000008</v>
      </c>
      <c r="AH93" s="781">
        <f>AG98</f>
        <v>293.24900000000008</v>
      </c>
      <c r="AI93" s="781">
        <f>AH98</f>
        <v>314.19500000000011</v>
      </c>
      <c r="AJ93" s="18">
        <f>AI98</f>
        <v>331.84500000000008</v>
      </c>
      <c r="AK93" s="1264">
        <f>AE98</f>
        <v>280.16500000000008</v>
      </c>
      <c r="AL93" s="1265"/>
      <c r="AM93" s="782">
        <f>AK98</f>
        <v>319.57100000000003</v>
      </c>
      <c r="AN93" s="781">
        <f>AM98</f>
        <v>341.012</v>
      </c>
      <c r="AO93" s="781">
        <f>AN98</f>
        <v>352.54599999999999</v>
      </c>
      <c r="AP93" s="781">
        <f>AO98</f>
        <v>371.476</v>
      </c>
      <c r="AQ93" s="1264">
        <f>AK98</f>
        <v>319.57100000000003</v>
      </c>
      <c r="AR93" s="1265"/>
      <c r="AS93" s="1434">
        <f>AQ98</f>
        <v>398.78600000000006</v>
      </c>
      <c r="AT93" s="1385">
        <f>AS98</f>
        <v>417.79800000000006</v>
      </c>
      <c r="AU93" s="1385">
        <f>AT98</f>
        <v>441.12200000000007</v>
      </c>
      <c r="AV93" s="781">
        <f>AU98</f>
        <v>469.95000000000005</v>
      </c>
      <c r="AW93" s="1264">
        <f>AQ98</f>
        <v>398.78600000000006</v>
      </c>
      <c r="AX93" s="1265"/>
      <c r="AY93" s="1434">
        <f>AW98</f>
        <v>504.78200000000004</v>
      </c>
      <c r="AZ93" s="1385">
        <f>AY98</f>
        <v>541.33300000000008</v>
      </c>
      <c r="BA93" s="1385">
        <f>AZ98</f>
        <v>582.68400000000008</v>
      </c>
      <c r="BB93" s="1385">
        <f>BA98</f>
        <v>612.14300000000003</v>
      </c>
      <c r="BC93" s="1264">
        <f>AW98</f>
        <v>504.78200000000004</v>
      </c>
      <c r="BD93" s="1265"/>
      <c r="BE93" s="1434">
        <f>BC98</f>
        <v>647.62900000000002</v>
      </c>
      <c r="BF93" s="1385">
        <f>BE98</f>
        <v>701.04700000000003</v>
      </c>
      <c r="BG93" s="1385">
        <f>BF98</f>
        <v>768.86</v>
      </c>
      <c r="BH93" s="1385">
        <f>BG98</f>
        <v>825.98199999999997</v>
      </c>
      <c r="BI93" s="1264">
        <f>BC98</f>
        <v>647.62900000000002</v>
      </c>
      <c r="BJ93" s="1265"/>
      <c r="BK93" s="1434">
        <f>BI98</f>
        <v>907.52</v>
      </c>
      <c r="BL93" s="1385">
        <f>BK98</f>
        <v>990.52</v>
      </c>
      <c r="BM93" s="1385">
        <f>BL98</f>
        <v>1059.52</v>
      </c>
      <c r="BN93" s="1385">
        <f>BM98</f>
        <v>1141.52</v>
      </c>
      <c r="BO93" s="1264">
        <f>BI98</f>
        <v>907.52</v>
      </c>
      <c r="BP93" s="1265"/>
      <c r="BQ93" s="782">
        <f>BO98</f>
        <v>1217.52</v>
      </c>
      <c r="BR93" s="781">
        <f>BQ98</f>
        <v>1303.54</v>
      </c>
      <c r="BS93" s="781">
        <f>BR98</f>
        <v>1390.4875386769072</v>
      </c>
      <c r="BT93" s="781">
        <f>BS98</f>
        <v>1479.1119700097829</v>
      </c>
      <c r="BU93" s="1264">
        <f>BO98</f>
        <v>1217.52</v>
      </c>
      <c r="BV93" s="1265"/>
      <c r="BW93" s="782">
        <f>BU98</f>
        <v>1571.5469639986275</v>
      </c>
      <c r="BX93" s="781">
        <f>BW98</f>
        <v>1667.5399071438894</v>
      </c>
      <c r="BY93" s="781">
        <f>BX98</f>
        <v>1763.2645175609537</v>
      </c>
      <c r="BZ93" s="781">
        <f>BY98</f>
        <v>1860.2920809421278</v>
      </c>
      <c r="CA93" s="1264">
        <f>BU98</f>
        <v>1571.5469639986275</v>
      </c>
      <c r="CB93" s="1265"/>
      <c r="CC93" s="782">
        <f>CA98</f>
        <v>1961.2531584412579</v>
      </c>
      <c r="CD93" s="781">
        <f>CC98</f>
        <v>2066.9944326530185</v>
      </c>
      <c r="CE93" s="781">
        <f>CD98</f>
        <v>2172.5342498224986</v>
      </c>
      <c r="CF93" s="781">
        <f>CE98</f>
        <v>2279.4814441263843</v>
      </c>
      <c r="CG93" s="1264">
        <f>CA98</f>
        <v>1961.2531584412579</v>
      </c>
      <c r="CH93" s="1265"/>
      <c r="CI93" s="782">
        <f>CG98</f>
        <v>2390.9178734386405</v>
      </c>
      <c r="CJ93" s="781">
        <f>CI98</f>
        <v>2507.6910944385218</v>
      </c>
      <c r="CK93" s="781">
        <f>CJ98</f>
        <v>2624.2209751630153</v>
      </c>
      <c r="CL93" s="781">
        <f>CK98</f>
        <v>2742.2386030656348</v>
      </c>
      <c r="CM93" s="1264">
        <f>CG98</f>
        <v>2390.9178734386405</v>
      </c>
      <c r="CN93" s="1265"/>
      <c r="CO93" s="782">
        <f>CM98</f>
        <v>2865.5125078669771</v>
      </c>
      <c r="CP93" s="781">
        <f>CO98</f>
        <v>2993.9178931914521</v>
      </c>
      <c r="CQ93" s="781">
        <f>CP98</f>
        <v>3122.6174052719007</v>
      </c>
      <c r="CR93" s="781">
        <f>CQ98</f>
        <v>3253.4339533971479</v>
      </c>
      <c r="CS93" s="1264">
        <f>CM98</f>
        <v>2865.5125078669771</v>
      </c>
      <c r="CT93" s="1267"/>
      <c r="CU93" s="69"/>
      <c r="CV93" s="69"/>
      <c r="CW93" s="69"/>
    </row>
    <row r="94" spans="1:101" outlineLevel="1">
      <c r="A94" s="259" t="s">
        <v>345</v>
      </c>
      <c r="B94" s="259"/>
      <c r="C94" s="750">
        <f>-CFS!C29</f>
        <v>3.2389999999999999</v>
      </c>
      <c r="D94" s="205">
        <f>-CFS!D29</f>
        <v>6.6860000000000008</v>
      </c>
      <c r="E94" s="205">
        <f>-CFS!E29</f>
        <v>5.3319999999999981</v>
      </c>
      <c r="F94" s="205">
        <f>-CFS!F29</f>
        <v>9.0860000000000021</v>
      </c>
      <c r="G94" s="191">
        <f>-CFS!G29</f>
        <v>24.343</v>
      </c>
      <c r="H94" s="205"/>
      <c r="I94" s="750">
        <f>-CFS!I29</f>
        <v>6.9630000000000001</v>
      </c>
      <c r="J94" s="205">
        <f>-CFS!J29</f>
        <v>22.86</v>
      </c>
      <c r="K94" s="205">
        <f>-CFS!K29</f>
        <v>15.316000000000003</v>
      </c>
      <c r="L94" s="205">
        <f>-CFS!L29</f>
        <v>14.553999999999995</v>
      </c>
      <c r="M94" s="191">
        <f>-CFS!M29</f>
        <v>59.692999999999998</v>
      </c>
      <c r="N94" s="205"/>
      <c r="O94" s="750">
        <f>-CFS!O29</f>
        <v>12.569000000000001</v>
      </c>
      <c r="P94" s="205">
        <f>-CFS!P29</f>
        <v>14.022</v>
      </c>
      <c r="Q94" s="205">
        <f>-CFS!Q29</f>
        <v>19.696999999999996</v>
      </c>
      <c r="R94" s="205">
        <f>-CFS!R29</f>
        <v>6.3850000000000051</v>
      </c>
      <c r="S94" s="191">
        <f>-CFS!S29</f>
        <v>52.673000000000002</v>
      </c>
      <c r="T94" s="205"/>
      <c r="U94" s="750">
        <f>-CFS!U29</f>
        <v>11.18</v>
      </c>
      <c r="V94" s="205">
        <f>-CFS!V29</f>
        <v>13.141999999999999</v>
      </c>
      <c r="W94" s="205">
        <f>-CFS!W29</f>
        <v>13.111999999999998</v>
      </c>
      <c r="X94" s="205">
        <f>-CFS!X29</f>
        <v>12.384</v>
      </c>
      <c r="Y94" s="191">
        <f>-CFS!Y29</f>
        <v>49.817999999999998</v>
      </c>
      <c r="Z94" s="205"/>
      <c r="AA94" s="750">
        <f>-CFS!AA29</f>
        <v>12.3</v>
      </c>
      <c r="AB94" s="205">
        <f>-CFS!AB29</f>
        <v>16.202999999999999</v>
      </c>
      <c r="AC94" s="205">
        <f>-CFS!AC29</f>
        <v>22.183</v>
      </c>
      <c r="AD94" s="205">
        <f>-CFS!AD29</f>
        <v>27.113999999999997</v>
      </c>
      <c r="AE94" s="1266">
        <f>SUM(AA94:AD94)</f>
        <v>77.8</v>
      </c>
      <c r="AF94" s="1267"/>
      <c r="AG94" s="750">
        <f>-CFS!AG29</f>
        <v>13.084</v>
      </c>
      <c r="AH94" s="205">
        <f>-CFS!AH29</f>
        <v>20.946000000000002</v>
      </c>
      <c r="AI94" s="205">
        <f>-CFS!AI29</f>
        <v>17.650000000000002</v>
      </c>
      <c r="AJ94" s="205">
        <f>-CFS!AJ29</f>
        <v>17.100999999999999</v>
      </c>
      <c r="AK94" s="1266">
        <f>SUM(AG94:AJ94)</f>
        <v>68.781000000000006</v>
      </c>
      <c r="AL94" s="1267"/>
      <c r="AM94" s="750">
        <f>-CFS!AM29</f>
        <v>21.440999999999999</v>
      </c>
      <c r="AN94" s="205">
        <f>-CFS!AN29</f>
        <v>11.534000000000002</v>
      </c>
      <c r="AO94" s="205">
        <f>-CFS!AO29</f>
        <v>18.93</v>
      </c>
      <c r="AP94" s="205">
        <f>-CFS!AP29</f>
        <v>27.310000000000002</v>
      </c>
      <c r="AQ94" s="1266">
        <f>SUM(AM94:AP94)</f>
        <v>79.215000000000003</v>
      </c>
      <c r="AR94" s="1267"/>
      <c r="AS94" s="1585">
        <f>-CFS!AS29</f>
        <v>19.012</v>
      </c>
      <c r="AT94" s="1586">
        <f>-CFS!AT29</f>
        <v>23.323999999999998</v>
      </c>
      <c r="AU94" s="1586">
        <f>-CFS!AU29</f>
        <v>28.828000000000003</v>
      </c>
      <c r="AV94" s="205">
        <f>-CFS!AV29</f>
        <v>34.831999999999994</v>
      </c>
      <c r="AW94" s="1266">
        <f>SUM(AS94:AV94)</f>
        <v>105.996</v>
      </c>
      <c r="AX94" s="1267"/>
      <c r="AY94" s="1585">
        <f>-CFS!AY29</f>
        <v>36.551000000000002</v>
      </c>
      <c r="AZ94" s="1586">
        <f>-CFS!AZ29</f>
        <v>41.350999999999999</v>
      </c>
      <c r="BA94" s="1586">
        <f>-CFS!BA29</f>
        <v>29.459000000000003</v>
      </c>
      <c r="BB94" s="1586">
        <f>-CFS!BB29</f>
        <v>35.486000000000004</v>
      </c>
      <c r="BC94" s="1266">
        <f>SUM(AY94:BB94)</f>
        <v>142.84700000000001</v>
      </c>
      <c r="BD94" s="1267"/>
      <c r="BE94" s="1585">
        <f>-CFS!BE29</f>
        <v>53.417999999999999</v>
      </c>
      <c r="BF94" s="1586">
        <f>-CFS!BF29</f>
        <v>67.812999999999988</v>
      </c>
      <c r="BG94" s="1586">
        <f>-CFS!BG29</f>
        <v>57.122000000000014</v>
      </c>
      <c r="BH94" s="1586">
        <f>-CFS!BH29</f>
        <v>81.538000000000011</v>
      </c>
      <c r="BI94" s="1266">
        <f>SUM(BE94:BH94)</f>
        <v>259.89100000000002</v>
      </c>
      <c r="BJ94" s="1267"/>
      <c r="BK94" s="1585">
        <f>-CFS!BK29</f>
        <v>83</v>
      </c>
      <c r="BL94" s="1586">
        <f>-CFS!BL29</f>
        <v>69</v>
      </c>
      <c r="BM94" s="1586">
        <f>-CFS!BM29</f>
        <v>82</v>
      </c>
      <c r="BN94" s="1586">
        <f>-CFS!BN29</f>
        <v>76</v>
      </c>
      <c r="BO94" s="1266">
        <f>SUM(BK94:BN94)</f>
        <v>310</v>
      </c>
      <c r="BP94" s="1267"/>
      <c r="BQ94" s="750">
        <f>IS!BQ9*BS!BQ95</f>
        <v>86.02</v>
      </c>
      <c r="BR94" s="205">
        <f>IS!BR9*BS!BR95</f>
        <v>86.947538676907158</v>
      </c>
      <c r="BS94" s="205">
        <f>IS!BS9*BS!BS95</f>
        <v>88.624431332875801</v>
      </c>
      <c r="BT94" s="205">
        <f>IS!BT9*BS!BT95</f>
        <v>92.434993988844454</v>
      </c>
      <c r="BU94" s="1266">
        <f>SUM(BQ94:BT94)</f>
        <v>354.02696399862742</v>
      </c>
      <c r="BV94" s="1267"/>
      <c r="BW94" s="750">
        <f>IS!BW9*BS!BW95</f>
        <v>95.992943145262046</v>
      </c>
      <c r="BX94" s="205">
        <f>IS!BX9*BS!BX95</f>
        <v>95.724610417064198</v>
      </c>
      <c r="BY94" s="205">
        <f>IS!BY9*BS!BY95</f>
        <v>97.027563381174062</v>
      </c>
      <c r="BZ94" s="205">
        <f>IS!BZ9*BS!BZ95</f>
        <v>100.9610774991301</v>
      </c>
      <c r="CA94" s="1266">
        <f>SUM(BW94:BZ94)</f>
        <v>389.70619444263042</v>
      </c>
      <c r="CB94" s="1267"/>
      <c r="CC94" s="750">
        <f>IS!CC9*BS!CC95</f>
        <v>105.74127421176067</v>
      </c>
      <c r="CD94" s="205">
        <f>IS!CD9*BS!CD95</f>
        <v>105.53981716948</v>
      </c>
      <c r="CE94" s="205">
        <f>IS!CE9*BS!CE95</f>
        <v>106.94719430388574</v>
      </c>
      <c r="CF94" s="205">
        <f>IS!CF9*BS!CF95</f>
        <v>111.43642931225597</v>
      </c>
      <c r="CG94" s="1266">
        <f>SUM(CC94:CF94)</f>
        <v>429.66471499738236</v>
      </c>
      <c r="CH94" s="1267"/>
      <c r="CI94" s="750">
        <f>IS!CI9*BS!CI95</f>
        <v>116.77322099988106</v>
      </c>
      <c r="CJ94" s="205">
        <f>IS!CJ9*BS!CJ95</f>
        <v>116.52988072449349</v>
      </c>
      <c r="CK94" s="205">
        <f>IS!CK9*BS!CK95</f>
        <v>118.01762790261965</v>
      </c>
      <c r="CL94" s="205">
        <f>IS!CL9*BS!CL95</f>
        <v>123.27390480134231</v>
      </c>
      <c r="CM94" s="1266">
        <f>SUM(CI94:CL94)</f>
        <v>474.59463442833652</v>
      </c>
      <c r="CN94" s="1267"/>
      <c r="CO94" s="750">
        <f>IS!CO9*BS!CO95</f>
        <v>128.40538532447496</v>
      </c>
      <c r="CP94" s="205">
        <f>IS!CP9*BS!CP95</f>
        <v>128.69951208044861</v>
      </c>
      <c r="CQ94" s="205">
        <f>IS!CQ9*BS!CQ95</f>
        <v>130.81654812524735</v>
      </c>
      <c r="CR94" s="205">
        <f>IS!CR9*BS!CR95</f>
        <v>136.80278306028947</v>
      </c>
      <c r="CS94" s="1266">
        <f>SUM(CO94:CR94)</f>
        <v>524.72422859046037</v>
      </c>
      <c r="CT94" s="1267"/>
      <c r="CU94" s="69"/>
      <c r="CV94" s="69"/>
      <c r="CW94" s="69"/>
    </row>
    <row r="95" spans="1:101" outlineLevel="1">
      <c r="A95" s="263" t="s">
        <v>346</v>
      </c>
      <c r="B95" s="263"/>
      <c r="C95" s="361">
        <f>C94/IS!C9</f>
        <v>4.4892584892584887E-2</v>
      </c>
      <c r="D95" s="1268">
        <f>D94/IS!D9</f>
        <v>7.9091500561897454E-2</v>
      </c>
      <c r="E95" s="1268">
        <f>E94/IS!E9</f>
        <v>5.4681571120910655E-2</v>
      </c>
      <c r="F95" s="1268">
        <f>F94/IS!F9</f>
        <v>8.0689851159816708E-2</v>
      </c>
      <c r="G95" s="1269">
        <f>G94/IS!G9</f>
        <v>6.6366047889988788E-2</v>
      </c>
      <c r="H95" s="1268"/>
      <c r="I95" s="361">
        <f>I94/IS!I9</f>
        <v>5.7138871337015125E-2</v>
      </c>
      <c r="J95" s="1268">
        <f>J94/IS!J9</f>
        <v>0.16307953515912027</v>
      </c>
      <c r="K95" s="1268">
        <f>K94/IS!K9</f>
        <v>0.10192998802076403</v>
      </c>
      <c r="L95" s="1268">
        <f>L94/IS!L9</f>
        <v>9.0438521814238712E-2</v>
      </c>
      <c r="M95" s="1269">
        <f>M94/IS!M9</f>
        <v>0.10413537441667756</v>
      </c>
      <c r="N95" s="1268"/>
      <c r="O95" s="361">
        <f>O94/IS!O9</f>
        <v>7.5827868506307433E-2</v>
      </c>
      <c r="P95" s="1268">
        <f>P94/IS!P9</f>
        <v>8.6746719622872628E-2</v>
      </c>
      <c r="Q95" s="1268">
        <f>Q94/IS!Q9</f>
        <v>0.12438115685779233</v>
      </c>
      <c r="R95" s="1268">
        <f>R94/IS!R9</f>
        <v>3.536142309651983E-2</v>
      </c>
      <c r="S95" s="1269">
        <f>S94/IS!S9</f>
        <v>7.9050131767728612E-2</v>
      </c>
      <c r="T95" s="1268"/>
      <c r="U95" s="361">
        <f>U94/IS!U9</f>
        <v>5.818946447996419E-2</v>
      </c>
      <c r="V95" s="1268">
        <f>V94/IS!V9</f>
        <v>6.198968882515813E-2</v>
      </c>
      <c r="W95" s="1268">
        <f>W94/IS!W9</f>
        <v>5.5252855981020518E-2</v>
      </c>
      <c r="X95" s="1268">
        <f>X94/IS!X9</f>
        <v>4.7394162986322132E-2</v>
      </c>
      <c r="Y95" s="1269">
        <f>Y94/IS!Y9</f>
        <v>5.5185263547351898E-2</v>
      </c>
      <c r="Z95" s="1268"/>
      <c r="AA95" s="361">
        <f>AA94/IS!AA9</f>
        <v>4.3537511282586767E-2</v>
      </c>
      <c r="AB95" s="1268">
        <f>AB94/IS!AB9</f>
        <v>5.6368064011132368E-2</v>
      </c>
      <c r="AC95" s="1268">
        <f>AC94/IS!AC9</f>
        <v>9.4195729068913242E-2</v>
      </c>
      <c r="AD95" s="1268">
        <f>AD94/IS!AD9</f>
        <v>0.10842520724114352</v>
      </c>
      <c r="AE95" s="1269">
        <f>AE94/IS!AE9</f>
        <v>7.3706698498865506E-2</v>
      </c>
      <c r="AF95" s="1268"/>
      <c r="AG95" s="361">
        <f>AG94/IS!AG9</f>
        <v>4.796715181288265E-2</v>
      </c>
      <c r="AH95" s="1268">
        <f>AH94/IS!AH9</f>
        <v>7.4645322461663485E-2</v>
      </c>
      <c r="AI95" s="1268">
        <f>AI94/IS!AI9</f>
        <v>6.1740487067729138E-2</v>
      </c>
      <c r="AJ95" s="1268">
        <f>AJ94/IS!AJ9</f>
        <v>5.5295620260941265E-2</v>
      </c>
      <c r="AK95" s="1269">
        <f>AK94/IS!AJ9</f>
        <v>0.222401500331431</v>
      </c>
      <c r="AL95" s="1268"/>
      <c r="AM95" s="361">
        <f>AM94/IS!AM9</f>
        <v>6.478465545477069E-2</v>
      </c>
      <c r="AN95" s="1268">
        <f>AN94/IS!AN9</f>
        <v>3.3326206175200962E-2</v>
      </c>
      <c r="AO95" s="1268">
        <f>AO94/IS!AO9</f>
        <v>5.3054932735426004E-2</v>
      </c>
      <c r="AP95" s="1268">
        <f>AP94/IS!AP9</f>
        <v>7.050908020633781E-2</v>
      </c>
      <c r="AQ95" s="1269">
        <f>AQ94/IS!AP9</f>
        <v>0.2045176414699762</v>
      </c>
      <c r="AR95" s="1268"/>
      <c r="AS95" s="1419">
        <f>AS94/IS!AS9</f>
        <v>4.5182648456085231E-2</v>
      </c>
      <c r="AT95" s="153">
        <f>AT94/IS!AT9</f>
        <v>5.2112751581882527E-2</v>
      </c>
      <c r="AU95" s="153">
        <f>AU94/IS!AU9</f>
        <v>5.9979610095083541E-2</v>
      </c>
      <c r="AV95" s="1268">
        <f>AV94/IS!AV9</f>
        <v>6.7980928180116654E-2</v>
      </c>
      <c r="AW95" s="1269">
        <f>AW94/IS!AV9</f>
        <v>0.20687030498908032</v>
      </c>
      <c r="AX95" s="1268"/>
      <c r="AY95" s="1419">
        <f>AY94/IS!AY9</f>
        <v>6.7867388337526577E-2</v>
      </c>
      <c r="AZ95" s="153">
        <f>AZ94/IS!AZ9</f>
        <v>7.6664231763253238E-2</v>
      </c>
      <c r="BA95" s="153">
        <f>BA94/IS!BA9</f>
        <v>5.3535439810566077E-2</v>
      </c>
      <c r="BB95" s="153">
        <f>BB94/IS!BB9</f>
        <v>5.9988369498333194E-2</v>
      </c>
      <c r="BC95" s="1269">
        <f>BC94/IS!BB9</f>
        <v>0.241479981337102</v>
      </c>
      <c r="BD95" s="1268"/>
      <c r="BE95" s="1419">
        <f>BE94/IS!BE9</f>
        <v>9.3426821952452319E-2</v>
      </c>
      <c r="BF95" s="153">
        <f>BF94/IS!BF9</f>
        <v>0.11299831368183906</v>
      </c>
      <c r="BG95" s="153">
        <f>BG94/IS!BG9</f>
        <v>9.4083891827077507E-2</v>
      </c>
      <c r="BH95" s="153">
        <f>BH94/IS!BH9</f>
        <v>0.13165156204841552</v>
      </c>
      <c r="BI95" s="1269">
        <f>BI94/IS!BH9</f>
        <v>0.41962098791146163</v>
      </c>
      <c r="BJ95" s="1268"/>
      <c r="BK95" s="1419">
        <f>BK94/IS!BK9</f>
        <v>0.13879598662207357</v>
      </c>
      <c r="BL95" s="153">
        <f>BL94/IS!BL9</f>
        <v>0.10416666666666667</v>
      </c>
      <c r="BM95" s="153">
        <f>BM94/IS!BM9</f>
        <v>0.11484593837535013</v>
      </c>
      <c r="BN95" s="153">
        <f>BN94/IS!BN9</f>
        <v>9.7724058120097712E-2</v>
      </c>
      <c r="BO95" s="1269">
        <f>BO94/IS!BN9</f>
        <v>0.39861128970039861</v>
      </c>
      <c r="BP95" s="1268"/>
      <c r="BQ95" s="1271">
        <v>0.11</v>
      </c>
      <c r="BR95" s="1270">
        <f t="shared" ref="BR95:BT95" si="128">+BQ95</f>
        <v>0.11</v>
      </c>
      <c r="BS95" s="1270">
        <f t="shared" si="128"/>
        <v>0.11</v>
      </c>
      <c r="BT95" s="1270">
        <f t="shared" si="128"/>
        <v>0.11</v>
      </c>
      <c r="BU95" s="1269">
        <f>BU94/IS!BT9</f>
        <v>0.4213011150793049</v>
      </c>
      <c r="BV95" s="1268"/>
      <c r="BW95" s="1271">
        <f>+BT95</f>
        <v>0.11</v>
      </c>
      <c r="BX95" s="1270">
        <f t="shared" ref="BX95" si="129">+BW95</f>
        <v>0.11</v>
      </c>
      <c r="BY95" s="1270">
        <f t="shared" ref="BY95" si="130">+BX95</f>
        <v>0.11</v>
      </c>
      <c r="BZ95" s="1270">
        <f t="shared" ref="BZ95" si="131">+BY95</f>
        <v>0.11</v>
      </c>
      <c r="CA95" s="1269">
        <f>CA94/IS!BZ9</f>
        <v>0.42459611615237269</v>
      </c>
      <c r="CB95" s="1268"/>
      <c r="CC95" s="1271">
        <f t="shared" ref="CC95" si="132">+BZ95</f>
        <v>0.11</v>
      </c>
      <c r="CD95" s="1270">
        <f t="shared" ref="CD95" si="133">+CC95</f>
        <v>0.11</v>
      </c>
      <c r="CE95" s="1270">
        <f t="shared" ref="CE95" si="134">+CD95</f>
        <v>0.11</v>
      </c>
      <c r="CF95" s="1270">
        <f t="shared" ref="CF95" si="135">+CE95</f>
        <v>0.11</v>
      </c>
      <c r="CG95" s="1269">
        <f>CG94/IS!CF9</f>
        <v>0.42412628384992573</v>
      </c>
      <c r="CH95" s="1268"/>
      <c r="CI95" s="1271">
        <f t="shared" ref="CI95" si="136">+CF95</f>
        <v>0.11</v>
      </c>
      <c r="CJ95" s="1270">
        <f t="shared" ref="CJ95" si="137">+CI95</f>
        <v>0.11</v>
      </c>
      <c r="CK95" s="1270">
        <f t="shared" ref="CK95" si="138">+CJ95</f>
        <v>0.11</v>
      </c>
      <c r="CL95" s="1270">
        <f t="shared" ref="CL95" si="139">+CK95</f>
        <v>0.11</v>
      </c>
      <c r="CM95" s="1269">
        <f>CM94/IS!CL9</f>
        <v>0.42349116685519772</v>
      </c>
      <c r="CN95" s="1268"/>
      <c r="CO95" s="1271">
        <f t="shared" ref="CO95" si="140">+CL95</f>
        <v>0.11</v>
      </c>
      <c r="CP95" s="1270">
        <f t="shared" ref="CP95" si="141">+CO95</f>
        <v>0.11</v>
      </c>
      <c r="CQ95" s="1270">
        <f t="shared" ref="CQ95" si="142">+CP95</f>
        <v>0.11</v>
      </c>
      <c r="CR95" s="1270">
        <f t="shared" ref="CR95" si="143">+CQ95</f>
        <v>0.11</v>
      </c>
      <c r="CS95" s="1269">
        <f>CS94/IS!CR9</f>
        <v>0.4219187932712844</v>
      </c>
      <c r="CT95" s="1268"/>
      <c r="CU95" s="63"/>
      <c r="CV95" s="63"/>
      <c r="CW95" s="63"/>
    </row>
    <row r="96" spans="1:101" outlineLevel="1">
      <c r="A96" s="259" t="s">
        <v>266</v>
      </c>
      <c r="B96" s="259"/>
      <c r="C96" s="750"/>
      <c r="D96" s="205"/>
      <c r="E96" s="205"/>
      <c r="F96" s="205"/>
      <c r="G96" s="191"/>
      <c r="H96" s="205"/>
      <c r="I96" s="750"/>
      <c r="J96" s="205"/>
      <c r="K96" s="205"/>
      <c r="L96" s="205"/>
      <c r="M96" s="191"/>
      <c r="N96" s="205"/>
      <c r="O96" s="750"/>
      <c r="P96" s="205"/>
      <c r="Q96" s="205"/>
      <c r="R96" s="205"/>
      <c r="S96" s="191"/>
      <c r="T96" s="205"/>
      <c r="U96" s="750"/>
      <c r="V96" s="205"/>
      <c r="W96" s="205"/>
      <c r="X96" s="205"/>
      <c r="Y96" s="191"/>
      <c r="Z96" s="205"/>
      <c r="AA96" s="750"/>
      <c r="AB96" s="205"/>
      <c r="AC96" s="205"/>
      <c r="AD96" s="205"/>
      <c r="AE96" s="1266">
        <f>SUM(AA96:AD96)</f>
        <v>0</v>
      </c>
      <c r="AF96" s="1267"/>
      <c r="AG96" s="750"/>
      <c r="AH96" s="205"/>
      <c r="AI96" s="205"/>
      <c r="AJ96" s="205"/>
      <c r="AK96" s="1266">
        <f>SUM(AG96:AJ96)</f>
        <v>0</v>
      </c>
      <c r="AL96" s="1267"/>
      <c r="AM96" s="750"/>
      <c r="AN96" s="205"/>
      <c r="AO96" s="205"/>
      <c r="AP96" s="205"/>
      <c r="AQ96" s="1266">
        <f>SUM(AM96:AP96)</f>
        <v>0</v>
      </c>
      <c r="AR96" s="1267"/>
      <c r="AS96" s="89"/>
      <c r="AT96" s="9"/>
      <c r="AU96" s="9"/>
      <c r="AV96" s="205"/>
      <c r="AW96" s="1266">
        <f>SUM(AS96:AV96)</f>
        <v>0</v>
      </c>
      <c r="AX96" s="1267"/>
      <c r="AY96" s="89"/>
      <c r="AZ96" s="9"/>
      <c r="BA96" s="9"/>
      <c r="BB96" s="9"/>
      <c r="BC96" s="1266">
        <f>SUM(AY96:BB96)</f>
        <v>0</v>
      </c>
      <c r="BD96" s="1267"/>
      <c r="BE96" s="89"/>
      <c r="BF96" s="9"/>
      <c r="BG96" s="9"/>
      <c r="BH96" s="9"/>
      <c r="BI96" s="1266">
        <f>SUM(BE96:BH96)</f>
        <v>0</v>
      </c>
      <c r="BJ96" s="1267"/>
      <c r="BK96" s="89"/>
      <c r="BL96" s="9"/>
      <c r="BM96" s="9"/>
      <c r="BN96" s="9"/>
      <c r="BO96" s="1266">
        <f>SUM(BK96:BN96)</f>
        <v>0</v>
      </c>
      <c r="BP96" s="1267"/>
      <c r="BQ96" s="750">
        <f>-CFS!BQ32*BS!BQ129</f>
        <v>0</v>
      </c>
      <c r="BR96" s="205">
        <f>-CFS!BR32*BS!BR129</f>
        <v>0</v>
      </c>
      <c r="BS96" s="205">
        <f>-CFS!BS32*BS!BS129</f>
        <v>0</v>
      </c>
      <c r="BT96" s="205">
        <f>-CFS!BT32*BS!BT129</f>
        <v>0</v>
      </c>
      <c r="BU96" s="1266">
        <f>SUM(BQ96:BT96)</f>
        <v>0</v>
      </c>
      <c r="BV96" s="1267"/>
      <c r="BW96" s="750">
        <f>-CFS!BW32*BS!BW129</f>
        <v>0</v>
      </c>
      <c r="BX96" s="205">
        <f>-CFS!BX32*BS!BX129</f>
        <v>0</v>
      </c>
      <c r="BY96" s="205">
        <f>-CFS!BY32*BS!BY129</f>
        <v>0</v>
      </c>
      <c r="BZ96" s="205">
        <f>-CFS!BZ32*BS!BZ129</f>
        <v>0</v>
      </c>
      <c r="CA96" s="1266">
        <f>SUM(BW96:BZ96)</f>
        <v>0</v>
      </c>
      <c r="CB96" s="1267"/>
      <c r="CC96" s="750">
        <f>-CFS!CC32*BS!CC129</f>
        <v>0</v>
      </c>
      <c r="CD96" s="205">
        <f>-CFS!CD32*BS!CD129</f>
        <v>0</v>
      </c>
      <c r="CE96" s="205">
        <f>-CFS!CE32*BS!CE129</f>
        <v>0</v>
      </c>
      <c r="CF96" s="205">
        <f>-CFS!CF32*BS!CF129</f>
        <v>0</v>
      </c>
      <c r="CG96" s="1266">
        <f>SUM(CC96:CF96)</f>
        <v>0</v>
      </c>
      <c r="CH96" s="1267"/>
      <c r="CI96" s="750">
        <f>-CFS!CI32*BS!CI129</f>
        <v>0</v>
      </c>
      <c r="CJ96" s="205">
        <f>-CFS!CJ32*BS!CJ129</f>
        <v>0</v>
      </c>
      <c r="CK96" s="205">
        <f>-CFS!CK32*BS!CK129</f>
        <v>0</v>
      </c>
      <c r="CL96" s="205">
        <f>-CFS!CL32*BS!CL129</f>
        <v>0</v>
      </c>
      <c r="CM96" s="1266">
        <f>SUM(CI96:CL96)</f>
        <v>0</v>
      </c>
      <c r="CN96" s="1267"/>
      <c r="CO96" s="750">
        <f>-CFS!CO32*BS!CO129</f>
        <v>0</v>
      </c>
      <c r="CP96" s="205">
        <f>-CFS!CP32*BS!CP129</f>
        <v>0</v>
      </c>
      <c r="CQ96" s="205">
        <f>-CFS!CQ32*BS!CQ129</f>
        <v>0</v>
      </c>
      <c r="CR96" s="205">
        <f>-CFS!CR32*BS!CR129</f>
        <v>0</v>
      </c>
      <c r="CS96" s="1266">
        <f>SUM(CO96:CR96)</f>
        <v>0</v>
      </c>
      <c r="CT96" s="1267"/>
      <c r="CU96" s="69"/>
      <c r="CV96" s="69"/>
      <c r="CW96" s="69"/>
    </row>
    <row r="97" spans="1:101" outlineLevel="1">
      <c r="A97" s="259" t="s">
        <v>204</v>
      </c>
      <c r="B97" s="259"/>
      <c r="C97" s="109">
        <v>0</v>
      </c>
      <c r="D97" s="21">
        <v>0</v>
      </c>
      <c r="E97" s="21">
        <v>0</v>
      </c>
      <c r="F97" s="20">
        <f>F98-F96-F94-F93</f>
        <v>7.2550000000000026</v>
      </c>
      <c r="G97" s="1266">
        <f>SUM(C97:F97)</f>
        <v>7.2550000000000026</v>
      </c>
      <c r="H97" s="1267"/>
      <c r="I97" s="109">
        <v>0</v>
      </c>
      <c r="J97" s="21">
        <v>0</v>
      </c>
      <c r="K97" s="21">
        <v>0</v>
      </c>
      <c r="L97" s="20">
        <f>L98-L96-L94-L93</f>
        <v>4.5399999999999778</v>
      </c>
      <c r="M97" s="1266">
        <f>SUM(I97:L97)</f>
        <v>4.5399999999999778</v>
      </c>
      <c r="N97" s="1267"/>
      <c r="O97" s="109">
        <v>0</v>
      </c>
      <c r="P97" s="21">
        <v>0</v>
      </c>
      <c r="Q97" s="21">
        <v>0</v>
      </c>
      <c r="R97" s="20">
        <f>R98-R96-R94-R93</f>
        <v>-2.9419999999999789</v>
      </c>
      <c r="S97" s="1266">
        <f>SUM(O97:R97)</f>
        <v>-2.9419999999999789</v>
      </c>
      <c r="T97" s="1267"/>
      <c r="U97" s="109">
        <v>0</v>
      </c>
      <c r="V97" s="21">
        <v>0</v>
      </c>
      <c r="W97" s="21">
        <v>0</v>
      </c>
      <c r="X97" s="20">
        <f>X98-X96-X94-X93</f>
        <v>-9.7820000000000391</v>
      </c>
      <c r="Y97" s="1266">
        <f>SUM(U97:X97)</f>
        <v>-9.7820000000000391</v>
      </c>
      <c r="Z97" s="1267"/>
      <c r="AA97" s="109">
        <v>0</v>
      </c>
      <c r="AB97" s="21">
        <v>0</v>
      </c>
      <c r="AC97" s="21">
        <v>0</v>
      </c>
      <c r="AD97" s="20">
        <f>AD98-AD96-AD94-AD93</f>
        <v>-29.012999999999948</v>
      </c>
      <c r="AE97" s="1266">
        <f>SUM(AA97:AD97)</f>
        <v>-29.012999999999948</v>
      </c>
      <c r="AF97" s="1267"/>
      <c r="AG97" s="109">
        <v>0</v>
      </c>
      <c r="AH97" s="21">
        <v>0</v>
      </c>
      <c r="AI97" s="21">
        <v>0</v>
      </c>
      <c r="AJ97" s="20">
        <f>AJ98-AJ96-AJ94-AJ93</f>
        <v>-29.375000000000057</v>
      </c>
      <c r="AK97" s="1266">
        <f>SUM(AG97:AJ97)</f>
        <v>-29.375000000000057</v>
      </c>
      <c r="AL97" s="1267"/>
      <c r="AM97" s="109">
        <v>0</v>
      </c>
      <c r="AN97" s="21">
        <v>0</v>
      </c>
      <c r="AO97" s="21">
        <v>0</v>
      </c>
      <c r="AP97" s="21">
        <v>0</v>
      </c>
      <c r="AQ97" s="1266">
        <f>SUM(AM97:AP97)</f>
        <v>0</v>
      </c>
      <c r="AR97" s="1267"/>
      <c r="AS97" s="1479">
        <v>0</v>
      </c>
      <c r="AT97" s="1526">
        <v>0</v>
      </c>
      <c r="AU97" s="1526">
        <v>0</v>
      </c>
      <c r="AV97" s="21">
        <v>0</v>
      </c>
      <c r="AW97" s="1266">
        <f>SUM(AS97:AV97)</f>
        <v>0</v>
      </c>
      <c r="AX97" s="1267"/>
      <c r="AY97" s="1479">
        <v>0</v>
      </c>
      <c r="AZ97" s="1526">
        <v>0</v>
      </c>
      <c r="BA97" s="1526">
        <v>0</v>
      </c>
      <c r="BB97" s="1526">
        <v>0</v>
      </c>
      <c r="BC97" s="1266">
        <f>SUM(AY97:BB97)</f>
        <v>0</v>
      </c>
      <c r="BD97" s="1267"/>
      <c r="BE97" s="2762">
        <v>0</v>
      </c>
      <c r="BF97" s="2763">
        <v>0</v>
      </c>
      <c r="BG97" s="2763">
        <v>0</v>
      </c>
      <c r="BH97" s="2763">
        <v>0</v>
      </c>
      <c r="BI97" s="1266">
        <f>SUM(BE97:BH97)</f>
        <v>0</v>
      </c>
      <c r="BJ97" s="1267"/>
      <c r="BK97" s="2762">
        <v>0</v>
      </c>
      <c r="BL97" s="2763">
        <v>0</v>
      </c>
      <c r="BM97" s="2763">
        <v>0</v>
      </c>
      <c r="BN97" s="2763">
        <v>0</v>
      </c>
      <c r="BO97" s="1266">
        <f>SUM(BK97:BN97)</f>
        <v>0</v>
      </c>
      <c r="BP97" s="1267"/>
      <c r="BQ97" s="109">
        <v>0</v>
      </c>
      <c r="BR97" s="21">
        <v>0</v>
      </c>
      <c r="BS97" s="21">
        <v>0</v>
      </c>
      <c r="BT97" s="21">
        <v>0</v>
      </c>
      <c r="BU97" s="1266">
        <f>SUM(BQ97:BT97)</f>
        <v>0</v>
      </c>
      <c r="BV97" s="1267"/>
      <c r="BW97" s="109">
        <v>0</v>
      </c>
      <c r="BX97" s="21">
        <v>0</v>
      </c>
      <c r="BY97" s="21">
        <v>0</v>
      </c>
      <c r="BZ97" s="21">
        <v>0</v>
      </c>
      <c r="CA97" s="1266">
        <f>SUM(BW97:BZ97)</f>
        <v>0</v>
      </c>
      <c r="CB97" s="1267"/>
      <c r="CC97" s="109">
        <v>0</v>
      </c>
      <c r="CD97" s="21">
        <v>0</v>
      </c>
      <c r="CE97" s="21">
        <v>0</v>
      </c>
      <c r="CF97" s="21">
        <v>0</v>
      </c>
      <c r="CG97" s="1266">
        <f>SUM(CC97:CF97)</f>
        <v>0</v>
      </c>
      <c r="CH97" s="1267"/>
      <c r="CI97" s="109">
        <v>0</v>
      </c>
      <c r="CJ97" s="21">
        <v>0</v>
      </c>
      <c r="CK97" s="21">
        <v>0</v>
      </c>
      <c r="CL97" s="21">
        <v>0</v>
      </c>
      <c r="CM97" s="1266">
        <f>SUM(CI97:CL97)</f>
        <v>0</v>
      </c>
      <c r="CN97" s="1267"/>
      <c r="CO97" s="109">
        <v>0</v>
      </c>
      <c r="CP97" s="21">
        <v>0</v>
      </c>
      <c r="CQ97" s="21">
        <v>0</v>
      </c>
      <c r="CR97" s="21">
        <v>0</v>
      </c>
      <c r="CS97" s="1266">
        <f>SUM(CO97:CR97)</f>
        <v>0</v>
      </c>
      <c r="CT97" s="1267"/>
      <c r="CU97" s="69"/>
      <c r="CV97" s="69"/>
      <c r="CW97" s="69"/>
    </row>
    <row r="98" spans="1:101" outlineLevel="1">
      <c r="A98" s="262" t="s">
        <v>347</v>
      </c>
      <c r="B98" s="262"/>
      <c r="C98" s="750">
        <f>SUM(C93+C94+C97+C96)</f>
        <v>49.018999999999998</v>
      </c>
      <c r="D98" s="205">
        <f>SUM(D93+D94+D97+D96)</f>
        <v>55.704999999999998</v>
      </c>
      <c r="E98" s="205">
        <f>SUM(E93+E94+E97+E96)</f>
        <v>61.036999999999999</v>
      </c>
      <c r="F98" s="21">
        <v>77.378</v>
      </c>
      <c r="G98" s="191">
        <f>SUM(G93+G94+G97+G96)</f>
        <v>77.378000000000014</v>
      </c>
      <c r="H98" s="20"/>
      <c r="I98" s="750">
        <f>SUM(I93+I94+I97+I96)</f>
        <v>84.341000000000008</v>
      </c>
      <c r="J98" s="205">
        <f>SUM(J93+J94+J97+J96)</f>
        <v>107.20100000000001</v>
      </c>
      <c r="K98" s="205">
        <f>SUM(K93+K94+K97+K96)</f>
        <v>122.51700000000001</v>
      </c>
      <c r="L98" s="21">
        <v>141.61099999999999</v>
      </c>
      <c r="M98" s="191">
        <f>SUM(M93+M94+M97+M96)</f>
        <v>141.61099999999999</v>
      </c>
      <c r="N98" s="20"/>
      <c r="O98" s="750">
        <f>SUM(O93+O94+O97+O96)</f>
        <v>154.17999999999998</v>
      </c>
      <c r="P98" s="205">
        <f>SUM(P93+P94+P97+P96)</f>
        <v>168.20199999999997</v>
      </c>
      <c r="Q98" s="205">
        <f>SUM(Q93+Q94+Q97+Q96)</f>
        <v>187.89899999999997</v>
      </c>
      <c r="R98" s="21">
        <v>191.34200000000001</v>
      </c>
      <c r="S98" s="191">
        <f>SUM(S93+S94+S97+S96)</f>
        <v>191.34200000000001</v>
      </c>
      <c r="T98" s="20"/>
      <c r="U98" s="750">
        <f>SUM(U93+U94+U97+U96)</f>
        <v>202.52200000000002</v>
      </c>
      <c r="V98" s="205">
        <f>SUM(V93+V94+V97+V96)</f>
        <v>215.66400000000002</v>
      </c>
      <c r="W98" s="205">
        <f>SUM(W93+W94+W97+W96)</f>
        <v>228.77600000000001</v>
      </c>
      <c r="X98" s="21">
        <v>231.37799999999999</v>
      </c>
      <c r="Y98" s="191">
        <f>SUM(Y93+Y94+Y97+Y96)</f>
        <v>231.37799999999999</v>
      </c>
      <c r="Z98" s="20"/>
      <c r="AA98" s="750">
        <f>SUM(AA93+AA94+AA97+AA96)</f>
        <v>243.678</v>
      </c>
      <c r="AB98" s="205">
        <f>SUM(AB93+AB94+AB97+AB96)</f>
        <v>259.88099999999997</v>
      </c>
      <c r="AC98" s="205">
        <f>SUM(AC93+AC94+AC97+AC96)</f>
        <v>282.06399999999996</v>
      </c>
      <c r="AD98" s="21">
        <v>280.16500000000002</v>
      </c>
      <c r="AE98" s="191">
        <f>SUM(AE93+AE94+AE97+AE96)</f>
        <v>280.16500000000008</v>
      </c>
      <c r="AF98" s="19"/>
      <c r="AG98" s="750">
        <f>SUM(AG93+AG94+AG97+AG96)</f>
        <v>293.24900000000008</v>
      </c>
      <c r="AH98" s="205">
        <f>SUM(AH93+AH94+AH97+AH96)</f>
        <v>314.19500000000011</v>
      </c>
      <c r="AI98" s="205">
        <f>SUM(AI93+AI94+AI97+AI96)</f>
        <v>331.84500000000008</v>
      </c>
      <c r="AJ98" s="21">
        <v>319.57100000000003</v>
      </c>
      <c r="AK98" s="22">
        <f>SUM(AK93+AK94+AK97+AK96)</f>
        <v>319.57100000000003</v>
      </c>
      <c r="AL98" s="20"/>
      <c r="AM98" s="750">
        <f>SUM(AM93+AM94+AM97+AM96)</f>
        <v>341.012</v>
      </c>
      <c r="AN98" s="205">
        <f>SUM(AN93+AN94+AN97+AN96)</f>
        <v>352.54599999999999</v>
      </c>
      <c r="AO98" s="205">
        <f>SUM(AO93+AO94+AO97+AO96)</f>
        <v>371.476</v>
      </c>
      <c r="AP98" s="205">
        <f>SUM(AP93+AP94+AP97+AP96)</f>
        <v>398.786</v>
      </c>
      <c r="AQ98" s="22">
        <f>SUM(AQ93+AQ94+AQ97+AQ96)</f>
        <v>398.78600000000006</v>
      </c>
      <c r="AR98" s="19"/>
      <c r="AS98" s="89">
        <f>SUM(AS93+AS94+AS97+AS96)</f>
        <v>417.79800000000006</v>
      </c>
      <c r="AT98" s="9">
        <f>SUM(AT93+AT94+AT97+AT96)</f>
        <v>441.12200000000007</v>
      </c>
      <c r="AU98" s="9">
        <f>SUM(AU93+AU94+AU97+AU96)</f>
        <v>469.95000000000005</v>
      </c>
      <c r="AV98" s="205">
        <f>SUM(AV93+AV94+AV97+AV96)</f>
        <v>504.78200000000004</v>
      </c>
      <c r="AW98" s="22">
        <f>SUM(AW93+AW94+AW97+AW96)</f>
        <v>504.78200000000004</v>
      </c>
      <c r="AX98" s="19"/>
      <c r="AY98" s="89">
        <f>SUM(AY93+AY94+AY97+AY96)</f>
        <v>541.33300000000008</v>
      </c>
      <c r="AZ98" s="9">
        <f>SUM(AZ93+AZ94+AZ97+AZ96)</f>
        <v>582.68400000000008</v>
      </c>
      <c r="BA98" s="9">
        <f>SUM(BA93+BA94+BA97+BA96)</f>
        <v>612.14300000000003</v>
      </c>
      <c r="BB98" s="9">
        <f>SUM(BB93+BB94+BB97+BB96)</f>
        <v>647.62900000000002</v>
      </c>
      <c r="BC98" s="22">
        <f>SUM(BC93+BC94+BC97+BC96)</f>
        <v>647.62900000000002</v>
      </c>
      <c r="BD98" s="19"/>
      <c r="BE98" s="89">
        <f>SUM(BE93+BE94+BE97+BE96)</f>
        <v>701.04700000000003</v>
      </c>
      <c r="BF98" s="9">
        <f>SUM(BF93+BF94+BF97+BF96)</f>
        <v>768.86</v>
      </c>
      <c r="BG98" s="9">
        <f>SUM(BG93+BG94+BG97+BG96)</f>
        <v>825.98199999999997</v>
      </c>
      <c r="BH98" s="9">
        <f>SUM(BH93+BH94+BH97+BH96)</f>
        <v>907.52</v>
      </c>
      <c r="BI98" s="22">
        <f>SUM(BI93+BI94+BI97+BI96)</f>
        <v>907.52</v>
      </c>
      <c r="BJ98" s="19"/>
      <c r="BK98" s="89">
        <f>SUM(BK93+BK94+BK97+BK96)</f>
        <v>990.52</v>
      </c>
      <c r="BL98" s="9">
        <f>SUM(BL93+BL94+BL97+BL96)</f>
        <v>1059.52</v>
      </c>
      <c r="BM98" s="9">
        <f>SUM(BM93+BM94+BM97+BM96)</f>
        <v>1141.52</v>
      </c>
      <c r="BN98" s="9">
        <f>SUM(BN93+BN94+BN97+BN96)</f>
        <v>1217.52</v>
      </c>
      <c r="BO98" s="22">
        <f>SUM(BO93+BO94+BO97+BO96)</f>
        <v>1217.52</v>
      </c>
      <c r="BP98" s="19"/>
      <c r="BQ98" s="750">
        <f>SUM(BQ93+BQ94+BQ97+BQ96)</f>
        <v>1303.54</v>
      </c>
      <c r="BR98" s="205">
        <f>SUM(BR93+BR94+BR97+BR96)</f>
        <v>1390.4875386769072</v>
      </c>
      <c r="BS98" s="205">
        <f>SUM(BS93+BS94+BS97+BS96)</f>
        <v>1479.1119700097829</v>
      </c>
      <c r="BT98" s="205">
        <f>SUM(BT93+BT94+BT97+BT96)</f>
        <v>1571.5469639986275</v>
      </c>
      <c r="BU98" s="22">
        <f>SUM(BU93+BU94+BU97+BU96)</f>
        <v>1571.5469639986275</v>
      </c>
      <c r="BV98" s="19"/>
      <c r="BW98" s="750">
        <f>SUM(BW93+BW94+BW97+BW96)</f>
        <v>1667.5399071438894</v>
      </c>
      <c r="BX98" s="205">
        <f>SUM(BX93+BX94+BX97+BX96)</f>
        <v>1763.2645175609537</v>
      </c>
      <c r="BY98" s="205">
        <f>SUM(BY93+BY94+BY97+BY96)</f>
        <v>1860.2920809421278</v>
      </c>
      <c r="BZ98" s="205">
        <f>SUM(BZ93+BZ94+BZ97+BZ96)</f>
        <v>1961.2531584412579</v>
      </c>
      <c r="CA98" s="22">
        <f>SUM(CA93+CA94+CA97+CA96)</f>
        <v>1961.2531584412579</v>
      </c>
      <c r="CB98" s="19"/>
      <c r="CC98" s="750">
        <f>SUM(CC93+CC94+CC97+CC96)</f>
        <v>2066.9944326530185</v>
      </c>
      <c r="CD98" s="205">
        <f>SUM(CD93+CD94+CD97+CD96)</f>
        <v>2172.5342498224986</v>
      </c>
      <c r="CE98" s="205">
        <f>SUM(CE93+CE94+CE97+CE96)</f>
        <v>2279.4814441263843</v>
      </c>
      <c r="CF98" s="205">
        <f>SUM(CF93+CF94+CF97+CF96)</f>
        <v>2390.9178734386401</v>
      </c>
      <c r="CG98" s="22">
        <f>SUM(CG93+CG94+CG97+CG96)</f>
        <v>2390.9178734386405</v>
      </c>
      <c r="CH98" s="19"/>
      <c r="CI98" s="750">
        <f>SUM(CI93+CI94+CI97+CI96)</f>
        <v>2507.6910944385218</v>
      </c>
      <c r="CJ98" s="205">
        <f>SUM(CJ93+CJ94+CJ97+CJ96)</f>
        <v>2624.2209751630153</v>
      </c>
      <c r="CK98" s="205">
        <f>SUM(CK93+CK94+CK97+CK96)</f>
        <v>2742.2386030656348</v>
      </c>
      <c r="CL98" s="205">
        <f>SUM(CL93+CL94+CL97+CL96)</f>
        <v>2865.5125078669771</v>
      </c>
      <c r="CM98" s="22">
        <f>SUM(CM93+CM94+CM97+CM96)</f>
        <v>2865.5125078669771</v>
      </c>
      <c r="CN98" s="19"/>
      <c r="CO98" s="750">
        <f>SUM(CO93+CO94+CO97+CO96)</f>
        <v>2993.9178931914521</v>
      </c>
      <c r="CP98" s="205">
        <f>SUM(CP93+CP94+CP97+CP96)</f>
        <v>3122.6174052719007</v>
      </c>
      <c r="CQ98" s="205">
        <f>SUM(CQ93+CQ94+CQ97+CQ96)</f>
        <v>3253.4339533971479</v>
      </c>
      <c r="CR98" s="205">
        <f>SUM(CR93+CR94+CR97+CR96)</f>
        <v>3390.2367364574375</v>
      </c>
      <c r="CS98" s="22">
        <f>SUM(CS93+CS94+CS97+CS96)</f>
        <v>3390.2367364574375</v>
      </c>
      <c r="CT98" s="20"/>
      <c r="CU98" s="69"/>
      <c r="CV98" s="69"/>
      <c r="CW98" s="69"/>
    </row>
    <row r="99" spans="1:101" outlineLevel="1">
      <c r="A99" s="55"/>
      <c r="B99" s="55"/>
      <c r="C99" s="1018"/>
      <c r="D99" s="951"/>
      <c r="E99" s="951"/>
      <c r="F99" s="951"/>
      <c r="G99" s="1014"/>
      <c r="H99" s="1013"/>
      <c r="I99" s="1018"/>
      <c r="J99" s="951"/>
      <c r="K99" s="951"/>
      <c r="L99" s="951"/>
      <c r="M99" s="1014"/>
      <c r="N99" s="1013"/>
      <c r="O99" s="1018"/>
      <c r="P99" s="951"/>
      <c r="Q99" s="951"/>
      <c r="R99" s="951"/>
      <c r="S99" s="1014"/>
      <c r="T99" s="1013"/>
      <c r="U99" s="1018"/>
      <c r="V99" s="951"/>
      <c r="W99" s="951"/>
      <c r="X99" s="951"/>
      <c r="Y99" s="1014"/>
      <c r="Z99" s="1013"/>
      <c r="AA99" s="1018"/>
      <c r="AB99" s="951"/>
      <c r="AC99" s="951"/>
      <c r="AD99" s="951"/>
      <c r="AE99" s="1014"/>
      <c r="AF99" s="1013"/>
      <c r="AG99" s="1018"/>
      <c r="AH99" s="951"/>
      <c r="AI99" s="951"/>
      <c r="AJ99" s="951"/>
      <c r="AK99" s="1014"/>
      <c r="AL99" s="1013"/>
      <c r="AM99" s="1018"/>
      <c r="AN99" s="951"/>
      <c r="AO99" s="951"/>
      <c r="AP99" s="951"/>
      <c r="AQ99" s="1014"/>
      <c r="AR99" s="1012"/>
      <c r="AS99" s="1480"/>
      <c r="AT99" s="1527"/>
      <c r="AU99" s="1527"/>
      <c r="AV99" s="951"/>
      <c r="AW99" s="1014"/>
      <c r="AX99" s="1012"/>
      <c r="AY99" s="1480"/>
      <c r="AZ99" s="1527"/>
      <c r="BA99" s="1527"/>
      <c r="BB99" s="1527"/>
      <c r="BC99" s="1014"/>
      <c r="BD99" s="1012"/>
      <c r="BE99" s="1480"/>
      <c r="BF99" s="1527"/>
      <c r="BG99" s="1527"/>
      <c r="BH99" s="1527"/>
      <c r="BI99" s="1014"/>
      <c r="BJ99" s="1012"/>
      <c r="BK99" s="1480"/>
      <c r="BL99" s="1527"/>
      <c r="BM99" s="1527"/>
      <c r="BN99" s="1527"/>
      <c r="BO99" s="1014"/>
      <c r="BP99" s="1012"/>
      <c r="BQ99" s="1018"/>
      <c r="BR99" s="951"/>
      <c r="BS99" s="951"/>
      <c r="BT99" s="951"/>
      <c r="BU99" s="1014"/>
      <c r="BV99" s="1012"/>
      <c r="BW99" s="1018"/>
      <c r="BX99" s="951"/>
      <c r="BY99" s="951"/>
      <c r="BZ99" s="951"/>
      <c r="CA99" s="1014"/>
      <c r="CB99" s="1012"/>
      <c r="CC99" s="1018"/>
      <c r="CD99" s="951"/>
      <c r="CE99" s="951"/>
      <c r="CF99" s="951"/>
      <c r="CG99" s="1014"/>
      <c r="CH99" s="1012"/>
      <c r="CI99" s="1018"/>
      <c r="CJ99" s="951"/>
      <c r="CK99" s="951"/>
      <c r="CL99" s="951"/>
      <c r="CM99" s="1014"/>
      <c r="CN99" s="1012"/>
      <c r="CO99" s="1018"/>
      <c r="CP99" s="951"/>
      <c r="CQ99" s="951"/>
      <c r="CR99" s="951"/>
      <c r="CS99" s="1014"/>
      <c r="CT99" s="1013"/>
      <c r="CU99" s="63"/>
      <c r="CV99" s="63"/>
      <c r="CW99" s="63"/>
    </row>
    <row r="100" spans="1:101" outlineLevel="1">
      <c r="A100" s="262" t="s">
        <v>348</v>
      </c>
      <c r="B100" s="262"/>
      <c r="C100" s="776">
        <v>-20.146000000000001</v>
      </c>
      <c r="D100" s="205">
        <f>C104</f>
        <v>-16.211999999999996</v>
      </c>
      <c r="E100" s="205">
        <f>D104</f>
        <v>-19.021999999999998</v>
      </c>
      <c r="F100" s="205">
        <f>E104</f>
        <v>-21.707000000000001</v>
      </c>
      <c r="G100" s="1266">
        <f>C100</f>
        <v>-20.146000000000001</v>
      </c>
      <c r="H100" s="1267"/>
      <c r="I100" s="750">
        <f>G104</f>
        <v>-31.103999999999999</v>
      </c>
      <c r="J100" s="205">
        <f>I104</f>
        <v>-29.306000000000012</v>
      </c>
      <c r="K100" s="205">
        <f>J104</f>
        <v>-35.076000000000008</v>
      </c>
      <c r="L100" s="205">
        <f>K104</f>
        <v>-40.319000000000017</v>
      </c>
      <c r="M100" s="1266">
        <f>G104</f>
        <v>-31.103999999999999</v>
      </c>
      <c r="N100" s="1267"/>
      <c r="O100" s="750">
        <f>M104</f>
        <v>-52.17499999999999</v>
      </c>
      <c r="P100" s="205">
        <f>O104</f>
        <v>-57.627999999999972</v>
      </c>
      <c r="Q100" s="205">
        <f>P104</f>
        <v>-64.294999999999973</v>
      </c>
      <c r="R100" s="205">
        <f>Q104</f>
        <v>-71.197999999999979</v>
      </c>
      <c r="S100" s="1266">
        <f>M104</f>
        <v>-52.17499999999999</v>
      </c>
      <c r="T100" s="1267"/>
      <c r="U100" s="750">
        <f>S104</f>
        <v>-74.153999999999996</v>
      </c>
      <c r="V100" s="205">
        <f>U104</f>
        <v>-84.508000000000024</v>
      </c>
      <c r="W100" s="205">
        <f>V104</f>
        <v>-93.26600000000002</v>
      </c>
      <c r="X100" s="205">
        <f>W104</f>
        <v>-102.50700000000001</v>
      </c>
      <c r="Y100" s="1266">
        <f>S104</f>
        <v>-74.153999999999996</v>
      </c>
      <c r="Z100" s="1267"/>
      <c r="AA100" s="750">
        <f>Y104</f>
        <v>-101.50400000000002</v>
      </c>
      <c r="AB100" s="205">
        <f>AA104</f>
        <v>-118.49299999999999</v>
      </c>
      <c r="AC100" s="205">
        <f>AB104</f>
        <v>-130.11899999999997</v>
      </c>
      <c r="AD100" s="205">
        <f>AC104</f>
        <v>-146.67099999999996</v>
      </c>
      <c r="AE100" s="1266">
        <f>Y104</f>
        <v>-101.50400000000002</v>
      </c>
      <c r="AF100" s="1267"/>
      <c r="AG100" s="750">
        <f>AE104</f>
        <v>-136.68199999999996</v>
      </c>
      <c r="AH100" s="205">
        <f>AG104</f>
        <v>-149.75500000000008</v>
      </c>
      <c r="AI100" s="205">
        <f>AH104</f>
        <v>-166.27800000000011</v>
      </c>
      <c r="AJ100" s="205">
        <f>AI104</f>
        <v>-176.97600000000008</v>
      </c>
      <c r="AK100" s="1266">
        <f>AE104</f>
        <v>-136.68199999999996</v>
      </c>
      <c r="AL100" s="1267"/>
      <c r="AM100" s="750">
        <f>AK104</f>
        <v>-153.404</v>
      </c>
      <c r="AN100" s="205">
        <f>AM104</f>
        <v>-154.22</v>
      </c>
      <c r="AO100" s="205">
        <f>AN104</f>
        <v>-165.184</v>
      </c>
      <c r="AP100" s="205">
        <f>AO104</f>
        <v>-177.827</v>
      </c>
      <c r="AQ100" s="1266">
        <f>AK104</f>
        <v>-153.404</v>
      </c>
      <c r="AR100" s="1272"/>
      <c r="AS100" s="89">
        <f>AQ104</f>
        <v>-196.12</v>
      </c>
      <c r="AT100" s="9">
        <f>AS104</f>
        <v>-207.42600000000004</v>
      </c>
      <c r="AU100" s="9">
        <f>AT104</f>
        <v>-211.00900000000007</v>
      </c>
      <c r="AV100" s="205">
        <f>AU104</f>
        <v>-222.30700000000004</v>
      </c>
      <c r="AW100" s="1266">
        <f>AQ104</f>
        <v>-196.12</v>
      </c>
      <c r="AX100" s="1272"/>
      <c r="AY100" s="89">
        <f>AW104</f>
        <v>-239.518</v>
      </c>
      <c r="AZ100" s="9">
        <f>AY104</f>
        <v>-260.7050000000001</v>
      </c>
      <c r="BA100" s="9">
        <f>AZ104</f>
        <v>-279.84400000000011</v>
      </c>
      <c r="BB100" s="9">
        <f>BA104</f>
        <v>-303.42100000000005</v>
      </c>
      <c r="BC100" s="1266">
        <f>AW104</f>
        <v>-239.518</v>
      </c>
      <c r="BD100" s="1272"/>
      <c r="BE100" s="89">
        <f>BC104</f>
        <v>-304.935</v>
      </c>
      <c r="BF100" s="9">
        <f>BE104</f>
        <v>-315.79400000000004</v>
      </c>
      <c r="BG100" s="9">
        <f>BF104</f>
        <v>-257.50600000000003</v>
      </c>
      <c r="BH100" s="9">
        <f>BG104</f>
        <v>-192.12599999999998</v>
      </c>
      <c r="BI100" s="1266">
        <f>BC104</f>
        <v>-304.935</v>
      </c>
      <c r="BJ100" s="1272"/>
      <c r="BK100" s="89">
        <f>BI104</f>
        <v>-194.18600000000004</v>
      </c>
      <c r="BL100" s="9">
        <f>BK104</f>
        <v>-256.52</v>
      </c>
      <c r="BM100" s="9">
        <f>BL104</f>
        <v>-222.51999999999998</v>
      </c>
      <c r="BN100" s="9">
        <f>BM104</f>
        <v>-279.52</v>
      </c>
      <c r="BO100" s="1266">
        <f>BI104</f>
        <v>-194.18600000000004</v>
      </c>
      <c r="BP100" s="1272"/>
      <c r="BQ100" s="750">
        <f>BO104</f>
        <v>-286.52</v>
      </c>
      <c r="BR100" s="205">
        <f>BQ104</f>
        <v>-316.95799999999997</v>
      </c>
      <c r="BS100" s="205">
        <f>BR104</f>
        <v>-349.54649999999998</v>
      </c>
      <c r="BT100" s="205">
        <f>BS104</f>
        <v>-384.30868846692266</v>
      </c>
      <c r="BU100" s="1266">
        <f>BO104</f>
        <v>-286.52</v>
      </c>
      <c r="BV100" s="1272"/>
      <c r="BW100" s="750">
        <f>BU104</f>
        <v>-421.28648771716723</v>
      </c>
      <c r="BX100" s="205">
        <f>BW104</f>
        <v>-460.57516181713294</v>
      </c>
      <c r="BY100" s="205">
        <f>BX104</f>
        <v>-502.26365949573017</v>
      </c>
      <c r="BZ100" s="205">
        <f>BY104</f>
        <v>-546.34527243475395</v>
      </c>
      <c r="CA100" s="1266">
        <f>BU104</f>
        <v>-421.28648771716723</v>
      </c>
      <c r="CB100" s="1272"/>
      <c r="CC100" s="750">
        <f>CA104</f>
        <v>-592.85257445830723</v>
      </c>
      <c r="CD100" s="205">
        <f>CC104</f>
        <v>-641.88390341933871</v>
      </c>
      <c r="CE100" s="205">
        <f>CD104</f>
        <v>-693.55876423566417</v>
      </c>
      <c r="CF100" s="205">
        <f>CE104</f>
        <v>-747.8721204812266</v>
      </c>
      <c r="CG100" s="1266">
        <f>CA104</f>
        <v>-592.85257445830723</v>
      </c>
      <c r="CH100" s="1272"/>
      <c r="CI100" s="750">
        <f>CG104</f>
        <v>-804.85915658438626</v>
      </c>
      <c r="CJ100" s="205">
        <f>CI104</f>
        <v>-864.63210342035222</v>
      </c>
      <c r="CK100" s="205">
        <f>CJ104</f>
        <v>-927.32438078131531</v>
      </c>
      <c r="CL100" s="205">
        <f>CK104</f>
        <v>-992.92990516039072</v>
      </c>
      <c r="CM100" s="1266">
        <f>CG104</f>
        <v>-804.85915658438626</v>
      </c>
      <c r="CN100" s="1272"/>
      <c r="CO100" s="750">
        <f>CM104</f>
        <v>-1061.4858702370316</v>
      </c>
      <c r="CP100" s="205">
        <f>CO104</f>
        <v>-1133.123682933706</v>
      </c>
      <c r="CQ100" s="205">
        <f>CP104</f>
        <v>-1207.9716302634924</v>
      </c>
      <c r="CR100" s="205">
        <f>CQ104</f>
        <v>-1286.03706539529</v>
      </c>
      <c r="CS100" s="1266">
        <f>CM104</f>
        <v>-1061.4858702370316</v>
      </c>
      <c r="CT100" s="1267"/>
      <c r="CU100" s="69"/>
      <c r="CV100" s="69"/>
      <c r="CW100" s="69"/>
    </row>
    <row r="101" spans="1:101" outlineLevel="1">
      <c r="A101" s="259" t="s">
        <v>349</v>
      </c>
      <c r="B101" s="259"/>
      <c r="C101" s="750">
        <f>-CFS!C11</f>
        <v>-2.5939999999999999</v>
      </c>
      <c r="D101" s="205">
        <f>-CFS!D11</f>
        <v>-2.8439999999999999</v>
      </c>
      <c r="E101" s="205">
        <f>-CFS!E11</f>
        <v>-2.7390000000000003</v>
      </c>
      <c r="F101" s="205">
        <f>-CFS!F11</f>
        <v>-3.2870000000000008</v>
      </c>
      <c r="G101" s="1266">
        <f>SUM(C101:F101)</f>
        <v>-11.464</v>
      </c>
      <c r="H101" s="1267"/>
      <c r="I101" s="750">
        <f>-CFS!I11</f>
        <v>-3.7770000000000001</v>
      </c>
      <c r="J101" s="205">
        <f>-CFS!J11</f>
        <v>-3.9530000000000003</v>
      </c>
      <c r="K101" s="205">
        <f>-CFS!K11</f>
        <v>-4.476</v>
      </c>
      <c r="L101" s="205">
        <f>-CFS!L11</f>
        <v>-5.0790000000000006</v>
      </c>
      <c r="M101" s="1266">
        <f>SUM(I101:L101)</f>
        <v>-17.285</v>
      </c>
      <c r="N101" s="1267"/>
      <c r="O101" s="750">
        <f>-CFS!O11</f>
        <v>-5.6040000000000001</v>
      </c>
      <c r="P101" s="205">
        <f>-CFS!P11</f>
        <v>-6.1079999999999997</v>
      </c>
      <c r="Q101" s="205">
        <f>-CFS!Q11</f>
        <v>-6.5469999999999997</v>
      </c>
      <c r="R101" s="205">
        <f>-CFS!R11</f>
        <v>-6.245000000000001</v>
      </c>
      <c r="S101" s="1266">
        <f>SUM(O101:R101)</f>
        <v>-24.504000000000001</v>
      </c>
      <c r="T101" s="1267"/>
      <c r="U101" s="750">
        <f>-CFS!U11</f>
        <v>-7.391</v>
      </c>
      <c r="V101" s="205">
        <f>-CFS!V11</f>
        <v>-8.4130000000000003</v>
      </c>
      <c r="W101" s="205">
        <f>-CFS!W11</f>
        <v>-8.8070000000000004</v>
      </c>
      <c r="X101" s="205">
        <f>-CFS!X11</f>
        <v>-9.593</v>
      </c>
      <c r="Y101" s="1266">
        <f>SUM(U101:X101)</f>
        <v>-34.204000000000001</v>
      </c>
      <c r="Z101" s="1267"/>
      <c r="AA101" s="750">
        <f>-CFS!AA11</f>
        <v>-12.829000000000001</v>
      </c>
      <c r="AB101" s="205">
        <f>-CFS!AB11</f>
        <v>-13.16</v>
      </c>
      <c r="AC101" s="205">
        <f>-CFS!AC11</f>
        <v>-14.313999999999997</v>
      </c>
      <c r="AD101" s="205">
        <f>-CFS!AD11</f>
        <v>-15.272000000000006</v>
      </c>
      <c r="AE101" s="1266">
        <f>SUM(AA101:AD101)</f>
        <v>-55.575000000000003</v>
      </c>
      <c r="AF101" s="1267"/>
      <c r="AG101" s="750">
        <f>-CFS!AG11</f>
        <v>-11.959</v>
      </c>
      <c r="AH101" s="205">
        <f>-CFS!AH11</f>
        <v>-11.518000000000001</v>
      </c>
      <c r="AI101" s="205">
        <f>-CFS!AI11</f>
        <v>-12.087</v>
      </c>
      <c r="AJ101" s="205">
        <f>-CFS!AJ11</f>
        <v>-12.685000000000002</v>
      </c>
      <c r="AK101" s="1266">
        <f>SUM(AG101:AJ101)</f>
        <v>-48.249000000000002</v>
      </c>
      <c r="AL101" s="1267"/>
      <c r="AM101" s="750">
        <f>-CFS!AM11</f>
        <v>-11.759</v>
      </c>
      <c r="AN101" s="205">
        <f>-CFS!AN11</f>
        <v>-11.959</v>
      </c>
      <c r="AO101" s="205">
        <f>-CFS!AO11</f>
        <v>-13.363000000000003</v>
      </c>
      <c r="AP101" s="205">
        <f>-CFS!AP11</f>
        <v>-13.728999999999999</v>
      </c>
      <c r="AQ101" s="1266">
        <f>SUM(AM101:AP101)</f>
        <v>-50.81</v>
      </c>
      <c r="AR101" s="1267"/>
      <c r="AS101" s="1585">
        <f>-CFS!AS11</f>
        <v>-14.593</v>
      </c>
      <c r="AT101" s="1586">
        <f>-CFS!AT11</f>
        <v>-15.391999999999999</v>
      </c>
      <c r="AU101" s="1586">
        <f>-CFS!AU11</f>
        <v>-14.798000000000002</v>
      </c>
      <c r="AV101" s="1586">
        <f>-CFS!AV11</f>
        <v>-17.122</v>
      </c>
      <c r="AW101" s="1266">
        <f>SUM(AS101:AV101)</f>
        <v>-61.905000000000001</v>
      </c>
      <c r="AX101" s="1267"/>
      <c r="AY101" s="1585">
        <f>-CFS!AY11</f>
        <v>-16.754000000000001</v>
      </c>
      <c r="AZ101" s="1586">
        <f>-CFS!AZ11</f>
        <v>-17.45</v>
      </c>
      <c r="BA101" s="1586">
        <f>-CFS!BA11</f>
        <v>-18.57</v>
      </c>
      <c r="BB101" s="1586">
        <f>-CFS!BB11</f>
        <v>-19.912999999999997</v>
      </c>
      <c r="BC101" s="1266">
        <f>SUM(AY101:BB101)</f>
        <v>-72.686999999999998</v>
      </c>
      <c r="BD101" s="1267"/>
      <c r="BE101" s="1585">
        <f>-CFS!BE11</f>
        <v>-20.673999999999999</v>
      </c>
      <c r="BF101" s="1586">
        <f>-CFS!BF11</f>
        <v>-21.755000000000003</v>
      </c>
      <c r="BG101" s="1586">
        <f>-CFS!BG11</f>
        <v>-23.004000000000005</v>
      </c>
      <c r="BH101" s="1586">
        <f>-CFS!BH11</f>
        <v>-24.521999999999991</v>
      </c>
      <c r="BI101" s="1266">
        <f>SUM(BE101:BH101)</f>
        <v>-89.954999999999998</v>
      </c>
      <c r="BJ101" s="1267"/>
      <c r="BK101" s="1585">
        <f>-CFS!BK11</f>
        <v>-26</v>
      </c>
      <c r="BL101" s="1586">
        <f>-CFS!BL11</f>
        <v>-26</v>
      </c>
      <c r="BM101" s="1586">
        <f>-CFS!BM11</f>
        <v>-29</v>
      </c>
      <c r="BN101" s="1586">
        <f>-CFS!BN11</f>
        <v>-29</v>
      </c>
      <c r="BO101" s="1266">
        <f>SUM(BK101:BN101)</f>
        <v>-110</v>
      </c>
      <c r="BP101" s="1267"/>
      <c r="BQ101" s="750">
        <f>-BQ93*(BQ102/4)</f>
        <v>-30.438000000000002</v>
      </c>
      <c r="BR101" s="205">
        <f>-BR93*(BR102/4)</f>
        <v>-32.588500000000003</v>
      </c>
      <c r="BS101" s="205">
        <f>-BS93*(BS102/4)</f>
        <v>-34.76218846692268</v>
      </c>
      <c r="BT101" s="205">
        <f>-BT93*(BT102/4)</f>
        <v>-36.977799250244573</v>
      </c>
      <c r="BU101" s="1266">
        <f>SUM(BQ101:BT101)</f>
        <v>-134.76648771716725</v>
      </c>
      <c r="BV101" s="1267"/>
      <c r="BW101" s="750">
        <f>-BW93*(BW102/4)</f>
        <v>-39.288674099965689</v>
      </c>
      <c r="BX101" s="205">
        <f>-BX93*(BX102/4)</f>
        <v>-41.688497678597237</v>
      </c>
      <c r="BY101" s="205">
        <f>-BY93*(BY102/4)</f>
        <v>-44.081612939023842</v>
      </c>
      <c r="BZ101" s="205">
        <f>-BZ93*(BZ102/4)</f>
        <v>-46.507302023553194</v>
      </c>
      <c r="CA101" s="1266">
        <f>SUM(BW101:BZ101)</f>
        <v>-171.56608674113997</v>
      </c>
      <c r="CB101" s="1267"/>
      <c r="CC101" s="750">
        <f>-CC93*(CC102/4)</f>
        <v>-49.031328961031448</v>
      </c>
      <c r="CD101" s="205">
        <f>-CD93*(CD102/4)</f>
        <v>-51.674860816325463</v>
      </c>
      <c r="CE101" s="205">
        <f>-CE93*(CE102/4)</f>
        <v>-54.313356245562467</v>
      </c>
      <c r="CF101" s="205">
        <f>-CF93*(CF102/4)</f>
        <v>-56.98703610315961</v>
      </c>
      <c r="CG101" s="1266">
        <f>SUM(CC101:CF101)</f>
        <v>-212.00658212607897</v>
      </c>
      <c r="CH101" s="1267"/>
      <c r="CI101" s="750">
        <f>-CI93*(CI102/4)</f>
        <v>-59.772946835966017</v>
      </c>
      <c r="CJ101" s="205">
        <f>-CJ93*(CJ102/4)</f>
        <v>-62.692277360963047</v>
      </c>
      <c r="CK101" s="205">
        <f>-CK93*(CK102/4)</f>
        <v>-65.605524379075391</v>
      </c>
      <c r="CL101" s="205">
        <f>-CL93*(CL102/4)</f>
        <v>-68.555965076640874</v>
      </c>
      <c r="CM101" s="1266">
        <f>SUM(CI101:CL101)</f>
        <v>-256.62671365264532</v>
      </c>
      <c r="CN101" s="1267"/>
      <c r="CO101" s="750">
        <f>-CO93*(CO102/4)</f>
        <v>-71.63781269667443</v>
      </c>
      <c r="CP101" s="205">
        <f>-CP93*(CP102/4)</f>
        <v>-74.847947329786308</v>
      </c>
      <c r="CQ101" s="205">
        <f>-CQ93*(CQ102/4)</f>
        <v>-78.065435131797528</v>
      </c>
      <c r="CR101" s="205">
        <f>-CR93*(CR102/4)</f>
        <v>-81.335848834928697</v>
      </c>
      <c r="CS101" s="1266">
        <f>SUM(CO101:CR101)</f>
        <v>-305.88704399318698</v>
      </c>
      <c r="CT101" s="1267"/>
      <c r="CU101" s="69"/>
      <c r="CV101" s="69"/>
      <c r="CW101" s="69"/>
    </row>
    <row r="102" spans="1:101" outlineLevel="1">
      <c r="A102" s="264" t="s">
        <v>350</v>
      </c>
      <c r="B102" s="264"/>
      <c r="C102" s="361">
        <f>-((C101*4)/C93)</f>
        <v>0.22664919178680645</v>
      </c>
      <c r="D102" s="1268">
        <f>-((D101*4)/D93)</f>
        <v>0.23207327770864358</v>
      </c>
      <c r="E102" s="1268">
        <f>-((E101*4)/E93)</f>
        <v>0.19667893366843195</v>
      </c>
      <c r="F102" s="1268">
        <f>-((F101*4)/F93)</f>
        <v>0.21541032488490594</v>
      </c>
      <c r="G102" s="1269">
        <f>-(G101/G93)</f>
        <v>0.25041502839667978</v>
      </c>
      <c r="H102" s="1268"/>
      <c r="I102" s="361">
        <f>-((I101*4)/I93)</f>
        <v>0.19524929566543459</v>
      </c>
      <c r="J102" s="1268">
        <f>-((J101*4)/J93)</f>
        <v>0.18747702778008324</v>
      </c>
      <c r="K102" s="1268">
        <f>-((K101*4)/K93)</f>
        <v>0.16701336741261741</v>
      </c>
      <c r="L102" s="1268">
        <f>-((L101*4)/L93)</f>
        <v>0.16582188594235903</v>
      </c>
      <c r="M102" s="1269">
        <f>-(M101/M93)</f>
        <v>0.22338390757062726</v>
      </c>
      <c r="N102" s="1268"/>
      <c r="O102" s="361">
        <f>-((O101*4)/O93)</f>
        <v>0.15829278798963359</v>
      </c>
      <c r="P102" s="1268">
        <f>-((P101*4)/P93)</f>
        <v>0.15846413283175512</v>
      </c>
      <c r="Q102" s="1268">
        <f>-((Q101*4)/Q93)</f>
        <v>0.15569374918253054</v>
      </c>
      <c r="R102" s="1268">
        <f>-((R101*4)/R93)</f>
        <v>0.13294376234040634</v>
      </c>
      <c r="S102" s="1269">
        <f>-(S101/S93)</f>
        <v>0.17303740528631253</v>
      </c>
      <c r="T102" s="1268"/>
      <c r="U102" s="361">
        <f>-((U101*4)/U93)</f>
        <v>0.1545086807914624</v>
      </c>
      <c r="V102" s="1268">
        <f>-((V101*4)/V93)</f>
        <v>0.16616466359210355</v>
      </c>
      <c r="W102" s="1268">
        <f>-((W101*4)/W93)</f>
        <v>0.16334668743972106</v>
      </c>
      <c r="X102" s="1268">
        <f>-((X101*4)/X93)</f>
        <v>0.16772738399132775</v>
      </c>
      <c r="Y102" s="1269">
        <f>-(Y101/Y93)</f>
        <v>0.17875845344984373</v>
      </c>
      <c r="Z102" s="1268"/>
      <c r="AA102" s="361">
        <f>-((AA101*4)/AA93)</f>
        <v>0.22178426643846869</v>
      </c>
      <c r="AB102" s="1268">
        <f>-((AB101*4)/AB93)</f>
        <v>0.21602278416598955</v>
      </c>
      <c r="AC102" s="1268">
        <f>-((AC101*4)/AC93)</f>
        <v>0.22031622165529605</v>
      </c>
      <c r="AD102" s="1268">
        <f>-((AD101*4)/AD93)</f>
        <v>0.2165749617108175</v>
      </c>
      <c r="AE102" s="1269">
        <f>-(AE101/AE93)</f>
        <v>0.24019137515234812</v>
      </c>
      <c r="AF102" s="1268"/>
      <c r="AG102" s="361">
        <f>-((AG101*4)/AG93)</f>
        <v>0.170742241179305</v>
      </c>
      <c r="AH102" s="1268">
        <f>-((AH101*4)/AH93)</f>
        <v>0.15710880514511555</v>
      </c>
      <c r="AI102" s="1268">
        <f>-((AI101*4)/AI93)</f>
        <v>0.1538789605181495</v>
      </c>
      <c r="AJ102" s="1268">
        <f>-((AJ101*4)/AJ93)</f>
        <v>0.15290271060284169</v>
      </c>
      <c r="AK102" s="1269">
        <f>-(AK101/AK93)</f>
        <v>0.17221637249477983</v>
      </c>
      <c r="AL102" s="1268"/>
      <c r="AM102" s="361">
        <f>-((AM101*4)/AM93)</f>
        <v>0.14718481964884172</v>
      </c>
      <c r="AN102" s="1268">
        <f>-((AN101*4)/AN93)</f>
        <v>0.1402765885071493</v>
      </c>
      <c r="AO102" s="1268">
        <f>-((AO101*4)/AO93)</f>
        <v>0.15161709393951431</v>
      </c>
      <c r="AP102" s="1268">
        <f>-((AP101*4)/AP93)</f>
        <v>0.14783189223529919</v>
      </c>
      <c r="AQ102" s="1269">
        <f>-(AQ101/AQ93)</f>
        <v>0.15899440187000696</v>
      </c>
      <c r="AR102" s="1268"/>
      <c r="AS102" s="1419">
        <f>-((AS101*4)/AS93)</f>
        <v>0.14637424583611258</v>
      </c>
      <c r="AT102" s="153">
        <f>-((AT101*4)/AT93)</f>
        <v>0.14736307976581983</v>
      </c>
      <c r="AU102" s="153">
        <f>-((AU101*4)/AU93)</f>
        <v>0.1341851007204356</v>
      </c>
      <c r="AV102" s="1268">
        <f>-((AV101*4)/AV93)</f>
        <v>0.14573465262261942</v>
      </c>
      <c r="AW102" s="1269">
        <f>-(AW101/AW93)</f>
        <v>0.15523363407943105</v>
      </c>
      <c r="AX102" s="1268"/>
      <c r="AY102" s="1419">
        <f>-((AY101*4)/AY93)</f>
        <v>0.13276226172882552</v>
      </c>
      <c r="AZ102" s="153">
        <f>-((AZ101*4)/AZ93)</f>
        <v>0.12894096609665398</v>
      </c>
      <c r="BA102" s="153">
        <f>-((BA101*4)/BA93)</f>
        <v>0.12747904524579359</v>
      </c>
      <c r="BB102" s="153">
        <f>-((BB101*4)/BB93)</f>
        <v>0.13011992295917782</v>
      </c>
      <c r="BC102" s="1269">
        <f>-(BC101/BC93)</f>
        <v>0.14399681446644291</v>
      </c>
      <c r="BD102" s="1268"/>
      <c r="BE102" s="1419">
        <f>-((BE101*4)/BE93)</f>
        <v>0.12769039064032031</v>
      </c>
      <c r="BF102" s="153">
        <f>-((BF101*4)/BF93)</f>
        <v>0.12412862475697066</v>
      </c>
      <c r="BG102" s="153">
        <f>-((BG101*4)/BG93)</f>
        <v>0.11967848502978438</v>
      </c>
      <c r="BH102" s="153">
        <f>-((BH101*4)/BH93)</f>
        <v>0.11875319316885836</v>
      </c>
      <c r="BI102" s="1269">
        <f>-(BI101/BI93)</f>
        <v>0.13889896839085339</v>
      </c>
      <c r="BJ102" s="1268"/>
      <c r="BK102" s="1419">
        <f>-((BK101*4)/BK93)</f>
        <v>0.11459802538787024</v>
      </c>
      <c r="BL102" s="153">
        <f>-((BL101*4)/BL93)</f>
        <v>0.10499535597463959</v>
      </c>
      <c r="BM102" s="153">
        <f>-((BM101*4)/BM93)</f>
        <v>0.10948353971609785</v>
      </c>
      <c r="BN102" s="153">
        <f>-((BN101*4)/BN93)</f>
        <v>0.10161889410610414</v>
      </c>
      <c r="BO102" s="1269">
        <f>-(BO101/BO93)</f>
        <v>0.12120944992947814</v>
      </c>
      <c r="BP102" s="1268"/>
      <c r="BQ102" s="1271">
        <v>0.1</v>
      </c>
      <c r="BR102" s="1270">
        <f>+BQ102</f>
        <v>0.1</v>
      </c>
      <c r="BS102" s="1270">
        <f>+BR102</f>
        <v>0.1</v>
      </c>
      <c r="BT102" s="1270">
        <f>+BS102</f>
        <v>0.1</v>
      </c>
      <c r="BU102" s="1269">
        <f>-(BU101/BU93)</f>
        <v>0.11068934203722916</v>
      </c>
      <c r="BV102" s="1268"/>
      <c r="BW102" s="1271">
        <f>+BT102</f>
        <v>0.1</v>
      </c>
      <c r="BX102" s="1270">
        <f>+BW102</f>
        <v>0.1</v>
      </c>
      <c r="BY102" s="1270">
        <f>+BX102</f>
        <v>0.1</v>
      </c>
      <c r="BZ102" s="1270">
        <f>+BY102</f>
        <v>0.1</v>
      </c>
      <c r="CA102" s="1269">
        <f>-(CA101/CA93)</f>
        <v>0.1091701938735633</v>
      </c>
      <c r="CB102" s="1268"/>
      <c r="CC102" s="1271">
        <f t="shared" ref="CC102" si="144">+BZ102</f>
        <v>0.1</v>
      </c>
      <c r="CD102" s="1270">
        <f t="shared" ref="CD102:CF102" si="145">+CC102</f>
        <v>0.1</v>
      </c>
      <c r="CE102" s="1270">
        <f t="shared" si="145"/>
        <v>0.1</v>
      </c>
      <c r="CF102" s="1270">
        <f t="shared" si="145"/>
        <v>0.1</v>
      </c>
      <c r="CG102" s="1269">
        <f t="shared" ref="CG102" si="146">-(CG101/CG93)</f>
        <v>0.10809750960175642</v>
      </c>
      <c r="CH102" s="1268"/>
      <c r="CI102" s="1271">
        <f t="shared" ref="CI102" si="147">+CF102</f>
        <v>0.1</v>
      </c>
      <c r="CJ102" s="1270">
        <f t="shared" ref="CJ102" si="148">+CI102</f>
        <v>0.1</v>
      </c>
      <c r="CK102" s="1270">
        <f t="shared" ref="CK102" si="149">+CJ102</f>
        <v>0.1</v>
      </c>
      <c r="CL102" s="1270">
        <f t="shared" ref="CL102" si="150">+CK102</f>
        <v>0.1</v>
      </c>
      <c r="CM102" s="1269">
        <f t="shared" ref="CM102" si="151">-(CM101/CM93)</f>
        <v>0.10733397265693713</v>
      </c>
      <c r="CN102" s="1268"/>
      <c r="CO102" s="1271">
        <f t="shared" ref="CO102" si="152">+CL102</f>
        <v>0.1</v>
      </c>
      <c r="CP102" s="1270">
        <f t="shared" ref="CP102" si="153">+CO102</f>
        <v>0.1</v>
      </c>
      <c r="CQ102" s="1270">
        <f t="shared" ref="CQ102" si="154">+CP102</f>
        <v>0.1</v>
      </c>
      <c r="CR102" s="1270">
        <f t="shared" ref="CR102" si="155">+CQ102</f>
        <v>0.1</v>
      </c>
      <c r="CS102" s="1269">
        <f t="shared" ref="CS102" si="156">-(CS101/CS93)</f>
        <v>0.10674776088165897</v>
      </c>
      <c r="CT102" s="1268"/>
      <c r="CU102" s="63"/>
      <c r="CV102" s="63"/>
      <c r="CW102" s="63"/>
    </row>
    <row r="103" spans="1:101" outlineLevel="1">
      <c r="A103" s="259" t="s">
        <v>204</v>
      </c>
      <c r="B103" s="259"/>
      <c r="C103" s="1272">
        <f>C104-C100-C101</f>
        <v>6.528000000000004</v>
      </c>
      <c r="D103" s="1267">
        <f>D104-D100-D101</f>
        <v>3.3999999999997588E-2</v>
      </c>
      <c r="E103" s="1267">
        <f>E104-E100-E101</f>
        <v>5.399999999999805E-2</v>
      </c>
      <c r="F103" s="205">
        <f>+F104-F100-F101</f>
        <v>-6.1099999999999977</v>
      </c>
      <c r="G103" s="1266">
        <f>SUM(C103:F103)</f>
        <v>0.506000000000002</v>
      </c>
      <c r="H103" s="1267"/>
      <c r="I103" s="1272">
        <f>I104-I100-I101</f>
        <v>5.5749999999999877</v>
      </c>
      <c r="J103" s="1267">
        <f>J104-J100-J101</f>
        <v>-1.8169999999999957</v>
      </c>
      <c r="K103" s="1267">
        <f>K104-K100-K101</f>
        <v>-0.76700000000000923</v>
      </c>
      <c r="L103" s="205">
        <f>+L104-L100-L101</f>
        <v>-6.7769999999999797</v>
      </c>
      <c r="M103" s="1266">
        <f>SUM(I103:L103)</f>
        <v>-3.7859999999999969</v>
      </c>
      <c r="N103" s="1267"/>
      <c r="O103" s="1272">
        <f>O104-O100-O101</f>
        <v>0.15100000000001845</v>
      </c>
      <c r="P103" s="1267">
        <f>P104-P100-P101</f>
        <v>-0.55900000000000194</v>
      </c>
      <c r="Q103" s="1267">
        <f>Q104-Q100-Q101</f>
        <v>-0.35600000000000609</v>
      </c>
      <c r="R103" s="205">
        <f>+R104-R100-R101</f>
        <v>3.2889999999999837</v>
      </c>
      <c r="S103" s="1266">
        <f>SUM(O103:R103)</f>
        <v>2.5249999999999941</v>
      </c>
      <c r="T103" s="1267"/>
      <c r="U103" s="1272">
        <f>U104-U100-U101</f>
        <v>-2.9630000000000276</v>
      </c>
      <c r="V103" s="1267">
        <f>V104-V100-V101</f>
        <v>-0.34499999999999531</v>
      </c>
      <c r="W103" s="1267">
        <f>W104-W100-W101</f>
        <v>-0.43399999999998506</v>
      </c>
      <c r="X103" s="205">
        <f>+X104-X100-X101</f>
        <v>10.596</v>
      </c>
      <c r="Y103" s="1266">
        <f>SUM(U103:X103)</f>
        <v>6.8539999999999921</v>
      </c>
      <c r="Z103" s="1267"/>
      <c r="AA103" s="1272">
        <f>AA104-AA100-AA101</f>
        <v>-4.1599999999999753</v>
      </c>
      <c r="AB103" s="1267">
        <f>AB104-AB100-AB101</f>
        <v>1.5340000000000238</v>
      </c>
      <c r="AC103" s="1267">
        <f>AC104-AC100-AC101</f>
        <v>-2.237999999999996</v>
      </c>
      <c r="AD103" s="205">
        <f>+AD104-AD100-AD101</f>
        <v>25.260999999999981</v>
      </c>
      <c r="AE103" s="1266">
        <f>SUM(AA103:AD103)</f>
        <v>20.397000000000034</v>
      </c>
      <c r="AF103" s="1267"/>
      <c r="AG103" s="1272">
        <f>AG104-AG100-AG101</f>
        <v>-1.1140000000001216</v>
      </c>
      <c r="AH103" s="1267">
        <f>AH104-AH100-AH101</f>
        <v>-5.0050000000000239</v>
      </c>
      <c r="AI103" s="1267">
        <f>AI104-AI100-AI101</f>
        <v>1.3890000000000207</v>
      </c>
      <c r="AJ103" s="205">
        <f>+AJ104-AJ100-AJ101</f>
        <v>36.25700000000009</v>
      </c>
      <c r="AK103" s="1266">
        <f>SUM(AG103:AJ103)</f>
        <v>31.526999999999965</v>
      </c>
      <c r="AL103" s="1267"/>
      <c r="AM103" s="1272">
        <f>AM104-AM100-AM101</f>
        <v>10.942999999999998</v>
      </c>
      <c r="AN103" s="1267">
        <f>AN104-AN100-AN101</f>
        <v>0.99500000000000099</v>
      </c>
      <c r="AO103" s="1267">
        <f>AO104-AO100-AO101</f>
        <v>0.72000000000000242</v>
      </c>
      <c r="AP103" s="1267">
        <f>AP104-AP100-AP101</f>
        <v>-4.5640000000000072</v>
      </c>
      <c r="AQ103" s="1266">
        <f>SUM(AM103:AP103)</f>
        <v>8.0939999999999941</v>
      </c>
      <c r="AR103" s="1267"/>
      <c r="AS103" s="1272">
        <f>AS104-AS100-AS101</f>
        <v>3.28699999999996</v>
      </c>
      <c r="AT103" s="1267">
        <f>AT104-AT100-AT101</f>
        <v>11.808999999999973</v>
      </c>
      <c r="AU103" s="1267">
        <f>AU104-AU100-AU101</f>
        <v>3.5000000000000284</v>
      </c>
      <c r="AV103" s="1267">
        <f>AV104-AV100-AV101</f>
        <v>-8.8999999999984425E-2</v>
      </c>
      <c r="AW103" s="1266">
        <f>SUM(AS103:AV103)</f>
        <v>18.506999999999977</v>
      </c>
      <c r="AX103" s="1267"/>
      <c r="AY103" s="1272">
        <f>AY104-AY100-AY101</f>
        <v>-4.4330000000000958</v>
      </c>
      <c r="AZ103" s="1267">
        <f>AZ104-AZ100-AZ101</f>
        <v>-1.6890000000000107</v>
      </c>
      <c r="BA103" s="1267">
        <f>BA104-BA100-BA101</f>
        <v>-5.0069999999999411</v>
      </c>
      <c r="BB103" s="1267">
        <f>BB104-BB100-BB101</f>
        <v>18.399000000000044</v>
      </c>
      <c r="BC103" s="1266">
        <f>SUM(AY103:BB103)</f>
        <v>7.269999999999996</v>
      </c>
      <c r="BD103" s="1267"/>
      <c r="BE103" s="1272">
        <f>BE104-BE100-BE101</f>
        <v>9.8149999999999622</v>
      </c>
      <c r="BF103" s="1267">
        <f>BF104-BF100-BF101</f>
        <v>80.043000000000006</v>
      </c>
      <c r="BG103" s="1267">
        <f>BG104-BG100-BG101</f>
        <v>88.384000000000057</v>
      </c>
      <c r="BH103" s="1267">
        <f>BH104-BH100-BH101</f>
        <v>22.461999999999932</v>
      </c>
      <c r="BI103" s="1266">
        <f>SUM(BE103:BH103)</f>
        <v>200.70399999999995</v>
      </c>
      <c r="BJ103" s="1267"/>
      <c r="BK103" s="1272">
        <f>BK104-BK100-BK101</f>
        <v>-36.333999999999946</v>
      </c>
      <c r="BL103" s="1267">
        <f>BL104-BL100-BL101</f>
        <v>60</v>
      </c>
      <c r="BM103" s="1267">
        <f>BM104-BM100-BM101</f>
        <v>-28</v>
      </c>
      <c r="BN103" s="1267">
        <f>BN104-BN100-BN101</f>
        <v>22</v>
      </c>
      <c r="BO103" s="1266">
        <f>SUM(BK103:BN103)</f>
        <v>17.666000000000054</v>
      </c>
      <c r="BP103" s="1267"/>
      <c r="BQ103" s="109">
        <v>0</v>
      </c>
      <c r="BR103" s="21">
        <v>0</v>
      </c>
      <c r="BS103" s="21">
        <v>0</v>
      </c>
      <c r="BT103" s="21">
        <v>0</v>
      </c>
      <c r="BU103" s="1266">
        <f>SUM(BQ103:BT103)</f>
        <v>0</v>
      </c>
      <c r="BV103" s="1267"/>
      <c r="BW103" s="109">
        <v>0</v>
      </c>
      <c r="BX103" s="21">
        <v>0</v>
      </c>
      <c r="BY103" s="21">
        <v>0</v>
      </c>
      <c r="BZ103" s="21">
        <v>0</v>
      </c>
      <c r="CA103" s="1266">
        <f>SUM(BW103:BZ103)</f>
        <v>0</v>
      </c>
      <c r="CB103" s="1267"/>
      <c r="CC103" s="109">
        <v>0</v>
      </c>
      <c r="CD103" s="21">
        <v>0</v>
      </c>
      <c r="CE103" s="21">
        <v>0</v>
      </c>
      <c r="CF103" s="21">
        <v>0</v>
      </c>
      <c r="CG103" s="1266">
        <f>SUM(CC103:CF103)</f>
        <v>0</v>
      </c>
      <c r="CH103" s="1267"/>
      <c r="CI103" s="109">
        <v>0</v>
      </c>
      <c r="CJ103" s="21">
        <v>0</v>
      </c>
      <c r="CK103" s="21">
        <v>0</v>
      </c>
      <c r="CL103" s="21">
        <v>0</v>
      </c>
      <c r="CM103" s="1266">
        <f>SUM(CI103:CL103)</f>
        <v>0</v>
      </c>
      <c r="CN103" s="1267"/>
      <c r="CO103" s="109">
        <v>0</v>
      </c>
      <c r="CP103" s="21">
        <v>0</v>
      </c>
      <c r="CQ103" s="21">
        <v>0</v>
      </c>
      <c r="CR103" s="21">
        <v>0</v>
      </c>
      <c r="CS103" s="1266">
        <f>SUM(CO103:CR103)</f>
        <v>0</v>
      </c>
      <c r="CT103" s="1267"/>
      <c r="CU103" s="69"/>
      <c r="CV103" s="69"/>
      <c r="CW103" s="69"/>
    </row>
    <row r="104" spans="1:101" outlineLevel="1">
      <c r="A104" s="262" t="s">
        <v>351</v>
      </c>
      <c r="B104" s="262"/>
      <c r="C104" s="750">
        <f>C106-C98</f>
        <v>-16.211999999999996</v>
      </c>
      <c r="D104" s="205">
        <f>D106-D98</f>
        <v>-19.021999999999998</v>
      </c>
      <c r="E104" s="205">
        <f>E106-E98</f>
        <v>-21.707000000000001</v>
      </c>
      <c r="F104" s="746">
        <v>-31.103999999999999</v>
      </c>
      <c r="G104" s="22">
        <f>SUM(G100+G101+G103)</f>
        <v>-31.103999999999999</v>
      </c>
      <c r="H104" s="20"/>
      <c r="I104" s="750">
        <f>I106-I98</f>
        <v>-29.306000000000012</v>
      </c>
      <c r="J104" s="205">
        <f>J106-J98</f>
        <v>-35.076000000000008</v>
      </c>
      <c r="K104" s="205">
        <f>K106-K98</f>
        <v>-40.319000000000017</v>
      </c>
      <c r="L104" s="746">
        <v>-52.174999999999997</v>
      </c>
      <c r="M104" s="22">
        <f>SUM(M100+M101+M103)</f>
        <v>-52.17499999999999</v>
      </c>
      <c r="N104" s="20"/>
      <c r="O104" s="750">
        <f>O106-O98</f>
        <v>-57.627999999999972</v>
      </c>
      <c r="P104" s="205">
        <f>P106-P98</f>
        <v>-64.294999999999973</v>
      </c>
      <c r="Q104" s="205">
        <f>Q106-Q98</f>
        <v>-71.197999999999979</v>
      </c>
      <c r="R104" s="746">
        <v>-74.153999999999996</v>
      </c>
      <c r="S104" s="22">
        <f>SUM(S100+S101+S103)</f>
        <v>-74.153999999999996</v>
      </c>
      <c r="T104" s="20"/>
      <c r="U104" s="750">
        <f>U106-U98</f>
        <v>-84.508000000000024</v>
      </c>
      <c r="V104" s="205">
        <f>V106-V98</f>
        <v>-93.26600000000002</v>
      </c>
      <c r="W104" s="205">
        <f>W106-W98</f>
        <v>-102.50700000000001</v>
      </c>
      <c r="X104" s="746">
        <v>-101.504</v>
      </c>
      <c r="Y104" s="22">
        <f>SUM(Y100+Y101+Y103)</f>
        <v>-101.50400000000002</v>
      </c>
      <c r="Z104" s="20"/>
      <c r="AA104" s="750">
        <f>AA106-AA98</f>
        <v>-118.49299999999999</v>
      </c>
      <c r="AB104" s="205">
        <f>AB106-AB98</f>
        <v>-130.11899999999997</v>
      </c>
      <c r="AC104" s="205">
        <f>AC106-AC98</f>
        <v>-146.67099999999996</v>
      </c>
      <c r="AD104" s="746">
        <v>-136.68199999999999</v>
      </c>
      <c r="AE104" s="22">
        <f>SUM(AE100+AE101+AE103)</f>
        <v>-136.68199999999996</v>
      </c>
      <c r="AF104" s="20"/>
      <c r="AG104" s="750">
        <f>AG106-AG98</f>
        <v>-149.75500000000008</v>
      </c>
      <c r="AH104" s="205">
        <f>AH106-AH98</f>
        <v>-166.27800000000011</v>
      </c>
      <c r="AI104" s="205">
        <f>AI106-AI98</f>
        <v>-176.97600000000008</v>
      </c>
      <c r="AJ104" s="746">
        <v>-153.404</v>
      </c>
      <c r="AK104" s="22">
        <f>SUM(AK100+AK101+AK103)</f>
        <v>-153.404</v>
      </c>
      <c r="AL104" s="20"/>
      <c r="AM104" s="750">
        <f>AM106-AM98</f>
        <v>-154.22</v>
      </c>
      <c r="AN104" s="205">
        <f>AN106-AN98</f>
        <v>-165.184</v>
      </c>
      <c r="AO104" s="205">
        <f>AO106-AO98</f>
        <v>-177.827</v>
      </c>
      <c r="AP104" s="205">
        <f>AP106-AP98</f>
        <v>-196.12</v>
      </c>
      <c r="AQ104" s="22">
        <f>SUM(AQ100+AQ101+AQ103)</f>
        <v>-196.12</v>
      </c>
      <c r="AR104" s="20"/>
      <c r="AS104" s="89">
        <f>AS106-AS98</f>
        <v>-207.42600000000004</v>
      </c>
      <c r="AT104" s="9">
        <f>AT106-AT98</f>
        <v>-211.00900000000007</v>
      </c>
      <c r="AU104" s="9">
        <f>AU106-AU98</f>
        <v>-222.30700000000004</v>
      </c>
      <c r="AV104" s="205">
        <f>AV106-AV98</f>
        <v>-239.51800000000003</v>
      </c>
      <c r="AW104" s="22">
        <f>SUM(AW100+AW101+AW103)</f>
        <v>-239.518</v>
      </c>
      <c r="AX104" s="20"/>
      <c r="AY104" s="89">
        <f>AY106-AY98</f>
        <v>-260.7050000000001</v>
      </c>
      <c r="AZ104" s="9">
        <f>AZ106-AZ98</f>
        <v>-279.84400000000011</v>
      </c>
      <c r="BA104" s="9">
        <f>BA106-BA98</f>
        <v>-303.42100000000005</v>
      </c>
      <c r="BB104" s="9">
        <f>BB106-BB98</f>
        <v>-304.935</v>
      </c>
      <c r="BC104" s="22">
        <f>SUM(BC100+BC101+BC103)</f>
        <v>-304.935</v>
      </c>
      <c r="BD104" s="20"/>
      <c r="BE104" s="89">
        <f>BE106-BE98</f>
        <v>-315.79400000000004</v>
      </c>
      <c r="BF104" s="9">
        <f>BF106-BF98</f>
        <v>-257.50600000000003</v>
      </c>
      <c r="BG104" s="9">
        <f>BG106-BG98</f>
        <v>-192.12599999999998</v>
      </c>
      <c r="BH104" s="9">
        <f>BH106-BH98</f>
        <v>-194.18600000000004</v>
      </c>
      <c r="BI104" s="22">
        <f>SUM(BI100+BI101+BI103)</f>
        <v>-194.18600000000004</v>
      </c>
      <c r="BJ104" s="20"/>
      <c r="BK104" s="89">
        <f>BK106-BK98</f>
        <v>-256.52</v>
      </c>
      <c r="BL104" s="9">
        <f>BL106-BL98</f>
        <v>-222.51999999999998</v>
      </c>
      <c r="BM104" s="9">
        <f>BM106-BM98</f>
        <v>-279.52</v>
      </c>
      <c r="BN104" s="9">
        <f>BN106-BN98</f>
        <v>-286.52</v>
      </c>
      <c r="BO104" s="22">
        <f>SUM(BO100+BO101+BO103)</f>
        <v>-286.52</v>
      </c>
      <c r="BP104" s="20"/>
      <c r="BQ104" s="19">
        <f>SUM(BQ100+BQ101+BQ103)</f>
        <v>-316.95799999999997</v>
      </c>
      <c r="BR104" s="20">
        <f>SUM(BR100+BR101+BR103)</f>
        <v>-349.54649999999998</v>
      </c>
      <c r="BS104" s="20">
        <f>SUM(BS100+BS101+BS103)</f>
        <v>-384.30868846692266</v>
      </c>
      <c r="BT104" s="20">
        <f>SUM(BT100+BT101+BT103)</f>
        <v>-421.28648771716723</v>
      </c>
      <c r="BU104" s="22">
        <f>SUM(BU100+BU101+BU103)</f>
        <v>-421.28648771716723</v>
      </c>
      <c r="BV104" s="20"/>
      <c r="BW104" s="19">
        <f>SUM(BW100+BW101+BW103)</f>
        <v>-460.57516181713294</v>
      </c>
      <c r="BX104" s="20">
        <f>SUM(BX100+BX101+BX103)</f>
        <v>-502.26365949573017</v>
      </c>
      <c r="BY104" s="20">
        <f>SUM(BY100+BY101+BY103)</f>
        <v>-546.34527243475395</v>
      </c>
      <c r="BZ104" s="20">
        <f>SUM(BZ100+BZ101+BZ103)</f>
        <v>-592.85257445830712</v>
      </c>
      <c r="CA104" s="22">
        <f>SUM(CA100+CA101+CA103)</f>
        <v>-592.85257445830723</v>
      </c>
      <c r="CB104" s="20"/>
      <c r="CC104" s="19">
        <f>SUM(CC100+CC101+CC103)</f>
        <v>-641.88390341933871</v>
      </c>
      <c r="CD104" s="20">
        <f>SUM(CD100+CD101+CD103)</f>
        <v>-693.55876423566417</v>
      </c>
      <c r="CE104" s="20">
        <f>SUM(CE100+CE101+CE103)</f>
        <v>-747.8721204812266</v>
      </c>
      <c r="CF104" s="20">
        <f>SUM(CF100+CF101+CF103)</f>
        <v>-804.85915658438626</v>
      </c>
      <c r="CG104" s="22">
        <f>SUM(CG100+CG101+CG103)</f>
        <v>-804.85915658438626</v>
      </c>
      <c r="CH104" s="20"/>
      <c r="CI104" s="19">
        <f>SUM(CI100+CI101+CI103)</f>
        <v>-864.63210342035222</v>
      </c>
      <c r="CJ104" s="20">
        <f>SUM(CJ100+CJ101+CJ103)</f>
        <v>-927.32438078131531</v>
      </c>
      <c r="CK104" s="20">
        <f>SUM(CK100+CK101+CK103)</f>
        <v>-992.92990516039072</v>
      </c>
      <c r="CL104" s="20">
        <f>SUM(CL100+CL101+CL103)</f>
        <v>-1061.4858702370316</v>
      </c>
      <c r="CM104" s="22">
        <f>SUM(CM100+CM101+CM103)</f>
        <v>-1061.4858702370316</v>
      </c>
      <c r="CN104" s="20"/>
      <c r="CO104" s="19">
        <f>SUM(CO100+CO101+CO103)</f>
        <v>-1133.123682933706</v>
      </c>
      <c r="CP104" s="20">
        <f>SUM(CP100+CP101+CP103)</f>
        <v>-1207.9716302634924</v>
      </c>
      <c r="CQ104" s="20">
        <f>SUM(CQ100+CQ101+CQ103)</f>
        <v>-1286.03706539529</v>
      </c>
      <c r="CR104" s="20">
        <f>SUM(CR100+CR101+CR103)</f>
        <v>-1367.3729142302186</v>
      </c>
      <c r="CS104" s="22">
        <f>SUM(CS100+CS101+CS103)</f>
        <v>-1367.3729142302186</v>
      </c>
      <c r="CT104" s="20"/>
      <c r="CU104" s="69"/>
      <c r="CV104" s="69"/>
      <c r="CW104" s="69"/>
    </row>
    <row r="105" spans="1:101" outlineLevel="1">
      <c r="A105" s="55"/>
      <c r="B105" s="55"/>
      <c r="C105" s="1012"/>
      <c r="D105" s="1013"/>
      <c r="E105" s="1013"/>
      <c r="F105" s="1013"/>
      <c r="G105" s="1014"/>
      <c r="H105" s="1013"/>
      <c r="I105" s="1012"/>
      <c r="J105" s="1013"/>
      <c r="K105" s="1013"/>
      <c r="L105" s="1013"/>
      <c r="M105" s="1014"/>
      <c r="N105" s="1013"/>
      <c r="O105" s="1012"/>
      <c r="P105" s="1013"/>
      <c r="Q105" s="1013"/>
      <c r="R105" s="1013"/>
      <c r="S105" s="1273"/>
      <c r="T105" s="1274"/>
      <c r="U105" s="1012"/>
      <c r="V105" s="1013"/>
      <c r="W105" s="1013"/>
      <c r="X105" s="1013"/>
      <c r="Y105" s="1273"/>
      <c r="Z105" s="1274"/>
      <c r="AA105" s="1012"/>
      <c r="AB105" s="1013"/>
      <c r="AC105" s="1013"/>
      <c r="AD105" s="1013"/>
      <c r="AE105" s="1273"/>
      <c r="AF105" s="1274"/>
      <c r="AG105" s="1012"/>
      <c r="AH105" s="1013"/>
      <c r="AI105" s="1013"/>
      <c r="AJ105" s="1013"/>
      <c r="AK105" s="1273"/>
      <c r="AL105" s="1274"/>
      <c r="AM105" s="1012"/>
      <c r="AN105" s="1013"/>
      <c r="AO105" s="1013"/>
      <c r="AP105" s="1013"/>
      <c r="AQ105" s="1273"/>
      <c r="AR105" s="1274"/>
      <c r="AS105" s="1481"/>
      <c r="AT105" s="1528"/>
      <c r="AU105" s="1528"/>
      <c r="AV105" s="1013"/>
      <c r="AW105" s="1273"/>
      <c r="AX105" s="1274"/>
      <c r="AY105" s="1481"/>
      <c r="AZ105" s="1528"/>
      <c r="BA105" s="1528"/>
      <c r="BB105" s="1528"/>
      <c r="BC105" s="1273"/>
      <c r="BD105" s="1274"/>
      <c r="BE105" s="1481"/>
      <c r="BF105" s="1528"/>
      <c r="BG105" s="1528"/>
      <c r="BH105" s="1528"/>
      <c r="BI105" s="1273"/>
      <c r="BJ105" s="1274"/>
      <c r="BK105" s="1481"/>
      <c r="BL105" s="1528"/>
      <c r="BM105" s="1528"/>
      <c r="BN105" s="1528"/>
      <c r="BO105" s="1273"/>
      <c r="BP105" s="1274"/>
      <c r="BQ105" s="1012"/>
      <c r="BR105" s="1013"/>
      <c r="BS105" s="1013"/>
      <c r="BT105" s="1013"/>
      <c r="BU105" s="1273"/>
      <c r="BV105" s="1274"/>
      <c r="BW105" s="1012"/>
      <c r="BX105" s="1013"/>
      <c r="BY105" s="1013"/>
      <c r="BZ105" s="1013"/>
      <c r="CA105" s="1273"/>
      <c r="CB105" s="1274"/>
      <c r="CC105" s="1012"/>
      <c r="CD105" s="1013"/>
      <c r="CE105" s="1013"/>
      <c r="CF105" s="1013"/>
      <c r="CG105" s="1273"/>
      <c r="CH105" s="1274"/>
      <c r="CI105" s="1012"/>
      <c r="CJ105" s="1013"/>
      <c r="CK105" s="1013"/>
      <c r="CL105" s="1013"/>
      <c r="CM105" s="1273"/>
      <c r="CN105" s="1274"/>
      <c r="CO105" s="1012"/>
      <c r="CP105" s="1013"/>
      <c r="CQ105" s="1013"/>
      <c r="CR105" s="1013"/>
      <c r="CS105" s="1273"/>
      <c r="CT105" s="1274"/>
      <c r="CU105" s="63"/>
      <c r="CV105" s="63"/>
      <c r="CW105" s="63"/>
    </row>
    <row r="106" spans="1:101" outlineLevel="1">
      <c r="A106" s="262" t="s">
        <v>352</v>
      </c>
      <c r="B106" s="262"/>
      <c r="C106" s="750">
        <f>C18</f>
        <v>32.807000000000002</v>
      </c>
      <c r="D106" s="205">
        <f>D18</f>
        <v>36.683</v>
      </c>
      <c r="E106" s="205">
        <f>E18</f>
        <v>39.33</v>
      </c>
      <c r="F106" s="205">
        <f>F18</f>
        <v>46.274000000000001</v>
      </c>
      <c r="G106" s="191">
        <f>G18</f>
        <v>46.274000000000001</v>
      </c>
      <c r="H106" s="205"/>
      <c r="I106" s="750">
        <f>I18</f>
        <v>55.034999999999997</v>
      </c>
      <c r="J106" s="205">
        <f>J18</f>
        <v>72.125</v>
      </c>
      <c r="K106" s="205">
        <f>K18</f>
        <v>82.197999999999993</v>
      </c>
      <c r="L106" s="205">
        <f>L18</f>
        <v>89.436000000000007</v>
      </c>
      <c r="M106" s="191">
        <f>M18</f>
        <v>89.436000000000007</v>
      </c>
      <c r="N106" s="205"/>
      <c r="O106" s="750">
        <f>O18</f>
        <v>96.552000000000007</v>
      </c>
      <c r="P106" s="205">
        <f>P18</f>
        <v>103.907</v>
      </c>
      <c r="Q106" s="205">
        <f>Q18</f>
        <v>116.70099999999999</v>
      </c>
      <c r="R106" s="205">
        <f>R18</f>
        <v>117.188</v>
      </c>
      <c r="S106" s="191">
        <f>S18</f>
        <v>117.188</v>
      </c>
      <c r="T106" s="205"/>
      <c r="U106" s="750">
        <f>U18</f>
        <v>118.014</v>
      </c>
      <c r="V106" s="205">
        <f>V18</f>
        <v>122.398</v>
      </c>
      <c r="W106" s="205">
        <f>W18</f>
        <v>126.26900000000001</v>
      </c>
      <c r="X106" s="205">
        <f>X18</f>
        <v>129.874</v>
      </c>
      <c r="Y106" s="191">
        <f>Y18</f>
        <v>129.874</v>
      </c>
      <c r="Z106" s="205"/>
      <c r="AA106" s="750">
        <f>AA18</f>
        <v>125.185</v>
      </c>
      <c r="AB106" s="205">
        <f>AB18</f>
        <v>129.762</v>
      </c>
      <c r="AC106" s="205">
        <f>AC18</f>
        <v>135.393</v>
      </c>
      <c r="AD106" s="205">
        <f>AD18</f>
        <v>143.483</v>
      </c>
      <c r="AE106" s="191">
        <f>AE98+AE104</f>
        <v>143.48300000000012</v>
      </c>
      <c r="AF106" s="205"/>
      <c r="AG106" s="750">
        <f>AG18</f>
        <v>143.494</v>
      </c>
      <c r="AH106" s="205">
        <f>AH18</f>
        <v>147.917</v>
      </c>
      <c r="AI106" s="205">
        <f>AI18</f>
        <v>154.869</v>
      </c>
      <c r="AJ106" s="205">
        <f>AJ18</f>
        <v>166.167</v>
      </c>
      <c r="AK106" s="191">
        <f>AK98+AK104</f>
        <v>166.16700000000003</v>
      </c>
      <c r="AL106" s="205"/>
      <c r="AM106" s="750">
        <f>AM18</f>
        <v>186.792</v>
      </c>
      <c r="AN106" s="205">
        <f>AN18</f>
        <v>187.36199999999999</v>
      </c>
      <c r="AO106" s="205">
        <f>AO18</f>
        <v>193.649</v>
      </c>
      <c r="AP106" s="205">
        <f>AP18</f>
        <v>202.666</v>
      </c>
      <c r="AQ106" s="191">
        <f>AQ98+AQ104</f>
        <v>202.66600000000005</v>
      </c>
      <c r="AR106" s="205"/>
      <c r="AS106" s="89">
        <f>AS18</f>
        <v>210.37200000000001</v>
      </c>
      <c r="AT106" s="9">
        <f>AT18</f>
        <v>230.113</v>
      </c>
      <c r="AU106" s="9">
        <f>AU18</f>
        <v>247.643</v>
      </c>
      <c r="AV106" s="205">
        <f>AV18</f>
        <v>265.26400000000001</v>
      </c>
      <c r="AW106" s="191">
        <f>AW98+AW104</f>
        <v>265.26400000000001</v>
      </c>
      <c r="AX106" s="205"/>
      <c r="AY106" s="89">
        <f>AY18</f>
        <v>280.62799999999999</v>
      </c>
      <c r="AZ106" s="9">
        <f>AZ18</f>
        <v>302.83999999999997</v>
      </c>
      <c r="BA106" s="9">
        <f>BA18</f>
        <v>308.72199999999998</v>
      </c>
      <c r="BB106" s="9">
        <f>BB18</f>
        <v>342.69400000000002</v>
      </c>
      <c r="BC106" s="191">
        <f>BC98+BC104</f>
        <v>342.69400000000002</v>
      </c>
      <c r="BD106" s="205"/>
      <c r="BE106" s="89">
        <f>BE18</f>
        <v>385.25299999999999</v>
      </c>
      <c r="BF106" s="9">
        <f>BF18</f>
        <v>511.35399999999998</v>
      </c>
      <c r="BG106" s="9">
        <f>BG18</f>
        <v>633.85599999999999</v>
      </c>
      <c r="BH106" s="9">
        <f>BH18</f>
        <v>713.33399999999995</v>
      </c>
      <c r="BI106" s="191">
        <f>BI98+BI104</f>
        <v>713.33399999999995</v>
      </c>
      <c r="BJ106" s="205"/>
      <c r="BK106" s="89">
        <f>BK18</f>
        <v>734</v>
      </c>
      <c r="BL106" s="9">
        <f>BL18</f>
        <v>837</v>
      </c>
      <c r="BM106" s="9">
        <f>BM18</f>
        <v>862</v>
      </c>
      <c r="BN106" s="9">
        <f>BN18</f>
        <v>931</v>
      </c>
      <c r="BO106" s="191">
        <f>BO98+BO104</f>
        <v>931</v>
      </c>
      <c r="BP106" s="205"/>
      <c r="BQ106" s="750">
        <f>BQ98+BQ104</f>
        <v>986.58199999999999</v>
      </c>
      <c r="BR106" s="205">
        <f>BR98+BR104</f>
        <v>1040.9410386769073</v>
      </c>
      <c r="BS106" s="205">
        <f>BS98+BS104</f>
        <v>1094.8032815428603</v>
      </c>
      <c r="BT106" s="205">
        <f>BT98+BT104</f>
        <v>1150.2604762814603</v>
      </c>
      <c r="BU106" s="191">
        <f>BU98+BU104</f>
        <v>1150.2604762814603</v>
      </c>
      <c r="BV106" s="205"/>
      <c r="BW106" s="750">
        <f>BW98+BW104</f>
        <v>1206.9647453267564</v>
      </c>
      <c r="BX106" s="205">
        <f>BX98+BX104</f>
        <v>1261.0008580652234</v>
      </c>
      <c r="BY106" s="205">
        <f>BY98+BY104</f>
        <v>1313.9468085073738</v>
      </c>
      <c r="BZ106" s="205">
        <f>BZ98+BZ104</f>
        <v>1368.4005839829508</v>
      </c>
      <c r="CA106" s="191">
        <f>CA98+CA104</f>
        <v>1368.4005839829506</v>
      </c>
      <c r="CB106" s="205"/>
      <c r="CC106" s="750">
        <f>CC98+CC104</f>
        <v>1425.1105292336797</v>
      </c>
      <c r="CD106" s="205">
        <f>CD98+CD104</f>
        <v>1478.9754855868346</v>
      </c>
      <c r="CE106" s="205">
        <f>CE98+CE104</f>
        <v>1531.6093236451577</v>
      </c>
      <c r="CF106" s="205">
        <f>CF98+CF104</f>
        <v>1586.0587168542538</v>
      </c>
      <c r="CG106" s="191">
        <f>CG98+CG104</f>
        <v>1586.0587168542543</v>
      </c>
      <c r="CH106" s="205"/>
      <c r="CI106" s="750">
        <f>CI98+CI104</f>
        <v>1643.0589910181695</v>
      </c>
      <c r="CJ106" s="205">
        <f>CJ98+CJ104</f>
        <v>1696.8965943817</v>
      </c>
      <c r="CK106" s="205">
        <f>CK98+CK104</f>
        <v>1749.3086979052441</v>
      </c>
      <c r="CL106" s="205">
        <f>CL98+CL104</f>
        <v>1804.0266376299455</v>
      </c>
      <c r="CM106" s="191">
        <f>CM98+CM104</f>
        <v>1804.0266376299455</v>
      </c>
      <c r="CN106" s="205"/>
      <c r="CO106" s="750">
        <f>CO98+CO104</f>
        <v>1860.794210257746</v>
      </c>
      <c r="CP106" s="205">
        <f>CP98+CP104</f>
        <v>1914.6457750084082</v>
      </c>
      <c r="CQ106" s="205">
        <f>CQ98+CQ104</f>
        <v>1967.3968880018579</v>
      </c>
      <c r="CR106" s="205">
        <f>CR98+CR104</f>
        <v>2022.8638222272189</v>
      </c>
      <c r="CS106" s="191">
        <f>CS98+CS104</f>
        <v>2022.8638222272189</v>
      </c>
      <c r="CT106" s="205"/>
      <c r="CU106" s="69"/>
      <c r="CV106" s="69"/>
      <c r="CW106" s="69"/>
    </row>
    <row r="107" spans="1:101" outlineLevel="1">
      <c r="A107" s="55"/>
      <c r="B107" s="55"/>
      <c r="C107" s="1275"/>
      <c r="D107" s="1276"/>
      <c r="E107" s="1276"/>
      <c r="F107" s="1276"/>
      <c r="G107" s="1277"/>
      <c r="H107" s="1276"/>
      <c r="I107" s="1275"/>
      <c r="J107" s="1276"/>
      <c r="K107" s="1276"/>
      <c r="L107" s="1276"/>
      <c r="M107" s="1277"/>
      <c r="N107" s="1276"/>
      <c r="O107" s="1275"/>
      <c r="P107" s="1276"/>
      <c r="Q107" s="1276"/>
      <c r="R107" s="1276"/>
      <c r="S107" s="1277"/>
      <c r="T107" s="1276"/>
      <c r="U107" s="1275"/>
      <c r="V107" s="1276"/>
      <c r="W107" s="1276"/>
      <c r="X107" s="1276"/>
      <c r="Y107" s="1277"/>
      <c r="Z107" s="1276"/>
      <c r="AA107" s="1018"/>
      <c r="AB107" s="951"/>
      <c r="AC107" s="951"/>
      <c r="AD107" s="1276"/>
      <c r="AE107" s="1277"/>
      <c r="AF107" s="1276"/>
      <c r="AG107" s="1018"/>
      <c r="AH107" s="951"/>
      <c r="AI107" s="951"/>
      <c r="AJ107" s="1276"/>
      <c r="AK107" s="1277"/>
      <c r="AL107" s="1276"/>
      <c r="AM107" s="1018"/>
      <c r="AN107" s="951"/>
      <c r="AO107" s="951"/>
      <c r="AP107" s="951"/>
      <c r="AQ107" s="1277"/>
      <c r="AR107" s="1276"/>
      <c r="AS107" s="1480"/>
      <c r="AT107" s="1527"/>
      <c r="AU107" s="1527"/>
      <c r="AV107" s="951"/>
      <c r="AW107" s="1277"/>
      <c r="AX107" s="1276"/>
      <c r="AY107" s="1480"/>
      <c r="AZ107" s="1527"/>
      <c r="BA107" s="1527"/>
      <c r="BB107" s="1527"/>
      <c r="BC107" s="1277"/>
      <c r="BD107" s="1276"/>
      <c r="BE107" s="1480"/>
      <c r="BF107" s="1527"/>
      <c r="BG107" s="1527"/>
      <c r="BH107" s="1527"/>
      <c r="BI107" s="1277"/>
      <c r="BJ107" s="1276"/>
      <c r="BK107" s="1480"/>
      <c r="BL107" s="1527"/>
      <c r="BM107" s="1527"/>
      <c r="BN107" s="1527"/>
      <c r="BO107" s="1277"/>
      <c r="BP107" s="1276"/>
      <c r="BQ107" s="1018"/>
      <c r="BR107" s="951"/>
      <c r="BS107" s="951"/>
      <c r="BT107" s="951"/>
      <c r="BU107" s="1277"/>
      <c r="BV107" s="1276"/>
      <c r="BW107" s="1018"/>
      <c r="BX107" s="951"/>
      <c r="BY107" s="951"/>
      <c r="BZ107" s="951"/>
      <c r="CA107" s="1277"/>
      <c r="CB107" s="1276"/>
      <c r="CC107" s="1018"/>
      <c r="CD107" s="951"/>
      <c r="CE107" s="951"/>
      <c r="CF107" s="951"/>
      <c r="CG107" s="1277"/>
      <c r="CH107" s="1276"/>
      <c r="CI107" s="1018"/>
      <c r="CJ107" s="951"/>
      <c r="CK107" s="951"/>
      <c r="CL107" s="951"/>
      <c r="CM107" s="1277"/>
      <c r="CN107" s="1276"/>
      <c r="CO107" s="1018"/>
      <c r="CP107" s="951"/>
      <c r="CQ107" s="951"/>
      <c r="CR107" s="951"/>
      <c r="CS107" s="1277"/>
      <c r="CT107" s="1276"/>
      <c r="CU107" s="63"/>
      <c r="CV107" s="63"/>
      <c r="CW107" s="63"/>
    </row>
    <row r="108" spans="1:101" outlineLevel="1">
      <c r="A108" s="262" t="s">
        <v>353</v>
      </c>
      <c r="B108" s="262"/>
      <c r="C108" s="750">
        <f>C98/-C101</f>
        <v>18.897070161912104</v>
      </c>
      <c r="D108" s="205">
        <f>D98/-D101</f>
        <v>19.586849507735582</v>
      </c>
      <c r="E108" s="205">
        <f>E98/-E101</f>
        <v>22.284410368747714</v>
      </c>
      <c r="F108" s="205">
        <f>F98/-F101</f>
        <v>23.540614542135682</v>
      </c>
      <c r="G108" s="191">
        <f>G98/-G101</f>
        <v>6.7496510816468955</v>
      </c>
      <c r="H108" s="205"/>
      <c r="I108" s="750">
        <f>I98/-I101</f>
        <v>22.330156208631191</v>
      </c>
      <c r="J108" s="205">
        <f>J98/-J101</f>
        <v>27.118897040222617</v>
      </c>
      <c r="K108" s="205">
        <f>K98/-K101</f>
        <v>27.371983914209117</v>
      </c>
      <c r="L108" s="205">
        <f>L98/-L101</f>
        <v>27.881669620003933</v>
      </c>
      <c r="M108" s="191">
        <f>M98/-M101</f>
        <v>8.192710442580271</v>
      </c>
      <c r="N108" s="205"/>
      <c r="O108" s="750">
        <f>O98/-O101</f>
        <v>27.512491077801567</v>
      </c>
      <c r="P108" s="205">
        <f>P98/-P101</f>
        <v>27.537982973149965</v>
      </c>
      <c r="Q108" s="205">
        <f>Q98/-Q101</f>
        <v>28.700015274171374</v>
      </c>
      <c r="R108" s="205">
        <f>R98/-R101</f>
        <v>30.639231385108083</v>
      </c>
      <c r="S108" s="191">
        <f>S98/-S101</f>
        <v>7.8086026771139405</v>
      </c>
      <c r="T108" s="205"/>
      <c r="U108" s="750">
        <f>U98/-U101</f>
        <v>27.401163577323775</v>
      </c>
      <c r="V108" s="205">
        <f>V98/-V101</f>
        <v>25.634613098775706</v>
      </c>
      <c r="W108" s="205">
        <f>W98/-W101</f>
        <v>25.976609515158398</v>
      </c>
      <c r="X108" s="205">
        <f>X98/-X101</f>
        <v>24.119462107786926</v>
      </c>
      <c r="Y108" s="191">
        <f>Y98/-Y101</f>
        <v>6.7646474096596885</v>
      </c>
      <c r="Z108" s="205"/>
      <c r="AA108" s="750">
        <f>AA98/-AA101</f>
        <v>18.99430976693429</v>
      </c>
      <c r="AB108" s="205">
        <f>AB98/-AB101</f>
        <v>19.747796352583585</v>
      </c>
      <c r="AC108" s="205">
        <f>AC98/-AC101</f>
        <v>19.705463182897866</v>
      </c>
      <c r="AD108" s="205">
        <f>AD98/-AD101</f>
        <v>18.34501047668936</v>
      </c>
      <c r="AE108" s="191">
        <f>AE98/-AE101</f>
        <v>5.0412055780476841</v>
      </c>
      <c r="AF108" s="205"/>
      <c r="AG108" s="750">
        <f>AG98/-AG101</f>
        <v>24.521197424533831</v>
      </c>
      <c r="AH108" s="205">
        <f>AH98/-AH101</f>
        <v>27.278607397117561</v>
      </c>
      <c r="AI108" s="205">
        <f>AI98/-AI101</f>
        <v>27.454703400347487</v>
      </c>
      <c r="AJ108" s="205">
        <f>AJ98/-AJ101</f>
        <v>25.192826172644853</v>
      </c>
      <c r="AK108" s="191">
        <f>AK98/-AK101</f>
        <v>6.6233704325478246</v>
      </c>
      <c r="AL108" s="205"/>
      <c r="AM108" s="750">
        <f>AM98/-AM101</f>
        <v>29.000085041245004</v>
      </c>
      <c r="AN108" s="205">
        <f>AN98/-AN101</f>
        <v>29.479555146751402</v>
      </c>
      <c r="AO108" s="205">
        <f>AO98/-AO101</f>
        <v>27.798847564169716</v>
      </c>
      <c r="AP108" s="205">
        <f>AP98/-AP101</f>
        <v>29.046980843470028</v>
      </c>
      <c r="AQ108" s="191">
        <f>AQ98/-AQ101</f>
        <v>7.8485731155284402</v>
      </c>
      <c r="AR108" s="205"/>
      <c r="AS108" s="89">
        <f>AS98/-AS101</f>
        <v>28.630028095662308</v>
      </c>
      <c r="AT108" s="9">
        <f>AT98/-AT101</f>
        <v>28.659173596673604</v>
      </c>
      <c r="AU108" s="9">
        <f>AU98/-AU101</f>
        <v>31.757669955399379</v>
      </c>
      <c r="AV108" s="205">
        <f>AV98/-AV101</f>
        <v>29.481485807732746</v>
      </c>
      <c r="AW108" s="191">
        <f>AW98/-AW101</f>
        <v>8.1541394071561264</v>
      </c>
      <c r="AX108" s="205"/>
      <c r="AY108" s="89">
        <f>AY98/-AY101</f>
        <v>32.310672078309658</v>
      </c>
      <c r="AZ108" s="9">
        <f>AZ98/-AZ101</f>
        <v>33.391633237822354</v>
      </c>
      <c r="BA108" s="9">
        <f>BA98/-BA101</f>
        <v>32.964081852450192</v>
      </c>
      <c r="BB108" s="9">
        <f>BB98/-BB101</f>
        <v>32.522924722543067</v>
      </c>
      <c r="BC108" s="191">
        <f>BC98/-BC101</f>
        <v>8.9098325697855199</v>
      </c>
      <c r="BD108" s="205"/>
      <c r="BE108" s="89">
        <f>BE98/-BE101</f>
        <v>33.9095965947567</v>
      </c>
      <c r="BF108" s="9">
        <f>BF98/-BF101</f>
        <v>35.341760514824173</v>
      </c>
      <c r="BG108" s="9">
        <f>BG98/-BG101</f>
        <v>35.90601634498347</v>
      </c>
      <c r="BH108" s="9">
        <f>BH98/-BH101</f>
        <v>37.008400619851571</v>
      </c>
      <c r="BI108" s="191">
        <f>BI98/-BI101</f>
        <v>10.088599855483297</v>
      </c>
      <c r="BJ108" s="205"/>
      <c r="BK108" s="89">
        <f>BK98/-BK101</f>
        <v>38.096923076923076</v>
      </c>
      <c r="BL108" s="9">
        <f>BL98/-BL101</f>
        <v>40.75076923076923</v>
      </c>
      <c r="BM108" s="9">
        <f>BM98/-BM101</f>
        <v>39.362758620689654</v>
      </c>
      <c r="BN108" s="9">
        <f>BN98/-BN101</f>
        <v>41.983448275862067</v>
      </c>
      <c r="BO108" s="191">
        <f>BO98/-BO101</f>
        <v>11.068363636363637</v>
      </c>
      <c r="BP108" s="205"/>
      <c r="BQ108" s="750">
        <f>BQ98/-BQ101</f>
        <v>42.826072672317494</v>
      </c>
      <c r="BR108" s="205">
        <f>BR98/-BR101</f>
        <v>42.668043594424631</v>
      </c>
      <c r="BS108" s="205">
        <f>BS98/-BS101</f>
        <v>42.549449135436468</v>
      </c>
      <c r="BT108" s="205">
        <f>BT98/-BT101</f>
        <v>42.49974297721986</v>
      </c>
      <c r="BU108" s="191">
        <f>BU98/-BU101</f>
        <v>11.661259342877685</v>
      </c>
      <c r="BV108" s="205"/>
      <c r="BW108" s="750">
        <f>BW98/-BW101</f>
        <v>42.443272656669919</v>
      </c>
      <c r="BX108" s="205">
        <f>BX98/-BX101</f>
        <v>42.296187575648929</v>
      </c>
      <c r="BY108" s="205">
        <f>BY98/-BY101</f>
        <v>42.201089227732844</v>
      </c>
      <c r="BZ108" s="205">
        <f>BZ98/-BZ101</f>
        <v>42.170865070779627</v>
      </c>
      <c r="CA108" s="191">
        <f>CA98/-CA101</f>
        <v>11.431473408846875</v>
      </c>
      <c r="CB108" s="205"/>
      <c r="CC108" s="750">
        <f>CC98/-CC101</f>
        <v>42.156606326045136</v>
      </c>
      <c r="CD108" s="205">
        <f>CD98/-CD101</f>
        <v>42.042382224204026</v>
      </c>
      <c r="CE108" s="205">
        <f>CE98/-CE101</f>
        <v>41.969077252754445</v>
      </c>
      <c r="CF108" s="205">
        <f>CF98/-CF101</f>
        <v>41.955469821426227</v>
      </c>
      <c r="CG108" s="191">
        <f>CG98/-CG101</f>
        <v>11.277564354189611</v>
      </c>
      <c r="CH108" s="205"/>
      <c r="CI108" s="750">
        <f>CI98/-CI101</f>
        <v>41.953613251164278</v>
      </c>
      <c r="CJ108" s="205">
        <f>CJ98/-CJ101</f>
        <v>41.858759732934089</v>
      </c>
      <c r="CK108" s="205">
        <f>CK98/-CK101</f>
        <v>41.798897715087243</v>
      </c>
      <c r="CL108" s="205">
        <f>CL98/-CL101</f>
        <v>41.798149944553046</v>
      </c>
      <c r="CM108" s="191">
        <f>CM98/-CM101</f>
        <v>11.166072569302214</v>
      </c>
      <c r="CN108" s="205"/>
      <c r="CO108" s="750">
        <f>CO98/-CO101</f>
        <v>41.792424705485679</v>
      </c>
      <c r="CP108" s="205">
        <f>CP98/-CP101</f>
        <v>41.719479513758571</v>
      </c>
      <c r="CQ108" s="205">
        <f>CQ98/-CQ101</f>
        <v>41.675729442926816</v>
      </c>
      <c r="CR108" s="205">
        <f>CR98/-CR101</f>
        <v>41.681949411236012</v>
      </c>
      <c r="CS108" s="191">
        <f>CS98/-CS101</f>
        <v>11.083296278913167</v>
      </c>
      <c r="CT108" s="205"/>
      <c r="CU108" s="69"/>
      <c r="CV108" s="69"/>
      <c r="CW108" s="69"/>
    </row>
    <row r="109" spans="1:101" outlineLevel="1">
      <c r="A109" s="193" t="s">
        <v>354</v>
      </c>
      <c r="B109" s="193"/>
      <c r="C109" s="193">
        <f>C104/(C101*4)</f>
        <v>1.562451811873554</v>
      </c>
      <c r="D109" s="1008">
        <f>D104/(D101*4)</f>
        <v>1.6721167369901546</v>
      </c>
      <c r="E109" s="1008">
        <f>E104/(E101*4)</f>
        <v>1.9812887915297552</v>
      </c>
      <c r="F109" s="1008">
        <f>F104/(F101*4)</f>
        <v>2.3656829936111952</v>
      </c>
      <c r="G109" s="1009">
        <f>G104/G101</f>
        <v>2.7131891137473829</v>
      </c>
      <c r="H109" s="1008"/>
      <c r="I109" s="193">
        <f>I104/(I101*4)</f>
        <v>1.9397670108551768</v>
      </c>
      <c r="J109" s="1008">
        <f>J104/(J101*4)</f>
        <v>2.2183152036428031</v>
      </c>
      <c r="K109" s="1008">
        <f>K104/(K101*4)</f>
        <v>2.2519548704200187</v>
      </c>
      <c r="L109" s="1008">
        <f>L104/(L101*4)</f>
        <v>2.5681728686749357</v>
      </c>
      <c r="M109" s="1009">
        <f>M104/M101</f>
        <v>3.0185131617008962</v>
      </c>
      <c r="N109" s="1008"/>
      <c r="O109" s="193">
        <f>O104/(O101*4)</f>
        <v>2.5708422555317618</v>
      </c>
      <c r="P109" s="1008">
        <f>P104/(P101*4)</f>
        <v>2.6315897184020947</v>
      </c>
      <c r="Q109" s="1008">
        <f>Q104/(Q101*4)</f>
        <v>2.7187261341072242</v>
      </c>
      <c r="R109" s="1008">
        <f>R104/(R101*4)</f>
        <v>2.9685348278622894</v>
      </c>
      <c r="S109" s="1009">
        <f>S104/S101</f>
        <v>3.026199804113614</v>
      </c>
      <c r="T109" s="1008"/>
      <c r="U109" s="193">
        <f>U104/(U101*4)</f>
        <v>2.8584765255039923</v>
      </c>
      <c r="V109" s="1008">
        <f>V104/(V101*4)</f>
        <v>2.771484607155593</v>
      </c>
      <c r="W109" s="1008">
        <f>W104/(W101*4)</f>
        <v>2.9098160554104688</v>
      </c>
      <c r="X109" s="1008">
        <f>X104/(X101*4)</f>
        <v>2.6452621703325341</v>
      </c>
      <c r="Y109" s="1009">
        <f>Y104/Y101</f>
        <v>2.9676061279382533</v>
      </c>
      <c r="Z109" s="1008"/>
      <c r="AA109" s="193">
        <f>AA104/(AA101*4)</f>
        <v>2.3090848858055963</v>
      </c>
      <c r="AB109" s="1008">
        <f>AB104/(AB101*4)</f>
        <v>2.4718655015197561</v>
      </c>
      <c r="AC109" s="1008">
        <f>AC104/(AC101*4)</f>
        <v>2.5616703926226072</v>
      </c>
      <c r="AD109" s="1008">
        <f>AD104/(AD101*4)</f>
        <v>2.237460712414876</v>
      </c>
      <c r="AE109" s="1009">
        <f>AE104/AE101</f>
        <v>2.4594152046783617</v>
      </c>
      <c r="AF109" s="1008"/>
      <c r="AG109" s="193">
        <f>AG104/(AG101*4)</f>
        <v>3.1305920227443784</v>
      </c>
      <c r="AH109" s="1008">
        <f>AH104/(AH101*4)</f>
        <v>3.6090901198124694</v>
      </c>
      <c r="AI109" s="1008">
        <f>AI104/(AI101*4)</f>
        <v>3.6604616530156386</v>
      </c>
      <c r="AJ109" s="1008">
        <f>AJ104/(AJ101*4)</f>
        <v>3.0233346472211267</v>
      </c>
      <c r="AK109" s="1009">
        <f>AK104/AK101</f>
        <v>3.1794234077390202</v>
      </c>
      <c r="AL109" s="1008"/>
      <c r="AM109" s="193">
        <f>AM104/(AM101*4)</f>
        <v>3.2787652011225443</v>
      </c>
      <c r="AN109" s="1008">
        <f>AN104/(AN101*4)</f>
        <v>3.453131532736851</v>
      </c>
      <c r="AO109" s="1008">
        <f>AO104/(AO101*4)</f>
        <v>3.3268539998503321</v>
      </c>
      <c r="AP109" s="1008">
        <f>AP104/(AP101*4)</f>
        <v>3.5712724888921263</v>
      </c>
      <c r="AQ109" s="1009">
        <f>AQ104/AQ101</f>
        <v>3.8598701043101751</v>
      </c>
      <c r="AR109" s="1008"/>
      <c r="AS109" s="1433">
        <f>AS104/(AS101*4)</f>
        <v>3.5535188103885433</v>
      </c>
      <c r="AT109" s="1384">
        <f>AT104/(AT101*4)</f>
        <v>3.4272511694386707</v>
      </c>
      <c r="AU109" s="1384">
        <f>AU104/(AU101*4)</f>
        <v>3.7556933369374241</v>
      </c>
      <c r="AV109" s="1008">
        <f>AV104/(AV101*4)</f>
        <v>3.4972257913795124</v>
      </c>
      <c r="AW109" s="1009">
        <f>AW104/AW101</f>
        <v>3.8691220418383008</v>
      </c>
      <c r="AX109" s="1008"/>
      <c r="AY109" s="1433">
        <f>AY104/(AY101*4)</f>
        <v>3.8901904022919913</v>
      </c>
      <c r="AZ109" s="1384">
        <f>AZ104/(AZ101*4)</f>
        <v>4.0092263610315202</v>
      </c>
      <c r="BA109" s="1384">
        <f>BA104/(BA101*4)</f>
        <v>4.0848276790522355</v>
      </c>
      <c r="BB109" s="1384">
        <f>BB104/(BB101*4)</f>
        <v>3.8283407824034557</v>
      </c>
      <c r="BC109" s="1009">
        <f>BC104/BC101</f>
        <v>4.1951793305542946</v>
      </c>
      <c r="BD109" s="1008"/>
      <c r="BE109" s="1433">
        <f>BE104/(BE101*4)</f>
        <v>3.8187336751475289</v>
      </c>
      <c r="BF109" s="1384">
        <f>BF104/(BF101*4)</f>
        <v>2.9591588140657321</v>
      </c>
      <c r="BG109" s="1384">
        <f>BG104/(BG101*4)</f>
        <v>2.0879629629629624</v>
      </c>
      <c r="BH109" s="1384">
        <f>BH104/(BH101*4)</f>
        <v>1.9797120952613989</v>
      </c>
      <c r="BI109" s="1009">
        <f>BI104/BI101</f>
        <v>2.1587015730087269</v>
      </c>
      <c r="BJ109" s="1008"/>
      <c r="BK109" s="1433">
        <f>BK104/(BK101*4)</f>
        <v>2.4665384615384616</v>
      </c>
      <c r="BL109" s="1384">
        <f>BL104/(BL101*4)</f>
        <v>2.1396153846153845</v>
      </c>
      <c r="BM109" s="1384">
        <f>BM104/(BM101*4)</f>
        <v>2.4096551724137929</v>
      </c>
      <c r="BN109" s="1384">
        <f>BN104/(BN101*4)</f>
        <v>2.4699999999999998</v>
      </c>
      <c r="BO109" s="1009">
        <f>BO104/BO101</f>
        <v>2.6047272727272728</v>
      </c>
      <c r="BP109" s="1008"/>
      <c r="BQ109" s="193">
        <f>BQ104/(BQ101*4)</f>
        <v>2.6033083645443194</v>
      </c>
      <c r="BR109" s="1008">
        <f>BR104/(BR101*4)</f>
        <v>2.6815172530187024</v>
      </c>
      <c r="BS109" s="1008">
        <f>BS104/(BS101*4)</f>
        <v>2.7638412986613639</v>
      </c>
      <c r="BT109" s="1010">
        <f>BT104/(BT101*4)</f>
        <v>2.8482393237232797</v>
      </c>
      <c r="BU109" s="1009">
        <f>BU104/BU101</f>
        <v>3.1260478391431845</v>
      </c>
      <c r="BV109" s="1008"/>
      <c r="BW109" s="193">
        <f>BW104/(BW101*4)</f>
        <v>2.9307120459528</v>
      </c>
      <c r="BX109" s="1008">
        <f>BX104/(BX101*4)</f>
        <v>3.0120038347747355</v>
      </c>
      <c r="BY109" s="1008">
        <f>BY104/(BY101*4)</f>
        <v>3.0984873057531344</v>
      </c>
      <c r="BZ109" s="1010">
        <f>BZ104/(BZ101*4)</f>
        <v>3.1868789881536368</v>
      </c>
      <c r="CA109" s="1009">
        <f>CA104/CA101</f>
        <v>3.4555347488504942</v>
      </c>
      <c r="CB109" s="1008"/>
      <c r="CC109" s="193">
        <f>CC104/(CC101*4)</f>
        <v>3.2728253395369302</v>
      </c>
      <c r="CD109" s="1008">
        <f>CD104/(CD101*4)</f>
        <v>3.3553973502747709</v>
      </c>
      <c r="CE109" s="1008">
        <f>CE104/(CE101*4)</f>
        <v>3.4423950763599218</v>
      </c>
      <c r="CF109" s="1010">
        <f>CF104/(CF101*4)</f>
        <v>3.5308870737171105</v>
      </c>
      <c r="CG109" s="1009">
        <f>CG104/CG101</f>
        <v>3.7963875862389105</v>
      </c>
      <c r="CH109" s="1008"/>
      <c r="CI109" s="193">
        <f>CI104/(CI101*4)</f>
        <v>3.6163187076636394</v>
      </c>
      <c r="CJ109" s="1008">
        <f>CJ104/(CJ101*4)</f>
        <v>3.6979210989659212</v>
      </c>
      <c r="CK109" s="1008">
        <f>CK104/(CK101*4)</f>
        <v>3.7837130125778007</v>
      </c>
      <c r="CL109" s="1010">
        <f>CL104/(CL101*4)</f>
        <v>3.8708734865389287</v>
      </c>
      <c r="CM109" s="1009">
        <f>CM104/CM101</f>
        <v>4.1363030961530987</v>
      </c>
      <c r="CN109" s="1008"/>
      <c r="CO109" s="193">
        <f>CO104/(CO101*4)</f>
        <v>3.9543491079617645</v>
      </c>
      <c r="CP109" s="1008">
        <f>CP104/(CP101*4)</f>
        <v>4.034752031812805</v>
      </c>
      <c r="CQ109" s="1008">
        <f>CQ104/(CQ101*4)</f>
        <v>4.118458646980188</v>
      </c>
      <c r="CR109" s="1010">
        <f>CR104/(CR101*4)</f>
        <v>4.2028605277277711</v>
      </c>
      <c r="CS109" s="1009">
        <f>CS104/CS101</f>
        <v>4.4701890488067688</v>
      </c>
      <c r="CT109" s="205"/>
      <c r="CU109" s="69"/>
      <c r="CV109" s="69"/>
      <c r="CW109" s="69"/>
    </row>
    <row r="110" spans="1:101">
      <c r="A110" s="1139"/>
      <c r="B110" s="1139"/>
      <c r="C110" s="1158"/>
      <c r="D110" s="1158"/>
      <c r="E110" s="1158"/>
      <c r="F110" s="1158"/>
      <c r="G110" s="1201"/>
      <c r="H110" s="1201"/>
      <c r="I110" s="1158"/>
      <c r="J110" s="1158"/>
      <c r="K110" s="1158"/>
      <c r="L110" s="1158"/>
      <c r="M110" s="1158"/>
      <c r="N110" s="1158"/>
      <c r="O110" s="1158"/>
      <c r="P110" s="1158"/>
      <c r="Q110" s="1158"/>
      <c r="R110" s="1158"/>
      <c r="S110" s="1158"/>
      <c r="T110" s="1158"/>
      <c r="U110" s="1158"/>
      <c r="V110" s="1158"/>
      <c r="W110" s="1158"/>
      <c r="X110" s="1158"/>
      <c r="Y110" s="1158"/>
      <c r="Z110" s="1158"/>
      <c r="AA110" s="1158"/>
      <c r="AB110" s="1158"/>
      <c r="AC110" s="1158"/>
      <c r="AD110" s="1158"/>
      <c r="AE110" s="1158"/>
      <c r="AF110" s="1158"/>
      <c r="AG110" s="1158"/>
      <c r="AH110" s="1158"/>
      <c r="AI110" s="1158"/>
      <c r="AJ110" s="1158"/>
      <c r="AK110" s="1158"/>
      <c r="AL110" s="1158"/>
      <c r="AM110" s="1158"/>
      <c r="AN110" s="1158"/>
      <c r="AO110" s="1158"/>
      <c r="AP110" s="1158"/>
      <c r="AQ110" s="1160"/>
      <c r="AR110" s="1160"/>
      <c r="AS110" s="1462"/>
      <c r="AT110" s="1459"/>
      <c r="AU110" s="1470"/>
      <c r="AV110" s="1158"/>
      <c r="AW110" s="1160"/>
      <c r="AX110" s="1160"/>
      <c r="AY110" s="1160"/>
      <c r="AZ110" s="1459"/>
      <c r="BA110" s="1459"/>
      <c r="BB110" s="1160"/>
      <c r="BC110" s="1160"/>
      <c r="BD110" s="1160"/>
      <c r="BE110" s="1160"/>
      <c r="BF110" s="1160"/>
      <c r="BG110" s="1160"/>
      <c r="BH110" s="1160"/>
      <c r="BI110" s="1160"/>
      <c r="BJ110" s="1160"/>
      <c r="BK110" s="1160"/>
      <c r="BL110" s="1160"/>
      <c r="BM110" s="1160"/>
      <c r="BN110" s="1160"/>
      <c r="BO110" s="1160"/>
      <c r="BP110" s="1160"/>
      <c r="BQ110" s="1160"/>
      <c r="BR110" s="1160"/>
      <c r="BS110" s="1160"/>
      <c r="BT110" s="1160"/>
      <c r="BU110" s="1160"/>
      <c r="BV110" s="1160"/>
      <c r="BW110" s="1160"/>
      <c r="BX110" s="1160"/>
      <c r="BY110" s="1160"/>
      <c r="BZ110" s="1160"/>
      <c r="CA110" s="1160"/>
      <c r="CB110" s="1160"/>
      <c r="CC110" s="1160"/>
      <c r="CD110" s="1160"/>
      <c r="CE110" s="1160"/>
      <c r="CF110" s="1160"/>
      <c r="CG110" s="1160"/>
      <c r="CH110" s="1160"/>
      <c r="CI110" s="1160"/>
      <c r="CJ110" s="1160"/>
      <c r="CK110" s="1160"/>
      <c r="CL110" s="1160"/>
      <c r="CM110" s="1160"/>
      <c r="CN110" s="1160"/>
      <c r="CO110" s="1160"/>
      <c r="CP110" s="1160"/>
      <c r="CQ110" s="1160"/>
      <c r="CR110" s="1160"/>
      <c r="CS110" s="1160"/>
      <c r="CT110" s="1160"/>
      <c r="CU110" s="63"/>
      <c r="CV110" s="63"/>
      <c r="CW110" s="63"/>
    </row>
    <row r="111" spans="1:101">
      <c r="A111" s="50" t="s">
        <v>208</v>
      </c>
      <c r="B111" s="111"/>
      <c r="C111" s="51"/>
      <c r="D111" s="51"/>
      <c r="E111" s="51"/>
      <c r="F111" s="51"/>
      <c r="G111" s="53"/>
      <c r="H111" s="53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2"/>
      <c r="AD111" s="52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  <c r="BA111" s="51"/>
      <c r="BB111" s="51"/>
      <c r="BC111" s="54"/>
      <c r="BD111" s="51"/>
      <c r="BE111" s="51"/>
      <c r="BF111" s="51"/>
      <c r="BG111" s="51"/>
      <c r="BH111" s="51"/>
      <c r="BI111" s="54"/>
      <c r="BJ111" s="51"/>
      <c r="BK111" s="51"/>
      <c r="BL111" s="51"/>
      <c r="BM111" s="51"/>
      <c r="BN111" s="51"/>
      <c r="BO111" s="54"/>
      <c r="BP111" s="51"/>
      <c r="BQ111" s="51"/>
      <c r="BR111" s="51"/>
      <c r="BS111" s="51"/>
      <c r="BT111" s="51"/>
      <c r="BU111" s="54"/>
      <c r="BV111" s="51"/>
      <c r="BW111" s="51"/>
      <c r="BX111" s="51"/>
      <c r="BY111" s="51"/>
      <c r="BZ111" s="51"/>
      <c r="CA111" s="54"/>
      <c r="CB111" s="51"/>
      <c r="CC111" s="51"/>
      <c r="CD111" s="51"/>
      <c r="CE111" s="51"/>
      <c r="CF111" s="51"/>
      <c r="CG111" s="54"/>
      <c r="CH111" s="51"/>
      <c r="CI111" s="51"/>
      <c r="CJ111" s="51"/>
      <c r="CK111" s="51"/>
      <c r="CL111" s="51"/>
      <c r="CM111" s="54"/>
      <c r="CN111" s="51"/>
      <c r="CO111" s="51"/>
      <c r="CP111" s="51"/>
      <c r="CQ111" s="51"/>
      <c r="CR111" s="51"/>
      <c r="CS111" s="54"/>
      <c r="CT111" s="2911"/>
      <c r="CU111" s="63"/>
      <c r="CV111" s="63"/>
      <c r="CW111" s="63"/>
    </row>
    <row r="112" spans="1:101" outlineLevel="1">
      <c r="A112" s="265" t="s">
        <v>355</v>
      </c>
      <c r="B112" s="266"/>
      <c r="C112" s="1242"/>
      <c r="D112" s="1243"/>
      <c r="E112" s="1243"/>
      <c r="F112" s="1243"/>
      <c r="G112" s="1278">
        <v>0.94399999999999995</v>
      </c>
      <c r="H112" s="1279"/>
      <c r="I112" s="1242">
        <f>G117</f>
        <v>58.116</v>
      </c>
      <c r="J112" s="1243">
        <f>I117</f>
        <v>55.69</v>
      </c>
      <c r="K112" s="1243">
        <f>J117</f>
        <v>53.011000000000003</v>
      </c>
      <c r="L112" s="1243">
        <f>K117</f>
        <v>50.298999999999999</v>
      </c>
      <c r="M112" s="1264">
        <f>G117</f>
        <v>58.116</v>
      </c>
      <c r="N112" s="1280"/>
      <c r="O112" s="1242">
        <f>M117</f>
        <v>47.755000000000003</v>
      </c>
      <c r="P112" s="1243">
        <f>O117</f>
        <v>46.067999999999998</v>
      </c>
      <c r="Q112" s="1243">
        <f>P117</f>
        <v>44.805</v>
      </c>
      <c r="R112" s="1243">
        <f>Q117</f>
        <v>43.087000000000003</v>
      </c>
      <c r="S112" s="1264">
        <f>M117</f>
        <v>47.755000000000003</v>
      </c>
      <c r="T112" s="1280"/>
      <c r="U112" s="1242">
        <f>S117</f>
        <v>43.787999999999997</v>
      </c>
      <c r="V112" s="1243">
        <f>U117</f>
        <v>42.063000000000002</v>
      </c>
      <c r="W112" s="1243">
        <f>V117</f>
        <v>70.298000000000002</v>
      </c>
      <c r="X112" s="1243">
        <f>W117</f>
        <v>72.332999999999998</v>
      </c>
      <c r="Y112" s="1264">
        <f>S117</f>
        <v>43.787999999999997</v>
      </c>
      <c r="Z112" s="1280"/>
      <c r="AA112" s="1242">
        <f>Y117</f>
        <v>70.024000000000001</v>
      </c>
      <c r="AB112" s="1243">
        <f>AA117</f>
        <v>118.419</v>
      </c>
      <c r="AC112" s="1243">
        <f>AB117</f>
        <v>112.708</v>
      </c>
      <c r="AD112" s="1243">
        <f>AC117</f>
        <v>109.767</v>
      </c>
      <c r="AE112" s="1264">
        <f>Y117</f>
        <v>70.024000000000001</v>
      </c>
      <c r="AF112" s="1265"/>
      <c r="AG112" s="1242">
        <f>AE117</f>
        <v>106.47499999999999</v>
      </c>
      <c r="AH112" s="1243">
        <f>AG117</f>
        <v>103.00700000000001</v>
      </c>
      <c r="AI112" s="1243">
        <f>AH117</f>
        <v>89.007000000000005</v>
      </c>
      <c r="AJ112" s="1243">
        <f>AI117</f>
        <v>134.82900000000001</v>
      </c>
      <c r="AK112" s="1264">
        <f>AE117</f>
        <v>106.47499999999999</v>
      </c>
      <c r="AL112" s="1265"/>
      <c r="AM112" s="1242">
        <f>AK117</f>
        <v>130.196</v>
      </c>
      <c r="AN112" s="1243">
        <f>AM117</f>
        <v>307.214</v>
      </c>
      <c r="AO112" s="1243">
        <f>AN117</f>
        <v>304.46899999999999</v>
      </c>
      <c r="AP112" s="1243">
        <f>AO117</f>
        <v>297.911</v>
      </c>
      <c r="AQ112" s="1264">
        <f>AK117</f>
        <v>130.196</v>
      </c>
      <c r="AR112" s="1265"/>
      <c r="AS112" s="1482">
        <f>AQ117</f>
        <v>331.173</v>
      </c>
      <c r="AT112" s="1469">
        <f>AS117</f>
        <v>316.98399999999998</v>
      </c>
      <c r="AU112" s="1469">
        <f>AT117</f>
        <v>304.85000000000002</v>
      </c>
      <c r="AV112" s="1243">
        <f>AU117</f>
        <v>299.34500000000003</v>
      </c>
      <c r="AW112" s="1264">
        <f>AQ117</f>
        <v>331.173</v>
      </c>
      <c r="AX112" s="1265"/>
      <c r="AY112" s="1482">
        <f>AW117</f>
        <v>314.5</v>
      </c>
      <c r="AZ112" s="1469">
        <f>AY117</f>
        <v>301.30200000000002</v>
      </c>
      <c r="BA112" s="1469">
        <f>AZ117</f>
        <v>288.17700000000002</v>
      </c>
      <c r="BB112" s="1469">
        <f>BA117</f>
        <v>286.346</v>
      </c>
      <c r="BC112" s="1264">
        <f>AW117</f>
        <v>314.5</v>
      </c>
      <c r="BD112" s="1265"/>
      <c r="BE112" s="1482">
        <f>BC117</f>
        <v>273.62099999999998</v>
      </c>
      <c r="BF112" s="1469">
        <f>BE117</f>
        <v>269.57600000000002</v>
      </c>
      <c r="BG112" s="1469">
        <f>BF117</f>
        <v>268.46899999999999</v>
      </c>
      <c r="BH112" s="1469">
        <f>BG117</f>
        <v>255.56</v>
      </c>
      <c r="BI112" s="1264">
        <f>BC117</f>
        <v>273.62099999999998</v>
      </c>
      <c r="BJ112" s="1265"/>
      <c r="BK112" s="1482">
        <f>BI117</f>
        <v>242.65199999999999</v>
      </c>
      <c r="BL112" s="1469">
        <f>BK117</f>
        <v>207</v>
      </c>
      <c r="BM112" s="1469">
        <f>BL117</f>
        <v>196</v>
      </c>
      <c r="BN112" s="1469">
        <f>BM117</f>
        <v>185</v>
      </c>
      <c r="BO112" s="1264">
        <f>BI117</f>
        <v>242.65199999999999</v>
      </c>
      <c r="BP112" s="1265"/>
      <c r="BQ112" s="1242">
        <f>BO117</f>
        <v>175</v>
      </c>
      <c r="BR112" s="1243">
        <f>BQ117</f>
        <v>165</v>
      </c>
      <c r="BS112" s="1243">
        <f>BR117</f>
        <v>155</v>
      </c>
      <c r="BT112" s="1243">
        <f>BS117</f>
        <v>145</v>
      </c>
      <c r="BU112" s="1264">
        <f>BO117</f>
        <v>175</v>
      </c>
      <c r="BV112" s="1265"/>
      <c r="BW112" s="1242">
        <f>BU117</f>
        <v>135</v>
      </c>
      <c r="BX112" s="1243">
        <f>BW117</f>
        <v>125</v>
      </c>
      <c r="BY112" s="1243">
        <f>BX117</f>
        <v>115</v>
      </c>
      <c r="BZ112" s="1243">
        <f>BY117</f>
        <v>105</v>
      </c>
      <c r="CA112" s="1264">
        <f>BU117</f>
        <v>135</v>
      </c>
      <c r="CB112" s="1265"/>
      <c r="CC112" s="1242">
        <f>CA117</f>
        <v>95</v>
      </c>
      <c r="CD112" s="1243">
        <f>CC117</f>
        <v>85</v>
      </c>
      <c r="CE112" s="1243">
        <f>CD117</f>
        <v>75</v>
      </c>
      <c r="CF112" s="1243">
        <f>CE117</f>
        <v>65</v>
      </c>
      <c r="CG112" s="1264">
        <f>CA117</f>
        <v>95</v>
      </c>
      <c r="CH112" s="1265"/>
      <c r="CI112" s="1242">
        <f>CG117</f>
        <v>55</v>
      </c>
      <c r="CJ112" s="1243">
        <f>CI117</f>
        <v>47.5</v>
      </c>
      <c r="CK112" s="1243">
        <f>CJ117</f>
        <v>40</v>
      </c>
      <c r="CL112" s="1243">
        <f>CK117</f>
        <v>32.5</v>
      </c>
      <c r="CM112" s="1264">
        <f>CG117</f>
        <v>55</v>
      </c>
      <c r="CN112" s="1265"/>
      <c r="CO112" s="1242">
        <f>CM117</f>
        <v>25</v>
      </c>
      <c r="CP112" s="1243">
        <f>CO117</f>
        <v>20</v>
      </c>
      <c r="CQ112" s="1243">
        <f>CP117</f>
        <v>15</v>
      </c>
      <c r="CR112" s="1243">
        <f>CQ117</f>
        <v>10</v>
      </c>
      <c r="CS112" s="1264">
        <f>CM117</f>
        <v>25</v>
      </c>
      <c r="CT112" s="1267"/>
      <c r="CU112" s="63"/>
      <c r="CV112" s="63"/>
      <c r="CW112" s="63"/>
    </row>
    <row r="113" spans="1:101" outlineLevel="1">
      <c r="A113" s="267" t="s">
        <v>266</v>
      </c>
      <c r="B113" s="268"/>
      <c r="C113" s="1186"/>
      <c r="D113" s="1160"/>
      <c r="E113" s="1160"/>
      <c r="F113" s="1160"/>
      <c r="G113" s="1281"/>
      <c r="H113" s="1282"/>
      <c r="I113" s="1186"/>
      <c r="J113" s="1160"/>
      <c r="K113" s="1160"/>
      <c r="L113" s="1160"/>
      <c r="M113" s="1172"/>
      <c r="N113" s="1186"/>
      <c r="O113" s="1186"/>
      <c r="P113" s="1160"/>
      <c r="Q113" s="1160"/>
      <c r="R113" s="1160"/>
      <c r="S113" s="1172"/>
      <c r="T113" s="1186"/>
      <c r="U113" s="1186"/>
      <c r="V113" s="1160"/>
      <c r="W113" s="1160"/>
      <c r="X113" s="1160"/>
      <c r="Y113" s="1172"/>
      <c r="Z113" s="1186"/>
      <c r="AA113" s="1186"/>
      <c r="AB113" s="1160"/>
      <c r="AC113" s="1160"/>
      <c r="AD113" s="1160"/>
      <c r="AE113" s="1150">
        <f>SUM(AA113:AD113)</f>
        <v>0</v>
      </c>
      <c r="AF113" s="1151"/>
      <c r="AG113" s="1186"/>
      <c r="AH113" s="1160"/>
      <c r="AI113" s="1160"/>
      <c r="AJ113" s="1160"/>
      <c r="AK113" s="1172">
        <f>SUM(AG113:AJ113)</f>
        <v>0</v>
      </c>
      <c r="AL113" s="1151"/>
      <c r="AM113" s="1186"/>
      <c r="AN113" s="1160"/>
      <c r="AO113" s="1160"/>
      <c r="AP113" s="1151"/>
      <c r="AQ113" s="1150">
        <f>SUM(AM113:AP113)</f>
        <v>0</v>
      </c>
      <c r="AR113" s="1151"/>
      <c r="AS113" s="1483"/>
      <c r="AT113" s="1462"/>
      <c r="AU113" s="1462"/>
      <c r="AV113" s="1151"/>
      <c r="AW113" s="1150">
        <f>SUM(AS113:AV113)</f>
        <v>0</v>
      </c>
      <c r="AX113" s="1151"/>
      <c r="AY113" s="1483"/>
      <c r="AZ113" s="1462"/>
      <c r="BA113" s="1462"/>
      <c r="BB113" s="1462"/>
      <c r="BC113" s="1150">
        <f>SUM(AY113:BB113)</f>
        <v>0</v>
      </c>
      <c r="BD113" s="1151"/>
      <c r="BE113" s="1483"/>
      <c r="BF113" s="1462"/>
      <c r="BG113" s="1462"/>
      <c r="BH113" s="1462"/>
      <c r="BI113" s="1150">
        <f>SUM(BE113:BH113)</f>
        <v>0</v>
      </c>
      <c r="BJ113" s="1151"/>
      <c r="BK113" s="1483"/>
      <c r="BL113" s="1462"/>
      <c r="BM113" s="1462"/>
      <c r="BN113" s="1462"/>
      <c r="BO113" s="1150">
        <f>SUM(BK113:BN113)</f>
        <v>0</v>
      </c>
      <c r="BP113" s="1151"/>
      <c r="BQ113" s="1189">
        <f>-CFS!BQ32*BS!BQ128</f>
        <v>0</v>
      </c>
      <c r="BR113" s="1151">
        <f>-CFS!BR32*BS!BR128</f>
        <v>0</v>
      </c>
      <c r="BS113" s="1151">
        <f>-CFS!BS32*BS!BS128</f>
        <v>0</v>
      </c>
      <c r="BT113" s="1151">
        <f>-CFS!BT32*BS!BT128</f>
        <v>0</v>
      </c>
      <c r="BU113" s="1150">
        <f>SUM(BQ113:BT113)</f>
        <v>0</v>
      </c>
      <c r="BV113" s="1151"/>
      <c r="BW113" s="1189">
        <f>-CFS!BW32*BS!BW128</f>
        <v>0</v>
      </c>
      <c r="BX113" s="1151">
        <f>-CFS!BX32*BS!BX128</f>
        <v>0</v>
      </c>
      <c r="BY113" s="1151">
        <f>-CFS!BY32*BS!BY128</f>
        <v>0</v>
      </c>
      <c r="BZ113" s="1151">
        <f>-CFS!BZ32*BS!BZ128</f>
        <v>0</v>
      </c>
      <c r="CA113" s="1150">
        <f>SUM(BW113:BZ113)</f>
        <v>0</v>
      </c>
      <c r="CB113" s="1151"/>
      <c r="CC113" s="1189">
        <f>-CFS!CC32*BS!CC128</f>
        <v>0</v>
      </c>
      <c r="CD113" s="1151">
        <f>-CFS!CD32*BS!CD128</f>
        <v>0</v>
      </c>
      <c r="CE113" s="1151">
        <f>-CFS!CE32*BS!CE128</f>
        <v>0</v>
      </c>
      <c r="CF113" s="1151">
        <f>-CFS!CF32*BS!CF128</f>
        <v>0</v>
      </c>
      <c r="CG113" s="1150">
        <f>SUM(CC113:CF113)</f>
        <v>0</v>
      </c>
      <c r="CH113" s="1151"/>
      <c r="CI113" s="1189">
        <f>-CFS!CI32*BS!CI128</f>
        <v>0</v>
      </c>
      <c r="CJ113" s="1151">
        <f>-CFS!CJ32*BS!CJ128</f>
        <v>0</v>
      </c>
      <c r="CK113" s="1151">
        <f>-CFS!CK32*BS!CK128</f>
        <v>0</v>
      </c>
      <c r="CL113" s="1151">
        <f>-CFS!CL32*BS!CL128</f>
        <v>0</v>
      </c>
      <c r="CM113" s="1150">
        <f>SUM(CI113:CL113)</f>
        <v>0</v>
      </c>
      <c r="CN113" s="1151"/>
      <c r="CO113" s="1189">
        <f>-CFS!CO32*BS!CO128</f>
        <v>0</v>
      </c>
      <c r="CP113" s="1151">
        <f>-CFS!CP32*BS!CP128</f>
        <v>0</v>
      </c>
      <c r="CQ113" s="1151">
        <f>-CFS!CQ32*BS!CQ128</f>
        <v>0</v>
      </c>
      <c r="CR113" s="1151">
        <f>-CFS!CR32*BS!CR128</f>
        <v>0</v>
      </c>
      <c r="CS113" s="1150">
        <f>SUM(CO113:CR113)</f>
        <v>0</v>
      </c>
      <c r="CT113" s="1151"/>
      <c r="CU113" s="63"/>
      <c r="CV113" s="63"/>
      <c r="CW113" s="63"/>
    </row>
    <row r="114" spans="1:101" outlineLevel="1">
      <c r="A114" s="267" t="s">
        <v>46</v>
      </c>
      <c r="B114" s="268"/>
      <c r="C114" s="1189"/>
      <c r="D114" s="1151"/>
      <c r="E114" s="1151"/>
      <c r="F114" s="1151"/>
      <c r="G114" s="1150">
        <f>-CFS!G12</f>
        <v>-2.4289999999999998</v>
      </c>
      <c r="H114" s="1282"/>
      <c r="I114" s="1189">
        <f>-CFS!I12</f>
        <v>-2.415</v>
      </c>
      <c r="J114" s="1151">
        <f>-CFS!J12</f>
        <v>-2.6689999999999996</v>
      </c>
      <c r="K114" s="1151">
        <f>-CFS!K12</f>
        <v>-2.7010000000000005</v>
      </c>
      <c r="L114" s="1151">
        <f>-CFS!L12</f>
        <v>-2.6530000000000005</v>
      </c>
      <c r="M114" s="1150">
        <f>-CFS!M12</f>
        <v>-10.438000000000001</v>
      </c>
      <c r="N114" s="1186"/>
      <c r="O114" s="1189">
        <f>-CFS!O12</f>
        <v>-1.67</v>
      </c>
      <c r="P114" s="1151">
        <f>-CFS!P12</f>
        <v>-1.67</v>
      </c>
      <c r="Q114" s="1151">
        <f>-CFS!Q12</f>
        <v>-1.67</v>
      </c>
      <c r="R114" s="1151">
        <f>-CFS!R12</f>
        <v>-1.67</v>
      </c>
      <c r="S114" s="1150">
        <f>-CFS!S12</f>
        <v>-6.68</v>
      </c>
      <c r="T114" s="1186"/>
      <c r="U114" s="1189">
        <f>-CFS!U12</f>
        <v>-1.62</v>
      </c>
      <c r="V114" s="1151">
        <f>-CFS!V12</f>
        <v>-1.5949999999999998</v>
      </c>
      <c r="W114" s="1151">
        <f>-CFS!W12</f>
        <v>-2.2949999999999999</v>
      </c>
      <c r="X114" s="1151">
        <f>-CFS!X12</f>
        <v>-2.2949999999999999</v>
      </c>
      <c r="Y114" s="1150">
        <f>-CFS!Y12</f>
        <v>-7.8049999999999997</v>
      </c>
      <c r="Z114" s="1186"/>
      <c r="AA114" s="1189">
        <f>-CFS!AA12</f>
        <v>-2.9849999999999999</v>
      </c>
      <c r="AB114" s="1151">
        <f>-CFS!AB12</f>
        <v>-3.3279999999999998</v>
      </c>
      <c r="AC114" s="1151">
        <f>-CFS!AC12</f>
        <v>-3.1879999999999997</v>
      </c>
      <c r="AD114" s="1151">
        <f>-CFS!AD12</f>
        <v>-3.1880000000000006</v>
      </c>
      <c r="AE114" s="1150">
        <f>-CFS!AE12</f>
        <v>-12.689</v>
      </c>
      <c r="AF114" s="1283"/>
      <c r="AG114" s="1189">
        <f>-CFS!AG12</f>
        <v>-3.1949999999999998</v>
      </c>
      <c r="AH114" s="1151">
        <f>-CFS!AH12</f>
        <v>-3.1949999999999998</v>
      </c>
      <c r="AI114" s="1151">
        <f>-CFS!AI12</f>
        <v>-3.7400000000000007</v>
      </c>
      <c r="AJ114" s="1151">
        <f>-CFS!AJ12</f>
        <v>-5.4109999999999996</v>
      </c>
      <c r="AK114" s="1150">
        <f>-CFS!AK12</f>
        <v>-15.541</v>
      </c>
      <c r="AL114" s="1283"/>
      <c r="AM114" s="1189">
        <f>-CFS!AM12</f>
        <v>-8.7720000000000002</v>
      </c>
      <c r="AN114" s="1151">
        <f>-CFS!AN12</f>
        <v>-11.389999999999999</v>
      </c>
      <c r="AO114" s="1151">
        <f>-CFS!AO12</f>
        <v>-13.515000000000002</v>
      </c>
      <c r="AP114" s="1151">
        <f>-CFS!AP12</f>
        <v>-13.438000000000002</v>
      </c>
      <c r="AQ114" s="1150">
        <f>SUM(AM114:AP114)</f>
        <v>-47.115000000000002</v>
      </c>
      <c r="AR114" s="1283"/>
      <c r="AS114" s="1583">
        <f>-CFS!AS12</f>
        <v>-13.814</v>
      </c>
      <c r="AT114" s="1584">
        <f>-CFS!AT12</f>
        <v>-12.134</v>
      </c>
      <c r="AU114" s="1584">
        <f>-CFS!AU12</f>
        <v>-11.890999999999998</v>
      </c>
      <c r="AV114" s="1584">
        <f>-CFS!AV12</f>
        <v>-12.829999999999998</v>
      </c>
      <c r="AW114" s="1150">
        <f>SUM(AS114:AV114)</f>
        <v>-50.668999999999997</v>
      </c>
      <c r="AX114" s="1283"/>
      <c r="AY114" s="1583">
        <f>-CFS!AY12</f>
        <v>-13.348000000000001</v>
      </c>
      <c r="AZ114" s="1584">
        <f>-CFS!AZ12</f>
        <v>-13.249999999999998</v>
      </c>
      <c r="BA114" s="1584">
        <f>-CFS!BA12</f>
        <v>-14.286000000000001</v>
      </c>
      <c r="BB114" s="1584">
        <f>-CFS!BB12</f>
        <v>-12.847999999999999</v>
      </c>
      <c r="BC114" s="1150">
        <f>SUM(AY114:BB114)</f>
        <v>-53.731999999999999</v>
      </c>
      <c r="BD114" s="1283"/>
      <c r="BE114" s="1583">
        <f>-CFS!BE12</f>
        <v>-12.545</v>
      </c>
      <c r="BF114" s="1584">
        <f>-CFS!BF12</f>
        <v>-12.598000000000001</v>
      </c>
      <c r="BG114" s="1584">
        <f>-CFS!BG12</f>
        <v>-12.908000000000001</v>
      </c>
      <c r="BH114" s="1584">
        <f>-CFS!BH12</f>
        <v>-12.908999999999999</v>
      </c>
      <c r="BI114" s="1150">
        <f>SUM(BE114:BH114)</f>
        <v>-50.96</v>
      </c>
      <c r="BJ114" s="1283"/>
      <c r="BK114" s="1583">
        <f>-CFS!BK12</f>
        <v>-12</v>
      </c>
      <c r="BL114" s="1584">
        <f>-CFS!BL12</f>
        <v>-12</v>
      </c>
      <c r="BM114" s="1584">
        <f>-CFS!BM12</f>
        <v>-12</v>
      </c>
      <c r="BN114" s="1584">
        <f>-CFS!BN12</f>
        <v>-10</v>
      </c>
      <c r="BO114" s="1150">
        <f>SUM(BK114:BN114)</f>
        <v>-46</v>
      </c>
      <c r="BP114" s="1283"/>
      <c r="BQ114" s="102">
        <f>BU114/4</f>
        <v>-10</v>
      </c>
      <c r="BR114" s="15">
        <f>(BU114-BQ114)/3</f>
        <v>-10</v>
      </c>
      <c r="BS114" s="15">
        <f>(BU114-SUM(BQ114:BR114))/2</f>
        <v>-10</v>
      </c>
      <c r="BT114" s="103">
        <f>BU114-SUM(BQ114:BS114)</f>
        <v>-10</v>
      </c>
      <c r="BU114" s="2644">
        <v>-40</v>
      </c>
      <c r="BV114" s="1283"/>
      <c r="BW114" s="102">
        <f>CA114/4</f>
        <v>-10</v>
      </c>
      <c r="BX114" s="15">
        <f>(CA114-BW114)/3</f>
        <v>-10</v>
      </c>
      <c r="BY114" s="15">
        <f>(CA114-SUM(BW114:BX114))/2</f>
        <v>-10</v>
      </c>
      <c r="BZ114" s="103">
        <f>CA114-SUM(BW114:BY114)</f>
        <v>-10</v>
      </c>
      <c r="CA114" s="2644">
        <v>-40</v>
      </c>
      <c r="CB114" s="1283"/>
      <c r="CC114" s="102">
        <f>CG114/4</f>
        <v>-10</v>
      </c>
      <c r="CD114" s="15">
        <f>(CG114-CC114)/3</f>
        <v>-10</v>
      </c>
      <c r="CE114" s="15">
        <f>(CG114-SUM(CC114:CD114))/2</f>
        <v>-10</v>
      </c>
      <c r="CF114" s="103">
        <f>CG114-SUM(CC114:CE114)</f>
        <v>-10</v>
      </c>
      <c r="CG114" s="2644">
        <v>-40</v>
      </c>
      <c r="CH114" s="1283"/>
      <c r="CI114" s="102">
        <f>CM114/4</f>
        <v>-7.5</v>
      </c>
      <c r="CJ114" s="15">
        <f>(CM114-CI114)/3</f>
        <v>-7.5</v>
      </c>
      <c r="CK114" s="15">
        <f>(CM114-SUM(CI114:CJ114))/2</f>
        <v>-7.5</v>
      </c>
      <c r="CL114" s="103">
        <f>CM114-SUM(CI114:CK114)</f>
        <v>-7.5</v>
      </c>
      <c r="CM114" s="2644">
        <v>-30</v>
      </c>
      <c r="CN114" s="1283"/>
      <c r="CO114" s="102">
        <f>CS114/4</f>
        <v>-5</v>
      </c>
      <c r="CP114" s="15">
        <f>(CS114-CO114)/3</f>
        <v>-5</v>
      </c>
      <c r="CQ114" s="15">
        <f>(CS114-SUM(CO114:CP114))/2</f>
        <v>-5</v>
      </c>
      <c r="CR114" s="103">
        <f>CS114-SUM(CO114:CQ114)</f>
        <v>-5</v>
      </c>
      <c r="CS114" s="2644">
        <v>-20</v>
      </c>
      <c r="CT114" s="1283"/>
      <c r="CU114" s="63"/>
      <c r="CV114" s="63"/>
      <c r="CW114" s="63"/>
    </row>
    <row r="115" spans="1:101" outlineLevel="1">
      <c r="A115" s="269" t="s">
        <v>356</v>
      </c>
      <c r="B115" s="270"/>
      <c r="C115" s="1248"/>
      <c r="D115" s="1249"/>
      <c r="E115" s="1249"/>
      <c r="F115" s="1249"/>
      <c r="G115" s="1285">
        <f>-G114/G112</f>
        <v>2.5730932203389831</v>
      </c>
      <c r="H115" s="1282"/>
      <c r="I115" s="1248">
        <f>-(I114*4)/I112</f>
        <v>0.16621928556679744</v>
      </c>
      <c r="J115" s="1249">
        <f>-(J114*4)/J112</f>
        <v>0.19170407613575147</v>
      </c>
      <c r="K115" s="1249">
        <f>-(K114*4)/K112</f>
        <v>0.20380675708815155</v>
      </c>
      <c r="L115" s="1249">
        <f>-(L114*4)/L112</f>
        <v>0.21097834947016844</v>
      </c>
      <c r="M115" s="1250">
        <f>-M114/M112</f>
        <v>0.1796063046321151</v>
      </c>
      <c r="N115" s="1186"/>
      <c r="O115" s="1248">
        <f>-(O114*4)/O112</f>
        <v>0.13988064077059992</v>
      </c>
      <c r="P115" s="1249">
        <f>-(P114*4)/P112</f>
        <v>0.14500303898584702</v>
      </c>
      <c r="Q115" s="1249">
        <f>-(Q114*4)/Q112</f>
        <v>0.14909050329204329</v>
      </c>
      <c r="R115" s="1249">
        <f>-(R114*4)/R112</f>
        <v>0.15503516141759693</v>
      </c>
      <c r="S115" s="1250">
        <f>-S114/S112</f>
        <v>0.13988064077059992</v>
      </c>
      <c r="T115" s="1186"/>
      <c r="U115" s="1248">
        <f>-(U114*4)/U112</f>
        <v>0.14798574952041657</v>
      </c>
      <c r="V115" s="1249">
        <f>-(V114*4)/V112</f>
        <v>0.15167724603570831</v>
      </c>
      <c r="W115" s="1249">
        <f>-(W114*4)/W112</f>
        <v>0.1305869299268827</v>
      </c>
      <c r="X115" s="1249">
        <f>-(X114*4)/X112</f>
        <v>0.12691302724897349</v>
      </c>
      <c r="Y115" s="1250">
        <f>-Y114/Y112</f>
        <v>0.17824518132821779</v>
      </c>
      <c r="Z115" s="1186"/>
      <c r="AA115" s="1248">
        <f>-(AA114*4)/AA112</f>
        <v>0.17051296698274876</v>
      </c>
      <c r="AB115" s="1249">
        <f>-(AB114*4)/AB112</f>
        <v>0.1124143929605891</v>
      </c>
      <c r="AC115" s="1249">
        <f>-(AC114*4)/AC112</f>
        <v>0.11314192426447102</v>
      </c>
      <c r="AD115" s="1249">
        <f>-(AD114*4)/AD112</f>
        <v>0.11617334900288796</v>
      </c>
      <c r="AE115" s="1250">
        <f>-AE114/AE112</f>
        <v>0.18120929966868501</v>
      </c>
      <c r="AF115" s="1249"/>
      <c r="AG115" s="1248">
        <f>-(AG114*4)/AG112</f>
        <v>0.12002817562808171</v>
      </c>
      <c r="AH115" s="1249">
        <f>-(AH114*4)/AH112</f>
        <v>0.12406923801295057</v>
      </c>
      <c r="AI115" s="1249">
        <f>-(AI114*4)/AI112</f>
        <v>0.16807666812722596</v>
      </c>
      <c r="AJ115" s="1249">
        <f>-(AJ114*4)/AJ112</f>
        <v>0.16052926299238293</v>
      </c>
      <c r="AK115" s="1250">
        <f>-AK114/AK112</f>
        <v>0.14595914533928153</v>
      </c>
      <c r="AL115" s="1249"/>
      <c r="AM115" s="1248">
        <f>-(AM114*4)/AM112</f>
        <v>0.2695013671694983</v>
      </c>
      <c r="AN115" s="1249">
        <f>-(AN114*4)/AN112</f>
        <v>0.14830053317882647</v>
      </c>
      <c r="AO115" s="1249">
        <f>-(AO114*4)/AO112</f>
        <v>0.17755502202194645</v>
      </c>
      <c r="AP115" s="1249">
        <f>-(AP114*4)/AP112</f>
        <v>0.18042972565632021</v>
      </c>
      <c r="AQ115" s="1250">
        <f>-AQ114/AQ112</f>
        <v>0.36187747703462475</v>
      </c>
      <c r="AR115" s="1249"/>
      <c r="AS115" s="1473">
        <f>-(AS114*4)/AS112</f>
        <v>0.1668493506415076</v>
      </c>
      <c r="AT115" s="1521">
        <f>-(AT114*4)/AT112</f>
        <v>0.1531181384549378</v>
      </c>
      <c r="AU115" s="1521">
        <f>-(AU114*4)/AU112</f>
        <v>0.15602427423322943</v>
      </c>
      <c r="AV115" s="1249">
        <f>-(AV114*4)/AV112</f>
        <v>0.17144097947184683</v>
      </c>
      <c r="AW115" s="1250">
        <f>-AW114/AW112</f>
        <v>0.15299858382174875</v>
      </c>
      <c r="AX115" s="1249"/>
      <c r="AY115" s="1473">
        <f>-(AY114*4)/AY112</f>
        <v>0.16976788553259142</v>
      </c>
      <c r="AZ115" s="1521">
        <f>-(AZ114*4)/AZ112</f>
        <v>0.17590324657652451</v>
      </c>
      <c r="BA115" s="1521">
        <f>-(BA114*4)/BA112</f>
        <v>0.19829479798873609</v>
      </c>
      <c r="BB115" s="1521">
        <f>-(BB114*4)/BB112</f>
        <v>0.17947518037618823</v>
      </c>
      <c r="BC115" s="1250">
        <f>-BC114/BC112</f>
        <v>0.17084896661367249</v>
      </c>
      <c r="BD115" s="1249"/>
      <c r="BE115" s="1473">
        <f>-(BE114*4)/BE112</f>
        <v>0.18339235658081801</v>
      </c>
      <c r="BF115" s="1521">
        <f>-(BF114*4)/BF112</f>
        <v>0.18693058729263731</v>
      </c>
      <c r="BG115" s="1521">
        <f>-(BG114*4)/BG112</f>
        <v>0.19232015614465733</v>
      </c>
      <c r="BH115" s="1521">
        <f>-(BH114*4)/BH112</f>
        <v>0.20205039912349348</v>
      </c>
      <c r="BI115" s="1250">
        <f>-BI114/BI112</f>
        <v>0.18624301497326595</v>
      </c>
      <c r="BJ115" s="1249"/>
      <c r="BK115" s="1473">
        <f>-(BK114*4)/BK112</f>
        <v>0.19781415360269028</v>
      </c>
      <c r="BL115" s="1521">
        <f>-(BL114*4)/BL112</f>
        <v>0.2318840579710145</v>
      </c>
      <c r="BM115" s="1521">
        <f>-(BM114*4)/BM112</f>
        <v>0.24489795918367346</v>
      </c>
      <c r="BN115" s="1521">
        <f>-(BN114*4)/BN112</f>
        <v>0.21621621621621623</v>
      </c>
      <c r="BO115" s="1250">
        <f>-BO114/BO112</f>
        <v>0.18957189720257819</v>
      </c>
      <c r="BP115" s="1249"/>
      <c r="BQ115" s="1248">
        <f>-(BQ114*4)/BQ112</f>
        <v>0.22857142857142856</v>
      </c>
      <c r="BR115" s="1249">
        <f>-(BR114*4)/BR112</f>
        <v>0.24242424242424243</v>
      </c>
      <c r="BS115" s="1249">
        <f>-(BS114*4)/BS112</f>
        <v>0.25806451612903225</v>
      </c>
      <c r="BT115" s="1249">
        <f>-(BT114*4)/BT112</f>
        <v>0.27586206896551724</v>
      </c>
      <c r="BU115" s="1250">
        <f>-BU114/BU112</f>
        <v>0.22857142857142856</v>
      </c>
      <c r="BV115" s="1249"/>
      <c r="BW115" s="1248">
        <f>-(BW114*4)/BW112</f>
        <v>0.29629629629629628</v>
      </c>
      <c r="BX115" s="1249">
        <f>-(BX114*4)/BX112</f>
        <v>0.32</v>
      </c>
      <c r="BY115" s="1249">
        <f>-(BY114*4)/BY112</f>
        <v>0.34782608695652173</v>
      </c>
      <c r="BZ115" s="1249">
        <f>-(BZ114*4)/BZ112</f>
        <v>0.38095238095238093</v>
      </c>
      <c r="CA115" s="1250">
        <f>-CA114/CA112</f>
        <v>0.29629629629629628</v>
      </c>
      <c r="CB115" s="1249"/>
      <c r="CC115" s="1248">
        <f>-(CC114*4)/CC112</f>
        <v>0.42105263157894735</v>
      </c>
      <c r="CD115" s="1249">
        <f>-(CD114*4)/CD112</f>
        <v>0.47058823529411764</v>
      </c>
      <c r="CE115" s="1249">
        <f>-(CE114*4)/CE112</f>
        <v>0.53333333333333333</v>
      </c>
      <c r="CF115" s="1249">
        <f>-(CF114*4)/CF112</f>
        <v>0.61538461538461542</v>
      </c>
      <c r="CG115" s="1250">
        <f>-CG114/CG112</f>
        <v>0.42105263157894735</v>
      </c>
      <c r="CH115" s="1249"/>
      <c r="CI115" s="1248">
        <f>-(CI114*4)/CI112</f>
        <v>0.54545454545454541</v>
      </c>
      <c r="CJ115" s="1249">
        <f>-(CJ114*4)/CJ112</f>
        <v>0.63157894736842102</v>
      </c>
      <c r="CK115" s="1249">
        <f>-(CK114*4)/CK112</f>
        <v>0.75</v>
      </c>
      <c r="CL115" s="1249">
        <f>-(CL114*4)/CL112</f>
        <v>0.92307692307692313</v>
      </c>
      <c r="CM115" s="1250">
        <f>-CM114/CM112</f>
        <v>0.54545454545454541</v>
      </c>
      <c r="CN115" s="1249"/>
      <c r="CO115" s="1248">
        <f>-(CO114*4)/CO112</f>
        <v>0.8</v>
      </c>
      <c r="CP115" s="1249">
        <f>-(CP114*4)/CP112</f>
        <v>1</v>
      </c>
      <c r="CQ115" s="1249">
        <f>-(CQ114*4)/CQ112</f>
        <v>1.3333333333333333</v>
      </c>
      <c r="CR115" s="1249">
        <f>-(CR114*4)/CR112</f>
        <v>2</v>
      </c>
      <c r="CS115" s="1250">
        <f>-CS114/CS112</f>
        <v>0.8</v>
      </c>
      <c r="CT115" s="1249"/>
      <c r="CU115" s="63"/>
      <c r="CV115" s="63"/>
      <c r="CW115" s="63"/>
    </row>
    <row r="116" spans="1:101" outlineLevel="1">
      <c r="A116" s="267" t="s">
        <v>204</v>
      </c>
      <c r="B116" s="268"/>
      <c r="C116" s="1286"/>
      <c r="D116" s="1282"/>
      <c r="E116" s="1282"/>
      <c r="F116" s="1282"/>
      <c r="G116" s="1281">
        <f>+G117-G112-G113-G114</f>
        <v>59.600999999999999</v>
      </c>
      <c r="H116" s="1282"/>
      <c r="I116" s="1286">
        <f>+I117-I112-I113-I114</f>
        <v>-1.1000000000001897E-2</v>
      </c>
      <c r="J116" s="1282">
        <f>+J117-J112-J113-J114</f>
        <v>-9.9999999999953459E-3</v>
      </c>
      <c r="K116" s="1282">
        <f>+K117-K112-K113-K114</f>
        <v>-1.1000000000002785E-2</v>
      </c>
      <c r="L116" s="1282">
        <f>+L117-L112-L113-L114</f>
        <v>0.10900000000000354</v>
      </c>
      <c r="M116" s="1266">
        <f>+M117-M112-M113-M114</f>
        <v>7.700000000000351E-2</v>
      </c>
      <c r="N116" s="1186"/>
      <c r="O116" s="1286">
        <f>+O117-O112-O113-O114</f>
        <v>-1.7000000000004789E-2</v>
      </c>
      <c r="P116" s="1282">
        <f>+P117-P112-P113-P114</f>
        <v>0.4070000000000018</v>
      </c>
      <c r="Q116" s="1282">
        <f>+Q117-Q112-Q113-Q114</f>
        <v>-4.799999999999649E-2</v>
      </c>
      <c r="R116" s="1282">
        <f>+R117-R112-R113-R114</f>
        <v>2.3709999999999933</v>
      </c>
      <c r="S116" s="1266">
        <f>SUM(O116:R116)</f>
        <v>2.7129999999999939</v>
      </c>
      <c r="T116" s="1186"/>
      <c r="U116" s="1286">
        <f>+U117-U112-U113-U114</f>
        <v>-0.10499999999999421</v>
      </c>
      <c r="V116" s="1282">
        <f>+V117-V112-V113-V114</f>
        <v>29.83</v>
      </c>
      <c r="W116" s="1282">
        <f>+W117-W112-W113-W114</f>
        <v>4.3299999999999965</v>
      </c>
      <c r="X116" s="1282">
        <f>+X117-X112-X113-X114</f>
        <v>-1.399999999999757E-2</v>
      </c>
      <c r="Y116" s="1266">
        <f>SUM(U116:X116)</f>
        <v>34.041000000000004</v>
      </c>
      <c r="Z116" s="1186"/>
      <c r="AA116" s="1286">
        <f>+AA117-AA112-AA113-AA114</f>
        <v>51.379999999999995</v>
      </c>
      <c r="AB116" s="1282">
        <f>+AB117-AB112-AB113-AB114</f>
        <v>-2.3829999999999987</v>
      </c>
      <c r="AC116" s="1282">
        <f>+AC117-AC112-AC113-AC114</f>
        <v>0.24699999999999722</v>
      </c>
      <c r="AD116" s="1282">
        <f>+AD117-AD112-AD113-AD114</f>
        <v>-0.10400000000000098</v>
      </c>
      <c r="AE116" s="1150">
        <f>SUM(AA116:AD116)</f>
        <v>49.14</v>
      </c>
      <c r="AF116" s="1151"/>
      <c r="AG116" s="1286">
        <f>+AG117-AG112-AG113-AG114</f>
        <v>-0.27299999999998947</v>
      </c>
      <c r="AH116" s="1282">
        <f>+AH117-AH112-AH113-AH114</f>
        <v>-10.805</v>
      </c>
      <c r="AI116" s="1282">
        <f>+AI117-AI112-AI113-AI114</f>
        <v>49.562000000000005</v>
      </c>
      <c r="AJ116" s="1282">
        <f>+AJ117-AJ112-AJ113-AJ114</f>
        <v>0.77799999999998981</v>
      </c>
      <c r="AK116" s="1266">
        <f>SUM(AG116:AJ116)</f>
        <v>39.262000000000008</v>
      </c>
      <c r="AL116" s="1151"/>
      <c r="AM116" s="1286">
        <f>+AM117-AM112-AM113-AM114</f>
        <v>185.79</v>
      </c>
      <c r="AN116" s="1282">
        <f>+AN117-AN112-AN113-AN114</f>
        <v>8.6449999999999942</v>
      </c>
      <c r="AO116" s="1282">
        <f>+AO117-AO112-AO113-AO114</f>
        <v>6.9570000000000096</v>
      </c>
      <c r="AP116" s="1282">
        <f>+AP117-AP112-AP113-AP114</f>
        <v>46.7</v>
      </c>
      <c r="AQ116" s="1150">
        <f>SUM(AM116:AP116)</f>
        <v>248.09199999999998</v>
      </c>
      <c r="AR116" s="1151"/>
      <c r="AS116" s="1484">
        <f>+AS117-AS112-AS113-AS114</f>
        <v>-0.37500000000002132</v>
      </c>
      <c r="AT116" s="1529">
        <f>+AT117-AT112-AT113-AT114</f>
        <v>4.2632564145606011E-14</v>
      </c>
      <c r="AU116" s="1529">
        <f>+AU117-AU112-AU113-AU114</f>
        <v>6.3860000000000028</v>
      </c>
      <c r="AV116" s="1282">
        <f>+AV117-AV112-AV113-AV114</f>
        <v>27.984999999999971</v>
      </c>
      <c r="AW116" s="1150">
        <f>SUM(AS116:AV116)</f>
        <v>33.995999999999995</v>
      </c>
      <c r="AX116" s="1151"/>
      <c r="AY116" s="1484">
        <f>+AY117-AY112-AY113-AY114</f>
        <v>0.15000000000002167</v>
      </c>
      <c r="AZ116" s="1529">
        <f>+AZ117-AZ112-AZ113-AZ114</f>
        <v>0.12499999999999822</v>
      </c>
      <c r="BA116" s="1529">
        <f>+BA117-BA112-BA113-BA114</f>
        <v>12.454999999999984</v>
      </c>
      <c r="BB116" s="1529">
        <f>+BB117-BB112-BB113-BB114</f>
        <v>0.12299999999997624</v>
      </c>
      <c r="BC116" s="1150">
        <f>SUM(AY116:BB116)</f>
        <v>12.85299999999998</v>
      </c>
      <c r="BD116" s="1151"/>
      <c r="BE116" s="1484">
        <f>+BE117-BE112-BE113-BE114</f>
        <v>8.5000000000000409</v>
      </c>
      <c r="BF116" s="1529">
        <f>+BF117-BF112-BF113-BF114</f>
        <v>11.490999999999973</v>
      </c>
      <c r="BG116" s="1529">
        <f>+BG117-BG112-BG113-BG114</f>
        <v>-9.9999999999056399E-4</v>
      </c>
      <c r="BH116" s="1529">
        <f>+BH117-BH112-BH113-BH114</f>
        <v>9.9999999998345857E-4</v>
      </c>
      <c r="BI116" s="1150">
        <f>SUM(BE116:BH116)</f>
        <v>19.991000000000007</v>
      </c>
      <c r="BJ116" s="1151"/>
      <c r="BK116" s="1484">
        <f>+BK117-BK112-BK113-BK114</f>
        <v>-23.651999999999987</v>
      </c>
      <c r="BL116" s="1529">
        <f>+BL117-BL112-BL113-BL114</f>
        <v>1</v>
      </c>
      <c r="BM116" s="1529">
        <f>+BM117-BM112-BM113-BM114</f>
        <v>1</v>
      </c>
      <c r="BN116" s="1529">
        <f>+BN117-BN112-BN113-BN114</f>
        <v>0</v>
      </c>
      <c r="BO116" s="1150">
        <f>SUM(BK116:BN116)</f>
        <v>-21.651999999999987</v>
      </c>
      <c r="BP116" s="1151"/>
      <c r="BQ116" s="1288">
        <f>-CFS!BQ13</f>
        <v>0</v>
      </c>
      <c r="BR116" s="1287">
        <f>-CFS!BR13</f>
        <v>0</v>
      </c>
      <c r="BS116" s="1287">
        <f>-CFS!BS13</f>
        <v>0</v>
      </c>
      <c r="BT116" s="1287">
        <f>-CFS!BT13</f>
        <v>0</v>
      </c>
      <c r="BU116" s="1150">
        <f>SUM(BQ116:BT116)</f>
        <v>0</v>
      </c>
      <c r="BV116" s="1151"/>
      <c r="BW116" s="1288">
        <f>-CFS!BW13</f>
        <v>0</v>
      </c>
      <c r="BX116" s="1287">
        <f>-CFS!BX13</f>
        <v>0</v>
      </c>
      <c r="BY116" s="1287">
        <f>-CFS!BY13</f>
        <v>0</v>
      </c>
      <c r="BZ116" s="1287">
        <f>-CFS!BZ13</f>
        <v>0</v>
      </c>
      <c r="CA116" s="1150">
        <f>SUM(BW116:BZ116)</f>
        <v>0</v>
      </c>
      <c r="CB116" s="1151"/>
      <c r="CC116" s="1288">
        <f>-CFS!CC13</f>
        <v>0</v>
      </c>
      <c r="CD116" s="1287">
        <f>-CFS!CD13</f>
        <v>0</v>
      </c>
      <c r="CE116" s="1287">
        <f>-CFS!CE13</f>
        <v>0</v>
      </c>
      <c r="CF116" s="1287">
        <f>-CFS!CF13</f>
        <v>0</v>
      </c>
      <c r="CG116" s="1150">
        <f>SUM(CC116:CF116)</f>
        <v>0</v>
      </c>
      <c r="CH116" s="1151"/>
      <c r="CI116" s="1288">
        <f>-CFS!CI13</f>
        <v>0</v>
      </c>
      <c r="CJ116" s="1287">
        <f>-CFS!CJ13</f>
        <v>0</v>
      </c>
      <c r="CK116" s="1287">
        <f>-CFS!CK13</f>
        <v>0</v>
      </c>
      <c r="CL116" s="1287">
        <f>-CFS!CL13</f>
        <v>0</v>
      </c>
      <c r="CM116" s="1150">
        <f>SUM(CI116:CL116)</f>
        <v>0</v>
      </c>
      <c r="CN116" s="1151"/>
      <c r="CO116" s="1288">
        <f>-CFS!CO13</f>
        <v>0</v>
      </c>
      <c r="CP116" s="1287">
        <f>-CFS!CP13</f>
        <v>0</v>
      </c>
      <c r="CQ116" s="1287">
        <f>-CFS!CQ13</f>
        <v>0</v>
      </c>
      <c r="CR116" s="1287">
        <f>-CFS!CR13</f>
        <v>0</v>
      </c>
      <c r="CS116" s="1150">
        <f>SUM(CO116:CR116)</f>
        <v>0</v>
      </c>
      <c r="CT116" s="1151"/>
      <c r="CU116" s="63"/>
      <c r="CV116" s="63"/>
      <c r="CW116" s="63"/>
    </row>
    <row r="117" spans="1:101" outlineLevel="1">
      <c r="A117" s="271" t="s">
        <v>357</v>
      </c>
      <c r="B117" s="272"/>
      <c r="C117" s="1228"/>
      <c r="D117" s="1229"/>
      <c r="E117" s="1229"/>
      <c r="F117" s="1289"/>
      <c r="G117" s="1290">
        <f>61.429-3.313</f>
        <v>58.116</v>
      </c>
      <c r="H117" s="1220"/>
      <c r="I117" s="1228">
        <f>I21</f>
        <v>55.69</v>
      </c>
      <c r="J117" s="1229">
        <f>J21</f>
        <v>53.011000000000003</v>
      </c>
      <c r="K117" s="1229">
        <f>K21</f>
        <v>50.298999999999999</v>
      </c>
      <c r="L117" s="1229">
        <f>L21</f>
        <v>47.755000000000003</v>
      </c>
      <c r="M117" s="1230">
        <f>M21</f>
        <v>47.755000000000003</v>
      </c>
      <c r="N117" s="1291"/>
      <c r="O117" s="1228">
        <f>O21</f>
        <v>46.067999999999998</v>
      </c>
      <c r="P117" s="1229">
        <f>P21</f>
        <v>44.805</v>
      </c>
      <c r="Q117" s="1229">
        <f>Q21</f>
        <v>43.087000000000003</v>
      </c>
      <c r="R117" s="1229">
        <f>R21</f>
        <v>43.787999999999997</v>
      </c>
      <c r="S117" s="1230">
        <f>SUM(S112+S114+S116)</f>
        <v>43.787999999999997</v>
      </c>
      <c r="T117" s="1291"/>
      <c r="U117" s="1228">
        <f>U21</f>
        <v>42.063000000000002</v>
      </c>
      <c r="V117" s="1229">
        <f>V21</f>
        <v>70.298000000000002</v>
      </c>
      <c r="W117" s="1229">
        <f>W21</f>
        <v>72.332999999999998</v>
      </c>
      <c r="X117" s="1229">
        <f>X21</f>
        <v>70.024000000000001</v>
      </c>
      <c r="Y117" s="1230">
        <f>SUM(Y112+Y114+Y116)</f>
        <v>70.024000000000001</v>
      </c>
      <c r="Z117" s="1291"/>
      <c r="AA117" s="1228">
        <f>AA21</f>
        <v>118.419</v>
      </c>
      <c r="AB117" s="1229">
        <f>AB21</f>
        <v>112.708</v>
      </c>
      <c r="AC117" s="1229">
        <f>AC21</f>
        <v>109.767</v>
      </c>
      <c r="AD117" s="1229">
        <f>AD21</f>
        <v>106.47499999999999</v>
      </c>
      <c r="AE117" s="1230">
        <f>AE112+AE113+AE114+AE116</f>
        <v>106.47499999999999</v>
      </c>
      <c r="AF117" s="1229"/>
      <c r="AG117" s="1228">
        <f>AG21</f>
        <v>103.00700000000001</v>
      </c>
      <c r="AH117" s="1229">
        <f>AH21</f>
        <v>89.007000000000005</v>
      </c>
      <c r="AI117" s="1229">
        <f>AI21</f>
        <v>134.82900000000001</v>
      </c>
      <c r="AJ117" s="1229">
        <f>AJ21</f>
        <v>130.196</v>
      </c>
      <c r="AK117" s="1230">
        <f>AK112+AK113+AK114+AK116</f>
        <v>130.196</v>
      </c>
      <c r="AL117" s="1229"/>
      <c r="AM117" s="1228">
        <f>AM21</f>
        <v>307.214</v>
      </c>
      <c r="AN117" s="1229">
        <f>AN21</f>
        <v>304.46899999999999</v>
      </c>
      <c r="AO117" s="1229">
        <f>AO21</f>
        <v>297.911</v>
      </c>
      <c r="AP117" s="1229">
        <f>AP21</f>
        <v>331.173</v>
      </c>
      <c r="AQ117" s="1230">
        <f>AQ112+AQ113+AQ114+AQ116</f>
        <v>331.173</v>
      </c>
      <c r="AR117" s="1229"/>
      <c r="AS117" s="1465">
        <f>AS21</f>
        <v>316.98399999999998</v>
      </c>
      <c r="AT117" s="1471">
        <f>AT21</f>
        <v>304.85000000000002</v>
      </c>
      <c r="AU117" s="1471">
        <f>AU21</f>
        <v>299.34500000000003</v>
      </c>
      <c r="AV117" s="1229">
        <f>AV21</f>
        <v>314.5</v>
      </c>
      <c r="AW117" s="1230">
        <f>AW112+AW113+AW114+AW116</f>
        <v>314.5</v>
      </c>
      <c r="AX117" s="1229"/>
      <c r="AY117" s="1465">
        <f>AY21</f>
        <v>301.30200000000002</v>
      </c>
      <c r="AZ117" s="1471">
        <f>AZ21</f>
        <v>288.17700000000002</v>
      </c>
      <c r="BA117" s="1471">
        <f>BA21</f>
        <v>286.346</v>
      </c>
      <c r="BB117" s="1471">
        <f>BB21</f>
        <v>273.62099999999998</v>
      </c>
      <c r="BC117" s="1230">
        <f>BC112+BC113+BC114+BC116</f>
        <v>273.62099999999998</v>
      </c>
      <c r="BD117" s="1229"/>
      <c r="BE117" s="1465">
        <f>BE21</f>
        <v>269.57600000000002</v>
      </c>
      <c r="BF117" s="1471">
        <f>BF21</f>
        <v>268.46899999999999</v>
      </c>
      <c r="BG117" s="1471">
        <f>BG21</f>
        <v>255.56</v>
      </c>
      <c r="BH117" s="1471">
        <f>BH21</f>
        <v>242.65199999999999</v>
      </c>
      <c r="BI117" s="1230">
        <f>BI112+BI113+BI114+BI116</f>
        <v>242.65199999999999</v>
      </c>
      <c r="BJ117" s="1229"/>
      <c r="BK117" s="1465">
        <f>BK21</f>
        <v>207</v>
      </c>
      <c r="BL117" s="1471">
        <f>BL21</f>
        <v>196</v>
      </c>
      <c r="BM117" s="1471">
        <f>BM21</f>
        <v>185</v>
      </c>
      <c r="BN117" s="1471">
        <f>BN21</f>
        <v>175</v>
      </c>
      <c r="BO117" s="1230">
        <f>BO112+BO113+BO114+BO116</f>
        <v>175</v>
      </c>
      <c r="BP117" s="1229"/>
      <c r="BQ117" s="1228">
        <f>BQ112+BQ113+BQ114+BQ116</f>
        <v>165</v>
      </c>
      <c r="BR117" s="1229">
        <f>BR112+BR113+BR114+BR116</f>
        <v>155</v>
      </c>
      <c r="BS117" s="1229">
        <f>BS112+BS113+BS114+BS116</f>
        <v>145</v>
      </c>
      <c r="BT117" s="1229">
        <f>BT112+BT113+BT114+BT116</f>
        <v>135</v>
      </c>
      <c r="BU117" s="1230">
        <f>BU112+BU113+BU114+BU116</f>
        <v>135</v>
      </c>
      <c r="BV117" s="1229"/>
      <c r="BW117" s="1228">
        <f>BW112+BW113+BW114+BW116</f>
        <v>125</v>
      </c>
      <c r="BX117" s="1229">
        <f>BX112+BX113+BX114+BX116</f>
        <v>115</v>
      </c>
      <c r="BY117" s="1229">
        <f>BY112+BY113+BY114+BY116</f>
        <v>105</v>
      </c>
      <c r="BZ117" s="1229">
        <f>BZ112+BZ113+BZ114+BZ116</f>
        <v>95</v>
      </c>
      <c r="CA117" s="1230">
        <f>CA112+CA113+CA114+CA116</f>
        <v>95</v>
      </c>
      <c r="CB117" s="1229"/>
      <c r="CC117" s="1228">
        <f>CC112+CC113+CC114+CC116</f>
        <v>85</v>
      </c>
      <c r="CD117" s="1229">
        <f>CD112+CD113+CD114+CD116</f>
        <v>75</v>
      </c>
      <c r="CE117" s="1229">
        <f>CE112+CE113+CE114+CE116</f>
        <v>65</v>
      </c>
      <c r="CF117" s="1229">
        <f>CF112+CF113+CF114+CF116</f>
        <v>55</v>
      </c>
      <c r="CG117" s="1230">
        <f>CG112+CG113+CG114+CG116</f>
        <v>55</v>
      </c>
      <c r="CH117" s="1229"/>
      <c r="CI117" s="1228">
        <f>CI112+CI113+CI114+CI116</f>
        <v>47.5</v>
      </c>
      <c r="CJ117" s="1229">
        <f>CJ112+CJ113+CJ114+CJ116</f>
        <v>40</v>
      </c>
      <c r="CK117" s="1229">
        <f>CK112+CK113+CK114+CK116</f>
        <v>32.5</v>
      </c>
      <c r="CL117" s="1229">
        <f>CL112+CL113+CL114+CL116</f>
        <v>25</v>
      </c>
      <c r="CM117" s="1230">
        <f>CM112+CM113+CM114+CM116</f>
        <v>25</v>
      </c>
      <c r="CN117" s="1229"/>
      <c r="CO117" s="1228">
        <f>CO112+CO113+CO114+CO116</f>
        <v>20</v>
      </c>
      <c r="CP117" s="1229">
        <f>CP112+CP113+CP114+CP116</f>
        <v>15</v>
      </c>
      <c r="CQ117" s="1229">
        <f>CQ112+CQ113+CQ114+CQ116</f>
        <v>10</v>
      </c>
      <c r="CR117" s="1229">
        <f>CR112+CR113+CR114+CR116</f>
        <v>5</v>
      </c>
      <c r="CS117" s="1230">
        <f>CS112+CS113+CS114+CS116</f>
        <v>5</v>
      </c>
      <c r="CT117" s="1151"/>
      <c r="CU117" s="63"/>
      <c r="CV117" s="63"/>
      <c r="CW117" s="63"/>
    </row>
    <row r="118" spans="1:101">
      <c r="A118" s="1139"/>
      <c r="B118" s="1139"/>
      <c r="C118" s="1158"/>
      <c r="D118" s="1158"/>
      <c r="E118" s="1158"/>
      <c r="F118" s="1158"/>
      <c r="G118" s="1201"/>
      <c r="H118" s="1201"/>
      <c r="I118" s="1158"/>
      <c r="J118" s="1158"/>
      <c r="K118" s="1158"/>
      <c r="L118" s="1158"/>
      <c r="M118" s="1158"/>
      <c r="N118" s="1158"/>
      <c r="O118" s="1158"/>
      <c r="P118" s="1158"/>
      <c r="Q118" s="1158"/>
      <c r="R118" s="1158"/>
      <c r="S118" s="1158"/>
      <c r="T118" s="1158"/>
      <c r="U118" s="1158"/>
      <c r="V118" s="1158"/>
      <c r="W118" s="1158"/>
      <c r="X118" s="1158"/>
      <c r="Y118" s="1158"/>
      <c r="Z118" s="1158"/>
      <c r="AA118" s="1158"/>
      <c r="AB118" s="1158"/>
      <c r="AC118" s="1158"/>
      <c r="AD118" s="1158"/>
      <c r="AE118" s="1158"/>
      <c r="AF118" s="1158"/>
      <c r="AG118" s="1158"/>
      <c r="AH118" s="1158"/>
      <c r="AI118" s="1158"/>
      <c r="AJ118" s="1158"/>
      <c r="AK118" s="1158"/>
      <c r="AL118" s="1158"/>
      <c r="AM118" s="1158"/>
      <c r="AN118" s="1158"/>
      <c r="AO118" s="1158"/>
      <c r="AP118" s="1158"/>
      <c r="AQ118" s="1344"/>
      <c r="AR118" s="1160"/>
      <c r="AS118" s="1462"/>
      <c r="AT118" s="1459"/>
      <c r="AU118" s="1462"/>
      <c r="AV118" s="1160"/>
      <c r="AW118" s="1160"/>
      <c r="AX118" s="1160"/>
      <c r="AY118" s="1462"/>
      <c r="AZ118" s="1459"/>
      <c r="BA118" s="1459"/>
      <c r="BB118" s="1160"/>
      <c r="BC118" s="1160"/>
      <c r="BD118" s="1160"/>
      <c r="BE118" s="1462"/>
      <c r="BF118" s="1459"/>
      <c r="BG118" s="1459"/>
      <c r="BH118" s="1160"/>
      <c r="BI118" s="1160"/>
      <c r="BJ118" s="1160"/>
      <c r="BK118" s="1462"/>
      <c r="BL118" s="1459"/>
      <c r="BM118" s="1459"/>
      <c r="BN118" s="1160"/>
      <c r="BO118" s="1160"/>
      <c r="BP118" s="1160"/>
      <c r="BQ118" s="1160"/>
      <c r="BR118" s="1160"/>
      <c r="BS118" s="1160"/>
      <c r="BT118" s="1160"/>
      <c r="BU118" s="1160"/>
      <c r="BV118" s="1160"/>
      <c r="BW118" s="1160"/>
      <c r="BX118" s="1160"/>
      <c r="BY118" s="1160"/>
      <c r="BZ118" s="1160"/>
      <c r="CA118" s="1160"/>
      <c r="CB118" s="1160"/>
      <c r="CC118" s="1160"/>
      <c r="CD118" s="1160"/>
      <c r="CE118" s="1160"/>
      <c r="CF118" s="1160"/>
      <c r="CG118" s="1160"/>
      <c r="CH118" s="1160"/>
      <c r="CI118" s="1160"/>
      <c r="CJ118" s="1160"/>
      <c r="CK118" s="1160"/>
      <c r="CL118" s="1160"/>
      <c r="CM118" s="1160"/>
      <c r="CN118" s="1160"/>
      <c r="CO118" s="1160"/>
      <c r="CP118" s="1160"/>
      <c r="CQ118" s="1160"/>
      <c r="CR118" s="1160"/>
      <c r="CS118" s="1160"/>
      <c r="CT118" s="1160"/>
      <c r="CU118" s="63"/>
      <c r="CV118" s="63"/>
      <c r="CW118" s="63"/>
    </row>
    <row r="119" spans="1:101">
      <c r="A119" s="50" t="s">
        <v>216</v>
      </c>
      <c r="B119" s="111"/>
      <c r="C119" s="51"/>
      <c r="D119" s="51"/>
      <c r="E119" s="51"/>
      <c r="F119" s="51"/>
      <c r="G119" s="53"/>
      <c r="H119" s="53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4"/>
      <c r="AX119" s="51"/>
      <c r="AY119" s="51"/>
      <c r="AZ119" s="51"/>
      <c r="BA119" s="51"/>
      <c r="BB119" s="51"/>
      <c r="BC119" s="54"/>
      <c r="BD119" s="51"/>
      <c r="BE119" s="51"/>
      <c r="BF119" s="51"/>
      <c r="BG119" s="51"/>
      <c r="BH119" s="51"/>
      <c r="BI119" s="54"/>
      <c r="BJ119" s="51"/>
      <c r="BK119" s="51"/>
      <c r="BL119" s="51"/>
      <c r="BM119" s="51"/>
      <c r="BN119" s="51"/>
      <c r="BO119" s="54"/>
      <c r="BP119" s="51"/>
      <c r="BQ119" s="51"/>
      <c r="BR119" s="51"/>
      <c r="BS119" s="51"/>
      <c r="BT119" s="51"/>
      <c r="BU119" s="54"/>
      <c r="BV119" s="51"/>
      <c r="BW119" s="51"/>
      <c r="BX119" s="51"/>
      <c r="BY119" s="51"/>
      <c r="BZ119" s="51"/>
      <c r="CA119" s="54"/>
      <c r="CB119" s="51"/>
      <c r="CC119" s="51"/>
      <c r="CD119" s="51"/>
      <c r="CE119" s="51"/>
      <c r="CF119" s="51"/>
      <c r="CG119" s="54"/>
      <c r="CH119" s="51"/>
      <c r="CI119" s="51"/>
      <c r="CJ119" s="51"/>
      <c r="CK119" s="51"/>
      <c r="CL119" s="51"/>
      <c r="CM119" s="54"/>
      <c r="CN119" s="51"/>
      <c r="CO119" s="51"/>
      <c r="CP119" s="51"/>
      <c r="CQ119" s="51"/>
      <c r="CR119" s="51"/>
      <c r="CS119" s="54"/>
      <c r="CT119" s="2911"/>
      <c r="CU119" s="63"/>
      <c r="CV119" s="63"/>
      <c r="CW119" s="63"/>
    </row>
    <row r="120" spans="1:101" outlineLevel="1">
      <c r="A120" s="55" t="s">
        <v>358</v>
      </c>
      <c r="B120" s="55"/>
      <c r="C120" s="1292">
        <v>2.125</v>
      </c>
      <c r="D120" s="1243">
        <f>C123</f>
        <v>248.54300000000001</v>
      </c>
      <c r="E120" s="1243">
        <f>D123</f>
        <v>248.77799999999999</v>
      </c>
      <c r="F120" s="1243">
        <f>E123</f>
        <v>249.227</v>
      </c>
      <c r="G120" s="1244">
        <f>C120</f>
        <v>2.125</v>
      </c>
      <c r="H120" s="1279"/>
      <c r="I120" s="1242">
        <f>G123</f>
        <v>15.334000000000003</v>
      </c>
      <c r="J120" s="1243">
        <f>I123</f>
        <v>228.73400000000001</v>
      </c>
      <c r="K120" s="1243">
        <f>J123</f>
        <v>228.73400000000001</v>
      </c>
      <c r="L120" s="1243">
        <f>K123</f>
        <v>228.73400000000001</v>
      </c>
      <c r="M120" s="1244">
        <f>G123</f>
        <v>15.334000000000003</v>
      </c>
      <c r="N120" s="1213"/>
      <c r="O120" s="1242">
        <f>M123</f>
        <v>228.73400000000001</v>
      </c>
      <c r="P120" s="1243">
        <f>O123</f>
        <v>228.73400000000001</v>
      </c>
      <c r="Q120" s="1243">
        <f>P123</f>
        <v>228.73400000000001</v>
      </c>
      <c r="R120" s="1243">
        <f>Q123</f>
        <v>228.73400000000001</v>
      </c>
      <c r="S120" s="1244">
        <f>M123</f>
        <v>228.73400000000001</v>
      </c>
      <c r="T120" s="1213"/>
      <c r="U120" s="1242">
        <f>S123</f>
        <v>213.452</v>
      </c>
      <c r="V120" s="1243">
        <f>U123</f>
        <v>213.452</v>
      </c>
      <c r="W120" s="1243">
        <f>V123</f>
        <v>271.81900000000002</v>
      </c>
      <c r="X120" s="1243">
        <f>W123</f>
        <v>278.11200000000002</v>
      </c>
      <c r="Y120" s="1244">
        <f>S123</f>
        <v>213.452</v>
      </c>
      <c r="Z120" s="1213"/>
      <c r="AA120" s="1242">
        <f>Y123</f>
        <v>278.20600000000002</v>
      </c>
      <c r="AB120" s="1243">
        <f>AA123</f>
        <v>320.54300000000001</v>
      </c>
      <c r="AC120" s="1243">
        <f>AB123</f>
        <v>321.85300000000001</v>
      </c>
      <c r="AD120" s="1243">
        <f>AC123</f>
        <v>321.85300000000001</v>
      </c>
      <c r="AE120" s="1244">
        <f>Y123</f>
        <v>278.20600000000002</v>
      </c>
      <c r="AF120" s="1243"/>
      <c r="AG120" s="1242">
        <f>AE123</f>
        <v>321.85300000000001</v>
      </c>
      <c r="AH120" s="1243">
        <f>AG123</f>
        <v>321.85300000000001</v>
      </c>
      <c r="AI120" s="1243">
        <f>AH123</f>
        <v>321.85300000000001</v>
      </c>
      <c r="AJ120" s="1243">
        <f>AI123</f>
        <v>370.18900000000002</v>
      </c>
      <c r="AK120" s="1244">
        <f>AD123</f>
        <v>321.85300000000001</v>
      </c>
      <c r="AL120" s="1243"/>
      <c r="AM120" s="1242">
        <f>AK123</f>
        <v>369.327</v>
      </c>
      <c r="AN120" s="1243">
        <f>AM123</f>
        <v>604.49300000000005</v>
      </c>
      <c r="AO120" s="1243">
        <f>AN123</f>
        <v>596.58799999999997</v>
      </c>
      <c r="AP120" s="1243">
        <f>AO123</f>
        <v>667.19200000000001</v>
      </c>
      <c r="AQ120" s="1244">
        <f>AJ123</f>
        <v>369.327</v>
      </c>
      <c r="AR120" s="1243"/>
      <c r="AS120" s="1482">
        <f>AQ123</f>
        <v>723.06100000000004</v>
      </c>
      <c r="AT120" s="1469">
        <f>AS123</f>
        <v>723.25900000000001</v>
      </c>
      <c r="AU120" s="1469">
        <f>AT123</f>
        <v>721.64800000000002</v>
      </c>
      <c r="AV120" s="1243">
        <f>AU123</f>
        <v>724.88699999999994</v>
      </c>
      <c r="AW120" s="1244">
        <f>AP123</f>
        <v>723.06100000000004</v>
      </c>
      <c r="AX120" s="1243"/>
      <c r="AY120" s="1482">
        <f>AW123</f>
        <v>724.904</v>
      </c>
      <c r="AZ120" s="1469">
        <f>AY123</f>
        <v>724.904</v>
      </c>
      <c r="BA120" s="1469">
        <f>AZ123</f>
        <v>724.904</v>
      </c>
      <c r="BB120" s="1469">
        <f>BA123</f>
        <v>756.68700000000001</v>
      </c>
      <c r="BC120" s="1244">
        <f>AV123</f>
        <v>724.904</v>
      </c>
      <c r="BD120" s="1243"/>
      <c r="BE120" s="1482">
        <f>BC123</f>
        <v>752.62900000000002</v>
      </c>
      <c r="BF120" s="1469">
        <f>BE123</f>
        <v>776.029</v>
      </c>
      <c r="BG120" s="1469">
        <f>BF123</f>
        <v>775.995</v>
      </c>
      <c r="BH120" s="1469">
        <f>BG123</f>
        <v>775.995</v>
      </c>
      <c r="BI120" s="1244">
        <f>BB123</f>
        <v>752.62900000000002</v>
      </c>
      <c r="BJ120" s="1243"/>
      <c r="BK120" s="1482">
        <f>BI123</f>
        <v>775.995</v>
      </c>
      <c r="BL120" s="1469">
        <f>BK123</f>
        <v>771</v>
      </c>
      <c r="BM120" s="1469">
        <f>BL123</f>
        <v>771</v>
      </c>
      <c r="BN120" s="1469">
        <f>BM123</f>
        <v>771</v>
      </c>
      <c r="BO120" s="1244">
        <f>BH123</f>
        <v>775.995</v>
      </c>
      <c r="BP120" s="1243"/>
      <c r="BQ120" s="1242">
        <f>BO123</f>
        <v>771</v>
      </c>
      <c r="BR120" s="1243">
        <f>BQ123</f>
        <v>771</v>
      </c>
      <c r="BS120" s="1243">
        <f>BR123</f>
        <v>771</v>
      </c>
      <c r="BT120" s="1243">
        <f>BS123</f>
        <v>771</v>
      </c>
      <c r="BU120" s="1244">
        <f>BN123</f>
        <v>771</v>
      </c>
      <c r="BV120" s="1243"/>
      <c r="BW120" s="1242">
        <f>BU123</f>
        <v>771</v>
      </c>
      <c r="BX120" s="1243">
        <f>BW123</f>
        <v>771</v>
      </c>
      <c r="BY120" s="1243">
        <f>BX123</f>
        <v>771</v>
      </c>
      <c r="BZ120" s="1243">
        <f>BY123</f>
        <v>771</v>
      </c>
      <c r="CA120" s="1244">
        <f>BT123</f>
        <v>771</v>
      </c>
      <c r="CB120" s="1243"/>
      <c r="CC120" s="1242">
        <f>CA123</f>
        <v>771</v>
      </c>
      <c r="CD120" s="1243">
        <f>CC123</f>
        <v>771</v>
      </c>
      <c r="CE120" s="1243">
        <f>CD123</f>
        <v>771</v>
      </c>
      <c r="CF120" s="1243">
        <f>CE123</f>
        <v>771</v>
      </c>
      <c r="CG120" s="1244">
        <f>BZ123</f>
        <v>771</v>
      </c>
      <c r="CH120" s="1243"/>
      <c r="CI120" s="1242">
        <f>CG123</f>
        <v>771</v>
      </c>
      <c r="CJ120" s="1243">
        <f>CI123</f>
        <v>771</v>
      </c>
      <c r="CK120" s="1243">
        <f>CJ123</f>
        <v>771</v>
      </c>
      <c r="CL120" s="1243">
        <f>CK123</f>
        <v>771</v>
      </c>
      <c r="CM120" s="1244">
        <f>CF123</f>
        <v>771</v>
      </c>
      <c r="CN120" s="1243"/>
      <c r="CO120" s="1242">
        <f>CM123</f>
        <v>771</v>
      </c>
      <c r="CP120" s="1243">
        <f>CO123</f>
        <v>771</v>
      </c>
      <c r="CQ120" s="1243">
        <f>CP123</f>
        <v>771</v>
      </c>
      <c r="CR120" s="1243">
        <f>CQ123</f>
        <v>771</v>
      </c>
      <c r="CS120" s="1244">
        <f>CL123</f>
        <v>771</v>
      </c>
      <c r="CT120" s="1151"/>
      <c r="CU120" s="63"/>
      <c r="CV120" s="63"/>
      <c r="CW120" s="63"/>
    </row>
    <row r="121" spans="1:101" outlineLevel="1">
      <c r="A121" s="56" t="s">
        <v>359</v>
      </c>
      <c r="B121" s="56"/>
      <c r="C121" s="1189">
        <v>213.4</v>
      </c>
      <c r="D121" s="1160"/>
      <c r="E121" s="1160"/>
      <c r="F121" s="1160"/>
      <c r="G121" s="1281"/>
      <c r="H121" s="1282"/>
      <c r="I121" s="1186"/>
      <c r="J121" s="1160"/>
      <c r="K121" s="1160"/>
      <c r="L121" s="1160"/>
      <c r="M121" s="1281"/>
      <c r="N121" s="1160"/>
      <c r="O121" s="1186"/>
      <c r="P121" s="1160"/>
      <c r="Q121" s="1160"/>
      <c r="R121" s="1160"/>
      <c r="S121" s="1281"/>
      <c r="T121" s="1160"/>
      <c r="U121" s="1186"/>
      <c r="V121" s="1160"/>
      <c r="W121" s="1160"/>
      <c r="X121" s="1160"/>
      <c r="Y121" s="1281"/>
      <c r="Z121" s="1160"/>
      <c r="AA121" s="1186"/>
      <c r="AB121" s="1160"/>
      <c r="AC121" s="1160"/>
      <c r="AD121" s="1160"/>
      <c r="AE121" s="1150">
        <f>SUM(AA121:AD121)</f>
        <v>0</v>
      </c>
      <c r="AF121" s="1151"/>
      <c r="AG121" s="1186"/>
      <c r="AH121" s="1160"/>
      <c r="AI121" s="1160"/>
      <c r="AJ121" s="1160"/>
      <c r="AK121" s="1150">
        <f>SUM(AG121:AJ121)</f>
        <v>0</v>
      </c>
      <c r="AL121" s="1151"/>
      <c r="AM121" s="1189"/>
      <c r="AN121" s="1160"/>
      <c r="AO121" s="1160"/>
      <c r="AP121" s="1151"/>
      <c r="AQ121" s="1150">
        <f>SUM(AM121:AP121)</f>
        <v>0</v>
      </c>
      <c r="AR121" s="1151"/>
      <c r="AS121" s="1483"/>
      <c r="AT121" s="1462"/>
      <c r="AU121" s="1462"/>
      <c r="AV121" s="1151"/>
      <c r="AW121" s="1150">
        <f>SUM(AS121:AV121)</f>
        <v>0</v>
      </c>
      <c r="AX121" s="1151"/>
      <c r="AY121" s="1483"/>
      <c r="AZ121" s="1462"/>
      <c r="BA121" s="1462"/>
      <c r="BB121" s="1462"/>
      <c r="BC121" s="1150">
        <f>SUM(AY121:BB121)</f>
        <v>0</v>
      </c>
      <c r="BD121" s="1151"/>
      <c r="BE121" s="1483"/>
      <c r="BF121" s="1462"/>
      <c r="BG121" s="1462"/>
      <c r="BH121" s="1462"/>
      <c r="BI121" s="1150">
        <f>SUM(BE121:BH121)</f>
        <v>0</v>
      </c>
      <c r="BJ121" s="1151"/>
      <c r="BK121" s="1483"/>
      <c r="BL121" s="1462"/>
      <c r="BM121" s="1462"/>
      <c r="BN121" s="1462"/>
      <c r="BO121" s="1150">
        <f>SUM(BK121:BN121)</f>
        <v>0</v>
      </c>
      <c r="BP121" s="1151"/>
      <c r="BQ121" s="1189">
        <f>-CFS!BQ32*BS!BQ127</f>
        <v>0</v>
      </c>
      <c r="BR121" s="1151">
        <f>-CFS!BR32*BS!BR127</f>
        <v>0</v>
      </c>
      <c r="BS121" s="1151">
        <f>-CFS!BS32*BS!BS127</f>
        <v>0</v>
      </c>
      <c r="BT121" s="1151">
        <f>-CFS!BT32*BS!BT127</f>
        <v>0</v>
      </c>
      <c r="BU121" s="1150">
        <f>SUM(BQ121:BT121)</f>
        <v>0</v>
      </c>
      <c r="BV121" s="1151"/>
      <c r="BW121" s="1189">
        <f>-CFS!BW32*BS!BW127</f>
        <v>0</v>
      </c>
      <c r="BX121" s="1151">
        <f>-CFS!BX32*BS!BX127</f>
        <v>0</v>
      </c>
      <c r="BY121" s="1151">
        <f>-CFS!BY32*BS!BY127</f>
        <v>0</v>
      </c>
      <c r="BZ121" s="1151">
        <f>-CFS!BZ32*BS!BZ127</f>
        <v>0</v>
      </c>
      <c r="CA121" s="1150">
        <f>SUM(BW121:BZ121)</f>
        <v>0</v>
      </c>
      <c r="CB121" s="1151"/>
      <c r="CC121" s="1189">
        <f>-CFS!CC32*BS!CC127</f>
        <v>0</v>
      </c>
      <c r="CD121" s="1151">
        <f>-CFS!CD32*BS!CD127</f>
        <v>0</v>
      </c>
      <c r="CE121" s="1151">
        <f>-CFS!CE32*BS!CE127</f>
        <v>0</v>
      </c>
      <c r="CF121" s="1151">
        <f>-CFS!CF32*BS!CF127</f>
        <v>0</v>
      </c>
      <c r="CG121" s="1150">
        <f>SUM(CC121:CF121)</f>
        <v>0</v>
      </c>
      <c r="CH121" s="1151"/>
      <c r="CI121" s="1189">
        <f>-CFS!CI32*BS!CI127</f>
        <v>0</v>
      </c>
      <c r="CJ121" s="1151">
        <f>-CFS!CJ32*BS!CJ127</f>
        <v>0</v>
      </c>
      <c r="CK121" s="1151">
        <f>-CFS!CK32*BS!CK127</f>
        <v>0</v>
      </c>
      <c r="CL121" s="1151">
        <f>-CFS!CL32*BS!CL127</f>
        <v>0</v>
      </c>
      <c r="CM121" s="1150">
        <f>SUM(CI121:CL121)</f>
        <v>0</v>
      </c>
      <c r="CN121" s="1151"/>
      <c r="CO121" s="1189">
        <f>-CFS!CO32*BS!CO127</f>
        <v>0</v>
      </c>
      <c r="CP121" s="1151">
        <f>-CFS!CP32*BS!CP127</f>
        <v>0</v>
      </c>
      <c r="CQ121" s="1151">
        <f>-CFS!CQ32*BS!CQ127</f>
        <v>0</v>
      </c>
      <c r="CR121" s="1151">
        <f>-CFS!CR32*BS!CR127</f>
        <v>0</v>
      </c>
      <c r="CS121" s="1150">
        <f>SUM(CO121:CR121)</f>
        <v>0</v>
      </c>
      <c r="CT121" s="1151"/>
      <c r="CU121" s="63"/>
      <c r="CV121" s="63"/>
      <c r="CW121" s="63"/>
    </row>
    <row r="122" spans="1:101" outlineLevel="1">
      <c r="A122" s="267" t="s">
        <v>204</v>
      </c>
      <c r="B122" s="267"/>
      <c r="C122" s="1189">
        <f>+C123-C120-C121</f>
        <v>33.018000000000001</v>
      </c>
      <c r="D122" s="1151">
        <f>+D123-D120-D121</f>
        <v>0.23499999999998522</v>
      </c>
      <c r="E122" s="1151">
        <f>+E123-E120-E121</f>
        <v>0.44900000000001228</v>
      </c>
      <c r="F122" s="1151">
        <f>+F123-F120-F121</f>
        <v>-20.492999999999995</v>
      </c>
      <c r="G122" s="1150">
        <f>SUM(C122:F122)</f>
        <v>13.209000000000003</v>
      </c>
      <c r="H122" s="1282"/>
      <c r="I122" s="1189">
        <f>+I123-I120-I121</f>
        <v>213.4</v>
      </c>
      <c r="J122" s="1151">
        <f>+J123-J120-J121</f>
        <v>0</v>
      </c>
      <c r="K122" s="1151">
        <f>+K123-K120-K121</f>
        <v>0</v>
      </c>
      <c r="L122" s="1151">
        <f>+L123-L120-L121</f>
        <v>0</v>
      </c>
      <c r="M122" s="1150">
        <f>SUM(I122:L122)</f>
        <v>213.4</v>
      </c>
      <c r="N122" s="1160"/>
      <c r="O122" s="1189">
        <f>+O123-O120-O121</f>
        <v>0</v>
      </c>
      <c r="P122" s="1151">
        <f>+P123-P120-P121</f>
        <v>0</v>
      </c>
      <c r="Q122" s="1151">
        <f>+Q123-Q120-Q121</f>
        <v>0</v>
      </c>
      <c r="R122" s="1151">
        <f>+R123-R120-R121</f>
        <v>-15.282000000000011</v>
      </c>
      <c r="S122" s="1150">
        <f>SUM(O122:R122)</f>
        <v>-15.282000000000011</v>
      </c>
      <c r="T122" s="1160"/>
      <c r="U122" s="1189">
        <f>+U123-U120-U121</f>
        <v>0</v>
      </c>
      <c r="V122" s="1151">
        <f>+V123-V120-V121</f>
        <v>58.367000000000019</v>
      </c>
      <c r="W122" s="1151">
        <f>+W123-W120-W121</f>
        <v>6.2930000000000064</v>
      </c>
      <c r="X122" s="1151">
        <f>+X123-X120-X121</f>
        <v>9.3999999999994088E-2</v>
      </c>
      <c r="Y122" s="1150">
        <f>SUM(U122:X122)</f>
        <v>64.754000000000019</v>
      </c>
      <c r="Z122" s="1160"/>
      <c r="AA122" s="1189">
        <f>+AA123-AA120-AA121</f>
        <v>42.336999999999989</v>
      </c>
      <c r="AB122" s="1151">
        <f>+AB123-AB120-AB121</f>
        <v>1.3100000000000023</v>
      </c>
      <c r="AC122" s="1151">
        <f>+AC123-AC120-AC121</f>
        <v>0</v>
      </c>
      <c r="AD122" s="1151">
        <f>+AD123-AD120-AD121</f>
        <v>0</v>
      </c>
      <c r="AE122" s="1150">
        <f>SUM(AA122:AD122)</f>
        <v>43.646999999999991</v>
      </c>
      <c r="AF122" s="1151"/>
      <c r="AG122" s="1189">
        <f>+AG123-AG120-AG121</f>
        <v>0</v>
      </c>
      <c r="AH122" s="1151">
        <f>+AH123-AH120-AH121</f>
        <v>0</v>
      </c>
      <c r="AI122" s="1151">
        <f>+AI123-AI120-AI121</f>
        <v>48.336000000000013</v>
      </c>
      <c r="AJ122" s="1151">
        <f>+AJ123-AJ120-AJ121</f>
        <v>-0.86200000000002319</v>
      </c>
      <c r="AK122" s="1150">
        <f>SUM(AG122:AJ122)</f>
        <v>47.47399999999999</v>
      </c>
      <c r="AL122" s="1151"/>
      <c r="AM122" s="1186">
        <f>+AM123-AM120-AM121</f>
        <v>235.16600000000005</v>
      </c>
      <c r="AN122" s="1151">
        <f>+AN123-AN120-AN121</f>
        <v>-7.9050000000000864</v>
      </c>
      <c r="AO122" s="1151">
        <f>+AO123-AO120-AO121</f>
        <v>70.604000000000042</v>
      </c>
      <c r="AP122" s="1151">
        <f>+AP123-AP120-AP121</f>
        <v>55.869000000000028</v>
      </c>
      <c r="AQ122" s="1150">
        <f>SUM(AM122:AP122)</f>
        <v>353.73400000000004</v>
      </c>
      <c r="AR122" s="1151"/>
      <c r="AS122" s="1483">
        <f>+AS123-AS120-AS121</f>
        <v>0.19799999999997908</v>
      </c>
      <c r="AT122" s="1470">
        <f>+AT123-AT120-AT121</f>
        <v>-1.61099999999999</v>
      </c>
      <c r="AU122" s="1470">
        <f>+AU123-AU120-AU121</f>
        <v>3.2389999999999191</v>
      </c>
      <c r="AV122" s="1151">
        <f>+AV123-AV120-AV121</f>
        <v>1.7000000000052751E-2</v>
      </c>
      <c r="AW122" s="1150">
        <f>SUM(AS122:AV122)</f>
        <v>1.8429999999999609</v>
      </c>
      <c r="AX122" s="1151"/>
      <c r="AY122" s="1483">
        <f>+AY123-AY120-AY121</f>
        <v>0</v>
      </c>
      <c r="AZ122" s="1470">
        <f>+AZ123-AZ120-AZ121</f>
        <v>0</v>
      </c>
      <c r="BA122" s="1470">
        <f>+BA123-BA120-BA121</f>
        <v>31.783000000000015</v>
      </c>
      <c r="BB122" s="1470">
        <f>+BB123-BB120-BB121</f>
        <v>-4.0579999999999927</v>
      </c>
      <c r="BC122" s="1150">
        <f>SUM(AY122:BB122)</f>
        <v>27.725000000000023</v>
      </c>
      <c r="BD122" s="1151"/>
      <c r="BE122" s="1483">
        <f>+BE123-BE120-BE121</f>
        <v>23.399999999999977</v>
      </c>
      <c r="BF122" s="1470">
        <f>+BF123-BF120-BF121</f>
        <v>-3.3999999999991815E-2</v>
      </c>
      <c r="BG122" s="1470">
        <f>+BG123-BG120-BG121</f>
        <v>0</v>
      </c>
      <c r="BH122" s="1470">
        <f>+BH123-BH120-BH121</f>
        <v>0</v>
      </c>
      <c r="BI122" s="1150">
        <f>SUM(BE122:BH122)</f>
        <v>23.365999999999985</v>
      </c>
      <c r="BJ122" s="1151"/>
      <c r="BK122" s="1483">
        <f>+BK123-BK120-BK121</f>
        <v>-4.9950000000000045</v>
      </c>
      <c r="BL122" s="1470">
        <f>+BL123-BL120-BL121</f>
        <v>0</v>
      </c>
      <c r="BM122" s="1470">
        <f>+BM123-BM120-BM121</f>
        <v>0</v>
      </c>
      <c r="BN122" s="1470">
        <f>+BN123-BN120-BN121</f>
        <v>0</v>
      </c>
      <c r="BO122" s="1150">
        <f>SUM(BK122:BN122)</f>
        <v>-4.9950000000000045</v>
      </c>
      <c r="BP122" s="1151"/>
      <c r="BQ122" s="1294">
        <v>0</v>
      </c>
      <c r="BR122" s="1293">
        <v>0</v>
      </c>
      <c r="BS122" s="1293">
        <v>0</v>
      </c>
      <c r="BT122" s="1293">
        <v>0</v>
      </c>
      <c r="BU122" s="1150">
        <f>SUM(BQ122:BT122)</f>
        <v>0</v>
      </c>
      <c r="BV122" s="1151"/>
      <c r="BW122" s="1294">
        <v>0</v>
      </c>
      <c r="BX122" s="1293">
        <v>0</v>
      </c>
      <c r="BY122" s="1293">
        <v>0</v>
      </c>
      <c r="BZ122" s="1293">
        <v>0</v>
      </c>
      <c r="CA122" s="1150">
        <f>SUM(BW122:BZ122)</f>
        <v>0</v>
      </c>
      <c r="CB122" s="1151"/>
      <c r="CC122" s="1294">
        <v>0</v>
      </c>
      <c r="CD122" s="1293">
        <v>0</v>
      </c>
      <c r="CE122" s="1293">
        <v>0</v>
      </c>
      <c r="CF122" s="1293">
        <v>0</v>
      </c>
      <c r="CG122" s="1150">
        <f>SUM(CC122:CF122)</f>
        <v>0</v>
      </c>
      <c r="CH122" s="1151"/>
      <c r="CI122" s="1294">
        <v>0</v>
      </c>
      <c r="CJ122" s="1293">
        <v>0</v>
      </c>
      <c r="CK122" s="1293">
        <v>0</v>
      </c>
      <c r="CL122" s="1293">
        <v>0</v>
      </c>
      <c r="CM122" s="1150">
        <f>SUM(CI122:CL122)</f>
        <v>0</v>
      </c>
      <c r="CN122" s="1151"/>
      <c r="CO122" s="1294">
        <v>0</v>
      </c>
      <c r="CP122" s="1293">
        <v>0</v>
      </c>
      <c r="CQ122" s="1293">
        <v>0</v>
      </c>
      <c r="CR122" s="1293">
        <v>0</v>
      </c>
      <c r="CS122" s="1150">
        <f>SUM(CO122:CR122)</f>
        <v>0</v>
      </c>
      <c r="CT122" s="1151"/>
      <c r="CU122" s="63"/>
      <c r="CV122" s="63"/>
      <c r="CW122" s="63"/>
    </row>
    <row r="123" spans="1:101" outlineLevel="1">
      <c r="A123" s="251" t="s">
        <v>360</v>
      </c>
      <c r="B123" s="251"/>
      <c r="C123" s="1228">
        <f>C20</f>
        <v>248.54300000000001</v>
      </c>
      <c r="D123" s="1229">
        <f>D20</f>
        <v>248.77799999999999</v>
      </c>
      <c r="E123" s="1229">
        <f>E20</f>
        <v>249.227</v>
      </c>
      <c r="F123" s="1229">
        <f>F20</f>
        <v>228.73400000000001</v>
      </c>
      <c r="G123" s="1230">
        <f>G120+G122</f>
        <v>15.334000000000003</v>
      </c>
      <c r="H123" s="1229"/>
      <c r="I123" s="1228">
        <f>I20</f>
        <v>228.73400000000001</v>
      </c>
      <c r="J123" s="1229">
        <f>J20</f>
        <v>228.73400000000001</v>
      </c>
      <c r="K123" s="1229">
        <f>K20</f>
        <v>228.73400000000001</v>
      </c>
      <c r="L123" s="1229">
        <f>L20</f>
        <v>228.73400000000001</v>
      </c>
      <c r="M123" s="1230">
        <f>M120+M122</f>
        <v>228.73400000000001</v>
      </c>
      <c r="N123" s="1229"/>
      <c r="O123" s="1228">
        <f>O20</f>
        <v>228.73400000000001</v>
      </c>
      <c r="P123" s="1229">
        <f>P20</f>
        <v>228.73400000000001</v>
      </c>
      <c r="Q123" s="1229">
        <f>Q20</f>
        <v>228.73400000000001</v>
      </c>
      <c r="R123" s="1229">
        <f>R20</f>
        <v>213.452</v>
      </c>
      <c r="S123" s="1230">
        <f>S120+S122</f>
        <v>213.452</v>
      </c>
      <c r="T123" s="1229"/>
      <c r="U123" s="1228">
        <f>U20</f>
        <v>213.452</v>
      </c>
      <c r="V123" s="1229">
        <f>V20</f>
        <v>271.81900000000002</v>
      </c>
      <c r="W123" s="1229">
        <f>W20</f>
        <v>278.11200000000002</v>
      </c>
      <c r="X123" s="1229">
        <f>X20</f>
        <v>278.20600000000002</v>
      </c>
      <c r="Y123" s="1230">
        <f>Y120+Y122</f>
        <v>278.20600000000002</v>
      </c>
      <c r="Z123" s="1229"/>
      <c r="AA123" s="1228">
        <f>AA20</f>
        <v>320.54300000000001</v>
      </c>
      <c r="AB123" s="1229">
        <f>AB20</f>
        <v>321.85300000000001</v>
      </c>
      <c r="AC123" s="1229">
        <f>AC20</f>
        <v>321.85300000000001</v>
      </c>
      <c r="AD123" s="1229">
        <f>AD20</f>
        <v>321.85300000000001</v>
      </c>
      <c r="AE123" s="1230">
        <f>AE120+AE122+AE121</f>
        <v>321.85300000000001</v>
      </c>
      <c r="AF123" s="1229"/>
      <c r="AG123" s="1228">
        <f>AG20</f>
        <v>321.85300000000001</v>
      </c>
      <c r="AH123" s="1229">
        <f>AH20</f>
        <v>321.85300000000001</v>
      </c>
      <c r="AI123" s="1229">
        <f>AI20</f>
        <v>370.18900000000002</v>
      </c>
      <c r="AJ123" s="1229">
        <f>AJ20</f>
        <v>369.327</v>
      </c>
      <c r="AK123" s="1230">
        <f>AK120+AK122+AK121</f>
        <v>369.327</v>
      </c>
      <c r="AL123" s="1229"/>
      <c r="AM123" s="1228">
        <f>AM20</f>
        <v>604.49300000000005</v>
      </c>
      <c r="AN123" s="1229">
        <f>AN20</f>
        <v>596.58799999999997</v>
      </c>
      <c r="AO123" s="1229">
        <f>AO20</f>
        <v>667.19200000000001</v>
      </c>
      <c r="AP123" s="1229">
        <f>AP20</f>
        <v>723.06100000000004</v>
      </c>
      <c r="AQ123" s="1230">
        <f>AQ120+AQ122+AQ121</f>
        <v>723.06100000000004</v>
      </c>
      <c r="AR123" s="1229"/>
      <c r="AS123" s="1465">
        <f>AS20</f>
        <v>723.25900000000001</v>
      </c>
      <c r="AT123" s="1471">
        <f>AT20</f>
        <v>721.64800000000002</v>
      </c>
      <c r="AU123" s="1471">
        <f>AU20</f>
        <v>724.88699999999994</v>
      </c>
      <c r="AV123" s="1229">
        <f>AV20</f>
        <v>724.904</v>
      </c>
      <c r="AW123" s="1230">
        <f>AW120+AW122+AW121</f>
        <v>724.904</v>
      </c>
      <c r="AX123" s="1229"/>
      <c r="AY123" s="1465">
        <f>AY20</f>
        <v>724.904</v>
      </c>
      <c r="AZ123" s="1471">
        <f>AZ20</f>
        <v>724.904</v>
      </c>
      <c r="BA123" s="1471">
        <f>BA20</f>
        <v>756.68700000000001</v>
      </c>
      <c r="BB123" s="1471">
        <f>BB20</f>
        <v>752.62900000000002</v>
      </c>
      <c r="BC123" s="1230">
        <f>BC120+BC122+BC121</f>
        <v>752.62900000000002</v>
      </c>
      <c r="BD123" s="1229"/>
      <c r="BE123" s="1465">
        <f>BE20</f>
        <v>776.029</v>
      </c>
      <c r="BF123" s="1471">
        <f>BF20</f>
        <v>775.995</v>
      </c>
      <c r="BG123" s="1471">
        <f>BG20</f>
        <v>775.995</v>
      </c>
      <c r="BH123" s="1471">
        <f>BH20</f>
        <v>775.995</v>
      </c>
      <c r="BI123" s="1230">
        <f>BI120+BI122+BI121</f>
        <v>775.995</v>
      </c>
      <c r="BJ123" s="1229"/>
      <c r="BK123" s="1465">
        <f>BK20</f>
        <v>771</v>
      </c>
      <c r="BL123" s="1471">
        <f>BL20</f>
        <v>771</v>
      </c>
      <c r="BM123" s="1471">
        <f>BM20</f>
        <v>771</v>
      </c>
      <c r="BN123" s="1471">
        <f>BN20</f>
        <v>771</v>
      </c>
      <c r="BO123" s="1230">
        <f>BO120+BO122+BO121</f>
        <v>771</v>
      </c>
      <c r="BP123" s="1229"/>
      <c r="BQ123" s="1228">
        <f>BQ120+BQ121+BQ122</f>
        <v>771</v>
      </c>
      <c r="BR123" s="1229">
        <f>BR120+BR121+BR122</f>
        <v>771</v>
      </c>
      <c r="BS123" s="1229">
        <f>BS120+BS121+BS122</f>
        <v>771</v>
      </c>
      <c r="BT123" s="1229">
        <f>BT120+BT121+BT122</f>
        <v>771</v>
      </c>
      <c r="BU123" s="1230">
        <f>BU120+BU122+BU121</f>
        <v>771</v>
      </c>
      <c r="BV123" s="1229"/>
      <c r="BW123" s="1228">
        <f>BW120+BW121+BW122</f>
        <v>771</v>
      </c>
      <c r="BX123" s="1229">
        <f>BX120+BX121+BX122</f>
        <v>771</v>
      </c>
      <c r="BY123" s="1229">
        <f>BY120+BY121+BY122</f>
        <v>771</v>
      </c>
      <c r="BZ123" s="1229">
        <f>BZ120+BZ121+BZ122</f>
        <v>771</v>
      </c>
      <c r="CA123" s="1230">
        <f>CA120+CA122+CA121</f>
        <v>771</v>
      </c>
      <c r="CB123" s="1229"/>
      <c r="CC123" s="1228">
        <f>CC120+CC121+CC122</f>
        <v>771</v>
      </c>
      <c r="CD123" s="1229">
        <f>CD120+CD121+CD122</f>
        <v>771</v>
      </c>
      <c r="CE123" s="1229">
        <f>CE120+CE121+CE122</f>
        <v>771</v>
      </c>
      <c r="CF123" s="1229">
        <f>CF120+CF121+CF122</f>
        <v>771</v>
      </c>
      <c r="CG123" s="1230">
        <f>CG120+CG122+CG121</f>
        <v>771</v>
      </c>
      <c r="CH123" s="1229"/>
      <c r="CI123" s="1228">
        <f>CI120+CI121+CI122</f>
        <v>771</v>
      </c>
      <c r="CJ123" s="1229">
        <f>CJ120+CJ121+CJ122</f>
        <v>771</v>
      </c>
      <c r="CK123" s="1229">
        <f>CK120+CK121+CK122</f>
        <v>771</v>
      </c>
      <c r="CL123" s="1229">
        <f>CL120+CL121+CL122</f>
        <v>771</v>
      </c>
      <c r="CM123" s="1230">
        <f>CM120+CM122+CM121</f>
        <v>771</v>
      </c>
      <c r="CN123" s="1229"/>
      <c r="CO123" s="1228">
        <f>CO120+CO121+CO122</f>
        <v>771</v>
      </c>
      <c r="CP123" s="1229">
        <f>CP120+CP121+CP122</f>
        <v>771</v>
      </c>
      <c r="CQ123" s="1229">
        <f>CQ120+CQ121+CQ122</f>
        <v>771</v>
      </c>
      <c r="CR123" s="1229">
        <f>CR120+CR121+CR122</f>
        <v>771</v>
      </c>
      <c r="CS123" s="1230">
        <f>CS120+CS122+CS121</f>
        <v>771</v>
      </c>
      <c r="CT123" s="1151"/>
      <c r="CU123" s="63"/>
      <c r="CV123" s="63"/>
      <c r="CW123" s="63"/>
    </row>
    <row r="124" spans="1:101">
      <c r="A124" s="1139"/>
      <c r="B124" s="1139"/>
      <c r="C124" s="1158"/>
      <c r="D124" s="1158"/>
      <c r="E124" s="1158"/>
      <c r="F124" s="1158"/>
      <c r="G124" s="1201"/>
      <c r="H124" s="1201"/>
      <c r="I124" s="1158"/>
      <c r="J124" s="1158"/>
      <c r="K124" s="1158"/>
      <c r="L124" s="1158"/>
      <c r="M124" s="1158"/>
      <c r="N124" s="1158"/>
      <c r="O124" s="1158"/>
      <c r="P124" s="1158"/>
      <c r="Q124" s="1158"/>
      <c r="R124" s="1158"/>
      <c r="S124" s="1158"/>
      <c r="T124" s="1158"/>
      <c r="U124" s="1158"/>
      <c r="V124" s="1158"/>
      <c r="W124" s="1158"/>
      <c r="X124" s="1158"/>
      <c r="Y124" s="1158"/>
      <c r="Z124" s="1158"/>
      <c r="AA124" s="1158"/>
      <c r="AB124" s="1158"/>
      <c r="AC124" s="1158"/>
      <c r="AD124" s="1158"/>
      <c r="AE124" s="1158"/>
      <c r="AF124" s="1158"/>
      <c r="AG124" s="1158"/>
      <c r="AH124" s="1158"/>
      <c r="AI124" s="1158"/>
      <c r="AJ124" s="1158"/>
      <c r="AK124" s="1158"/>
      <c r="AL124" s="1158"/>
      <c r="AM124" s="1158"/>
      <c r="AN124" s="1158"/>
      <c r="AO124" s="1158"/>
      <c r="AP124" s="1158"/>
      <c r="AQ124" s="1160"/>
      <c r="AR124" s="1160"/>
      <c r="AS124" s="1462"/>
      <c r="AT124" s="1459"/>
      <c r="AU124" s="1462"/>
      <c r="AV124" s="1160"/>
      <c r="AW124" s="1160"/>
      <c r="AX124" s="1160"/>
      <c r="AY124" s="1462"/>
      <c r="AZ124" s="1160"/>
      <c r="BA124" s="1160"/>
      <c r="BB124" s="1160"/>
      <c r="BC124" s="1160"/>
      <c r="BD124" s="1160"/>
      <c r="BE124" s="1160"/>
      <c r="BF124" s="1160"/>
      <c r="BG124" s="1160"/>
      <c r="BH124" s="1160"/>
      <c r="BI124" s="1160"/>
      <c r="BJ124" s="1160"/>
      <c r="BK124" s="1160"/>
      <c r="BL124" s="1160"/>
      <c r="BM124" s="1160"/>
      <c r="BN124" s="1160"/>
      <c r="BO124" s="1160"/>
      <c r="BP124" s="1160"/>
      <c r="BQ124" s="1160"/>
      <c r="BR124" s="1160"/>
      <c r="BS124" s="1160"/>
      <c r="BT124" s="1160"/>
      <c r="BU124" s="1160"/>
      <c r="BV124" s="1160"/>
      <c r="BW124" s="1160"/>
      <c r="BX124" s="1160"/>
      <c r="BY124" s="1160"/>
      <c r="BZ124" s="1160"/>
      <c r="CA124" s="1160"/>
      <c r="CB124" s="1160"/>
      <c r="CC124" s="1160"/>
      <c r="CD124" s="1160"/>
      <c r="CE124" s="1160"/>
      <c r="CF124" s="1160"/>
      <c r="CG124" s="1160"/>
      <c r="CH124" s="1160"/>
      <c r="CI124" s="1160"/>
      <c r="CJ124" s="1160"/>
      <c r="CK124" s="1160"/>
      <c r="CL124" s="1160"/>
      <c r="CM124" s="1160"/>
      <c r="CN124" s="1160"/>
      <c r="CO124" s="1160"/>
      <c r="CP124" s="1160"/>
      <c r="CQ124" s="1160"/>
      <c r="CR124" s="1160"/>
      <c r="CS124" s="1160"/>
      <c r="CT124" s="1160"/>
      <c r="CU124" s="63"/>
      <c r="CV124" s="63"/>
      <c r="CW124" s="63"/>
    </row>
    <row r="125" spans="1:101">
      <c r="A125" s="50" t="s">
        <v>483</v>
      </c>
      <c r="B125" s="111"/>
      <c r="C125" s="51"/>
      <c r="D125" s="51"/>
      <c r="E125" s="51"/>
      <c r="F125" s="51"/>
      <c r="G125" s="53"/>
      <c r="H125" s="53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2"/>
      <c r="AD125" s="52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4"/>
      <c r="AX125" s="51"/>
      <c r="AY125" s="51"/>
      <c r="AZ125" s="51"/>
      <c r="BA125" s="51"/>
      <c r="BB125" s="51"/>
      <c r="BC125" s="54"/>
      <c r="BD125" s="51"/>
      <c r="BE125" s="51"/>
      <c r="BF125" s="51"/>
      <c r="BG125" s="51"/>
      <c r="BH125" s="51"/>
      <c r="BI125" s="54"/>
      <c r="BJ125" s="51"/>
      <c r="BK125" s="51"/>
      <c r="BL125" s="51"/>
      <c r="BM125" s="51"/>
      <c r="BN125" s="51"/>
      <c r="BO125" s="54"/>
      <c r="BP125" s="51"/>
      <c r="BQ125" s="51"/>
      <c r="BR125" s="51"/>
      <c r="BS125" s="51"/>
      <c r="BT125" s="51"/>
      <c r="BU125" s="54"/>
      <c r="BV125" s="51"/>
      <c r="BW125" s="51"/>
      <c r="BX125" s="51"/>
      <c r="BY125" s="51"/>
      <c r="BZ125" s="51"/>
      <c r="CA125" s="54"/>
      <c r="CB125" s="51"/>
      <c r="CC125" s="51"/>
      <c r="CD125" s="51"/>
      <c r="CE125" s="51"/>
      <c r="CF125" s="51"/>
      <c r="CG125" s="54"/>
      <c r="CH125" s="51"/>
      <c r="CI125" s="51"/>
      <c r="CJ125" s="51"/>
      <c r="CK125" s="51"/>
      <c r="CL125" s="51"/>
      <c r="CM125" s="54"/>
      <c r="CN125" s="51"/>
      <c r="CO125" s="51"/>
      <c r="CP125" s="51"/>
      <c r="CQ125" s="51"/>
      <c r="CR125" s="51"/>
      <c r="CS125" s="54"/>
      <c r="CT125" s="2911"/>
      <c r="CU125" s="63"/>
      <c r="CV125" s="63"/>
      <c r="CW125" s="63"/>
    </row>
    <row r="126" spans="1:101" outlineLevel="1">
      <c r="A126" s="55" t="s">
        <v>484</v>
      </c>
      <c r="B126" s="55"/>
      <c r="C126" s="1280"/>
      <c r="D126" s="1213"/>
      <c r="E126" s="1213"/>
      <c r="F126" s="1213"/>
      <c r="G126" s="1295"/>
      <c r="H126" s="1279"/>
      <c r="I126" s="1280"/>
      <c r="J126" s="1213"/>
      <c r="K126" s="1213"/>
      <c r="L126" s="1213"/>
      <c r="M126" s="1185"/>
      <c r="N126" s="1213"/>
      <c r="O126" s="1280"/>
      <c r="P126" s="1213"/>
      <c r="Q126" s="1213"/>
      <c r="R126" s="1213"/>
      <c r="S126" s="1185"/>
      <c r="T126" s="1213"/>
      <c r="U126" s="1280"/>
      <c r="V126" s="1213"/>
      <c r="W126" s="1213"/>
      <c r="X126" s="1213"/>
      <c r="Y126" s="1185"/>
      <c r="Z126" s="1213"/>
      <c r="AA126" s="1280"/>
      <c r="AB126" s="1213"/>
      <c r="AC126" s="1213"/>
      <c r="AD126" s="1213"/>
      <c r="AE126" s="1185"/>
      <c r="AF126" s="1213"/>
      <c r="AG126" s="1280"/>
      <c r="AH126" s="1213"/>
      <c r="AI126" s="1213"/>
      <c r="AJ126" s="1213"/>
      <c r="AK126" s="1185"/>
      <c r="AL126" s="1213"/>
      <c r="AM126" s="1280"/>
      <c r="AN126" s="1213"/>
      <c r="AO126" s="1213"/>
      <c r="AP126" s="1213"/>
      <c r="AQ126" s="1185"/>
      <c r="AR126" s="1213"/>
      <c r="AS126" s="1485"/>
      <c r="AT126" s="1530"/>
      <c r="AU126" s="1530"/>
      <c r="AV126" s="1213"/>
      <c r="AW126" s="1296"/>
      <c r="AX126" s="1213"/>
      <c r="AY126" s="1485"/>
      <c r="AZ126" s="1213"/>
      <c r="BA126" s="1213"/>
      <c r="BB126" s="1213"/>
      <c r="BC126" s="1296"/>
      <c r="BD126" s="1213"/>
      <c r="BE126" s="1280"/>
      <c r="BF126" s="1213"/>
      <c r="BG126" s="1213"/>
      <c r="BH126" s="1213"/>
      <c r="BI126" s="1296"/>
      <c r="BJ126" s="1213"/>
      <c r="BK126" s="1280"/>
      <c r="BL126" s="1213"/>
      <c r="BM126" s="1213"/>
      <c r="BN126" s="1213"/>
      <c r="BO126" s="1296"/>
      <c r="BP126" s="1213"/>
      <c r="BQ126" s="1280"/>
      <c r="BR126" s="1213"/>
      <c r="BS126" s="1213"/>
      <c r="BT126" s="1213"/>
      <c r="BU126" s="1296"/>
      <c r="BV126" s="1213"/>
      <c r="BW126" s="1280"/>
      <c r="BX126" s="1213"/>
      <c r="BY126" s="1213"/>
      <c r="BZ126" s="1213"/>
      <c r="CA126" s="1296"/>
      <c r="CB126" s="1213"/>
      <c r="CC126" s="1280"/>
      <c r="CD126" s="1213"/>
      <c r="CE126" s="1213"/>
      <c r="CF126" s="1213"/>
      <c r="CG126" s="1296"/>
      <c r="CH126" s="1213"/>
      <c r="CI126" s="1280"/>
      <c r="CJ126" s="1213"/>
      <c r="CK126" s="1213"/>
      <c r="CL126" s="1213"/>
      <c r="CM126" s="1296"/>
      <c r="CN126" s="1213"/>
      <c r="CO126" s="1280"/>
      <c r="CP126" s="1213"/>
      <c r="CQ126" s="1213"/>
      <c r="CR126" s="1213"/>
      <c r="CS126" s="1296"/>
      <c r="CT126" s="1160"/>
      <c r="CU126" s="63"/>
      <c r="CV126" s="63"/>
      <c r="CW126" s="63"/>
    </row>
    <row r="127" spans="1:101" outlineLevel="1">
      <c r="A127" s="56" t="s">
        <v>216</v>
      </c>
      <c r="B127" s="56"/>
      <c r="C127" s="273"/>
      <c r="D127" s="274"/>
      <c r="E127" s="274"/>
      <c r="F127" s="274"/>
      <c r="G127" s="275"/>
      <c r="H127" s="274"/>
      <c r="I127" s="273"/>
      <c r="J127" s="274"/>
      <c r="K127" s="274"/>
      <c r="L127" s="274"/>
      <c r="M127" s="275"/>
      <c r="N127" s="274"/>
      <c r="O127" s="273"/>
      <c r="P127" s="274"/>
      <c r="Q127" s="274"/>
      <c r="R127" s="274"/>
      <c r="S127" s="275"/>
      <c r="T127" s="274"/>
      <c r="U127" s="273"/>
      <c r="V127" s="274"/>
      <c r="W127" s="274"/>
      <c r="X127" s="274"/>
      <c r="Y127" s="275"/>
      <c r="Z127" s="274"/>
      <c r="AA127" s="273"/>
      <c r="AB127" s="274"/>
      <c r="AC127" s="274"/>
      <c r="AD127" s="274"/>
      <c r="AE127" s="275"/>
      <c r="AF127" s="274"/>
      <c r="AG127" s="273"/>
      <c r="AH127" s="274"/>
      <c r="AI127" s="274"/>
      <c r="AJ127" s="274"/>
      <c r="AK127" s="275"/>
      <c r="AL127" s="274"/>
      <c r="AM127" s="273"/>
      <c r="AN127" s="274"/>
      <c r="AO127" s="274"/>
      <c r="AP127" s="274"/>
      <c r="AQ127" s="275"/>
      <c r="AR127" s="274"/>
      <c r="AS127" s="1486"/>
      <c r="AT127" s="1531"/>
      <c r="AU127" s="1531"/>
      <c r="AV127" s="274"/>
      <c r="AW127" s="276"/>
      <c r="AX127" s="274"/>
      <c r="AY127" s="1486"/>
      <c r="AZ127" s="274"/>
      <c r="BA127" s="274"/>
      <c r="BB127" s="274"/>
      <c r="BC127" s="276"/>
      <c r="BD127" s="274"/>
      <c r="BE127" s="273"/>
      <c r="BF127" s="274"/>
      <c r="BG127" s="274"/>
      <c r="BH127" s="274"/>
      <c r="BI127" s="2645"/>
      <c r="BJ127" s="2646"/>
      <c r="BK127" s="2647"/>
      <c r="BL127" s="274"/>
      <c r="BM127" s="2646"/>
      <c r="BN127" s="2646"/>
      <c r="BO127" s="2645"/>
      <c r="BP127" s="2646"/>
      <c r="BQ127" s="2647">
        <v>0.75</v>
      </c>
      <c r="BR127" s="2646">
        <v>0.75</v>
      </c>
      <c r="BS127" s="2646">
        <v>0.75</v>
      </c>
      <c r="BT127" s="2646">
        <v>0.75</v>
      </c>
      <c r="BU127" s="2645">
        <v>0.75</v>
      </c>
      <c r="BV127" s="2646"/>
      <c r="BW127" s="2647">
        <v>0.75</v>
      </c>
      <c r="BX127" s="2646">
        <v>0.75</v>
      </c>
      <c r="BY127" s="2646">
        <v>0.75</v>
      </c>
      <c r="BZ127" s="2646">
        <v>0.75</v>
      </c>
      <c r="CA127" s="2645">
        <v>0.75</v>
      </c>
      <c r="CB127" s="2646"/>
      <c r="CC127" s="2647">
        <v>0.75</v>
      </c>
      <c r="CD127" s="2646">
        <v>0.75</v>
      </c>
      <c r="CE127" s="2646">
        <v>0.75</v>
      </c>
      <c r="CF127" s="2646">
        <v>0.75</v>
      </c>
      <c r="CG127" s="2645">
        <v>0.75</v>
      </c>
      <c r="CH127" s="2646"/>
      <c r="CI127" s="2647">
        <v>0.75</v>
      </c>
      <c r="CJ127" s="2646">
        <v>0.75</v>
      </c>
      <c r="CK127" s="2646">
        <v>0.75</v>
      </c>
      <c r="CL127" s="2646">
        <v>0.75</v>
      </c>
      <c r="CM127" s="2645">
        <v>0.75</v>
      </c>
      <c r="CN127" s="2646"/>
      <c r="CO127" s="2647">
        <v>0.75</v>
      </c>
      <c r="CP127" s="2646">
        <v>0.75</v>
      </c>
      <c r="CQ127" s="2646">
        <v>0.75</v>
      </c>
      <c r="CR127" s="2646">
        <v>0.75</v>
      </c>
      <c r="CS127" s="2645">
        <v>0.75</v>
      </c>
      <c r="CT127" s="274"/>
      <c r="CU127" s="63"/>
      <c r="CV127" s="63"/>
      <c r="CW127" s="63"/>
    </row>
    <row r="128" spans="1:101" outlineLevel="1">
      <c r="A128" s="56" t="s">
        <v>208</v>
      </c>
      <c r="B128" s="56"/>
      <c r="C128" s="273"/>
      <c r="D128" s="274"/>
      <c r="E128" s="274"/>
      <c r="F128" s="274"/>
      <c r="G128" s="275"/>
      <c r="H128" s="274"/>
      <c r="I128" s="273"/>
      <c r="J128" s="274"/>
      <c r="K128" s="274"/>
      <c r="L128" s="274"/>
      <c r="M128" s="275"/>
      <c r="N128" s="274"/>
      <c r="O128" s="273"/>
      <c r="P128" s="274"/>
      <c r="Q128" s="274"/>
      <c r="R128" s="274"/>
      <c r="S128" s="275"/>
      <c r="T128" s="274"/>
      <c r="U128" s="273"/>
      <c r="V128" s="274"/>
      <c r="W128" s="274"/>
      <c r="X128" s="274"/>
      <c r="Y128" s="275"/>
      <c r="Z128" s="274"/>
      <c r="AA128" s="273"/>
      <c r="AB128" s="274"/>
      <c r="AC128" s="274"/>
      <c r="AD128" s="274"/>
      <c r="AE128" s="275"/>
      <c r="AF128" s="274"/>
      <c r="AG128" s="273"/>
      <c r="AH128" s="274"/>
      <c r="AI128" s="274"/>
      <c r="AJ128" s="274"/>
      <c r="AK128" s="275"/>
      <c r="AL128" s="274"/>
      <c r="AM128" s="273"/>
      <c r="AN128" s="274"/>
      <c r="AO128" s="274"/>
      <c r="AP128" s="274"/>
      <c r="AQ128" s="275"/>
      <c r="AR128" s="274"/>
      <c r="AS128" s="1486"/>
      <c r="AT128" s="1531"/>
      <c r="AU128" s="1531"/>
      <c r="AV128" s="274"/>
      <c r="AW128" s="276"/>
      <c r="AX128" s="274"/>
      <c r="AY128" s="1486"/>
      <c r="AZ128" s="274"/>
      <c r="BA128" s="274"/>
      <c r="BB128" s="274"/>
      <c r="BC128" s="276"/>
      <c r="BD128" s="274"/>
      <c r="BE128" s="273"/>
      <c r="BF128" s="274"/>
      <c r="BG128" s="274"/>
      <c r="BH128" s="274"/>
      <c r="BI128" s="2645"/>
      <c r="BJ128" s="2646"/>
      <c r="BK128" s="2647"/>
      <c r="BL128" s="274"/>
      <c r="BM128" s="2646"/>
      <c r="BN128" s="2646"/>
      <c r="BO128" s="2645"/>
      <c r="BP128" s="2646"/>
      <c r="BQ128" s="2647">
        <v>0.15</v>
      </c>
      <c r="BR128" s="2646">
        <v>0.15</v>
      </c>
      <c r="BS128" s="2646">
        <v>0.15</v>
      </c>
      <c r="BT128" s="2646">
        <v>0.15</v>
      </c>
      <c r="BU128" s="2645">
        <v>0.15</v>
      </c>
      <c r="BV128" s="2646"/>
      <c r="BW128" s="2647">
        <v>0.15</v>
      </c>
      <c r="BX128" s="2646">
        <v>0.15</v>
      </c>
      <c r="BY128" s="2646">
        <v>0.15</v>
      </c>
      <c r="BZ128" s="2646">
        <v>0.15</v>
      </c>
      <c r="CA128" s="2645">
        <v>0.15</v>
      </c>
      <c r="CB128" s="2646"/>
      <c r="CC128" s="2647">
        <v>0.15</v>
      </c>
      <c r="CD128" s="2646">
        <v>0.15</v>
      </c>
      <c r="CE128" s="2646">
        <v>0.15</v>
      </c>
      <c r="CF128" s="2646">
        <v>0.15</v>
      </c>
      <c r="CG128" s="2645">
        <v>0.15</v>
      </c>
      <c r="CH128" s="2646"/>
      <c r="CI128" s="2647">
        <v>0.15</v>
      </c>
      <c r="CJ128" s="2646">
        <v>0.15</v>
      </c>
      <c r="CK128" s="2646">
        <v>0.15</v>
      </c>
      <c r="CL128" s="2646">
        <v>0.15</v>
      </c>
      <c r="CM128" s="2645">
        <v>0.15</v>
      </c>
      <c r="CN128" s="2646"/>
      <c r="CO128" s="2647">
        <v>0.15</v>
      </c>
      <c r="CP128" s="2646">
        <v>0.15</v>
      </c>
      <c r="CQ128" s="2646">
        <v>0.15</v>
      </c>
      <c r="CR128" s="2646">
        <v>0.15</v>
      </c>
      <c r="CS128" s="2645">
        <v>0.15</v>
      </c>
      <c r="CT128" s="274"/>
      <c r="CU128" s="63"/>
      <c r="CV128" s="63"/>
      <c r="CW128" s="63"/>
    </row>
    <row r="129" spans="1:101" outlineLevel="1">
      <c r="A129" s="57" t="s">
        <v>343</v>
      </c>
      <c r="B129" s="57"/>
      <c r="C129" s="277"/>
      <c r="D129" s="278"/>
      <c r="E129" s="278"/>
      <c r="F129" s="278"/>
      <c r="G129" s="279"/>
      <c r="H129" s="278"/>
      <c r="I129" s="277"/>
      <c r="J129" s="278"/>
      <c r="K129" s="278"/>
      <c r="L129" s="278"/>
      <c r="M129" s="279"/>
      <c r="N129" s="278"/>
      <c r="O129" s="277"/>
      <c r="P129" s="278"/>
      <c r="Q129" s="278"/>
      <c r="R129" s="278"/>
      <c r="S129" s="279"/>
      <c r="T129" s="278"/>
      <c r="U129" s="277"/>
      <c r="V129" s="278"/>
      <c r="W129" s="278"/>
      <c r="X129" s="278"/>
      <c r="Y129" s="279"/>
      <c r="Z129" s="278"/>
      <c r="AA129" s="277"/>
      <c r="AB129" s="278"/>
      <c r="AC129" s="278"/>
      <c r="AD129" s="278"/>
      <c r="AE129" s="279"/>
      <c r="AF129" s="278"/>
      <c r="AG129" s="277"/>
      <c r="AH129" s="278"/>
      <c r="AI129" s="278"/>
      <c r="AJ129" s="278"/>
      <c r="AK129" s="279"/>
      <c r="AL129" s="278"/>
      <c r="AM129" s="277"/>
      <c r="AN129" s="278"/>
      <c r="AO129" s="278"/>
      <c r="AP129" s="278"/>
      <c r="AQ129" s="279"/>
      <c r="AR129" s="278"/>
      <c r="AS129" s="1487"/>
      <c r="AT129" s="1532"/>
      <c r="AU129" s="1532"/>
      <c r="AV129" s="278"/>
      <c r="AW129" s="280"/>
      <c r="AX129" s="278"/>
      <c r="AY129" s="1487"/>
      <c r="AZ129" s="278"/>
      <c r="BA129" s="278"/>
      <c r="BB129" s="278"/>
      <c r="BC129" s="280"/>
      <c r="BD129" s="278"/>
      <c r="BE129" s="277"/>
      <c r="BF129" s="278"/>
      <c r="BG129" s="278"/>
      <c r="BH129" s="278"/>
      <c r="BI129" s="2648"/>
      <c r="BJ129" s="2649"/>
      <c r="BK129" s="2650"/>
      <c r="BL129" s="278"/>
      <c r="BM129" s="2649"/>
      <c r="BN129" s="2649"/>
      <c r="BO129" s="2648"/>
      <c r="BP129" s="2649"/>
      <c r="BQ129" s="2650">
        <v>0.1</v>
      </c>
      <c r="BR129" s="2649">
        <v>0.1</v>
      </c>
      <c r="BS129" s="2649">
        <v>0.1</v>
      </c>
      <c r="BT129" s="2649">
        <v>0.1</v>
      </c>
      <c r="BU129" s="2648">
        <v>0.1</v>
      </c>
      <c r="BV129" s="2649"/>
      <c r="BW129" s="2650">
        <v>0.1</v>
      </c>
      <c r="BX129" s="2649">
        <v>0.1</v>
      </c>
      <c r="BY129" s="2649">
        <v>0.1</v>
      </c>
      <c r="BZ129" s="2649">
        <v>0.1</v>
      </c>
      <c r="CA129" s="2648">
        <v>0.1</v>
      </c>
      <c r="CB129" s="2649"/>
      <c r="CC129" s="2650">
        <v>0.1</v>
      </c>
      <c r="CD129" s="2649">
        <v>0.1</v>
      </c>
      <c r="CE129" s="2649">
        <v>0.1</v>
      </c>
      <c r="CF129" s="2649">
        <v>0.1</v>
      </c>
      <c r="CG129" s="2648">
        <v>0.1</v>
      </c>
      <c r="CH129" s="2649"/>
      <c r="CI129" s="2650">
        <v>0.1</v>
      </c>
      <c r="CJ129" s="2649">
        <v>0.1</v>
      </c>
      <c r="CK129" s="2649">
        <v>0.1</v>
      </c>
      <c r="CL129" s="2649">
        <v>0.1</v>
      </c>
      <c r="CM129" s="2648">
        <v>0.1</v>
      </c>
      <c r="CN129" s="2649"/>
      <c r="CO129" s="2650">
        <v>0.1</v>
      </c>
      <c r="CP129" s="2649">
        <v>0.1</v>
      </c>
      <c r="CQ129" s="2649">
        <v>0.1</v>
      </c>
      <c r="CR129" s="2649">
        <v>0.1</v>
      </c>
      <c r="CS129" s="2648">
        <v>0.1</v>
      </c>
      <c r="CT129" s="274"/>
      <c r="CU129" s="63"/>
      <c r="CV129" s="63"/>
      <c r="CW129" s="63"/>
    </row>
    <row r="130" spans="1:101">
      <c r="A130" s="1139"/>
      <c r="B130" s="1139"/>
      <c r="C130" s="1158"/>
      <c r="D130" s="1158"/>
      <c r="E130" s="1158"/>
      <c r="F130" s="1158"/>
      <c r="G130" s="1201"/>
      <c r="H130" s="1201"/>
      <c r="I130" s="1158"/>
      <c r="J130" s="1158"/>
      <c r="K130" s="1158"/>
      <c r="L130" s="1158"/>
      <c r="M130" s="1158"/>
      <c r="N130" s="1158"/>
      <c r="O130" s="1158"/>
      <c r="P130" s="1158"/>
      <c r="Q130" s="1158"/>
      <c r="R130" s="1158"/>
      <c r="S130" s="1158"/>
      <c r="T130" s="1158"/>
      <c r="U130" s="1158"/>
      <c r="V130" s="1158"/>
      <c r="W130" s="1158"/>
      <c r="X130" s="1158"/>
      <c r="Y130" s="1158"/>
      <c r="Z130" s="1158"/>
      <c r="AA130" s="1158"/>
      <c r="AB130" s="1158"/>
      <c r="AC130" s="1158"/>
      <c r="AD130" s="1158"/>
      <c r="AE130" s="1158"/>
      <c r="AF130" s="1158"/>
      <c r="AG130" s="1158"/>
      <c r="AH130" s="1158"/>
      <c r="AI130" s="1158"/>
      <c r="AJ130" s="1158"/>
      <c r="AK130" s="1158"/>
      <c r="AL130" s="1158"/>
      <c r="AM130" s="1158"/>
      <c r="AN130" s="1158"/>
      <c r="AO130" s="1158"/>
      <c r="AP130" s="1158"/>
      <c r="AQ130" s="1160"/>
      <c r="AR130" s="1160"/>
      <c r="AS130" s="1462"/>
      <c r="AT130" s="1459"/>
      <c r="AU130" s="1462"/>
      <c r="AV130" s="1160"/>
      <c r="AW130" s="1160"/>
      <c r="AX130" s="1160"/>
      <c r="AY130" s="1462"/>
      <c r="AZ130" s="1160"/>
      <c r="BA130" s="1160"/>
      <c r="BB130" s="1160"/>
      <c r="BC130" s="1160"/>
      <c r="BD130" s="1160"/>
      <c r="BE130" s="1160"/>
      <c r="BF130" s="1160"/>
      <c r="BG130" s="1160"/>
      <c r="BH130" s="1160"/>
      <c r="BI130" s="1160"/>
      <c r="BJ130" s="1160"/>
      <c r="BK130" s="1160"/>
      <c r="BL130" s="1160"/>
      <c r="BM130" s="1160"/>
      <c r="BN130" s="1160"/>
      <c r="BO130" s="1160"/>
      <c r="BP130" s="1160"/>
      <c r="BQ130" s="1160"/>
      <c r="BR130" s="1160"/>
      <c r="BS130" s="1160"/>
      <c r="BT130" s="1160"/>
      <c r="BU130" s="1160"/>
      <c r="BV130" s="1160"/>
      <c r="BW130" s="1160"/>
      <c r="BX130" s="1160"/>
      <c r="BY130" s="1160"/>
      <c r="BZ130" s="1160"/>
      <c r="CA130" s="1160"/>
      <c r="CB130" s="1160"/>
      <c r="CC130" s="1160"/>
      <c r="CD130" s="1160"/>
      <c r="CE130" s="1160"/>
      <c r="CF130" s="1160"/>
      <c r="CG130" s="1160"/>
      <c r="CH130" s="1160"/>
      <c r="CI130" s="1160"/>
      <c r="CJ130" s="1160"/>
      <c r="CK130" s="1160"/>
      <c r="CL130" s="1160"/>
      <c r="CM130" s="1160"/>
      <c r="CN130" s="1160"/>
      <c r="CO130" s="1160"/>
      <c r="CP130" s="1160"/>
      <c r="CQ130" s="1160"/>
      <c r="CR130" s="1160"/>
      <c r="CS130" s="1160"/>
      <c r="CT130" s="1160"/>
      <c r="CU130" s="63"/>
      <c r="CV130" s="63"/>
      <c r="CW130" s="63"/>
    </row>
    <row r="131" spans="1:101">
      <c r="A131" s="2856" t="s">
        <v>849</v>
      </c>
      <c r="B131" s="1297"/>
      <c r="C131" s="67"/>
      <c r="D131" s="67"/>
      <c r="E131" s="67"/>
      <c r="F131" s="67"/>
      <c r="G131" s="67"/>
      <c r="H131" s="67"/>
      <c r="I131" s="67">
        <f>I137*I153</f>
        <v>0.15058033293133383</v>
      </c>
      <c r="J131" s="67">
        <f>J137*J153</f>
        <v>0.1755928873389504</v>
      </c>
      <c r="K131" s="67">
        <f>K137*K153</f>
        <v>0.16507876894414619</v>
      </c>
      <c r="L131" s="67">
        <f>L137*L153</f>
        <v>0.21504868630050028</v>
      </c>
      <c r="M131" s="67">
        <f>M137*M153</f>
        <v>0.21323531063041454</v>
      </c>
      <c r="N131" s="67"/>
      <c r="O131" s="67">
        <f>O137*O153</f>
        <v>0.21288554108501101</v>
      </c>
      <c r="P131" s="67">
        <f>P137*P153</f>
        <v>0.22534498343829693</v>
      </c>
      <c r="Q131" s="67">
        <f>Q137*Q153</f>
        <v>0.1852722563953062</v>
      </c>
      <c r="R131" s="67">
        <f>R137*R153</f>
        <v>0.19969930607645275</v>
      </c>
      <c r="S131" s="67">
        <f>S137*S153</f>
        <v>0.20320558429385374</v>
      </c>
      <c r="T131" s="67"/>
      <c r="U131" s="67">
        <f>U137*U153</f>
        <v>0.18651532149086872</v>
      </c>
      <c r="V131" s="67">
        <f>V137*V153</f>
        <v>0.22764739521541202</v>
      </c>
      <c r="W131" s="67">
        <f>W137*W153</f>
        <v>0.24212553974971796</v>
      </c>
      <c r="X131" s="67">
        <f>X137*X153</f>
        <v>0.2282501112039447</v>
      </c>
      <c r="Y131" s="67">
        <f>Y137*Y153</f>
        <v>0.24549683411250586</v>
      </c>
      <c r="Z131" s="66"/>
      <c r="AA131" s="67">
        <f>AA137*AA153</f>
        <v>0.28886654318628802</v>
      </c>
      <c r="AB131" s="67">
        <f>AB137*AB153</f>
        <v>0.2887669272830708</v>
      </c>
      <c r="AC131" s="67">
        <f>AC137*AC153</f>
        <v>0.15704881462498776</v>
      </c>
      <c r="AD131" s="67">
        <f>AD137*AD153</f>
        <v>0.2403514227370521</v>
      </c>
      <c r="AE131" s="67">
        <f>AE137*AE153</f>
        <v>0.25037577728378302</v>
      </c>
      <c r="AF131" s="66"/>
      <c r="AG131" s="67">
        <f>AG137*AG153</f>
        <v>0.27485110301714738</v>
      </c>
      <c r="AH131" s="67">
        <f>AH137*AH153</f>
        <v>0.29212900596604885</v>
      </c>
      <c r="AI131" s="67">
        <f>AI137*AI153</f>
        <v>0.28845091317032773</v>
      </c>
      <c r="AJ131" s="67">
        <f>AJ137*AJ153</f>
        <v>0.26941998571061537</v>
      </c>
      <c r="AK131" s="67">
        <f>AK137*AK153</f>
        <v>0.29621045314908467</v>
      </c>
      <c r="AL131" s="66"/>
      <c r="AM131" s="67">
        <f>AM137*AM153</f>
        <v>0.30587774860285888</v>
      </c>
      <c r="AN131" s="67">
        <f>AN137*AN153</f>
        <v>0.22011845369168423</v>
      </c>
      <c r="AO131" s="67">
        <f>AO137*AO153</f>
        <v>0.22387148629267214</v>
      </c>
      <c r="AP131" s="67">
        <f>AP137*AP153</f>
        <v>0.21263629851726007</v>
      </c>
      <c r="AQ131" s="67">
        <f>AQ137*AQ153</f>
        <v>0.30605212159021661</v>
      </c>
      <c r="AR131" s="66"/>
      <c r="AS131" s="67">
        <f>AS137*AS153</f>
        <v>0.2573344307057267</v>
      </c>
      <c r="AT131" s="67">
        <f>AT137*AT153</f>
        <v>0.25283733921995055</v>
      </c>
      <c r="AU131" s="67">
        <f>AU137*AU153</f>
        <v>0.36817022959475781</v>
      </c>
      <c r="AV131" s="67">
        <f>AV137*AV153</f>
        <v>0.4036486074919175</v>
      </c>
      <c r="AW131" s="67">
        <f>AW137*AW153</f>
        <v>0.32987253144063061</v>
      </c>
      <c r="AX131" s="66"/>
      <c r="AY131" s="67">
        <f>AY137*AY153</f>
        <v>0.38357422307603056</v>
      </c>
      <c r="AZ131" s="67">
        <f>AZ137*AZ153</f>
        <v>0.30778429847212013</v>
      </c>
      <c r="BA131" s="67">
        <f>BA137*BA153</f>
        <v>0.2982328580634277</v>
      </c>
      <c r="BB131" s="67">
        <f>BB137*BB153</f>
        <v>0.29619890122617804</v>
      </c>
      <c r="BC131" s="67">
        <f>BC137*BC153</f>
        <v>0.34827200057768443</v>
      </c>
      <c r="BD131" s="66"/>
      <c r="BE131" s="67">
        <f>BE137*BE153</f>
        <v>0.26210236023748357</v>
      </c>
      <c r="BF131" s="67">
        <f>BF137*BF153</f>
        <v>0.290679118053429</v>
      </c>
      <c r="BG131" s="67">
        <f>BG137*BG153</f>
        <v>0.31603777409857081</v>
      </c>
      <c r="BH131" s="67">
        <f>BH137*BH153</f>
        <v>0.25474886896773929</v>
      </c>
      <c r="BI131" s="67">
        <f>BI137*BI153</f>
        <v>0.29993046451989069</v>
      </c>
      <c r="BJ131" s="66"/>
      <c r="BK131" s="67">
        <f>BK137*BK153</f>
        <v>0.18666002986560473</v>
      </c>
      <c r="BL131" s="67">
        <f>BL137*BL153</f>
        <v>0.24062329141607433</v>
      </c>
      <c r="BM131" s="67">
        <f>BM137*BM153</f>
        <v>0.300939793470406</v>
      </c>
      <c r="BN131" s="67">
        <f>BN137*BN153</f>
        <v>0.40136107091478607</v>
      </c>
      <c r="BO131" s="67">
        <f>BO137*BO153</f>
        <v>0.31941883285989831</v>
      </c>
      <c r="BP131" s="66"/>
      <c r="BQ131" s="67">
        <f>BQ137*BQ153</f>
        <v>0.44629457927487881</v>
      </c>
      <c r="BR131" s="67">
        <f>BR137*BR153</f>
        <v>0.29990309627848466</v>
      </c>
      <c r="BS131" s="67">
        <f>BS137*BS153</f>
        <v>0.31982409589279015</v>
      </c>
      <c r="BT131" s="67">
        <f>BT137*BT153</f>
        <v>0.33238121578745666</v>
      </c>
      <c r="BU131" s="67">
        <f>BU137*BU153</f>
        <v>0.37537027586594268</v>
      </c>
      <c r="BV131" s="66"/>
      <c r="BW131" s="67">
        <f>BW137*BW153</f>
        <v>0.39028907746145231</v>
      </c>
      <c r="BX131" s="67">
        <f>BX137*BX153</f>
        <v>0.28841410155668473</v>
      </c>
      <c r="BY131" s="67">
        <f>BY137*BY153</f>
        <v>0.30742282276379707</v>
      </c>
      <c r="BZ131" s="67">
        <f>BZ137*BZ153</f>
        <v>0.31924747204113663</v>
      </c>
      <c r="CA131" s="67">
        <f>CA137*CA153</f>
        <v>0.34549112004593857</v>
      </c>
      <c r="CB131" s="66"/>
      <c r="CC131" s="67">
        <f>CC137*CC153</f>
        <v>0.38070399610304628</v>
      </c>
      <c r="CD131" s="67">
        <f>CD137*CD153</f>
        <v>0.28504168116740342</v>
      </c>
      <c r="CE131" s="67">
        <f>CE137*CE153</f>
        <v>0.30426919040762568</v>
      </c>
      <c r="CF131" s="67">
        <f>CF137*CF153</f>
        <v>0.31711491683206139</v>
      </c>
      <c r="CG131" s="67">
        <f>CG137*CG153</f>
        <v>0.33749634172650927</v>
      </c>
      <c r="CH131" s="66"/>
      <c r="CI131" s="67">
        <f>CI137*CI153</f>
        <v>0.37841053608793224</v>
      </c>
      <c r="CJ131" s="67">
        <f>CJ137*CJ153</f>
        <v>0.28416919782489469</v>
      </c>
      <c r="CK131" s="67">
        <f>CK137*CK153</f>
        <v>0.30311977206515212</v>
      </c>
      <c r="CL131" s="67">
        <f>CL137*CL153</f>
        <v>0.31690953503832886</v>
      </c>
      <c r="CM131" s="67">
        <f>CM137*CM153</f>
        <v>0.33595114076454813</v>
      </c>
      <c r="CN131" s="66"/>
      <c r="CO131" s="67">
        <f>CO137*CO153</f>
        <v>0.37674596275386157</v>
      </c>
      <c r="CP131" s="67">
        <f>CP137*CP153</f>
        <v>0.28688224850455185</v>
      </c>
      <c r="CQ131" s="67">
        <f>CQ137*CQ153</f>
        <v>0.30703187360985279</v>
      </c>
      <c r="CR131" s="67">
        <f>CR137*CR153</f>
        <v>0.32114588816477779</v>
      </c>
      <c r="CS131" s="67">
        <f>CS137*CS153</f>
        <v>0.33782795912444918</v>
      </c>
      <c r="CT131" s="2912"/>
      <c r="CU131" s="60"/>
      <c r="CV131" s="60"/>
      <c r="CW131" s="60"/>
    </row>
    <row r="132" spans="1:101" outlineLevel="1">
      <c r="A132" s="287" t="s">
        <v>485</v>
      </c>
      <c r="B132" s="288"/>
      <c r="C132" s="1298">
        <f>IS!C9</f>
        <v>72.150000000000006</v>
      </c>
      <c r="D132" s="290">
        <f>IS!D9</f>
        <v>84.534999999999997</v>
      </c>
      <c r="E132" s="290">
        <f>IS!E9</f>
        <v>97.51</v>
      </c>
      <c r="F132" s="290">
        <f>IS!F9</f>
        <v>112.60400000000001</v>
      </c>
      <c r="G132" s="286">
        <f>IS!G9</f>
        <v>366.79900000000004</v>
      </c>
      <c r="H132" s="290"/>
      <c r="I132" s="1298">
        <f>IS!I9</f>
        <v>121.861</v>
      </c>
      <c r="J132" s="290">
        <f>IS!J9</f>
        <v>140.17699999999999</v>
      </c>
      <c r="K132" s="290">
        <f>IS!K9</f>
        <v>150.26</v>
      </c>
      <c r="L132" s="290">
        <f>IS!L9</f>
        <v>160.92700000000002</v>
      </c>
      <c r="M132" s="286">
        <f>IS!M9</f>
        <v>573.22500000000002</v>
      </c>
      <c r="N132" s="290"/>
      <c r="O132" s="1298">
        <f>IS!O9</f>
        <v>165.75700000000001</v>
      </c>
      <c r="P132" s="290">
        <f>IS!P9</f>
        <v>161.643</v>
      </c>
      <c r="Q132" s="290">
        <f>IS!Q9</f>
        <v>158.36000000000001</v>
      </c>
      <c r="R132" s="290">
        <f>IS!R9</f>
        <v>180.56399999999996</v>
      </c>
      <c r="S132" s="286">
        <f>IS!S9</f>
        <v>666.32400000000007</v>
      </c>
      <c r="T132" s="290"/>
      <c r="U132" s="1298">
        <f>IS!U9</f>
        <v>192.131</v>
      </c>
      <c r="V132" s="290">
        <f>IS!V9</f>
        <v>212.00300000000001</v>
      </c>
      <c r="W132" s="290">
        <f>IS!W9</f>
        <v>237.309</v>
      </c>
      <c r="X132" s="290">
        <f>IS!X9</f>
        <v>261.298</v>
      </c>
      <c r="Y132" s="286">
        <f>IS!Y9</f>
        <v>902.74099999999999</v>
      </c>
      <c r="Z132" s="291"/>
      <c r="AA132" s="1298">
        <f>IS!AA9</f>
        <v>282.51499999999999</v>
      </c>
      <c r="AB132" s="290">
        <f>IS!AB9</f>
        <v>287.45</v>
      </c>
      <c r="AC132" s="290">
        <f>IS!AC9</f>
        <v>235.499</v>
      </c>
      <c r="AD132" s="290">
        <f>IS!AD9</f>
        <v>250.07099999999997</v>
      </c>
      <c r="AE132" s="286">
        <f>IS!AE9</f>
        <v>1055.5349999999999</v>
      </c>
      <c r="AF132" s="291"/>
      <c r="AG132" s="1298">
        <f>IS!AG9</f>
        <v>272.77</v>
      </c>
      <c r="AH132" s="290">
        <f>IS!AH9</f>
        <v>280.60699999999997</v>
      </c>
      <c r="AI132" s="290">
        <f>IS!AI9</f>
        <v>285.87400000000002</v>
      </c>
      <c r="AJ132" s="290">
        <f>IS!AJ9</f>
        <v>309.26499999999999</v>
      </c>
      <c r="AK132" s="286">
        <f>IS!AK9</f>
        <v>1148.5160000000001</v>
      </c>
      <c r="AL132" s="291"/>
      <c r="AM132" s="1298">
        <f>IS!AM9</f>
        <v>330.95800000000003</v>
      </c>
      <c r="AN132" s="290">
        <f>IS!AN9</f>
        <v>346.09399999999999</v>
      </c>
      <c r="AO132" s="290">
        <f>IS!AO9</f>
        <v>356.8</v>
      </c>
      <c r="AP132" s="290">
        <f>IS!AP9</f>
        <v>387.32600000000002</v>
      </c>
      <c r="AQ132" s="286">
        <f>IS!AQ9</f>
        <v>1421.1780000000001</v>
      </c>
      <c r="AR132" s="291"/>
      <c r="AS132" s="1488">
        <f>IS!AS9</f>
        <v>420.78100000000001</v>
      </c>
      <c r="AT132" s="1533">
        <f>IS!AT9</f>
        <v>447.56799999999998</v>
      </c>
      <c r="AU132" s="1533">
        <f>IS!AU9</f>
        <v>480.63</v>
      </c>
      <c r="AV132" s="1299">
        <f>IS!AV9</f>
        <v>512.37900000000002</v>
      </c>
      <c r="AW132" s="1299">
        <f>IS!AW9</f>
        <v>1861.3579999999997</v>
      </c>
      <c r="AX132" s="291"/>
      <c r="AY132" s="1298">
        <f>IS!AY9</f>
        <v>538.56500000000005</v>
      </c>
      <c r="AZ132" s="290">
        <f>IS!AZ9</f>
        <v>539.37799999999993</v>
      </c>
      <c r="BA132" s="290">
        <f>IS!BA9</f>
        <v>550.27099999999996</v>
      </c>
      <c r="BB132" s="1299">
        <f>IS!BB9</f>
        <v>591.548</v>
      </c>
      <c r="BC132" s="1299">
        <f>IS!BC9</f>
        <v>2219.7619999999997</v>
      </c>
      <c r="BD132" s="291"/>
      <c r="BE132" s="1298">
        <f>IS!BE9</f>
        <v>571.76300000000003</v>
      </c>
      <c r="BF132" s="290">
        <f>IS!BF9</f>
        <v>600.12400000000002</v>
      </c>
      <c r="BG132" s="290">
        <f>IS!BG9</f>
        <v>607.13900000000001</v>
      </c>
      <c r="BH132" s="1299">
        <f>IS!BH9</f>
        <v>619.34699999999998</v>
      </c>
      <c r="BI132" s="1299">
        <f>IS!BI9</f>
        <v>2398.3730000000005</v>
      </c>
      <c r="BJ132" s="291"/>
      <c r="BK132" s="1298">
        <f>IS!BK9</f>
        <v>598</v>
      </c>
      <c r="BL132" s="290">
        <f>IS!BL9</f>
        <v>662.4</v>
      </c>
      <c r="BM132" s="290">
        <f>IS!BM9</f>
        <v>714</v>
      </c>
      <c r="BN132" s="1299">
        <f>IS!BN9</f>
        <v>777.7</v>
      </c>
      <c r="BO132" s="1299">
        <f>IS!BO9</f>
        <v>2752.1000000000004</v>
      </c>
      <c r="BP132" s="291"/>
      <c r="BQ132" s="1298">
        <f>IS!BQ9</f>
        <v>782</v>
      </c>
      <c r="BR132" s="290">
        <f>IS!BR9</f>
        <v>790.43216979006502</v>
      </c>
      <c r="BS132" s="290">
        <f>IS!BS9</f>
        <v>805.6766484806891</v>
      </c>
      <c r="BT132" s="1299">
        <f>IS!BT9</f>
        <v>840.31812717131322</v>
      </c>
      <c r="BU132" s="1299">
        <f>IS!BU9</f>
        <v>3218.4269454420673</v>
      </c>
      <c r="BV132" s="291"/>
      <c r="BW132" s="1298">
        <f>IS!BW9</f>
        <v>872.66311950238219</v>
      </c>
      <c r="BX132" s="290">
        <f>IS!BX9</f>
        <v>870.22373106422003</v>
      </c>
      <c r="BY132" s="290">
        <f>IS!BY9</f>
        <v>882.06875801067326</v>
      </c>
      <c r="BZ132" s="1299">
        <f>IS!BZ9</f>
        <v>917.82797726481908</v>
      </c>
      <c r="CA132" s="1299">
        <f>IS!CA9</f>
        <v>3542.7835858420949</v>
      </c>
      <c r="CB132" s="291"/>
      <c r="CC132" s="1298">
        <f>IS!CC9</f>
        <v>961.28431101600609</v>
      </c>
      <c r="CD132" s="290">
        <f>IS!CD9</f>
        <v>959.45288335890916</v>
      </c>
      <c r="CE132" s="290">
        <f>IS!CE9</f>
        <v>972.24722094441574</v>
      </c>
      <c r="CF132" s="1299">
        <f>IS!CF9</f>
        <v>1013.0584482932361</v>
      </c>
      <c r="CG132" s="1299">
        <f>IS!CG9</f>
        <v>3906.0428636125671</v>
      </c>
      <c r="CH132" s="291"/>
      <c r="CI132" s="1298">
        <f>IS!CI9</f>
        <v>1061.5747363625551</v>
      </c>
      <c r="CJ132" s="290">
        <f>IS!CJ9</f>
        <v>1059.36255204085</v>
      </c>
      <c r="CK132" s="290">
        <f>IS!CK9</f>
        <v>1072.8875263874513</v>
      </c>
      <c r="CL132" s="1299">
        <f>IS!CL9</f>
        <v>1120.6718618303846</v>
      </c>
      <c r="CM132" s="1299">
        <f>IS!CM9</f>
        <v>4314.496676621241</v>
      </c>
      <c r="CN132" s="291"/>
      <c r="CO132" s="1298">
        <f>IS!CO9</f>
        <v>1167.3216847679541</v>
      </c>
      <c r="CP132" s="290">
        <f>IS!CP9</f>
        <v>1169.9955643677147</v>
      </c>
      <c r="CQ132" s="290">
        <f>IS!CQ9</f>
        <v>1189.2413465931577</v>
      </c>
      <c r="CR132" s="1299">
        <f>IS!CR9</f>
        <v>1243.6616641844498</v>
      </c>
      <c r="CS132" s="1299">
        <f>IS!CS9</f>
        <v>4770.2202599132761</v>
      </c>
      <c r="CT132" s="290"/>
      <c r="CU132" s="63"/>
      <c r="CV132" s="63"/>
      <c r="CW132" s="63"/>
    </row>
    <row r="133" spans="1:101" outlineLevel="1">
      <c r="A133" s="287" t="s">
        <v>205</v>
      </c>
      <c r="B133" s="288"/>
      <c r="C133" s="289">
        <f>IS!C20</f>
        <v>8.257000000000005</v>
      </c>
      <c r="D133" s="290">
        <f>IS!D20</f>
        <v>13.038999999999994</v>
      </c>
      <c r="E133" s="290">
        <f>IS!E20</f>
        <v>16.372</v>
      </c>
      <c r="F133" s="290">
        <f>IS!F20</f>
        <v>22.438000000000017</v>
      </c>
      <c r="G133" s="286">
        <f>IS!G20</f>
        <v>60.106000000000023</v>
      </c>
      <c r="H133" s="290"/>
      <c r="I133" s="289">
        <f>IS!I20</f>
        <v>21.389000000000003</v>
      </c>
      <c r="J133" s="290">
        <f>IS!J20</f>
        <v>30.608999999999995</v>
      </c>
      <c r="K133" s="290">
        <f>IS!K20</f>
        <v>29.511999999999986</v>
      </c>
      <c r="L133" s="290">
        <f>IS!L20</f>
        <v>39.645000000000024</v>
      </c>
      <c r="M133" s="286">
        <f>IS!M20</f>
        <v>121.155</v>
      </c>
      <c r="N133" s="290"/>
      <c r="O133" s="289">
        <f>IS!O20</f>
        <v>39.097000000000008</v>
      </c>
      <c r="P133" s="290">
        <f>IS!P20</f>
        <v>38.691000000000003</v>
      </c>
      <c r="Q133" s="290">
        <f>IS!Q20</f>
        <v>33.213000000000022</v>
      </c>
      <c r="R133" s="290">
        <f>IS!R20</f>
        <v>38.275999999999982</v>
      </c>
      <c r="S133" s="286">
        <f>IS!S20</f>
        <v>149.27700000000004</v>
      </c>
      <c r="T133" s="290"/>
      <c r="U133" s="289">
        <f>IS!U20</f>
        <v>40.76400000000001</v>
      </c>
      <c r="V133" s="290">
        <f>IS!V20</f>
        <v>51.802999999999997</v>
      </c>
      <c r="W133" s="290">
        <f>IS!W20</f>
        <v>60.548999999999992</v>
      </c>
      <c r="X133" s="290">
        <f>IS!X20</f>
        <v>61.502999999999986</v>
      </c>
      <c r="Y133" s="292">
        <f>IS!Y20</f>
        <v>214.61900000000003</v>
      </c>
      <c r="Z133" s="291"/>
      <c r="AA133" s="289">
        <f>IS!AA20</f>
        <v>77.288999999999987</v>
      </c>
      <c r="AB133" s="290">
        <f>IS!AB20</f>
        <v>79.355999999999995</v>
      </c>
      <c r="AC133" s="290">
        <f>IS!AC20</f>
        <v>44.367999999999995</v>
      </c>
      <c r="AD133" s="290">
        <f>IS!AD20</f>
        <v>65.774999999999949</v>
      </c>
      <c r="AE133" s="292">
        <f>IS!AE20</f>
        <v>266.78799999999978</v>
      </c>
      <c r="AF133" s="291"/>
      <c r="AG133" s="289">
        <f>IS!AG20</f>
        <v>72.712999999999994</v>
      </c>
      <c r="AH133" s="290">
        <f>IS!AH20</f>
        <v>78.903999999999954</v>
      </c>
      <c r="AI133" s="291">
        <f>IS!AI20</f>
        <v>77.262000000000029</v>
      </c>
      <c r="AJ133" s="291">
        <f>IS!AJ20</f>
        <v>78.241000000000014</v>
      </c>
      <c r="AK133" s="286">
        <f>IS!AK20</f>
        <v>307.12000000000012</v>
      </c>
      <c r="AL133" s="291"/>
      <c r="AM133" s="293">
        <f>IS!AM20</f>
        <v>85.844000000000023</v>
      </c>
      <c r="AN133" s="291">
        <f>IS!AN20</f>
        <v>87.211000000000013</v>
      </c>
      <c r="AO133" s="291">
        <f>IS!AO20</f>
        <v>88.176000000000045</v>
      </c>
      <c r="AP133" s="291">
        <f>IS!AP20</f>
        <v>95.172000000000025</v>
      </c>
      <c r="AQ133" s="286">
        <f>IS!AQ20</f>
        <v>356.40300000000013</v>
      </c>
      <c r="AR133" s="291"/>
      <c r="AS133" s="1451">
        <f>IS!AS20</f>
        <v>113.55500000000001</v>
      </c>
      <c r="AT133" s="1534">
        <f>IS!AT20</f>
        <v>119.726</v>
      </c>
      <c r="AU133" s="1534">
        <f>IS!AU20</f>
        <v>145.91500000000002</v>
      </c>
      <c r="AV133" s="294">
        <f>IS!AV20</f>
        <v>154.52799999999999</v>
      </c>
      <c r="AW133" s="1299">
        <f>IS!AW20</f>
        <v>533.72399999999959</v>
      </c>
      <c r="AX133" s="291"/>
      <c r="AY133" s="293">
        <f>IS!AY20</f>
        <v>179.82500000000005</v>
      </c>
      <c r="AZ133" s="291">
        <f>IS!AZ20</f>
        <v>168.5139999999999</v>
      </c>
      <c r="BA133" s="291">
        <f>IS!BA20</f>
        <v>165.70799999999997</v>
      </c>
      <c r="BB133" s="294">
        <f>IS!BB20</f>
        <v>161.822</v>
      </c>
      <c r="BC133" s="1299">
        <f>IS!BC20</f>
        <v>675.86899999999969</v>
      </c>
      <c r="BD133" s="291"/>
      <c r="BE133" s="293">
        <f>IS!BE20</f>
        <v>136.55300000000011</v>
      </c>
      <c r="BF133" s="291">
        <f>IS!BF20</f>
        <v>163.48700000000002</v>
      </c>
      <c r="BG133" s="291">
        <f>IS!BG20</f>
        <v>174.20100000000002</v>
      </c>
      <c r="BH133" s="294">
        <f>IS!BH20</f>
        <v>155.60400000000004</v>
      </c>
      <c r="BI133" s="1299">
        <f>IS!BI20</f>
        <v>629.84500000000048</v>
      </c>
      <c r="BJ133" s="291"/>
      <c r="BK133" s="293">
        <f>IS!BK20</f>
        <v>105</v>
      </c>
      <c r="BL133" s="291">
        <f>IS!BL20</f>
        <v>146.69999999999999</v>
      </c>
      <c r="BM133" s="291">
        <f>IS!BM20</f>
        <v>191.62</v>
      </c>
      <c r="BN133" s="294">
        <f>IS!BN20</f>
        <v>244.12000000000012</v>
      </c>
      <c r="BO133" s="1299">
        <f>IS!BO20</f>
        <v>687.44000000000028</v>
      </c>
      <c r="BP133" s="291"/>
      <c r="BQ133" s="293">
        <f>IS!BQ20</f>
        <v>230</v>
      </c>
      <c r="BR133" s="291">
        <f>IS!BR20</f>
        <v>187.93275572115658</v>
      </c>
      <c r="BS133" s="291">
        <f>IS!BS20</f>
        <v>195.84441653084184</v>
      </c>
      <c r="BT133" s="294">
        <f>IS!BT20</f>
        <v>208.58529242155095</v>
      </c>
      <c r="BU133" s="1299">
        <f>IS!BU20</f>
        <v>822.36246467354977</v>
      </c>
      <c r="BV133" s="291"/>
      <c r="BW133" s="293">
        <f>IS!BW20</f>
        <v>252.09286495413642</v>
      </c>
      <c r="BX133" s="291">
        <f>IS!BX20</f>
        <v>203.92126569826451</v>
      </c>
      <c r="BY133" s="291">
        <f>IS!BY20</f>
        <v>211.926350607139</v>
      </c>
      <c r="BZ133" s="294">
        <f>IS!BZ20</f>
        <v>224.68861136164696</v>
      </c>
      <c r="CA133" s="1299">
        <f>IS!CA20</f>
        <v>892.62909262118751</v>
      </c>
      <c r="CB133" s="291"/>
      <c r="CC133" s="293">
        <f>IS!CC20</f>
        <v>275.03727002790799</v>
      </c>
      <c r="CD133" s="291">
        <f>IS!CD20</f>
        <v>222.80515168357977</v>
      </c>
      <c r="CE133" s="291">
        <f>IS!CE20</f>
        <v>231.66803053737885</v>
      </c>
      <c r="CF133" s="294">
        <f>IS!CF20</f>
        <v>245.77820689869918</v>
      </c>
      <c r="CG133" s="1299">
        <f>IS!CG20</f>
        <v>975.2886591475658</v>
      </c>
      <c r="CH133" s="291"/>
      <c r="CI133" s="293">
        <f>IS!CI20</f>
        <v>300.32697336696424</v>
      </c>
      <c r="CJ133" s="291">
        <f>IS!CJ20</f>
        <v>243.62167774259967</v>
      </c>
      <c r="CK133" s="291">
        <f>IS!CK20</f>
        <v>253.24751475872301</v>
      </c>
      <c r="CL133" s="294">
        <f>IS!CL20</f>
        <v>269.3194797906952</v>
      </c>
      <c r="CM133" s="1299">
        <f>IS!CM20</f>
        <v>1066.5156456589825</v>
      </c>
      <c r="CN133" s="291"/>
      <c r="CO133" s="293">
        <f>IS!CO20</f>
        <v>327.85714141024164</v>
      </c>
      <c r="CP133" s="291">
        <f>IS!CP20</f>
        <v>268.78692321603125</v>
      </c>
      <c r="CQ133" s="291">
        <f>IS!CQ20</f>
        <v>280.65815280451329</v>
      </c>
      <c r="CR133" s="294">
        <f>IS!CR20</f>
        <v>298.65527028737665</v>
      </c>
      <c r="CS133" s="1299">
        <f>IS!CS20</f>
        <v>1175.9574877181626</v>
      </c>
      <c r="CT133" s="290"/>
      <c r="CU133" s="63"/>
      <c r="CV133" s="63"/>
      <c r="CW133" s="63"/>
    </row>
    <row r="134" spans="1:101" outlineLevel="1">
      <c r="A134" s="287" t="s">
        <v>486</v>
      </c>
      <c r="B134" s="288"/>
      <c r="C134" s="281">
        <f>IS!C126</f>
        <v>0.35</v>
      </c>
      <c r="D134" s="282">
        <f>IS!D126</f>
        <v>0.35</v>
      </c>
      <c r="E134" s="282">
        <f>IS!E126</f>
        <v>0.35</v>
      </c>
      <c r="F134" s="282">
        <f>IS!F126</f>
        <v>0.35</v>
      </c>
      <c r="G134" s="283">
        <f>IS!G126</f>
        <v>0.35</v>
      </c>
      <c r="H134" s="282">
        <f>IS!H126</f>
        <v>0</v>
      </c>
      <c r="I134" s="281">
        <f>IS!I126</f>
        <v>0.25094222060119747</v>
      </c>
      <c r="J134" s="282">
        <f>IS!J126</f>
        <v>0.25094222060119747</v>
      </c>
      <c r="K134" s="282">
        <f>IS!K126</f>
        <v>0.25094222060119747</v>
      </c>
      <c r="L134" s="282">
        <f>IS!L126</f>
        <v>0.25094222060119747</v>
      </c>
      <c r="M134" s="283">
        <f>IS!M126</f>
        <v>0.25094222060119747</v>
      </c>
      <c r="N134" s="282"/>
      <c r="O134" s="281">
        <f>IS!O126</f>
        <v>0.24773762875413222</v>
      </c>
      <c r="P134" s="282">
        <f>IS!P126</f>
        <v>0.24773762875413222</v>
      </c>
      <c r="Q134" s="282">
        <f>IS!Q126</f>
        <v>0.24773762875413222</v>
      </c>
      <c r="R134" s="282">
        <f>IS!R126</f>
        <v>0.24773762875413222</v>
      </c>
      <c r="S134" s="283">
        <f>IS!S126</f>
        <v>0.24773762875413222</v>
      </c>
      <c r="T134" s="282"/>
      <c r="U134" s="281">
        <f>IS!U126</f>
        <v>0.35860764972549364</v>
      </c>
      <c r="V134" s="282">
        <f>IS!V126</f>
        <v>0.35860764972549364</v>
      </c>
      <c r="W134" s="282">
        <f>IS!W126</f>
        <v>0.35860764972549364</v>
      </c>
      <c r="X134" s="282">
        <f>IS!X126</f>
        <v>0.35860764972549364</v>
      </c>
      <c r="Y134" s="283">
        <f>IS!Y126</f>
        <v>0.35860764972549364</v>
      </c>
      <c r="Z134" s="282"/>
      <c r="AA134" s="281">
        <f>IS!AA57</f>
        <v>0.35212084498691798</v>
      </c>
      <c r="AB134" s="282">
        <f>IS!AB57</f>
        <v>0.34633441675695203</v>
      </c>
      <c r="AC134" s="282">
        <f>IS!AC57</f>
        <v>0.34449074992833678</v>
      </c>
      <c r="AD134" s="282">
        <f>IS!AD57</f>
        <v>0.35271196775680796</v>
      </c>
      <c r="AE134" s="214">
        <f>IS!AE57</f>
        <v>0.34927055065476703</v>
      </c>
      <c r="AF134" s="213"/>
      <c r="AG134" s="281">
        <f>IS!AG57</f>
        <v>0.33970228838035993</v>
      </c>
      <c r="AH134" s="282">
        <f>IS!AH57</f>
        <v>0.33832154454149593</v>
      </c>
      <c r="AI134" s="213">
        <f>IS!AI57</f>
        <v>0.33897132408356895</v>
      </c>
      <c r="AJ134" s="213">
        <f>IS!AJ57</f>
        <v>0.28855042148377313</v>
      </c>
      <c r="AK134" s="214">
        <f>IS!AK57</f>
        <v>0.32608263996976738</v>
      </c>
      <c r="AL134" s="213"/>
      <c r="AM134" s="284">
        <f>IS!AM57</f>
        <v>0.27497452760281571</v>
      </c>
      <c r="AN134" s="213">
        <f>IS!AN57</f>
        <v>0.30702793062617534</v>
      </c>
      <c r="AO134" s="213">
        <f>IS!AO57</f>
        <v>0.29391276992562287</v>
      </c>
      <c r="AP134" s="213">
        <f>IS!AP57</f>
        <v>0.32594179424212333</v>
      </c>
      <c r="AQ134" s="214">
        <f>IS!AQ57</f>
        <v>0.30107695451707805</v>
      </c>
      <c r="AR134" s="213"/>
      <c r="AS134" s="284">
        <f>IS!AS57</f>
        <v>0.29948629987135617</v>
      </c>
      <c r="AT134" s="213">
        <f>IS!AT57</f>
        <v>0.29791791193464834</v>
      </c>
      <c r="AU134" s="213">
        <f>IS!AU57</f>
        <v>0.2125505792361842</v>
      </c>
      <c r="AV134" s="285">
        <f>IS!AV57</f>
        <v>0.16160722993400733</v>
      </c>
      <c r="AW134" s="285">
        <f>IS!AW57</f>
        <v>0.23578702018173714</v>
      </c>
      <c r="AX134" s="213"/>
      <c r="AY134" s="284">
        <f>IS!AY57</f>
        <v>0.24518960028101314</v>
      </c>
      <c r="AZ134" s="213">
        <f>IS!AZ57</f>
        <v>0.28857460481651254</v>
      </c>
      <c r="BA134" s="213">
        <f>IS!BA57</f>
        <v>0.28603675053075966</v>
      </c>
      <c r="BB134" s="285">
        <f>IS!BB57</f>
        <v>0.2645171262520094</v>
      </c>
      <c r="BC134" s="285">
        <f>IS!BC57</f>
        <v>0.27061881702860885</v>
      </c>
      <c r="BD134" s="213"/>
      <c r="BE134" s="284">
        <f>IS!BE57</f>
        <v>0.25482845792704928</v>
      </c>
      <c r="BF134" s="213">
        <f>IS!BF57</f>
        <v>0.25739225839899205</v>
      </c>
      <c r="BG134" s="213">
        <f>IS!BG57</f>
        <v>0.24601475951577825</v>
      </c>
      <c r="BH134" s="285">
        <f>IS!BH57</f>
        <v>0.28542159691380026</v>
      </c>
      <c r="BI134" s="285">
        <f>IS!BI57</f>
        <v>0.26050803358278996</v>
      </c>
      <c r="BJ134" s="213"/>
      <c r="BK134" s="284">
        <f>IS!BK57</f>
        <v>0.25</v>
      </c>
      <c r="BL134" s="213">
        <f>IS!BL57</f>
        <v>0.25</v>
      </c>
      <c r="BM134" s="213">
        <f>IS!BM57</f>
        <v>0.21631898057753571</v>
      </c>
      <c r="BN134" s="285">
        <f>IS!BN57</f>
        <v>0.1795871932390703</v>
      </c>
      <c r="BO134" s="285">
        <f>IS!BO57</f>
        <v>0.21587564648398427</v>
      </c>
      <c r="BP134" s="213"/>
      <c r="BQ134" s="284">
        <f>IS!BQ57</f>
        <v>0.12875536480686695</v>
      </c>
      <c r="BR134" s="213">
        <f>IS!BR57</f>
        <v>0.2</v>
      </c>
      <c r="BS134" s="213">
        <f>IS!BS57</f>
        <v>0.2</v>
      </c>
      <c r="BT134" s="285">
        <f>IS!BT57</f>
        <v>0.2</v>
      </c>
      <c r="BU134" s="285">
        <f>IS!BU57</f>
        <v>0.18020940349842698</v>
      </c>
      <c r="BV134" s="213"/>
      <c r="BW134" s="284">
        <f>IS!BW57</f>
        <v>0.2</v>
      </c>
      <c r="BX134" s="213">
        <f>IS!BX57</f>
        <v>0.2</v>
      </c>
      <c r="BY134" s="213">
        <f>IS!BY57</f>
        <v>0.2</v>
      </c>
      <c r="BZ134" s="285">
        <f>IS!BZ57</f>
        <v>0.2</v>
      </c>
      <c r="CA134" s="285">
        <f>IS!CA57</f>
        <v>0.19999999999999993</v>
      </c>
      <c r="CB134" s="213"/>
      <c r="CC134" s="284">
        <f>IS!CC57</f>
        <v>0.2</v>
      </c>
      <c r="CD134" s="213">
        <f>IS!CD57</f>
        <v>0.2</v>
      </c>
      <c r="CE134" s="213">
        <f>IS!CE57</f>
        <v>0.2</v>
      </c>
      <c r="CF134" s="285">
        <f>IS!CF57</f>
        <v>0.2</v>
      </c>
      <c r="CG134" s="285">
        <f>IS!CG57</f>
        <v>0.19999999999999998</v>
      </c>
      <c r="CH134" s="213"/>
      <c r="CI134" s="284">
        <f>IS!CI57</f>
        <v>0.2</v>
      </c>
      <c r="CJ134" s="213">
        <f>IS!CJ57</f>
        <v>0.2</v>
      </c>
      <c r="CK134" s="213">
        <f>IS!CK57</f>
        <v>0.2</v>
      </c>
      <c r="CL134" s="285">
        <f>IS!CL57</f>
        <v>0.2</v>
      </c>
      <c r="CM134" s="285">
        <f>IS!CM57</f>
        <v>0.19999999999999996</v>
      </c>
      <c r="CN134" s="213"/>
      <c r="CO134" s="284">
        <f>IS!CO57</f>
        <v>0.2</v>
      </c>
      <c r="CP134" s="213">
        <f>IS!CP57</f>
        <v>0.2</v>
      </c>
      <c r="CQ134" s="213">
        <f>IS!CQ57</f>
        <v>0.2</v>
      </c>
      <c r="CR134" s="285">
        <f>IS!CR57</f>
        <v>0.2</v>
      </c>
      <c r="CS134" s="285">
        <f>IS!CS57</f>
        <v>0.20000000000000007</v>
      </c>
      <c r="CT134" s="213"/>
      <c r="CU134" s="63"/>
      <c r="CV134" s="63"/>
      <c r="CW134" s="63"/>
    </row>
    <row r="135" spans="1:101" outlineLevel="1">
      <c r="A135" s="287" t="s">
        <v>487</v>
      </c>
      <c r="B135" s="288"/>
      <c r="C135" s="289">
        <f>C133*C134</f>
        <v>2.8899500000000016</v>
      </c>
      <c r="D135" s="290">
        <f>D133*D134</f>
        <v>4.5636499999999973</v>
      </c>
      <c r="E135" s="290">
        <f>E133*E134</f>
        <v>5.7302</v>
      </c>
      <c r="F135" s="290">
        <f>F133*F134</f>
        <v>7.8533000000000053</v>
      </c>
      <c r="G135" s="286">
        <f>G133*G134</f>
        <v>21.037100000000006</v>
      </c>
      <c r="H135" s="290"/>
      <c r="I135" s="289">
        <f>I133*I134</f>
        <v>5.3674031564390132</v>
      </c>
      <c r="J135" s="290">
        <f>J133*J134</f>
        <v>7.681090430382052</v>
      </c>
      <c r="K135" s="290">
        <f>K133*K134</f>
        <v>7.4058068143825366</v>
      </c>
      <c r="L135" s="290">
        <f>L133*L134</f>
        <v>9.9486043357344798</v>
      </c>
      <c r="M135" s="286">
        <f>M133*M134</f>
        <v>30.40290473693808</v>
      </c>
      <c r="N135" s="290"/>
      <c r="O135" s="289">
        <f>O133*O134</f>
        <v>9.6857980714003098</v>
      </c>
      <c r="P135" s="290">
        <f>P133*P134</f>
        <v>9.5852165941261305</v>
      </c>
      <c r="Q135" s="290">
        <f>Q133*Q134</f>
        <v>8.2281098638109995</v>
      </c>
      <c r="R135" s="290">
        <f>R133*R134</f>
        <v>9.4824054781931597</v>
      </c>
      <c r="S135" s="286">
        <f>S133*S134</f>
        <v>36.981530007530608</v>
      </c>
      <c r="T135" s="290"/>
      <c r="U135" s="289">
        <f>U133*U134</f>
        <v>14.618282233410026</v>
      </c>
      <c r="V135" s="290">
        <f>V133*V134</f>
        <v>18.576952078729747</v>
      </c>
      <c r="W135" s="290">
        <f>W133*W134</f>
        <v>21.71333458322891</v>
      </c>
      <c r="X135" s="290">
        <f>X133*X134</f>
        <v>22.055446281067031</v>
      </c>
      <c r="Y135" s="286">
        <f>Y133*Y134</f>
        <v>76.964015176435723</v>
      </c>
      <c r="Z135" s="291"/>
      <c r="AA135" s="289">
        <f>AA133*AA134</f>
        <v>27.215067988193898</v>
      </c>
      <c r="AB135" s="290">
        <f>AB133*AB134</f>
        <v>27.483713976164683</v>
      </c>
      <c r="AC135" s="290">
        <f>AC133*AC134</f>
        <v>15.284365592820444</v>
      </c>
      <c r="AD135" s="290">
        <f>AD133*AD134</f>
        <v>23.199629679204026</v>
      </c>
      <c r="AE135" s="292">
        <f>AE133*AE134</f>
        <v>93.181191668083912</v>
      </c>
      <c r="AF135" s="291"/>
      <c r="AG135" s="289">
        <f>AG133*AG134</f>
        <v>24.700772495001111</v>
      </c>
      <c r="AH135" s="290">
        <f>AH133*AH134</f>
        <v>26.694923150502181</v>
      </c>
      <c r="AI135" s="291">
        <f>AI133*AI134</f>
        <v>26.189602441344714</v>
      </c>
      <c r="AJ135" s="291">
        <f>AJ133*AJ134</f>
        <v>22.576473527311897</v>
      </c>
      <c r="AK135" s="292">
        <f>AK133*AK134</f>
        <v>100.146500387515</v>
      </c>
      <c r="AL135" s="291"/>
      <c r="AM135" s="293">
        <f>AM133*AM134</f>
        <v>23.604913347536119</v>
      </c>
      <c r="AN135" s="291">
        <f>AN133*AN134</f>
        <v>26.776212857839383</v>
      </c>
      <c r="AO135" s="291">
        <f>AO133*AO134</f>
        <v>25.916052400961735</v>
      </c>
      <c r="AP135" s="291">
        <f>AP133*AP134</f>
        <v>31.020532441611369</v>
      </c>
      <c r="AQ135" s="292">
        <f>AQ133*AQ134</f>
        <v>107.30472982075021</v>
      </c>
      <c r="AR135" s="291"/>
      <c r="AS135" s="1451">
        <f>AS133*AS134</f>
        <v>34.008166781891852</v>
      </c>
      <c r="AT135" s="1534">
        <f>AT133*AT134</f>
        <v>35.668519924287708</v>
      </c>
      <c r="AU135" s="1534">
        <f>AU133*AU134</f>
        <v>31.014317769247821</v>
      </c>
      <c r="AV135" s="294">
        <f>AV133*AV134</f>
        <v>24.972842027242283</v>
      </c>
      <c r="AW135" s="294">
        <f>AW133*AW134</f>
        <v>125.84519155947737</v>
      </c>
      <c r="AX135" s="291"/>
      <c r="AY135" s="293">
        <f>AY133*AY134</f>
        <v>44.091219870533202</v>
      </c>
      <c r="AZ135" s="291">
        <f>AZ133*AZ134</f>
        <v>48.628860956049763</v>
      </c>
      <c r="BA135" s="291">
        <f>BA133*BA134</f>
        <v>47.398577856951114</v>
      </c>
      <c r="BB135" s="294">
        <f>BB133*BB134</f>
        <v>42.804690404352669</v>
      </c>
      <c r="BC135" s="294">
        <f>BC133*BC134</f>
        <v>182.90286924630874</v>
      </c>
      <c r="BD135" s="291"/>
      <c r="BE135" s="293">
        <f>BE133*BE134</f>
        <v>34.797590415312385</v>
      </c>
      <c r="BF135" s="291">
        <f>BF133*BF134</f>
        <v>42.080288148876022</v>
      </c>
      <c r="BG135" s="291">
        <f>BG133*BG134</f>
        <v>42.85601712240809</v>
      </c>
      <c r="BH135" s="294">
        <f>BH133*BH134</f>
        <v>44.412742166174986</v>
      </c>
      <c r="BI135" s="294">
        <f>BI133*BI134</f>
        <v>164.07968241195246</v>
      </c>
      <c r="BJ135" s="291"/>
      <c r="BK135" s="293">
        <f>BK133*BK134</f>
        <v>26.25</v>
      </c>
      <c r="BL135" s="291">
        <f>BL133*BL134</f>
        <v>36.674999999999997</v>
      </c>
      <c r="BM135" s="291">
        <f>BM133*BM134</f>
        <v>41.451043058267395</v>
      </c>
      <c r="BN135" s="294">
        <f>BN133*BN134</f>
        <v>43.840825613521865</v>
      </c>
      <c r="BO135" s="294">
        <f>BO133*BO134</f>
        <v>148.40155441895021</v>
      </c>
      <c r="BP135" s="291"/>
      <c r="BQ135" s="293">
        <f>BQ133*BQ134</f>
        <v>29.613733905579398</v>
      </c>
      <c r="BR135" s="291">
        <f>BR133*BR134</f>
        <v>37.586551144231315</v>
      </c>
      <c r="BS135" s="291">
        <f>BS133*BS134</f>
        <v>39.168883306168368</v>
      </c>
      <c r="BT135" s="294">
        <f>BT133*BT134</f>
        <v>41.717058484310193</v>
      </c>
      <c r="BU135" s="294">
        <f>BU133*BU134</f>
        <v>148.19744921831665</v>
      </c>
      <c r="BV135" s="291"/>
      <c r="BW135" s="293">
        <f>BW133*BW134</f>
        <v>50.418572990827286</v>
      </c>
      <c r="BX135" s="291">
        <f>BX133*BX134</f>
        <v>40.784253139652904</v>
      </c>
      <c r="BY135" s="291">
        <f>BY133*BY134</f>
        <v>42.385270121427801</v>
      </c>
      <c r="BZ135" s="294">
        <f>BZ133*BZ134</f>
        <v>44.937722272329395</v>
      </c>
      <c r="CA135" s="294">
        <f>CA133*CA134</f>
        <v>178.52581852423745</v>
      </c>
      <c r="CB135" s="291"/>
      <c r="CC135" s="293">
        <f>CC133*CC134</f>
        <v>55.0074540055816</v>
      </c>
      <c r="CD135" s="291">
        <f>CD133*CD134</f>
        <v>44.561030336715959</v>
      </c>
      <c r="CE135" s="291">
        <f>CE133*CE134</f>
        <v>46.333606107475774</v>
      </c>
      <c r="CF135" s="294">
        <f>CF133*CF134</f>
        <v>49.155641379739841</v>
      </c>
      <c r="CG135" s="294">
        <f>CG133*CG134</f>
        <v>195.05773182951313</v>
      </c>
      <c r="CH135" s="291"/>
      <c r="CI135" s="293">
        <f>CI133*CI134</f>
        <v>60.065394673392852</v>
      </c>
      <c r="CJ135" s="291">
        <f>CJ133*CJ134</f>
        <v>48.724335548519939</v>
      </c>
      <c r="CK135" s="291">
        <f>CK133*CK134</f>
        <v>50.649502951744608</v>
      </c>
      <c r="CL135" s="294">
        <f>CL133*CL134</f>
        <v>53.86389595813904</v>
      </c>
      <c r="CM135" s="294">
        <f>CM133*CM134</f>
        <v>213.30312913179645</v>
      </c>
      <c r="CN135" s="291"/>
      <c r="CO135" s="293">
        <f>CO133*CO134</f>
        <v>65.571428282048331</v>
      </c>
      <c r="CP135" s="291">
        <f>CP133*CP134</f>
        <v>53.757384643206251</v>
      </c>
      <c r="CQ135" s="291">
        <f>CQ133*CQ134</f>
        <v>56.131630560902664</v>
      </c>
      <c r="CR135" s="294">
        <f>CR133*CR134</f>
        <v>59.731054057475333</v>
      </c>
      <c r="CS135" s="294">
        <f>CS133*CS134</f>
        <v>235.19149754363261</v>
      </c>
      <c r="CT135" s="291"/>
      <c r="CU135" s="63"/>
      <c r="CV135" s="63"/>
      <c r="CW135" s="63"/>
    </row>
    <row r="136" spans="1:101" outlineLevel="1">
      <c r="A136" s="287" t="s">
        <v>488</v>
      </c>
      <c r="B136" s="288"/>
      <c r="C136" s="289">
        <f>C133-C135</f>
        <v>5.3670500000000034</v>
      </c>
      <c r="D136" s="290">
        <f>D133-D135</f>
        <v>8.4753499999999971</v>
      </c>
      <c r="E136" s="290">
        <f>E133-E135</f>
        <v>10.6418</v>
      </c>
      <c r="F136" s="290">
        <f>F133-F135</f>
        <v>14.584700000000012</v>
      </c>
      <c r="G136" s="286">
        <f>G133-G135</f>
        <v>39.068900000000014</v>
      </c>
      <c r="H136" s="290"/>
      <c r="I136" s="289">
        <f>I133-I135</f>
        <v>16.021596843560989</v>
      </c>
      <c r="J136" s="290">
        <f>J133-J135</f>
        <v>22.927909569617942</v>
      </c>
      <c r="K136" s="290">
        <f>K133-K135</f>
        <v>22.10619318561745</v>
      </c>
      <c r="L136" s="290">
        <f>L133-L135</f>
        <v>29.696395664265545</v>
      </c>
      <c r="M136" s="286">
        <f>M133-M135</f>
        <v>90.752095263061918</v>
      </c>
      <c r="N136" s="290"/>
      <c r="O136" s="289">
        <f>O133-O135</f>
        <v>29.411201928599699</v>
      </c>
      <c r="P136" s="290">
        <f>P133-P135</f>
        <v>29.105783405873872</v>
      </c>
      <c r="Q136" s="290">
        <f>Q133-Q135</f>
        <v>24.984890136189023</v>
      </c>
      <c r="R136" s="290">
        <f>R133-R135</f>
        <v>28.793594521806824</v>
      </c>
      <c r="S136" s="286">
        <f>S133-S135</f>
        <v>112.29546999246944</v>
      </c>
      <c r="T136" s="290"/>
      <c r="U136" s="289">
        <f>U133-U135</f>
        <v>26.145717766589982</v>
      </c>
      <c r="V136" s="290">
        <f>V133-V135</f>
        <v>33.226047921270251</v>
      </c>
      <c r="W136" s="290">
        <f>W133-W135</f>
        <v>38.835665416771079</v>
      </c>
      <c r="X136" s="290">
        <f>X133-X135</f>
        <v>39.447553718932951</v>
      </c>
      <c r="Y136" s="286">
        <f>Y133-Y135</f>
        <v>137.65498482356429</v>
      </c>
      <c r="Z136" s="290"/>
      <c r="AA136" s="289">
        <f>AA133-AA135</f>
        <v>50.073932011806093</v>
      </c>
      <c r="AB136" s="290">
        <f>AB133-AB135</f>
        <v>51.872286023835315</v>
      </c>
      <c r="AC136" s="290">
        <f>AC133-AC135</f>
        <v>29.083634407179552</v>
      </c>
      <c r="AD136" s="290">
        <f>AD133-AD135</f>
        <v>42.575370320795926</v>
      </c>
      <c r="AE136" s="292">
        <f>AE133-AE135</f>
        <v>173.60680833191589</v>
      </c>
      <c r="AF136" s="291"/>
      <c r="AG136" s="289">
        <f>AG133-AG135</f>
        <v>48.012227504998883</v>
      </c>
      <c r="AH136" s="290">
        <f>AH133-AH135</f>
        <v>52.209076849497777</v>
      </c>
      <c r="AI136" s="291">
        <f>AI133-AI135</f>
        <v>51.072397558655311</v>
      </c>
      <c r="AJ136" s="291">
        <f>AJ133-AJ135</f>
        <v>55.664526472688117</v>
      </c>
      <c r="AK136" s="292">
        <f>AK133-AK135</f>
        <v>206.97349961248511</v>
      </c>
      <c r="AL136" s="291"/>
      <c r="AM136" s="293">
        <f>AM133-AM135</f>
        <v>62.239086652463904</v>
      </c>
      <c r="AN136" s="291">
        <f>AN133-AN135</f>
        <v>60.43478714216063</v>
      </c>
      <c r="AO136" s="291">
        <f>AO133-AO135</f>
        <v>62.259947599038313</v>
      </c>
      <c r="AP136" s="291">
        <f>AP133-AP135</f>
        <v>64.15146755838866</v>
      </c>
      <c r="AQ136" s="292">
        <f>AQ133-AQ135</f>
        <v>249.09827017924994</v>
      </c>
      <c r="AR136" s="291"/>
      <c r="AS136" s="1451">
        <f>AS133-AS135</f>
        <v>79.546833218108162</v>
      </c>
      <c r="AT136" s="1534">
        <f>AT133-AT135</f>
        <v>84.057480075712292</v>
      </c>
      <c r="AU136" s="1534">
        <f>AU133-AU135</f>
        <v>114.9006822307522</v>
      </c>
      <c r="AV136" s="294">
        <f>AV133-AV135</f>
        <v>129.55515797275771</v>
      </c>
      <c r="AW136" s="294">
        <f>AW133-AW135</f>
        <v>407.87880844052222</v>
      </c>
      <c r="AX136" s="291"/>
      <c r="AY136" s="293">
        <f>AY133-AY135</f>
        <v>135.73378012946685</v>
      </c>
      <c r="AZ136" s="291">
        <f>AZ133-AZ135</f>
        <v>119.88513904395013</v>
      </c>
      <c r="BA136" s="291">
        <f>BA133-BA135</f>
        <v>118.30942214304886</v>
      </c>
      <c r="BB136" s="294">
        <f>BB133-BB135</f>
        <v>119.01730959564733</v>
      </c>
      <c r="BC136" s="294">
        <f>BC133-BC135</f>
        <v>492.96613075369095</v>
      </c>
      <c r="BD136" s="291"/>
      <c r="BE136" s="293">
        <f>BE133-BE135</f>
        <v>101.75540958468773</v>
      </c>
      <c r="BF136" s="291">
        <f>BF133-BF135</f>
        <v>121.406711851124</v>
      </c>
      <c r="BG136" s="291">
        <f>BG133-BG135</f>
        <v>131.34498287759192</v>
      </c>
      <c r="BH136" s="294">
        <f>BH133-BH135</f>
        <v>111.19125783382506</v>
      </c>
      <c r="BI136" s="294">
        <f>BI133-BI135</f>
        <v>465.76531758804799</v>
      </c>
      <c r="BJ136" s="291"/>
      <c r="BK136" s="293">
        <f>BK133-BK135</f>
        <v>78.75</v>
      </c>
      <c r="BL136" s="291">
        <f>BL133-BL135</f>
        <v>110.02499999999999</v>
      </c>
      <c r="BM136" s="291">
        <f>BM133-BM135</f>
        <v>150.1689569417326</v>
      </c>
      <c r="BN136" s="294">
        <f>BN133-BN135</f>
        <v>200.27917438647825</v>
      </c>
      <c r="BO136" s="294">
        <f>BO133-BO135</f>
        <v>539.03844558105004</v>
      </c>
      <c r="BP136" s="291"/>
      <c r="BQ136" s="293">
        <f>BQ133-BQ135</f>
        <v>200.38626609442059</v>
      </c>
      <c r="BR136" s="291">
        <f>BR133-BR135</f>
        <v>150.34620457692526</v>
      </c>
      <c r="BS136" s="291">
        <f>BS133-BS135</f>
        <v>156.67553322467347</v>
      </c>
      <c r="BT136" s="294">
        <f>BT133-BT135</f>
        <v>166.86823393724075</v>
      </c>
      <c r="BU136" s="294">
        <f>BU133-BU135</f>
        <v>674.16501545523306</v>
      </c>
      <c r="BV136" s="291"/>
      <c r="BW136" s="293">
        <f>BW133-BW135</f>
        <v>201.67429196330914</v>
      </c>
      <c r="BX136" s="291">
        <f>BX133-BX135</f>
        <v>163.13701255861162</v>
      </c>
      <c r="BY136" s="291">
        <f>BY133-BY135</f>
        <v>169.54108048571121</v>
      </c>
      <c r="BZ136" s="294">
        <f>BZ133-BZ135</f>
        <v>179.75088908931758</v>
      </c>
      <c r="CA136" s="294">
        <f>CA133-CA135</f>
        <v>714.10327409695003</v>
      </c>
      <c r="CB136" s="291"/>
      <c r="CC136" s="293">
        <f>CC133-CC135</f>
        <v>220.0298160223264</v>
      </c>
      <c r="CD136" s="291">
        <f>CD133-CD135</f>
        <v>178.24412134686381</v>
      </c>
      <c r="CE136" s="291">
        <f>CE133-CE135</f>
        <v>185.33442442990309</v>
      </c>
      <c r="CF136" s="294">
        <f>CF133-CF135</f>
        <v>196.62256551895933</v>
      </c>
      <c r="CG136" s="294">
        <f>CG133-CG135</f>
        <v>780.23092731805264</v>
      </c>
      <c r="CH136" s="291"/>
      <c r="CI136" s="293">
        <f>CI133-CI135</f>
        <v>240.26157869357138</v>
      </c>
      <c r="CJ136" s="291">
        <f>CJ133-CJ135</f>
        <v>194.89734219407973</v>
      </c>
      <c r="CK136" s="291">
        <f>CK133-CK135</f>
        <v>202.59801180697841</v>
      </c>
      <c r="CL136" s="294">
        <f>CL133-CL135</f>
        <v>215.45558383255616</v>
      </c>
      <c r="CM136" s="294">
        <f>CM133-CM135</f>
        <v>853.21251652718604</v>
      </c>
      <c r="CN136" s="291"/>
      <c r="CO136" s="293">
        <f>CO133-CO135</f>
        <v>262.28571312819332</v>
      </c>
      <c r="CP136" s="291">
        <f>CP133-CP135</f>
        <v>215.029538572825</v>
      </c>
      <c r="CQ136" s="291">
        <f>CQ133-CQ135</f>
        <v>224.52652224361063</v>
      </c>
      <c r="CR136" s="294">
        <f>CR133-CR135</f>
        <v>238.92421622990133</v>
      </c>
      <c r="CS136" s="294">
        <f>CS133-CS135</f>
        <v>940.76599017452997</v>
      </c>
      <c r="CT136" s="291"/>
      <c r="CU136" s="63"/>
      <c r="CV136" s="63"/>
      <c r="CW136" s="63"/>
    </row>
    <row r="137" spans="1:101" outlineLevel="1">
      <c r="A137" s="1300" t="s">
        <v>492</v>
      </c>
      <c r="B137" s="1301"/>
      <c r="C137" s="281">
        <f>C136/C132</f>
        <v>7.4387387387387427E-2</v>
      </c>
      <c r="D137" s="282">
        <f>D136/D132</f>
        <v>0.10025847282190806</v>
      </c>
      <c r="E137" s="282">
        <f>E136/E132</f>
        <v>0.1091354732847913</v>
      </c>
      <c r="F137" s="282">
        <f>F136/F132</f>
        <v>0.12952204184576047</v>
      </c>
      <c r="G137" s="283">
        <f>G136/G132</f>
        <v>0.10651310390704448</v>
      </c>
      <c r="H137" s="282"/>
      <c r="I137" s="281">
        <f>I136/I132</f>
        <v>0.13147435884787576</v>
      </c>
      <c r="J137" s="282">
        <f>J136/J132</f>
        <v>0.16356399102290634</v>
      </c>
      <c r="K137" s="282">
        <f>K136/K132</f>
        <v>0.1471196139066781</v>
      </c>
      <c r="L137" s="282">
        <f>L136/L132</f>
        <v>0.18453333290414622</v>
      </c>
      <c r="M137" s="283">
        <f>M136/M132</f>
        <v>0.1583184530735085</v>
      </c>
      <c r="N137" s="282"/>
      <c r="O137" s="281">
        <f>O136/O132</f>
        <v>0.17743565537865488</v>
      </c>
      <c r="P137" s="282">
        <f>P136/P132</f>
        <v>0.18006213325584078</v>
      </c>
      <c r="Q137" s="282">
        <f>Q136/Q132</f>
        <v>0.15777273387338356</v>
      </c>
      <c r="R137" s="282">
        <f>R136/R132</f>
        <v>0.15946475776902833</v>
      </c>
      <c r="S137" s="283">
        <f>S136/S132</f>
        <v>0.16852982932097513</v>
      </c>
      <c r="T137" s="282"/>
      <c r="U137" s="281">
        <f>U136/U132</f>
        <v>0.1360827652309621</v>
      </c>
      <c r="V137" s="282">
        <f>V136/V132</f>
        <v>0.15672442333962372</v>
      </c>
      <c r="W137" s="282">
        <f>W136/W132</f>
        <v>0.16365020044233922</v>
      </c>
      <c r="X137" s="282">
        <f>X136/X132</f>
        <v>0.15096768333065294</v>
      </c>
      <c r="Y137" s="283">
        <f>Y136/Y132</f>
        <v>0.1524855798324927</v>
      </c>
      <c r="Z137" s="213"/>
      <c r="AA137" s="281">
        <f>AA136/AA132</f>
        <v>0.17724344552256019</v>
      </c>
      <c r="AB137" s="282">
        <f>AB136/AB132</f>
        <v>0.18045672647011765</v>
      </c>
      <c r="AC137" s="282">
        <f>AC136/AC132</f>
        <v>0.12349791042501052</v>
      </c>
      <c r="AD137" s="282">
        <f>AD136/AD132</f>
        <v>0.17025312939443571</v>
      </c>
      <c r="AE137" s="214">
        <f>AE136/AE132</f>
        <v>0.16447281078497247</v>
      </c>
      <c r="AF137" s="213"/>
      <c r="AG137" s="281">
        <f>AG136/AG132</f>
        <v>0.17601725814788607</v>
      </c>
      <c r="AH137" s="282">
        <f>AH136/AH132</f>
        <v>0.18605764235923475</v>
      </c>
      <c r="AI137" s="213">
        <f>AI136/AI132</f>
        <v>0.17865352413530194</v>
      </c>
      <c r="AJ137" s="213">
        <f>AJ136/AJ132</f>
        <v>0.17998973848540287</v>
      </c>
      <c r="AK137" s="214">
        <f>AK136/AK132</f>
        <v>0.18020950479791759</v>
      </c>
      <c r="AL137" s="213"/>
      <c r="AM137" s="284">
        <f>AM136/AM132</f>
        <v>0.18805735668110121</v>
      </c>
      <c r="AN137" s="213">
        <f>AN136/AN132</f>
        <v>0.17461957486162902</v>
      </c>
      <c r="AO137" s="213">
        <f>AO136/AO132</f>
        <v>0.17449536883138539</v>
      </c>
      <c r="AP137" s="213">
        <f>AP136/AP132</f>
        <v>0.16562654600617738</v>
      </c>
      <c r="AQ137" s="214">
        <f>AQ136/AQ132</f>
        <v>0.17527591208085821</v>
      </c>
      <c r="AR137" s="213"/>
      <c r="AS137" s="284">
        <f>AS136/AS132</f>
        <v>0.18904568699182747</v>
      </c>
      <c r="AT137" s="213">
        <f>AT136/AT132</f>
        <v>0.18780940566732271</v>
      </c>
      <c r="AU137" s="213">
        <f>AU136/AU132</f>
        <v>0.23906265158386325</v>
      </c>
      <c r="AV137" s="285">
        <f>AV136/AV132</f>
        <v>0.25285024946915802</v>
      </c>
      <c r="AW137" s="285">
        <f>AW136/AW132</f>
        <v>0.21912969371852287</v>
      </c>
      <c r="AX137" s="213"/>
      <c r="AY137" s="284">
        <f>AY136/AY132</f>
        <v>0.25202859474616218</v>
      </c>
      <c r="AZ137" s="213">
        <f>AZ136/AZ132</f>
        <v>0.22226553371466792</v>
      </c>
      <c r="BA137" s="213">
        <f>BA136/BA132</f>
        <v>0.21500210286031587</v>
      </c>
      <c r="BB137" s="285">
        <f>BB136/BB132</f>
        <v>0.20119636884183081</v>
      </c>
      <c r="BC137" s="285">
        <f>BC136/BC132</f>
        <v>0.22208062429832162</v>
      </c>
      <c r="BD137" s="213"/>
      <c r="BE137" s="284">
        <f>BE136/BE132</f>
        <v>0.17796781111175036</v>
      </c>
      <c r="BF137" s="213">
        <f>BF136/BF132</f>
        <v>0.20230271052503149</v>
      </c>
      <c r="BG137" s="213">
        <f>BG136/BG132</f>
        <v>0.21633428733385915</v>
      </c>
      <c r="BH137" s="285">
        <f>BH136/BH132</f>
        <v>0.17952982388519695</v>
      </c>
      <c r="BI137" s="285">
        <f>BI136/BI132</f>
        <v>0.19420053410710006</v>
      </c>
      <c r="BJ137" s="213"/>
      <c r="BK137" s="284">
        <f>BK136/BK132</f>
        <v>0.13168896321070234</v>
      </c>
      <c r="BL137" s="213">
        <f>BL136/BL132</f>
        <v>0.16610054347826086</v>
      </c>
      <c r="BM137" s="213">
        <f>BM136/BM132</f>
        <v>0.21032066798561988</v>
      </c>
      <c r="BN137" s="285">
        <f>BN136/BN132</f>
        <v>0.25752754839459718</v>
      </c>
      <c r="BO137" s="285">
        <f>BO136/BO132</f>
        <v>0.19586441102469024</v>
      </c>
      <c r="BP137" s="213"/>
      <c r="BQ137" s="284">
        <f>BQ136/BQ132</f>
        <v>0.25624842211562737</v>
      </c>
      <c r="BR137" s="213">
        <f>BR136/BR132</f>
        <v>0.1902075982267479</v>
      </c>
      <c r="BS137" s="213">
        <f>BS136/BS132</f>
        <v>0.19446453303583461</v>
      </c>
      <c r="BT137" s="285">
        <f>BT136/BT132</f>
        <v>0.19857745363527282</v>
      </c>
      <c r="BU137" s="285">
        <f>BU136/BU132</f>
        <v>0.20947034898834191</v>
      </c>
      <c r="BV137" s="213"/>
      <c r="BW137" s="284">
        <f>BW136/BW132</f>
        <v>0.23110211427097971</v>
      </c>
      <c r="BX137" s="213">
        <f>BX136/BX132</f>
        <v>0.18746559848363015</v>
      </c>
      <c r="BY137" s="213">
        <f>BY136/BY132</f>
        <v>0.19220846328133948</v>
      </c>
      <c r="BZ137" s="285">
        <f>BZ136/BZ132</f>
        <v>0.19584376761426003</v>
      </c>
      <c r="CA137" s="285">
        <f>CA136/CA132</f>
        <v>0.20156559292831111</v>
      </c>
      <c r="CB137" s="213"/>
      <c r="CC137" s="284">
        <f>CC136/CC132</f>
        <v>0.22889150847554271</v>
      </c>
      <c r="CD137" s="213">
        <f>CD136/CD132</f>
        <v>0.18577683640165454</v>
      </c>
      <c r="CE137" s="213">
        <f>CE136/CE132</f>
        <v>0.1906247921694999</v>
      </c>
      <c r="CF137" s="285">
        <f>CF136/CF132</f>
        <v>0.19408807640884082</v>
      </c>
      <c r="CG137" s="285">
        <f>CG136/CG132</f>
        <v>0.19974970950432516</v>
      </c>
      <c r="CH137" s="213"/>
      <c r="CI137" s="284">
        <f>CI136/CI132</f>
        <v>0.22632563724794208</v>
      </c>
      <c r="CJ137" s="213">
        <f>CJ136/CJ132</f>
        <v>0.18397605410783324</v>
      </c>
      <c r="CK137" s="213">
        <f>CK136/CK132</f>
        <v>0.18883434360463827</v>
      </c>
      <c r="CL137" s="285">
        <f>CL136/CL132</f>
        <v>0.19225572727475662</v>
      </c>
      <c r="CM137" s="285">
        <f>CM136/CM132</f>
        <v>0.19775482066087763</v>
      </c>
      <c r="CN137" s="213"/>
      <c r="CO137" s="284">
        <f>CO136/CO132</f>
        <v>0.22469017456857382</v>
      </c>
      <c r="CP137" s="213">
        <f>CP136/CP132</f>
        <v>0.18378662716471972</v>
      </c>
      <c r="CQ137" s="213">
        <f>CQ136/CQ132</f>
        <v>0.18879811308849631</v>
      </c>
      <c r="CR137" s="285">
        <f>CR136/CR132</f>
        <v>0.19211351697214174</v>
      </c>
      <c r="CS137" s="285">
        <f>CS136/CS132</f>
        <v>0.19721646777619309</v>
      </c>
      <c r="CT137" s="213"/>
      <c r="CU137" s="63"/>
      <c r="CV137" s="63"/>
      <c r="CW137" s="63"/>
    </row>
    <row r="138" spans="1:101" outlineLevel="1">
      <c r="A138" s="287" t="s">
        <v>493</v>
      </c>
      <c r="B138" s="288"/>
      <c r="C138" s="289">
        <f t="shared" ref="C138:X139" si="157">C13</f>
        <v>53.127000000000002</v>
      </c>
      <c r="D138" s="290">
        <f t="shared" si="157"/>
        <v>57.441000000000003</v>
      </c>
      <c r="E138" s="290">
        <f t="shared" si="157"/>
        <v>79.885999999999996</v>
      </c>
      <c r="F138" s="290">
        <f t="shared" si="157"/>
        <v>83.119</v>
      </c>
      <c r="G138" s="286">
        <f t="shared" si="157"/>
        <v>83.119</v>
      </c>
      <c r="H138" s="290"/>
      <c r="I138" s="289">
        <f t="shared" si="157"/>
        <v>91.412000000000006</v>
      </c>
      <c r="J138" s="290">
        <f t="shared" si="157"/>
        <v>101.985</v>
      </c>
      <c r="K138" s="290">
        <f t="shared" si="157"/>
        <v>124.161</v>
      </c>
      <c r="L138" s="290">
        <f t="shared" si="157"/>
        <v>133.26599999999999</v>
      </c>
      <c r="M138" s="286">
        <f t="shared" si="157"/>
        <v>133.26599999999999</v>
      </c>
      <c r="N138" s="290"/>
      <c r="O138" s="289">
        <f t="shared" si="157"/>
        <v>134.62899999999999</v>
      </c>
      <c r="P138" s="290">
        <f t="shared" si="157"/>
        <v>154.251</v>
      </c>
      <c r="Q138" s="290">
        <f t="shared" si="157"/>
        <v>162.905</v>
      </c>
      <c r="R138" s="290">
        <f t="shared" si="157"/>
        <v>157.751</v>
      </c>
      <c r="S138" s="286">
        <f t="shared" si="157"/>
        <v>157.751</v>
      </c>
      <c r="T138" s="290"/>
      <c r="U138" s="289">
        <f t="shared" si="157"/>
        <v>156.03</v>
      </c>
      <c r="V138" s="290">
        <f t="shared" si="157"/>
        <v>147.93899999999999</v>
      </c>
      <c r="W138" s="290">
        <f t="shared" si="157"/>
        <v>170.61799999999999</v>
      </c>
      <c r="X138" s="290">
        <f t="shared" si="157"/>
        <v>165.59800000000001</v>
      </c>
      <c r="Y138" s="286">
        <f>Y13</f>
        <v>165.59800000000001</v>
      </c>
      <c r="Z138" s="291"/>
      <c r="AA138" s="289">
        <f t="shared" ref="AA138:AE139" si="158">AA13</f>
        <v>181.92400000000001</v>
      </c>
      <c r="AB138" s="290">
        <f t="shared" si="158"/>
        <v>193.43100000000001</v>
      </c>
      <c r="AC138" s="290">
        <f t="shared" si="158"/>
        <v>169.05199999999999</v>
      </c>
      <c r="AD138" s="290">
        <f>AD13</f>
        <v>173.886</v>
      </c>
      <c r="AE138" s="292">
        <f t="shared" si="158"/>
        <v>173.886</v>
      </c>
      <c r="AF138" s="291"/>
      <c r="AG138" s="289">
        <f>AG13</f>
        <v>202.23400000000001</v>
      </c>
      <c r="AH138" s="290">
        <f>AH13</f>
        <v>188.56200000000001</v>
      </c>
      <c r="AI138" s="291">
        <f t="shared" ref="AI138:AK139" si="159">AI13</f>
        <v>218.14500000000001</v>
      </c>
      <c r="AJ138" s="291">
        <f t="shared" si="159"/>
        <v>214.97499999999999</v>
      </c>
      <c r="AK138" s="292">
        <f t="shared" si="159"/>
        <v>214.97499999999999</v>
      </c>
      <c r="AL138" s="291"/>
      <c r="AM138" s="293">
        <f t="shared" ref="AM138:AQ139" si="160">AM13</f>
        <v>210.83099999999999</v>
      </c>
      <c r="AN138" s="291">
        <f t="shared" si="160"/>
        <v>207.41300000000001</v>
      </c>
      <c r="AO138" s="291">
        <f t="shared" si="160"/>
        <v>235.43700000000001</v>
      </c>
      <c r="AP138" s="291">
        <f t="shared" si="160"/>
        <v>238.946</v>
      </c>
      <c r="AQ138" s="292">
        <f t="shared" si="160"/>
        <v>238.946</v>
      </c>
      <c r="AR138" s="291"/>
      <c r="AS138" s="1451">
        <f t="shared" ref="AS138:AU139" si="161">AS13</f>
        <v>293.04500000000002</v>
      </c>
      <c r="AT138" s="1534">
        <f t="shared" si="161"/>
        <v>258.69400000000002</v>
      </c>
      <c r="AU138" s="1534">
        <f t="shared" si="161"/>
        <v>276.67500000000001</v>
      </c>
      <c r="AV138" s="294">
        <f>AV13</f>
        <v>289.45800000000003</v>
      </c>
      <c r="AW138" s="294">
        <f>AW13</f>
        <v>289.45800000000003</v>
      </c>
      <c r="AX138" s="291"/>
      <c r="AY138" s="293">
        <f t="shared" ref="AY138:BC139" si="162">AY13</f>
        <v>350.04399999999998</v>
      </c>
      <c r="AZ138" s="291">
        <f t="shared" si="162"/>
        <v>368.61099999999999</v>
      </c>
      <c r="BA138" s="291">
        <f t="shared" si="162"/>
        <v>413.47399999999999</v>
      </c>
      <c r="BB138" s="294">
        <f t="shared" si="162"/>
        <v>385.529</v>
      </c>
      <c r="BC138" s="294">
        <f t="shared" si="162"/>
        <v>385.529</v>
      </c>
      <c r="BD138" s="291"/>
      <c r="BE138" s="293">
        <f t="shared" ref="BE138:BI139" si="163">BE13</f>
        <v>402.51400000000001</v>
      </c>
      <c r="BF138" s="291">
        <f t="shared" si="163"/>
        <v>372.48</v>
      </c>
      <c r="BG138" s="291">
        <f t="shared" ref="BG138" si="164">BG13</f>
        <v>381.63200000000001</v>
      </c>
      <c r="BH138" s="294">
        <f t="shared" si="163"/>
        <v>381.31599999999997</v>
      </c>
      <c r="BI138" s="294">
        <f t="shared" si="163"/>
        <v>381.31599999999997</v>
      </c>
      <c r="BJ138" s="291"/>
      <c r="BK138" s="293">
        <f t="shared" ref="BK138:BO139" si="165">BK13</f>
        <v>368</v>
      </c>
      <c r="BL138" s="291">
        <f t="shared" si="165"/>
        <v>372</v>
      </c>
      <c r="BM138" s="291">
        <f t="shared" si="165"/>
        <v>383</v>
      </c>
      <c r="BN138" s="294">
        <f t="shared" si="165"/>
        <v>411</v>
      </c>
      <c r="BO138" s="294">
        <f t="shared" si="165"/>
        <v>411</v>
      </c>
      <c r="BP138" s="291"/>
      <c r="BQ138" s="293">
        <f t="shared" ref="BQ138:BU139" si="166">BQ13</f>
        <v>476.94583772391996</v>
      </c>
      <c r="BR138" s="291">
        <f t="shared" si="166"/>
        <v>439.57098916169161</v>
      </c>
      <c r="BS138" s="291">
        <f t="shared" si="166"/>
        <v>427.76202302416453</v>
      </c>
      <c r="BT138" s="294">
        <f t="shared" si="166"/>
        <v>439.48803384973354</v>
      </c>
      <c r="BU138" s="294">
        <f t="shared" si="166"/>
        <v>439.48803384973354</v>
      </c>
      <c r="BV138" s="291"/>
      <c r="BW138" s="293">
        <f t="shared" ref="BW138:CA138" si="167">BW13</f>
        <v>527.46002670871064</v>
      </c>
      <c r="BX138" s="291">
        <f t="shared" si="167"/>
        <v>479.17590416779188</v>
      </c>
      <c r="BY138" s="291">
        <f t="shared" si="167"/>
        <v>463.48802292016262</v>
      </c>
      <c r="BZ138" s="294">
        <f t="shared" si="167"/>
        <v>474.99664355451512</v>
      </c>
      <c r="CA138" s="294">
        <f t="shared" si="167"/>
        <v>474.99664355451512</v>
      </c>
      <c r="CB138" s="291"/>
      <c r="CC138" s="293">
        <f t="shared" ref="CC138:CG138" si="168">CC13</f>
        <v>575.75764213013474</v>
      </c>
      <c r="CD138" s="291">
        <f t="shared" si="168"/>
        <v>523.05134902906423</v>
      </c>
      <c r="CE138" s="291">
        <f t="shared" si="168"/>
        <v>505.54542480103885</v>
      </c>
      <c r="CF138" s="294">
        <f t="shared" si="168"/>
        <v>518.7295512735443</v>
      </c>
      <c r="CG138" s="294">
        <f t="shared" si="168"/>
        <v>518.7295512735443</v>
      </c>
      <c r="CH138" s="291"/>
      <c r="CI138" s="293">
        <f t="shared" ref="CI138:CM138" si="169">CI13</f>
        <v>630.00936935657637</v>
      </c>
      <c r="CJ138" s="291">
        <f t="shared" si="169"/>
        <v>571.71296274374527</v>
      </c>
      <c r="CK138" s="291">
        <f t="shared" si="169"/>
        <v>551.99715360350183</v>
      </c>
      <c r="CL138" s="294">
        <f t="shared" si="169"/>
        <v>567.69158546864116</v>
      </c>
      <c r="CM138" s="294">
        <f t="shared" si="169"/>
        <v>567.69158546864116</v>
      </c>
      <c r="CN138" s="291"/>
      <c r="CO138" s="293">
        <f t="shared" ref="CO138:CS138" si="170">CO13</f>
        <v>686.3703899900089</v>
      </c>
      <c r="CP138" s="291">
        <f t="shared" si="170"/>
        <v>625.00805336955102</v>
      </c>
      <c r="CQ138" s="291">
        <f t="shared" si="170"/>
        <v>605.34442589430694</v>
      </c>
      <c r="CR138" s="294">
        <f t="shared" si="170"/>
        <v>623.17915944722063</v>
      </c>
      <c r="CS138" s="294">
        <f t="shared" si="170"/>
        <v>623.17915944722063</v>
      </c>
      <c r="CT138" s="291"/>
      <c r="CU138" s="63"/>
      <c r="CV138" s="63"/>
      <c r="CW138" s="63"/>
    </row>
    <row r="139" spans="1:101" outlineLevel="1">
      <c r="A139" s="287" t="s">
        <v>494</v>
      </c>
      <c r="B139" s="288"/>
      <c r="C139" s="289">
        <f t="shared" si="157"/>
        <v>36.340000000000003</v>
      </c>
      <c r="D139" s="290">
        <f t="shared" si="157"/>
        <v>42.898000000000003</v>
      </c>
      <c r="E139" s="290">
        <f t="shared" si="157"/>
        <v>45.244999999999997</v>
      </c>
      <c r="F139" s="290">
        <f t="shared" si="157"/>
        <v>53.98</v>
      </c>
      <c r="G139" s="286">
        <f t="shared" si="157"/>
        <v>53.98</v>
      </c>
      <c r="H139" s="290"/>
      <c r="I139" s="289">
        <f t="shared" si="157"/>
        <v>54.817</v>
      </c>
      <c r="J139" s="290">
        <f t="shared" si="157"/>
        <v>67.971999999999994</v>
      </c>
      <c r="K139" s="290">
        <f t="shared" si="157"/>
        <v>72.953000000000003</v>
      </c>
      <c r="L139" s="290">
        <f t="shared" si="157"/>
        <v>73.430999999999997</v>
      </c>
      <c r="M139" s="286">
        <f t="shared" si="157"/>
        <v>73.430999999999997</v>
      </c>
      <c r="N139" s="290"/>
      <c r="O139" s="289">
        <f t="shared" si="157"/>
        <v>69.182000000000002</v>
      </c>
      <c r="P139" s="290">
        <f t="shared" si="157"/>
        <v>70.665999999999997</v>
      </c>
      <c r="Q139" s="290">
        <f t="shared" si="157"/>
        <v>80.849000000000004</v>
      </c>
      <c r="R139" s="290">
        <f t="shared" si="157"/>
        <v>92.775999999999996</v>
      </c>
      <c r="S139" s="286">
        <f t="shared" si="157"/>
        <v>92.775999999999996</v>
      </c>
      <c r="T139" s="290"/>
      <c r="U139" s="289">
        <f t="shared" si="157"/>
        <v>100.623</v>
      </c>
      <c r="V139" s="290">
        <f t="shared" si="157"/>
        <v>119.44499999999999</v>
      </c>
      <c r="W139" s="290">
        <f t="shared" si="157"/>
        <v>130.029</v>
      </c>
      <c r="X139" s="290">
        <f t="shared" si="157"/>
        <v>142.21100000000001</v>
      </c>
      <c r="Y139" s="286">
        <f>Y14</f>
        <v>142.21100000000001</v>
      </c>
      <c r="Z139" s="291"/>
      <c r="AA139" s="289">
        <f t="shared" si="158"/>
        <v>150.708</v>
      </c>
      <c r="AB139" s="290">
        <f t="shared" si="158"/>
        <v>142.583</v>
      </c>
      <c r="AC139" s="290">
        <f t="shared" si="158"/>
        <v>139.26499999999999</v>
      </c>
      <c r="AD139" s="290">
        <f>AD14</f>
        <v>128.78100000000001</v>
      </c>
      <c r="AE139" s="292">
        <f t="shared" si="158"/>
        <v>128.78100000000001</v>
      </c>
      <c r="AF139" s="291"/>
      <c r="AG139" s="289">
        <f>AG14</f>
        <v>128.684</v>
      </c>
      <c r="AH139" s="290">
        <f>AH14</f>
        <v>133.84399999999999</v>
      </c>
      <c r="AI139" s="291">
        <f t="shared" si="159"/>
        <v>147.684</v>
      </c>
      <c r="AJ139" s="291">
        <f t="shared" si="159"/>
        <v>158.71799999999999</v>
      </c>
      <c r="AK139" s="292">
        <f t="shared" si="159"/>
        <v>158.71799999999999</v>
      </c>
      <c r="AL139" s="291"/>
      <c r="AM139" s="293">
        <f t="shared" si="160"/>
        <v>167.959</v>
      </c>
      <c r="AN139" s="291">
        <f t="shared" si="160"/>
        <v>168.07</v>
      </c>
      <c r="AO139" s="291">
        <f t="shared" si="160"/>
        <v>159.86600000000001</v>
      </c>
      <c r="AP139" s="291">
        <f t="shared" si="160"/>
        <v>154.09899999999999</v>
      </c>
      <c r="AQ139" s="292">
        <f t="shared" si="160"/>
        <v>154.09899999999999</v>
      </c>
      <c r="AR139" s="291"/>
      <c r="AS139" s="1451">
        <f t="shared" si="161"/>
        <v>164.23099999999999</v>
      </c>
      <c r="AT139" s="1534">
        <f t="shared" si="161"/>
        <v>177.53399999999999</v>
      </c>
      <c r="AU139" s="1534">
        <f t="shared" si="161"/>
        <v>199.298</v>
      </c>
      <c r="AV139" s="294">
        <f>AV14</f>
        <v>191.14400000000001</v>
      </c>
      <c r="AW139" s="294">
        <f>AW14</f>
        <v>191.14400000000001</v>
      </c>
      <c r="AX139" s="291"/>
      <c r="AY139" s="293">
        <f t="shared" si="162"/>
        <v>205.184</v>
      </c>
      <c r="AZ139" s="291">
        <f t="shared" si="162"/>
        <v>223.62</v>
      </c>
      <c r="BA139" s="291">
        <f t="shared" si="162"/>
        <v>233.78100000000001</v>
      </c>
      <c r="BB139" s="294">
        <f t="shared" si="162"/>
        <v>270.77699999999999</v>
      </c>
      <c r="BC139" s="294">
        <f t="shared" si="162"/>
        <v>270.77699999999999</v>
      </c>
      <c r="BD139" s="291"/>
      <c r="BE139" s="293">
        <f t="shared" si="163"/>
        <v>287.91899999999998</v>
      </c>
      <c r="BF139" s="291">
        <f t="shared" si="163"/>
        <v>311.36399999999998</v>
      </c>
      <c r="BG139" s="291">
        <f t="shared" ref="BG139" si="171">BG14</f>
        <v>312.24200000000002</v>
      </c>
      <c r="BH139" s="294">
        <f t="shared" si="163"/>
        <v>300.17</v>
      </c>
      <c r="BI139" s="294">
        <f t="shared" si="163"/>
        <v>300.17</v>
      </c>
      <c r="BJ139" s="291"/>
      <c r="BK139" s="293">
        <f t="shared" si="165"/>
        <v>299</v>
      </c>
      <c r="BL139" s="291">
        <f t="shared" si="165"/>
        <v>309</v>
      </c>
      <c r="BM139" s="291">
        <f t="shared" si="165"/>
        <v>327</v>
      </c>
      <c r="BN139" s="294">
        <f t="shared" si="165"/>
        <v>333</v>
      </c>
      <c r="BO139" s="294">
        <f t="shared" si="165"/>
        <v>333</v>
      </c>
      <c r="BP139" s="291"/>
      <c r="BQ139" s="293">
        <f t="shared" si="166"/>
        <v>349.77152593198394</v>
      </c>
      <c r="BR139" s="291">
        <f t="shared" si="166"/>
        <v>347.35695253559658</v>
      </c>
      <c r="BS139" s="291">
        <f t="shared" si="166"/>
        <v>367.62658294755829</v>
      </c>
      <c r="BT139" s="294">
        <f t="shared" si="166"/>
        <v>384.08639343183813</v>
      </c>
      <c r="BU139" s="294">
        <f t="shared" si="166"/>
        <v>384.08639343183813</v>
      </c>
      <c r="BV139" s="291"/>
      <c r="BW139" s="293">
        <f t="shared" ref="BW139:CA139" si="172">BW14</f>
        <v>395.63223454478396</v>
      </c>
      <c r="BX139" s="291">
        <f t="shared" si="172"/>
        <v>387.55417352235884</v>
      </c>
      <c r="BY139" s="291">
        <f t="shared" si="172"/>
        <v>407.17265409261512</v>
      </c>
      <c r="BZ139" s="294">
        <f t="shared" si="172"/>
        <v>425.20779003251283</v>
      </c>
      <c r="CA139" s="294">
        <f t="shared" si="172"/>
        <v>425.20779003251283</v>
      </c>
      <c r="CB139" s="291"/>
      <c r="CC139" s="293">
        <f t="shared" ref="CC139:CG139" si="173">CC14</f>
        <v>438.10019540961025</v>
      </c>
      <c r="CD139" s="291">
        <f t="shared" si="173"/>
        <v>431.13030474924756</v>
      </c>
      <c r="CE139" s="291">
        <f t="shared" si="173"/>
        <v>452.73026266732796</v>
      </c>
      <c r="CF139" s="294">
        <f t="shared" si="173"/>
        <v>473.74815578458032</v>
      </c>
      <c r="CG139" s="294">
        <f t="shared" si="173"/>
        <v>473.74815578458032</v>
      </c>
      <c r="CH139" s="291"/>
      <c r="CI139" s="293">
        <f t="shared" ref="CI139:CM139" si="174">CI14</f>
        <v>486.99526979902009</v>
      </c>
      <c r="CJ139" s="291">
        <f t="shared" si="174"/>
        <v>480.42091339768302</v>
      </c>
      <c r="CK139" s="291">
        <f t="shared" si="174"/>
        <v>504.28515402797092</v>
      </c>
      <c r="CL139" s="294">
        <f t="shared" si="174"/>
        <v>529.06893356385081</v>
      </c>
      <c r="CM139" s="294">
        <f t="shared" si="174"/>
        <v>529.06893356385081</v>
      </c>
      <c r="CN139" s="291"/>
      <c r="CO139" s="293">
        <f t="shared" ref="CO139:CS139" si="175">CO14</f>
        <v>536.98894812459878</v>
      </c>
      <c r="CP139" s="291">
        <f t="shared" si="175"/>
        <v>532.12871083731602</v>
      </c>
      <c r="CQ139" s="291">
        <f t="shared" si="175"/>
        <v>560.36181247764659</v>
      </c>
      <c r="CR139" s="294">
        <f t="shared" si="175"/>
        <v>588.82421813520523</v>
      </c>
      <c r="CS139" s="294">
        <f t="shared" si="175"/>
        <v>588.82421813520523</v>
      </c>
      <c r="CT139" s="291"/>
      <c r="CU139" s="63"/>
      <c r="CV139" s="63"/>
      <c r="CW139" s="63"/>
    </row>
    <row r="140" spans="1:101" outlineLevel="1">
      <c r="A140" s="287" t="s">
        <v>495</v>
      </c>
      <c r="B140" s="288"/>
      <c r="C140" s="289">
        <f t="shared" ref="C140:X140" si="176">C16</f>
        <v>8.2479999999999993</v>
      </c>
      <c r="D140" s="290">
        <f t="shared" si="176"/>
        <v>8.5850000000000009</v>
      </c>
      <c r="E140" s="290">
        <f t="shared" si="176"/>
        <v>8.9480000000000004</v>
      </c>
      <c r="F140" s="290">
        <f t="shared" si="176"/>
        <v>12.64</v>
      </c>
      <c r="G140" s="286">
        <f t="shared" si="176"/>
        <v>12.64</v>
      </c>
      <c r="H140" s="290"/>
      <c r="I140" s="289">
        <f t="shared" si="176"/>
        <v>33.17</v>
      </c>
      <c r="J140" s="290">
        <f t="shared" si="176"/>
        <v>23.777999999999999</v>
      </c>
      <c r="K140" s="290">
        <f t="shared" si="176"/>
        <v>20.041</v>
      </c>
      <c r="L140" s="290">
        <f t="shared" si="176"/>
        <v>9.5299999999999994</v>
      </c>
      <c r="M140" s="286">
        <f t="shared" si="176"/>
        <v>9.5299999999999994</v>
      </c>
      <c r="N140" s="290"/>
      <c r="O140" s="289">
        <f t="shared" si="176"/>
        <v>11.865</v>
      </c>
      <c r="P140" s="290">
        <f t="shared" si="176"/>
        <v>12.343999999999999</v>
      </c>
      <c r="Q140" s="290">
        <f t="shared" si="176"/>
        <v>16.280999999999999</v>
      </c>
      <c r="R140" s="290">
        <f t="shared" si="176"/>
        <v>17.515000000000001</v>
      </c>
      <c r="S140" s="286">
        <f t="shared" si="176"/>
        <v>17.515000000000001</v>
      </c>
      <c r="T140" s="290"/>
      <c r="U140" s="289">
        <f t="shared" si="176"/>
        <v>16.797000000000001</v>
      </c>
      <c r="V140" s="290">
        <f t="shared" si="176"/>
        <v>16.344999999999999</v>
      </c>
      <c r="W140" s="290">
        <f t="shared" si="176"/>
        <v>16.076000000000001</v>
      </c>
      <c r="X140" s="290">
        <f t="shared" si="176"/>
        <v>36.921999999999997</v>
      </c>
      <c r="Y140" s="286">
        <f>Y16</f>
        <v>36.921999999999997</v>
      </c>
      <c r="Z140" s="291"/>
      <c r="AA140" s="289">
        <f>AA16</f>
        <v>26.760999999999999</v>
      </c>
      <c r="AB140" s="290">
        <f>AB16</f>
        <v>30.937000000000001</v>
      </c>
      <c r="AC140" s="290">
        <f>AC16</f>
        <v>38.585000000000001</v>
      </c>
      <c r="AD140" s="290">
        <f>AD16</f>
        <v>29.196000000000002</v>
      </c>
      <c r="AE140" s="292">
        <f>AE16</f>
        <v>29.196000000000002</v>
      </c>
      <c r="AF140" s="291"/>
      <c r="AG140" s="289">
        <f>AG16</f>
        <v>17.318000000000001</v>
      </c>
      <c r="AH140" s="290">
        <f>AH16</f>
        <v>16.366</v>
      </c>
      <c r="AI140" s="291">
        <f>AI16</f>
        <v>20.111999999999998</v>
      </c>
      <c r="AJ140" s="291">
        <f>AJ16</f>
        <v>32.700000000000003</v>
      </c>
      <c r="AK140" s="292">
        <f>AK16</f>
        <v>32.700000000000003</v>
      </c>
      <c r="AL140" s="291"/>
      <c r="AM140" s="293">
        <f>AM16</f>
        <v>30.524999999999999</v>
      </c>
      <c r="AN140" s="291">
        <f>AN16</f>
        <v>56.558</v>
      </c>
      <c r="AO140" s="291">
        <f>AO16</f>
        <v>28.876999999999999</v>
      </c>
      <c r="AP140" s="291">
        <f>AP16</f>
        <v>22.811</v>
      </c>
      <c r="AQ140" s="292">
        <f>AQ16</f>
        <v>22.811</v>
      </c>
      <c r="AR140" s="291"/>
      <c r="AS140" s="1451">
        <f>AS16</f>
        <v>42.515999999999998</v>
      </c>
      <c r="AT140" s="1534">
        <f>AT16</f>
        <v>36.508000000000003</v>
      </c>
      <c r="AU140" s="1534">
        <f>AU16</f>
        <v>57.624000000000002</v>
      </c>
      <c r="AV140" s="294">
        <f>AV16</f>
        <v>29.844000000000001</v>
      </c>
      <c r="AW140" s="294">
        <f>AW16</f>
        <v>29.844000000000001</v>
      </c>
      <c r="AX140" s="291"/>
      <c r="AY140" s="293">
        <f>AY16</f>
        <v>89.459000000000003</v>
      </c>
      <c r="AZ140" s="291">
        <f>AZ16</f>
        <v>83.402000000000001</v>
      </c>
      <c r="BA140" s="291">
        <f>BA16</f>
        <v>80.03</v>
      </c>
      <c r="BB140" s="294">
        <f>BB16</f>
        <v>54.296999999999997</v>
      </c>
      <c r="BC140" s="294">
        <f>BC16</f>
        <v>54.296999999999997</v>
      </c>
      <c r="BD140" s="291"/>
      <c r="BE140" s="293">
        <f>BE16</f>
        <v>40.273000000000003</v>
      </c>
      <c r="BF140" s="291">
        <f>BF16</f>
        <v>33.920999999999999</v>
      </c>
      <c r="BG140" s="291">
        <f>BG16</f>
        <v>47.695999999999998</v>
      </c>
      <c r="BH140" s="294">
        <f>BH16</f>
        <v>77.881</v>
      </c>
      <c r="BI140" s="294">
        <f>BI16</f>
        <v>77.881</v>
      </c>
      <c r="BJ140" s="291"/>
      <c r="BK140" s="293">
        <f>BK16</f>
        <v>72</v>
      </c>
      <c r="BL140" s="291">
        <f>BL16</f>
        <v>69</v>
      </c>
      <c r="BM140" s="291">
        <f>BM16</f>
        <v>54</v>
      </c>
      <c r="BN140" s="294">
        <f>BN16</f>
        <v>91</v>
      </c>
      <c r="BO140" s="294">
        <f>BO16</f>
        <v>91</v>
      </c>
      <c r="BP140" s="291"/>
      <c r="BQ140" s="293">
        <f>BQ16</f>
        <v>100.096</v>
      </c>
      <c r="BR140" s="291">
        <f>BR16</f>
        <v>101.17531773312832</v>
      </c>
      <c r="BS140" s="291">
        <f>BS16</f>
        <v>103.1266110055282</v>
      </c>
      <c r="BT140" s="294">
        <f>BT16</f>
        <v>107.5607202779281</v>
      </c>
      <c r="BU140" s="294">
        <f>BU16</f>
        <v>107.5607202779281</v>
      </c>
      <c r="BV140" s="291"/>
      <c r="BW140" s="293">
        <f>BW16</f>
        <v>115.19153177431446</v>
      </c>
      <c r="BX140" s="291">
        <f>BX16</f>
        <v>114.86953250047705</v>
      </c>
      <c r="BY140" s="291">
        <f>BY16</f>
        <v>116.43307605740888</v>
      </c>
      <c r="BZ140" s="294">
        <f>BZ16</f>
        <v>121.15329299895612</v>
      </c>
      <c r="CA140" s="294">
        <f>CA16</f>
        <v>121.15329299895612</v>
      </c>
      <c r="CB140" s="291"/>
      <c r="CC140" s="293">
        <f>CC16</f>
        <v>126.88952905411281</v>
      </c>
      <c r="CD140" s="291">
        <f>CD16</f>
        <v>126.64778060337602</v>
      </c>
      <c r="CE140" s="291">
        <f>CE16</f>
        <v>128.33663316466289</v>
      </c>
      <c r="CF140" s="294">
        <f>CF16</f>
        <v>133.72371517470717</v>
      </c>
      <c r="CG140" s="294">
        <f>CG16</f>
        <v>133.72371517470717</v>
      </c>
      <c r="CH140" s="291"/>
      <c r="CI140" s="293">
        <f>CI16</f>
        <v>140.12786519985727</v>
      </c>
      <c r="CJ140" s="291">
        <f>CJ16</f>
        <v>139.83585686939222</v>
      </c>
      <c r="CK140" s="291">
        <f>CK16</f>
        <v>141.62115348314359</v>
      </c>
      <c r="CL140" s="294">
        <f>CL16</f>
        <v>147.92868576161078</v>
      </c>
      <c r="CM140" s="294">
        <f>CM16</f>
        <v>147.92868576161078</v>
      </c>
      <c r="CN140" s="291"/>
      <c r="CO140" s="293">
        <f>CO16</f>
        <v>154.08646238936996</v>
      </c>
      <c r="CP140" s="291">
        <f>CP16</f>
        <v>154.43941449653835</v>
      </c>
      <c r="CQ140" s="291">
        <f>CQ16</f>
        <v>156.97985775029682</v>
      </c>
      <c r="CR140" s="294">
        <f>CR16</f>
        <v>164.16333967234738</v>
      </c>
      <c r="CS140" s="294">
        <f>CS16</f>
        <v>164.16333967234738</v>
      </c>
      <c r="CT140" s="291"/>
      <c r="CU140" s="63"/>
      <c r="CV140" s="63"/>
      <c r="CW140" s="63"/>
    </row>
    <row r="141" spans="1:101" outlineLevel="1">
      <c r="A141" s="287" t="s">
        <v>496</v>
      </c>
      <c r="B141" s="288"/>
      <c r="C141" s="289">
        <f t="shared" ref="C141:X141" si="177">C18</f>
        <v>32.807000000000002</v>
      </c>
      <c r="D141" s="290">
        <f t="shared" si="177"/>
        <v>36.683</v>
      </c>
      <c r="E141" s="290">
        <f t="shared" si="177"/>
        <v>39.33</v>
      </c>
      <c r="F141" s="290">
        <f t="shared" si="177"/>
        <v>46.274000000000001</v>
      </c>
      <c r="G141" s="286">
        <f t="shared" si="177"/>
        <v>46.274000000000001</v>
      </c>
      <c r="H141" s="290"/>
      <c r="I141" s="289">
        <f t="shared" si="177"/>
        <v>55.034999999999997</v>
      </c>
      <c r="J141" s="290">
        <f t="shared" si="177"/>
        <v>72.125</v>
      </c>
      <c r="K141" s="290">
        <f t="shared" si="177"/>
        <v>82.197999999999993</v>
      </c>
      <c r="L141" s="290">
        <f t="shared" si="177"/>
        <v>89.436000000000007</v>
      </c>
      <c r="M141" s="286">
        <f t="shared" si="177"/>
        <v>89.436000000000007</v>
      </c>
      <c r="N141" s="290"/>
      <c r="O141" s="289">
        <f t="shared" si="177"/>
        <v>96.552000000000007</v>
      </c>
      <c r="P141" s="290">
        <f t="shared" si="177"/>
        <v>103.907</v>
      </c>
      <c r="Q141" s="290">
        <f t="shared" si="177"/>
        <v>116.70099999999999</v>
      </c>
      <c r="R141" s="290">
        <f t="shared" si="177"/>
        <v>117.188</v>
      </c>
      <c r="S141" s="286">
        <f t="shared" si="177"/>
        <v>117.188</v>
      </c>
      <c r="T141" s="290"/>
      <c r="U141" s="289">
        <f t="shared" si="177"/>
        <v>118.014</v>
      </c>
      <c r="V141" s="290">
        <f t="shared" si="177"/>
        <v>122.398</v>
      </c>
      <c r="W141" s="290">
        <f t="shared" si="177"/>
        <v>126.26900000000001</v>
      </c>
      <c r="X141" s="290">
        <f t="shared" si="177"/>
        <v>129.874</v>
      </c>
      <c r="Y141" s="286">
        <f>Y18</f>
        <v>129.874</v>
      </c>
      <c r="Z141" s="291"/>
      <c r="AA141" s="289">
        <f>AA18</f>
        <v>125.185</v>
      </c>
      <c r="AB141" s="290">
        <f>AB18</f>
        <v>129.762</v>
      </c>
      <c r="AC141" s="290">
        <f>AC18</f>
        <v>135.393</v>
      </c>
      <c r="AD141" s="290">
        <f>AD18</f>
        <v>143.483</v>
      </c>
      <c r="AE141" s="292">
        <f>AE18</f>
        <v>143.483</v>
      </c>
      <c r="AF141" s="291"/>
      <c r="AG141" s="289">
        <f>AG18</f>
        <v>143.494</v>
      </c>
      <c r="AH141" s="290">
        <f>AH18</f>
        <v>147.917</v>
      </c>
      <c r="AI141" s="291">
        <f>AI18</f>
        <v>154.869</v>
      </c>
      <c r="AJ141" s="291">
        <f>AJ18</f>
        <v>166.167</v>
      </c>
      <c r="AK141" s="292">
        <f>AK18</f>
        <v>166.167</v>
      </c>
      <c r="AL141" s="291"/>
      <c r="AM141" s="293">
        <f>AM18</f>
        <v>186.792</v>
      </c>
      <c r="AN141" s="291">
        <f>AN18</f>
        <v>187.36199999999999</v>
      </c>
      <c r="AO141" s="291">
        <f>AO18</f>
        <v>193.649</v>
      </c>
      <c r="AP141" s="291">
        <f>AP18</f>
        <v>202.666</v>
      </c>
      <c r="AQ141" s="292">
        <f>AQ18</f>
        <v>202.666</v>
      </c>
      <c r="AR141" s="291"/>
      <c r="AS141" s="1451">
        <f>AS18</f>
        <v>210.37200000000001</v>
      </c>
      <c r="AT141" s="1534">
        <f>AT18</f>
        <v>230.113</v>
      </c>
      <c r="AU141" s="1534">
        <f>AU18</f>
        <v>247.643</v>
      </c>
      <c r="AV141" s="294">
        <f>AV18</f>
        <v>265.26400000000001</v>
      </c>
      <c r="AW141" s="294">
        <f>AW18</f>
        <v>265.26400000000001</v>
      </c>
      <c r="AX141" s="291"/>
      <c r="AY141" s="293">
        <f>AY18</f>
        <v>280.62799999999999</v>
      </c>
      <c r="AZ141" s="291">
        <f>AZ18</f>
        <v>302.83999999999997</v>
      </c>
      <c r="BA141" s="291">
        <f>BA18</f>
        <v>308.72199999999998</v>
      </c>
      <c r="BB141" s="294">
        <f>BB18</f>
        <v>342.69400000000002</v>
      </c>
      <c r="BC141" s="294">
        <f>BC18</f>
        <v>342.69400000000002</v>
      </c>
      <c r="BD141" s="291"/>
      <c r="BE141" s="293">
        <f>BE18</f>
        <v>385.25299999999999</v>
      </c>
      <c r="BF141" s="291">
        <f>BF18</f>
        <v>511.35399999999998</v>
      </c>
      <c r="BG141" s="291">
        <f>BG18</f>
        <v>633.85599999999999</v>
      </c>
      <c r="BH141" s="294">
        <f>BH18</f>
        <v>713.33399999999995</v>
      </c>
      <c r="BI141" s="294">
        <f>BI18</f>
        <v>713.33399999999995</v>
      </c>
      <c r="BJ141" s="291"/>
      <c r="BK141" s="293">
        <f>BK18</f>
        <v>734</v>
      </c>
      <c r="BL141" s="291">
        <f>BL18</f>
        <v>837</v>
      </c>
      <c r="BM141" s="291">
        <f>BM18</f>
        <v>862</v>
      </c>
      <c r="BN141" s="294">
        <f>BN18</f>
        <v>931</v>
      </c>
      <c r="BO141" s="294">
        <f>BO18</f>
        <v>931</v>
      </c>
      <c r="BP141" s="291"/>
      <c r="BQ141" s="293">
        <f>BQ18</f>
        <v>986.58199999999999</v>
      </c>
      <c r="BR141" s="291">
        <f>BR18</f>
        <v>1040.9410386769073</v>
      </c>
      <c r="BS141" s="291">
        <f>BS18</f>
        <v>1094.8032815428603</v>
      </c>
      <c r="BT141" s="294">
        <f>BT18</f>
        <v>1150.2604762814603</v>
      </c>
      <c r="BU141" s="294">
        <f>BU18</f>
        <v>1150.2604762814603</v>
      </c>
      <c r="BV141" s="291"/>
      <c r="BW141" s="293">
        <f>BW18</f>
        <v>1206.9647453267564</v>
      </c>
      <c r="BX141" s="291">
        <f>BX18</f>
        <v>1261.0008580652234</v>
      </c>
      <c r="BY141" s="291">
        <f>BY18</f>
        <v>1313.9468085073738</v>
      </c>
      <c r="BZ141" s="294">
        <f>BZ18</f>
        <v>1368.4005839829508</v>
      </c>
      <c r="CA141" s="294">
        <f>CA18</f>
        <v>1368.4005839829508</v>
      </c>
      <c r="CB141" s="291"/>
      <c r="CC141" s="293">
        <f>CC18</f>
        <v>1425.1105292336797</v>
      </c>
      <c r="CD141" s="291">
        <f>CD18</f>
        <v>1478.9754855868346</v>
      </c>
      <c r="CE141" s="291">
        <f>CE18</f>
        <v>1531.6093236451577</v>
      </c>
      <c r="CF141" s="294">
        <f>CF18</f>
        <v>1586.0587168542538</v>
      </c>
      <c r="CG141" s="294">
        <f>CG18</f>
        <v>1586.0587168542538</v>
      </c>
      <c r="CH141" s="291"/>
      <c r="CI141" s="293">
        <f>CI18</f>
        <v>1643.0589910181695</v>
      </c>
      <c r="CJ141" s="291">
        <f>CJ18</f>
        <v>1696.8965943817</v>
      </c>
      <c r="CK141" s="291">
        <f>CK18</f>
        <v>1749.3086979052441</v>
      </c>
      <c r="CL141" s="294">
        <f>CL18</f>
        <v>1804.0266376299455</v>
      </c>
      <c r="CM141" s="294">
        <f>CM18</f>
        <v>1804.0266376299455</v>
      </c>
      <c r="CN141" s="291"/>
      <c r="CO141" s="293">
        <f>CO18</f>
        <v>1860.794210257746</v>
      </c>
      <c r="CP141" s="291">
        <f>CP18</f>
        <v>1914.6457750084082</v>
      </c>
      <c r="CQ141" s="291">
        <f>CQ18</f>
        <v>1967.3968880018579</v>
      </c>
      <c r="CR141" s="294">
        <f>CR18</f>
        <v>2022.8638222272189</v>
      </c>
      <c r="CS141" s="294">
        <f>CS18</f>
        <v>2022.8638222272189</v>
      </c>
      <c r="CT141" s="291"/>
      <c r="CU141" s="63"/>
      <c r="CV141" s="63"/>
      <c r="CW141" s="63"/>
    </row>
    <row r="142" spans="1:101" outlineLevel="1">
      <c r="A142" s="287" t="s">
        <v>497</v>
      </c>
      <c r="B142" s="288"/>
      <c r="C142" s="289">
        <f t="shared" ref="C142:X142" si="178">C23</f>
        <v>12.993</v>
      </c>
      <c r="D142" s="290">
        <f t="shared" si="178"/>
        <v>12.631</v>
      </c>
      <c r="E142" s="290">
        <f t="shared" si="178"/>
        <v>12.087999999999999</v>
      </c>
      <c r="F142" s="290">
        <f t="shared" si="178"/>
        <v>11.608000000000001</v>
      </c>
      <c r="G142" s="286">
        <f t="shared" si="178"/>
        <v>11.608000000000001</v>
      </c>
      <c r="H142" s="290"/>
      <c r="I142" s="289">
        <f t="shared" si="178"/>
        <v>12.099</v>
      </c>
      <c r="J142" s="290">
        <f t="shared" si="178"/>
        <v>12.125</v>
      </c>
      <c r="K142" s="290">
        <f t="shared" si="178"/>
        <v>11.933999999999999</v>
      </c>
      <c r="L142" s="290">
        <f t="shared" si="178"/>
        <v>12.016999999999999</v>
      </c>
      <c r="M142" s="286">
        <f t="shared" si="178"/>
        <v>12.016999999999999</v>
      </c>
      <c r="N142" s="290"/>
      <c r="O142" s="289">
        <f t="shared" si="178"/>
        <v>24.395</v>
      </c>
      <c r="P142" s="290">
        <f t="shared" si="178"/>
        <v>24.594999999999999</v>
      </c>
      <c r="Q142" s="290">
        <f t="shared" si="178"/>
        <v>24.030999999999999</v>
      </c>
      <c r="R142" s="290">
        <f t="shared" si="178"/>
        <v>26.547999999999998</v>
      </c>
      <c r="S142" s="286">
        <f t="shared" si="178"/>
        <v>26.547999999999998</v>
      </c>
      <c r="T142" s="290"/>
      <c r="U142" s="289">
        <f t="shared" si="178"/>
        <v>43.682000000000002</v>
      </c>
      <c r="V142" s="290">
        <f t="shared" si="178"/>
        <v>43.524000000000001</v>
      </c>
      <c r="W142" s="290">
        <f t="shared" si="178"/>
        <v>70.622</v>
      </c>
      <c r="X142" s="290">
        <f t="shared" si="178"/>
        <v>63.113999999999997</v>
      </c>
      <c r="Y142" s="286">
        <f>Y23</f>
        <v>63.113999999999997</v>
      </c>
      <c r="Z142" s="291"/>
      <c r="AA142" s="289">
        <f>AA23</f>
        <v>45.521999999999998</v>
      </c>
      <c r="AB142" s="290">
        <f>AB23</f>
        <v>52.357999999999997</v>
      </c>
      <c r="AC142" s="290">
        <f>AC23</f>
        <v>56.475999999999999</v>
      </c>
      <c r="AD142" s="290">
        <f>AD23</f>
        <v>59.734999999999999</v>
      </c>
      <c r="AE142" s="292">
        <f>AE23</f>
        <v>59.734999999999999</v>
      </c>
      <c r="AF142" s="291"/>
      <c r="AG142" s="289">
        <f>AG23</f>
        <v>69.349999999999994</v>
      </c>
      <c r="AH142" s="290">
        <f>AH23</f>
        <v>76.73</v>
      </c>
      <c r="AI142" s="291">
        <f>AI23</f>
        <v>77.45</v>
      </c>
      <c r="AJ142" s="291">
        <f>AJ23</f>
        <v>73.164000000000001</v>
      </c>
      <c r="AK142" s="292">
        <f>AK23</f>
        <v>73.164000000000001</v>
      </c>
      <c r="AL142" s="291"/>
      <c r="AM142" s="293">
        <f>AM23</f>
        <v>73.27</v>
      </c>
      <c r="AN142" s="291">
        <f>AN23</f>
        <v>78.677000000000007</v>
      </c>
      <c r="AO142" s="291">
        <f>AO23</f>
        <v>78.001999999999995</v>
      </c>
      <c r="AP142" s="291">
        <f>AP23</f>
        <v>56.091000000000001</v>
      </c>
      <c r="AQ142" s="292">
        <f>AQ23</f>
        <v>56.091000000000001</v>
      </c>
      <c r="AR142" s="291"/>
      <c r="AS142" s="1451">
        <f>AS23</f>
        <v>69.676000000000002</v>
      </c>
      <c r="AT142" s="1534">
        <f>AT23</f>
        <v>87.596999999999994</v>
      </c>
      <c r="AU142" s="1534">
        <f>AU23</f>
        <v>59.648000000000003</v>
      </c>
      <c r="AV142" s="294">
        <f>AV23</f>
        <v>95.521000000000001</v>
      </c>
      <c r="AW142" s="294">
        <f>AW23</f>
        <v>95.521000000000001</v>
      </c>
      <c r="AX142" s="291"/>
      <c r="AY142" s="293">
        <f>AY23</f>
        <v>68.855999999999995</v>
      </c>
      <c r="AZ142" s="291">
        <f>AZ23</f>
        <v>82.79</v>
      </c>
      <c r="BA142" s="291">
        <f>BA23</f>
        <v>84.537999999999997</v>
      </c>
      <c r="BB142" s="294">
        <f>BB23</f>
        <v>87.465000000000003</v>
      </c>
      <c r="BC142" s="294">
        <f>BC23</f>
        <v>87.465000000000003</v>
      </c>
      <c r="BD142" s="291"/>
      <c r="BE142" s="293">
        <f>BE23</f>
        <v>92.852000000000004</v>
      </c>
      <c r="BF142" s="291">
        <f>BF23</f>
        <v>99.789000000000001</v>
      </c>
      <c r="BG142" s="291">
        <f>BG23</f>
        <v>102.458</v>
      </c>
      <c r="BH142" s="294">
        <f>BH23</f>
        <v>107.211</v>
      </c>
      <c r="BI142" s="294">
        <f>BI23</f>
        <v>107.211</v>
      </c>
      <c r="BJ142" s="291"/>
      <c r="BK142" s="293">
        <f>BK23</f>
        <v>286</v>
      </c>
      <c r="BL142" s="291">
        <f>BL23</f>
        <v>308</v>
      </c>
      <c r="BM142" s="291">
        <f>BM23</f>
        <v>306</v>
      </c>
      <c r="BN142" s="294">
        <f>BN23</f>
        <v>312</v>
      </c>
      <c r="BO142" s="294">
        <f>BO23</f>
        <v>312</v>
      </c>
      <c r="BP142" s="291"/>
      <c r="BQ142" s="293">
        <f>BQ23</f>
        <v>312</v>
      </c>
      <c r="BR142" s="291">
        <f>BR23</f>
        <v>312</v>
      </c>
      <c r="BS142" s="291">
        <f>BS23</f>
        <v>312</v>
      </c>
      <c r="BT142" s="294">
        <f>BT23</f>
        <v>312</v>
      </c>
      <c r="BU142" s="294">
        <f>BU23</f>
        <v>312</v>
      </c>
      <c r="BV142" s="291"/>
      <c r="BW142" s="293">
        <f>BW23</f>
        <v>312</v>
      </c>
      <c r="BX142" s="291">
        <f>BX23</f>
        <v>312</v>
      </c>
      <c r="BY142" s="291">
        <f>BY23</f>
        <v>312</v>
      </c>
      <c r="BZ142" s="294">
        <f>BZ23</f>
        <v>312</v>
      </c>
      <c r="CA142" s="294">
        <f>CA23</f>
        <v>312</v>
      </c>
      <c r="CB142" s="291"/>
      <c r="CC142" s="293">
        <f>CC23</f>
        <v>312</v>
      </c>
      <c r="CD142" s="291">
        <f>CD23</f>
        <v>312</v>
      </c>
      <c r="CE142" s="291">
        <f>CE23</f>
        <v>312</v>
      </c>
      <c r="CF142" s="294">
        <f>CF23</f>
        <v>312</v>
      </c>
      <c r="CG142" s="294">
        <f>CG23</f>
        <v>312</v>
      </c>
      <c r="CH142" s="291"/>
      <c r="CI142" s="293">
        <f>CI23</f>
        <v>312</v>
      </c>
      <c r="CJ142" s="291">
        <f>CJ23</f>
        <v>312</v>
      </c>
      <c r="CK142" s="291">
        <f>CK23</f>
        <v>312</v>
      </c>
      <c r="CL142" s="294">
        <f>CL23</f>
        <v>312</v>
      </c>
      <c r="CM142" s="294">
        <f>CM23</f>
        <v>312</v>
      </c>
      <c r="CN142" s="291"/>
      <c r="CO142" s="293">
        <f>CO23</f>
        <v>312</v>
      </c>
      <c r="CP142" s="291">
        <f>CP23</f>
        <v>312</v>
      </c>
      <c r="CQ142" s="291">
        <f>CQ23</f>
        <v>312</v>
      </c>
      <c r="CR142" s="294">
        <f>CR23</f>
        <v>312</v>
      </c>
      <c r="CS142" s="294">
        <f>CS23</f>
        <v>312</v>
      </c>
      <c r="CT142" s="291"/>
      <c r="CU142" s="63"/>
      <c r="CV142" s="63"/>
      <c r="CW142" s="63"/>
    </row>
    <row r="143" spans="1:101" outlineLevel="1">
      <c r="A143" s="287" t="s">
        <v>498</v>
      </c>
      <c r="B143" s="288"/>
      <c r="C143" s="289">
        <f t="shared" ref="C143:AV143" si="179">C15+C22</f>
        <v>0</v>
      </c>
      <c r="D143" s="290">
        <f t="shared" si="179"/>
        <v>0</v>
      </c>
      <c r="E143" s="290">
        <f t="shared" si="179"/>
        <v>0</v>
      </c>
      <c r="F143" s="290">
        <f t="shared" si="179"/>
        <v>107.179</v>
      </c>
      <c r="G143" s="286">
        <f t="shared" si="179"/>
        <v>107.179</v>
      </c>
      <c r="H143" s="290"/>
      <c r="I143" s="289">
        <f t="shared" si="179"/>
        <v>75.997</v>
      </c>
      <c r="J143" s="290">
        <f t="shared" si="179"/>
        <v>76.855000000000004</v>
      </c>
      <c r="K143" s="290">
        <f t="shared" si="179"/>
        <v>69.787999999999997</v>
      </c>
      <c r="L143" s="290">
        <f t="shared" si="179"/>
        <v>86.956000000000003</v>
      </c>
      <c r="M143" s="286">
        <f t="shared" si="179"/>
        <v>86.956000000000003</v>
      </c>
      <c r="N143" s="290"/>
      <c r="O143" s="289">
        <f t="shared" si="179"/>
        <v>32.655000000000001</v>
      </c>
      <c r="P143" s="290">
        <f t="shared" si="179"/>
        <v>47.547000000000004</v>
      </c>
      <c r="Q143" s="290">
        <f t="shared" si="179"/>
        <v>53.747999999999998</v>
      </c>
      <c r="R143" s="290">
        <f t="shared" si="179"/>
        <v>67.391999999999996</v>
      </c>
      <c r="S143" s="286">
        <f t="shared" si="179"/>
        <v>67.391999999999996</v>
      </c>
      <c r="T143" s="290"/>
      <c r="U143" s="289">
        <f t="shared" si="179"/>
        <v>66.569999999999993</v>
      </c>
      <c r="V143" s="290">
        <f t="shared" si="179"/>
        <v>64.736999999999995</v>
      </c>
      <c r="W143" s="290">
        <f t="shared" si="179"/>
        <v>54.345999999999997</v>
      </c>
      <c r="X143" s="290">
        <f t="shared" si="179"/>
        <v>58.875</v>
      </c>
      <c r="Y143" s="286">
        <f t="shared" si="179"/>
        <v>58.875</v>
      </c>
      <c r="Z143" s="291"/>
      <c r="AA143" s="289">
        <f t="shared" si="179"/>
        <v>19.449000000000002</v>
      </c>
      <c r="AB143" s="290">
        <f t="shared" si="179"/>
        <v>39.44</v>
      </c>
      <c r="AC143" s="290">
        <f t="shared" si="179"/>
        <v>44.478000000000002</v>
      </c>
      <c r="AD143" s="290">
        <f>AD15+AD22</f>
        <v>42.863</v>
      </c>
      <c r="AE143" s="292">
        <f t="shared" si="179"/>
        <v>42.863</v>
      </c>
      <c r="AF143" s="291"/>
      <c r="AG143" s="289">
        <f>AG15+AG22</f>
        <v>49.170999999999999</v>
      </c>
      <c r="AH143" s="290">
        <f>AH15+AH22</f>
        <v>72.772999999999996</v>
      </c>
      <c r="AI143" s="291">
        <f t="shared" si="179"/>
        <v>81.638999999999996</v>
      </c>
      <c r="AJ143" s="291">
        <f t="shared" si="179"/>
        <v>70.634</v>
      </c>
      <c r="AK143" s="292">
        <f t="shared" si="179"/>
        <v>70.634</v>
      </c>
      <c r="AL143" s="291"/>
      <c r="AM143" s="293">
        <f t="shared" si="179"/>
        <v>95.634</v>
      </c>
      <c r="AN143" s="291">
        <f t="shared" si="179"/>
        <v>94.602000000000004</v>
      </c>
      <c r="AO143" s="291">
        <f t="shared" si="179"/>
        <v>128.77099999999999</v>
      </c>
      <c r="AP143" s="291">
        <f t="shared" si="179"/>
        <v>124.55600000000001</v>
      </c>
      <c r="AQ143" s="292">
        <f t="shared" si="179"/>
        <v>124.55600000000001</v>
      </c>
      <c r="AR143" s="291"/>
      <c r="AS143" s="1451">
        <f>AS15+AS22</f>
        <v>141.685</v>
      </c>
      <c r="AT143" s="1534">
        <f>AT15+AT22</f>
        <v>115.05500000000001</v>
      </c>
      <c r="AU143" s="1534">
        <f>AU15+AU22</f>
        <v>141.65899999999999</v>
      </c>
      <c r="AV143" s="294">
        <f t="shared" si="179"/>
        <v>90.634</v>
      </c>
      <c r="AW143" s="294">
        <f>AW15+AW22</f>
        <v>90.634</v>
      </c>
      <c r="AX143" s="291"/>
      <c r="AY143" s="293">
        <f>AY15+AY22</f>
        <v>112.227</v>
      </c>
      <c r="AZ143" s="291">
        <f>AZ15+AZ22</f>
        <v>118.399</v>
      </c>
      <c r="BA143" s="291">
        <f>BA15+BA22</f>
        <v>130.56399999999999</v>
      </c>
      <c r="BB143" s="294">
        <f>BB15+BB22</f>
        <v>134.51499999999999</v>
      </c>
      <c r="BC143" s="294">
        <f>BC15+BC22</f>
        <v>134.51499999999999</v>
      </c>
      <c r="BD143" s="291"/>
      <c r="BE143" s="293">
        <f>BE15+BE22</f>
        <v>196.19800000000001</v>
      </c>
      <c r="BF143" s="291">
        <f>BF15+BF22</f>
        <v>186.46199999999999</v>
      </c>
      <c r="BG143" s="291">
        <f>BG15+BG22</f>
        <v>182.12200000000001</v>
      </c>
      <c r="BH143" s="294">
        <f>BH15+BH22</f>
        <v>123.31699999999999</v>
      </c>
      <c r="BI143" s="294">
        <f>BI15+BI22</f>
        <v>123.31699999999999</v>
      </c>
      <c r="BJ143" s="291"/>
      <c r="BK143" s="293">
        <f>BK15+BK22</f>
        <v>83</v>
      </c>
      <c r="BL143" s="291">
        <f>BL15+BL22</f>
        <v>103</v>
      </c>
      <c r="BM143" s="291">
        <f>BM15+BM22</f>
        <v>117</v>
      </c>
      <c r="BN143" s="294">
        <f>BN15+BN22</f>
        <v>88</v>
      </c>
      <c r="BO143" s="294">
        <f>BO15+BO22</f>
        <v>88</v>
      </c>
      <c r="BP143" s="291"/>
      <c r="BQ143" s="293">
        <f>BQ15+BQ22</f>
        <v>88</v>
      </c>
      <c r="BR143" s="291">
        <f>BR15+BR22</f>
        <v>88</v>
      </c>
      <c r="BS143" s="291">
        <f>BS15+BS22</f>
        <v>88</v>
      </c>
      <c r="BT143" s="294">
        <f>BT15+BT22</f>
        <v>88</v>
      </c>
      <c r="BU143" s="294">
        <f>BU15+BU22</f>
        <v>88</v>
      </c>
      <c r="BV143" s="291"/>
      <c r="BW143" s="293">
        <f>BW15+BW22</f>
        <v>88</v>
      </c>
      <c r="BX143" s="291">
        <f>BX15+BX22</f>
        <v>88</v>
      </c>
      <c r="BY143" s="291">
        <f>BY15+BY22</f>
        <v>88</v>
      </c>
      <c r="BZ143" s="294">
        <f>BZ15+BZ22</f>
        <v>88</v>
      </c>
      <c r="CA143" s="294">
        <f>CA15+CA22</f>
        <v>88</v>
      </c>
      <c r="CB143" s="291"/>
      <c r="CC143" s="293">
        <f>CC15+CC22</f>
        <v>88</v>
      </c>
      <c r="CD143" s="291">
        <f>CD15+CD22</f>
        <v>88</v>
      </c>
      <c r="CE143" s="291">
        <f>CE15+CE22</f>
        <v>88</v>
      </c>
      <c r="CF143" s="294">
        <f>CF15+CF22</f>
        <v>88</v>
      </c>
      <c r="CG143" s="294">
        <f>CG15+CG22</f>
        <v>88</v>
      </c>
      <c r="CH143" s="291"/>
      <c r="CI143" s="293">
        <f>CI15+CI22</f>
        <v>88</v>
      </c>
      <c r="CJ143" s="291">
        <f>CJ15+CJ22</f>
        <v>88</v>
      </c>
      <c r="CK143" s="291">
        <f>CK15+CK22</f>
        <v>88</v>
      </c>
      <c r="CL143" s="294">
        <f>CL15+CL22</f>
        <v>88</v>
      </c>
      <c r="CM143" s="294">
        <f>CM15+CM22</f>
        <v>88</v>
      </c>
      <c r="CN143" s="291"/>
      <c r="CO143" s="293">
        <f>CO15+CO22</f>
        <v>88</v>
      </c>
      <c r="CP143" s="291">
        <f>CP15+CP22</f>
        <v>88</v>
      </c>
      <c r="CQ143" s="291">
        <f>CQ15+CQ22</f>
        <v>88</v>
      </c>
      <c r="CR143" s="294">
        <f>CR15+CR22</f>
        <v>88</v>
      </c>
      <c r="CS143" s="294">
        <f>CS15+CS22</f>
        <v>88</v>
      </c>
      <c r="CT143" s="291"/>
      <c r="CU143" s="63"/>
      <c r="CV143" s="63"/>
      <c r="CW143" s="63"/>
    </row>
    <row r="144" spans="1:101" outlineLevel="1">
      <c r="A144" s="287" t="s">
        <v>499</v>
      </c>
      <c r="B144" s="288"/>
      <c r="C144" s="289">
        <f t="shared" ref="C144:AQ144" si="180">C20+C21</f>
        <v>272.50099999999998</v>
      </c>
      <c r="D144" s="290">
        <f t="shared" si="180"/>
        <v>272.07400000000001</v>
      </c>
      <c r="E144" s="290">
        <f t="shared" si="180"/>
        <v>271.86</v>
      </c>
      <c r="F144" s="290">
        <f t="shared" si="180"/>
        <v>286.85000000000002</v>
      </c>
      <c r="G144" s="286">
        <f t="shared" si="180"/>
        <v>286.85000000000002</v>
      </c>
      <c r="H144" s="290"/>
      <c r="I144" s="289">
        <f t="shared" si="180"/>
        <v>284.42399999999998</v>
      </c>
      <c r="J144" s="290">
        <f t="shared" si="180"/>
        <v>281.745</v>
      </c>
      <c r="K144" s="290">
        <f t="shared" si="180"/>
        <v>279.03300000000002</v>
      </c>
      <c r="L144" s="290">
        <f t="shared" si="180"/>
        <v>276.48900000000003</v>
      </c>
      <c r="M144" s="286">
        <f t="shared" si="180"/>
        <v>276.48900000000003</v>
      </c>
      <c r="N144" s="290"/>
      <c r="O144" s="289">
        <f t="shared" si="180"/>
        <v>274.80200000000002</v>
      </c>
      <c r="P144" s="290">
        <f t="shared" si="180"/>
        <v>273.53899999999999</v>
      </c>
      <c r="Q144" s="290">
        <f t="shared" si="180"/>
        <v>271.82100000000003</v>
      </c>
      <c r="R144" s="290">
        <f t="shared" si="180"/>
        <v>257.24</v>
      </c>
      <c r="S144" s="286">
        <f t="shared" si="180"/>
        <v>257.24</v>
      </c>
      <c r="T144" s="290"/>
      <c r="U144" s="289">
        <f t="shared" si="180"/>
        <v>255.51499999999999</v>
      </c>
      <c r="V144" s="290">
        <f t="shared" si="180"/>
        <v>342.11700000000002</v>
      </c>
      <c r="W144" s="290">
        <f t="shared" si="180"/>
        <v>350.44500000000005</v>
      </c>
      <c r="X144" s="290">
        <f t="shared" si="180"/>
        <v>348.23</v>
      </c>
      <c r="Y144" s="286">
        <f t="shared" si="180"/>
        <v>348.23</v>
      </c>
      <c r="Z144" s="290"/>
      <c r="AA144" s="289">
        <f t="shared" si="180"/>
        <v>438.96199999999999</v>
      </c>
      <c r="AB144" s="290">
        <f t="shared" si="180"/>
        <v>434.56100000000004</v>
      </c>
      <c r="AC144" s="290">
        <f t="shared" si="180"/>
        <v>431.62</v>
      </c>
      <c r="AD144" s="290">
        <f>AD20+AD21</f>
        <v>428.32799999999997</v>
      </c>
      <c r="AE144" s="286">
        <f t="shared" si="180"/>
        <v>428.32799999999997</v>
      </c>
      <c r="AF144" s="290"/>
      <c r="AG144" s="289">
        <f>AG20+AG21</f>
        <v>424.86</v>
      </c>
      <c r="AH144" s="290">
        <f>AH20+AH21</f>
        <v>410.86</v>
      </c>
      <c r="AI144" s="290">
        <f t="shared" si="180"/>
        <v>505.01800000000003</v>
      </c>
      <c r="AJ144" s="290">
        <f t="shared" si="180"/>
        <v>499.52300000000002</v>
      </c>
      <c r="AK144" s="286">
        <f t="shared" si="180"/>
        <v>499.52300000000002</v>
      </c>
      <c r="AL144" s="290"/>
      <c r="AM144" s="289">
        <f t="shared" si="180"/>
        <v>911.70700000000011</v>
      </c>
      <c r="AN144" s="290">
        <f t="shared" si="180"/>
        <v>901.05700000000002</v>
      </c>
      <c r="AO144" s="290">
        <f t="shared" si="180"/>
        <v>965.10300000000007</v>
      </c>
      <c r="AP144" s="290">
        <f t="shared" si="180"/>
        <v>1054.2339999999999</v>
      </c>
      <c r="AQ144" s="286">
        <f t="shared" si="180"/>
        <v>1054.2339999999999</v>
      </c>
      <c r="AR144" s="290"/>
      <c r="AS144" s="1489">
        <f>AS20+AS21</f>
        <v>1040.2429999999999</v>
      </c>
      <c r="AT144" s="1533">
        <f>AT20+AT21</f>
        <v>1026.498</v>
      </c>
      <c r="AU144" s="1533">
        <f>AU20+AU21</f>
        <v>1024.232</v>
      </c>
      <c r="AV144" s="1299">
        <f>AV20+AV21</f>
        <v>1039.404</v>
      </c>
      <c r="AW144" s="1299">
        <f>AW20+AW21</f>
        <v>1039.404</v>
      </c>
      <c r="AX144" s="290"/>
      <c r="AY144" s="289">
        <f>AY20+AY21</f>
        <v>1026.2060000000001</v>
      </c>
      <c r="AZ144" s="290">
        <f>AZ20+AZ21</f>
        <v>1013.081</v>
      </c>
      <c r="BA144" s="290">
        <f>BA20+BA21</f>
        <v>1043.0329999999999</v>
      </c>
      <c r="BB144" s="1299">
        <f>BB20+BB21</f>
        <v>1026.25</v>
      </c>
      <c r="BC144" s="1299">
        <f>BC20+BC21</f>
        <v>1026.25</v>
      </c>
      <c r="BD144" s="290"/>
      <c r="BE144" s="289">
        <f>BE20+BE21</f>
        <v>1045.605</v>
      </c>
      <c r="BF144" s="290">
        <f>BF20+BF21</f>
        <v>1044.4639999999999</v>
      </c>
      <c r="BG144" s="290">
        <f>BG20+BG21</f>
        <v>1031.5550000000001</v>
      </c>
      <c r="BH144" s="1299">
        <f>BH20+BH21</f>
        <v>1018.6469999999999</v>
      </c>
      <c r="BI144" s="1299">
        <f>BI20+BI21</f>
        <v>1018.6469999999999</v>
      </c>
      <c r="BJ144" s="290"/>
      <c r="BK144" s="289">
        <f>BK20+BK21</f>
        <v>978</v>
      </c>
      <c r="BL144" s="290">
        <f>BL20+BL21</f>
        <v>967</v>
      </c>
      <c r="BM144" s="290">
        <f>BM20+BM21</f>
        <v>956</v>
      </c>
      <c r="BN144" s="1299">
        <f>BN20+BN21</f>
        <v>946</v>
      </c>
      <c r="BO144" s="1299">
        <f>BO20+BO21</f>
        <v>946</v>
      </c>
      <c r="BP144" s="290"/>
      <c r="BQ144" s="289">
        <f>BQ20+BQ21</f>
        <v>936</v>
      </c>
      <c r="BR144" s="290">
        <f>BR20+BR21</f>
        <v>926</v>
      </c>
      <c r="BS144" s="290">
        <f>BS20+BS21</f>
        <v>916</v>
      </c>
      <c r="BT144" s="1299">
        <f>BT20+BT21</f>
        <v>906</v>
      </c>
      <c r="BU144" s="1299">
        <f>BU20+BU21</f>
        <v>906</v>
      </c>
      <c r="BV144" s="290"/>
      <c r="BW144" s="289">
        <f>BW20+BW21</f>
        <v>896</v>
      </c>
      <c r="BX144" s="290">
        <f>BX20+BX21</f>
        <v>886</v>
      </c>
      <c r="BY144" s="290">
        <f>BY20+BY21</f>
        <v>876</v>
      </c>
      <c r="BZ144" s="1299">
        <f>BZ20+BZ21</f>
        <v>866</v>
      </c>
      <c r="CA144" s="1299">
        <f>CA20+CA21</f>
        <v>866</v>
      </c>
      <c r="CB144" s="290"/>
      <c r="CC144" s="289">
        <f>CC20+CC21</f>
        <v>856</v>
      </c>
      <c r="CD144" s="290">
        <f>CD20+CD21</f>
        <v>846</v>
      </c>
      <c r="CE144" s="290">
        <f>CE20+CE21</f>
        <v>836</v>
      </c>
      <c r="CF144" s="1299">
        <f>CF20+CF21</f>
        <v>826</v>
      </c>
      <c r="CG144" s="1299">
        <f>CG20+CG21</f>
        <v>826</v>
      </c>
      <c r="CH144" s="290"/>
      <c r="CI144" s="289">
        <f>CI20+CI21</f>
        <v>818.5</v>
      </c>
      <c r="CJ144" s="290">
        <f>CJ20+CJ21</f>
        <v>811</v>
      </c>
      <c r="CK144" s="290">
        <f>CK20+CK21</f>
        <v>803.5</v>
      </c>
      <c r="CL144" s="1299">
        <f>CL20+CL21</f>
        <v>796</v>
      </c>
      <c r="CM144" s="1299">
        <f>CM20+CM21</f>
        <v>796</v>
      </c>
      <c r="CN144" s="290"/>
      <c r="CO144" s="289">
        <f>CO20+CO21</f>
        <v>791</v>
      </c>
      <c r="CP144" s="290">
        <f>CP20+CP21</f>
        <v>786</v>
      </c>
      <c r="CQ144" s="290">
        <f>CQ20+CQ21</f>
        <v>781</v>
      </c>
      <c r="CR144" s="1299">
        <f>CR20+CR21</f>
        <v>776</v>
      </c>
      <c r="CS144" s="1299">
        <f>CS20+CS21</f>
        <v>776</v>
      </c>
      <c r="CT144" s="290"/>
      <c r="CU144" s="63"/>
      <c r="CV144" s="63"/>
      <c r="CW144" s="63"/>
    </row>
    <row r="145" spans="1:101" outlineLevel="1">
      <c r="A145" s="287" t="s">
        <v>500</v>
      </c>
      <c r="B145" s="288"/>
      <c r="C145" s="289">
        <f>SUM(C138:C144)</f>
        <v>416.01599999999996</v>
      </c>
      <c r="D145" s="290">
        <f>SUM(D138:D144)</f>
        <v>430.31200000000001</v>
      </c>
      <c r="E145" s="290">
        <f>SUM(E138:E144)</f>
        <v>457.35699999999997</v>
      </c>
      <c r="F145" s="290">
        <f>SUM(F138:F144)</f>
        <v>601.65</v>
      </c>
      <c r="G145" s="286">
        <f>SUM(G138:G144)</f>
        <v>601.65</v>
      </c>
      <c r="H145" s="290"/>
      <c r="I145" s="289">
        <f>SUM(I138:I144)</f>
        <v>606.95399999999995</v>
      </c>
      <c r="J145" s="290">
        <f>SUM(J138:J144)</f>
        <v>636.58500000000004</v>
      </c>
      <c r="K145" s="290">
        <f>SUM(K138:K144)</f>
        <v>660.10800000000006</v>
      </c>
      <c r="L145" s="290">
        <f>SUM(L138:L144)</f>
        <v>681.125</v>
      </c>
      <c r="M145" s="286">
        <f>SUM(M138:M144)</f>
        <v>681.125</v>
      </c>
      <c r="N145" s="290"/>
      <c r="O145" s="289">
        <f>SUM(O138:O144)</f>
        <v>644.08000000000004</v>
      </c>
      <c r="P145" s="290">
        <f>SUM(P138:P144)</f>
        <v>686.84900000000005</v>
      </c>
      <c r="Q145" s="290">
        <f>SUM(Q138:Q144)</f>
        <v>726.33600000000001</v>
      </c>
      <c r="R145" s="290">
        <f>SUM(R138:R144)</f>
        <v>736.41</v>
      </c>
      <c r="S145" s="286">
        <f>SUM(S138:S144)</f>
        <v>736.41</v>
      </c>
      <c r="T145" s="290"/>
      <c r="U145" s="289">
        <f>SUM(U138:U144)</f>
        <v>757.23099999999999</v>
      </c>
      <c r="V145" s="290">
        <f>SUM(V138:V144)</f>
        <v>856.50500000000011</v>
      </c>
      <c r="W145" s="290">
        <f>SUM(W138:W144)</f>
        <v>918.40500000000009</v>
      </c>
      <c r="X145" s="290">
        <f>SUM(X138:X144)</f>
        <v>944.82400000000007</v>
      </c>
      <c r="Y145" s="286">
        <f>SUM(Y138:Y144)</f>
        <v>944.82400000000007</v>
      </c>
      <c r="Z145" s="291"/>
      <c r="AA145" s="289">
        <f>SUM(AA138:AA144)</f>
        <v>988.51099999999997</v>
      </c>
      <c r="AB145" s="290">
        <f>SUM(AB138:AB144)</f>
        <v>1023.072</v>
      </c>
      <c r="AC145" s="290">
        <f>SUM(AC138:AC144)</f>
        <v>1014.8689999999999</v>
      </c>
      <c r="AD145" s="290">
        <f>SUM(AD138:AD144)</f>
        <v>1006.2719999999999</v>
      </c>
      <c r="AE145" s="292">
        <f>SUM(AE138:AE144)</f>
        <v>1006.2719999999999</v>
      </c>
      <c r="AF145" s="291"/>
      <c r="AG145" s="289">
        <f>SUM(AG138:AG144)</f>
        <v>1035.1110000000001</v>
      </c>
      <c r="AH145" s="290">
        <f>SUM(AH138:AH144)</f>
        <v>1047.0520000000001</v>
      </c>
      <c r="AI145" s="291">
        <f>SUM(AI138:AI144)</f>
        <v>1204.9170000000001</v>
      </c>
      <c r="AJ145" s="291">
        <f>SUM(AJ138:AJ144)</f>
        <v>1215.8809999999999</v>
      </c>
      <c r="AK145" s="292">
        <f>SUM(AK138:AK144)</f>
        <v>1215.8809999999999</v>
      </c>
      <c r="AL145" s="291"/>
      <c r="AM145" s="293">
        <f>SUM(AM138:AM144)</f>
        <v>1676.7180000000001</v>
      </c>
      <c r="AN145" s="291">
        <f>SUM(AN138:AN144)</f>
        <v>1693.739</v>
      </c>
      <c r="AO145" s="291">
        <f>SUM(AO138:AO144)</f>
        <v>1789.7049999999999</v>
      </c>
      <c r="AP145" s="291">
        <f>SUM(AP138:AP144)</f>
        <v>1853.4029999999998</v>
      </c>
      <c r="AQ145" s="292">
        <f>SUM(AQ138:AQ144)</f>
        <v>1853.4029999999998</v>
      </c>
      <c r="AR145" s="291"/>
      <c r="AS145" s="1451">
        <f>SUM(AS138:AS144)</f>
        <v>1961.768</v>
      </c>
      <c r="AT145" s="1534">
        <f>SUM(AT138:AT144)</f>
        <v>1931.999</v>
      </c>
      <c r="AU145" s="1534">
        <f>SUM(AU138:AU144)</f>
        <v>2006.779</v>
      </c>
      <c r="AV145" s="294">
        <f>SUM(AV138:AV144)</f>
        <v>2001.269</v>
      </c>
      <c r="AW145" s="294">
        <f>SUM(AW138:AW144)</f>
        <v>2001.269</v>
      </c>
      <c r="AX145" s="291"/>
      <c r="AY145" s="293">
        <f>SUM(AY138:AY144)</f>
        <v>2132.6040000000003</v>
      </c>
      <c r="AZ145" s="291">
        <f>SUM(AZ138:AZ144)</f>
        <v>2192.7429999999999</v>
      </c>
      <c r="BA145" s="291">
        <f>SUM(BA138:BA144)</f>
        <v>2294.1419999999998</v>
      </c>
      <c r="BB145" s="294">
        <f>SUM(BB138:BB144)</f>
        <v>2301.527</v>
      </c>
      <c r="BC145" s="294">
        <f>SUM(BC138:BC144)</f>
        <v>2301.527</v>
      </c>
      <c r="BD145" s="291"/>
      <c r="BE145" s="293">
        <f>SUM(BE138:BE144)</f>
        <v>2450.6140000000005</v>
      </c>
      <c r="BF145" s="291">
        <f>SUM(BF138:BF144)</f>
        <v>2559.8339999999998</v>
      </c>
      <c r="BG145" s="291">
        <f>SUM(BG138:BG144)</f>
        <v>2691.5610000000001</v>
      </c>
      <c r="BH145" s="294">
        <f>SUM(BH138:BH144)</f>
        <v>2721.8760000000002</v>
      </c>
      <c r="BI145" s="294">
        <f>SUM(BI138:BI144)</f>
        <v>2721.8760000000002</v>
      </c>
      <c r="BJ145" s="291"/>
      <c r="BK145" s="293">
        <f>SUM(BK138:BK144)</f>
        <v>2820</v>
      </c>
      <c r="BL145" s="291">
        <f>SUM(BL138:BL144)</f>
        <v>2965</v>
      </c>
      <c r="BM145" s="291">
        <f>SUM(BM138:BM144)</f>
        <v>3005</v>
      </c>
      <c r="BN145" s="294">
        <f>SUM(BN138:BN144)</f>
        <v>3112</v>
      </c>
      <c r="BO145" s="294">
        <f>SUM(BO138:BO144)</f>
        <v>3112</v>
      </c>
      <c r="BP145" s="291"/>
      <c r="BQ145" s="293">
        <f>SUM(BQ138:BQ144)</f>
        <v>3249.395363655904</v>
      </c>
      <c r="BR145" s="291">
        <f>SUM(BR138:BR144)</f>
        <v>3255.0442981073238</v>
      </c>
      <c r="BS145" s="291">
        <f>SUM(BS138:BS144)</f>
        <v>3309.3184985201115</v>
      </c>
      <c r="BT145" s="294">
        <f>SUM(BT138:BT144)</f>
        <v>3387.3956238409601</v>
      </c>
      <c r="BU145" s="294">
        <f>SUM(BU138:BU144)</f>
        <v>3387.3956238409601</v>
      </c>
      <c r="BV145" s="291"/>
      <c r="BW145" s="293">
        <f>SUM(BW138:BW144)</f>
        <v>3541.2485383545654</v>
      </c>
      <c r="BX145" s="291">
        <f>SUM(BX138:BX144)</f>
        <v>3528.600468255851</v>
      </c>
      <c r="BY145" s="291">
        <f>SUM(BY138:BY144)</f>
        <v>3577.0405615775608</v>
      </c>
      <c r="BZ145" s="294">
        <f>SUM(BZ138:BZ144)</f>
        <v>3655.758310568935</v>
      </c>
      <c r="CA145" s="294">
        <f>SUM(CA138:CA144)</f>
        <v>3655.758310568935</v>
      </c>
      <c r="CB145" s="291"/>
      <c r="CC145" s="293">
        <f>SUM(CC138:CC144)</f>
        <v>3821.8578958275375</v>
      </c>
      <c r="CD145" s="291">
        <f>SUM(CD138:CD144)</f>
        <v>3805.8049199685224</v>
      </c>
      <c r="CE145" s="291">
        <f>SUM(CE138:CE144)</f>
        <v>3854.2216442781873</v>
      </c>
      <c r="CF145" s="294">
        <f>SUM(CF138:CF144)</f>
        <v>3938.2601390870859</v>
      </c>
      <c r="CG145" s="294">
        <f>SUM(CG138:CG144)</f>
        <v>3938.2601390870859</v>
      </c>
      <c r="CH145" s="291"/>
      <c r="CI145" s="293">
        <f>SUM(CI138:CI144)</f>
        <v>4118.6914953736232</v>
      </c>
      <c r="CJ145" s="291">
        <f>SUM(CJ138:CJ144)</f>
        <v>4099.8663273925204</v>
      </c>
      <c r="CK145" s="291">
        <f>SUM(CK138:CK144)</f>
        <v>4150.7121590198603</v>
      </c>
      <c r="CL145" s="294">
        <f>SUM(CL138:CL144)</f>
        <v>4244.7158424240479</v>
      </c>
      <c r="CM145" s="294">
        <f>SUM(CM138:CM144)</f>
        <v>4244.7158424240479</v>
      </c>
      <c r="CN145" s="291"/>
      <c r="CO145" s="293">
        <f>SUM(CO138:CO144)</f>
        <v>4429.2400107617232</v>
      </c>
      <c r="CP145" s="291">
        <f>SUM(CP138:CP144)</f>
        <v>4412.2219537118135</v>
      </c>
      <c r="CQ145" s="291">
        <f>SUM(CQ138:CQ144)</f>
        <v>4471.0829841241084</v>
      </c>
      <c r="CR145" s="294">
        <f>SUM(CR138:CR144)</f>
        <v>4575.0305394819916</v>
      </c>
      <c r="CS145" s="294">
        <f>SUM(CS138:CS144)</f>
        <v>4575.0305394819916</v>
      </c>
      <c r="CT145" s="291"/>
      <c r="CU145" s="63"/>
      <c r="CV145" s="63"/>
      <c r="CW145" s="63"/>
    </row>
    <row r="146" spans="1:101" outlineLevel="1">
      <c r="A146" s="287"/>
      <c r="B146" s="288"/>
      <c r="C146" s="1135"/>
      <c r="D146" s="1132"/>
      <c r="E146" s="1132"/>
      <c r="F146" s="1132"/>
      <c r="G146" s="1134"/>
      <c r="H146" s="1132"/>
      <c r="I146" s="1135"/>
      <c r="J146" s="1132"/>
      <c r="K146" s="1132"/>
      <c r="L146" s="1132"/>
      <c r="M146" s="1134"/>
      <c r="N146" s="1132"/>
      <c r="O146" s="1135"/>
      <c r="P146" s="1132"/>
      <c r="Q146" s="1132"/>
      <c r="R146" s="1132"/>
      <c r="S146" s="1134"/>
      <c r="T146" s="1132"/>
      <c r="U146" s="1135"/>
      <c r="V146" s="1132"/>
      <c r="W146" s="1132"/>
      <c r="X146" s="1132"/>
      <c r="Y146" s="1134"/>
      <c r="Z146" s="1132"/>
      <c r="AA146" s="1135"/>
      <c r="AB146" s="1132"/>
      <c r="AC146" s="1132"/>
      <c r="AD146" s="1132"/>
      <c r="AE146" s="1134"/>
      <c r="AF146" s="1132"/>
      <c r="AG146" s="1135"/>
      <c r="AH146" s="1132"/>
      <c r="AI146" s="1132"/>
      <c r="AJ146" s="1132"/>
      <c r="AK146" s="1134"/>
      <c r="AL146" s="1132"/>
      <c r="AM146" s="1135"/>
      <c r="AN146" s="1132"/>
      <c r="AO146" s="1132"/>
      <c r="AP146" s="1132"/>
      <c r="AQ146" s="1134"/>
      <c r="AR146" s="1132"/>
      <c r="AS146" s="1490"/>
      <c r="AT146" s="121"/>
      <c r="AU146" s="121"/>
      <c r="AV146" s="1137"/>
      <c r="AW146" s="1137"/>
      <c r="AX146" s="1132"/>
      <c r="AY146" s="1135"/>
      <c r="AZ146" s="1132"/>
      <c r="BA146" s="1132"/>
      <c r="BB146" s="1137"/>
      <c r="BC146" s="1137"/>
      <c r="BD146" s="1132"/>
      <c r="BE146" s="1135"/>
      <c r="BF146" s="1132"/>
      <c r="BG146" s="1132"/>
      <c r="BH146" s="1137"/>
      <c r="BI146" s="1137"/>
      <c r="BJ146" s="1132"/>
      <c r="BK146" s="1135"/>
      <c r="BL146" s="1132"/>
      <c r="BM146" s="1132"/>
      <c r="BN146" s="1137"/>
      <c r="BO146" s="1137"/>
      <c r="BP146" s="1132"/>
      <c r="BQ146" s="1135"/>
      <c r="BR146" s="1132"/>
      <c r="BS146" s="1132"/>
      <c r="BT146" s="1137"/>
      <c r="BU146" s="1137"/>
      <c r="BV146" s="1132"/>
      <c r="BW146" s="1135"/>
      <c r="BX146" s="1132"/>
      <c r="BY146" s="1132"/>
      <c r="BZ146" s="1137"/>
      <c r="CA146" s="1137"/>
      <c r="CB146" s="1132"/>
      <c r="CC146" s="1135"/>
      <c r="CD146" s="1132"/>
      <c r="CE146" s="1132"/>
      <c r="CF146" s="1137"/>
      <c r="CG146" s="1137"/>
      <c r="CH146" s="1132"/>
      <c r="CI146" s="1135"/>
      <c r="CJ146" s="1132"/>
      <c r="CK146" s="1132"/>
      <c r="CL146" s="1137"/>
      <c r="CM146" s="1137"/>
      <c r="CN146" s="1132"/>
      <c r="CO146" s="1135"/>
      <c r="CP146" s="1132"/>
      <c r="CQ146" s="1132"/>
      <c r="CR146" s="1137"/>
      <c r="CS146" s="1137"/>
      <c r="CT146" s="1132"/>
      <c r="CU146" s="63"/>
      <c r="CV146" s="63"/>
      <c r="CW146" s="63"/>
    </row>
    <row r="147" spans="1:101" outlineLevel="1">
      <c r="A147" s="287" t="s">
        <v>294</v>
      </c>
      <c r="B147" s="288"/>
      <c r="C147" s="289">
        <f t="shared" ref="C147:X147" si="181">C26</f>
        <v>66.661000000000001</v>
      </c>
      <c r="D147" s="290">
        <f t="shared" si="181"/>
        <v>76.564999999999998</v>
      </c>
      <c r="E147" s="290">
        <f t="shared" si="181"/>
        <v>78.995999999999995</v>
      </c>
      <c r="F147" s="290">
        <f t="shared" si="181"/>
        <v>24.311</v>
      </c>
      <c r="G147" s="286">
        <f t="shared" si="181"/>
        <v>24.311</v>
      </c>
      <c r="H147" s="290"/>
      <c r="I147" s="289">
        <f t="shared" si="181"/>
        <v>69.518000000000001</v>
      </c>
      <c r="J147" s="290">
        <f t="shared" si="181"/>
        <v>86.048000000000002</v>
      </c>
      <c r="K147" s="290">
        <f t="shared" si="181"/>
        <v>91.22</v>
      </c>
      <c r="L147" s="290">
        <f t="shared" si="181"/>
        <v>29.204000000000001</v>
      </c>
      <c r="M147" s="286">
        <f t="shared" si="181"/>
        <v>29.204000000000001</v>
      </c>
      <c r="N147" s="290"/>
      <c r="O147" s="289">
        <f t="shared" si="181"/>
        <v>36.591000000000001</v>
      </c>
      <c r="P147" s="290">
        <f t="shared" si="181"/>
        <v>41.158000000000001</v>
      </c>
      <c r="Q147" s="290">
        <f t="shared" si="181"/>
        <v>41.750999999999998</v>
      </c>
      <c r="R147" s="290">
        <f t="shared" si="181"/>
        <v>52.780999999999999</v>
      </c>
      <c r="S147" s="286">
        <f t="shared" si="181"/>
        <v>52.780999999999999</v>
      </c>
      <c r="T147" s="290"/>
      <c r="U147" s="289">
        <f t="shared" si="181"/>
        <v>47.55</v>
      </c>
      <c r="V147" s="290">
        <f t="shared" si="181"/>
        <v>57.573999999999998</v>
      </c>
      <c r="W147" s="290">
        <f t="shared" si="181"/>
        <v>59.792000000000002</v>
      </c>
      <c r="X147" s="290">
        <f t="shared" si="181"/>
        <v>66.744</v>
      </c>
      <c r="Y147" s="286">
        <f>Y26</f>
        <v>66.744</v>
      </c>
      <c r="Z147" s="291"/>
      <c r="AA147" s="289">
        <f>AA26</f>
        <v>66.287000000000006</v>
      </c>
      <c r="AB147" s="290">
        <f>AB26</f>
        <v>58.27</v>
      </c>
      <c r="AC147" s="290">
        <f>AC26</f>
        <v>52.249000000000002</v>
      </c>
      <c r="AD147" s="290">
        <f>AD26</f>
        <v>49.805999999999997</v>
      </c>
      <c r="AE147" s="292">
        <f>AE26</f>
        <v>49.805999999999997</v>
      </c>
      <c r="AF147" s="291"/>
      <c r="AG147" s="289">
        <f>AG26</f>
        <v>59.860999999999997</v>
      </c>
      <c r="AH147" s="290">
        <f>AH26</f>
        <v>56.667999999999999</v>
      </c>
      <c r="AI147" s="291">
        <f>AI26</f>
        <v>74.971000000000004</v>
      </c>
      <c r="AJ147" s="291">
        <f>AJ26</f>
        <v>65.727000000000004</v>
      </c>
      <c r="AK147" s="292">
        <f>AK26</f>
        <v>65.727000000000004</v>
      </c>
      <c r="AL147" s="291"/>
      <c r="AM147" s="293">
        <f>AM26</f>
        <v>76.626999999999995</v>
      </c>
      <c r="AN147" s="291">
        <f>AN26</f>
        <v>67.647999999999996</v>
      </c>
      <c r="AO147" s="291">
        <f>AO26</f>
        <v>63.125999999999998</v>
      </c>
      <c r="AP147" s="291">
        <f>AP26</f>
        <v>73.655000000000001</v>
      </c>
      <c r="AQ147" s="292">
        <f>AQ26</f>
        <v>73.655000000000001</v>
      </c>
      <c r="AR147" s="291"/>
      <c r="AS147" s="1451">
        <f>AS26</f>
        <v>86.471000000000004</v>
      </c>
      <c r="AT147" s="1534">
        <f>AT26</f>
        <v>91.513000000000005</v>
      </c>
      <c r="AU147" s="1534">
        <f>AU26</f>
        <v>96.069000000000003</v>
      </c>
      <c r="AV147" s="294">
        <f>AV26</f>
        <v>82.626000000000005</v>
      </c>
      <c r="AW147" s="294">
        <f>AW26</f>
        <v>82.626000000000005</v>
      </c>
      <c r="AX147" s="291"/>
      <c r="AY147" s="293">
        <f>AY26</f>
        <v>106.67400000000001</v>
      </c>
      <c r="AZ147" s="291">
        <f>AZ26</f>
        <v>107.884</v>
      </c>
      <c r="BA147" s="291">
        <f>BA26</f>
        <v>123.432</v>
      </c>
      <c r="BB147" s="294">
        <f>BB26</f>
        <v>139.226</v>
      </c>
      <c r="BC147" s="294">
        <f>BC26</f>
        <v>139.226</v>
      </c>
      <c r="BD147" s="291"/>
      <c r="BE147" s="293">
        <f>BE26</f>
        <v>154.68</v>
      </c>
      <c r="BF147" s="291">
        <f>BF26</f>
        <v>250.67</v>
      </c>
      <c r="BG147" s="291">
        <f>BG26</f>
        <v>134.09</v>
      </c>
      <c r="BH147" s="294">
        <f>BH26</f>
        <v>137.93</v>
      </c>
      <c r="BI147" s="294">
        <f>BI26</f>
        <v>137.93</v>
      </c>
      <c r="BJ147" s="291"/>
      <c r="BK147" s="293">
        <f>BK26</f>
        <v>142</v>
      </c>
      <c r="BL147" s="291">
        <f>BL26</f>
        <v>175</v>
      </c>
      <c r="BM147" s="291">
        <f>BM26</f>
        <v>158</v>
      </c>
      <c r="BN147" s="294">
        <f>BN26</f>
        <v>160</v>
      </c>
      <c r="BO147" s="294">
        <f>BO26</f>
        <v>160</v>
      </c>
      <c r="BP147" s="291"/>
      <c r="BQ147" s="293">
        <f>BQ26</f>
        <v>166.21157755192223</v>
      </c>
      <c r="BR147" s="291">
        <f>BR26</f>
        <v>173.14516970144976</v>
      </c>
      <c r="BS147" s="291">
        <f>BS26</f>
        <v>175.61445139492378</v>
      </c>
      <c r="BT147" s="294">
        <f>BT26</f>
        <v>182.3646271201566</v>
      </c>
      <c r="BU147" s="294">
        <f>BU26</f>
        <v>182.3646271201566</v>
      </c>
      <c r="BV147" s="291"/>
      <c r="BW147" s="293">
        <f>BW26</f>
        <v>187.96819670690141</v>
      </c>
      <c r="BX147" s="291">
        <f>BX26</f>
        <v>193.17973866950999</v>
      </c>
      <c r="BY147" s="291">
        <f>BY26</f>
        <v>194.4713851820992</v>
      </c>
      <c r="BZ147" s="294">
        <f>BZ26</f>
        <v>201.84891158205633</v>
      </c>
      <c r="CA147" s="294">
        <f>CA26</f>
        <v>201.84891158205633</v>
      </c>
      <c r="CB147" s="291"/>
      <c r="CC147" s="293">
        <f>CC26</f>
        <v>208.10446391605154</v>
      </c>
      <c r="CD147" s="291">
        <f>CD26</f>
        <v>217.43555293516854</v>
      </c>
      <c r="CE147" s="291">
        <f>CE26</f>
        <v>221.3178692805553</v>
      </c>
      <c r="CF147" s="294">
        <f>CF26</f>
        <v>232.87438197063946</v>
      </c>
      <c r="CG147" s="294">
        <f>CG26</f>
        <v>232.87438197063946</v>
      </c>
      <c r="CH147" s="291"/>
      <c r="CI147" s="293">
        <f>CI26</f>
        <v>239.4779560144722</v>
      </c>
      <c r="CJ147" s="291">
        <f>CJ26</f>
        <v>250.81922369382167</v>
      </c>
      <c r="CK147" s="291">
        <f>CK26</f>
        <v>255.09591926487408</v>
      </c>
      <c r="CL147" s="294">
        <f>CL26</f>
        <v>269.0503581792513</v>
      </c>
      <c r="CM147" s="294">
        <f>CM26</f>
        <v>269.0503581792513</v>
      </c>
      <c r="CN147" s="291"/>
      <c r="CO147" s="293">
        <f>CO26</f>
        <v>273.11354517989736</v>
      </c>
      <c r="CP147" s="291">
        <f>CP26</f>
        <v>287.33165209016909</v>
      </c>
      <c r="CQ147" s="291">
        <f>CQ26</f>
        <v>293.06407891003391</v>
      </c>
      <c r="CR147" s="294">
        <f>CR26</f>
        <v>309.51108993655305</v>
      </c>
      <c r="CS147" s="294">
        <f>CS26</f>
        <v>309.51108993655305</v>
      </c>
      <c r="CT147" s="291"/>
      <c r="CU147" s="63"/>
      <c r="CV147" s="63"/>
      <c r="CW147" s="63"/>
    </row>
    <row r="148" spans="1:101" outlineLevel="1">
      <c r="A148" s="287" t="s">
        <v>296</v>
      </c>
      <c r="B148" s="288"/>
      <c r="C148" s="289">
        <f t="shared" ref="C148:X148" si="182">C27+C28</f>
        <v>0</v>
      </c>
      <c r="D148" s="290">
        <f t="shared" si="182"/>
        <v>0</v>
      </c>
      <c r="E148" s="290">
        <f t="shared" si="182"/>
        <v>0</v>
      </c>
      <c r="F148" s="290">
        <f t="shared" si="182"/>
        <v>141.404</v>
      </c>
      <c r="G148" s="286">
        <f t="shared" si="182"/>
        <v>141.404</v>
      </c>
      <c r="H148" s="290"/>
      <c r="I148" s="289">
        <f t="shared" si="182"/>
        <v>0</v>
      </c>
      <c r="J148" s="290">
        <f t="shared" si="182"/>
        <v>0</v>
      </c>
      <c r="K148" s="290">
        <f t="shared" si="182"/>
        <v>0</v>
      </c>
      <c r="L148" s="290">
        <f t="shared" si="182"/>
        <v>80.355000000000004</v>
      </c>
      <c r="M148" s="286">
        <f t="shared" si="182"/>
        <v>80.355000000000004</v>
      </c>
      <c r="N148" s="290"/>
      <c r="O148" s="289">
        <f t="shared" si="182"/>
        <v>71.930000000000007</v>
      </c>
      <c r="P148" s="290">
        <f t="shared" si="182"/>
        <v>84.436000000000007</v>
      </c>
      <c r="Q148" s="290">
        <f t="shared" si="182"/>
        <v>86.183000000000007</v>
      </c>
      <c r="R148" s="290">
        <f t="shared" si="182"/>
        <v>98.253</v>
      </c>
      <c r="S148" s="286">
        <f t="shared" si="182"/>
        <v>98.253</v>
      </c>
      <c r="T148" s="290"/>
      <c r="U148" s="289">
        <f t="shared" si="182"/>
        <v>102.886</v>
      </c>
      <c r="V148" s="290">
        <f t="shared" si="182"/>
        <v>123.577</v>
      </c>
      <c r="W148" s="290">
        <f t="shared" si="182"/>
        <v>134.52600000000001</v>
      </c>
      <c r="X148" s="290">
        <f t="shared" si="182"/>
        <v>156.16399999999999</v>
      </c>
      <c r="Y148" s="286">
        <f>Y27+Y28</f>
        <v>156.16399999999999</v>
      </c>
      <c r="Z148" s="291"/>
      <c r="AA148" s="289">
        <f>AA27+AA28</f>
        <v>167.703</v>
      </c>
      <c r="AB148" s="290">
        <f>AB27+AB28</f>
        <v>185.536</v>
      </c>
      <c r="AC148" s="290">
        <f>AC27+AC28</f>
        <v>211.17099999999999</v>
      </c>
      <c r="AD148" s="290">
        <f>AD27+AD28</f>
        <v>187.774</v>
      </c>
      <c r="AE148" s="292">
        <f>AE27+AE28</f>
        <v>187.774</v>
      </c>
      <c r="AF148" s="291"/>
      <c r="AG148" s="289">
        <f>AG27+AG28</f>
        <v>198.04</v>
      </c>
      <c r="AH148" s="290">
        <f>AH27+AH28</f>
        <v>206.81299999999999</v>
      </c>
      <c r="AI148" s="291">
        <f>AI27+AI28</f>
        <v>191.821</v>
      </c>
      <c r="AJ148" s="291">
        <f>AJ27+AJ28</f>
        <v>201.87700000000001</v>
      </c>
      <c r="AK148" s="292">
        <f>AK27+AK28</f>
        <v>201.87700000000001</v>
      </c>
      <c r="AL148" s="291"/>
      <c r="AM148" s="293">
        <f>AM27+AM28</f>
        <v>295.673</v>
      </c>
      <c r="AN148" s="291">
        <f>AN27+AN28</f>
        <v>321.50099999999998</v>
      </c>
      <c r="AO148" s="291">
        <f>AO27+AO28</f>
        <v>326.98900000000003</v>
      </c>
      <c r="AP148" s="291">
        <f>AP27+AP28</f>
        <v>219.12</v>
      </c>
      <c r="AQ148" s="292">
        <f>AQ27+AQ28</f>
        <v>219.12</v>
      </c>
      <c r="AR148" s="291"/>
      <c r="AS148" s="1451">
        <f>AS27+AS28</f>
        <v>215.292</v>
      </c>
      <c r="AT148" s="1534">
        <f>AT27+AT28</f>
        <v>259.67599999999999</v>
      </c>
      <c r="AU148" s="1534">
        <f>AU27+AU28</f>
        <v>459.21299999999997</v>
      </c>
      <c r="AV148" s="294">
        <f>AV27+AV28</f>
        <v>335.27600000000001</v>
      </c>
      <c r="AW148" s="294">
        <f>AW27+AW28</f>
        <v>335.27600000000001</v>
      </c>
      <c r="AX148" s="291"/>
      <c r="AY148" s="293">
        <f>AY27+AY28</f>
        <v>296.14999999999998</v>
      </c>
      <c r="AZ148" s="291">
        <f>AZ27+AZ28</f>
        <v>314.72199999999998</v>
      </c>
      <c r="BA148" s="291">
        <f>BA27+BA28</f>
        <v>358.25900000000001</v>
      </c>
      <c r="BB148" s="294">
        <f>BB27+BB28</f>
        <v>396.339</v>
      </c>
      <c r="BC148" s="294">
        <f>BC27+BC28</f>
        <v>396.339</v>
      </c>
      <c r="BD148" s="291"/>
      <c r="BE148" s="293">
        <f>BE27+BE28</f>
        <v>326.548</v>
      </c>
      <c r="BF148" s="291">
        <f>BF27+BF28</f>
        <v>330.32600000000002</v>
      </c>
      <c r="BG148" s="291">
        <f>BG27+BG28</f>
        <v>493.51499999999999</v>
      </c>
      <c r="BH148" s="294">
        <f>BH27+BH28</f>
        <v>565.48500000000001</v>
      </c>
      <c r="BI148" s="294">
        <f>BI27+BI28</f>
        <v>565.48500000000001</v>
      </c>
      <c r="BJ148" s="291"/>
      <c r="BK148" s="293">
        <f>BK27+BK28</f>
        <v>578</v>
      </c>
      <c r="BL148" s="291">
        <f>BL27+BL28</f>
        <v>502</v>
      </c>
      <c r="BM148" s="291">
        <f>BM27+BM28</f>
        <v>505</v>
      </c>
      <c r="BN148" s="294">
        <f>BN27+BN28</f>
        <v>576</v>
      </c>
      <c r="BO148" s="294">
        <f>BO27+BO28</f>
        <v>576</v>
      </c>
      <c r="BP148" s="291"/>
      <c r="BQ148" s="293">
        <f>BQ27+BQ28</f>
        <v>497.92</v>
      </c>
      <c r="BR148" s="291">
        <f>BR27+BR28</f>
        <v>542.37781357419283</v>
      </c>
      <c r="BS148" s="291">
        <f>BS27+BS28</f>
        <v>545.54924160277551</v>
      </c>
      <c r="BT148" s="294">
        <f>BT27+BT28</f>
        <v>558.10877307002318</v>
      </c>
      <c r="BU148" s="294">
        <f>BU27+BU28</f>
        <v>558.10877307002318</v>
      </c>
      <c r="BV148" s="291"/>
      <c r="BW148" s="293">
        <f>BW27+BW28</f>
        <v>510.74169768959445</v>
      </c>
      <c r="BX148" s="291">
        <f>BX27+BX28</f>
        <v>549.45464077744145</v>
      </c>
      <c r="BY148" s="291">
        <f>BY27+BY28</f>
        <v>550.38671819067736</v>
      </c>
      <c r="BZ148" s="294">
        <f>BZ27+BZ28</f>
        <v>562.08900020367037</v>
      </c>
      <c r="CA148" s="294">
        <f>CA27+CA28</f>
        <v>562.08900020367037</v>
      </c>
      <c r="CB148" s="291"/>
      <c r="CC148" s="293">
        <f>CC27+CC28</f>
        <v>532.44736864585411</v>
      </c>
      <c r="CD148" s="291">
        <f>CD27+CD28</f>
        <v>571.91598597807354</v>
      </c>
      <c r="CE148" s="291">
        <f>CE27+CE28</f>
        <v>572.76102443648733</v>
      </c>
      <c r="CF148" s="294">
        <f>CF27+CF28</f>
        <v>585.69348345585092</v>
      </c>
      <c r="CG148" s="294">
        <f>CG27+CG28</f>
        <v>585.69348345585092</v>
      </c>
      <c r="CH148" s="291"/>
      <c r="CI148" s="293">
        <f>CI27+CI28</f>
        <v>555.81497701143826</v>
      </c>
      <c r="CJ148" s="291">
        <f>CJ27+CJ28</f>
        <v>595.54269418189187</v>
      </c>
      <c r="CK148" s="291">
        <f>CK27+CK28</f>
        <v>596.15771912072751</v>
      </c>
      <c r="CL148" s="294">
        <f>CL27+CL28</f>
        <v>610.91672451301133</v>
      </c>
      <c r="CM148" s="294">
        <f>CM27+CM28</f>
        <v>610.91672451301133</v>
      </c>
      <c r="CN148" s="291"/>
      <c r="CO148" s="293">
        <f>CO27+CO28</f>
        <v>577.96900280785121</v>
      </c>
      <c r="CP148" s="291">
        <f>CP27+CP28</f>
        <v>619.76699629448751</v>
      </c>
      <c r="CQ148" s="291">
        <f>CQ27+CQ28</f>
        <v>622.12259098431309</v>
      </c>
      <c r="CR148" s="294">
        <f>CR27+CR28</f>
        <v>638.28089181346763</v>
      </c>
      <c r="CS148" s="294">
        <f>CS27+CS28</f>
        <v>638.28089181346763</v>
      </c>
      <c r="CT148" s="291"/>
      <c r="CU148" s="63"/>
      <c r="CV148" s="63"/>
      <c r="CW148" s="63"/>
    </row>
    <row r="149" spans="1:101" outlineLevel="1">
      <c r="A149" s="287" t="s">
        <v>0</v>
      </c>
      <c r="B149" s="288"/>
      <c r="C149" s="289">
        <f t="shared" ref="C149:X149" si="183">C31</f>
        <v>10.143000000000001</v>
      </c>
      <c r="D149" s="290">
        <f t="shared" si="183"/>
        <v>10.132</v>
      </c>
      <c r="E149" s="290">
        <f t="shared" si="183"/>
        <v>9.93</v>
      </c>
      <c r="F149" s="290">
        <f t="shared" si="183"/>
        <v>10.339</v>
      </c>
      <c r="G149" s="286">
        <f t="shared" si="183"/>
        <v>10.339</v>
      </c>
      <c r="H149" s="290"/>
      <c r="I149" s="289">
        <f t="shared" si="183"/>
        <v>15.138999999999999</v>
      </c>
      <c r="J149" s="290">
        <f t="shared" si="183"/>
        <v>14.885</v>
      </c>
      <c r="K149" s="290">
        <f t="shared" si="183"/>
        <v>16.521999999999998</v>
      </c>
      <c r="L149" s="290">
        <f t="shared" si="183"/>
        <v>18.946000000000002</v>
      </c>
      <c r="M149" s="286">
        <f t="shared" si="183"/>
        <v>18.946000000000002</v>
      </c>
      <c r="N149" s="290"/>
      <c r="O149" s="289">
        <f t="shared" si="183"/>
        <v>18.914999999999999</v>
      </c>
      <c r="P149" s="290">
        <f t="shared" si="183"/>
        <v>21.835000000000001</v>
      </c>
      <c r="Q149" s="290">
        <f t="shared" si="183"/>
        <v>21.663</v>
      </c>
      <c r="R149" s="290">
        <f t="shared" si="183"/>
        <v>24.655999999999999</v>
      </c>
      <c r="S149" s="286">
        <f t="shared" si="183"/>
        <v>24.655999999999999</v>
      </c>
      <c r="T149" s="290"/>
      <c r="U149" s="289">
        <f t="shared" si="183"/>
        <v>22.978999999999999</v>
      </c>
      <c r="V149" s="290">
        <f t="shared" si="183"/>
        <v>33.774999999999999</v>
      </c>
      <c r="W149" s="290">
        <f t="shared" si="183"/>
        <v>32.783000000000001</v>
      </c>
      <c r="X149" s="290">
        <f t="shared" si="183"/>
        <v>28.530999999999999</v>
      </c>
      <c r="Y149" s="286">
        <f>Y31</f>
        <v>28.530999999999999</v>
      </c>
      <c r="Z149" s="291"/>
      <c r="AA149" s="289">
        <f>AA31</f>
        <v>35.985999999999997</v>
      </c>
      <c r="AB149" s="290">
        <f>AB31</f>
        <v>38.512</v>
      </c>
      <c r="AC149" s="290">
        <f>AC31</f>
        <v>42.896999999999998</v>
      </c>
      <c r="AD149" s="290">
        <f>AD31</f>
        <v>69.953999999999994</v>
      </c>
      <c r="AE149" s="292">
        <f>AE31</f>
        <v>69.953999999999994</v>
      </c>
      <c r="AF149" s="291"/>
      <c r="AG149" s="289">
        <f>AG31</f>
        <v>62.332999999999998</v>
      </c>
      <c r="AH149" s="290">
        <f>AH31</f>
        <v>75.340999999999994</v>
      </c>
      <c r="AI149" s="291">
        <f>AI31</f>
        <v>111.69</v>
      </c>
      <c r="AJ149" s="291">
        <f>AJ31</f>
        <v>134.369</v>
      </c>
      <c r="AK149" s="292">
        <f>AK31</f>
        <v>134.369</v>
      </c>
      <c r="AL149" s="291"/>
      <c r="AM149" s="293">
        <f>AM31</f>
        <v>206.19499999999999</v>
      </c>
      <c r="AN149" s="291">
        <f>AN31</f>
        <v>192.167</v>
      </c>
      <c r="AO149" s="291">
        <f>AO31</f>
        <v>192.80699999999999</v>
      </c>
      <c r="AP149" s="291">
        <f>AP31</f>
        <v>324.154</v>
      </c>
      <c r="AQ149" s="292">
        <f>AQ31</f>
        <v>324.154</v>
      </c>
      <c r="AR149" s="291"/>
      <c r="AS149" s="1451">
        <f>AS31</f>
        <v>330.178</v>
      </c>
      <c r="AT149" s="1534">
        <f>AT31</f>
        <v>332.46699999999998</v>
      </c>
      <c r="AU149" s="1534">
        <f>AU31</f>
        <v>167.65600000000001</v>
      </c>
      <c r="AV149" s="294">
        <f>AV31</f>
        <v>167.904</v>
      </c>
      <c r="AW149" s="294">
        <f>AW31</f>
        <v>167.904</v>
      </c>
      <c r="AX149" s="291"/>
      <c r="AY149" s="293">
        <f>AY31</f>
        <v>171.739</v>
      </c>
      <c r="AZ149" s="291">
        <f>AZ31</f>
        <v>183.33099999999999</v>
      </c>
      <c r="BA149" s="291">
        <f>BA31</f>
        <v>205.18900000000002</v>
      </c>
      <c r="BB149" s="294">
        <f>BB31</f>
        <v>213.05099999999999</v>
      </c>
      <c r="BC149" s="294">
        <f>BC31</f>
        <v>213.05099999999999</v>
      </c>
      <c r="BD149" s="291"/>
      <c r="BE149" s="293">
        <f>BE31</f>
        <v>298.72300000000001</v>
      </c>
      <c r="BF149" s="291">
        <f>BF31</f>
        <v>316.44200000000001</v>
      </c>
      <c r="BG149" s="291">
        <f>BG31</f>
        <v>318.06</v>
      </c>
      <c r="BH149" s="294">
        <f>BH31</f>
        <v>330.90099999999995</v>
      </c>
      <c r="BI149" s="294">
        <f>BI31</f>
        <v>330.90099999999995</v>
      </c>
      <c r="BJ149" s="291"/>
      <c r="BK149" s="293">
        <f>BK31</f>
        <v>271</v>
      </c>
      <c r="BL149" s="291">
        <f>BL31</f>
        <v>292</v>
      </c>
      <c r="BM149" s="291">
        <f>BM31</f>
        <v>346</v>
      </c>
      <c r="BN149" s="294">
        <f>BN31</f>
        <v>580</v>
      </c>
      <c r="BO149" s="294">
        <f>BO31</f>
        <v>580</v>
      </c>
      <c r="BP149" s="291"/>
      <c r="BQ149" s="293">
        <f>BQ31</f>
        <v>580</v>
      </c>
      <c r="BR149" s="291">
        <f>BR31</f>
        <v>580</v>
      </c>
      <c r="BS149" s="291">
        <f>BS31</f>
        <v>580</v>
      </c>
      <c r="BT149" s="294">
        <f>BT31</f>
        <v>580</v>
      </c>
      <c r="BU149" s="294">
        <f>BU31</f>
        <v>580</v>
      </c>
      <c r="BV149" s="291"/>
      <c r="BW149" s="293">
        <f>BW31</f>
        <v>580</v>
      </c>
      <c r="BX149" s="291">
        <f>BX31</f>
        <v>580</v>
      </c>
      <c r="BY149" s="291">
        <f>BY31</f>
        <v>580</v>
      </c>
      <c r="BZ149" s="294">
        <f>BZ31</f>
        <v>580</v>
      </c>
      <c r="CA149" s="294">
        <f>CA31</f>
        <v>580</v>
      </c>
      <c r="CB149" s="291"/>
      <c r="CC149" s="293">
        <f>CC31</f>
        <v>580</v>
      </c>
      <c r="CD149" s="291">
        <f>CD31</f>
        <v>580</v>
      </c>
      <c r="CE149" s="291">
        <f>CE31</f>
        <v>580</v>
      </c>
      <c r="CF149" s="294">
        <f>CF31</f>
        <v>580</v>
      </c>
      <c r="CG149" s="294">
        <f>CG31</f>
        <v>580</v>
      </c>
      <c r="CH149" s="291"/>
      <c r="CI149" s="293">
        <f>CI31</f>
        <v>580</v>
      </c>
      <c r="CJ149" s="291">
        <f>CJ31</f>
        <v>580</v>
      </c>
      <c r="CK149" s="291">
        <f>CK31</f>
        <v>580</v>
      </c>
      <c r="CL149" s="294">
        <f>CL31</f>
        <v>580</v>
      </c>
      <c r="CM149" s="294">
        <f>CM31</f>
        <v>580</v>
      </c>
      <c r="CN149" s="291"/>
      <c r="CO149" s="293">
        <f>CO31</f>
        <v>580</v>
      </c>
      <c r="CP149" s="291">
        <f>CP31</f>
        <v>580</v>
      </c>
      <c r="CQ149" s="291">
        <f>CQ31</f>
        <v>580</v>
      </c>
      <c r="CR149" s="294">
        <f>CR31</f>
        <v>580</v>
      </c>
      <c r="CS149" s="294">
        <f>CS31</f>
        <v>580</v>
      </c>
      <c r="CT149" s="291"/>
      <c r="CU149" s="63"/>
      <c r="CV149" s="63"/>
      <c r="CW149" s="63"/>
    </row>
    <row r="150" spans="1:101" outlineLevel="1">
      <c r="A150" s="295" t="s">
        <v>1</v>
      </c>
      <c r="B150" s="296"/>
      <c r="C150" s="297">
        <f>SUM(C147:C149)</f>
        <v>76.804000000000002</v>
      </c>
      <c r="D150" s="298">
        <f>SUM(D147:D149)</f>
        <v>86.697000000000003</v>
      </c>
      <c r="E150" s="298">
        <f>SUM(E147:E149)</f>
        <v>88.925999999999988</v>
      </c>
      <c r="F150" s="298">
        <f>SUM(F147:F149)</f>
        <v>176.054</v>
      </c>
      <c r="G150" s="299">
        <f>SUM(G147:G149)</f>
        <v>176.054</v>
      </c>
      <c r="H150" s="298"/>
      <c r="I150" s="297">
        <f>SUM(I147:I149)</f>
        <v>84.656999999999996</v>
      </c>
      <c r="J150" s="298">
        <f>SUM(J147:J149)</f>
        <v>100.93300000000001</v>
      </c>
      <c r="K150" s="298">
        <f>SUM(K147:K149)</f>
        <v>107.74199999999999</v>
      </c>
      <c r="L150" s="298">
        <f>SUM(L147:L149)</f>
        <v>128.505</v>
      </c>
      <c r="M150" s="299">
        <f>SUM(M147:M149)</f>
        <v>128.505</v>
      </c>
      <c r="N150" s="298"/>
      <c r="O150" s="297">
        <f>SUM(O147:O149)</f>
        <v>127.43600000000001</v>
      </c>
      <c r="P150" s="298">
        <f>SUM(P147:P149)</f>
        <v>147.429</v>
      </c>
      <c r="Q150" s="298">
        <f>SUM(Q147:Q149)</f>
        <v>149.59700000000001</v>
      </c>
      <c r="R150" s="298">
        <f>SUM(R147:R149)</f>
        <v>175.69</v>
      </c>
      <c r="S150" s="299">
        <f>SUM(S147:S149)</f>
        <v>175.69</v>
      </c>
      <c r="T150" s="298"/>
      <c r="U150" s="297">
        <f>SUM(U147:U149)</f>
        <v>173.41499999999996</v>
      </c>
      <c r="V150" s="298">
        <f>SUM(V147:V149)</f>
        <v>214.92600000000002</v>
      </c>
      <c r="W150" s="298">
        <f>SUM(W147:W149)</f>
        <v>227.101</v>
      </c>
      <c r="X150" s="298">
        <f>SUM(X147:X149)</f>
        <v>251.43899999999999</v>
      </c>
      <c r="Y150" s="299">
        <f>SUM(Y147:Y149)</f>
        <v>251.43899999999999</v>
      </c>
      <c r="Z150" s="300"/>
      <c r="AA150" s="297">
        <f>SUM(AA147:AA149)</f>
        <v>269.976</v>
      </c>
      <c r="AB150" s="298">
        <f>SUM(AB147:AB149)</f>
        <v>282.31799999999998</v>
      </c>
      <c r="AC150" s="298">
        <f>SUM(AC147:AC149)</f>
        <v>306.31700000000001</v>
      </c>
      <c r="AD150" s="298">
        <f>SUM(AD147:AD149)</f>
        <v>307.53399999999999</v>
      </c>
      <c r="AE150" s="301">
        <f>SUM(AE147:AE149)</f>
        <v>307.53399999999999</v>
      </c>
      <c r="AF150" s="300"/>
      <c r="AG150" s="297">
        <f>SUM(AG147:AG149)</f>
        <v>320.23400000000004</v>
      </c>
      <c r="AH150" s="298">
        <f>SUM(AH147:AH149)</f>
        <v>338.822</v>
      </c>
      <c r="AI150" s="300">
        <f>SUM(AI147:AI149)</f>
        <v>378.48200000000003</v>
      </c>
      <c r="AJ150" s="300">
        <f>SUM(AJ147:AJ149)</f>
        <v>401.97300000000007</v>
      </c>
      <c r="AK150" s="301">
        <f>SUM(AK147:AK149)</f>
        <v>401.97300000000007</v>
      </c>
      <c r="AL150" s="300"/>
      <c r="AM150" s="302">
        <f>SUM(AM147:AM149)</f>
        <v>578.495</v>
      </c>
      <c r="AN150" s="300">
        <f>SUM(AN147:AN149)</f>
        <v>581.31600000000003</v>
      </c>
      <c r="AO150" s="300">
        <f>SUM(AO147:AO149)</f>
        <v>582.92200000000003</v>
      </c>
      <c r="AP150" s="300">
        <f>SUM(AP147:AP149)</f>
        <v>616.92899999999997</v>
      </c>
      <c r="AQ150" s="301">
        <f>SUM(AQ147:AQ149)</f>
        <v>616.92899999999997</v>
      </c>
      <c r="AR150" s="300"/>
      <c r="AS150" s="302">
        <f>SUM(AS147:AS149)</f>
        <v>631.94100000000003</v>
      </c>
      <c r="AT150" s="300">
        <f>SUM(AT147:AT149)</f>
        <v>683.65599999999995</v>
      </c>
      <c r="AU150" s="300">
        <f>SUM(AU147:AU149)</f>
        <v>722.93799999999987</v>
      </c>
      <c r="AV150" s="303">
        <f>SUM(AV147:AV149)</f>
        <v>585.80600000000004</v>
      </c>
      <c r="AW150" s="303">
        <f>SUM(AW147:AW149)</f>
        <v>585.80600000000004</v>
      </c>
      <c r="AX150" s="300"/>
      <c r="AY150" s="302">
        <f>SUM(AY147:AY149)</f>
        <v>574.56299999999999</v>
      </c>
      <c r="AZ150" s="300">
        <f>SUM(AZ147:AZ149)</f>
        <v>605.93700000000001</v>
      </c>
      <c r="BA150" s="300">
        <f>SUM(BA147:BA149)</f>
        <v>686.88000000000011</v>
      </c>
      <c r="BB150" s="303">
        <f>SUM(BB147:BB149)</f>
        <v>748.61599999999999</v>
      </c>
      <c r="BC150" s="303">
        <f>SUM(BC147:BC149)</f>
        <v>748.61599999999999</v>
      </c>
      <c r="BD150" s="300"/>
      <c r="BE150" s="302">
        <f>SUM(BE147:BE149)</f>
        <v>779.95100000000002</v>
      </c>
      <c r="BF150" s="300">
        <f>SUM(BF147:BF149)</f>
        <v>897.43799999999999</v>
      </c>
      <c r="BG150" s="300">
        <f>SUM(BG147:BG149)</f>
        <v>945.66499999999996</v>
      </c>
      <c r="BH150" s="303">
        <f>SUM(BH147:BH149)</f>
        <v>1034.3159999999998</v>
      </c>
      <c r="BI150" s="303">
        <f>SUM(BI147:BI149)</f>
        <v>1034.3159999999998</v>
      </c>
      <c r="BJ150" s="300"/>
      <c r="BK150" s="302">
        <f>SUM(BK147:BK149)</f>
        <v>991</v>
      </c>
      <c r="BL150" s="300">
        <f>SUM(BL147:BL149)</f>
        <v>969</v>
      </c>
      <c r="BM150" s="300">
        <f>SUM(BM147:BM149)</f>
        <v>1009</v>
      </c>
      <c r="BN150" s="303">
        <f>SUM(BN147:BN149)</f>
        <v>1316</v>
      </c>
      <c r="BO150" s="303">
        <f>SUM(BO147:BO149)</f>
        <v>1316</v>
      </c>
      <c r="BP150" s="300"/>
      <c r="BQ150" s="302">
        <f>SUM(BQ147:BQ149)</f>
        <v>1244.1315775519222</v>
      </c>
      <c r="BR150" s="300">
        <f>SUM(BR147:BR149)</f>
        <v>1295.5229832756427</v>
      </c>
      <c r="BS150" s="300">
        <f>SUM(BS147:BS149)</f>
        <v>1301.1636929976994</v>
      </c>
      <c r="BT150" s="303">
        <f>SUM(BT147:BT149)</f>
        <v>1320.4734001901797</v>
      </c>
      <c r="BU150" s="303">
        <f>SUM(BU147:BU149)</f>
        <v>1320.4734001901797</v>
      </c>
      <c r="BV150" s="300"/>
      <c r="BW150" s="302">
        <f>SUM(BW147:BW149)</f>
        <v>1278.7098943964959</v>
      </c>
      <c r="BX150" s="300">
        <f>SUM(BX147:BX149)</f>
        <v>1322.6343794469515</v>
      </c>
      <c r="BY150" s="300">
        <f>SUM(BY147:BY149)</f>
        <v>1324.8581033727764</v>
      </c>
      <c r="BZ150" s="303">
        <f>SUM(BZ147:BZ149)</f>
        <v>1343.9379117857266</v>
      </c>
      <c r="CA150" s="303">
        <f>SUM(CA147:CA149)</f>
        <v>1343.9379117857266</v>
      </c>
      <c r="CB150" s="300"/>
      <c r="CC150" s="302">
        <f>SUM(CC147:CC149)</f>
        <v>1320.5518325619057</v>
      </c>
      <c r="CD150" s="300">
        <f>SUM(CD147:CD149)</f>
        <v>1369.3515389132422</v>
      </c>
      <c r="CE150" s="300">
        <f>SUM(CE147:CE149)</f>
        <v>1374.0788937170428</v>
      </c>
      <c r="CF150" s="303">
        <f>SUM(CF147:CF149)</f>
        <v>1398.5678654264902</v>
      </c>
      <c r="CG150" s="303">
        <f>SUM(CG147:CG149)</f>
        <v>1398.5678654264902</v>
      </c>
      <c r="CH150" s="300"/>
      <c r="CI150" s="302">
        <f>SUM(CI147:CI149)</f>
        <v>1375.2929330259103</v>
      </c>
      <c r="CJ150" s="300">
        <f>SUM(CJ147:CJ149)</f>
        <v>1426.3619178757135</v>
      </c>
      <c r="CK150" s="300">
        <f>SUM(CK147:CK149)</f>
        <v>1431.2536383856016</v>
      </c>
      <c r="CL150" s="303">
        <f>SUM(CL147:CL149)</f>
        <v>1459.9670826922627</v>
      </c>
      <c r="CM150" s="303">
        <f>SUM(CM147:CM149)</f>
        <v>1459.9670826922627</v>
      </c>
      <c r="CN150" s="300"/>
      <c r="CO150" s="302">
        <f>SUM(CO147:CO149)</f>
        <v>1431.0825479877485</v>
      </c>
      <c r="CP150" s="300">
        <f>SUM(CP147:CP149)</f>
        <v>1487.0986483846566</v>
      </c>
      <c r="CQ150" s="300">
        <f>SUM(CQ147:CQ149)</f>
        <v>1495.186669894347</v>
      </c>
      <c r="CR150" s="303">
        <f>SUM(CR147:CR149)</f>
        <v>1527.7919817500206</v>
      </c>
      <c r="CS150" s="303">
        <f>SUM(CS147:CS149)</f>
        <v>1527.7919817500206</v>
      </c>
      <c r="CT150" s="300"/>
      <c r="CU150" s="1302"/>
      <c r="CV150" s="1302"/>
      <c r="CW150" s="1302"/>
    </row>
    <row r="151" spans="1:101" outlineLevel="1">
      <c r="A151" s="295"/>
      <c r="B151" s="296"/>
      <c r="C151" s="1135"/>
      <c r="D151" s="1132"/>
      <c r="E151" s="1132"/>
      <c r="F151" s="1132"/>
      <c r="G151" s="1134"/>
      <c r="H151" s="1132"/>
      <c r="I151" s="1135"/>
      <c r="J151" s="1132"/>
      <c r="K151" s="1132"/>
      <c r="L151" s="1132"/>
      <c r="M151" s="1134"/>
      <c r="N151" s="1132"/>
      <c r="O151" s="1135"/>
      <c r="P151" s="1132"/>
      <c r="Q151" s="1132"/>
      <c r="R151" s="1132"/>
      <c r="S151" s="1134"/>
      <c r="T151" s="1132"/>
      <c r="U151" s="1135"/>
      <c r="V151" s="1132"/>
      <c r="W151" s="1132"/>
      <c r="X151" s="1132"/>
      <c r="Y151" s="1134"/>
      <c r="Z151" s="1132"/>
      <c r="AA151" s="1135"/>
      <c r="AB151" s="1132"/>
      <c r="AC151" s="1132"/>
      <c r="AD151" s="1132"/>
      <c r="AE151" s="1134"/>
      <c r="AF151" s="1132"/>
      <c r="AG151" s="1135"/>
      <c r="AH151" s="1132"/>
      <c r="AI151" s="1132"/>
      <c r="AJ151" s="1132"/>
      <c r="AK151" s="1134"/>
      <c r="AL151" s="1132"/>
      <c r="AM151" s="1135"/>
      <c r="AN151" s="1132"/>
      <c r="AO151" s="1132"/>
      <c r="AP151" s="1132"/>
      <c r="AQ151" s="1134"/>
      <c r="AR151" s="1132"/>
      <c r="AS151" s="1490"/>
      <c r="AT151" s="121"/>
      <c r="AU151" s="121"/>
      <c r="AV151" s="1137"/>
      <c r="AW151" s="1137"/>
      <c r="AX151" s="1132"/>
      <c r="AY151" s="1135"/>
      <c r="AZ151" s="1132"/>
      <c r="BA151" s="1132"/>
      <c r="BB151" s="1137"/>
      <c r="BC151" s="1137"/>
      <c r="BD151" s="1132"/>
      <c r="BE151" s="1135"/>
      <c r="BF151" s="1132"/>
      <c r="BG151" s="1132"/>
      <c r="BH151" s="1137"/>
      <c r="BI151" s="1137"/>
      <c r="BJ151" s="1132"/>
      <c r="BK151" s="1135"/>
      <c r="BL151" s="1132"/>
      <c r="BM151" s="1132"/>
      <c r="BN151" s="1137"/>
      <c r="BO151" s="1137"/>
      <c r="BP151" s="1132"/>
      <c r="BQ151" s="1135"/>
      <c r="BR151" s="1132"/>
      <c r="BS151" s="1132"/>
      <c r="BT151" s="1137"/>
      <c r="BU151" s="1137"/>
      <c r="BV151" s="1132"/>
      <c r="BW151" s="1135"/>
      <c r="BX151" s="1132"/>
      <c r="BY151" s="1132"/>
      <c r="BZ151" s="1137"/>
      <c r="CA151" s="1137"/>
      <c r="CB151" s="1132"/>
      <c r="CC151" s="1135"/>
      <c r="CD151" s="1132"/>
      <c r="CE151" s="1132"/>
      <c r="CF151" s="1137"/>
      <c r="CG151" s="1137"/>
      <c r="CH151" s="1132"/>
      <c r="CI151" s="1135"/>
      <c r="CJ151" s="1132"/>
      <c r="CK151" s="1132"/>
      <c r="CL151" s="1137"/>
      <c r="CM151" s="1137"/>
      <c r="CN151" s="1132"/>
      <c r="CO151" s="1135"/>
      <c r="CP151" s="1132"/>
      <c r="CQ151" s="1132"/>
      <c r="CR151" s="1137"/>
      <c r="CS151" s="1137"/>
      <c r="CT151" s="1132"/>
      <c r="CU151" s="63"/>
      <c r="CV151" s="63"/>
      <c r="CW151" s="63"/>
    </row>
    <row r="152" spans="1:101" outlineLevel="1">
      <c r="A152" s="287" t="s">
        <v>24</v>
      </c>
      <c r="B152" s="288"/>
      <c r="C152" s="289">
        <f>C145-C150</f>
        <v>339.21199999999999</v>
      </c>
      <c r="D152" s="290">
        <f>D145-D150</f>
        <v>343.61500000000001</v>
      </c>
      <c r="E152" s="290">
        <f>E145-E150</f>
        <v>368.43099999999998</v>
      </c>
      <c r="F152" s="290">
        <f>F145-F150</f>
        <v>425.596</v>
      </c>
      <c r="G152" s="286">
        <f>G145-G150</f>
        <v>425.596</v>
      </c>
      <c r="H152" s="290"/>
      <c r="I152" s="289">
        <f>I145-I150</f>
        <v>522.29699999999991</v>
      </c>
      <c r="J152" s="290">
        <f>J145-J150</f>
        <v>535.65200000000004</v>
      </c>
      <c r="K152" s="290">
        <f>K145-K150</f>
        <v>552.3660000000001</v>
      </c>
      <c r="L152" s="290">
        <f>L145-L150</f>
        <v>552.62</v>
      </c>
      <c r="M152" s="286">
        <f>M145-M150</f>
        <v>552.62</v>
      </c>
      <c r="N152" s="290"/>
      <c r="O152" s="289">
        <f>O145-O150</f>
        <v>516.64400000000001</v>
      </c>
      <c r="P152" s="290">
        <f>P145-P150</f>
        <v>539.42000000000007</v>
      </c>
      <c r="Q152" s="290">
        <f>Q145-Q150</f>
        <v>576.73900000000003</v>
      </c>
      <c r="R152" s="290">
        <f>R145-R150</f>
        <v>560.72</v>
      </c>
      <c r="S152" s="286">
        <f>S145-S150</f>
        <v>560.72</v>
      </c>
      <c r="T152" s="290"/>
      <c r="U152" s="289">
        <f>U145-U150</f>
        <v>583.81600000000003</v>
      </c>
      <c r="V152" s="290">
        <f>V145-V150</f>
        <v>641.57900000000006</v>
      </c>
      <c r="W152" s="290">
        <f>W145-W150</f>
        <v>691.30400000000009</v>
      </c>
      <c r="X152" s="290">
        <f>X145-X150</f>
        <v>693.3850000000001</v>
      </c>
      <c r="Y152" s="286">
        <f>Y145-Y150</f>
        <v>693.3850000000001</v>
      </c>
      <c r="Z152" s="291"/>
      <c r="AA152" s="289">
        <f>AA145-AA150</f>
        <v>718.53499999999997</v>
      </c>
      <c r="AB152" s="290">
        <f>AB145-AB150</f>
        <v>740.75400000000002</v>
      </c>
      <c r="AC152" s="290">
        <f>AC145-AC150</f>
        <v>708.55199999999991</v>
      </c>
      <c r="AD152" s="290">
        <f>AD145-AD150</f>
        <v>698.73799999999994</v>
      </c>
      <c r="AE152" s="292">
        <f>AE145-AE150</f>
        <v>698.73799999999994</v>
      </c>
      <c r="AF152" s="291"/>
      <c r="AG152" s="289">
        <f>AG145-AG150</f>
        <v>714.87700000000007</v>
      </c>
      <c r="AH152" s="290">
        <f>AH145-AH150</f>
        <v>708.23000000000013</v>
      </c>
      <c r="AI152" s="291">
        <f>AI145-AI150</f>
        <v>826.43500000000017</v>
      </c>
      <c r="AJ152" s="291">
        <f>AJ145-AJ150</f>
        <v>813.90799999999979</v>
      </c>
      <c r="AK152" s="292">
        <f>AK145-AK150</f>
        <v>813.90799999999979</v>
      </c>
      <c r="AL152" s="291"/>
      <c r="AM152" s="293">
        <f>AM145-AM150</f>
        <v>1098.223</v>
      </c>
      <c r="AN152" s="291">
        <f>AN145-AN150</f>
        <v>1112.423</v>
      </c>
      <c r="AO152" s="291">
        <f>AO145-AO150</f>
        <v>1206.7829999999999</v>
      </c>
      <c r="AP152" s="291">
        <f>AP145-AP150</f>
        <v>1236.4739999999997</v>
      </c>
      <c r="AQ152" s="292">
        <f>AQ145-AQ150</f>
        <v>1236.4739999999997</v>
      </c>
      <c r="AR152" s="291"/>
      <c r="AS152" s="1451">
        <f>AS145-AS150</f>
        <v>1329.827</v>
      </c>
      <c r="AT152" s="1534">
        <f>AT145-AT150</f>
        <v>1248.3430000000001</v>
      </c>
      <c r="AU152" s="1534">
        <f>AU145-AU150</f>
        <v>1283.8410000000001</v>
      </c>
      <c r="AV152" s="294">
        <f>AV145-AV150</f>
        <v>1415.463</v>
      </c>
      <c r="AW152" s="294">
        <f>AW145-AW150</f>
        <v>1415.463</v>
      </c>
      <c r="AX152" s="291"/>
      <c r="AY152" s="293">
        <f>AY145-AY150</f>
        <v>1558.0410000000002</v>
      </c>
      <c r="AZ152" s="291">
        <f>AZ145-AZ150</f>
        <v>1586.806</v>
      </c>
      <c r="BA152" s="291">
        <f>BA145-BA150</f>
        <v>1607.2619999999997</v>
      </c>
      <c r="BB152" s="294">
        <f>BB145-BB150</f>
        <v>1552.9110000000001</v>
      </c>
      <c r="BC152" s="294">
        <f>BC145-BC150</f>
        <v>1552.9110000000001</v>
      </c>
      <c r="BD152" s="291"/>
      <c r="BE152" s="293">
        <f>BE145-BE150</f>
        <v>1670.6630000000005</v>
      </c>
      <c r="BF152" s="291">
        <f>BF145-BF150</f>
        <v>1662.3959999999997</v>
      </c>
      <c r="BG152" s="291">
        <f>BG145-BG150</f>
        <v>1745.8960000000002</v>
      </c>
      <c r="BH152" s="294">
        <f>BH145-BH150</f>
        <v>1687.5600000000004</v>
      </c>
      <c r="BI152" s="294">
        <f>BI145-BI150</f>
        <v>1687.5600000000004</v>
      </c>
      <c r="BJ152" s="291"/>
      <c r="BK152" s="293">
        <f>BK145-BK150</f>
        <v>1829</v>
      </c>
      <c r="BL152" s="291">
        <f>BL145-BL150</f>
        <v>1996</v>
      </c>
      <c r="BM152" s="291">
        <f>BM145-BM150</f>
        <v>1996</v>
      </c>
      <c r="BN152" s="294">
        <f>BN145-BN150</f>
        <v>1796</v>
      </c>
      <c r="BO152" s="294">
        <f>BO145-BO150</f>
        <v>1796</v>
      </c>
      <c r="BP152" s="291"/>
      <c r="BQ152" s="293">
        <f>BQ145-BQ150</f>
        <v>2005.2637861039818</v>
      </c>
      <c r="BR152" s="291">
        <f>BR145-BR150</f>
        <v>1959.5213148316811</v>
      </c>
      <c r="BS152" s="291">
        <f>BS145-BS150</f>
        <v>2008.1548055224121</v>
      </c>
      <c r="BT152" s="294">
        <f>BT145-BT150</f>
        <v>2066.9222236507803</v>
      </c>
      <c r="BU152" s="294">
        <f>BU145-BU150</f>
        <v>2066.9222236507803</v>
      </c>
      <c r="BV152" s="291"/>
      <c r="BW152" s="293">
        <f>BW145-BW150</f>
        <v>2262.5386439580698</v>
      </c>
      <c r="BX152" s="291">
        <f>BX145-BX150</f>
        <v>2205.9660888088993</v>
      </c>
      <c r="BY152" s="291">
        <f>BY145-BY150</f>
        <v>2252.1824582047843</v>
      </c>
      <c r="BZ152" s="294">
        <f>BZ145-BZ150</f>
        <v>2311.8203987832085</v>
      </c>
      <c r="CA152" s="294">
        <f>CA145-CA150</f>
        <v>2311.8203987832085</v>
      </c>
      <c r="CB152" s="291"/>
      <c r="CC152" s="293">
        <f>CC145-CC150</f>
        <v>2501.3060632656316</v>
      </c>
      <c r="CD152" s="291">
        <f>CD145-CD150</f>
        <v>2436.4533810552803</v>
      </c>
      <c r="CE152" s="291">
        <f>CE145-CE150</f>
        <v>2480.1427505611446</v>
      </c>
      <c r="CF152" s="294">
        <f>CF145-CF150</f>
        <v>2539.6922736605957</v>
      </c>
      <c r="CG152" s="294">
        <f>CG145-CG150</f>
        <v>2539.6922736605957</v>
      </c>
      <c r="CH152" s="291"/>
      <c r="CI152" s="293">
        <f>CI145-CI150</f>
        <v>2743.3985623477129</v>
      </c>
      <c r="CJ152" s="291">
        <f>CJ145-CJ150</f>
        <v>2673.5044095168068</v>
      </c>
      <c r="CK152" s="291">
        <f>CK145-CK150</f>
        <v>2719.458520634259</v>
      </c>
      <c r="CL152" s="294">
        <f>CL145-CL150</f>
        <v>2784.748759731785</v>
      </c>
      <c r="CM152" s="294">
        <f>CM145-CM150</f>
        <v>2784.748759731785</v>
      </c>
      <c r="CN152" s="291"/>
      <c r="CO152" s="293">
        <f>CO145-CO150</f>
        <v>2998.1574627739747</v>
      </c>
      <c r="CP152" s="291">
        <f>CP145-CP150</f>
        <v>2925.1233053271571</v>
      </c>
      <c r="CQ152" s="291">
        <f>CQ145-CQ150</f>
        <v>2975.8963142297616</v>
      </c>
      <c r="CR152" s="294">
        <f>CR145-CR150</f>
        <v>3047.238557731971</v>
      </c>
      <c r="CS152" s="294">
        <f>CS145-CS150</f>
        <v>3047.238557731971</v>
      </c>
      <c r="CT152" s="291"/>
      <c r="CU152" s="63"/>
      <c r="CV152" s="63"/>
      <c r="CW152" s="63"/>
    </row>
    <row r="153" spans="1:101" outlineLevel="1">
      <c r="A153" s="1303" t="s">
        <v>25</v>
      </c>
      <c r="B153" s="1304"/>
      <c r="C153" s="1305"/>
      <c r="D153" s="1306"/>
      <c r="E153" s="1306"/>
      <c r="F153" s="1306"/>
      <c r="G153" s="1307"/>
      <c r="H153" s="1306"/>
      <c r="I153" s="1305">
        <f>(I132)*4/G152</f>
        <v>1.1453209146702508</v>
      </c>
      <c r="J153" s="1306">
        <f>(J132)*4/I152</f>
        <v>1.0735424480707338</v>
      </c>
      <c r="K153" s="1306">
        <f>(K132)*4/J152</f>
        <v>1.122071792880452</v>
      </c>
      <c r="L153" s="1306">
        <f>(L132)*4/K152</f>
        <v>1.165364993500686</v>
      </c>
      <c r="M153" s="1307">
        <f>M132/G152</f>
        <v>1.3468759104878805</v>
      </c>
      <c r="N153" s="1306"/>
      <c r="O153" s="1305">
        <f>(O132)*4/M152</f>
        <v>1.1997900908399985</v>
      </c>
      <c r="P153" s="1306">
        <f>(P132)*4/O152</f>
        <v>1.2514845812590487</v>
      </c>
      <c r="Q153" s="1306">
        <f>(Q132)*4/P152</f>
        <v>1.1742983204182269</v>
      </c>
      <c r="R153" s="1306">
        <f>(R132)*4/Q152</f>
        <v>1.2523099703678784</v>
      </c>
      <c r="S153" s="1307">
        <f>S132/M152</f>
        <v>1.2057544062827985</v>
      </c>
      <c r="T153" s="1306"/>
      <c r="U153" s="1305">
        <f>(U132)*4/S152</f>
        <v>1.3706020830360963</v>
      </c>
      <c r="V153" s="1306">
        <f>(V132)*4/U152</f>
        <v>1.4525329898461159</v>
      </c>
      <c r="W153" s="1306">
        <f>(W132)*4/V152</f>
        <v>1.4795309696857284</v>
      </c>
      <c r="X153" s="1306">
        <f>(X132)*4/W152</f>
        <v>1.5119137166861465</v>
      </c>
      <c r="Y153" s="1307">
        <f>Y132/S152</f>
        <v>1.6099675417320587</v>
      </c>
      <c r="Z153" s="1306"/>
      <c r="AA153" s="1305">
        <f>(AA132)*4/Y152</f>
        <v>1.6297727813552352</v>
      </c>
      <c r="AB153" s="1306">
        <f>(AB132)*4/AA152</f>
        <v>1.6002004077741516</v>
      </c>
      <c r="AC153" s="1306">
        <f>(AC132)*4/AB152</f>
        <v>1.2716718370741162</v>
      </c>
      <c r="AD153" s="1306">
        <f>(AD132)*4/AC152</f>
        <v>1.4117298377536158</v>
      </c>
      <c r="AE153" s="1307">
        <f>AE132/Y152</f>
        <v>1.5222928099107995</v>
      </c>
      <c r="AF153" s="1306"/>
      <c r="AG153" s="1305">
        <f>(AG132)*4/AE152</f>
        <v>1.5615008772959249</v>
      </c>
      <c r="AH153" s="1306">
        <f>(AH132)*4/AG152</f>
        <v>1.5700994716573617</v>
      </c>
      <c r="AI153" s="1306">
        <f>(AI132)*4/AH152</f>
        <v>1.6145828332603813</v>
      </c>
      <c r="AJ153" s="1306">
        <f>(AJ132)*4/AI152</f>
        <v>1.4968630321803889</v>
      </c>
      <c r="AK153" s="1307">
        <f>AK132/AE152</f>
        <v>1.6437005000443659</v>
      </c>
      <c r="AL153" s="1306"/>
      <c r="AM153" s="1305">
        <f>(AM132)*4/AK152</f>
        <v>1.6265130702732993</v>
      </c>
      <c r="AN153" s="1306">
        <f>(AN132)*4/AM152</f>
        <v>1.2605600137676956</v>
      </c>
      <c r="AO153" s="1306">
        <f>(AO132)*4/AN152</f>
        <v>1.2829652029848357</v>
      </c>
      <c r="AP153" s="1306">
        <f>(AP132)*4/AO152</f>
        <v>1.2838298186169346</v>
      </c>
      <c r="AQ153" s="1307">
        <f>AQ132/AK152</f>
        <v>1.7461162686691869</v>
      </c>
      <c r="AR153" s="1306"/>
      <c r="AS153" s="1491">
        <f>(AS132)*4/AQ152</f>
        <v>1.3612287844305666</v>
      </c>
      <c r="AT153" s="1535">
        <f>(AT132)*4/AS152</f>
        <v>1.3462442859108741</v>
      </c>
      <c r="AU153" s="1535">
        <f>(AU132)*4/AT152</f>
        <v>1.5400575002222945</v>
      </c>
      <c r="AV153" s="1306">
        <f>(AV132)*4/AU152</f>
        <v>1.5963939459792917</v>
      </c>
      <c r="AW153" s="1307">
        <f>AW132/AQ152</f>
        <v>1.5053757701334602</v>
      </c>
      <c r="AX153" s="1306"/>
      <c r="AY153" s="1305">
        <f>(AY132)*4/AW152</f>
        <v>1.5219472356395047</v>
      </c>
      <c r="AZ153" s="1306">
        <f>(AZ132)*4/AY152</f>
        <v>1.38475945113126</v>
      </c>
      <c r="BA153" s="1306">
        <f>(BA132)*4/AZ152</f>
        <v>1.3871160053591931</v>
      </c>
      <c r="BB153" s="1306">
        <f>(BB132)*4/BA152</f>
        <v>1.4721881062328359</v>
      </c>
      <c r="BC153" s="1307">
        <f>BC132/AW152</f>
        <v>1.5682232598096875</v>
      </c>
      <c r="BD153" s="1306"/>
      <c r="BE153" s="1305">
        <f>(BE132)*4/BC152</f>
        <v>1.472751497027196</v>
      </c>
      <c r="BF153" s="1306">
        <f>(BF132)*4/BE152</f>
        <v>1.436852315517851</v>
      </c>
      <c r="BG153" s="1306">
        <f>(BG132)*4/BF152</f>
        <v>1.4608769510994977</v>
      </c>
      <c r="BH153" s="1306">
        <f>(BH132)*4/BG152</f>
        <v>1.4189779918162362</v>
      </c>
      <c r="BI153" s="1307">
        <f>BI132/BC152</f>
        <v>1.5444368672770046</v>
      </c>
      <c r="BJ153" s="1306"/>
      <c r="BK153" s="1305">
        <f>(BK132)*4/BI152</f>
        <v>1.4174310839318303</v>
      </c>
      <c r="BL153" s="1306">
        <f>(BL132)*4/BK152</f>
        <v>1.4486604702022963</v>
      </c>
      <c r="BM153" s="1306">
        <f>(BM132)*4/BL152</f>
        <v>1.4308617234468939</v>
      </c>
      <c r="BN153" s="1306">
        <f>(BN132)*4/BM152</f>
        <v>1.5585170340681365</v>
      </c>
      <c r="BO153" s="1307">
        <f>BO132/BI152</f>
        <v>1.6308160895020027</v>
      </c>
      <c r="BP153" s="1306"/>
      <c r="BQ153" s="1305">
        <f>(BQ132)*4/BO152</f>
        <v>1.7416481069042316</v>
      </c>
      <c r="BR153" s="1306">
        <f>(BR132)*4/BQ152</f>
        <v>1.5767145953915465</v>
      </c>
      <c r="BS153" s="1306">
        <f>(BS132)*4/BR152</f>
        <v>1.6446397237580344</v>
      </c>
      <c r="BT153" s="1306">
        <f>(BT132)*4/BS152</f>
        <v>1.6738114509109439</v>
      </c>
      <c r="BU153" s="1307">
        <f>BU132/BO152</f>
        <v>1.7919971856581667</v>
      </c>
      <c r="BV153" s="1306"/>
      <c r="BW153" s="1305">
        <f>(BW132)*4/BU152</f>
        <v>1.6888165592627045</v>
      </c>
      <c r="BX153" s="1306">
        <f>(BX132)*4/BW152</f>
        <v>1.5384908158595807</v>
      </c>
      <c r="BY153" s="1306">
        <f>(BY132)*4/BX152</f>
        <v>1.5994239666430086</v>
      </c>
      <c r="BZ153" s="1306">
        <f>(BZ132)*4/BY152</f>
        <v>1.6301130024721358</v>
      </c>
      <c r="CA153" s="1307">
        <f>CA132/BU152</f>
        <v>1.7140381700403404</v>
      </c>
      <c r="CB153" s="1306"/>
      <c r="CC153" s="1305">
        <f>(CC132)*4/CA152</f>
        <v>1.6632508503203163</v>
      </c>
      <c r="CD153" s="1306">
        <f>(CD132)*4/CC152</f>
        <v>1.5343230441880042</v>
      </c>
      <c r="CE153" s="1306">
        <f>(CE132)*4/CD152</f>
        <v>1.5961679849968065</v>
      </c>
      <c r="CF153" s="1306">
        <f>(CF132)*4/CE152</f>
        <v>1.633871192396529</v>
      </c>
      <c r="CG153" s="1307">
        <f>CG132/CA152</f>
        <v>1.6895961579318417</v>
      </c>
      <c r="CH153" s="1306"/>
      <c r="CI153" s="1305">
        <f>(CI132)*4/CG152</f>
        <v>1.6719738015069834</v>
      </c>
      <c r="CJ153" s="1306">
        <f>(CJ132)*4/CI152</f>
        <v>1.5445988294668804</v>
      </c>
      <c r="CK153" s="1306">
        <f>(CK132)*4/CJ152</f>
        <v>1.6052152711150509</v>
      </c>
      <c r="CL153" s="1306">
        <f>(CL132)*4/CK152</f>
        <v>1.6483750030782016</v>
      </c>
      <c r="CM153" s="1307">
        <f>CM132/CG152</f>
        <v>1.6988265552355775</v>
      </c>
      <c r="CN153" s="1306"/>
      <c r="CO153" s="1305">
        <f>(CO132)*4/CM152</f>
        <v>1.6767353689463684</v>
      </c>
      <c r="CP153" s="1306">
        <f>(CP132)*4/CO152</f>
        <v>1.5609527903650582</v>
      </c>
      <c r="CQ153" s="1306">
        <f>(CQ132)*4/CP152</f>
        <v>1.626244397188102</v>
      </c>
      <c r="CR153" s="1306">
        <f>(CR132)*4/CQ152</f>
        <v>1.6716464995607099</v>
      </c>
      <c r="CS153" s="1307">
        <f>CS132/CM152</f>
        <v>1.7129804774103654</v>
      </c>
      <c r="CT153" s="2392"/>
      <c r="CU153" s="63"/>
      <c r="CV153" s="63"/>
      <c r="CW153" s="63"/>
    </row>
    <row r="154" spans="1:101">
      <c r="A154" s="1139"/>
      <c r="B154" s="1139"/>
      <c r="C154" s="1158"/>
      <c r="D154" s="1158"/>
      <c r="E154" s="1158"/>
      <c r="F154" s="1158"/>
      <c r="G154" s="1201"/>
      <c r="H154" s="1201"/>
      <c r="I154" s="1158"/>
      <c r="J154" s="1158"/>
      <c r="K154" s="1158"/>
      <c r="L154" s="1158"/>
      <c r="M154" s="1158"/>
      <c r="N154" s="1158"/>
      <c r="O154" s="1158"/>
      <c r="P154" s="1158"/>
      <c r="Q154" s="1158"/>
      <c r="R154" s="1158"/>
      <c r="S154" s="1158"/>
      <c r="T154" s="1158"/>
      <c r="U154" s="1158"/>
      <c r="V154" s="1158"/>
      <c r="W154" s="1158"/>
      <c r="X154" s="1158"/>
      <c r="Y154" s="1158"/>
      <c r="Z154" s="1158"/>
      <c r="AA154" s="1158"/>
      <c r="AB154" s="1158"/>
      <c r="AC154" s="1158"/>
      <c r="AD154" s="1158"/>
      <c r="AE154" s="1158"/>
      <c r="AF154" s="1158"/>
      <c r="AG154" s="1158"/>
      <c r="AH154" s="1158"/>
      <c r="AI154" s="1158"/>
      <c r="AJ154" s="1158"/>
      <c r="AK154" s="1158"/>
      <c r="AL154" s="1158"/>
      <c r="AM154" s="1158"/>
      <c r="AN154" s="1158"/>
      <c r="AO154" s="1158"/>
      <c r="AP154" s="1158"/>
      <c r="AQ154" s="1160"/>
      <c r="AR154" s="1160"/>
      <c r="AS154" s="1160"/>
      <c r="AT154" s="1462"/>
      <c r="AU154" s="1160"/>
      <c r="AV154" s="1160"/>
      <c r="AW154" s="1160"/>
      <c r="AX154" s="1160"/>
      <c r="AY154" s="1160"/>
      <c r="AZ154" s="1160"/>
      <c r="BA154" s="1160"/>
      <c r="BB154" s="1160"/>
      <c r="BC154" s="1160"/>
      <c r="BD154" s="1160"/>
      <c r="BE154" s="1160"/>
      <c r="BF154" s="1160"/>
      <c r="BG154" s="1160"/>
      <c r="BH154" s="1160"/>
      <c r="BI154" s="1160"/>
      <c r="BJ154" s="1160"/>
      <c r="BK154" s="1160"/>
      <c r="BL154" s="1160"/>
      <c r="BM154" s="1160"/>
      <c r="BN154" s="1160"/>
      <c r="BO154" s="1160"/>
      <c r="BP154" s="1160"/>
      <c r="BQ154" s="1160"/>
      <c r="BR154" s="1160"/>
      <c r="BS154" s="1160"/>
      <c r="BT154" s="1160"/>
      <c r="BU154" s="1160"/>
      <c r="BV154" s="1160"/>
      <c r="BW154" s="1160"/>
      <c r="BX154" s="1160"/>
      <c r="BY154" s="1160"/>
      <c r="BZ154" s="1160"/>
      <c r="CA154" s="1160"/>
      <c r="CB154" s="1160"/>
      <c r="CC154" s="1160"/>
      <c r="CD154" s="1160"/>
      <c r="CE154" s="1160"/>
      <c r="CF154" s="1160"/>
      <c r="CG154" s="1160"/>
      <c r="CH154" s="1160"/>
      <c r="CI154" s="1160"/>
      <c r="CJ154" s="1160"/>
      <c r="CK154" s="1160"/>
      <c r="CL154" s="1160"/>
      <c r="CM154" s="1160"/>
      <c r="CN154" s="1160"/>
      <c r="CO154" s="1160"/>
      <c r="CP154" s="1160"/>
      <c r="CQ154" s="1160"/>
      <c r="CR154" s="1160"/>
      <c r="CS154" s="1160"/>
      <c r="CT154" s="1160"/>
      <c r="CU154" s="63"/>
      <c r="CV154" s="63"/>
      <c r="CW154" s="63"/>
    </row>
    <row r="155" spans="1:101">
      <c r="A155" s="2857" t="s">
        <v>316</v>
      </c>
      <c r="C155" s="2862"/>
      <c r="D155" s="2862"/>
      <c r="E155" s="2862"/>
      <c r="F155" s="2862"/>
      <c r="G155" s="2863"/>
      <c r="H155" s="2863"/>
      <c r="I155" s="2862"/>
      <c r="J155" s="2862"/>
      <c r="K155" s="2862"/>
      <c r="L155" s="2862"/>
      <c r="M155" s="2863"/>
      <c r="N155" s="2863"/>
      <c r="O155" s="2862"/>
      <c r="P155" s="2862"/>
      <c r="Q155" s="2862"/>
      <c r="R155" s="2862"/>
      <c r="S155" s="2863"/>
      <c r="T155" s="2863"/>
      <c r="U155" s="2862"/>
      <c r="V155" s="2862"/>
      <c r="W155" s="2862"/>
      <c r="X155" s="2862"/>
      <c r="Y155" s="2863"/>
      <c r="Z155" s="2863"/>
      <c r="AA155" s="2862"/>
      <c r="AB155" s="2862"/>
      <c r="AC155" s="2862"/>
      <c r="AD155" s="2862"/>
      <c r="AE155" s="2863"/>
      <c r="AF155" s="2863"/>
      <c r="AG155" s="2862"/>
      <c r="AH155" s="2862"/>
      <c r="AI155" s="2862"/>
      <c r="AJ155" s="2862"/>
      <c r="AK155" s="2863"/>
      <c r="AL155" s="2863"/>
      <c r="AM155" s="2862"/>
      <c r="AN155" s="2862"/>
      <c r="AO155" s="2862"/>
      <c r="AP155" s="2862"/>
      <c r="AQ155" s="2863"/>
      <c r="AR155" s="2863"/>
      <c r="AS155" s="2862"/>
      <c r="AT155" s="2862"/>
      <c r="AU155" s="2862"/>
      <c r="AV155" s="2862"/>
      <c r="AW155" s="2863"/>
      <c r="AX155" s="2863"/>
      <c r="AY155" s="2862"/>
      <c r="AZ155" s="2862"/>
      <c r="BA155" s="2862"/>
      <c r="BB155" s="2862"/>
      <c r="BC155" s="2863"/>
      <c r="BD155" s="2863"/>
      <c r="BE155" s="2862"/>
      <c r="BF155" s="2862"/>
      <c r="BG155" s="2862"/>
      <c r="BH155" s="2862"/>
      <c r="BI155" s="2863"/>
      <c r="BJ155" s="2863"/>
      <c r="BK155" s="2862"/>
      <c r="BL155" s="2862"/>
      <c r="BM155" s="2862"/>
      <c r="BN155" s="2862"/>
      <c r="BO155" s="2863"/>
      <c r="BP155" s="2863"/>
      <c r="BQ155" s="2862"/>
      <c r="BR155" s="2862"/>
      <c r="BS155" s="2862"/>
      <c r="BT155" s="2862"/>
      <c r="BU155" s="2863"/>
      <c r="BV155" s="2863"/>
      <c r="BW155" s="2862"/>
      <c r="BX155" s="2862"/>
      <c r="BY155" s="2862"/>
      <c r="BZ155" s="2862"/>
      <c r="CA155" s="2863"/>
      <c r="CB155" s="2863"/>
      <c r="CC155" s="2862"/>
      <c r="CD155" s="2862"/>
      <c r="CE155" s="2862"/>
      <c r="CF155" s="2862"/>
      <c r="CG155" s="2863"/>
      <c r="CH155" s="2863"/>
      <c r="CI155" s="2862"/>
      <c r="CJ155" s="2862"/>
      <c r="CK155" s="2862"/>
      <c r="CL155" s="2862"/>
      <c r="CM155" s="2863"/>
      <c r="CN155" s="2863"/>
      <c r="CO155" s="2862"/>
      <c r="CP155" s="2862"/>
      <c r="CQ155" s="2862"/>
      <c r="CR155" s="2862"/>
      <c r="CS155" s="2863"/>
    </row>
    <row r="156" spans="1:101">
      <c r="A156" s="2858" t="s">
        <v>485</v>
      </c>
      <c r="C156" s="2864">
        <f>+IS!C9</f>
        <v>72.150000000000006</v>
      </c>
      <c r="D156" s="2865">
        <f>+IS!D9</f>
        <v>84.534999999999997</v>
      </c>
      <c r="E156" s="2865">
        <f>+IS!E9</f>
        <v>97.51</v>
      </c>
      <c r="F156" s="2865">
        <f>+IS!F9</f>
        <v>112.60400000000001</v>
      </c>
      <c r="G156" s="2866">
        <f>+IS!G9</f>
        <v>366.79900000000004</v>
      </c>
      <c r="H156" s="2867"/>
      <c r="I156" s="2864">
        <f>+IS!I9</f>
        <v>121.861</v>
      </c>
      <c r="J156" s="2865">
        <f>+IS!J9</f>
        <v>140.17699999999999</v>
      </c>
      <c r="K156" s="2865">
        <f>+IS!K9</f>
        <v>150.26</v>
      </c>
      <c r="L156" s="2865">
        <f>+IS!L9</f>
        <v>160.92700000000002</v>
      </c>
      <c r="M156" s="2866">
        <f>+IS!M9</f>
        <v>573.22500000000002</v>
      </c>
      <c r="N156" s="2867"/>
      <c r="O156" s="2864">
        <f>+IS!O9</f>
        <v>165.75700000000001</v>
      </c>
      <c r="P156" s="2865">
        <f>+IS!P9</f>
        <v>161.643</v>
      </c>
      <c r="Q156" s="2865">
        <f>+IS!Q9</f>
        <v>158.36000000000001</v>
      </c>
      <c r="R156" s="2865">
        <f>+IS!R9</f>
        <v>180.56399999999996</v>
      </c>
      <c r="S156" s="2866">
        <f>+IS!S9</f>
        <v>666.32400000000007</v>
      </c>
      <c r="T156" s="2867"/>
      <c r="U156" s="2864">
        <f>+IS!U9</f>
        <v>192.131</v>
      </c>
      <c r="V156" s="2865">
        <f>+IS!V9</f>
        <v>212.00300000000001</v>
      </c>
      <c r="W156" s="2865">
        <f>+IS!W9</f>
        <v>237.309</v>
      </c>
      <c r="X156" s="2865">
        <f>+IS!X9</f>
        <v>261.298</v>
      </c>
      <c r="Y156" s="2866">
        <f>+IS!Y9</f>
        <v>902.74099999999999</v>
      </c>
      <c r="Z156" s="2867"/>
      <c r="AA156" s="2864">
        <f>+IS!AA9</f>
        <v>282.51499999999999</v>
      </c>
      <c r="AB156" s="2865">
        <f>+IS!AB9</f>
        <v>287.45</v>
      </c>
      <c r="AC156" s="2865">
        <f>+IS!AC9</f>
        <v>235.499</v>
      </c>
      <c r="AD156" s="2865">
        <f>+IS!AD9</f>
        <v>250.07099999999997</v>
      </c>
      <c r="AE156" s="2866">
        <f>+IS!AE9</f>
        <v>1055.5349999999999</v>
      </c>
      <c r="AF156" s="2867"/>
      <c r="AG156" s="2864">
        <f>+IS!AG9</f>
        <v>272.77</v>
      </c>
      <c r="AH156" s="2865">
        <f>+IS!AH9</f>
        <v>280.60699999999997</v>
      </c>
      <c r="AI156" s="2865">
        <f>+IS!AI9</f>
        <v>285.87400000000002</v>
      </c>
      <c r="AJ156" s="2865">
        <f>+IS!AJ9</f>
        <v>309.26499999999999</v>
      </c>
      <c r="AK156" s="2866">
        <f>+IS!AK9</f>
        <v>1148.5160000000001</v>
      </c>
      <c r="AL156" s="2867"/>
      <c r="AM156" s="2864">
        <f>+IS!AM9</f>
        <v>330.95800000000003</v>
      </c>
      <c r="AN156" s="2865">
        <f>+IS!AN9</f>
        <v>346.09399999999999</v>
      </c>
      <c r="AO156" s="2865">
        <f>+IS!AO9</f>
        <v>356.8</v>
      </c>
      <c r="AP156" s="2865">
        <f>+IS!AP9</f>
        <v>387.32600000000002</v>
      </c>
      <c r="AQ156" s="2866">
        <f>+IS!AQ9</f>
        <v>1421.1780000000001</v>
      </c>
      <c r="AR156" s="2867"/>
      <c r="AS156" s="2864">
        <f>+IS!AS9</f>
        <v>420.78100000000001</v>
      </c>
      <c r="AT156" s="2865">
        <f>+IS!AT9</f>
        <v>447.56799999999998</v>
      </c>
      <c r="AU156" s="2865">
        <f>+IS!AU9</f>
        <v>480.63</v>
      </c>
      <c r="AV156" s="2865">
        <f>+IS!AV9</f>
        <v>512.37900000000002</v>
      </c>
      <c r="AW156" s="2866">
        <f>+IS!AW9</f>
        <v>1861.3579999999997</v>
      </c>
      <c r="AX156" s="2867"/>
      <c r="AY156" s="2864">
        <f>+IS!AY9</f>
        <v>538.56500000000005</v>
      </c>
      <c r="AZ156" s="2865">
        <f>+IS!AZ9</f>
        <v>539.37799999999993</v>
      </c>
      <c r="BA156" s="2865">
        <f>+IS!BA9</f>
        <v>550.27099999999996</v>
      </c>
      <c r="BB156" s="2865">
        <f>+IS!BB9</f>
        <v>591.548</v>
      </c>
      <c r="BC156" s="2866">
        <f>+IS!BC9</f>
        <v>2219.7619999999997</v>
      </c>
      <c r="BD156" s="2867"/>
      <c r="BE156" s="2864">
        <f>+IS!BE9</f>
        <v>571.76300000000003</v>
      </c>
      <c r="BF156" s="2865">
        <f>+IS!BF9</f>
        <v>600.12400000000002</v>
      </c>
      <c r="BG156" s="2865">
        <f>+IS!BG9</f>
        <v>607.13900000000001</v>
      </c>
      <c r="BH156" s="2865">
        <f>+IS!BH9</f>
        <v>619.34699999999998</v>
      </c>
      <c r="BI156" s="2866">
        <f>+IS!BI9</f>
        <v>2398.3730000000005</v>
      </c>
      <c r="BJ156" s="2867"/>
      <c r="BK156" s="2864">
        <f>+IS!BK9</f>
        <v>598</v>
      </c>
      <c r="BL156" s="2865">
        <f>+IS!BL9</f>
        <v>662.4</v>
      </c>
      <c r="BM156" s="2865">
        <f>+IS!BM9</f>
        <v>714</v>
      </c>
      <c r="BN156" s="2865">
        <f>+IS!BN9</f>
        <v>777.7</v>
      </c>
      <c r="BO156" s="2866">
        <f>+IS!BO9</f>
        <v>2752.1000000000004</v>
      </c>
      <c r="BP156" s="2867"/>
      <c r="BQ156" s="2864">
        <f>+IS!BQ9</f>
        <v>782</v>
      </c>
      <c r="BR156" s="2865">
        <f>+IS!BR9</f>
        <v>790.43216979006502</v>
      </c>
      <c r="BS156" s="2865">
        <f>+IS!BS9</f>
        <v>805.6766484806891</v>
      </c>
      <c r="BT156" s="2865">
        <f>+IS!BT9</f>
        <v>840.31812717131322</v>
      </c>
      <c r="BU156" s="2866">
        <f>+IS!BU9</f>
        <v>3218.4269454420673</v>
      </c>
      <c r="BV156" s="2867"/>
      <c r="BW156" s="2864">
        <f>+IS!BW9</f>
        <v>872.66311950238219</v>
      </c>
      <c r="BX156" s="2865">
        <f>+IS!BX9</f>
        <v>870.22373106422003</v>
      </c>
      <c r="BY156" s="2865">
        <f>+IS!BY9</f>
        <v>882.06875801067326</v>
      </c>
      <c r="BZ156" s="2865">
        <f>+IS!BZ9</f>
        <v>917.82797726481908</v>
      </c>
      <c r="CA156" s="2866">
        <f>+IS!CA9</f>
        <v>3542.7835858420949</v>
      </c>
      <c r="CB156" s="2867"/>
      <c r="CC156" s="2864">
        <f>+IS!CC9</f>
        <v>961.28431101600609</v>
      </c>
      <c r="CD156" s="2865">
        <f>+IS!CD9</f>
        <v>959.45288335890916</v>
      </c>
      <c r="CE156" s="2865">
        <f>+IS!CE9</f>
        <v>972.24722094441574</v>
      </c>
      <c r="CF156" s="2865">
        <f>+IS!CF9</f>
        <v>1013.0584482932361</v>
      </c>
      <c r="CG156" s="2866">
        <f>+IS!CG9</f>
        <v>3906.0428636125671</v>
      </c>
      <c r="CH156" s="2867"/>
      <c r="CI156" s="2864">
        <f>+IS!CI9</f>
        <v>1061.5747363625551</v>
      </c>
      <c r="CJ156" s="2865">
        <f>+IS!CJ9</f>
        <v>1059.36255204085</v>
      </c>
      <c r="CK156" s="2865">
        <f>+IS!CK9</f>
        <v>1072.8875263874513</v>
      </c>
      <c r="CL156" s="2865">
        <f>+IS!CL9</f>
        <v>1120.6718618303846</v>
      </c>
      <c r="CM156" s="2866">
        <f>+IS!CM9</f>
        <v>4314.496676621241</v>
      </c>
      <c r="CN156" s="2867"/>
      <c r="CO156" s="2864">
        <f>+IS!CO9</f>
        <v>1167.3216847679541</v>
      </c>
      <c r="CP156" s="2865">
        <f>+IS!CP9</f>
        <v>1169.9955643677147</v>
      </c>
      <c r="CQ156" s="2865">
        <f>+IS!CQ9</f>
        <v>1189.2413465931577</v>
      </c>
      <c r="CR156" s="2865">
        <f>+IS!CR9</f>
        <v>1243.6616641844498</v>
      </c>
      <c r="CS156" s="2866">
        <f>+IS!CS9</f>
        <v>4770.2202599132761</v>
      </c>
    </row>
    <row r="157" spans="1:101">
      <c r="A157" s="2858" t="s">
        <v>850</v>
      </c>
      <c r="C157" s="2864">
        <f>+IS!C20</f>
        <v>8.257000000000005</v>
      </c>
      <c r="D157" s="2868">
        <f>+IS!D20</f>
        <v>13.038999999999994</v>
      </c>
      <c r="E157" s="2868">
        <f>+IS!E20</f>
        <v>16.372</v>
      </c>
      <c r="F157" s="2868">
        <f>+IS!F20</f>
        <v>22.438000000000017</v>
      </c>
      <c r="G157" s="2869">
        <f>+IS!G20</f>
        <v>60.106000000000023</v>
      </c>
      <c r="H157" s="2867"/>
      <c r="I157" s="2864">
        <f>+IS!I20</f>
        <v>21.389000000000003</v>
      </c>
      <c r="J157" s="2868">
        <f>+IS!J20</f>
        <v>30.608999999999995</v>
      </c>
      <c r="K157" s="2868">
        <f>+IS!K20</f>
        <v>29.511999999999986</v>
      </c>
      <c r="L157" s="2868">
        <f>+IS!L20</f>
        <v>39.645000000000024</v>
      </c>
      <c r="M157" s="2869">
        <f>+IS!M20</f>
        <v>121.155</v>
      </c>
      <c r="N157" s="2867"/>
      <c r="O157" s="2864">
        <f>+IS!O20</f>
        <v>39.097000000000008</v>
      </c>
      <c r="P157" s="2868">
        <f>+IS!P20</f>
        <v>38.691000000000003</v>
      </c>
      <c r="Q157" s="2868">
        <f>+IS!Q20</f>
        <v>33.213000000000022</v>
      </c>
      <c r="R157" s="2868">
        <f>+IS!R20</f>
        <v>38.275999999999982</v>
      </c>
      <c r="S157" s="2869">
        <f>+IS!S20</f>
        <v>149.27700000000004</v>
      </c>
      <c r="T157" s="2867"/>
      <c r="U157" s="2864">
        <f>+IS!U20</f>
        <v>40.76400000000001</v>
      </c>
      <c r="V157" s="2868">
        <f>+IS!V20</f>
        <v>51.802999999999997</v>
      </c>
      <c r="W157" s="2868">
        <f>+IS!W20</f>
        <v>60.548999999999992</v>
      </c>
      <c r="X157" s="2868">
        <f>+IS!X20</f>
        <v>61.502999999999986</v>
      </c>
      <c r="Y157" s="2869">
        <f>+IS!Y20</f>
        <v>214.61900000000003</v>
      </c>
      <c r="Z157" s="2867"/>
      <c r="AA157" s="2864">
        <f>+IS!AA20</f>
        <v>77.288999999999987</v>
      </c>
      <c r="AB157" s="2868">
        <f>+IS!AB20</f>
        <v>79.355999999999995</v>
      </c>
      <c r="AC157" s="2868">
        <f>+IS!AC20</f>
        <v>44.367999999999995</v>
      </c>
      <c r="AD157" s="2868">
        <f>+IS!AD20</f>
        <v>65.774999999999949</v>
      </c>
      <c r="AE157" s="2869">
        <f>+IS!AE20</f>
        <v>266.78799999999978</v>
      </c>
      <c r="AF157" s="2867"/>
      <c r="AG157" s="2864">
        <f>+IS!AG20</f>
        <v>72.712999999999994</v>
      </c>
      <c r="AH157" s="2868">
        <f>+IS!AH20</f>
        <v>78.903999999999954</v>
      </c>
      <c r="AI157" s="2868">
        <f>+IS!AI20</f>
        <v>77.262000000000029</v>
      </c>
      <c r="AJ157" s="2868">
        <f>+IS!AJ20</f>
        <v>78.241000000000014</v>
      </c>
      <c r="AK157" s="2869">
        <f>+IS!AK20</f>
        <v>307.12000000000012</v>
      </c>
      <c r="AL157" s="2867"/>
      <c r="AM157" s="2864">
        <f>+IS!AM20</f>
        <v>85.844000000000023</v>
      </c>
      <c r="AN157" s="2868">
        <f>+IS!AN20</f>
        <v>87.211000000000013</v>
      </c>
      <c r="AO157" s="2868">
        <f>+IS!AO20</f>
        <v>88.176000000000045</v>
      </c>
      <c r="AP157" s="2868">
        <f>+IS!AP20</f>
        <v>95.172000000000025</v>
      </c>
      <c r="AQ157" s="2869">
        <f>+IS!AQ20</f>
        <v>356.40300000000013</v>
      </c>
      <c r="AR157" s="2867"/>
      <c r="AS157" s="2864">
        <f>+IS!AS20</f>
        <v>113.55500000000001</v>
      </c>
      <c r="AT157" s="2868">
        <f>+IS!AT20</f>
        <v>119.726</v>
      </c>
      <c r="AU157" s="2868">
        <f>+IS!AU20</f>
        <v>145.91500000000002</v>
      </c>
      <c r="AV157" s="2868">
        <f>+IS!AV20</f>
        <v>154.52799999999999</v>
      </c>
      <c r="AW157" s="2869">
        <f>+IS!AW20</f>
        <v>533.72399999999959</v>
      </c>
      <c r="AX157" s="2867"/>
      <c r="AY157" s="2864">
        <f>+IS!AY20</f>
        <v>179.82500000000005</v>
      </c>
      <c r="AZ157" s="2868">
        <f>+IS!AZ20</f>
        <v>168.5139999999999</v>
      </c>
      <c r="BA157" s="2868">
        <f>+IS!BA20</f>
        <v>165.70799999999997</v>
      </c>
      <c r="BB157" s="2868">
        <f>+IS!BB20</f>
        <v>161.822</v>
      </c>
      <c r="BC157" s="2869">
        <f>+IS!BC20</f>
        <v>675.86899999999969</v>
      </c>
      <c r="BD157" s="2867"/>
      <c r="BE157" s="2864">
        <f>+IS!BE20</f>
        <v>136.55300000000011</v>
      </c>
      <c r="BF157" s="2868">
        <f>+IS!BF20</f>
        <v>163.48700000000002</v>
      </c>
      <c r="BG157" s="2868">
        <f>+IS!BG20</f>
        <v>174.20100000000002</v>
      </c>
      <c r="BH157" s="2868">
        <f>+IS!BH20</f>
        <v>155.60400000000004</v>
      </c>
      <c r="BI157" s="2869">
        <f>+IS!BI20</f>
        <v>629.84500000000048</v>
      </c>
      <c r="BJ157" s="2867"/>
      <c r="BK157" s="2864">
        <f>+IS!BK20</f>
        <v>105</v>
      </c>
      <c r="BL157" s="2868">
        <f>+IS!BL20</f>
        <v>146.69999999999999</v>
      </c>
      <c r="BM157" s="2868">
        <f>+IS!BM20</f>
        <v>191.62</v>
      </c>
      <c r="BN157" s="2868">
        <f>+IS!BN20</f>
        <v>244.12000000000012</v>
      </c>
      <c r="BO157" s="2869">
        <f>+IS!BO20</f>
        <v>687.44000000000028</v>
      </c>
      <c r="BP157" s="2867"/>
      <c r="BQ157" s="2864">
        <f>+IS!BQ20</f>
        <v>230</v>
      </c>
      <c r="BR157" s="2868">
        <f>+IS!BR20</f>
        <v>187.93275572115658</v>
      </c>
      <c r="BS157" s="2868">
        <f>+IS!BS20</f>
        <v>195.84441653084184</v>
      </c>
      <c r="BT157" s="2868">
        <f>+IS!BT20</f>
        <v>208.58529242155095</v>
      </c>
      <c r="BU157" s="2869">
        <f>+IS!BU20</f>
        <v>822.36246467354977</v>
      </c>
      <c r="BV157" s="2867"/>
      <c r="BW157" s="2864">
        <f>+IS!BW20</f>
        <v>252.09286495413642</v>
      </c>
      <c r="BX157" s="2868">
        <f>+IS!BX20</f>
        <v>203.92126569826451</v>
      </c>
      <c r="BY157" s="2868">
        <f>+IS!BY20</f>
        <v>211.926350607139</v>
      </c>
      <c r="BZ157" s="2868">
        <f>+IS!BZ20</f>
        <v>224.68861136164696</v>
      </c>
      <c r="CA157" s="2869">
        <f>+IS!CA20</f>
        <v>892.62909262118751</v>
      </c>
      <c r="CB157" s="2867"/>
      <c r="CC157" s="2864">
        <f>+IS!CC20</f>
        <v>275.03727002790799</v>
      </c>
      <c r="CD157" s="2868">
        <f>+IS!CD20</f>
        <v>222.80515168357977</v>
      </c>
      <c r="CE157" s="2868">
        <f>+IS!CE20</f>
        <v>231.66803053737885</v>
      </c>
      <c r="CF157" s="2868">
        <f>+IS!CF20</f>
        <v>245.77820689869918</v>
      </c>
      <c r="CG157" s="2869">
        <f>+IS!CG20</f>
        <v>975.2886591475658</v>
      </c>
      <c r="CH157" s="2867"/>
      <c r="CI157" s="2864">
        <f>+IS!CI20</f>
        <v>300.32697336696424</v>
      </c>
      <c r="CJ157" s="2868">
        <f>+IS!CJ20</f>
        <v>243.62167774259967</v>
      </c>
      <c r="CK157" s="2868">
        <f>+IS!CK20</f>
        <v>253.24751475872301</v>
      </c>
      <c r="CL157" s="2868">
        <f>+IS!CL20</f>
        <v>269.3194797906952</v>
      </c>
      <c r="CM157" s="2869">
        <f>+IS!CM20</f>
        <v>1066.5156456589825</v>
      </c>
      <c r="CN157" s="2867"/>
      <c r="CO157" s="2864">
        <f>+IS!CO20</f>
        <v>327.85714141024164</v>
      </c>
      <c r="CP157" s="2868">
        <f>+IS!CP20</f>
        <v>268.78692321603125</v>
      </c>
      <c r="CQ157" s="2868">
        <f>+IS!CQ20</f>
        <v>280.65815280451329</v>
      </c>
      <c r="CR157" s="2868">
        <f>+IS!CR20</f>
        <v>298.65527028737665</v>
      </c>
      <c r="CS157" s="2869">
        <f>+IS!CS20</f>
        <v>1175.9574877181626</v>
      </c>
    </row>
    <row r="158" spans="1:101">
      <c r="A158" s="2858" t="s">
        <v>7</v>
      </c>
      <c r="C158" s="2870">
        <f>+IS!C57</f>
        <v>0.54066854904818262</v>
      </c>
      <c r="D158" s="2871">
        <f>+IS!D57</f>
        <v>0.41086984787413877</v>
      </c>
      <c r="E158" s="2871">
        <f>+IS!E57</f>
        <v>0.44796068796068789</v>
      </c>
      <c r="F158" s="2871">
        <f>+IS!F57</f>
        <v>0.50184030064701046</v>
      </c>
      <c r="G158" s="2872">
        <f>+IS!G57</f>
        <v>0.47330465238134617</v>
      </c>
      <c r="H158" s="601"/>
      <c r="I158" s="2870">
        <f>+IS!I57</f>
        <v>0.53430253514357806</v>
      </c>
      <c r="J158" s="2871">
        <f>+IS!J57</f>
        <v>0.51728744552943817</v>
      </c>
      <c r="K158" s="2871">
        <f>+IS!K57</f>
        <v>0.50244070342324332</v>
      </c>
      <c r="L158" s="2871">
        <f>+IS!L57</f>
        <v>0.36139506915213443</v>
      </c>
      <c r="M158" s="2872">
        <f>+IS!M57</f>
        <v>0.46569253214188011</v>
      </c>
      <c r="N158" s="601"/>
      <c r="O158" s="2870">
        <f>+IS!O57</f>
        <v>0.32904911456546404</v>
      </c>
      <c r="P158" s="2871">
        <f>+IS!P57</f>
        <v>0.31163559122020296</v>
      </c>
      <c r="Q158" s="2871">
        <f>+IS!Q57</f>
        <v>0.37721525975818448</v>
      </c>
      <c r="R158" s="2871">
        <f>+IS!R57</f>
        <v>0.32785335886785905</v>
      </c>
      <c r="S158" s="2872">
        <f>+IS!S57</f>
        <v>0.3351691832488799</v>
      </c>
      <c r="T158" s="601"/>
      <c r="U158" s="2870">
        <f>+IS!U57</f>
        <v>0.35153216945427901</v>
      </c>
      <c r="V158" s="2871">
        <f>+IS!V57</f>
        <v>0.35953935607699983</v>
      </c>
      <c r="W158" s="2871">
        <f>+IS!W57</f>
        <v>0.3551961001551075</v>
      </c>
      <c r="X158" s="2871">
        <f>+IS!X57</f>
        <v>0.34330037778313655</v>
      </c>
      <c r="Y158" s="2872">
        <f>+IS!Y57</f>
        <v>0.35219263275394669</v>
      </c>
      <c r="Z158" s="601"/>
      <c r="AA158" s="2870">
        <f>+IS!AA57</f>
        <v>0.35212084498691798</v>
      </c>
      <c r="AB158" s="2871">
        <f>+IS!AB57</f>
        <v>0.34633441675695203</v>
      </c>
      <c r="AC158" s="2871">
        <f>+IS!AC57</f>
        <v>0.34449074992833678</v>
      </c>
      <c r="AD158" s="2871">
        <f>+IS!AD57</f>
        <v>0.35271196775680796</v>
      </c>
      <c r="AE158" s="2872">
        <f>+IS!AE57</f>
        <v>0.34927055065476703</v>
      </c>
      <c r="AF158" s="601"/>
      <c r="AG158" s="2870">
        <f>+IS!AG57</f>
        <v>0.33970228838035993</v>
      </c>
      <c r="AH158" s="2871">
        <f>+IS!AH57</f>
        <v>0.33832154454149593</v>
      </c>
      <c r="AI158" s="2871">
        <f>+IS!AI57</f>
        <v>0.33897132408356895</v>
      </c>
      <c r="AJ158" s="2871">
        <f>+IS!AJ57</f>
        <v>0.28855042148377313</v>
      </c>
      <c r="AK158" s="2872">
        <f>+IS!AK57</f>
        <v>0.32608263996976738</v>
      </c>
      <c r="AL158" s="601"/>
      <c r="AM158" s="2870">
        <f>+IS!AM57</f>
        <v>0.27497452760281571</v>
      </c>
      <c r="AN158" s="2871">
        <f>+IS!AN57</f>
        <v>0.30702793062617534</v>
      </c>
      <c r="AO158" s="2871">
        <f>+IS!AO57</f>
        <v>0.29391276992562287</v>
      </c>
      <c r="AP158" s="2871">
        <f>+IS!AP57</f>
        <v>0.32594179424212333</v>
      </c>
      <c r="AQ158" s="2872">
        <f>+IS!AQ57</f>
        <v>0.30107695451707805</v>
      </c>
      <c r="AR158" s="601"/>
      <c r="AS158" s="2870">
        <f>+IS!AS57</f>
        <v>0.29948629987135617</v>
      </c>
      <c r="AT158" s="2871">
        <f>+IS!AT57</f>
        <v>0.29791791193464834</v>
      </c>
      <c r="AU158" s="2871">
        <f>+IS!AU57</f>
        <v>0.2125505792361842</v>
      </c>
      <c r="AV158" s="2871">
        <f>+IS!AV57</f>
        <v>0.16160722993400733</v>
      </c>
      <c r="AW158" s="2872">
        <f>+IS!AW57</f>
        <v>0.23578702018173714</v>
      </c>
      <c r="AX158" s="601"/>
      <c r="AY158" s="2870">
        <f>+IS!AY57</f>
        <v>0.24518960028101314</v>
      </c>
      <c r="AZ158" s="2871">
        <f>+IS!AZ57</f>
        <v>0.28857460481651254</v>
      </c>
      <c r="BA158" s="2871">
        <f>+IS!BA57</f>
        <v>0.28603675053075966</v>
      </c>
      <c r="BB158" s="2871">
        <f>+IS!BB57</f>
        <v>0.2645171262520094</v>
      </c>
      <c r="BC158" s="2872">
        <f>+IS!BC57</f>
        <v>0.27061881702860885</v>
      </c>
      <c r="BD158" s="601"/>
      <c r="BE158" s="2870">
        <f>+IS!BE57</f>
        <v>0.25482845792704928</v>
      </c>
      <c r="BF158" s="2871">
        <f>+IS!BF57</f>
        <v>0.25739225839899205</v>
      </c>
      <c r="BG158" s="2871">
        <f>+IS!BG57</f>
        <v>0.24601475951577825</v>
      </c>
      <c r="BH158" s="2871">
        <f>+IS!BH57</f>
        <v>0.28542159691380026</v>
      </c>
      <c r="BI158" s="2872">
        <f>+IS!BI57</f>
        <v>0.26050803358278996</v>
      </c>
      <c r="BJ158" s="601"/>
      <c r="BK158" s="2870">
        <f>+IS!BK57</f>
        <v>0.25</v>
      </c>
      <c r="BL158" s="2871">
        <f>+IS!BL57</f>
        <v>0.25</v>
      </c>
      <c r="BM158" s="2871">
        <f>+IS!BM57</f>
        <v>0.21631898057753571</v>
      </c>
      <c r="BN158" s="2871">
        <f>+IS!BN57</f>
        <v>0.1795871932390703</v>
      </c>
      <c r="BO158" s="2872">
        <f>+IS!BO57</f>
        <v>0.21587564648398427</v>
      </c>
      <c r="BP158" s="601"/>
      <c r="BQ158" s="2870">
        <f>+IS!BQ57</f>
        <v>0.12875536480686695</v>
      </c>
      <c r="BR158" s="2871">
        <f>+IS!BR57</f>
        <v>0.2</v>
      </c>
      <c r="BS158" s="2871">
        <f>+IS!BS57</f>
        <v>0.2</v>
      </c>
      <c r="BT158" s="2871">
        <f>+IS!BT57</f>
        <v>0.2</v>
      </c>
      <c r="BU158" s="2872">
        <f>+IS!BU57</f>
        <v>0.18020940349842698</v>
      </c>
      <c r="BV158" s="601"/>
      <c r="BW158" s="2870">
        <f>+IS!BW57</f>
        <v>0.2</v>
      </c>
      <c r="BX158" s="2871">
        <f>+IS!BX57</f>
        <v>0.2</v>
      </c>
      <c r="BY158" s="2871">
        <f>+IS!BY57</f>
        <v>0.2</v>
      </c>
      <c r="BZ158" s="2871">
        <f>+IS!BZ57</f>
        <v>0.2</v>
      </c>
      <c r="CA158" s="2872">
        <f>+IS!CA57</f>
        <v>0.19999999999999993</v>
      </c>
      <c r="CB158" s="601"/>
      <c r="CC158" s="2870">
        <f>+IS!CC57</f>
        <v>0.2</v>
      </c>
      <c r="CD158" s="2871">
        <f>+IS!CD57</f>
        <v>0.2</v>
      </c>
      <c r="CE158" s="2871">
        <f>+IS!CE57</f>
        <v>0.2</v>
      </c>
      <c r="CF158" s="2871">
        <f>+IS!CF57</f>
        <v>0.2</v>
      </c>
      <c r="CG158" s="2872">
        <f>+IS!CG57</f>
        <v>0.19999999999999998</v>
      </c>
      <c r="CH158" s="601"/>
      <c r="CI158" s="2870">
        <f>+IS!CI57</f>
        <v>0.2</v>
      </c>
      <c r="CJ158" s="2871">
        <f>+IS!CJ57</f>
        <v>0.2</v>
      </c>
      <c r="CK158" s="2871">
        <f>+IS!CK57</f>
        <v>0.2</v>
      </c>
      <c r="CL158" s="2871">
        <f>+IS!CL57</f>
        <v>0.2</v>
      </c>
      <c r="CM158" s="2872">
        <f>+IS!CM57</f>
        <v>0.19999999999999996</v>
      </c>
      <c r="CN158" s="601"/>
      <c r="CO158" s="2870">
        <f>+IS!CO57</f>
        <v>0.2</v>
      </c>
      <c r="CP158" s="2871">
        <f>+IS!CP57</f>
        <v>0.2</v>
      </c>
      <c r="CQ158" s="2871">
        <f>+IS!CQ57</f>
        <v>0.2</v>
      </c>
      <c r="CR158" s="2871">
        <f>+IS!CR57</f>
        <v>0.2</v>
      </c>
      <c r="CS158" s="2872">
        <f>+IS!CS57</f>
        <v>0.20000000000000007</v>
      </c>
    </row>
    <row r="159" spans="1:101">
      <c r="A159" s="2858" t="s">
        <v>851</v>
      </c>
      <c r="C159" s="2873">
        <f t="shared" ref="C159:G159" si="184">C157*C158</f>
        <v>4.4643002094908466</v>
      </c>
      <c r="D159" s="10">
        <f t="shared" si="184"/>
        <v>5.3573319464308931</v>
      </c>
      <c r="E159" s="10">
        <f t="shared" si="184"/>
        <v>7.3340123832923823</v>
      </c>
      <c r="F159" s="10">
        <f t="shared" si="184"/>
        <v>11.260292665917628</v>
      </c>
      <c r="G159" s="2874">
        <f t="shared" si="184"/>
        <v>28.448449436033204</v>
      </c>
      <c r="H159" s="601"/>
      <c r="I159" s="2873">
        <f t="shared" ref="I159:M159" si="185">I157*I158</f>
        <v>11.428196924185993</v>
      </c>
      <c r="J159" s="10">
        <f t="shared" si="185"/>
        <v>15.83365142021057</v>
      </c>
      <c r="K159" s="10">
        <f t="shared" si="185"/>
        <v>14.82803003942675</v>
      </c>
      <c r="L159" s="10">
        <f t="shared" si="185"/>
        <v>14.327507516536379</v>
      </c>
      <c r="M159" s="2874">
        <f t="shared" si="185"/>
        <v>56.420978731649484</v>
      </c>
      <c r="N159" s="601"/>
      <c r="O159" s="2873">
        <f t="shared" ref="O159:S159" si="186">O157*O158</f>
        <v>12.86483323216595</v>
      </c>
      <c r="P159" s="10">
        <f t="shared" si="186"/>
        <v>12.057492659900873</v>
      </c>
      <c r="Q159" s="10">
        <f t="shared" si="186"/>
        <v>12.528450422348589</v>
      </c>
      <c r="R159" s="10">
        <f t="shared" si="186"/>
        <v>12.548915164026168</v>
      </c>
      <c r="S159" s="2874">
        <f t="shared" si="186"/>
        <v>50.033050167843058</v>
      </c>
      <c r="T159" s="601"/>
      <c r="U159" s="2873">
        <f t="shared" ref="U159:Y159" si="187">U157*U158</f>
        <v>14.329857355634234</v>
      </c>
      <c r="V159" s="10">
        <f t="shared" si="187"/>
        <v>18.625217262856822</v>
      </c>
      <c r="W159" s="10">
        <f t="shared" si="187"/>
        <v>21.506768668291603</v>
      </c>
      <c r="X159" s="10">
        <f t="shared" si="187"/>
        <v>21.114003134796242</v>
      </c>
      <c r="Y159" s="2874">
        <f t="shared" si="187"/>
        <v>75.58723064901929</v>
      </c>
      <c r="Z159" s="601"/>
      <c r="AA159" s="2873">
        <f t="shared" ref="AA159:AE159" si="188">AA157*AA158</f>
        <v>27.215067988193898</v>
      </c>
      <c r="AB159" s="10">
        <f t="shared" si="188"/>
        <v>27.483713976164683</v>
      </c>
      <c r="AC159" s="10">
        <f t="shared" si="188"/>
        <v>15.284365592820444</v>
      </c>
      <c r="AD159" s="10">
        <f t="shared" si="188"/>
        <v>23.199629679204026</v>
      </c>
      <c r="AE159" s="2874">
        <f t="shared" si="188"/>
        <v>93.181191668083912</v>
      </c>
      <c r="AF159" s="601"/>
      <c r="AG159" s="2873">
        <f t="shared" ref="AG159:AK159" si="189">AG157*AG158</f>
        <v>24.700772495001111</v>
      </c>
      <c r="AH159" s="10">
        <f t="shared" si="189"/>
        <v>26.694923150502181</v>
      </c>
      <c r="AI159" s="10">
        <f t="shared" si="189"/>
        <v>26.189602441344714</v>
      </c>
      <c r="AJ159" s="10">
        <f t="shared" si="189"/>
        <v>22.576473527311897</v>
      </c>
      <c r="AK159" s="2874">
        <f t="shared" si="189"/>
        <v>100.146500387515</v>
      </c>
      <c r="AL159" s="601"/>
      <c r="AM159" s="2873">
        <f t="shared" ref="AM159:AQ159" si="190">AM157*AM158</f>
        <v>23.604913347536119</v>
      </c>
      <c r="AN159" s="10">
        <f t="shared" si="190"/>
        <v>26.776212857839383</v>
      </c>
      <c r="AO159" s="10">
        <f t="shared" si="190"/>
        <v>25.916052400961735</v>
      </c>
      <c r="AP159" s="10">
        <f t="shared" si="190"/>
        <v>31.020532441611369</v>
      </c>
      <c r="AQ159" s="2874">
        <f t="shared" si="190"/>
        <v>107.30472982075021</v>
      </c>
      <c r="AR159" s="601"/>
      <c r="AS159" s="2873">
        <f t="shared" ref="AS159:AW159" si="191">AS157*AS158</f>
        <v>34.008166781891852</v>
      </c>
      <c r="AT159" s="10">
        <f t="shared" si="191"/>
        <v>35.668519924287708</v>
      </c>
      <c r="AU159" s="10">
        <f t="shared" si="191"/>
        <v>31.014317769247821</v>
      </c>
      <c r="AV159" s="10">
        <f t="shared" si="191"/>
        <v>24.972842027242283</v>
      </c>
      <c r="AW159" s="2874">
        <f t="shared" si="191"/>
        <v>125.84519155947737</v>
      </c>
      <c r="AX159" s="601"/>
      <c r="AY159" s="2873">
        <f t="shared" ref="AY159:BC159" si="192">AY157*AY158</f>
        <v>44.091219870533202</v>
      </c>
      <c r="AZ159" s="10">
        <f t="shared" si="192"/>
        <v>48.628860956049763</v>
      </c>
      <c r="BA159" s="10">
        <f t="shared" si="192"/>
        <v>47.398577856951114</v>
      </c>
      <c r="BB159" s="10">
        <f t="shared" si="192"/>
        <v>42.804690404352669</v>
      </c>
      <c r="BC159" s="2874">
        <f t="shared" si="192"/>
        <v>182.90286924630874</v>
      </c>
      <c r="BD159" s="601"/>
      <c r="BE159" s="2873">
        <f t="shared" ref="BE159:BI159" si="193">BE157*BE158</f>
        <v>34.797590415312385</v>
      </c>
      <c r="BF159" s="10">
        <f t="shared" si="193"/>
        <v>42.080288148876022</v>
      </c>
      <c r="BG159" s="10">
        <f t="shared" si="193"/>
        <v>42.85601712240809</v>
      </c>
      <c r="BH159" s="10">
        <f t="shared" si="193"/>
        <v>44.412742166174986</v>
      </c>
      <c r="BI159" s="2874">
        <f t="shared" si="193"/>
        <v>164.07968241195246</v>
      </c>
      <c r="BJ159" s="601"/>
      <c r="BK159" s="2873">
        <f t="shared" ref="BK159:BO159" si="194">BK157*BK158</f>
        <v>26.25</v>
      </c>
      <c r="BL159" s="10">
        <f t="shared" si="194"/>
        <v>36.674999999999997</v>
      </c>
      <c r="BM159" s="10">
        <f t="shared" si="194"/>
        <v>41.451043058267395</v>
      </c>
      <c r="BN159" s="10">
        <f t="shared" si="194"/>
        <v>43.840825613521865</v>
      </c>
      <c r="BO159" s="2874">
        <f t="shared" si="194"/>
        <v>148.40155441895021</v>
      </c>
      <c r="BP159" s="601"/>
      <c r="BQ159" s="2873">
        <f t="shared" ref="BQ159:BU159" si="195">BQ157*BQ158</f>
        <v>29.613733905579398</v>
      </c>
      <c r="BR159" s="10">
        <f t="shared" si="195"/>
        <v>37.586551144231315</v>
      </c>
      <c r="BS159" s="10">
        <f t="shared" si="195"/>
        <v>39.168883306168368</v>
      </c>
      <c r="BT159" s="10">
        <f t="shared" si="195"/>
        <v>41.717058484310193</v>
      </c>
      <c r="BU159" s="2874">
        <f t="shared" si="195"/>
        <v>148.19744921831665</v>
      </c>
      <c r="BV159" s="601"/>
      <c r="BW159" s="2873">
        <f t="shared" ref="BW159:CA159" si="196">BW157*BW158</f>
        <v>50.418572990827286</v>
      </c>
      <c r="BX159" s="10">
        <f t="shared" si="196"/>
        <v>40.784253139652904</v>
      </c>
      <c r="BY159" s="10">
        <f t="shared" si="196"/>
        <v>42.385270121427801</v>
      </c>
      <c r="BZ159" s="10">
        <f t="shared" si="196"/>
        <v>44.937722272329395</v>
      </c>
      <c r="CA159" s="2874">
        <f t="shared" si="196"/>
        <v>178.52581852423745</v>
      </c>
      <c r="CB159" s="601"/>
      <c r="CC159" s="2873">
        <f t="shared" ref="CC159:CG159" si="197">CC157*CC158</f>
        <v>55.0074540055816</v>
      </c>
      <c r="CD159" s="10">
        <f t="shared" si="197"/>
        <v>44.561030336715959</v>
      </c>
      <c r="CE159" s="10">
        <f t="shared" si="197"/>
        <v>46.333606107475774</v>
      </c>
      <c r="CF159" s="10">
        <f t="shared" si="197"/>
        <v>49.155641379739841</v>
      </c>
      <c r="CG159" s="2874">
        <f t="shared" si="197"/>
        <v>195.05773182951313</v>
      </c>
      <c r="CH159" s="601"/>
      <c r="CI159" s="2873">
        <f t="shared" ref="CI159:CM159" si="198">CI157*CI158</f>
        <v>60.065394673392852</v>
      </c>
      <c r="CJ159" s="10">
        <f t="shared" si="198"/>
        <v>48.724335548519939</v>
      </c>
      <c r="CK159" s="10">
        <f t="shared" si="198"/>
        <v>50.649502951744608</v>
      </c>
      <c r="CL159" s="10">
        <f t="shared" si="198"/>
        <v>53.86389595813904</v>
      </c>
      <c r="CM159" s="2874">
        <f t="shared" si="198"/>
        <v>213.30312913179645</v>
      </c>
      <c r="CN159" s="601"/>
      <c r="CO159" s="2873">
        <f t="shared" ref="CO159:CS159" si="199">CO157*CO158</f>
        <v>65.571428282048331</v>
      </c>
      <c r="CP159" s="10">
        <f t="shared" si="199"/>
        <v>53.757384643206251</v>
      </c>
      <c r="CQ159" s="10">
        <f t="shared" si="199"/>
        <v>56.131630560902664</v>
      </c>
      <c r="CR159" s="10">
        <f t="shared" si="199"/>
        <v>59.731054057475333</v>
      </c>
      <c r="CS159" s="2874">
        <f t="shared" si="199"/>
        <v>235.19149754363261</v>
      </c>
    </row>
    <row r="160" spans="1:101">
      <c r="A160" s="2859" t="s">
        <v>852</v>
      </c>
      <c r="C160" s="2875">
        <f t="shared" ref="C160:G160" si="200">C157-C159</f>
        <v>3.7926997905091584</v>
      </c>
      <c r="D160" s="2876">
        <f t="shared" si="200"/>
        <v>7.6816680535691013</v>
      </c>
      <c r="E160" s="2876">
        <f t="shared" si="200"/>
        <v>9.0379876167076176</v>
      </c>
      <c r="F160" s="2876">
        <f t="shared" si="200"/>
        <v>11.177707334082388</v>
      </c>
      <c r="G160" s="2877">
        <f t="shared" si="200"/>
        <v>31.657550563966819</v>
      </c>
      <c r="H160" s="2878"/>
      <c r="I160" s="2875">
        <f t="shared" ref="I160:M160" si="201">I157-I159</f>
        <v>9.9608030758140096</v>
      </c>
      <c r="J160" s="2876">
        <f t="shared" si="201"/>
        <v>14.775348579789425</v>
      </c>
      <c r="K160" s="2876">
        <f t="shared" si="201"/>
        <v>14.683969960573236</v>
      </c>
      <c r="L160" s="2876">
        <f t="shared" si="201"/>
        <v>25.317492483463646</v>
      </c>
      <c r="M160" s="2877">
        <f t="shared" si="201"/>
        <v>64.734021268350517</v>
      </c>
      <c r="N160" s="2878"/>
      <c r="O160" s="2875">
        <f t="shared" ref="O160:S160" si="202">O157-O159</f>
        <v>26.232166767834059</v>
      </c>
      <c r="P160" s="2876">
        <f t="shared" si="202"/>
        <v>26.633507340099129</v>
      </c>
      <c r="Q160" s="2876">
        <f t="shared" si="202"/>
        <v>20.684549577651431</v>
      </c>
      <c r="R160" s="2876">
        <f t="shared" si="202"/>
        <v>25.727084835973812</v>
      </c>
      <c r="S160" s="2877">
        <f t="shared" si="202"/>
        <v>99.243949832156986</v>
      </c>
      <c r="T160" s="2878"/>
      <c r="U160" s="2875">
        <f t="shared" ref="U160:Y160" si="203">U157-U159</f>
        <v>26.434142644365778</v>
      </c>
      <c r="V160" s="2876">
        <f t="shared" si="203"/>
        <v>33.177782737143175</v>
      </c>
      <c r="W160" s="2876">
        <f t="shared" si="203"/>
        <v>39.042231331708393</v>
      </c>
      <c r="X160" s="2876">
        <f t="shared" si="203"/>
        <v>40.388996865203744</v>
      </c>
      <c r="Y160" s="2877">
        <f t="shared" si="203"/>
        <v>139.03176935098074</v>
      </c>
      <c r="Z160" s="2878"/>
      <c r="AA160" s="2875">
        <f t="shared" ref="AA160:AE160" si="204">AA157-AA159</f>
        <v>50.073932011806093</v>
      </c>
      <c r="AB160" s="2876">
        <f t="shared" si="204"/>
        <v>51.872286023835315</v>
      </c>
      <c r="AC160" s="2876">
        <f t="shared" si="204"/>
        <v>29.083634407179552</v>
      </c>
      <c r="AD160" s="2876">
        <f t="shared" si="204"/>
        <v>42.575370320795926</v>
      </c>
      <c r="AE160" s="2877">
        <f t="shared" si="204"/>
        <v>173.60680833191589</v>
      </c>
      <c r="AF160" s="2878"/>
      <c r="AG160" s="2875">
        <f t="shared" ref="AG160:AK160" si="205">AG157-AG159</f>
        <v>48.012227504998883</v>
      </c>
      <c r="AH160" s="2876">
        <f t="shared" si="205"/>
        <v>52.209076849497777</v>
      </c>
      <c r="AI160" s="2876">
        <f t="shared" si="205"/>
        <v>51.072397558655311</v>
      </c>
      <c r="AJ160" s="2876">
        <f t="shared" si="205"/>
        <v>55.664526472688117</v>
      </c>
      <c r="AK160" s="2877">
        <f t="shared" si="205"/>
        <v>206.97349961248511</v>
      </c>
      <c r="AL160" s="2878"/>
      <c r="AM160" s="2875">
        <f t="shared" ref="AM160:AQ160" si="206">AM157-AM159</f>
        <v>62.239086652463904</v>
      </c>
      <c r="AN160" s="2876">
        <f t="shared" si="206"/>
        <v>60.43478714216063</v>
      </c>
      <c r="AO160" s="2876">
        <f t="shared" si="206"/>
        <v>62.259947599038313</v>
      </c>
      <c r="AP160" s="2876">
        <f t="shared" si="206"/>
        <v>64.15146755838866</v>
      </c>
      <c r="AQ160" s="2877">
        <f t="shared" si="206"/>
        <v>249.09827017924994</v>
      </c>
      <c r="AR160" s="2878"/>
      <c r="AS160" s="2875">
        <f t="shared" ref="AS160:AW160" si="207">AS157-AS159</f>
        <v>79.546833218108162</v>
      </c>
      <c r="AT160" s="2876">
        <f t="shared" si="207"/>
        <v>84.057480075712292</v>
      </c>
      <c r="AU160" s="2876">
        <f t="shared" si="207"/>
        <v>114.9006822307522</v>
      </c>
      <c r="AV160" s="2876">
        <f t="shared" si="207"/>
        <v>129.55515797275771</v>
      </c>
      <c r="AW160" s="2877">
        <f t="shared" si="207"/>
        <v>407.87880844052222</v>
      </c>
      <c r="AX160" s="2878"/>
      <c r="AY160" s="2875">
        <f t="shared" ref="AY160:BC160" si="208">AY157-AY159</f>
        <v>135.73378012946685</v>
      </c>
      <c r="AZ160" s="2876">
        <f t="shared" si="208"/>
        <v>119.88513904395013</v>
      </c>
      <c r="BA160" s="2876">
        <f t="shared" si="208"/>
        <v>118.30942214304886</v>
      </c>
      <c r="BB160" s="2876">
        <f t="shared" si="208"/>
        <v>119.01730959564733</v>
      </c>
      <c r="BC160" s="2877">
        <f t="shared" si="208"/>
        <v>492.96613075369095</v>
      </c>
      <c r="BD160" s="2878"/>
      <c r="BE160" s="2875">
        <f t="shared" ref="BE160:BI160" si="209">BE157-BE159</f>
        <v>101.75540958468773</v>
      </c>
      <c r="BF160" s="2876">
        <f t="shared" si="209"/>
        <v>121.406711851124</v>
      </c>
      <c r="BG160" s="2876">
        <f t="shared" si="209"/>
        <v>131.34498287759192</v>
      </c>
      <c r="BH160" s="2876">
        <f t="shared" si="209"/>
        <v>111.19125783382506</v>
      </c>
      <c r="BI160" s="2877">
        <f t="shared" si="209"/>
        <v>465.76531758804799</v>
      </c>
      <c r="BJ160" s="2878"/>
      <c r="BK160" s="2875">
        <f t="shared" ref="BK160:BO160" si="210">BK157-BK159</f>
        <v>78.75</v>
      </c>
      <c r="BL160" s="2876">
        <f t="shared" si="210"/>
        <v>110.02499999999999</v>
      </c>
      <c r="BM160" s="2876">
        <f t="shared" si="210"/>
        <v>150.1689569417326</v>
      </c>
      <c r="BN160" s="2876">
        <f t="shared" si="210"/>
        <v>200.27917438647825</v>
      </c>
      <c r="BO160" s="2877">
        <f t="shared" si="210"/>
        <v>539.03844558105004</v>
      </c>
      <c r="BP160" s="2878"/>
      <c r="BQ160" s="2875">
        <f t="shared" ref="BQ160:BU160" si="211">BQ157-BQ159</f>
        <v>200.38626609442059</v>
      </c>
      <c r="BR160" s="2876">
        <f t="shared" si="211"/>
        <v>150.34620457692526</v>
      </c>
      <c r="BS160" s="2876">
        <f t="shared" si="211"/>
        <v>156.67553322467347</v>
      </c>
      <c r="BT160" s="2876">
        <f t="shared" si="211"/>
        <v>166.86823393724075</v>
      </c>
      <c r="BU160" s="2877">
        <f t="shared" si="211"/>
        <v>674.16501545523306</v>
      </c>
      <c r="BV160" s="2878"/>
      <c r="BW160" s="2875">
        <f t="shared" ref="BW160:CA160" si="212">BW157-BW159</f>
        <v>201.67429196330914</v>
      </c>
      <c r="BX160" s="2876">
        <f t="shared" si="212"/>
        <v>163.13701255861162</v>
      </c>
      <c r="BY160" s="2876">
        <f t="shared" si="212"/>
        <v>169.54108048571121</v>
      </c>
      <c r="BZ160" s="2876">
        <f t="shared" si="212"/>
        <v>179.75088908931758</v>
      </c>
      <c r="CA160" s="2877">
        <f t="shared" si="212"/>
        <v>714.10327409695003</v>
      </c>
      <c r="CB160" s="2878"/>
      <c r="CC160" s="2875">
        <f t="shared" ref="CC160:CG160" si="213">CC157-CC159</f>
        <v>220.0298160223264</v>
      </c>
      <c r="CD160" s="2876">
        <f t="shared" si="213"/>
        <v>178.24412134686381</v>
      </c>
      <c r="CE160" s="2876">
        <f t="shared" si="213"/>
        <v>185.33442442990309</v>
      </c>
      <c r="CF160" s="2876">
        <f t="shared" si="213"/>
        <v>196.62256551895933</v>
      </c>
      <c r="CG160" s="2877">
        <f t="shared" si="213"/>
        <v>780.23092731805264</v>
      </c>
      <c r="CH160" s="2878"/>
      <c r="CI160" s="2875">
        <f t="shared" ref="CI160:CM160" si="214">CI157-CI159</f>
        <v>240.26157869357138</v>
      </c>
      <c r="CJ160" s="2876">
        <f t="shared" si="214"/>
        <v>194.89734219407973</v>
      </c>
      <c r="CK160" s="2876">
        <f t="shared" si="214"/>
        <v>202.59801180697841</v>
      </c>
      <c r="CL160" s="2876">
        <f t="shared" si="214"/>
        <v>215.45558383255616</v>
      </c>
      <c r="CM160" s="2877">
        <f t="shared" si="214"/>
        <v>853.21251652718604</v>
      </c>
      <c r="CN160" s="2878"/>
      <c r="CO160" s="2875">
        <f t="shared" ref="CO160:CS160" si="215">CO157-CO159</f>
        <v>262.28571312819332</v>
      </c>
      <c r="CP160" s="2876">
        <f t="shared" si="215"/>
        <v>215.029538572825</v>
      </c>
      <c r="CQ160" s="2876">
        <f t="shared" si="215"/>
        <v>224.52652224361063</v>
      </c>
      <c r="CR160" s="2876">
        <f t="shared" si="215"/>
        <v>238.92421622990133</v>
      </c>
      <c r="CS160" s="2877">
        <f t="shared" si="215"/>
        <v>940.76599017452997</v>
      </c>
    </row>
    <row r="161" spans="1:97">
      <c r="A161" s="2859" t="s">
        <v>853</v>
      </c>
      <c r="C161" s="2879">
        <f t="shared" ref="C161:G161" si="216">C160/C156</f>
        <v>5.2566871663328595E-2</v>
      </c>
      <c r="D161" s="2880">
        <f t="shared" si="216"/>
        <v>9.0869675916118789E-2</v>
      </c>
      <c r="E161" s="2880">
        <f t="shared" si="216"/>
        <v>9.2687802448032167E-2</v>
      </c>
      <c r="F161" s="2880">
        <f t="shared" si="216"/>
        <v>9.9265632962260555E-2</v>
      </c>
      <c r="G161" s="2881">
        <f t="shared" si="216"/>
        <v>8.6307625058865522E-2</v>
      </c>
      <c r="H161" s="2882"/>
      <c r="I161" s="2879">
        <f t="shared" ref="I161:M161" si="217">I160/I156</f>
        <v>8.173905577513732E-2</v>
      </c>
      <c r="J161" s="2880">
        <f t="shared" si="217"/>
        <v>0.10540494217874134</v>
      </c>
      <c r="K161" s="2880">
        <f t="shared" si="217"/>
        <v>9.7723745245396232E-2</v>
      </c>
      <c r="L161" s="2880">
        <f t="shared" si="217"/>
        <v>0.15732283882421</v>
      </c>
      <c r="M161" s="2881">
        <f t="shared" si="217"/>
        <v>0.11292951505665405</v>
      </c>
      <c r="N161" s="2882"/>
      <c r="O161" s="2879">
        <f t="shared" ref="O161:S161" si="218">O160/O156</f>
        <v>0.15825676603602901</v>
      </c>
      <c r="P161" s="2880">
        <f t="shared" si="218"/>
        <v>0.16476746496971184</v>
      </c>
      <c r="Q161" s="2880">
        <f t="shared" si="218"/>
        <v>0.13061726179370692</v>
      </c>
      <c r="R161" s="2880">
        <f t="shared" si="218"/>
        <v>0.14248180609630834</v>
      </c>
      <c r="S161" s="2881">
        <f t="shared" si="218"/>
        <v>0.14894248118356382</v>
      </c>
      <c r="T161" s="2882"/>
      <c r="U161" s="2879">
        <f t="shared" ref="U161:Y161" si="219">U160/U156</f>
        <v>0.13758395388753392</v>
      </c>
      <c r="V161" s="2880">
        <f t="shared" si="219"/>
        <v>0.15649676059840273</v>
      </c>
      <c r="W161" s="2880">
        <f t="shared" si="219"/>
        <v>0.16452065168918328</v>
      </c>
      <c r="X161" s="2880">
        <f t="shared" si="219"/>
        <v>0.15457063148284236</v>
      </c>
      <c r="Y161" s="2881">
        <f t="shared" si="219"/>
        <v>0.15401069559373146</v>
      </c>
      <c r="Z161" s="2882"/>
      <c r="AA161" s="2879">
        <f t="shared" ref="AA161:AE161" si="220">AA160/AA156</f>
        <v>0.17724344552256019</v>
      </c>
      <c r="AB161" s="2880">
        <f t="shared" si="220"/>
        <v>0.18045672647011765</v>
      </c>
      <c r="AC161" s="2880">
        <f t="shared" si="220"/>
        <v>0.12349791042501052</v>
      </c>
      <c r="AD161" s="2880">
        <f t="shared" si="220"/>
        <v>0.17025312939443571</v>
      </c>
      <c r="AE161" s="2881">
        <f t="shared" si="220"/>
        <v>0.16447281078497247</v>
      </c>
      <c r="AF161" s="2882"/>
      <c r="AG161" s="2879">
        <f t="shared" ref="AG161:AK161" si="221">AG160/AG156</f>
        <v>0.17601725814788607</v>
      </c>
      <c r="AH161" s="2880">
        <f t="shared" si="221"/>
        <v>0.18605764235923475</v>
      </c>
      <c r="AI161" s="2880">
        <f t="shared" si="221"/>
        <v>0.17865352413530194</v>
      </c>
      <c r="AJ161" s="2880">
        <f t="shared" si="221"/>
        <v>0.17998973848540287</v>
      </c>
      <c r="AK161" s="2881">
        <f t="shared" si="221"/>
        <v>0.18020950479791759</v>
      </c>
      <c r="AL161" s="2882"/>
      <c r="AM161" s="2879">
        <f t="shared" ref="AM161:AQ161" si="222">AM160/AM156</f>
        <v>0.18805735668110121</v>
      </c>
      <c r="AN161" s="2880">
        <f t="shared" si="222"/>
        <v>0.17461957486162902</v>
      </c>
      <c r="AO161" s="2880">
        <f t="shared" si="222"/>
        <v>0.17449536883138539</v>
      </c>
      <c r="AP161" s="2880">
        <f t="shared" si="222"/>
        <v>0.16562654600617738</v>
      </c>
      <c r="AQ161" s="2881">
        <f t="shared" si="222"/>
        <v>0.17527591208085821</v>
      </c>
      <c r="AR161" s="2882"/>
      <c r="AS161" s="2879">
        <f t="shared" ref="AS161:AW161" si="223">AS160/AS156</f>
        <v>0.18904568699182747</v>
      </c>
      <c r="AT161" s="2880">
        <f t="shared" si="223"/>
        <v>0.18780940566732271</v>
      </c>
      <c r="AU161" s="2880">
        <f t="shared" si="223"/>
        <v>0.23906265158386325</v>
      </c>
      <c r="AV161" s="2880">
        <f t="shared" si="223"/>
        <v>0.25285024946915802</v>
      </c>
      <c r="AW161" s="2881">
        <f t="shared" si="223"/>
        <v>0.21912969371852287</v>
      </c>
      <c r="AX161" s="2882"/>
      <c r="AY161" s="2879">
        <f t="shared" ref="AY161:BC161" si="224">AY160/AY156</f>
        <v>0.25202859474616218</v>
      </c>
      <c r="AZ161" s="2880">
        <f t="shared" si="224"/>
        <v>0.22226553371466792</v>
      </c>
      <c r="BA161" s="2880">
        <f t="shared" si="224"/>
        <v>0.21500210286031587</v>
      </c>
      <c r="BB161" s="2880">
        <f t="shared" si="224"/>
        <v>0.20119636884183081</v>
      </c>
      <c r="BC161" s="2881">
        <f t="shared" si="224"/>
        <v>0.22208062429832162</v>
      </c>
      <c r="BD161" s="2882"/>
      <c r="BE161" s="2879">
        <f t="shared" ref="BE161:BI161" si="225">BE160/BE156</f>
        <v>0.17796781111175036</v>
      </c>
      <c r="BF161" s="2880">
        <f t="shared" si="225"/>
        <v>0.20230271052503149</v>
      </c>
      <c r="BG161" s="2880">
        <f t="shared" si="225"/>
        <v>0.21633428733385915</v>
      </c>
      <c r="BH161" s="2880">
        <f t="shared" si="225"/>
        <v>0.17952982388519695</v>
      </c>
      <c r="BI161" s="2881">
        <f t="shared" si="225"/>
        <v>0.19420053410710006</v>
      </c>
      <c r="BJ161" s="2882"/>
      <c r="BK161" s="2879">
        <f t="shared" ref="BK161:BO161" si="226">BK160/BK156</f>
        <v>0.13168896321070234</v>
      </c>
      <c r="BL161" s="2880">
        <f t="shared" si="226"/>
        <v>0.16610054347826086</v>
      </c>
      <c r="BM161" s="2880">
        <f t="shared" si="226"/>
        <v>0.21032066798561988</v>
      </c>
      <c r="BN161" s="2880">
        <f t="shared" si="226"/>
        <v>0.25752754839459718</v>
      </c>
      <c r="BO161" s="2881">
        <f t="shared" si="226"/>
        <v>0.19586441102469024</v>
      </c>
      <c r="BP161" s="2882"/>
      <c r="BQ161" s="2879">
        <f t="shared" ref="BQ161:BU161" si="227">BQ160/BQ156</f>
        <v>0.25624842211562737</v>
      </c>
      <c r="BR161" s="2880">
        <f t="shared" si="227"/>
        <v>0.1902075982267479</v>
      </c>
      <c r="BS161" s="2880">
        <f t="shared" si="227"/>
        <v>0.19446453303583461</v>
      </c>
      <c r="BT161" s="2880">
        <f t="shared" si="227"/>
        <v>0.19857745363527282</v>
      </c>
      <c r="BU161" s="2881">
        <f t="shared" si="227"/>
        <v>0.20947034898834191</v>
      </c>
      <c r="BV161" s="2882"/>
      <c r="BW161" s="2879">
        <f t="shared" ref="BW161:CA161" si="228">BW160/BW156</f>
        <v>0.23110211427097971</v>
      </c>
      <c r="BX161" s="2880">
        <f t="shared" si="228"/>
        <v>0.18746559848363015</v>
      </c>
      <c r="BY161" s="2880">
        <f t="shared" si="228"/>
        <v>0.19220846328133948</v>
      </c>
      <c r="BZ161" s="2880">
        <f t="shared" si="228"/>
        <v>0.19584376761426003</v>
      </c>
      <c r="CA161" s="2881">
        <f t="shared" si="228"/>
        <v>0.20156559292831111</v>
      </c>
      <c r="CB161" s="2882"/>
      <c r="CC161" s="2879">
        <f t="shared" ref="CC161:CG161" si="229">CC160/CC156</f>
        <v>0.22889150847554271</v>
      </c>
      <c r="CD161" s="2880">
        <f t="shared" si="229"/>
        <v>0.18577683640165454</v>
      </c>
      <c r="CE161" s="2880">
        <f t="shared" si="229"/>
        <v>0.1906247921694999</v>
      </c>
      <c r="CF161" s="2880">
        <f t="shared" si="229"/>
        <v>0.19408807640884082</v>
      </c>
      <c r="CG161" s="2881">
        <f t="shared" si="229"/>
        <v>0.19974970950432516</v>
      </c>
      <c r="CH161" s="2882"/>
      <c r="CI161" s="2879">
        <f t="shared" ref="CI161:CM161" si="230">CI160/CI156</f>
        <v>0.22632563724794208</v>
      </c>
      <c r="CJ161" s="2880">
        <f t="shared" si="230"/>
        <v>0.18397605410783324</v>
      </c>
      <c r="CK161" s="2880">
        <f t="shared" si="230"/>
        <v>0.18883434360463827</v>
      </c>
      <c r="CL161" s="2880">
        <f t="shared" si="230"/>
        <v>0.19225572727475662</v>
      </c>
      <c r="CM161" s="2881">
        <f t="shared" si="230"/>
        <v>0.19775482066087763</v>
      </c>
      <c r="CN161" s="2882"/>
      <c r="CO161" s="2879">
        <f t="shared" ref="CO161:CS161" si="231">CO160/CO156</f>
        <v>0.22469017456857382</v>
      </c>
      <c r="CP161" s="2880">
        <f t="shared" si="231"/>
        <v>0.18378662716471972</v>
      </c>
      <c r="CQ161" s="2880">
        <f t="shared" si="231"/>
        <v>0.18879811308849631</v>
      </c>
      <c r="CR161" s="2880">
        <f t="shared" si="231"/>
        <v>0.19211351697214174</v>
      </c>
      <c r="CS161" s="2881">
        <f t="shared" si="231"/>
        <v>0.19721646777619309</v>
      </c>
    </row>
    <row r="162" spans="1:97">
      <c r="A162" s="2859"/>
      <c r="C162" s="2879"/>
      <c r="D162" s="2880"/>
      <c r="E162" s="2880"/>
      <c r="F162" s="2880"/>
      <c r="G162" s="2881"/>
      <c r="H162" s="2882"/>
      <c r="I162" s="2879"/>
      <c r="J162" s="2880"/>
      <c r="K162" s="2880"/>
      <c r="L162" s="2880"/>
      <c r="M162" s="2881"/>
      <c r="N162" s="2882"/>
      <c r="O162" s="2879"/>
      <c r="P162" s="2880"/>
      <c r="Q162" s="2880"/>
      <c r="R162" s="2880"/>
      <c r="S162" s="2881"/>
      <c r="T162" s="2882"/>
      <c r="U162" s="2879"/>
      <c r="V162" s="2880"/>
      <c r="W162" s="2880"/>
      <c r="X162" s="2880"/>
      <c r="Y162" s="2881"/>
      <c r="Z162" s="2882"/>
      <c r="AA162" s="2879"/>
      <c r="AB162" s="2880"/>
      <c r="AC162" s="2880"/>
      <c r="AD162" s="2880"/>
      <c r="AE162" s="2881"/>
      <c r="AF162" s="2882"/>
      <c r="AG162" s="2879"/>
      <c r="AH162" s="2880"/>
      <c r="AI162" s="2880"/>
      <c r="AJ162" s="2880"/>
      <c r="AK162" s="2881"/>
      <c r="AL162" s="2882"/>
      <c r="AM162" s="2879"/>
      <c r="AN162" s="2880"/>
      <c r="AO162" s="2880"/>
      <c r="AP162" s="2880"/>
      <c r="AQ162" s="2881"/>
      <c r="AR162" s="2882"/>
      <c r="AS162" s="2879"/>
      <c r="AT162" s="2880"/>
      <c r="AU162" s="2880"/>
      <c r="AV162" s="2880"/>
      <c r="AW162" s="2881"/>
      <c r="AX162" s="2882"/>
      <c r="AY162" s="2879"/>
      <c r="AZ162" s="2880"/>
      <c r="BA162" s="2880"/>
      <c r="BB162" s="2880"/>
      <c r="BC162" s="2881"/>
      <c r="BD162" s="2882"/>
      <c r="BE162" s="2879"/>
      <c r="BF162" s="2880"/>
      <c r="BG162" s="2880"/>
      <c r="BH162" s="2880"/>
      <c r="BI162" s="2881"/>
      <c r="BJ162" s="2882"/>
      <c r="BK162" s="2879"/>
      <c r="BL162" s="2880"/>
      <c r="BM162" s="2880"/>
      <c r="BN162" s="2880"/>
      <c r="BO162" s="2881"/>
      <c r="BP162" s="2882"/>
      <c r="BQ162" s="2879"/>
      <c r="BR162" s="2880"/>
      <c r="BS162" s="2880"/>
      <c r="BT162" s="2880"/>
      <c r="BU162" s="2881"/>
      <c r="BV162" s="2882"/>
      <c r="BW162" s="2879"/>
      <c r="BX162" s="2880"/>
      <c r="BY162" s="2880"/>
      <c r="BZ162" s="2880"/>
      <c r="CA162" s="2881"/>
      <c r="CB162" s="2882"/>
      <c r="CC162" s="2879"/>
      <c r="CD162" s="2880"/>
      <c r="CE162" s="2880"/>
      <c r="CF162" s="2880"/>
      <c r="CG162" s="2881"/>
      <c r="CH162" s="2882"/>
      <c r="CI162" s="2879"/>
      <c r="CJ162" s="2880"/>
      <c r="CK162" s="2880"/>
      <c r="CL162" s="2880"/>
      <c r="CM162" s="2881"/>
      <c r="CN162" s="2882"/>
      <c r="CO162" s="2879"/>
      <c r="CP162" s="2880"/>
      <c r="CQ162" s="2880"/>
      <c r="CR162" s="2880"/>
      <c r="CS162" s="2881"/>
    </row>
    <row r="163" spans="1:97">
      <c r="A163" s="2859" t="s">
        <v>854</v>
      </c>
      <c r="C163" s="2883"/>
      <c r="D163" s="2884"/>
      <c r="E163" s="2884"/>
      <c r="F163" s="2884"/>
      <c r="G163" s="2885"/>
      <c r="H163" s="581"/>
      <c r="I163" s="2883"/>
      <c r="J163" s="2884"/>
      <c r="K163" s="2884"/>
      <c r="L163" s="2884"/>
      <c r="M163" s="2885"/>
      <c r="N163" s="581"/>
      <c r="O163" s="2883"/>
      <c r="P163" s="2884"/>
      <c r="Q163" s="2884"/>
      <c r="R163" s="2884"/>
      <c r="S163" s="2885"/>
      <c r="T163" s="581"/>
      <c r="U163" s="2883"/>
      <c r="V163" s="2884"/>
      <c r="W163" s="2884"/>
      <c r="X163" s="2884"/>
      <c r="Y163" s="2885"/>
      <c r="Z163" s="581"/>
      <c r="AA163" s="2883"/>
      <c r="AB163" s="2884"/>
      <c r="AC163" s="2884"/>
      <c r="AD163" s="2884"/>
      <c r="AE163" s="2885"/>
      <c r="AF163" s="581"/>
      <c r="AG163" s="2883"/>
      <c r="AH163" s="2884"/>
      <c r="AI163" s="2884"/>
      <c r="AJ163" s="2884"/>
      <c r="AK163" s="2885"/>
      <c r="AL163" s="581"/>
      <c r="AM163" s="2883"/>
      <c r="AN163" s="2884"/>
      <c r="AO163" s="2884"/>
      <c r="AP163" s="2884"/>
      <c r="AQ163" s="2885"/>
      <c r="AR163" s="581"/>
      <c r="AS163" s="2883"/>
      <c r="AT163" s="2884"/>
      <c r="AU163" s="2884"/>
      <c r="AV163" s="2884"/>
      <c r="AW163" s="2885"/>
      <c r="AX163" s="581"/>
      <c r="AY163" s="2886"/>
      <c r="AZ163" s="2887"/>
      <c r="BA163" s="2887"/>
      <c r="BB163" s="2887"/>
      <c r="BC163" s="2885"/>
      <c r="BD163" s="581"/>
      <c r="BE163" s="2883"/>
      <c r="BF163" s="2884"/>
      <c r="BG163" s="2884"/>
      <c r="BH163" s="2884"/>
      <c r="BI163" s="2885"/>
      <c r="BJ163" s="581"/>
      <c r="BK163" s="2883"/>
      <c r="BL163" s="2884"/>
      <c r="BM163" s="2884"/>
      <c r="BN163" s="2884"/>
      <c r="BO163" s="2885"/>
      <c r="BP163" s="581"/>
      <c r="BQ163" s="2883"/>
      <c r="BR163" s="2884"/>
      <c r="BS163" s="2884"/>
      <c r="BT163" s="2884"/>
      <c r="BU163" s="2885"/>
      <c r="BV163" s="581"/>
      <c r="BW163" s="2883"/>
      <c r="BX163" s="2884"/>
      <c r="BY163" s="2884"/>
      <c r="BZ163" s="2884"/>
      <c r="CA163" s="2885"/>
      <c r="CB163" s="581"/>
      <c r="CC163" s="2883"/>
      <c r="CD163" s="2884"/>
      <c r="CE163" s="2884"/>
      <c r="CF163" s="2884"/>
      <c r="CG163" s="2885"/>
      <c r="CH163" s="581"/>
      <c r="CI163" s="2883"/>
      <c r="CJ163" s="2884"/>
      <c r="CK163" s="2884"/>
      <c r="CL163" s="2884"/>
      <c r="CM163" s="2885"/>
      <c r="CN163" s="581"/>
      <c r="CO163" s="2883"/>
      <c r="CP163" s="2884"/>
      <c r="CQ163" s="2884"/>
      <c r="CR163" s="2884"/>
      <c r="CS163" s="2885"/>
    </row>
    <row r="164" spans="1:97">
      <c r="A164" s="2858" t="s">
        <v>207</v>
      </c>
      <c r="C164" s="2888">
        <f>+C32+C29</f>
        <v>400.07299999999998</v>
      </c>
      <c r="D164" s="2889">
        <f t="shared" ref="D164:G164" si="232">+D32+D29</f>
        <v>400.04199999999997</v>
      </c>
      <c r="E164" s="2889">
        <f t="shared" si="232"/>
        <v>400.02499999999998</v>
      </c>
      <c r="F164" s="2889">
        <f t="shared" si="232"/>
        <v>400</v>
      </c>
      <c r="G164" s="2890">
        <f t="shared" si="232"/>
        <v>400</v>
      </c>
      <c r="I164" s="2888">
        <f t="shared" ref="I164:M164" si="233">+I32+I29</f>
        <v>400.00599999999997</v>
      </c>
      <c r="J164" s="2889">
        <f t="shared" si="233"/>
        <v>400</v>
      </c>
      <c r="K164" s="2889">
        <f t="shared" si="233"/>
        <v>400.58699999999999</v>
      </c>
      <c r="L164" s="2889">
        <f t="shared" si="233"/>
        <v>399.99900000000002</v>
      </c>
      <c r="M164" s="2890">
        <f t="shared" si="233"/>
        <v>399.99900000000002</v>
      </c>
      <c r="O164" s="2888">
        <f t="shared" ref="O164:S164" si="234">+O32+O29</f>
        <v>389.99900000000002</v>
      </c>
      <c r="P164" s="2889">
        <f t="shared" si="234"/>
        <v>389.99899999999997</v>
      </c>
      <c r="Q164" s="2889">
        <f t="shared" si="234"/>
        <v>389.99900000000002</v>
      </c>
      <c r="R164" s="2889">
        <f t="shared" si="234"/>
        <v>389.99900000000002</v>
      </c>
      <c r="S164" s="2890">
        <f t="shared" si="234"/>
        <v>389.99900000000002</v>
      </c>
      <c r="U164" s="2888">
        <f t="shared" ref="U164:Y164" si="235">+U32+U29</f>
        <v>389.99900000000002</v>
      </c>
      <c r="V164" s="2889">
        <f t="shared" si="235"/>
        <v>389.99899999999997</v>
      </c>
      <c r="W164" s="2889">
        <f t="shared" si="235"/>
        <v>389.99900000000002</v>
      </c>
      <c r="X164" s="2889">
        <f t="shared" si="235"/>
        <v>389.99899999999997</v>
      </c>
      <c r="Y164" s="2890">
        <f t="shared" si="235"/>
        <v>389.99899999999997</v>
      </c>
      <c r="AA164" s="2888">
        <f t="shared" ref="AA164:AE164" si="236">+AA32+AA29</f>
        <v>788.947</v>
      </c>
      <c r="AB164" s="2889">
        <f t="shared" si="236"/>
        <v>806.36400000000003</v>
      </c>
      <c r="AC164" s="2889">
        <f t="shared" si="236"/>
        <v>805.202</v>
      </c>
      <c r="AD164" s="2889">
        <f t="shared" si="236"/>
        <v>813.09100000000001</v>
      </c>
      <c r="AE164" s="2890">
        <f t="shared" si="236"/>
        <v>813.09100000000001</v>
      </c>
      <c r="AG164" s="2888">
        <f t="shared" ref="AG164:AK164" si="237">+AG32+AG29</f>
        <v>821.06799999999998</v>
      </c>
      <c r="AH164" s="2889">
        <f t="shared" si="237"/>
        <v>829.13300000000004</v>
      </c>
      <c r="AI164" s="2889">
        <f t="shared" si="237"/>
        <v>837.28700000000003</v>
      </c>
      <c r="AJ164" s="2889">
        <f t="shared" si="237"/>
        <v>845.53099999999995</v>
      </c>
      <c r="AK164" s="2890">
        <f t="shared" si="237"/>
        <v>845.53099999999995</v>
      </c>
      <c r="AM164" s="2888">
        <f t="shared" ref="AM164:AQ164" si="238">+AM32+AM29</f>
        <v>853.86599999999999</v>
      </c>
      <c r="AN164" s="2889">
        <f t="shared" si="238"/>
        <v>853.29399999999998</v>
      </c>
      <c r="AO164" s="2889">
        <f t="shared" si="238"/>
        <v>860.31</v>
      </c>
      <c r="AP164" s="2889">
        <f t="shared" si="238"/>
        <v>868.875</v>
      </c>
      <c r="AQ164" s="2890">
        <f t="shared" si="238"/>
        <v>868.875</v>
      </c>
      <c r="AS164" s="2888">
        <f t="shared" ref="AS164:AW164" si="239">+AS32+AS29</f>
        <v>848.01599999999996</v>
      </c>
      <c r="AT164" s="2889">
        <f t="shared" si="239"/>
        <v>1270.963</v>
      </c>
      <c r="AU164" s="2889">
        <f t="shared" si="239"/>
        <v>1280.9549999999999</v>
      </c>
      <c r="AV164" s="2889">
        <f t="shared" si="239"/>
        <v>1291.0360000000001</v>
      </c>
      <c r="AW164" s="2890">
        <f t="shared" si="239"/>
        <v>1291.0360000000001</v>
      </c>
      <c r="AY164" s="2888">
        <f t="shared" ref="AY164:BC164" si="240">+AY32+AY29</f>
        <v>1301.2040000000002</v>
      </c>
      <c r="AZ164" s="2889">
        <f t="shared" si="240"/>
        <v>1303.2759999999998</v>
      </c>
      <c r="BA164" s="2889">
        <f t="shared" si="240"/>
        <v>1110.1009999999999</v>
      </c>
      <c r="BB164" s="2889">
        <f t="shared" si="240"/>
        <v>1090.578</v>
      </c>
      <c r="BC164" s="2890">
        <f t="shared" si="240"/>
        <v>1090.578</v>
      </c>
      <c r="BE164" s="2888">
        <f t="shared" ref="BE164:BI164" si="241">+BE32+BE29</f>
        <v>1022.646</v>
      </c>
      <c r="BF164" s="2889">
        <f t="shared" si="241"/>
        <v>1031.8809999999999</v>
      </c>
      <c r="BG164" s="2889">
        <f t="shared" si="241"/>
        <v>1042.0150000000001</v>
      </c>
      <c r="BH164" s="2889">
        <f t="shared" si="241"/>
        <v>1049.0550000000001</v>
      </c>
      <c r="BI164" s="2890">
        <f t="shared" si="241"/>
        <v>1049.0550000000001</v>
      </c>
      <c r="BK164" s="2888">
        <f t="shared" ref="BK164:BO164" si="242">+BK32+BK29</f>
        <v>1056</v>
      </c>
      <c r="BL164" s="2889">
        <f t="shared" si="242"/>
        <v>1174</v>
      </c>
      <c r="BM164" s="2889">
        <f t="shared" si="242"/>
        <v>1182</v>
      </c>
      <c r="BN164" s="2889">
        <f t="shared" si="242"/>
        <v>1192</v>
      </c>
      <c r="BO164" s="2890">
        <f t="shared" si="242"/>
        <v>1192</v>
      </c>
      <c r="BQ164" s="2888">
        <f t="shared" ref="BQ164:BU164" si="243">+BQ32+BQ29</f>
        <v>1081.3702252500977</v>
      </c>
      <c r="BR164" s="2889">
        <f t="shared" si="243"/>
        <v>1089.2473159463202</v>
      </c>
      <c r="BS164" s="2889">
        <f t="shared" si="243"/>
        <v>1097.2741214661182</v>
      </c>
      <c r="BT164" s="2889">
        <f t="shared" si="243"/>
        <v>1105.3649344203077</v>
      </c>
      <c r="BU164" s="2890">
        <f t="shared" si="243"/>
        <v>1105.3649344203077</v>
      </c>
      <c r="BW164" s="2888">
        <f t="shared" ref="BW164:CA164" si="244">+BW32+BW29</f>
        <v>1113.3422901257827</v>
      </c>
      <c r="BX164" s="2889">
        <f t="shared" si="244"/>
        <v>1121.471559490574</v>
      </c>
      <c r="BY164" s="2889">
        <f t="shared" si="244"/>
        <v>1129.7553548056835</v>
      </c>
      <c r="BZ164" s="2889">
        <f t="shared" si="244"/>
        <v>1138.1052252214263</v>
      </c>
      <c r="CA164" s="2890">
        <f t="shared" si="244"/>
        <v>1138.1052252214263</v>
      </c>
      <c r="CC164" s="2888">
        <f t="shared" ref="CC164:CG164" si="245">+CC32+CC29</f>
        <v>1146.3380235564455</v>
      </c>
      <c r="CD164" s="2889">
        <f t="shared" si="245"/>
        <v>1154.727618141452</v>
      </c>
      <c r="CE164" s="2889">
        <f t="shared" si="245"/>
        <v>1163.2767058141358</v>
      </c>
      <c r="CF164" s="2889">
        <f t="shared" si="245"/>
        <v>1171.8940036504232</v>
      </c>
      <c r="CG164" s="2890">
        <f t="shared" si="245"/>
        <v>1171.8940036504232</v>
      </c>
      <c r="CI164" s="2888">
        <f t="shared" ref="CI164:CM164" si="246">+CI32+CI29</f>
        <v>1180.3904983633502</v>
      </c>
      <c r="CJ164" s="2889">
        <f t="shared" si="246"/>
        <v>1189.0488302709182</v>
      </c>
      <c r="CK164" s="2889">
        <f t="shared" si="246"/>
        <v>1197.8717835185155</v>
      </c>
      <c r="CL164" s="2889">
        <f t="shared" si="246"/>
        <v>1206.7651516056812</v>
      </c>
      <c r="CM164" s="2890">
        <f t="shared" si="246"/>
        <v>1206.7651516056812</v>
      </c>
      <c r="CO164" s="2888">
        <f t="shared" ref="CO164:CS164" si="247">+CO32+CO29</f>
        <v>1215.533865546334</v>
      </c>
      <c r="CP164" s="2889">
        <f t="shared" si="247"/>
        <v>1224.4696211621451</v>
      </c>
      <c r="CQ164" s="2889">
        <f t="shared" si="247"/>
        <v>1233.5752927581691</v>
      </c>
      <c r="CR164" s="2889">
        <f t="shared" si="247"/>
        <v>1242.7536557724875</v>
      </c>
      <c r="CS164" s="2890">
        <f t="shared" si="247"/>
        <v>1242.7536557724875</v>
      </c>
    </row>
    <row r="165" spans="1:97">
      <c r="A165" s="2858" t="s">
        <v>855</v>
      </c>
      <c r="C165" s="2888">
        <f>+-C15-C22</f>
        <v>0</v>
      </c>
      <c r="D165" s="2889">
        <f t="shared" ref="D165:G165" si="248">+-D15-D22</f>
        <v>0</v>
      </c>
      <c r="E165" s="2889">
        <f t="shared" si="248"/>
        <v>0</v>
      </c>
      <c r="F165" s="2889">
        <f t="shared" si="248"/>
        <v>-107.179</v>
      </c>
      <c r="G165" s="2890">
        <f t="shared" si="248"/>
        <v>-107.179</v>
      </c>
      <c r="I165" s="2888">
        <f t="shared" ref="I165:M165" si="249">+-I15-I22</f>
        <v>-75.997</v>
      </c>
      <c r="J165" s="2889">
        <f t="shared" si="249"/>
        <v>-76.855000000000004</v>
      </c>
      <c r="K165" s="2889">
        <f t="shared" si="249"/>
        <v>-69.787999999999997</v>
      </c>
      <c r="L165" s="2889">
        <f t="shared" si="249"/>
        <v>-86.956000000000003</v>
      </c>
      <c r="M165" s="2890">
        <f t="shared" si="249"/>
        <v>-86.956000000000003</v>
      </c>
      <c r="O165" s="2888">
        <f t="shared" ref="O165:S165" si="250">+-O15-O22</f>
        <v>-32.655000000000001</v>
      </c>
      <c r="P165" s="2889">
        <f t="shared" si="250"/>
        <v>-47.547000000000004</v>
      </c>
      <c r="Q165" s="2889">
        <f t="shared" si="250"/>
        <v>-53.747999999999998</v>
      </c>
      <c r="R165" s="2889">
        <f t="shared" si="250"/>
        <v>-67.391999999999996</v>
      </c>
      <c r="S165" s="2890">
        <f t="shared" si="250"/>
        <v>-67.391999999999996</v>
      </c>
      <c r="U165" s="2888">
        <f t="shared" ref="U165:Y165" si="251">+-U15-U22</f>
        <v>-66.569999999999993</v>
      </c>
      <c r="V165" s="2889">
        <f t="shared" si="251"/>
        <v>-64.736999999999995</v>
      </c>
      <c r="W165" s="2889">
        <f t="shared" si="251"/>
        <v>-54.345999999999997</v>
      </c>
      <c r="X165" s="2889">
        <f t="shared" si="251"/>
        <v>-58.875</v>
      </c>
      <c r="Y165" s="2890">
        <f t="shared" si="251"/>
        <v>-58.875</v>
      </c>
      <c r="AA165" s="2888">
        <f t="shared" ref="AA165:AE165" si="252">+-AA15-AA22</f>
        <v>-19.449000000000002</v>
      </c>
      <c r="AB165" s="2889">
        <f t="shared" si="252"/>
        <v>-39.44</v>
      </c>
      <c r="AC165" s="2889">
        <f t="shared" si="252"/>
        <v>-44.478000000000002</v>
      </c>
      <c r="AD165" s="2889">
        <f t="shared" si="252"/>
        <v>-42.863</v>
      </c>
      <c r="AE165" s="2890">
        <f t="shared" si="252"/>
        <v>-42.863</v>
      </c>
      <c r="AG165" s="2888">
        <f t="shared" ref="AG165:AK165" si="253">+-AG15-AG22</f>
        <v>-49.170999999999999</v>
      </c>
      <c r="AH165" s="2889">
        <f t="shared" si="253"/>
        <v>-72.772999999999996</v>
      </c>
      <c r="AI165" s="2889">
        <f t="shared" si="253"/>
        <v>-81.638999999999996</v>
      </c>
      <c r="AJ165" s="2889">
        <f t="shared" si="253"/>
        <v>-70.634</v>
      </c>
      <c r="AK165" s="2890">
        <f t="shared" si="253"/>
        <v>-70.634</v>
      </c>
      <c r="AM165" s="2888">
        <f t="shared" ref="AM165:AQ165" si="254">+-AM15-AM22</f>
        <v>-95.634</v>
      </c>
      <c r="AN165" s="2889">
        <f t="shared" si="254"/>
        <v>-94.602000000000004</v>
      </c>
      <c r="AO165" s="2889">
        <f t="shared" si="254"/>
        <v>-128.77099999999999</v>
      </c>
      <c r="AP165" s="2889">
        <f t="shared" si="254"/>
        <v>-124.55600000000001</v>
      </c>
      <c r="AQ165" s="2890">
        <f t="shared" si="254"/>
        <v>-124.55600000000001</v>
      </c>
      <c r="AS165" s="2888">
        <f t="shared" ref="AS165:AW165" si="255">+-AS15-AS22</f>
        <v>-141.685</v>
      </c>
      <c r="AT165" s="2889">
        <f t="shared" si="255"/>
        <v>-115.05500000000001</v>
      </c>
      <c r="AU165" s="2889">
        <f t="shared" si="255"/>
        <v>-141.65899999999999</v>
      </c>
      <c r="AV165" s="2889">
        <f t="shared" si="255"/>
        <v>-90.634</v>
      </c>
      <c r="AW165" s="2890">
        <f t="shared" si="255"/>
        <v>-90.634</v>
      </c>
      <c r="AY165" s="2888">
        <f t="shared" ref="AY165:BC165" si="256">+-AY15-AY22</f>
        <v>-112.227</v>
      </c>
      <c r="AZ165" s="2889">
        <f t="shared" si="256"/>
        <v>-118.399</v>
      </c>
      <c r="BA165" s="2889">
        <f t="shared" si="256"/>
        <v>-130.56399999999999</v>
      </c>
      <c r="BB165" s="2889">
        <f t="shared" si="256"/>
        <v>-134.51499999999999</v>
      </c>
      <c r="BC165" s="2890">
        <f t="shared" si="256"/>
        <v>-134.51499999999999</v>
      </c>
      <c r="BE165" s="2888">
        <f t="shared" ref="BE165:BI165" si="257">+-BE15-BE22</f>
        <v>-196.19800000000001</v>
      </c>
      <c r="BF165" s="2889">
        <f t="shared" si="257"/>
        <v>-186.46199999999999</v>
      </c>
      <c r="BG165" s="2889">
        <f t="shared" si="257"/>
        <v>-182.12200000000001</v>
      </c>
      <c r="BH165" s="2889">
        <f t="shared" si="257"/>
        <v>-123.31699999999999</v>
      </c>
      <c r="BI165" s="2890">
        <f t="shared" si="257"/>
        <v>-123.31699999999999</v>
      </c>
      <c r="BK165" s="2888">
        <f t="shared" ref="BK165:BO165" si="258">+-BK15-BK22</f>
        <v>-83</v>
      </c>
      <c r="BL165" s="2889">
        <f t="shared" si="258"/>
        <v>-103</v>
      </c>
      <c r="BM165" s="2889">
        <f t="shared" si="258"/>
        <v>-117</v>
      </c>
      <c r="BN165" s="2889">
        <f t="shared" si="258"/>
        <v>-88</v>
      </c>
      <c r="BO165" s="2890">
        <f t="shared" si="258"/>
        <v>-88</v>
      </c>
      <c r="BQ165" s="2888">
        <f t="shared" ref="BQ165:BU165" si="259">+-BQ15-BQ22</f>
        <v>-88</v>
      </c>
      <c r="BR165" s="2889">
        <f t="shared" si="259"/>
        <v>-88</v>
      </c>
      <c r="BS165" s="2889">
        <f t="shared" si="259"/>
        <v>-88</v>
      </c>
      <c r="BT165" s="2889">
        <f t="shared" si="259"/>
        <v>-88</v>
      </c>
      <c r="BU165" s="2890">
        <f t="shared" si="259"/>
        <v>-88</v>
      </c>
      <c r="BW165" s="2888">
        <f t="shared" ref="BW165:CA165" si="260">+-BW15-BW22</f>
        <v>-88</v>
      </c>
      <c r="BX165" s="2889">
        <f t="shared" si="260"/>
        <v>-88</v>
      </c>
      <c r="BY165" s="2889">
        <f t="shared" si="260"/>
        <v>-88</v>
      </c>
      <c r="BZ165" s="2889">
        <f t="shared" si="260"/>
        <v>-88</v>
      </c>
      <c r="CA165" s="2890">
        <f t="shared" si="260"/>
        <v>-88</v>
      </c>
      <c r="CC165" s="2888">
        <f t="shared" ref="CC165:CG165" si="261">+-CC15-CC22</f>
        <v>-88</v>
      </c>
      <c r="CD165" s="2889">
        <f t="shared" si="261"/>
        <v>-88</v>
      </c>
      <c r="CE165" s="2889">
        <f t="shared" si="261"/>
        <v>-88</v>
      </c>
      <c r="CF165" s="2889">
        <f t="shared" si="261"/>
        <v>-88</v>
      </c>
      <c r="CG165" s="2890">
        <f t="shared" si="261"/>
        <v>-88</v>
      </c>
      <c r="CI165" s="2888">
        <f t="shared" ref="CI165:CM165" si="262">+-CI15-CI22</f>
        <v>-88</v>
      </c>
      <c r="CJ165" s="2889">
        <f t="shared" si="262"/>
        <v>-88</v>
      </c>
      <c r="CK165" s="2889">
        <f t="shared" si="262"/>
        <v>-88</v>
      </c>
      <c r="CL165" s="2889">
        <f t="shared" si="262"/>
        <v>-88</v>
      </c>
      <c r="CM165" s="2890">
        <f t="shared" si="262"/>
        <v>-88</v>
      </c>
      <c r="CO165" s="2888">
        <f t="shared" ref="CO165:CS165" si="263">+-CO15-CO22</f>
        <v>-88</v>
      </c>
      <c r="CP165" s="2889">
        <f t="shared" si="263"/>
        <v>-88</v>
      </c>
      <c r="CQ165" s="2889">
        <f t="shared" si="263"/>
        <v>-88</v>
      </c>
      <c r="CR165" s="2889">
        <f t="shared" si="263"/>
        <v>-88</v>
      </c>
      <c r="CS165" s="2890">
        <f t="shared" si="263"/>
        <v>-88</v>
      </c>
    </row>
    <row r="166" spans="1:97">
      <c r="A166" s="2858" t="s">
        <v>856</v>
      </c>
      <c r="C166" s="2888">
        <f>+C31</f>
        <v>10.143000000000001</v>
      </c>
      <c r="D166" s="2889">
        <f t="shared" ref="D166:G166" si="264">+D31</f>
        <v>10.132</v>
      </c>
      <c r="E166" s="2889">
        <f t="shared" si="264"/>
        <v>9.93</v>
      </c>
      <c r="F166" s="2889">
        <f t="shared" si="264"/>
        <v>10.339</v>
      </c>
      <c r="G166" s="2890">
        <f t="shared" si="264"/>
        <v>10.339</v>
      </c>
      <c r="I166" s="2888">
        <f t="shared" ref="I166:M166" si="265">+I31</f>
        <v>15.138999999999999</v>
      </c>
      <c r="J166" s="2889">
        <f t="shared" si="265"/>
        <v>14.885</v>
      </c>
      <c r="K166" s="2889">
        <f t="shared" si="265"/>
        <v>16.521999999999998</v>
      </c>
      <c r="L166" s="2889">
        <f t="shared" si="265"/>
        <v>18.946000000000002</v>
      </c>
      <c r="M166" s="2890">
        <f t="shared" si="265"/>
        <v>18.946000000000002</v>
      </c>
      <c r="O166" s="2888">
        <f t="shared" ref="O166:S166" si="266">+O31</f>
        <v>18.914999999999999</v>
      </c>
      <c r="P166" s="2889">
        <f t="shared" si="266"/>
        <v>21.835000000000001</v>
      </c>
      <c r="Q166" s="2889">
        <f t="shared" si="266"/>
        <v>21.663</v>
      </c>
      <c r="R166" s="2889">
        <f t="shared" si="266"/>
        <v>24.655999999999999</v>
      </c>
      <c r="S166" s="2890">
        <f t="shared" si="266"/>
        <v>24.655999999999999</v>
      </c>
      <c r="U166" s="2888">
        <f t="shared" ref="U166:Y166" si="267">+U31</f>
        <v>22.978999999999999</v>
      </c>
      <c r="V166" s="2889">
        <f t="shared" si="267"/>
        <v>33.774999999999999</v>
      </c>
      <c r="W166" s="2889">
        <f t="shared" si="267"/>
        <v>32.783000000000001</v>
      </c>
      <c r="X166" s="2889">
        <f t="shared" si="267"/>
        <v>28.530999999999999</v>
      </c>
      <c r="Y166" s="2890">
        <f t="shared" si="267"/>
        <v>28.530999999999999</v>
      </c>
      <c r="AA166" s="2888">
        <f t="shared" ref="AA166:AE166" si="268">+AA31</f>
        <v>35.985999999999997</v>
      </c>
      <c r="AB166" s="2889">
        <f t="shared" si="268"/>
        <v>38.512</v>
      </c>
      <c r="AC166" s="2889">
        <f t="shared" si="268"/>
        <v>42.896999999999998</v>
      </c>
      <c r="AD166" s="2889">
        <f t="shared" si="268"/>
        <v>69.953999999999994</v>
      </c>
      <c r="AE166" s="2890">
        <f t="shared" si="268"/>
        <v>69.953999999999994</v>
      </c>
      <c r="AG166" s="2888">
        <f t="shared" ref="AG166:AK166" si="269">+AG31</f>
        <v>62.332999999999998</v>
      </c>
      <c r="AH166" s="2889">
        <f t="shared" si="269"/>
        <v>75.340999999999994</v>
      </c>
      <c r="AI166" s="2889">
        <f t="shared" si="269"/>
        <v>111.69</v>
      </c>
      <c r="AJ166" s="2889">
        <f t="shared" si="269"/>
        <v>134.369</v>
      </c>
      <c r="AK166" s="2890">
        <f t="shared" si="269"/>
        <v>134.369</v>
      </c>
      <c r="AM166" s="2888">
        <f t="shared" ref="AM166:AQ166" si="270">+AM31</f>
        <v>206.19499999999999</v>
      </c>
      <c r="AN166" s="2889">
        <f t="shared" si="270"/>
        <v>192.167</v>
      </c>
      <c r="AO166" s="2889">
        <f t="shared" si="270"/>
        <v>192.80699999999999</v>
      </c>
      <c r="AP166" s="2889">
        <f t="shared" si="270"/>
        <v>324.154</v>
      </c>
      <c r="AQ166" s="2890">
        <f t="shared" si="270"/>
        <v>324.154</v>
      </c>
      <c r="AS166" s="2888">
        <f t="shared" ref="AS166:AW166" si="271">+AS31</f>
        <v>330.178</v>
      </c>
      <c r="AT166" s="2889">
        <f t="shared" si="271"/>
        <v>332.46699999999998</v>
      </c>
      <c r="AU166" s="2889">
        <f t="shared" si="271"/>
        <v>167.65600000000001</v>
      </c>
      <c r="AV166" s="2889">
        <f t="shared" si="271"/>
        <v>167.904</v>
      </c>
      <c r="AW166" s="2890">
        <f t="shared" si="271"/>
        <v>167.904</v>
      </c>
      <c r="AY166" s="2888">
        <f t="shared" ref="AY166:BC166" si="272">+AY31</f>
        <v>171.739</v>
      </c>
      <c r="AZ166" s="2889">
        <f t="shared" si="272"/>
        <v>183.33099999999999</v>
      </c>
      <c r="BA166" s="2889">
        <f t="shared" si="272"/>
        <v>205.18900000000002</v>
      </c>
      <c r="BB166" s="2889">
        <f t="shared" si="272"/>
        <v>213.05099999999999</v>
      </c>
      <c r="BC166" s="2890">
        <f t="shared" si="272"/>
        <v>213.05099999999999</v>
      </c>
      <c r="BE166" s="2888">
        <f t="shared" ref="BE166:BI166" si="273">+BE31</f>
        <v>298.72300000000001</v>
      </c>
      <c r="BF166" s="2889">
        <f t="shared" si="273"/>
        <v>316.44200000000001</v>
      </c>
      <c r="BG166" s="2889">
        <f t="shared" si="273"/>
        <v>318.06</v>
      </c>
      <c r="BH166" s="2889">
        <f t="shared" si="273"/>
        <v>330.90099999999995</v>
      </c>
      <c r="BI166" s="2890">
        <f t="shared" si="273"/>
        <v>330.90099999999995</v>
      </c>
      <c r="BK166" s="2888">
        <f t="shared" ref="BK166:BO166" si="274">+BK31</f>
        <v>271</v>
      </c>
      <c r="BL166" s="2889">
        <f t="shared" si="274"/>
        <v>292</v>
      </c>
      <c r="BM166" s="2889">
        <f t="shared" si="274"/>
        <v>346</v>
      </c>
      <c r="BN166" s="2889">
        <f t="shared" si="274"/>
        <v>580</v>
      </c>
      <c r="BO166" s="2890">
        <f t="shared" si="274"/>
        <v>580</v>
      </c>
      <c r="BQ166" s="2888">
        <f t="shared" ref="BQ166:BU166" si="275">+BQ31</f>
        <v>580</v>
      </c>
      <c r="BR166" s="2889">
        <f t="shared" si="275"/>
        <v>580</v>
      </c>
      <c r="BS166" s="2889">
        <f t="shared" si="275"/>
        <v>580</v>
      </c>
      <c r="BT166" s="2889">
        <f t="shared" si="275"/>
        <v>580</v>
      </c>
      <c r="BU166" s="2890">
        <f t="shared" si="275"/>
        <v>580</v>
      </c>
      <c r="BW166" s="2888">
        <f t="shared" ref="BW166:CA166" si="276">+BW31</f>
        <v>580</v>
      </c>
      <c r="BX166" s="2889">
        <f t="shared" si="276"/>
        <v>580</v>
      </c>
      <c r="BY166" s="2889">
        <f t="shared" si="276"/>
        <v>580</v>
      </c>
      <c r="BZ166" s="2889">
        <f t="shared" si="276"/>
        <v>580</v>
      </c>
      <c r="CA166" s="2890">
        <f t="shared" si="276"/>
        <v>580</v>
      </c>
      <c r="CC166" s="2888">
        <f t="shared" ref="CC166:CG166" si="277">+CC31</f>
        <v>580</v>
      </c>
      <c r="CD166" s="2889">
        <f t="shared" si="277"/>
        <v>580</v>
      </c>
      <c r="CE166" s="2889">
        <f t="shared" si="277"/>
        <v>580</v>
      </c>
      <c r="CF166" s="2889">
        <f t="shared" si="277"/>
        <v>580</v>
      </c>
      <c r="CG166" s="2890">
        <f t="shared" si="277"/>
        <v>580</v>
      </c>
      <c r="CI166" s="2888">
        <f t="shared" ref="CI166:CM166" si="278">+CI31</f>
        <v>580</v>
      </c>
      <c r="CJ166" s="2889">
        <f t="shared" si="278"/>
        <v>580</v>
      </c>
      <c r="CK166" s="2889">
        <f t="shared" si="278"/>
        <v>580</v>
      </c>
      <c r="CL166" s="2889">
        <f t="shared" si="278"/>
        <v>580</v>
      </c>
      <c r="CM166" s="2890">
        <f t="shared" si="278"/>
        <v>580</v>
      </c>
      <c r="CO166" s="2888">
        <f t="shared" ref="CO166:CS166" si="279">+CO31</f>
        <v>580</v>
      </c>
      <c r="CP166" s="2889">
        <f t="shared" si="279"/>
        <v>580</v>
      </c>
      <c r="CQ166" s="2889">
        <f t="shared" si="279"/>
        <v>580</v>
      </c>
      <c r="CR166" s="2889">
        <f t="shared" si="279"/>
        <v>580</v>
      </c>
      <c r="CS166" s="2890">
        <f t="shared" si="279"/>
        <v>580</v>
      </c>
    </row>
    <row r="167" spans="1:97">
      <c r="A167" s="2860" t="s">
        <v>857</v>
      </c>
      <c r="C167" s="2888"/>
      <c r="D167" s="2889"/>
      <c r="E167" s="2889"/>
      <c r="F167" s="2889"/>
      <c r="G167" s="2890"/>
      <c r="I167" s="2888"/>
      <c r="J167" s="2889"/>
      <c r="K167" s="2889"/>
      <c r="L167" s="2889"/>
      <c r="M167" s="2890"/>
      <c r="O167" s="2888"/>
      <c r="P167" s="2889"/>
      <c r="Q167" s="2889"/>
      <c r="R167" s="2889"/>
      <c r="S167" s="2890"/>
      <c r="U167" s="2888"/>
      <c r="V167" s="2889"/>
      <c r="W167" s="2889"/>
      <c r="X167" s="2889"/>
      <c r="Y167" s="2890"/>
      <c r="AA167" s="2888"/>
      <c r="AB167" s="2889"/>
      <c r="AC167" s="2889"/>
      <c r="AD167" s="2889"/>
      <c r="AE167" s="2890"/>
      <c r="AG167" s="2888"/>
      <c r="AH167" s="2889"/>
      <c r="AI167" s="2889"/>
      <c r="AJ167" s="2889"/>
      <c r="AK167" s="2890"/>
      <c r="AM167" s="2888"/>
      <c r="AN167" s="2889"/>
      <c r="AO167" s="2889"/>
      <c r="AP167" s="2889"/>
      <c r="AQ167" s="2890"/>
      <c r="AS167" s="2888"/>
      <c r="AT167" s="2889"/>
      <c r="AU167" s="2889"/>
      <c r="AV167" s="2889"/>
      <c r="AW167" s="2890"/>
      <c r="AY167" s="2888"/>
      <c r="AZ167" s="2889"/>
      <c r="BA167" s="2889"/>
      <c r="BB167" s="2889"/>
      <c r="BC167" s="2890"/>
      <c r="BE167" s="2888"/>
      <c r="BF167" s="2889"/>
      <c r="BG167" s="2889"/>
      <c r="BH167" s="2889"/>
      <c r="BI167" s="2890"/>
      <c r="BK167" s="2888"/>
      <c r="BL167" s="2889"/>
      <c r="BM167" s="2889"/>
      <c r="BN167" s="2889"/>
      <c r="BO167" s="2890"/>
      <c r="BQ167" s="2888"/>
      <c r="BR167" s="2889"/>
      <c r="BS167" s="2889"/>
      <c r="BT167" s="2889"/>
      <c r="BU167" s="2890"/>
      <c r="BW167" s="2888"/>
      <c r="BX167" s="2889"/>
      <c r="BY167" s="2889"/>
      <c r="BZ167" s="2889"/>
      <c r="CA167" s="2890"/>
      <c r="CC167" s="2888"/>
      <c r="CD167" s="2889"/>
      <c r="CE167" s="2889"/>
      <c r="CF167" s="2889"/>
      <c r="CG167" s="2890"/>
      <c r="CI167" s="2888"/>
      <c r="CJ167" s="2889"/>
      <c r="CK167" s="2889"/>
      <c r="CL167" s="2889"/>
      <c r="CM167" s="2890"/>
      <c r="CO167" s="2888"/>
      <c r="CP167" s="2889"/>
      <c r="CQ167" s="2889"/>
      <c r="CR167" s="2889"/>
      <c r="CS167" s="2890"/>
    </row>
    <row r="168" spans="1:97">
      <c r="A168" s="2859" t="s">
        <v>858</v>
      </c>
      <c r="C168" s="2888"/>
      <c r="D168" s="2889"/>
      <c r="E168" s="2889"/>
      <c r="F168" s="2889"/>
      <c r="G168" s="2890"/>
      <c r="I168" s="2888"/>
      <c r="J168" s="2889"/>
      <c r="K168" s="2889"/>
      <c r="L168" s="2889"/>
      <c r="M168" s="2890"/>
      <c r="O168" s="2888"/>
      <c r="P168" s="2889"/>
      <c r="Q168" s="2889"/>
      <c r="R168" s="2889"/>
      <c r="S168" s="2890"/>
      <c r="U168" s="2888"/>
      <c r="V168" s="2889"/>
      <c r="W168" s="2889"/>
      <c r="X168" s="2889"/>
      <c r="Y168" s="2890"/>
      <c r="AA168" s="2888"/>
      <c r="AB168" s="2889"/>
      <c r="AC168" s="2889"/>
      <c r="AD168" s="2889"/>
      <c r="AE168" s="2890"/>
      <c r="AG168" s="2888"/>
      <c r="AH168" s="2889"/>
      <c r="AI168" s="2889"/>
      <c r="AJ168" s="2889"/>
      <c r="AK168" s="2890"/>
      <c r="AM168" s="2888"/>
      <c r="AN168" s="2889"/>
      <c r="AO168" s="2889"/>
      <c r="AP168" s="2889"/>
      <c r="AQ168" s="2890"/>
      <c r="AS168" s="2888"/>
      <c r="AT168" s="2889"/>
      <c r="AU168" s="2889"/>
      <c r="AV168" s="2889"/>
      <c r="AW168" s="2890"/>
      <c r="AY168" s="2888"/>
      <c r="AZ168" s="2889"/>
      <c r="BA168" s="2889"/>
      <c r="BB168" s="2889"/>
      <c r="BC168" s="2890"/>
      <c r="BE168" s="2888"/>
      <c r="BF168" s="2889"/>
      <c r="BG168" s="2889"/>
      <c r="BH168" s="2889"/>
      <c r="BI168" s="2890"/>
      <c r="BK168" s="2888"/>
      <c r="BL168" s="2889"/>
      <c r="BM168" s="2889"/>
      <c r="BN168" s="2889"/>
      <c r="BO168" s="2890"/>
      <c r="BQ168" s="2888"/>
      <c r="BR168" s="2889"/>
      <c r="BS168" s="2889"/>
      <c r="BT168" s="2889"/>
      <c r="BU168" s="2890"/>
      <c r="BW168" s="2888"/>
      <c r="BX168" s="2889"/>
      <c r="BY168" s="2889"/>
      <c r="BZ168" s="2889"/>
      <c r="CA168" s="2890"/>
      <c r="CC168" s="2888"/>
      <c r="CD168" s="2889"/>
      <c r="CE168" s="2889"/>
      <c r="CF168" s="2889"/>
      <c r="CG168" s="2890"/>
      <c r="CI168" s="2888"/>
      <c r="CJ168" s="2889"/>
      <c r="CK168" s="2889"/>
      <c r="CL168" s="2889"/>
      <c r="CM168" s="2890"/>
      <c r="CO168" s="2888"/>
      <c r="CP168" s="2889"/>
      <c r="CQ168" s="2889"/>
      <c r="CR168" s="2889"/>
      <c r="CS168" s="2890"/>
    </row>
    <row r="169" spans="1:97">
      <c r="A169" s="2858" t="s">
        <v>571</v>
      </c>
      <c r="C169" s="2888">
        <v>0</v>
      </c>
      <c r="D169" s="2889">
        <v>0</v>
      </c>
      <c r="E169" s="2889">
        <v>0</v>
      </c>
      <c r="F169" s="2889">
        <v>0</v>
      </c>
      <c r="G169" s="2890">
        <v>0</v>
      </c>
      <c r="I169" s="2888">
        <v>0</v>
      </c>
      <c r="J169" s="2889">
        <v>0</v>
      </c>
      <c r="K169" s="2889">
        <v>0</v>
      </c>
      <c r="L169" s="2889">
        <v>0</v>
      </c>
      <c r="M169" s="2890">
        <v>0</v>
      </c>
      <c r="O169" s="2888">
        <v>0</v>
      </c>
      <c r="P169" s="2889">
        <v>0</v>
      </c>
      <c r="Q169" s="2889">
        <v>0</v>
      </c>
      <c r="R169" s="2889">
        <v>0</v>
      </c>
      <c r="S169" s="2890">
        <v>0</v>
      </c>
      <c r="U169" s="2888">
        <v>0</v>
      </c>
      <c r="V169" s="2889">
        <v>0</v>
      </c>
      <c r="W169" s="2889">
        <v>0</v>
      </c>
      <c r="X169" s="2889">
        <v>0</v>
      </c>
      <c r="Y169" s="2890">
        <v>0</v>
      </c>
      <c r="AA169" s="2888">
        <v>0</v>
      </c>
      <c r="AB169" s="2889">
        <v>0</v>
      </c>
      <c r="AC169" s="2889">
        <v>0</v>
      </c>
      <c r="AD169" s="2889">
        <v>0</v>
      </c>
      <c r="AE169" s="2890">
        <v>0</v>
      </c>
      <c r="AG169" s="2888">
        <v>0</v>
      </c>
      <c r="AH169" s="2889">
        <v>0</v>
      </c>
      <c r="AI169" s="2889">
        <v>0</v>
      </c>
      <c r="AJ169" s="2889">
        <v>0</v>
      </c>
      <c r="AK169" s="2890">
        <v>0</v>
      </c>
      <c r="AM169" s="2888">
        <v>0</v>
      </c>
      <c r="AN169" s="2889">
        <v>0</v>
      </c>
      <c r="AO169" s="2889">
        <v>0</v>
      </c>
      <c r="AP169" s="2889">
        <v>0</v>
      </c>
      <c r="AQ169" s="2890">
        <v>0</v>
      </c>
      <c r="AS169" s="2888">
        <v>0</v>
      </c>
      <c r="AT169" s="2889">
        <v>0</v>
      </c>
      <c r="AU169" s="2889">
        <v>0</v>
      </c>
      <c r="AV169" s="2889">
        <v>0</v>
      </c>
      <c r="AW169" s="2890">
        <v>0</v>
      </c>
      <c r="AY169" s="2888">
        <v>0</v>
      </c>
      <c r="AZ169" s="2889">
        <v>0</v>
      </c>
      <c r="BA169" s="2889">
        <v>0</v>
      </c>
      <c r="BB169" s="2889">
        <v>0</v>
      </c>
      <c r="BC169" s="2890">
        <v>0</v>
      </c>
      <c r="BE169" s="2888">
        <v>0</v>
      </c>
      <c r="BF169" s="2889">
        <v>0</v>
      </c>
      <c r="BG169" s="2889">
        <v>0</v>
      </c>
      <c r="BH169" s="2889">
        <v>0</v>
      </c>
      <c r="BI169" s="2890">
        <v>0</v>
      </c>
      <c r="BK169" s="2888">
        <v>0</v>
      </c>
      <c r="BL169" s="2889">
        <v>0</v>
      </c>
      <c r="BM169" s="2889">
        <v>0</v>
      </c>
      <c r="BN169" s="2889">
        <v>0</v>
      </c>
      <c r="BO169" s="2890">
        <v>0</v>
      </c>
      <c r="BQ169" s="2888">
        <v>0</v>
      </c>
      <c r="BR169" s="2889">
        <v>0</v>
      </c>
      <c r="BS169" s="2889">
        <v>0</v>
      </c>
      <c r="BT169" s="2889">
        <v>0</v>
      </c>
      <c r="BU169" s="2890">
        <v>0</v>
      </c>
      <c r="BW169" s="2888">
        <v>0</v>
      </c>
      <c r="BX169" s="2889">
        <v>0</v>
      </c>
      <c r="BY169" s="2889">
        <v>0</v>
      </c>
      <c r="BZ169" s="2889">
        <v>0</v>
      </c>
      <c r="CA169" s="2890">
        <v>0</v>
      </c>
      <c r="CC169" s="2888">
        <v>0</v>
      </c>
      <c r="CD169" s="2889">
        <v>0</v>
      </c>
      <c r="CE169" s="2889">
        <v>0</v>
      </c>
      <c r="CF169" s="2889">
        <v>0</v>
      </c>
      <c r="CG169" s="2890">
        <v>0</v>
      </c>
      <c r="CI169" s="2888">
        <v>0</v>
      </c>
      <c r="CJ169" s="2889">
        <v>0</v>
      </c>
      <c r="CK169" s="2889">
        <v>0</v>
      </c>
      <c r="CL169" s="2889">
        <v>0</v>
      </c>
      <c r="CM169" s="2890">
        <v>0</v>
      </c>
      <c r="CO169" s="2888">
        <v>0</v>
      </c>
      <c r="CP169" s="2889">
        <v>0</v>
      </c>
      <c r="CQ169" s="2889">
        <v>0</v>
      </c>
      <c r="CR169" s="2889">
        <v>0</v>
      </c>
      <c r="CS169" s="2890">
        <v>0</v>
      </c>
    </row>
    <row r="170" spans="1:97">
      <c r="A170" s="2858" t="s">
        <v>859</v>
      </c>
      <c r="C170" s="2888">
        <f>+C34</f>
        <v>0</v>
      </c>
      <c r="D170" s="2889">
        <f t="shared" ref="D170:G170" si="280">+D34</f>
        <v>0</v>
      </c>
      <c r="E170" s="2889">
        <f t="shared" si="280"/>
        <v>0</v>
      </c>
      <c r="F170" s="2889">
        <f t="shared" si="280"/>
        <v>0</v>
      </c>
      <c r="G170" s="2890">
        <f t="shared" si="280"/>
        <v>0</v>
      </c>
      <c r="I170" s="2888">
        <f t="shared" ref="I170:M170" si="281">+I34</f>
        <v>0</v>
      </c>
      <c r="J170" s="2889">
        <f t="shared" si="281"/>
        <v>0</v>
      </c>
      <c r="K170" s="2889">
        <f t="shared" si="281"/>
        <v>0</v>
      </c>
      <c r="L170" s="2889">
        <f t="shared" si="281"/>
        <v>0</v>
      </c>
      <c r="M170" s="2890">
        <f t="shared" si="281"/>
        <v>0</v>
      </c>
      <c r="O170" s="2888">
        <f t="shared" ref="O170:S170" si="282">+O34</f>
        <v>0</v>
      </c>
      <c r="P170" s="2889">
        <f t="shared" si="282"/>
        <v>0</v>
      </c>
      <c r="Q170" s="2889">
        <f t="shared" si="282"/>
        <v>0</v>
      </c>
      <c r="R170" s="2889">
        <f t="shared" si="282"/>
        <v>0</v>
      </c>
      <c r="S170" s="2890">
        <f t="shared" si="282"/>
        <v>0</v>
      </c>
      <c r="U170" s="2888">
        <f t="shared" ref="U170:Y170" si="283">+U34</f>
        <v>0</v>
      </c>
      <c r="V170" s="2889">
        <f t="shared" si="283"/>
        <v>0</v>
      </c>
      <c r="W170" s="2889">
        <f t="shared" si="283"/>
        <v>0</v>
      </c>
      <c r="X170" s="2889">
        <f t="shared" si="283"/>
        <v>0</v>
      </c>
      <c r="Y170" s="2890">
        <f t="shared" si="283"/>
        <v>0</v>
      </c>
      <c r="AA170" s="2888">
        <f t="shared" ref="AA170:AE170" si="284">+AA34</f>
        <v>0</v>
      </c>
      <c r="AB170" s="2889">
        <f t="shared" si="284"/>
        <v>0</v>
      </c>
      <c r="AC170" s="2889">
        <f t="shared" si="284"/>
        <v>0</v>
      </c>
      <c r="AD170" s="2889">
        <f t="shared" si="284"/>
        <v>0</v>
      </c>
      <c r="AE170" s="2890">
        <f t="shared" si="284"/>
        <v>0</v>
      </c>
      <c r="AG170" s="2888">
        <f t="shared" ref="AG170:AK170" si="285">+AG34</f>
        <v>0</v>
      </c>
      <c r="AH170" s="2889">
        <f t="shared" si="285"/>
        <v>0</v>
      </c>
      <c r="AI170" s="2889">
        <f t="shared" si="285"/>
        <v>0</v>
      </c>
      <c r="AJ170" s="2889">
        <f t="shared" si="285"/>
        <v>0</v>
      </c>
      <c r="AK170" s="2890">
        <f t="shared" si="285"/>
        <v>0</v>
      </c>
      <c r="AM170" s="2888">
        <f t="shared" ref="AM170:AQ170" si="286">+AM34</f>
        <v>0</v>
      </c>
      <c r="AN170" s="2889">
        <f t="shared" si="286"/>
        <v>0</v>
      </c>
      <c r="AO170" s="2889">
        <f t="shared" si="286"/>
        <v>0</v>
      </c>
      <c r="AP170" s="2889">
        <f t="shared" si="286"/>
        <v>0</v>
      </c>
      <c r="AQ170" s="2890">
        <f t="shared" si="286"/>
        <v>0</v>
      </c>
      <c r="AS170" s="2888">
        <f t="shared" ref="AS170:AW170" si="287">+AS34</f>
        <v>0</v>
      </c>
      <c r="AT170" s="2889">
        <f t="shared" si="287"/>
        <v>0</v>
      </c>
      <c r="AU170" s="2889">
        <f t="shared" si="287"/>
        <v>0</v>
      </c>
      <c r="AV170" s="2889">
        <f t="shared" si="287"/>
        <v>0</v>
      </c>
      <c r="AW170" s="2890">
        <f t="shared" si="287"/>
        <v>0</v>
      </c>
      <c r="AY170" s="2888">
        <f t="shared" ref="AY170:BC170" si="288">+AY34</f>
        <v>0</v>
      </c>
      <c r="AZ170" s="2889">
        <f t="shared" si="288"/>
        <v>0</v>
      </c>
      <c r="BA170" s="2889">
        <f t="shared" si="288"/>
        <v>0</v>
      </c>
      <c r="BB170" s="2889">
        <f t="shared" si="288"/>
        <v>0</v>
      </c>
      <c r="BC170" s="2890">
        <f t="shared" si="288"/>
        <v>0</v>
      </c>
      <c r="BE170" s="2888">
        <f t="shared" ref="BE170:BI170" si="289">+BE34</f>
        <v>0</v>
      </c>
      <c r="BF170" s="2889">
        <f t="shared" si="289"/>
        <v>0</v>
      </c>
      <c r="BG170" s="2889">
        <f t="shared" si="289"/>
        <v>0</v>
      </c>
      <c r="BH170" s="2889">
        <f t="shared" si="289"/>
        <v>0</v>
      </c>
      <c r="BI170" s="2890">
        <f t="shared" si="289"/>
        <v>0</v>
      </c>
      <c r="BK170" s="2888">
        <f t="shared" ref="BK170:BO170" si="290">+BK34</f>
        <v>0</v>
      </c>
      <c r="BL170" s="2889">
        <f t="shared" si="290"/>
        <v>0</v>
      </c>
      <c r="BM170" s="2889">
        <f t="shared" si="290"/>
        <v>0</v>
      </c>
      <c r="BN170" s="2889">
        <f t="shared" si="290"/>
        <v>0</v>
      </c>
      <c r="BO170" s="2890">
        <f t="shared" si="290"/>
        <v>0</v>
      </c>
      <c r="BQ170" s="2888">
        <f t="shared" ref="BQ170:BU170" si="291">+BQ34</f>
        <v>0</v>
      </c>
      <c r="BR170" s="2889">
        <f t="shared" si="291"/>
        <v>0</v>
      </c>
      <c r="BS170" s="2889">
        <f t="shared" si="291"/>
        <v>0</v>
      </c>
      <c r="BT170" s="2889">
        <f t="shared" si="291"/>
        <v>0</v>
      </c>
      <c r="BU170" s="2890">
        <f t="shared" si="291"/>
        <v>0</v>
      </c>
      <c r="BW170" s="2888">
        <f t="shared" ref="BW170:CA170" si="292">+BW34</f>
        <v>0</v>
      </c>
      <c r="BX170" s="2889">
        <f t="shared" si="292"/>
        <v>0</v>
      </c>
      <c r="BY170" s="2889">
        <f t="shared" si="292"/>
        <v>0</v>
      </c>
      <c r="BZ170" s="2889">
        <f t="shared" si="292"/>
        <v>0</v>
      </c>
      <c r="CA170" s="2890">
        <f t="shared" si="292"/>
        <v>0</v>
      </c>
      <c r="CC170" s="2888">
        <f t="shared" ref="CC170:CG170" si="293">+CC34</f>
        <v>0</v>
      </c>
      <c r="CD170" s="2889">
        <f t="shared" si="293"/>
        <v>0</v>
      </c>
      <c r="CE170" s="2889">
        <f t="shared" si="293"/>
        <v>0</v>
      </c>
      <c r="CF170" s="2889">
        <f t="shared" si="293"/>
        <v>0</v>
      </c>
      <c r="CG170" s="2890">
        <f t="shared" si="293"/>
        <v>0</v>
      </c>
      <c r="CI170" s="2888">
        <f t="shared" ref="CI170:CM170" si="294">+CI34</f>
        <v>0</v>
      </c>
      <c r="CJ170" s="2889">
        <f t="shared" si="294"/>
        <v>0</v>
      </c>
      <c r="CK170" s="2889">
        <f t="shared" si="294"/>
        <v>0</v>
      </c>
      <c r="CL170" s="2889">
        <f t="shared" si="294"/>
        <v>0</v>
      </c>
      <c r="CM170" s="2890">
        <f t="shared" si="294"/>
        <v>0</v>
      </c>
      <c r="CO170" s="2888">
        <f t="shared" ref="CO170:CS170" si="295">+CO34</f>
        <v>0</v>
      </c>
      <c r="CP170" s="2889">
        <f t="shared" si="295"/>
        <v>0</v>
      </c>
      <c r="CQ170" s="2889">
        <f t="shared" si="295"/>
        <v>0</v>
      </c>
      <c r="CR170" s="2889">
        <f t="shared" si="295"/>
        <v>0</v>
      </c>
      <c r="CS170" s="2890">
        <f t="shared" si="295"/>
        <v>0</v>
      </c>
    </row>
    <row r="171" spans="1:97">
      <c r="A171" s="2858" t="s">
        <v>3</v>
      </c>
      <c r="C171" s="2888">
        <f>+C40</f>
        <v>265.95999999999998</v>
      </c>
      <c r="D171" s="2889">
        <f t="shared" ref="D171:G171" si="296">+D40</f>
        <v>286.83499999999998</v>
      </c>
      <c r="E171" s="2889">
        <f t="shared" si="296"/>
        <v>321.25799999999998</v>
      </c>
      <c r="F171" s="2889">
        <f t="shared" si="296"/>
        <v>411.67799999999983</v>
      </c>
      <c r="G171" s="2890">
        <f t="shared" si="296"/>
        <v>411.67799999999983</v>
      </c>
      <c r="I171" s="2888">
        <f t="shared" ref="I171:M171" si="297">+I40</f>
        <v>451.089</v>
      </c>
      <c r="J171" s="2889">
        <f t="shared" si="297"/>
        <v>491.75200000000001</v>
      </c>
      <c r="K171" s="2889">
        <f t="shared" si="297"/>
        <v>852.99300000000005</v>
      </c>
      <c r="L171" s="2889">
        <f t="shared" si="297"/>
        <v>848.596</v>
      </c>
      <c r="M171" s="2890">
        <f t="shared" si="297"/>
        <v>848.596</v>
      </c>
      <c r="O171" s="2888">
        <f t="shared" ref="O171:S171" si="298">+O40</f>
        <v>855.13499999999999</v>
      </c>
      <c r="P171" s="2889">
        <f t="shared" si="298"/>
        <v>939.74</v>
      </c>
      <c r="Q171" s="2889">
        <f t="shared" si="298"/>
        <v>1002.1200000000001</v>
      </c>
      <c r="R171" s="2889">
        <f t="shared" si="298"/>
        <v>864.24799999999971</v>
      </c>
      <c r="S171" s="2890">
        <f t="shared" si="298"/>
        <v>864.24799999999971</v>
      </c>
      <c r="U171" s="2888">
        <f t="shared" ref="U171:Y171" si="299">+U40</f>
        <v>941.79699999999991</v>
      </c>
      <c r="V171" s="2889">
        <f t="shared" si="299"/>
        <v>1036.96</v>
      </c>
      <c r="W171" s="2889">
        <f t="shared" si="299"/>
        <v>1108.1209999999999</v>
      </c>
      <c r="X171" s="2889">
        <f t="shared" si="299"/>
        <v>1197.6750000000002</v>
      </c>
      <c r="Y171" s="2890">
        <f t="shared" si="299"/>
        <v>1197.6750000000002</v>
      </c>
      <c r="AA171" s="2888">
        <f t="shared" ref="AA171:AE171" si="300">+AA40</f>
        <v>1064.2260000000003</v>
      </c>
      <c r="AB171" s="2889">
        <f t="shared" si="300"/>
        <v>1168.3040000000001</v>
      </c>
      <c r="AC171" s="2889">
        <f t="shared" si="300"/>
        <v>1035.54</v>
      </c>
      <c r="AD171" s="2889">
        <f t="shared" si="300"/>
        <v>1075.2150000000006</v>
      </c>
      <c r="AE171" s="2890">
        <f t="shared" si="300"/>
        <v>1075.2150000000006</v>
      </c>
      <c r="AG171" s="2888">
        <f t="shared" ref="AG171:AK171" si="301">+AG40</f>
        <v>1160.1719999999996</v>
      </c>
      <c r="AH171" s="2889">
        <f t="shared" si="301"/>
        <v>1180.7829999999997</v>
      </c>
      <c r="AI171" s="2889">
        <f t="shared" si="301"/>
        <v>1222.2140000000002</v>
      </c>
      <c r="AJ171" s="2889">
        <f t="shared" si="301"/>
        <v>1318.5810000000001</v>
      </c>
      <c r="AK171" s="2890">
        <f t="shared" si="301"/>
        <v>1318.5810000000001</v>
      </c>
      <c r="AM171" s="2888">
        <f t="shared" ref="AM171:AQ171" si="302">+AM40</f>
        <v>1311.8269999999995</v>
      </c>
      <c r="AN171" s="2889">
        <f t="shared" si="302"/>
        <v>1388.5919999999999</v>
      </c>
      <c r="AO171" s="2889">
        <f t="shared" si="302"/>
        <v>1374.4639999999997</v>
      </c>
      <c r="AP171" s="2889">
        <f t="shared" si="302"/>
        <v>1533.202</v>
      </c>
      <c r="AQ171" s="2890">
        <f t="shared" si="302"/>
        <v>1533.202</v>
      </c>
      <c r="AS171" s="2888">
        <f t="shared" ref="AS171:AW171" si="303">+AS40</f>
        <v>1573.6129999999998</v>
      </c>
      <c r="AT171" s="2889">
        <f t="shared" si="303"/>
        <v>1080.4359999999999</v>
      </c>
      <c r="AU171" s="2889">
        <f t="shared" si="303"/>
        <v>1274.3129999999996</v>
      </c>
      <c r="AV171" s="2889">
        <f t="shared" si="303"/>
        <v>1462.798</v>
      </c>
      <c r="AW171" s="2890">
        <f t="shared" si="303"/>
        <v>1462.798</v>
      </c>
      <c r="AY171" s="2888">
        <f t="shared" ref="AY171:BC171" si="304">+AY40</f>
        <v>1623.3259999999996</v>
      </c>
      <c r="AZ171" s="2889">
        <f t="shared" si="304"/>
        <v>1793.9120000000003</v>
      </c>
      <c r="BA171" s="2889">
        <f t="shared" si="304"/>
        <v>1936.5670000000002</v>
      </c>
      <c r="BB171" s="2889">
        <f t="shared" si="304"/>
        <v>1848.5530000000001</v>
      </c>
      <c r="BC171" s="2890">
        <f t="shared" si="304"/>
        <v>1848.5530000000001</v>
      </c>
      <c r="BE171" s="2888">
        <f t="shared" ref="BE171:BI171" si="305">+BE40</f>
        <v>1991.1090000000006</v>
      </c>
      <c r="BF171" s="2889">
        <f t="shared" si="305"/>
        <v>2055.7709999999997</v>
      </c>
      <c r="BG171" s="2889">
        <f t="shared" si="305"/>
        <v>2240.1469999999999</v>
      </c>
      <c r="BH171" s="2889">
        <f t="shared" si="305"/>
        <v>2197.2290000000003</v>
      </c>
      <c r="BI171" s="2890">
        <f t="shared" si="305"/>
        <v>2197.2290000000003</v>
      </c>
      <c r="BK171" s="2888">
        <f t="shared" ref="BK171:BO171" si="306">+BK40</f>
        <v>2551</v>
      </c>
      <c r="BL171" s="2889">
        <f t="shared" si="306"/>
        <v>2715</v>
      </c>
      <c r="BM171" s="2889">
        <f t="shared" si="306"/>
        <v>2855</v>
      </c>
      <c r="BN171" s="2889">
        <f t="shared" si="306"/>
        <v>2749</v>
      </c>
      <c r="BO171" s="2890">
        <f t="shared" si="306"/>
        <v>2749</v>
      </c>
      <c r="BQ171" s="2888">
        <f t="shared" ref="BQ171:BU171" si="307">+BQ40</f>
        <v>2870.1162802486506</v>
      </c>
      <c r="BR171" s="2889">
        <f t="shared" si="307"/>
        <v>2946.9259039378121</v>
      </c>
      <c r="BS171" s="2889">
        <f t="shared" si="307"/>
        <v>3031.3987167291962</v>
      </c>
      <c r="BT171" s="2889">
        <f t="shared" si="307"/>
        <v>3128.5013236358973</v>
      </c>
      <c r="BU171" s="2890">
        <f t="shared" si="307"/>
        <v>3128.5013236358973</v>
      </c>
      <c r="BW171" s="2888">
        <f t="shared" ref="BW171:CA171" si="308">+BW40</f>
        <v>3258.7564875431626</v>
      </c>
      <c r="BX171" s="2889">
        <f t="shared" si="308"/>
        <v>3355.9930303157689</v>
      </c>
      <c r="BY171" s="2889">
        <f t="shared" si="308"/>
        <v>3460.8593676594846</v>
      </c>
      <c r="BZ171" s="2889">
        <f t="shared" si="308"/>
        <v>3578.5702345241189</v>
      </c>
      <c r="CA171" s="2890">
        <f t="shared" si="308"/>
        <v>3578.5702345241189</v>
      </c>
      <c r="CC171" s="2888">
        <f t="shared" ref="CC171:CG171" si="309">+CC40</f>
        <v>3745.3712131339353</v>
      </c>
      <c r="CD171" s="2889">
        <f t="shared" si="309"/>
        <v>3933.7873647121141</v>
      </c>
      <c r="CE171" s="2889">
        <f t="shared" si="309"/>
        <v>4137.1489398887625</v>
      </c>
      <c r="CF171" s="2889">
        <f t="shared" si="309"/>
        <v>4359.0970621105444</v>
      </c>
      <c r="CG171" s="2890">
        <f t="shared" si="309"/>
        <v>4359.0970621105444</v>
      </c>
      <c r="CI171" s="2888">
        <f t="shared" ref="CI171:CM171" si="310">+CI40</f>
        <v>4643.6148613740152</v>
      </c>
      <c r="CJ171" s="2889">
        <f t="shared" si="310"/>
        <v>4823.7734466155998</v>
      </c>
      <c r="CK171" s="2889">
        <f t="shared" si="310"/>
        <v>5013.8811417433099</v>
      </c>
      <c r="CL171" s="2889">
        <f t="shared" si="310"/>
        <v>5220.9561471844136</v>
      </c>
      <c r="CM171" s="2890">
        <f t="shared" si="310"/>
        <v>5220.9561471844136</v>
      </c>
      <c r="CO171" s="2888">
        <f t="shared" ref="CO171:CS171" si="311">+CO40</f>
        <v>5498.0427088982979</v>
      </c>
      <c r="CP171" s="2889">
        <f t="shared" si="311"/>
        <v>5735.3580517857881</v>
      </c>
      <c r="CQ171" s="2889">
        <f t="shared" si="311"/>
        <v>5985.1800588843107</v>
      </c>
      <c r="CR171" s="2889">
        <f t="shared" si="311"/>
        <v>6254.3097470686625</v>
      </c>
      <c r="CS171" s="2890">
        <f t="shared" si="311"/>
        <v>6254.3097470686625</v>
      </c>
    </row>
    <row r="172" spans="1:97">
      <c r="A172" s="2860" t="s">
        <v>860</v>
      </c>
      <c r="C172" s="2888"/>
      <c r="D172" s="2889"/>
      <c r="E172" s="2889"/>
      <c r="F172" s="2889"/>
      <c r="G172" s="2890"/>
      <c r="I172" s="2888"/>
      <c r="J172" s="2889"/>
      <c r="K172" s="2889"/>
      <c r="L172" s="2889"/>
      <c r="M172" s="2890"/>
      <c r="O172" s="2888"/>
      <c r="P172" s="2889"/>
      <c r="Q172" s="2889"/>
      <c r="R172" s="2889"/>
      <c r="S172" s="2890"/>
      <c r="U172" s="2888"/>
      <c r="V172" s="2889"/>
      <c r="W172" s="2889"/>
      <c r="X172" s="2889"/>
      <c r="Y172" s="2890"/>
      <c r="AA172" s="2888"/>
      <c r="AB172" s="2889"/>
      <c r="AC172" s="2889"/>
      <c r="AD172" s="2889"/>
      <c r="AE172" s="2890"/>
      <c r="AG172" s="2888"/>
      <c r="AH172" s="2889"/>
      <c r="AI172" s="2889"/>
      <c r="AJ172" s="2889"/>
      <c r="AK172" s="2890"/>
      <c r="AM172" s="2888"/>
      <c r="AN172" s="2889"/>
      <c r="AO172" s="2889"/>
      <c r="AP172" s="2889"/>
      <c r="AQ172" s="2890"/>
      <c r="AS172" s="2888"/>
      <c r="AT172" s="2889"/>
      <c r="AU172" s="2889"/>
      <c r="AV172" s="2889"/>
      <c r="AW172" s="2890"/>
      <c r="AY172" s="2888"/>
      <c r="AZ172" s="2889"/>
      <c r="BA172" s="2889"/>
      <c r="BB172" s="2889"/>
      <c r="BC172" s="2890"/>
      <c r="BE172" s="2888"/>
      <c r="BF172" s="2889"/>
      <c r="BG172" s="2889"/>
      <c r="BH172" s="2889"/>
      <c r="BI172" s="2890"/>
      <c r="BK172" s="2888"/>
      <c r="BL172" s="2889"/>
      <c r="BM172" s="2889"/>
      <c r="BN172" s="2889"/>
      <c r="BO172" s="2890"/>
      <c r="BQ172" s="2888"/>
      <c r="BR172" s="2889"/>
      <c r="BS172" s="2889"/>
      <c r="BT172" s="2889"/>
      <c r="BU172" s="2890"/>
      <c r="BW172" s="2888"/>
      <c r="BX172" s="2889"/>
      <c r="BY172" s="2889"/>
      <c r="BZ172" s="2889"/>
      <c r="CA172" s="2890"/>
      <c r="CC172" s="2888"/>
      <c r="CD172" s="2889"/>
      <c r="CE172" s="2889"/>
      <c r="CF172" s="2889"/>
      <c r="CG172" s="2890"/>
      <c r="CI172" s="2888"/>
      <c r="CJ172" s="2889"/>
      <c r="CK172" s="2889"/>
      <c r="CL172" s="2889"/>
      <c r="CM172" s="2890"/>
      <c r="CO172" s="2888"/>
      <c r="CP172" s="2889"/>
      <c r="CQ172" s="2889"/>
      <c r="CR172" s="2889"/>
      <c r="CS172" s="2890"/>
    </row>
    <row r="173" spans="1:97">
      <c r="A173" s="2859" t="s">
        <v>861</v>
      </c>
      <c r="C173" s="2888"/>
      <c r="D173" s="2889"/>
      <c r="E173" s="2889"/>
      <c r="F173" s="2889"/>
      <c r="G173" s="2890"/>
      <c r="I173" s="2888"/>
      <c r="J173" s="2889"/>
      <c r="K173" s="2889"/>
      <c r="L173" s="2889"/>
      <c r="M173" s="2890"/>
      <c r="O173" s="2888"/>
      <c r="P173" s="2889"/>
      <c r="Q173" s="2889"/>
      <c r="R173" s="2889"/>
      <c r="S173" s="2890"/>
      <c r="U173" s="2888"/>
      <c r="V173" s="2889"/>
      <c r="W173" s="2889"/>
      <c r="X173" s="2889"/>
      <c r="Y173" s="2890"/>
      <c r="AA173" s="2888"/>
      <c r="AB173" s="2889"/>
      <c r="AC173" s="2889"/>
      <c r="AD173" s="2889"/>
      <c r="AE173" s="2890"/>
      <c r="AG173" s="2888"/>
      <c r="AH173" s="2889"/>
      <c r="AI173" s="2889"/>
      <c r="AJ173" s="2889"/>
      <c r="AK173" s="2890"/>
      <c r="AM173" s="2888"/>
      <c r="AN173" s="2889"/>
      <c r="AO173" s="2889"/>
      <c r="AP173" s="2889"/>
      <c r="AQ173" s="2890"/>
      <c r="AS173" s="2888"/>
      <c r="AT173" s="2889"/>
      <c r="AU173" s="2889"/>
      <c r="AV173" s="2889"/>
      <c r="AW173" s="2890"/>
      <c r="AY173" s="2888"/>
      <c r="AZ173" s="2889"/>
      <c r="BA173" s="2889"/>
      <c r="BB173" s="2889"/>
      <c r="BC173" s="2890"/>
      <c r="BE173" s="2888"/>
      <c r="BF173" s="2889"/>
      <c r="BG173" s="2889"/>
      <c r="BH173" s="2889"/>
      <c r="BI173" s="2890"/>
      <c r="BK173" s="2888"/>
      <c r="BL173" s="2889"/>
      <c r="BM173" s="2889"/>
      <c r="BN173" s="2889"/>
      <c r="BO173" s="2890"/>
      <c r="BQ173" s="2888"/>
      <c r="BR173" s="2889"/>
      <c r="BS173" s="2889"/>
      <c r="BT173" s="2889"/>
      <c r="BU173" s="2890"/>
      <c r="BW173" s="2888"/>
      <c r="BX173" s="2889"/>
      <c r="BY173" s="2889"/>
      <c r="BZ173" s="2889"/>
      <c r="CA173" s="2890"/>
      <c r="CC173" s="2888"/>
      <c r="CD173" s="2889"/>
      <c r="CE173" s="2889"/>
      <c r="CF173" s="2889"/>
      <c r="CG173" s="2890"/>
      <c r="CI173" s="2888"/>
      <c r="CJ173" s="2889"/>
      <c r="CK173" s="2889"/>
      <c r="CL173" s="2889"/>
      <c r="CM173" s="2890"/>
      <c r="CO173" s="2888"/>
      <c r="CP173" s="2889"/>
      <c r="CQ173" s="2889"/>
      <c r="CR173" s="2889"/>
      <c r="CS173" s="2890"/>
    </row>
    <row r="174" spans="1:97">
      <c r="A174" s="2858" t="s">
        <v>862</v>
      </c>
      <c r="C174" s="2888">
        <f>-C10</f>
        <v>-326.82100000000003</v>
      </c>
      <c r="D174" s="2889">
        <f t="shared" ref="D174:G174" si="312">-D10</f>
        <v>-343.262</v>
      </c>
      <c r="E174" s="2889">
        <f t="shared" si="312"/>
        <v>-352.85199999999998</v>
      </c>
      <c r="F174" s="2889">
        <f t="shared" si="312"/>
        <v>-386.08199999999999</v>
      </c>
      <c r="G174" s="2890">
        <f t="shared" si="312"/>
        <v>-386.08199999999999</v>
      </c>
      <c r="I174" s="2888">
        <f t="shared" ref="I174:M174" si="313">-I10</f>
        <v>-275.30200000000002</v>
      </c>
      <c r="J174" s="2889">
        <f t="shared" si="313"/>
        <v>-303.27499999999998</v>
      </c>
      <c r="K174" s="2889">
        <f t="shared" si="313"/>
        <v>-649.64699999999993</v>
      </c>
      <c r="L174" s="2889">
        <f t="shared" si="313"/>
        <v>-640.07500000000005</v>
      </c>
      <c r="M174" s="2890">
        <f t="shared" si="313"/>
        <v>-640.07500000000005</v>
      </c>
      <c r="O174" s="2888">
        <f t="shared" ref="O174:S174" si="314">-O10</f>
        <v>-672.59</v>
      </c>
      <c r="P174" s="2889">
        <f t="shared" si="314"/>
        <v>-734.56899999999996</v>
      </c>
      <c r="Q174" s="2889">
        <f t="shared" si="314"/>
        <v>-759.93000000000006</v>
      </c>
      <c r="R174" s="2889">
        <f t="shared" si="314"/>
        <v>-693.52700000000004</v>
      </c>
      <c r="S174" s="2890">
        <f t="shared" si="314"/>
        <v>-693.52700000000004</v>
      </c>
      <c r="U174" s="2888">
        <f t="shared" ref="U174:Y174" si="315">-U10</f>
        <v>-747.98</v>
      </c>
      <c r="V174" s="2889">
        <f t="shared" si="315"/>
        <v>-785.38</v>
      </c>
      <c r="W174" s="2889">
        <f t="shared" si="315"/>
        <v>-806.81600000000003</v>
      </c>
      <c r="X174" s="2889">
        <f t="shared" si="315"/>
        <v>-894.28899999999999</v>
      </c>
      <c r="Y174" s="2890">
        <f t="shared" si="315"/>
        <v>-894.28899999999999</v>
      </c>
      <c r="AA174" s="2888">
        <f t="shared" ref="AA174:AE174" si="316">-AA10</f>
        <v>-1134.6379999999999</v>
      </c>
      <c r="AB174" s="2889">
        <f t="shared" si="316"/>
        <v>-1233.914</v>
      </c>
      <c r="AC174" s="2889">
        <f t="shared" si="316"/>
        <v>-1132.19</v>
      </c>
      <c r="AD174" s="2889">
        <f t="shared" si="316"/>
        <v>-1189.568</v>
      </c>
      <c r="AE174" s="2890">
        <f t="shared" si="316"/>
        <v>-1189.568</v>
      </c>
      <c r="AG174" s="2888">
        <f t="shared" ref="AG174:AK174" si="317">-AG10</f>
        <v>-1266.3630000000001</v>
      </c>
      <c r="AH174" s="2889">
        <f t="shared" si="317"/>
        <v>-1301.6859999999999</v>
      </c>
      <c r="AI174" s="2889">
        <f t="shared" si="317"/>
        <v>-1233.066</v>
      </c>
      <c r="AJ174" s="2889">
        <f t="shared" si="317"/>
        <v>-1350.204</v>
      </c>
      <c r="AK174" s="2890">
        <f t="shared" si="317"/>
        <v>-1350.204</v>
      </c>
      <c r="AM174" s="2888">
        <f t="shared" ref="AM174:AQ174" si="318">-AM10</f>
        <v>-1067.47</v>
      </c>
      <c r="AN174" s="2889">
        <f t="shared" si="318"/>
        <v>-1129.463</v>
      </c>
      <c r="AO174" s="2889">
        <f t="shared" si="318"/>
        <v>-1027.991</v>
      </c>
      <c r="AP174" s="2889">
        <f t="shared" si="318"/>
        <v>-1165.6030000000001</v>
      </c>
      <c r="AQ174" s="2890">
        <f t="shared" si="318"/>
        <v>-1165.6030000000001</v>
      </c>
      <c r="AS174" s="2888">
        <f t="shared" ref="AS174:AW174" si="319">-AS10</f>
        <v>-1091.8020000000001</v>
      </c>
      <c r="AT174" s="2889">
        <f t="shared" si="319"/>
        <v>-1103.056</v>
      </c>
      <c r="AU174" s="2889">
        <f t="shared" si="319"/>
        <v>-1271.4269999999999</v>
      </c>
      <c r="AV174" s="2889">
        <f t="shared" si="319"/>
        <v>-1338.3710000000001</v>
      </c>
      <c r="AW174" s="2890">
        <f t="shared" si="319"/>
        <v>-1338.3710000000001</v>
      </c>
      <c r="AY174" s="2888">
        <f t="shared" ref="AY174:BC174" si="320">-AY10</f>
        <v>-1366.489</v>
      </c>
      <c r="AZ174" s="2889">
        <f t="shared" si="320"/>
        <v>-1510.3820000000001</v>
      </c>
      <c r="BA174" s="2889">
        <f t="shared" si="320"/>
        <v>-1439.4059999999999</v>
      </c>
      <c r="BB174" s="2889">
        <f t="shared" si="320"/>
        <v>-1386.22</v>
      </c>
      <c r="BC174" s="2890">
        <f t="shared" si="320"/>
        <v>-1386.22</v>
      </c>
      <c r="BE174" s="2888">
        <f t="shared" ref="BE174:BI174" si="321">-BE10</f>
        <v>-1343.0920000000001</v>
      </c>
      <c r="BF174" s="2889">
        <f t="shared" si="321"/>
        <v>-1425.2560000000001</v>
      </c>
      <c r="BG174" s="2889">
        <f t="shared" si="321"/>
        <v>-1536.2660000000001</v>
      </c>
      <c r="BH174" s="2889">
        <f t="shared" si="321"/>
        <v>-1558.7239999999999</v>
      </c>
      <c r="BI174" s="2890">
        <f t="shared" si="321"/>
        <v>-1558.7239999999999</v>
      </c>
      <c r="BK174" s="2888">
        <f t="shared" ref="BK174:BO174" si="322">-BK10</f>
        <v>-1778</v>
      </c>
      <c r="BL174" s="2889">
        <f t="shared" si="322"/>
        <v>-1893</v>
      </c>
      <c r="BM174" s="2889">
        <f t="shared" si="322"/>
        <v>-2041</v>
      </c>
      <c r="BN174" s="2889">
        <f t="shared" si="322"/>
        <v>-2145</v>
      </c>
      <c r="BO174" s="2890">
        <f t="shared" si="322"/>
        <v>-2145</v>
      </c>
      <c r="BQ174" s="2888">
        <f t="shared" ref="BQ174:BU174" si="323">-BQ10</f>
        <v>-1946.2227193947672</v>
      </c>
      <c r="BR174" s="2889">
        <f t="shared" si="323"/>
        <v>-2076.6519050524512</v>
      </c>
      <c r="BS174" s="2889">
        <f t="shared" si="323"/>
        <v>-2120.5180326729032</v>
      </c>
      <c r="BT174" s="2889">
        <f t="shared" si="323"/>
        <v>-2166.9440344054251</v>
      </c>
      <c r="BU174" s="2890">
        <f t="shared" si="323"/>
        <v>-2166.9440344054251</v>
      </c>
      <c r="BW174" s="2888">
        <f t="shared" ref="BW174:CA174" si="324">-BW10</f>
        <v>-2109.5601337108769</v>
      </c>
      <c r="BX174" s="2889">
        <f t="shared" si="324"/>
        <v>-2271.4985009974434</v>
      </c>
      <c r="BY174" s="2889">
        <f t="shared" si="324"/>
        <v>-2338.4322642603856</v>
      </c>
      <c r="BZ174" s="2889">
        <f t="shared" si="324"/>
        <v>-2404.855060962338</v>
      </c>
      <c r="CA174" s="2890">
        <f t="shared" si="324"/>
        <v>-2404.855060962338</v>
      </c>
      <c r="CC174" s="2888">
        <f t="shared" ref="CC174:CG174" si="325">-CC10</f>
        <v>-2390.4031734247496</v>
      </c>
      <c r="CD174" s="2889">
        <f t="shared" si="325"/>
        <v>-2652.061601798287</v>
      </c>
      <c r="CE174" s="2889">
        <f t="shared" si="325"/>
        <v>-2820.282895141755</v>
      </c>
      <c r="CF174" s="2889">
        <f t="shared" si="325"/>
        <v>-2991.2987921003728</v>
      </c>
      <c r="CG174" s="2890">
        <f t="shared" si="325"/>
        <v>-2991.2987921003728</v>
      </c>
      <c r="CI174" s="2888">
        <f t="shared" ref="CI174:CM174" si="326">-CI10</f>
        <v>-3080.6067973896538</v>
      </c>
      <c r="CJ174" s="2889">
        <f t="shared" si="326"/>
        <v>-3339.3178673697116</v>
      </c>
      <c r="CK174" s="2889">
        <f t="shared" si="326"/>
        <v>-3492.2944046275666</v>
      </c>
      <c r="CL174" s="2889">
        <f t="shared" si="326"/>
        <v>-3642.9725390583094</v>
      </c>
      <c r="CM174" s="2890">
        <f t="shared" si="326"/>
        <v>-3642.9725390583094</v>
      </c>
      <c r="CO174" s="2888">
        <f t="shared" ref="CO174:CS174" si="327">-CO10</f>
        <v>-3715.4191116706584</v>
      </c>
      <c r="CP174" s="2889">
        <f t="shared" si="327"/>
        <v>-4034.7043676207782</v>
      </c>
      <c r="CQ174" s="2889">
        <f t="shared" si="327"/>
        <v>-4242.859037412718</v>
      </c>
      <c r="CR174" s="2889">
        <f t="shared" si="327"/>
        <v>-4449.8248451091804</v>
      </c>
      <c r="CS174" s="2890">
        <f t="shared" si="327"/>
        <v>-4449.8248451091804</v>
      </c>
    </row>
    <row r="175" spans="1:97">
      <c r="A175" s="2858" t="s">
        <v>863</v>
      </c>
      <c r="C175" s="2888">
        <f>-C19</f>
        <v>0</v>
      </c>
      <c r="D175" s="2889">
        <f t="shared" ref="D175:G175" si="328">-D19</f>
        <v>0</v>
      </c>
      <c r="E175" s="2889">
        <f t="shared" si="328"/>
        <v>0</v>
      </c>
      <c r="F175" s="2889">
        <f t="shared" si="328"/>
        <v>0</v>
      </c>
      <c r="G175" s="2890">
        <f t="shared" si="328"/>
        <v>0</v>
      </c>
      <c r="I175" s="2888">
        <f t="shared" ref="I175:M175" si="329">-I19</f>
        <v>-53.496000000000002</v>
      </c>
      <c r="J175" s="2889">
        <f t="shared" si="329"/>
        <v>-52.825000000000003</v>
      </c>
      <c r="K175" s="2889">
        <f t="shared" si="329"/>
        <v>-51.567</v>
      </c>
      <c r="L175" s="2889">
        <f t="shared" si="329"/>
        <v>-55.9</v>
      </c>
      <c r="M175" s="2890">
        <f t="shared" si="329"/>
        <v>-55.9</v>
      </c>
      <c r="O175" s="2888">
        <f t="shared" ref="O175:S175" si="330">-O19</f>
        <v>-55.9</v>
      </c>
      <c r="P175" s="2889">
        <f t="shared" si="330"/>
        <v>-55.75</v>
      </c>
      <c r="Q175" s="2889">
        <f t="shared" si="330"/>
        <v>-55.45</v>
      </c>
      <c r="R175" s="2889">
        <f t="shared" si="330"/>
        <v>0</v>
      </c>
      <c r="S175" s="2890">
        <f t="shared" si="330"/>
        <v>0</v>
      </c>
      <c r="U175" s="2888">
        <f t="shared" ref="U175:Y175" si="331">-U19</f>
        <v>0</v>
      </c>
      <c r="V175" s="2889">
        <f t="shared" si="331"/>
        <v>0</v>
      </c>
      <c r="W175" s="2889">
        <f t="shared" si="331"/>
        <v>0</v>
      </c>
      <c r="X175" s="2889">
        <f t="shared" si="331"/>
        <v>0</v>
      </c>
      <c r="Y175" s="2890">
        <f t="shared" si="331"/>
        <v>0</v>
      </c>
      <c r="AA175" s="2888">
        <f t="shared" ref="AA175:AE175" si="332">-AA19</f>
        <v>0</v>
      </c>
      <c r="AB175" s="2889">
        <f t="shared" si="332"/>
        <v>0</v>
      </c>
      <c r="AC175" s="2889">
        <f t="shared" si="332"/>
        <v>0</v>
      </c>
      <c r="AD175" s="2889">
        <f t="shared" si="332"/>
        <v>0</v>
      </c>
      <c r="AE175" s="2890">
        <f t="shared" si="332"/>
        <v>0</v>
      </c>
      <c r="AG175" s="2888">
        <f t="shared" ref="AG175:AK175" si="333">-AG19</f>
        <v>0</v>
      </c>
      <c r="AH175" s="2889">
        <f t="shared" si="333"/>
        <v>0</v>
      </c>
      <c r="AI175" s="2889">
        <f t="shared" si="333"/>
        <v>0</v>
      </c>
      <c r="AJ175" s="2889">
        <f t="shared" si="333"/>
        <v>0</v>
      </c>
      <c r="AK175" s="2890">
        <f t="shared" si="333"/>
        <v>0</v>
      </c>
      <c r="AM175" s="2888">
        <f t="shared" ref="AM175:AQ175" si="334">-AM19</f>
        <v>0</v>
      </c>
      <c r="AN175" s="2889">
        <f t="shared" si="334"/>
        <v>0</v>
      </c>
      <c r="AO175" s="2889">
        <f t="shared" si="334"/>
        <v>0</v>
      </c>
      <c r="AP175" s="2889">
        <f t="shared" si="334"/>
        <v>0</v>
      </c>
      <c r="AQ175" s="2890">
        <f t="shared" si="334"/>
        <v>0</v>
      </c>
      <c r="AS175" s="2888">
        <f t="shared" ref="AS175:AW175" si="335">-AS19</f>
        <v>0</v>
      </c>
      <c r="AT175" s="2889">
        <f t="shared" si="335"/>
        <v>0</v>
      </c>
      <c r="AU175" s="2889">
        <f t="shared" si="335"/>
        <v>0</v>
      </c>
      <c r="AV175" s="2889">
        <f t="shared" si="335"/>
        <v>0</v>
      </c>
      <c r="AW175" s="2890">
        <f t="shared" si="335"/>
        <v>0</v>
      </c>
      <c r="AY175" s="2888">
        <f t="shared" ref="AY175:BC175" si="336">-AY19</f>
        <v>0</v>
      </c>
      <c r="AZ175" s="2889">
        <f t="shared" si="336"/>
        <v>0</v>
      </c>
      <c r="BA175" s="2889">
        <f t="shared" si="336"/>
        <v>0</v>
      </c>
      <c r="BB175" s="2889">
        <f t="shared" si="336"/>
        <v>0</v>
      </c>
      <c r="BC175" s="2890">
        <f t="shared" si="336"/>
        <v>0</v>
      </c>
      <c r="BE175" s="2888">
        <f t="shared" ref="BE175:BI175" si="337">-BE19</f>
        <v>0</v>
      </c>
      <c r="BF175" s="2889">
        <f t="shared" si="337"/>
        <v>0</v>
      </c>
      <c r="BG175" s="2889">
        <f t="shared" si="337"/>
        <v>0</v>
      </c>
      <c r="BH175" s="2889">
        <f t="shared" si="337"/>
        <v>0</v>
      </c>
      <c r="BI175" s="2890">
        <f t="shared" si="337"/>
        <v>0</v>
      </c>
      <c r="BK175" s="2888">
        <f t="shared" ref="BK175:BO175" si="338">-BK19</f>
        <v>0</v>
      </c>
      <c r="BL175" s="2889">
        <f t="shared" si="338"/>
        <v>0</v>
      </c>
      <c r="BM175" s="2889">
        <f t="shared" si="338"/>
        <v>0</v>
      </c>
      <c r="BN175" s="2889">
        <f t="shared" si="338"/>
        <v>0</v>
      </c>
      <c r="BO175" s="2890">
        <f t="shared" si="338"/>
        <v>0</v>
      </c>
      <c r="BQ175" s="2888">
        <f t="shared" ref="BQ175:BU175" si="339">-BQ19</f>
        <v>0</v>
      </c>
      <c r="BR175" s="2889">
        <f t="shared" si="339"/>
        <v>0</v>
      </c>
      <c r="BS175" s="2889">
        <f t="shared" si="339"/>
        <v>0</v>
      </c>
      <c r="BT175" s="2889">
        <f t="shared" si="339"/>
        <v>0</v>
      </c>
      <c r="BU175" s="2890">
        <f t="shared" si="339"/>
        <v>0</v>
      </c>
      <c r="BW175" s="2888">
        <f t="shared" ref="BW175:CA175" si="340">-BW19</f>
        <v>0</v>
      </c>
      <c r="BX175" s="2889">
        <f t="shared" si="340"/>
        <v>0</v>
      </c>
      <c r="BY175" s="2889">
        <f t="shared" si="340"/>
        <v>0</v>
      </c>
      <c r="BZ175" s="2889">
        <f t="shared" si="340"/>
        <v>0</v>
      </c>
      <c r="CA175" s="2890">
        <f t="shared" si="340"/>
        <v>0</v>
      </c>
      <c r="CC175" s="2888">
        <f t="shared" ref="CC175:CG175" si="341">-CC19</f>
        <v>0</v>
      </c>
      <c r="CD175" s="2889">
        <f t="shared" si="341"/>
        <v>0</v>
      </c>
      <c r="CE175" s="2889">
        <f t="shared" si="341"/>
        <v>0</v>
      </c>
      <c r="CF175" s="2889">
        <f t="shared" si="341"/>
        <v>0</v>
      </c>
      <c r="CG175" s="2890">
        <f t="shared" si="341"/>
        <v>0</v>
      </c>
      <c r="CI175" s="2888">
        <f t="shared" ref="CI175:CM175" si="342">-CI19</f>
        <v>0</v>
      </c>
      <c r="CJ175" s="2889">
        <f t="shared" si="342"/>
        <v>0</v>
      </c>
      <c r="CK175" s="2889">
        <f t="shared" si="342"/>
        <v>0</v>
      </c>
      <c r="CL175" s="2889">
        <f t="shared" si="342"/>
        <v>0</v>
      </c>
      <c r="CM175" s="2890">
        <f t="shared" si="342"/>
        <v>0</v>
      </c>
      <c r="CO175" s="2888">
        <f t="shared" ref="CO175:CS175" si="343">-CO19</f>
        <v>0</v>
      </c>
      <c r="CP175" s="2889">
        <f t="shared" si="343"/>
        <v>0</v>
      </c>
      <c r="CQ175" s="2889">
        <f t="shared" si="343"/>
        <v>0</v>
      </c>
      <c r="CR175" s="2889">
        <f t="shared" si="343"/>
        <v>0</v>
      </c>
      <c r="CS175" s="2890">
        <f t="shared" si="343"/>
        <v>0</v>
      </c>
    </row>
    <row r="176" spans="1:97">
      <c r="A176" s="2858" t="s">
        <v>864</v>
      </c>
      <c r="C176" s="2888">
        <f>-C20</f>
        <v>-248.54300000000001</v>
      </c>
      <c r="D176" s="2889">
        <f t="shared" ref="D176:G176" si="344">-D20</f>
        <v>-248.77799999999999</v>
      </c>
      <c r="E176" s="2889">
        <f t="shared" si="344"/>
        <v>-249.227</v>
      </c>
      <c r="F176" s="2889">
        <f t="shared" si="344"/>
        <v>-228.73400000000001</v>
      </c>
      <c r="G176" s="2890">
        <f t="shared" si="344"/>
        <v>-228.73400000000001</v>
      </c>
      <c r="I176" s="2888">
        <f t="shared" ref="I176:M176" si="345">-I20</f>
        <v>-228.73400000000001</v>
      </c>
      <c r="J176" s="2889">
        <f t="shared" si="345"/>
        <v>-228.73400000000001</v>
      </c>
      <c r="K176" s="2889">
        <f t="shared" si="345"/>
        <v>-228.73400000000001</v>
      </c>
      <c r="L176" s="2889">
        <f t="shared" si="345"/>
        <v>-228.73400000000001</v>
      </c>
      <c r="M176" s="2890">
        <f t="shared" si="345"/>
        <v>-228.73400000000001</v>
      </c>
      <c r="O176" s="2888">
        <f t="shared" ref="O176:S176" si="346">-O20</f>
        <v>-228.73400000000001</v>
      </c>
      <c r="P176" s="2889">
        <f t="shared" si="346"/>
        <v>-228.73400000000001</v>
      </c>
      <c r="Q176" s="2889">
        <f t="shared" si="346"/>
        <v>-228.73400000000001</v>
      </c>
      <c r="R176" s="2889">
        <f t="shared" si="346"/>
        <v>-213.452</v>
      </c>
      <c r="S176" s="2890">
        <f t="shared" si="346"/>
        <v>-213.452</v>
      </c>
      <c r="U176" s="2888">
        <f t="shared" ref="U176:Y176" si="347">-U20</f>
        <v>-213.452</v>
      </c>
      <c r="V176" s="2889">
        <f t="shared" si="347"/>
        <v>-271.81900000000002</v>
      </c>
      <c r="W176" s="2889">
        <f t="shared" si="347"/>
        <v>-278.11200000000002</v>
      </c>
      <c r="X176" s="2889">
        <f t="shared" si="347"/>
        <v>-278.20600000000002</v>
      </c>
      <c r="Y176" s="2890">
        <f t="shared" si="347"/>
        <v>-278.20600000000002</v>
      </c>
      <c r="AA176" s="2888">
        <f t="shared" ref="AA176:AE176" si="348">-AA20</f>
        <v>-320.54300000000001</v>
      </c>
      <c r="AB176" s="2889">
        <f t="shared" si="348"/>
        <v>-321.85300000000001</v>
      </c>
      <c r="AC176" s="2889">
        <f t="shared" si="348"/>
        <v>-321.85300000000001</v>
      </c>
      <c r="AD176" s="2889">
        <f t="shared" si="348"/>
        <v>-321.85300000000001</v>
      </c>
      <c r="AE176" s="2890">
        <f t="shared" si="348"/>
        <v>-321.85300000000001</v>
      </c>
      <c r="AG176" s="2888">
        <f t="shared" ref="AG176:AK176" si="349">-AG20</f>
        <v>-321.85300000000001</v>
      </c>
      <c r="AH176" s="2889">
        <f t="shared" si="349"/>
        <v>-321.85300000000001</v>
      </c>
      <c r="AI176" s="2889">
        <f t="shared" si="349"/>
        <v>-370.18900000000002</v>
      </c>
      <c r="AJ176" s="2889">
        <f t="shared" si="349"/>
        <v>-369.327</v>
      </c>
      <c r="AK176" s="2890">
        <f t="shared" si="349"/>
        <v>-369.327</v>
      </c>
      <c r="AM176" s="2888">
        <f t="shared" ref="AM176:AQ176" si="350">-AM20</f>
        <v>-604.49300000000005</v>
      </c>
      <c r="AN176" s="2889">
        <f t="shared" si="350"/>
        <v>-596.58799999999997</v>
      </c>
      <c r="AO176" s="2889">
        <f t="shared" si="350"/>
        <v>-667.19200000000001</v>
      </c>
      <c r="AP176" s="2889">
        <f t="shared" si="350"/>
        <v>-723.06100000000004</v>
      </c>
      <c r="AQ176" s="2890">
        <f t="shared" si="350"/>
        <v>-723.06100000000004</v>
      </c>
      <c r="AS176" s="2888">
        <f t="shared" ref="AS176:AW176" si="351">-AS20</f>
        <v>-723.25900000000001</v>
      </c>
      <c r="AT176" s="2889">
        <f t="shared" si="351"/>
        <v>-721.64800000000002</v>
      </c>
      <c r="AU176" s="2889">
        <f t="shared" si="351"/>
        <v>-724.88699999999994</v>
      </c>
      <c r="AV176" s="2889">
        <f t="shared" si="351"/>
        <v>-724.904</v>
      </c>
      <c r="AW176" s="2890">
        <f t="shared" si="351"/>
        <v>-724.904</v>
      </c>
      <c r="AY176" s="2888">
        <f t="shared" ref="AY176:BC176" si="352">-AY20</f>
        <v>-724.904</v>
      </c>
      <c r="AZ176" s="2889">
        <f t="shared" si="352"/>
        <v>-724.904</v>
      </c>
      <c r="BA176" s="2889">
        <f t="shared" si="352"/>
        <v>-756.68700000000001</v>
      </c>
      <c r="BB176" s="2889">
        <f t="shared" si="352"/>
        <v>-752.62900000000002</v>
      </c>
      <c r="BC176" s="2890">
        <f t="shared" si="352"/>
        <v>-752.62900000000002</v>
      </c>
      <c r="BE176" s="2888">
        <f t="shared" ref="BE176:BI176" si="353">-BE20</f>
        <v>-776.029</v>
      </c>
      <c r="BF176" s="2889">
        <f t="shared" si="353"/>
        <v>-775.995</v>
      </c>
      <c r="BG176" s="2889">
        <f t="shared" si="353"/>
        <v>-775.995</v>
      </c>
      <c r="BH176" s="2889">
        <f t="shared" si="353"/>
        <v>-775.995</v>
      </c>
      <c r="BI176" s="2890">
        <f t="shared" si="353"/>
        <v>-775.995</v>
      </c>
      <c r="BK176" s="2888">
        <f t="shared" ref="BK176:BO176" si="354">-BK20</f>
        <v>-771</v>
      </c>
      <c r="BL176" s="2889">
        <f t="shared" si="354"/>
        <v>-771</v>
      </c>
      <c r="BM176" s="2889">
        <f t="shared" si="354"/>
        <v>-771</v>
      </c>
      <c r="BN176" s="2889">
        <f t="shared" si="354"/>
        <v>-771</v>
      </c>
      <c r="BO176" s="2890">
        <f t="shared" si="354"/>
        <v>-771</v>
      </c>
      <c r="BQ176" s="2888">
        <f t="shared" ref="BQ176:BU176" si="355">-BQ20</f>
        <v>-771</v>
      </c>
      <c r="BR176" s="2889">
        <f t="shared" si="355"/>
        <v>-771</v>
      </c>
      <c r="BS176" s="2889">
        <f t="shared" si="355"/>
        <v>-771</v>
      </c>
      <c r="BT176" s="2889">
        <f t="shared" si="355"/>
        <v>-771</v>
      </c>
      <c r="BU176" s="2890">
        <f t="shared" si="355"/>
        <v>-771</v>
      </c>
      <c r="BW176" s="2888">
        <f t="shared" ref="BW176:CA176" si="356">-BW20</f>
        <v>-771</v>
      </c>
      <c r="BX176" s="2889">
        <f t="shared" si="356"/>
        <v>-771</v>
      </c>
      <c r="BY176" s="2889">
        <f t="shared" si="356"/>
        <v>-771</v>
      </c>
      <c r="BZ176" s="2889">
        <f t="shared" si="356"/>
        <v>-771</v>
      </c>
      <c r="CA176" s="2890">
        <f t="shared" si="356"/>
        <v>-771</v>
      </c>
      <c r="CC176" s="2888">
        <f t="shared" ref="CC176:CG176" si="357">-CC20</f>
        <v>-771</v>
      </c>
      <c r="CD176" s="2889">
        <f t="shared" si="357"/>
        <v>-771</v>
      </c>
      <c r="CE176" s="2889">
        <f t="shared" si="357"/>
        <v>-771</v>
      </c>
      <c r="CF176" s="2889">
        <f t="shared" si="357"/>
        <v>-771</v>
      </c>
      <c r="CG176" s="2890">
        <f t="shared" si="357"/>
        <v>-771</v>
      </c>
      <c r="CI176" s="2888">
        <f t="shared" ref="CI176:CM176" si="358">-CI20</f>
        <v>-771</v>
      </c>
      <c r="CJ176" s="2889">
        <f t="shared" si="358"/>
        <v>-771</v>
      </c>
      <c r="CK176" s="2889">
        <f t="shared" si="358"/>
        <v>-771</v>
      </c>
      <c r="CL176" s="2889">
        <f t="shared" si="358"/>
        <v>-771</v>
      </c>
      <c r="CM176" s="2890">
        <f t="shared" si="358"/>
        <v>-771</v>
      </c>
      <c r="CO176" s="2888">
        <f t="shared" ref="CO176:CS176" si="359">-CO20</f>
        <v>-771</v>
      </c>
      <c r="CP176" s="2889">
        <f t="shared" si="359"/>
        <v>-771</v>
      </c>
      <c r="CQ176" s="2889">
        <f t="shared" si="359"/>
        <v>-771</v>
      </c>
      <c r="CR176" s="2889">
        <f t="shared" si="359"/>
        <v>-771</v>
      </c>
      <c r="CS176" s="2890">
        <f t="shared" si="359"/>
        <v>-771</v>
      </c>
    </row>
    <row r="177" spans="1:97">
      <c r="A177" s="2859" t="s">
        <v>865</v>
      </c>
      <c r="C177" s="2892">
        <f t="shared" ref="C177:F178" si="360">+SUM(C163:C175)</f>
        <v>349.3549999999999</v>
      </c>
      <c r="D177" s="2893">
        <f t="shared" si="360"/>
        <v>353.74700000000001</v>
      </c>
      <c r="E177" s="2893">
        <f t="shared" si="360"/>
        <v>378.36099999999999</v>
      </c>
      <c r="F177" s="2893">
        <f t="shared" si="360"/>
        <v>328.75599999999986</v>
      </c>
      <c r="G177" s="2894">
        <f t="shared" ref="G177:S178" si="361">+F177</f>
        <v>328.75599999999986</v>
      </c>
      <c r="H177" s="581"/>
      <c r="I177" s="2892">
        <f t="shared" ref="I177:L178" si="362">+SUM(I163:I175)</f>
        <v>461.43899999999996</v>
      </c>
      <c r="J177" s="2893">
        <f t="shared" si="362"/>
        <v>473.68199999999996</v>
      </c>
      <c r="K177" s="2893">
        <f t="shared" si="362"/>
        <v>499.10000000000014</v>
      </c>
      <c r="L177" s="2893">
        <f t="shared" si="362"/>
        <v>484.61</v>
      </c>
      <c r="M177" s="2894">
        <f t="shared" si="361"/>
        <v>484.61</v>
      </c>
      <c r="N177" s="581"/>
      <c r="O177" s="2892">
        <f t="shared" ref="O177:R178" si="363">+SUM(O163:O175)</f>
        <v>502.904</v>
      </c>
      <c r="P177" s="2893">
        <f t="shared" si="363"/>
        <v>513.70800000000008</v>
      </c>
      <c r="Q177" s="2893">
        <f t="shared" si="363"/>
        <v>544.654</v>
      </c>
      <c r="R177" s="2893">
        <f t="shared" si="363"/>
        <v>517.9839999999997</v>
      </c>
      <c r="S177" s="2894">
        <f t="shared" si="361"/>
        <v>517.9839999999997</v>
      </c>
      <c r="T177" s="581"/>
      <c r="U177" s="2895">
        <f t="shared" ref="U177:X178" si="364">+SUM(U163:U175)</f>
        <v>540.22499999999991</v>
      </c>
      <c r="V177" s="2896">
        <f t="shared" si="364"/>
        <v>610.61699999999985</v>
      </c>
      <c r="W177" s="2896">
        <f t="shared" si="364"/>
        <v>669.74099999999976</v>
      </c>
      <c r="X177" s="2896">
        <f t="shared" si="364"/>
        <v>663.04100000000017</v>
      </c>
      <c r="Y177" s="2897">
        <f t="shared" ref="Y177:AK178" si="365">+X177</f>
        <v>663.04100000000017</v>
      </c>
      <c r="Z177" s="2891"/>
      <c r="AA177" s="2895">
        <f t="shared" ref="AA177:AD178" si="366">+SUM(AA163:AA175)</f>
        <v>735.07200000000057</v>
      </c>
      <c r="AB177" s="2896">
        <f t="shared" si="366"/>
        <v>739.82600000000002</v>
      </c>
      <c r="AC177" s="2896">
        <f t="shared" si="366"/>
        <v>706.971</v>
      </c>
      <c r="AD177" s="2896">
        <f t="shared" si="366"/>
        <v>725.82900000000063</v>
      </c>
      <c r="AE177" s="2897">
        <f t="shared" si="365"/>
        <v>725.82900000000063</v>
      </c>
      <c r="AF177" s="2891"/>
      <c r="AG177" s="2895">
        <f t="shared" ref="AG177:AJ178" si="367">+SUM(AG163:AG175)</f>
        <v>728.03899999999953</v>
      </c>
      <c r="AH177" s="2896">
        <f t="shared" si="367"/>
        <v>710.79799999999977</v>
      </c>
      <c r="AI177" s="2896">
        <f t="shared" si="367"/>
        <v>856.4860000000001</v>
      </c>
      <c r="AJ177" s="2896">
        <f t="shared" si="367"/>
        <v>877.64300000000026</v>
      </c>
      <c r="AK177" s="2897">
        <f t="shared" si="365"/>
        <v>877.64300000000026</v>
      </c>
      <c r="AL177" s="2891"/>
      <c r="AM177" s="2895">
        <f t="shared" ref="AM177:AP178" si="368">+SUM(AM163:AM175)</f>
        <v>1208.7839999999994</v>
      </c>
      <c r="AN177" s="2896">
        <f t="shared" si="368"/>
        <v>1209.9880000000001</v>
      </c>
      <c r="AO177" s="2896">
        <f t="shared" si="368"/>
        <v>1270.8189999999995</v>
      </c>
      <c r="AP177" s="2896">
        <f t="shared" si="368"/>
        <v>1436.0720000000001</v>
      </c>
      <c r="AQ177" s="2897">
        <f t="shared" ref="AQ177:BC178" si="369">+AP177</f>
        <v>1436.0720000000001</v>
      </c>
      <c r="AR177" s="2891"/>
      <c r="AS177" s="2895">
        <f t="shared" ref="AS177:AV178" si="370">+SUM(AS163:AS175)</f>
        <v>1518.3199999999997</v>
      </c>
      <c r="AT177" s="2896">
        <f t="shared" si="370"/>
        <v>1465.7549999999997</v>
      </c>
      <c r="AU177" s="2896">
        <f t="shared" si="370"/>
        <v>1309.8379999999995</v>
      </c>
      <c r="AV177" s="2896">
        <f t="shared" si="370"/>
        <v>1492.7330000000002</v>
      </c>
      <c r="AW177" s="2897">
        <f t="shared" si="369"/>
        <v>1492.7330000000002</v>
      </c>
      <c r="AX177" s="2891"/>
      <c r="AY177" s="2895">
        <f t="shared" ref="AY177:BB178" si="371">+SUM(AY163:AY175)</f>
        <v>1617.5529999999994</v>
      </c>
      <c r="AZ177" s="2896">
        <f t="shared" si="371"/>
        <v>1651.7379999999998</v>
      </c>
      <c r="BA177" s="2896">
        <f t="shared" si="371"/>
        <v>1681.8870000000002</v>
      </c>
      <c r="BB177" s="2896">
        <f t="shared" si="371"/>
        <v>1631.4470000000003</v>
      </c>
      <c r="BC177" s="2897">
        <f t="shared" si="369"/>
        <v>1631.4470000000003</v>
      </c>
      <c r="BD177" s="2891"/>
      <c r="BE177" s="2895">
        <f t="shared" ref="BE177:BH178" si="372">+SUM(BE163:BE175)</f>
        <v>1773.1880000000006</v>
      </c>
      <c r="BF177" s="2896">
        <f t="shared" si="372"/>
        <v>1792.3759999999995</v>
      </c>
      <c r="BG177" s="2896">
        <f t="shared" si="372"/>
        <v>1881.8339999999998</v>
      </c>
      <c r="BH177" s="2896">
        <f t="shared" si="372"/>
        <v>1895.1440000000005</v>
      </c>
      <c r="BI177" s="2897">
        <f t="shared" ref="BI177:BU178" si="373">+BH177</f>
        <v>1895.1440000000005</v>
      </c>
      <c r="BJ177" s="2891"/>
      <c r="BK177" s="2895">
        <f t="shared" ref="BK177:BN178" si="374">+SUM(BK163:BK175)</f>
        <v>2017</v>
      </c>
      <c r="BL177" s="2896">
        <f t="shared" si="374"/>
        <v>2185</v>
      </c>
      <c r="BM177" s="2896">
        <f t="shared" si="374"/>
        <v>2225</v>
      </c>
      <c r="BN177" s="2896">
        <f t="shared" si="374"/>
        <v>2288</v>
      </c>
      <c r="BO177" s="2897">
        <f t="shared" si="373"/>
        <v>2288</v>
      </c>
      <c r="BP177" s="2891"/>
      <c r="BQ177" s="2895">
        <f t="shared" ref="BQ177:BT178" si="375">+SUM(BQ163:BQ175)</f>
        <v>2497.2637861039811</v>
      </c>
      <c r="BR177" s="2896">
        <f t="shared" si="375"/>
        <v>2451.5213148316816</v>
      </c>
      <c r="BS177" s="2896">
        <f t="shared" si="375"/>
        <v>2500.1548055224112</v>
      </c>
      <c r="BT177" s="2896">
        <f t="shared" si="375"/>
        <v>2558.9222236507799</v>
      </c>
      <c r="BU177" s="2897">
        <f t="shared" si="373"/>
        <v>2558.9222236507799</v>
      </c>
      <c r="BV177" s="2891"/>
      <c r="BW177" s="2895">
        <f t="shared" ref="BW177:BZ178" si="376">+SUM(BW163:BW175)</f>
        <v>2754.5386439580684</v>
      </c>
      <c r="BX177" s="2896">
        <f t="shared" si="376"/>
        <v>2697.9660888088993</v>
      </c>
      <c r="BY177" s="2896">
        <f t="shared" si="376"/>
        <v>2744.182458204783</v>
      </c>
      <c r="BZ177" s="2896">
        <f t="shared" si="376"/>
        <v>2803.8203987832076</v>
      </c>
      <c r="CA177" s="2897">
        <f t="shared" ref="CA177:CG178" si="377">+BZ177</f>
        <v>2803.8203987832076</v>
      </c>
      <c r="CB177" s="2891"/>
      <c r="CC177" s="2895">
        <f t="shared" ref="CC177:CF178" si="378">+SUM(CC163:CC175)</f>
        <v>2993.3060632656311</v>
      </c>
      <c r="CD177" s="2896">
        <f t="shared" si="378"/>
        <v>2928.4533810552789</v>
      </c>
      <c r="CE177" s="2896">
        <f t="shared" si="378"/>
        <v>2972.1427505611437</v>
      </c>
      <c r="CF177" s="2896">
        <f t="shared" si="378"/>
        <v>3031.6922736605943</v>
      </c>
      <c r="CG177" s="2897">
        <f t="shared" si="377"/>
        <v>3031.6922736605943</v>
      </c>
      <c r="CH177" s="2891"/>
      <c r="CI177" s="2895">
        <f t="shared" ref="CI177:CL177" si="379">+SUM(CI163:CI175)</f>
        <v>3235.3985623477115</v>
      </c>
      <c r="CJ177" s="2896">
        <f t="shared" si="379"/>
        <v>3165.5044095168064</v>
      </c>
      <c r="CK177" s="2896">
        <f t="shared" si="379"/>
        <v>3211.4585206342585</v>
      </c>
      <c r="CL177" s="2896">
        <f t="shared" si="379"/>
        <v>3276.7487597317854</v>
      </c>
      <c r="CM177" s="2897">
        <f t="shared" ref="CM177:CM178" si="380">+CL177</f>
        <v>3276.7487597317854</v>
      </c>
      <c r="CN177" s="2891"/>
      <c r="CO177" s="2895">
        <f t="shared" ref="CO177:CR177" si="381">+SUM(CO163:CO175)</f>
        <v>3490.1574627739733</v>
      </c>
      <c r="CP177" s="2896">
        <f t="shared" si="381"/>
        <v>3417.1233053271549</v>
      </c>
      <c r="CQ177" s="2896">
        <f t="shared" si="381"/>
        <v>3467.8963142297616</v>
      </c>
      <c r="CR177" s="2896">
        <f t="shared" si="381"/>
        <v>3539.2385577319692</v>
      </c>
      <c r="CS177" s="2897">
        <f t="shared" ref="CS177:CS178" si="382">+CR177</f>
        <v>3539.2385577319692</v>
      </c>
    </row>
    <row r="178" spans="1:97">
      <c r="A178" s="2859" t="s">
        <v>866</v>
      </c>
      <c r="C178" s="2892">
        <f t="shared" si="360"/>
        <v>100.8119999999999</v>
      </c>
      <c r="D178" s="2893">
        <f t="shared" si="360"/>
        <v>104.96900000000002</v>
      </c>
      <c r="E178" s="2893">
        <f t="shared" si="360"/>
        <v>129.13399999999999</v>
      </c>
      <c r="F178" s="2893">
        <f t="shared" si="360"/>
        <v>100.02199999999985</v>
      </c>
      <c r="G178" s="2894">
        <f t="shared" si="361"/>
        <v>100.02199999999985</v>
      </c>
      <c r="H178" s="581"/>
      <c r="I178" s="2892">
        <f t="shared" si="362"/>
        <v>232.70499999999996</v>
      </c>
      <c r="J178" s="2893">
        <f t="shared" si="362"/>
        <v>244.94799999999995</v>
      </c>
      <c r="K178" s="2893">
        <f t="shared" si="362"/>
        <v>270.3660000000001</v>
      </c>
      <c r="L178" s="2893">
        <f t="shared" si="362"/>
        <v>255.876</v>
      </c>
      <c r="M178" s="2894">
        <f t="shared" si="361"/>
        <v>255.876</v>
      </c>
      <c r="N178" s="581"/>
      <c r="O178" s="2892">
        <f t="shared" si="363"/>
        <v>274.16999999999996</v>
      </c>
      <c r="P178" s="2893">
        <f t="shared" si="363"/>
        <v>284.97400000000005</v>
      </c>
      <c r="Q178" s="2893">
        <f t="shared" si="363"/>
        <v>315.91999999999996</v>
      </c>
      <c r="R178" s="2893">
        <f t="shared" si="363"/>
        <v>304.5319999999997</v>
      </c>
      <c r="S178" s="2894">
        <f t="shared" si="361"/>
        <v>304.5319999999997</v>
      </c>
      <c r="T178" s="581"/>
      <c r="U178" s="2895">
        <f t="shared" si="364"/>
        <v>326.77299999999991</v>
      </c>
      <c r="V178" s="2896">
        <f t="shared" si="364"/>
        <v>338.79799999999983</v>
      </c>
      <c r="W178" s="2896">
        <f t="shared" si="364"/>
        <v>391.62899999999973</v>
      </c>
      <c r="X178" s="2896">
        <f t="shared" si="364"/>
        <v>384.83500000000015</v>
      </c>
      <c r="Y178" s="2897">
        <f t="shared" si="365"/>
        <v>384.83500000000015</v>
      </c>
      <c r="Z178" s="2891"/>
      <c r="AA178" s="2895">
        <f t="shared" si="366"/>
        <v>414.52900000000056</v>
      </c>
      <c r="AB178" s="2896">
        <f t="shared" si="366"/>
        <v>417.97300000000001</v>
      </c>
      <c r="AC178" s="2896">
        <f t="shared" si="366"/>
        <v>385.11799999999999</v>
      </c>
      <c r="AD178" s="2896">
        <f t="shared" si="366"/>
        <v>403.97600000000062</v>
      </c>
      <c r="AE178" s="2897">
        <f t="shared" si="365"/>
        <v>403.97600000000062</v>
      </c>
      <c r="AF178" s="2891"/>
      <c r="AG178" s="2895">
        <f t="shared" si="367"/>
        <v>406.18599999999952</v>
      </c>
      <c r="AH178" s="2896">
        <f t="shared" si="367"/>
        <v>388.94499999999977</v>
      </c>
      <c r="AI178" s="2896">
        <f t="shared" si="367"/>
        <v>486.29700000000008</v>
      </c>
      <c r="AJ178" s="2896">
        <f t="shared" si="367"/>
        <v>508.31600000000026</v>
      </c>
      <c r="AK178" s="2897">
        <f t="shared" si="365"/>
        <v>508.31600000000026</v>
      </c>
      <c r="AL178" s="2891"/>
      <c r="AM178" s="2895">
        <f t="shared" si="368"/>
        <v>604.29099999999937</v>
      </c>
      <c r="AN178" s="2896">
        <f t="shared" si="368"/>
        <v>613.40000000000009</v>
      </c>
      <c r="AO178" s="2896">
        <f t="shared" si="368"/>
        <v>603.6269999999995</v>
      </c>
      <c r="AP178" s="2896">
        <f t="shared" si="368"/>
        <v>713.01100000000008</v>
      </c>
      <c r="AQ178" s="2897">
        <f t="shared" si="369"/>
        <v>713.01100000000008</v>
      </c>
      <c r="AR178" s="2891"/>
      <c r="AS178" s="2895">
        <f t="shared" si="370"/>
        <v>795.06099999999969</v>
      </c>
      <c r="AT178" s="2896">
        <f t="shared" si="370"/>
        <v>744.10699999999963</v>
      </c>
      <c r="AU178" s="2896">
        <f t="shared" si="370"/>
        <v>584.95099999999957</v>
      </c>
      <c r="AV178" s="2896">
        <f t="shared" si="370"/>
        <v>767.82900000000018</v>
      </c>
      <c r="AW178" s="2897">
        <f t="shared" si="369"/>
        <v>767.82900000000018</v>
      </c>
      <c r="AX178" s="2891"/>
      <c r="AY178" s="2895">
        <f t="shared" si="371"/>
        <v>892.64899999999943</v>
      </c>
      <c r="AZ178" s="2896">
        <f t="shared" si="371"/>
        <v>926.83399999999983</v>
      </c>
      <c r="BA178" s="2896">
        <f t="shared" si="371"/>
        <v>925.20000000000016</v>
      </c>
      <c r="BB178" s="2896">
        <f t="shared" si="371"/>
        <v>878.81800000000032</v>
      </c>
      <c r="BC178" s="2897">
        <f t="shared" si="369"/>
        <v>878.81800000000032</v>
      </c>
      <c r="BD178" s="2891"/>
      <c r="BE178" s="2895">
        <f t="shared" si="372"/>
        <v>997.15900000000056</v>
      </c>
      <c r="BF178" s="2896">
        <f t="shared" si="372"/>
        <v>1016.3809999999995</v>
      </c>
      <c r="BG178" s="2896">
        <f t="shared" si="372"/>
        <v>1105.8389999999999</v>
      </c>
      <c r="BH178" s="2896">
        <f t="shared" si="372"/>
        <v>1119.1490000000003</v>
      </c>
      <c r="BI178" s="2897">
        <f t="shared" si="373"/>
        <v>1119.1490000000003</v>
      </c>
      <c r="BJ178" s="2891"/>
      <c r="BK178" s="2895">
        <f t="shared" si="374"/>
        <v>1246</v>
      </c>
      <c r="BL178" s="2896">
        <f t="shared" si="374"/>
        <v>1414</v>
      </c>
      <c r="BM178" s="2896">
        <f t="shared" si="374"/>
        <v>1454</v>
      </c>
      <c r="BN178" s="2896">
        <f t="shared" si="374"/>
        <v>1517</v>
      </c>
      <c r="BO178" s="2897">
        <f t="shared" si="373"/>
        <v>1517</v>
      </c>
      <c r="BP178" s="2891"/>
      <c r="BQ178" s="2895">
        <f t="shared" si="375"/>
        <v>1726.2637861039811</v>
      </c>
      <c r="BR178" s="2896">
        <f t="shared" si="375"/>
        <v>1680.5213148316816</v>
      </c>
      <c r="BS178" s="2896">
        <f t="shared" si="375"/>
        <v>1729.1548055224112</v>
      </c>
      <c r="BT178" s="2896">
        <f t="shared" si="375"/>
        <v>1787.9222236507799</v>
      </c>
      <c r="BU178" s="2897">
        <f t="shared" si="373"/>
        <v>1787.9222236507799</v>
      </c>
      <c r="BV178" s="2891"/>
      <c r="BW178" s="2895">
        <f t="shared" si="376"/>
        <v>1983.5386439580684</v>
      </c>
      <c r="BX178" s="2896">
        <f t="shared" si="376"/>
        <v>1926.9660888088993</v>
      </c>
      <c r="BY178" s="2896">
        <f t="shared" si="376"/>
        <v>1973.182458204783</v>
      </c>
      <c r="BZ178" s="2896">
        <f t="shared" si="376"/>
        <v>2032.8203987832076</v>
      </c>
      <c r="CA178" s="2897">
        <f t="shared" si="377"/>
        <v>2032.8203987832076</v>
      </c>
      <c r="CB178" s="2891"/>
      <c r="CC178" s="2895">
        <f t="shared" si="378"/>
        <v>2222.3060632656311</v>
      </c>
      <c r="CD178" s="2896">
        <f t="shared" si="378"/>
        <v>2157.4533810552789</v>
      </c>
      <c r="CE178" s="2896">
        <f t="shared" si="378"/>
        <v>2201.1427505611437</v>
      </c>
      <c r="CF178" s="2896">
        <f t="shared" si="378"/>
        <v>2260.6922736605943</v>
      </c>
      <c r="CG178" s="2897">
        <f t="shared" si="377"/>
        <v>2260.6922736605943</v>
      </c>
      <c r="CH178" s="2891"/>
      <c r="CI178" s="2895">
        <f t="shared" ref="CI178:CL178" si="383">+SUM(CI164:CI176)</f>
        <v>2464.3985623477115</v>
      </c>
      <c r="CJ178" s="2896">
        <f t="shared" si="383"/>
        <v>2394.5044095168064</v>
      </c>
      <c r="CK178" s="2896">
        <f t="shared" si="383"/>
        <v>2440.4585206342585</v>
      </c>
      <c r="CL178" s="2896">
        <f t="shared" si="383"/>
        <v>2505.7487597317854</v>
      </c>
      <c r="CM178" s="2897">
        <f t="shared" si="380"/>
        <v>2505.7487597317854</v>
      </c>
      <c r="CN178" s="2891"/>
      <c r="CO178" s="2895">
        <f t="shared" ref="CO178:CR178" si="384">+SUM(CO164:CO176)</f>
        <v>2719.1574627739733</v>
      </c>
      <c r="CP178" s="2896">
        <f t="shared" si="384"/>
        <v>2646.1233053271549</v>
      </c>
      <c r="CQ178" s="2896">
        <f t="shared" si="384"/>
        <v>2696.8963142297616</v>
      </c>
      <c r="CR178" s="2896">
        <f t="shared" si="384"/>
        <v>2768.2385577319692</v>
      </c>
      <c r="CS178" s="2897">
        <f t="shared" si="382"/>
        <v>2768.2385577319692</v>
      </c>
    </row>
    <row r="179" spans="1:97">
      <c r="A179" s="2858"/>
      <c r="C179" s="2898"/>
      <c r="D179" s="2899"/>
      <c r="E179" s="2899"/>
      <c r="F179" s="2899"/>
      <c r="G179" s="2900"/>
      <c r="H179" s="2901"/>
      <c r="I179" s="2898"/>
      <c r="J179" s="2899"/>
      <c r="K179" s="2899"/>
      <c r="L179" s="2899"/>
      <c r="M179" s="2900"/>
      <c r="N179" s="2901"/>
      <c r="O179" s="2898"/>
      <c r="P179" s="2899"/>
      <c r="Q179" s="2899"/>
      <c r="R179" s="2899"/>
      <c r="S179" s="2900"/>
      <c r="T179" s="2901"/>
      <c r="U179" s="2898"/>
      <c r="V179" s="2899"/>
      <c r="W179" s="2899"/>
      <c r="X179" s="2899"/>
      <c r="Y179" s="2900"/>
      <c r="Z179" s="2901"/>
      <c r="AA179" s="2898"/>
      <c r="AB179" s="2899"/>
      <c r="AC179" s="2899"/>
      <c r="AD179" s="2899"/>
      <c r="AE179" s="2900"/>
      <c r="AF179" s="2901"/>
      <c r="AG179" s="2898"/>
      <c r="AH179" s="2899"/>
      <c r="AI179" s="2899"/>
      <c r="AJ179" s="2899"/>
      <c r="AK179" s="2900"/>
      <c r="AL179" s="2901"/>
      <c r="AM179" s="2898"/>
      <c r="AN179" s="2899"/>
      <c r="AO179" s="2899"/>
      <c r="AP179" s="2899"/>
      <c r="AQ179" s="2900"/>
      <c r="AR179" s="2901"/>
      <c r="AS179" s="2898"/>
      <c r="AT179" s="2899"/>
      <c r="AU179" s="2899"/>
      <c r="AV179" s="2899"/>
      <c r="AW179" s="2900"/>
      <c r="AX179" s="2901"/>
      <c r="AY179" s="2902"/>
      <c r="AZ179" s="2868"/>
      <c r="BA179" s="2868"/>
      <c r="BB179" s="2868"/>
      <c r="BC179" s="2900"/>
      <c r="BD179" s="2901"/>
      <c r="BE179" s="2902"/>
      <c r="BF179" s="2868"/>
      <c r="BG179" s="2899"/>
      <c r="BH179" s="2899"/>
      <c r="BI179" s="2900"/>
      <c r="BJ179" s="2901"/>
      <c r="BK179" s="2902"/>
      <c r="BL179" s="2868"/>
      <c r="BM179" s="2899"/>
      <c r="BN179" s="2899"/>
      <c r="BO179" s="2900"/>
      <c r="BP179" s="2901"/>
      <c r="BQ179" s="2898"/>
      <c r="BR179" s="2899"/>
      <c r="BS179" s="2899"/>
      <c r="BT179" s="2899"/>
      <c r="BU179" s="2900"/>
      <c r="BV179" s="2901"/>
      <c r="BW179" s="2898"/>
      <c r="BX179" s="2899"/>
      <c r="BY179" s="2899"/>
      <c r="BZ179" s="2899"/>
      <c r="CA179" s="2900"/>
      <c r="CB179" s="2901"/>
      <c r="CC179" s="2898"/>
      <c r="CD179" s="2899"/>
      <c r="CE179" s="2899"/>
      <c r="CF179" s="2899"/>
      <c r="CG179" s="2900"/>
      <c r="CH179" s="2901"/>
      <c r="CI179" s="2898"/>
      <c r="CJ179" s="2899"/>
      <c r="CK179" s="2899"/>
      <c r="CL179" s="2899"/>
      <c r="CM179" s="2900"/>
      <c r="CN179" s="2901"/>
      <c r="CO179" s="2898"/>
      <c r="CP179" s="2899"/>
      <c r="CQ179" s="2899"/>
      <c r="CR179" s="2899"/>
      <c r="CS179" s="2900"/>
    </row>
    <row r="180" spans="1:97">
      <c r="A180" s="2859" t="s">
        <v>867</v>
      </c>
      <c r="C180" s="2903">
        <f>+C160*4/C177</f>
        <v>4.34251668418561E-2</v>
      </c>
      <c r="D180" s="2880">
        <f t="shared" ref="D180:F180" si="385">+D160*4/D177</f>
        <v>8.6860587409296489E-2</v>
      </c>
      <c r="E180" s="2880">
        <f t="shared" si="385"/>
        <v>9.5548828940695454E-2</v>
      </c>
      <c r="F180" s="2880">
        <f t="shared" si="385"/>
        <v>0.13600004056604159</v>
      </c>
      <c r="G180" s="2881">
        <f>+G160/AVERAGE(C177:F177)</f>
        <v>8.9794707244667177E-2</v>
      </c>
      <c r="H180" s="2901"/>
      <c r="I180" s="2903">
        <f>+I160*4/I177</f>
        <v>8.6345567460175757E-2</v>
      </c>
      <c r="J180" s="2880">
        <f t="shared" ref="J180:L180" si="386">+J160*4/J177</f>
        <v>0.12477019249023122</v>
      </c>
      <c r="K180" s="2880">
        <f t="shared" si="386"/>
        <v>0.11768359014685019</v>
      </c>
      <c r="L180" s="2880">
        <f t="shared" si="386"/>
        <v>0.20897210114082371</v>
      </c>
      <c r="M180" s="2881">
        <f>+M160/AVERAGE(I177:L177)</f>
        <v>0.13494470595555422</v>
      </c>
      <c r="N180" s="2901"/>
      <c r="O180" s="2903">
        <f t="shared" ref="O180:R180" si="387">+O160*4/O177</f>
        <v>0.20864552095695449</v>
      </c>
      <c r="P180" s="2880">
        <f t="shared" si="387"/>
        <v>0.2073824611654802</v>
      </c>
      <c r="Q180" s="2880">
        <f t="shared" si="387"/>
        <v>0.15190964963188688</v>
      </c>
      <c r="R180" s="2880">
        <f t="shared" si="387"/>
        <v>0.19867088432054911</v>
      </c>
      <c r="S180" s="2881">
        <f t="shared" ref="S180" si="388">+S160/AVERAGE(O177:R177)</f>
        <v>0.19092259195797906</v>
      </c>
      <c r="T180" s="2901"/>
      <c r="U180" s="2903">
        <f t="shared" ref="U180:X180" si="389">+U160*4/U177</f>
        <v>0.19572691115269217</v>
      </c>
      <c r="V180" s="2880">
        <f t="shared" si="389"/>
        <v>0.21733939760696597</v>
      </c>
      <c r="W180" s="2880">
        <f t="shared" si="389"/>
        <v>0.23317808724093886</v>
      </c>
      <c r="X180" s="2880">
        <f t="shared" si="389"/>
        <v>0.243659121322535</v>
      </c>
      <c r="Y180" s="2881">
        <f t="shared" ref="Y180" si="390">+Y160/AVERAGE(U177:X177)</f>
        <v>0.22391758068206902</v>
      </c>
      <c r="Z180" s="2901"/>
      <c r="AA180" s="2903">
        <f t="shared" ref="AA180:AD180" si="391">+AA160*4/AA177</f>
        <v>0.27248450226266846</v>
      </c>
      <c r="AB180" s="2880">
        <f t="shared" si="391"/>
        <v>0.28045668048343969</v>
      </c>
      <c r="AC180" s="2880">
        <f t="shared" si="391"/>
        <v>0.16455347903763834</v>
      </c>
      <c r="AD180" s="2880">
        <f t="shared" si="391"/>
        <v>0.23463030725306314</v>
      </c>
      <c r="AE180" s="2881">
        <f t="shared" ref="AE180" si="392">+AE160/AVERAGE(AA177:AD177)</f>
        <v>0.23882371323557786</v>
      </c>
      <c r="AF180" s="2901"/>
      <c r="AG180" s="2903">
        <f t="shared" ref="AG180:AJ180" si="393">+AG160*4/AG177</f>
        <v>0.26378931625915047</v>
      </c>
      <c r="AH180" s="2880">
        <f t="shared" si="393"/>
        <v>0.29380542347895067</v>
      </c>
      <c r="AI180" s="2880">
        <f t="shared" si="393"/>
        <v>0.23852064159206482</v>
      </c>
      <c r="AJ180" s="2880">
        <f t="shared" si="393"/>
        <v>0.25370008749657025</v>
      </c>
      <c r="AK180" s="2881">
        <f t="shared" ref="AK180" si="394">+AK160/AVERAGE(AG177:AJ177)</f>
        <v>0.26092116916788288</v>
      </c>
      <c r="AL180" s="2901"/>
      <c r="AM180" s="2903">
        <f t="shared" ref="AM180:AP180" si="395">+AM160*4/AM177</f>
        <v>0.20595602407862426</v>
      </c>
      <c r="AN180" s="2880">
        <f t="shared" si="395"/>
        <v>0.19978640165740694</v>
      </c>
      <c r="AO180" s="2880">
        <f t="shared" si="395"/>
        <v>0.19596794696660449</v>
      </c>
      <c r="AP180" s="2880">
        <f t="shared" si="395"/>
        <v>0.17868593652237116</v>
      </c>
      <c r="AQ180" s="2881">
        <f t="shared" ref="AQ180" si="396">+AQ160/AVERAGE(AM177:AP177)</f>
        <v>0.19439301427288527</v>
      </c>
      <c r="AR180" s="2901"/>
      <c r="AS180" s="2903">
        <f t="shared" ref="AS180:AV180" si="397">+AS160*4/AS177</f>
        <v>0.20956539653856415</v>
      </c>
      <c r="AT180" s="2880">
        <f t="shared" si="397"/>
        <v>0.22939025983390759</v>
      </c>
      <c r="AU180" s="2880">
        <f t="shared" si="397"/>
        <v>0.35088516971030687</v>
      </c>
      <c r="AV180" s="2880">
        <f t="shared" si="397"/>
        <v>0.34716230691693073</v>
      </c>
      <c r="AW180" s="2881">
        <f t="shared" ref="AW180" si="398">+AW160/AVERAGE(AS177:AV177)</f>
        <v>0.28194488374821775</v>
      </c>
      <c r="AX180" s="2901"/>
      <c r="AY180" s="2903">
        <f t="shared" ref="AY180:BB180" si="399">+AY160*4/AY177</f>
        <v>0.33565213660255189</v>
      </c>
      <c r="AZ180" s="2880">
        <f t="shared" si="399"/>
        <v>0.29032483128425973</v>
      </c>
      <c r="BA180" s="2880">
        <f t="shared" si="399"/>
        <v>0.2813730581021171</v>
      </c>
      <c r="BB180" s="2880">
        <f t="shared" si="399"/>
        <v>0.29180797070489523</v>
      </c>
      <c r="BC180" s="2881">
        <f t="shared" ref="BC180" si="400">+BC160/AVERAGE(AY177:BB177)</f>
        <v>0.29955595571899718</v>
      </c>
      <c r="BD180" s="2901"/>
      <c r="BE180" s="2903">
        <f t="shared" ref="BE180:BH180" si="401">+BE160*4/BE177</f>
        <v>0.22954229237889653</v>
      </c>
      <c r="BF180" s="2880">
        <f t="shared" si="401"/>
        <v>0.27094027559200534</v>
      </c>
      <c r="BG180" s="2880">
        <f t="shared" si="401"/>
        <v>0.27918505644513159</v>
      </c>
      <c r="BH180" s="2880">
        <f t="shared" si="401"/>
        <v>0.23468666831401738</v>
      </c>
      <c r="BI180" s="2881">
        <f t="shared" ref="BI180" si="402">+BI160/AVERAGE(BE177:BH177)</f>
        <v>0.25373518739861373</v>
      </c>
      <c r="BJ180" s="2901"/>
      <c r="BK180" s="2903">
        <f t="shared" ref="BK180:BN180" si="403">+BK160*4/BK177</f>
        <v>0.15617253346554288</v>
      </c>
      <c r="BL180" s="2880">
        <f t="shared" si="403"/>
        <v>0.20141876430205949</v>
      </c>
      <c r="BM180" s="2880">
        <f t="shared" si="403"/>
        <v>0.26996666416491255</v>
      </c>
      <c r="BN180" s="2880">
        <f t="shared" si="403"/>
        <v>0.35013841675957735</v>
      </c>
      <c r="BO180" s="2881">
        <f t="shared" ref="BO180" si="404">+BO160/AVERAGE(BK177:BN177)</f>
        <v>0.24740720393851981</v>
      </c>
      <c r="BP180" s="2901"/>
      <c r="BQ180" s="2903">
        <f t="shared" ref="BQ180:BT180" si="405">+BQ160*4/BQ177</f>
        <v>0.32096932203873618</v>
      </c>
      <c r="BR180" s="2880">
        <f t="shared" si="405"/>
        <v>0.24531086663180465</v>
      </c>
      <c r="BS180" s="2880">
        <f t="shared" si="405"/>
        <v>0.25066533140844593</v>
      </c>
      <c r="BT180" s="2880">
        <f t="shared" si="405"/>
        <v>0.26084143143541438</v>
      </c>
      <c r="BU180" s="2881">
        <f t="shared" ref="BU180" si="406">+BU160/AVERAGE(BQ177:BT177)</f>
        <v>0.26945415781738002</v>
      </c>
      <c r="BV180" s="2901"/>
      <c r="BW180" s="2903">
        <f t="shared" ref="BW180:BZ180" si="407">+BW160*4/BW177</f>
        <v>0.29286108206275602</v>
      </c>
      <c r="BX180" s="2880">
        <f t="shared" si="407"/>
        <v>0.24186666131246076</v>
      </c>
      <c r="BY180" s="2880">
        <f t="shared" si="407"/>
        <v>0.24712799978558758</v>
      </c>
      <c r="BZ180" s="2880">
        <f t="shared" si="407"/>
        <v>0.25643709442634094</v>
      </c>
      <c r="CA180" s="2881">
        <f t="shared" ref="CA180" si="408">+CA160/AVERAGE(BW177:BZ177)</f>
        <v>0.25966193587721786</v>
      </c>
      <c r="CB180" s="2901"/>
      <c r="CC180" s="2903">
        <f t="shared" ref="CC180:CF180" si="409">+CC160*4/CC177</f>
        <v>0.29402915889233017</v>
      </c>
      <c r="CD180" s="2880">
        <f t="shared" si="409"/>
        <v>0.24346519907055222</v>
      </c>
      <c r="CE180" s="2880">
        <f t="shared" si="409"/>
        <v>0.24942869839601312</v>
      </c>
      <c r="CF180" s="2880">
        <f t="shared" si="409"/>
        <v>0.25942285399770981</v>
      </c>
      <c r="CG180" s="2881">
        <f t="shared" ref="CG180" si="410">+CG160/AVERAGE(CC177:CF177)</f>
        <v>0.26169963413602471</v>
      </c>
      <c r="CH180" s="2901"/>
      <c r="CI180" s="2903">
        <f t="shared" ref="CI180:CL180" si="411">+CI160*4/CI177</f>
        <v>0.29704108976203497</v>
      </c>
      <c r="CJ180" s="2880">
        <f t="shared" si="411"/>
        <v>0.24627650697075421</v>
      </c>
      <c r="CK180" s="2880">
        <f t="shared" si="411"/>
        <v>0.25234392473730671</v>
      </c>
      <c r="CL180" s="2880">
        <f t="shared" si="411"/>
        <v>0.26301141726861238</v>
      </c>
      <c r="CM180" s="2881">
        <f t="shared" ref="CM180" si="412">+CM160/AVERAGE(CI177:CL177)</f>
        <v>0.2647855437126177</v>
      </c>
      <c r="CN180" s="2901"/>
      <c r="CO180" s="2903">
        <f t="shared" ref="CO180:CR180" si="413">+CO160*4/CO177</f>
        <v>0.30060043528205621</v>
      </c>
      <c r="CP180" s="2880">
        <f t="shared" si="413"/>
        <v>0.25170825792280049</v>
      </c>
      <c r="CQ180" s="2880">
        <f t="shared" si="413"/>
        <v>0.25897720335214713</v>
      </c>
      <c r="CR180" s="2880">
        <f t="shared" si="413"/>
        <v>0.27002894812833395</v>
      </c>
      <c r="CS180" s="2881">
        <f t="shared" ref="CS180" si="414">+CS160/AVERAGE(CO177:CR177)</f>
        <v>0.27044354991548319</v>
      </c>
    </row>
    <row r="181" spans="1:97">
      <c r="A181" s="2859" t="s">
        <v>868</v>
      </c>
      <c r="C181" s="2903">
        <f>+C160*4/C178</f>
        <v>0.15048604493549031</v>
      </c>
      <c r="D181" s="2880">
        <f>+D160*4/D178</f>
        <v>0.29272139597668262</v>
      </c>
      <c r="E181" s="2880">
        <f>+E160*4/E178</f>
        <v>0.27995687012584197</v>
      </c>
      <c r="F181" s="2880">
        <f>+F160*4/F178</f>
        <v>0.44700995117403791</v>
      </c>
      <c r="G181" s="2881">
        <f>+G160/AVERAGE(C178:F178)</f>
        <v>0.29114607921576535</v>
      </c>
      <c r="H181" s="2901"/>
      <c r="I181" s="2903">
        <f>+I160*4/I178</f>
        <v>0.17121768893343953</v>
      </c>
      <c r="J181" s="2880">
        <f>+J160*4/J178</f>
        <v>0.24128139163886911</v>
      </c>
      <c r="K181" s="2880">
        <f>+K160*4/K178</f>
        <v>0.21724580695166154</v>
      </c>
      <c r="L181" s="2880">
        <f>+L160*4/L178</f>
        <v>0.3957775247926909</v>
      </c>
      <c r="M181" s="2881">
        <f>+M160/AVERAGE(I178:L178)</f>
        <v>0.25793144210639768</v>
      </c>
      <c r="N181" s="2901"/>
      <c r="O181" s="2903">
        <f t="shared" ref="O181:R181" si="415">+O160*4/O178</f>
        <v>0.38271388945302642</v>
      </c>
      <c r="P181" s="2880">
        <f t="shared" si="415"/>
        <v>0.37383771628428031</v>
      </c>
      <c r="Q181" s="2880">
        <f t="shared" si="415"/>
        <v>0.26189604428528024</v>
      </c>
      <c r="R181" s="2880">
        <f t="shared" si="415"/>
        <v>0.33792290906668382</v>
      </c>
      <c r="S181" s="2881">
        <f t="shared" ref="S181" si="416">+S160/AVERAGE(O178:R178)</f>
        <v>0.33653538951355216</v>
      </c>
      <c r="T181" s="2901"/>
      <c r="U181" s="2903">
        <f t="shared" ref="U181:X181" si="417">+U160*4/U178</f>
        <v>0.3235780513612298</v>
      </c>
      <c r="V181" s="2880">
        <f t="shared" si="417"/>
        <v>0.39171167169987064</v>
      </c>
      <c r="W181" s="2880">
        <f t="shared" si="417"/>
        <v>0.39876752060453563</v>
      </c>
      <c r="X181" s="2880">
        <f t="shared" si="417"/>
        <v>0.41980585825305627</v>
      </c>
      <c r="Y181" s="2881">
        <f t="shared" ref="Y181" si="418">+Y160/AVERAGE(U178:X178)</f>
        <v>0.38565435471671849</v>
      </c>
      <c r="Z181" s="2901"/>
      <c r="AA181" s="2903">
        <f t="shared" ref="AA181:AD181" si="419">+AA160*4/AA178</f>
        <v>0.48318869861270042</v>
      </c>
      <c r="AB181" s="2880">
        <f t="shared" si="419"/>
        <v>0.49641757744002901</v>
      </c>
      <c r="AC181" s="2880">
        <f t="shared" si="419"/>
        <v>0.30207504616433978</v>
      </c>
      <c r="AD181" s="2880">
        <f t="shared" si="419"/>
        <v>0.42156336337600114</v>
      </c>
      <c r="AE181" s="2881">
        <f t="shared" ref="AE181" si="420">+AE160/AVERAGE(AA178:AD178)</f>
        <v>0.42823689336164067</v>
      </c>
      <c r="AF181" s="2901"/>
      <c r="AG181" s="2903">
        <f t="shared" ref="AG181:AJ181" si="421">+AG160*4/AG178</f>
        <v>0.47281026431239814</v>
      </c>
      <c r="AH181" s="2880">
        <f t="shared" si="421"/>
        <v>0.53693017624083417</v>
      </c>
      <c r="AI181" s="2880">
        <f t="shared" si="421"/>
        <v>0.42009222807177754</v>
      </c>
      <c r="AJ181" s="2880">
        <f t="shared" si="421"/>
        <v>0.43803088214959268</v>
      </c>
      <c r="AK181" s="2881">
        <f t="shared" ref="AK181" si="422">+AK160/AVERAGE(AG178:AJ178)</f>
        <v>0.46257676988996227</v>
      </c>
      <c r="AL181" s="2901"/>
      <c r="AM181" s="2903">
        <f t="shared" ref="AM181:AP181" si="423">+AM160*4/AM178</f>
        <v>0.41198089432054402</v>
      </c>
      <c r="AN181" s="2880">
        <f t="shared" si="423"/>
        <v>0.39409707950544909</v>
      </c>
      <c r="AO181" s="2880">
        <f t="shared" si="423"/>
        <v>0.41257231766662766</v>
      </c>
      <c r="AP181" s="2880">
        <f t="shared" si="423"/>
        <v>0.35989047887557779</v>
      </c>
      <c r="AQ181" s="2881">
        <f t="shared" ref="AQ181" si="424">+AQ160/AVERAGE(AM178:AP178)</f>
        <v>0.39315853652663102</v>
      </c>
      <c r="AR181" s="2901"/>
      <c r="AS181" s="2903">
        <f t="shared" ref="AS181:AV181" si="425">+AS160*4/AS178</f>
        <v>0.40020493128506213</v>
      </c>
      <c r="AT181" s="2880">
        <f t="shared" si="425"/>
        <v>0.45185695108747709</v>
      </c>
      <c r="AU181" s="2880">
        <f t="shared" si="425"/>
        <v>0.78571150219934516</v>
      </c>
      <c r="AV181" s="2880">
        <f t="shared" si="425"/>
        <v>0.67491672220120724</v>
      </c>
      <c r="AW181" s="2881">
        <f t="shared" ref="AW181" si="426">+AW160/AVERAGE(AS178:AV178)</f>
        <v>0.56415787343413137</v>
      </c>
      <c r="AX181" s="2901"/>
      <c r="AY181" s="2903">
        <f t="shared" ref="AY181:BB181" si="427">+AY160*4/AY178</f>
        <v>0.60822912535371432</v>
      </c>
      <c r="AZ181" s="2880">
        <f t="shared" si="427"/>
        <v>0.51739637969237273</v>
      </c>
      <c r="BA181" s="2880">
        <f t="shared" si="427"/>
        <v>0.51149771786878018</v>
      </c>
      <c r="BB181" s="2880">
        <f t="shared" si="427"/>
        <v>0.54171539315602224</v>
      </c>
      <c r="BC181" s="2881">
        <f t="shared" ref="BC181" si="428">+BC160/AVERAGE(AY178:BB178)</f>
        <v>0.54418765801769176</v>
      </c>
      <c r="BD181" s="2901"/>
      <c r="BE181" s="2903">
        <f t="shared" ref="BE181:BH181" si="429">+BE160*4/BE178</f>
        <v>0.40818128135909187</v>
      </c>
      <c r="BF181" s="2880">
        <f t="shared" si="429"/>
        <v>0.47780000551416862</v>
      </c>
      <c r="BG181" s="2880">
        <f t="shared" si="429"/>
        <v>0.47509622242511584</v>
      </c>
      <c r="BH181" s="2880">
        <f t="shared" si="429"/>
        <v>0.39741359848894126</v>
      </c>
      <c r="BI181" s="2881">
        <f t="shared" ref="BI181" si="430">+BI160/AVERAGE(BE178:BH178)</f>
        <v>0.43955384283227383</v>
      </c>
      <c r="BJ181" s="2901"/>
      <c r="BK181" s="2903">
        <f t="shared" ref="BK181:BN181" si="431">+BK160*4/BK178</f>
        <v>0.25280898876404495</v>
      </c>
      <c r="BL181" s="2880">
        <f t="shared" si="431"/>
        <v>0.31124469589816123</v>
      </c>
      <c r="BM181" s="2880">
        <f t="shared" si="431"/>
        <v>0.41311955142154771</v>
      </c>
      <c r="BN181" s="2880">
        <f t="shared" si="431"/>
        <v>0.5280927472286836</v>
      </c>
      <c r="BO181" s="2881">
        <f t="shared" ref="BO181" si="432">+BO160/AVERAGE(BK178:BN178)</f>
        <v>0.38290779298955785</v>
      </c>
      <c r="BP181" s="2901"/>
      <c r="BQ181" s="2903">
        <f t="shared" ref="BQ181:BT181" si="433">+BQ160*4/BQ178</f>
        <v>0.46432362819050732</v>
      </c>
      <c r="BR181" s="2880">
        <f t="shared" si="433"/>
        <v>0.35785610869680329</v>
      </c>
      <c r="BS181" s="2880">
        <f t="shared" si="433"/>
        <v>0.36243263523728003</v>
      </c>
      <c r="BT181" s="2880">
        <f t="shared" si="433"/>
        <v>0.37332325026199514</v>
      </c>
      <c r="BU181" s="2881">
        <f t="shared" ref="BU181" si="434">+BU160/AVERAGE(BQ178:BT178)</f>
        <v>0.38947339088315103</v>
      </c>
      <c r="BV181" s="2901"/>
      <c r="BW181" s="2903">
        <f t="shared" ref="BW181:BZ181" si="435">+BW160*4/BW178</f>
        <v>0.40669596748743253</v>
      </c>
      <c r="BX181" s="2880">
        <f t="shared" si="435"/>
        <v>0.33864013177201319</v>
      </c>
      <c r="BY181" s="2880">
        <f t="shared" si="435"/>
        <v>0.34369062988723509</v>
      </c>
      <c r="BZ181" s="2880">
        <f t="shared" si="435"/>
        <v>0.35369753116785269</v>
      </c>
      <c r="CA181" s="2881">
        <f t="shared" ref="CA181" si="436">+CA160/AVERAGE(BW178:BZ178)</f>
        <v>0.36081732556972329</v>
      </c>
      <c r="CB181" s="2901"/>
      <c r="CC181" s="2903">
        <f t="shared" ref="CC181:CF181" si="437">+CC160*4/CC178</f>
        <v>0.39603872690514519</v>
      </c>
      <c r="CD181" s="2880">
        <f t="shared" si="437"/>
        <v>0.33047132867302831</v>
      </c>
      <c r="CE181" s="2880">
        <f t="shared" si="437"/>
        <v>0.33679673775388763</v>
      </c>
      <c r="CF181" s="2880">
        <f t="shared" si="437"/>
        <v>0.34789797410256285</v>
      </c>
      <c r="CG181" s="2881">
        <f t="shared" ref="CG181" si="438">+CG160/AVERAGE(CC178:CF178)</f>
        <v>0.35298200119628759</v>
      </c>
      <c r="CH181" s="2901"/>
      <c r="CI181" s="2903">
        <f t="shared" ref="CI181:CL181" si="439">+CI160*4/CI178</f>
        <v>0.38997195074596369</v>
      </c>
      <c r="CJ181" s="2880">
        <f t="shared" si="439"/>
        <v>0.32557441351032401</v>
      </c>
      <c r="CK181" s="2880">
        <f t="shared" si="439"/>
        <v>0.33206548702876471</v>
      </c>
      <c r="CL181" s="2880">
        <f t="shared" si="439"/>
        <v>0.34393804725357774</v>
      </c>
      <c r="CM181" s="2881">
        <f t="shared" ref="CM181" si="440">+CM160/AVERAGE(CI178:CL178)</f>
        <v>0.34806850492398655</v>
      </c>
      <c r="CN181" s="2901"/>
      <c r="CO181" s="2903">
        <f t="shared" ref="CO181:CR181" si="441">+CO160*4/CO178</f>
        <v>0.38583379847464983</v>
      </c>
      <c r="CP181" s="2880">
        <f t="shared" si="441"/>
        <v>0.3250484029068928</v>
      </c>
      <c r="CQ181" s="2880">
        <f t="shared" si="441"/>
        <v>0.33301468960290498</v>
      </c>
      <c r="CR181" s="2880">
        <f t="shared" si="441"/>
        <v>0.3452364545137368</v>
      </c>
      <c r="CS181" s="2881">
        <f t="shared" ref="CS181" si="442">+CS160/AVERAGE(CO178:CR178)</f>
        <v>0.34745332827099873</v>
      </c>
    </row>
    <row r="182" spans="1:97">
      <c r="A182" s="2861"/>
      <c r="C182" s="2904"/>
      <c r="D182" s="2905"/>
      <c r="E182" s="2905"/>
      <c r="F182" s="2905"/>
      <c r="G182" s="2906"/>
      <c r="H182" s="601"/>
      <c r="I182" s="2904"/>
      <c r="J182" s="2905"/>
      <c r="K182" s="2905"/>
      <c r="L182" s="2905"/>
      <c r="M182" s="2906"/>
      <c r="N182" s="601"/>
      <c r="O182" s="2904"/>
      <c r="P182" s="2905"/>
      <c r="Q182" s="2905"/>
      <c r="R182" s="2905"/>
      <c r="S182" s="2906"/>
      <c r="T182" s="601"/>
      <c r="U182" s="2904"/>
      <c r="V182" s="2905"/>
      <c r="W182" s="2905"/>
      <c r="X182" s="2905"/>
      <c r="Y182" s="2906"/>
      <c r="Z182" s="601"/>
      <c r="AA182" s="2904"/>
      <c r="AB182" s="2905"/>
      <c r="AC182" s="2905"/>
      <c r="AD182" s="2905"/>
      <c r="AE182" s="2906"/>
      <c r="AF182" s="601"/>
      <c r="AG182" s="2904"/>
      <c r="AH182" s="2905"/>
      <c r="AI182" s="2905"/>
      <c r="AJ182" s="2905"/>
      <c r="AK182" s="2906"/>
      <c r="AL182" s="601"/>
      <c r="AM182" s="2904"/>
      <c r="AN182" s="2905"/>
      <c r="AO182" s="2905"/>
      <c r="AP182" s="2905"/>
      <c r="AQ182" s="2906"/>
      <c r="AR182" s="601"/>
      <c r="AS182" s="2904"/>
      <c r="AT182" s="2905"/>
      <c r="AU182" s="2905"/>
      <c r="AV182" s="2905"/>
      <c r="AW182" s="2906"/>
      <c r="AX182" s="601"/>
      <c r="AY182" s="2907"/>
      <c r="AZ182" s="2908"/>
      <c r="BA182" s="2908"/>
      <c r="BB182" s="2908"/>
      <c r="BC182" s="2906"/>
      <c r="BD182" s="601"/>
      <c r="BE182" s="2907"/>
      <c r="BF182" s="2908"/>
      <c r="BG182" s="2905"/>
      <c r="BH182" s="2905"/>
      <c r="BI182" s="2906"/>
      <c r="BJ182" s="601"/>
      <c r="BK182" s="2904"/>
      <c r="BL182" s="2905"/>
      <c r="BM182" s="2905"/>
      <c r="BN182" s="2905"/>
      <c r="BO182" s="2906"/>
      <c r="BP182" s="601"/>
      <c r="BQ182" s="2904"/>
      <c r="BR182" s="2905"/>
      <c r="BS182" s="2905"/>
      <c r="BT182" s="2905"/>
      <c r="BU182" s="2906"/>
      <c r="BV182" s="601"/>
      <c r="BW182" s="2904"/>
      <c r="BX182" s="2905"/>
      <c r="BY182" s="2905"/>
      <c r="BZ182" s="2905"/>
      <c r="CA182" s="2906"/>
      <c r="CB182" s="601"/>
      <c r="CC182" s="2904"/>
      <c r="CD182" s="2905"/>
      <c r="CE182" s="2905"/>
      <c r="CF182" s="2905"/>
      <c r="CG182" s="2906"/>
      <c r="CH182" s="601"/>
      <c r="CI182" s="2904"/>
      <c r="CJ182" s="2905"/>
      <c r="CK182" s="2905"/>
      <c r="CL182" s="2905"/>
      <c r="CM182" s="2906"/>
      <c r="CN182" s="601"/>
      <c r="CO182" s="2904"/>
      <c r="CP182" s="2905"/>
      <c r="CQ182" s="2905"/>
      <c r="CR182" s="2905"/>
      <c r="CS182" s="2906"/>
    </row>
    <row r="187" spans="1:97" outlineLevel="1"/>
    <row r="189" spans="1:97" outlineLevel="1"/>
  </sheetData>
  <phoneticPr fontId="6" type="noConversion"/>
  <pageMargins left="0.25" right="0.25" top="0.75" bottom="0.75" header="0.3" footer="0.3"/>
  <pageSetup scale="40" orientation="landscape" r:id="rId1"/>
  <headerFooter alignWithMargins="0"/>
  <cellWatches>
    <cellWatch r="AP42"/>
  </cellWatches>
  <ignoredErrors>
    <ignoredError sqref="C61:L64 AI61:AI64 S61:AH64 AO61:AQ64 AK61:AN64 AJ61:AJ64 AR61:AR64 AV61:AY64 AS61:AU64 AZ61:AZ64 BA61:BA65 BB61:BC64 BF61:BF64 BE61:BE64 BP61:BU64 BH61:BJ64 BG61:BG64 BN61:BO64 BK61:BM64 BE156:BW182" unlockedFormula="1"/>
    <ignoredError sqref="G17:AB30 AE17:AF30 AC17 AC30 AC24:AC25 AM24:AM25 AE95:AI95 AI17 AI24:AI25 AI30 AK95:AL95 AX95 AK17:AL30 AE102:AI102 AR17:AR30 AX102 S102:AC102 AM17 AK102:AL102 AP115:AQ115 AQ102:AR102 AQ95:AR95 BC95 BC102 BC30 BO95" formula="1"/>
    <ignoredError sqref="AP40:AP42 AQ40:AQ42 AO31:AO42 AO11:AO16 AN31:AN42 AN11:AN16 AO18:AO23 AP11:AP16 AN18:AN23 AN26:AN29 AO26:AO29 AQ11:AQ16 AS10:AU10 AG10:AI10 A10:AF10 AJ10:AR10 AV10:BA10 BB10:BC17 BE10:BG10 BK11:BM42 BO10 BO11:BO29 BK10:BL10 BM10 BH10:BJ10 BN10 BO31:BO42" formulaRange="1"/>
    <ignoredError sqref="AO24:AO25 AO17 AN30:AO30 AN17 AN24:AN25 AP26:AP29 AP18:AP23 AQ17 AP17 AQ24:AQ25 AQ18:AQ23 AQ30 AQ26:AQ29 AQ31:AQ39 AP30 AP24:AP25 AP33:AP39 BO30" formula="1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70C0"/>
    <pageSetUpPr fitToPage="1"/>
  </sheetPr>
  <dimension ref="A1:DC86"/>
  <sheetViews>
    <sheetView zoomScaleNormal="100" workbookViewId="0">
      <pane xSplit="1" ySplit="8" topLeftCell="AW9" activePane="bottomRight" state="frozenSplit"/>
      <selection activeCell="B9" sqref="B9"/>
      <selection pane="topRight" activeCell="B9" sqref="B9"/>
      <selection pane="bottomLeft" activeCell="B9" sqref="B9"/>
      <selection pane="bottomRight" sqref="A1:XFD1048576"/>
    </sheetView>
  </sheetViews>
  <sheetFormatPr defaultColWidth="8.85546875" defaultRowHeight="12.75" outlineLevelRow="1" outlineLevelCol="1"/>
  <cols>
    <col min="1" max="1" width="30.7109375" customWidth="1"/>
    <col min="2" max="2" width="0.85546875" customWidth="1"/>
    <col min="3" max="7" width="8.7109375" hidden="1" customWidth="1" outlineLevel="1"/>
    <col min="8" max="8" width="0.85546875" hidden="1" customWidth="1" outlineLevel="1"/>
    <col min="9" max="13" width="8.7109375" hidden="1" customWidth="1" outlineLevel="1"/>
    <col min="14" max="14" width="0.85546875" hidden="1" customWidth="1" outlineLevel="1"/>
    <col min="15" max="19" width="8.7109375" hidden="1" customWidth="1" outlineLevel="1"/>
    <col min="20" max="20" width="0.85546875" hidden="1" customWidth="1" outlineLevel="1"/>
    <col min="21" max="25" width="8.7109375" hidden="1" customWidth="1" outlineLevel="1"/>
    <col min="26" max="26" width="0.85546875" hidden="1" customWidth="1" outlineLevel="1"/>
    <col min="27" max="30" width="8.7109375" hidden="1" customWidth="1" outlineLevel="1"/>
    <col min="31" max="31" width="8.7109375" hidden="1" customWidth="1" outlineLevel="1" collapsed="1"/>
    <col min="32" max="32" width="0.85546875" hidden="1" customWidth="1" outlineLevel="1"/>
    <col min="33" max="36" width="8.7109375" hidden="1" customWidth="1" outlineLevel="1"/>
    <col min="37" max="37" width="8.7109375" customWidth="1" collapsed="1"/>
    <col min="38" max="38" width="0.85546875" customWidth="1"/>
    <col min="39" max="42" width="8.7109375" hidden="1" customWidth="1" outlineLevel="1"/>
    <col min="43" max="43" width="8.7109375" customWidth="1" collapsed="1"/>
    <col min="44" max="44" width="0.85546875" customWidth="1"/>
    <col min="45" max="48" width="8.7109375" hidden="1" customWidth="1" outlineLevel="1"/>
    <col min="49" max="49" width="8.7109375" customWidth="1" collapsed="1"/>
    <col min="50" max="50" width="0.85546875" customWidth="1"/>
    <col min="51" max="54" width="8.7109375" hidden="1" customWidth="1" outlineLevel="1"/>
    <col min="55" max="55" width="8.7109375" customWidth="1" collapsed="1"/>
    <col min="56" max="56" width="0.85546875" customWidth="1"/>
    <col min="57" max="60" width="8.7109375" customWidth="1" outlineLevel="1"/>
    <col min="61" max="61" width="8.7109375" customWidth="1"/>
    <col min="62" max="62" width="0.85546875" customWidth="1"/>
    <col min="63" max="66" width="8.7109375" customWidth="1" outlineLevel="1"/>
    <col min="67" max="67" width="8.7109375" customWidth="1"/>
    <col min="68" max="68" width="0.85546875" customWidth="1"/>
    <col min="69" max="72" width="8.7109375" customWidth="1" outlineLevel="1"/>
    <col min="73" max="73" width="8.7109375" customWidth="1"/>
    <col min="74" max="74" width="0.85546875" customWidth="1"/>
    <col min="75" max="78" width="8.7109375" hidden="1" customWidth="1" outlineLevel="1"/>
    <col min="79" max="79" width="8.7109375" customWidth="1" collapsed="1"/>
    <col min="80" max="80" width="0.85546875" customWidth="1"/>
    <col min="81" max="84" width="8.7109375" hidden="1" customWidth="1" outlineLevel="1"/>
    <col min="85" max="85" width="8.7109375" customWidth="1" collapsed="1"/>
    <col min="86" max="86" width="0.85546875" customWidth="1"/>
    <col min="87" max="90" width="8.7109375" hidden="1" customWidth="1" outlineLevel="1"/>
    <col min="91" max="91" width="8.7109375" customWidth="1" collapsed="1"/>
    <col min="92" max="92" width="0.85546875" customWidth="1"/>
    <col min="93" max="96" width="8.7109375" hidden="1" customWidth="1" outlineLevel="1"/>
    <col min="97" max="97" width="8.7109375" customWidth="1" collapsed="1"/>
    <col min="98" max="98" width="8.7109375" style="1389" customWidth="1"/>
    <col min="100" max="100" width="8.85546875" customWidth="1"/>
    <col min="101" max="101" width="44.85546875" hidden="1" customWidth="1" outlineLevel="1"/>
    <col min="102" max="106" width="8.85546875" hidden="1" customWidth="1" outlineLevel="1"/>
    <col min="107" max="107" width="8.85546875" collapsed="1"/>
  </cols>
  <sheetData>
    <row r="1" spans="1:100">
      <c r="A1" s="243"/>
      <c r="B1" s="246"/>
      <c r="C1" s="245"/>
      <c r="D1" s="245"/>
      <c r="E1" s="245"/>
      <c r="F1" s="245"/>
      <c r="G1" s="244"/>
      <c r="H1" s="244"/>
      <c r="I1" s="245"/>
      <c r="J1" s="245"/>
      <c r="K1" s="245"/>
      <c r="L1" s="245"/>
      <c r="M1" s="245"/>
      <c r="N1" s="246"/>
      <c r="O1" s="245"/>
      <c r="P1" s="245"/>
      <c r="Q1" s="245"/>
      <c r="R1" s="245"/>
      <c r="S1" s="245"/>
      <c r="T1" s="246"/>
      <c r="U1" s="245"/>
      <c r="V1" s="245"/>
      <c r="W1" s="245"/>
      <c r="X1" s="245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  <c r="CD1" s="246"/>
      <c r="CE1" s="246"/>
      <c r="CF1" s="246"/>
      <c r="CG1" s="246"/>
      <c r="CH1" s="246"/>
      <c r="CI1" s="246"/>
      <c r="CJ1" s="246"/>
      <c r="CK1" s="246"/>
      <c r="CL1" s="246"/>
      <c r="CM1" s="246"/>
      <c r="CN1" s="246"/>
      <c r="CO1" s="246"/>
      <c r="CP1" s="246"/>
      <c r="CQ1" s="246"/>
      <c r="CR1" s="246"/>
      <c r="CS1" s="246"/>
      <c r="CT1" s="246"/>
      <c r="CU1" s="1"/>
      <c r="CV1" s="1"/>
    </row>
    <row r="2" spans="1:100">
      <c r="A2" s="922" t="str">
        <f>IS!A2</f>
        <v>Illumina</v>
      </c>
      <c r="B2" s="1308"/>
      <c r="C2" s="1309"/>
      <c r="D2" s="1309"/>
      <c r="E2" s="1309"/>
      <c r="F2" s="1309"/>
      <c r="G2" s="244"/>
      <c r="H2" s="244"/>
      <c r="I2" s="1309"/>
      <c r="J2" s="1309"/>
      <c r="K2" s="1309"/>
      <c r="L2" s="1309"/>
      <c r="M2" s="1309"/>
      <c r="N2" s="244"/>
      <c r="O2" s="1309"/>
      <c r="P2" s="1309"/>
      <c r="Q2" s="1309"/>
      <c r="R2" s="1309"/>
      <c r="S2" s="1309"/>
      <c r="T2" s="244"/>
      <c r="U2" s="1309"/>
      <c r="V2" s="1309"/>
      <c r="W2" s="1309"/>
      <c r="X2" s="1309"/>
      <c r="Y2" s="244"/>
      <c r="Z2" s="244"/>
      <c r="AA2" s="244"/>
      <c r="AB2" s="244"/>
      <c r="AC2" s="244"/>
      <c r="AD2" s="244"/>
      <c r="AE2" s="244"/>
      <c r="AF2" s="244"/>
      <c r="AG2" s="244"/>
      <c r="AH2" s="244"/>
      <c r="AI2" s="244"/>
      <c r="AJ2" s="244"/>
      <c r="AK2" s="244"/>
      <c r="AL2" s="244"/>
      <c r="AM2" s="244"/>
      <c r="AN2" s="244"/>
      <c r="AO2" s="244"/>
      <c r="AP2" s="244"/>
      <c r="AQ2" s="244"/>
      <c r="AR2" s="244"/>
      <c r="AS2" s="244"/>
      <c r="AT2" s="244"/>
      <c r="AU2" s="244"/>
      <c r="AV2" s="244"/>
      <c r="AW2" s="244"/>
      <c r="AX2" s="244"/>
      <c r="AY2" s="244"/>
      <c r="AZ2" s="244"/>
      <c r="BA2" s="244"/>
      <c r="BB2" s="244"/>
      <c r="BC2" s="244"/>
      <c r="BD2" s="244"/>
      <c r="BE2" s="244"/>
      <c r="BF2" s="244"/>
      <c r="BG2" s="244"/>
      <c r="BH2" s="244"/>
      <c r="BI2" s="244"/>
      <c r="BJ2" s="244"/>
      <c r="BK2" s="244"/>
      <c r="BL2" s="244"/>
      <c r="BM2" s="244"/>
      <c r="BN2" s="244"/>
      <c r="BO2" s="244"/>
      <c r="BP2" s="244"/>
      <c r="BQ2" s="244"/>
      <c r="BR2" s="244"/>
      <c r="BS2" s="244"/>
      <c r="BT2" s="244"/>
      <c r="BU2" s="244"/>
      <c r="BV2" s="244"/>
      <c r="BW2" s="244"/>
      <c r="BX2" s="244"/>
      <c r="BY2" s="244"/>
      <c r="BZ2" s="244"/>
      <c r="CA2" s="244"/>
      <c r="CB2" s="244"/>
      <c r="CC2" s="244"/>
      <c r="CD2" s="244"/>
      <c r="CE2" s="244"/>
      <c r="CF2" s="244"/>
      <c r="CG2" s="244"/>
      <c r="CH2" s="244"/>
      <c r="CI2" s="244"/>
      <c r="CJ2" s="244"/>
      <c r="CK2" s="244"/>
      <c r="CL2" s="244"/>
      <c r="CM2" s="244"/>
      <c r="CN2" s="244"/>
      <c r="CO2" s="244"/>
      <c r="CP2" s="244"/>
      <c r="CQ2" s="244"/>
      <c r="CR2" s="244"/>
      <c r="CS2" s="244"/>
      <c r="CT2" s="244"/>
      <c r="CU2" s="1"/>
      <c r="CV2" s="1"/>
    </row>
    <row r="3" spans="1:100">
      <c r="A3" s="920" t="s">
        <v>237</v>
      </c>
      <c r="B3" s="244"/>
      <c r="C3" s="1309"/>
      <c r="D3" s="1309"/>
      <c r="E3" s="1309"/>
      <c r="F3" s="1309"/>
      <c r="G3" s="244"/>
      <c r="H3" s="244"/>
      <c r="I3" s="1309"/>
      <c r="J3" s="1309"/>
      <c r="K3" s="1309"/>
      <c r="L3" s="1309"/>
      <c r="M3" s="1310"/>
      <c r="N3" s="244"/>
      <c r="O3" s="1309"/>
      <c r="P3" s="1309"/>
      <c r="Q3" s="1309"/>
      <c r="R3" s="1309"/>
      <c r="S3" s="1309"/>
      <c r="T3" s="244"/>
      <c r="U3" s="1309"/>
      <c r="V3" s="1309"/>
      <c r="W3" s="1309"/>
      <c r="X3" s="1309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4"/>
      <c r="AK3" s="244"/>
      <c r="AL3" s="244"/>
      <c r="AM3" s="244"/>
      <c r="AN3" s="244"/>
      <c r="AO3" s="244"/>
      <c r="AP3" s="244"/>
      <c r="AQ3" s="244"/>
      <c r="AR3" s="244"/>
      <c r="AS3" s="244"/>
      <c r="AT3" s="244"/>
      <c r="AU3" s="244"/>
      <c r="AV3" s="244"/>
      <c r="AW3" s="1"/>
      <c r="AX3" s="244"/>
      <c r="AY3" s="244"/>
      <c r="AZ3" s="244"/>
      <c r="BA3" s="244"/>
      <c r="BB3" s="244"/>
      <c r="BC3" s="1"/>
      <c r="BD3" s="244"/>
      <c r="BE3" s="244"/>
      <c r="BF3" s="244"/>
      <c r="BG3" s="244"/>
      <c r="BH3" s="244"/>
      <c r="BI3" s="1"/>
      <c r="BJ3" s="244"/>
      <c r="BK3" s="244"/>
      <c r="BL3" s="244"/>
      <c r="BM3" s="244"/>
      <c r="BN3" s="244"/>
      <c r="BO3" s="1"/>
      <c r="BP3" s="244"/>
      <c r="BQ3" s="244"/>
      <c r="BR3" s="244"/>
      <c r="BS3" s="244"/>
      <c r="BT3" s="244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</row>
    <row r="4" spans="1:100">
      <c r="A4" s="190" t="s">
        <v>129</v>
      </c>
      <c r="B4" s="1125"/>
      <c r="C4" s="1311"/>
      <c r="D4" s="1311"/>
      <c r="E4" s="1311"/>
      <c r="F4" s="1311"/>
      <c r="G4" s="1125"/>
      <c r="H4" s="1125"/>
      <c r="I4" s="1311"/>
      <c r="J4" s="1311"/>
      <c r="K4" s="1311"/>
      <c r="L4" s="1311"/>
      <c r="M4" s="1311"/>
      <c r="N4" s="1125"/>
      <c r="O4" s="1311"/>
      <c r="P4" s="1311"/>
      <c r="Q4" s="1311"/>
      <c r="R4" s="1311"/>
      <c r="S4" s="1311"/>
      <c r="T4" s="1125"/>
      <c r="U4" s="1311"/>
      <c r="V4" s="1311"/>
      <c r="W4" s="1311"/>
      <c r="X4" s="1311"/>
      <c r="Y4" s="1312"/>
      <c r="Z4" s="1125"/>
      <c r="AA4" s="1125"/>
      <c r="AB4" s="1125"/>
      <c r="AC4" s="1125"/>
      <c r="AD4" s="1125"/>
      <c r="AE4" s="1125"/>
      <c r="AF4" s="1125"/>
      <c r="AG4" s="1125"/>
      <c r="AH4" s="1125"/>
      <c r="AI4" s="1125"/>
      <c r="AJ4" s="1125"/>
      <c r="AK4" s="1125"/>
      <c r="AL4" s="1125"/>
      <c r="AM4" s="1125"/>
      <c r="AN4" s="1125"/>
      <c r="AO4" s="1125"/>
      <c r="AP4" s="1125"/>
      <c r="AQ4" s="1125"/>
      <c r="AR4" s="1125"/>
      <c r="AS4" s="1125"/>
      <c r="AT4" s="1125"/>
      <c r="AU4" s="1125"/>
      <c r="AV4" s="1125"/>
      <c r="AW4" s="1125"/>
      <c r="AX4" s="1125"/>
      <c r="AY4" s="1125"/>
      <c r="AZ4" s="1125"/>
      <c r="BA4" s="1125"/>
      <c r="BB4" s="1125"/>
      <c r="BC4" s="1125"/>
      <c r="BD4" s="1125"/>
      <c r="BE4" s="1125"/>
      <c r="BF4" s="1125"/>
      <c r="BG4" s="2377"/>
      <c r="BH4" s="2378"/>
      <c r="BI4" s="1125"/>
      <c r="BJ4" s="1125"/>
      <c r="BK4" s="1125"/>
      <c r="BL4" s="1125"/>
      <c r="BM4" s="1125"/>
      <c r="BN4" s="1125"/>
      <c r="BO4" s="1125"/>
      <c r="BP4" s="1125"/>
      <c r="BQ4" s="1125"/>
      <c r="BR4" s="1125"/>
      <c r="BS4" s="1125"/>
      <c r="BT4" s="1125"/>
      <c r="BU4" s="1125"/>
      <c r="BV4" s="244"/>
      <c r="BW4" s="244"/>
      <c r="BX4" s="244"/>
      <c r="BY4" s="244"/>
      <c r="BZ4" s="244"/>
      <c r="CA4" s="244"/>
      <c r="CB4" s="244"/>
      <c r="CC4" s="244"/>
      <c r="CD4" s="244"/>
      <c r="CE4" s="244"/>
      <c r="CF4" s="244"/>
      <c r="CG4" s="244"/>
      <c r="CH4" s="244"/>
      <c r="CI4" s="244"/>
      <c r="CJ4" s="244"/>
      <c r="CK4" s="244"/>
      <c r="CL4" s="244"/>
      <c r="CM4" s="244"/>
      <c r="CN4" s="244"/>
      <c r="CO4" s="244"/>
      <c r="CP4" s="244"/>
      <c r="CQ4" s="244"/>
      <c r="CR4" s="244"/>
      <c r="CS4" s="244"/>
      <c r="CT4" s="244"/>
      <c r="CU4" s="1"/>
      <c r="CV4" s="1"/>
    </row>
    <row r="5" spans="1:100">
      <c r="A5" s="1819" t="s">
        <v>238</v>
      </c>
      <c r="B5" s="1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1"/>
      <c r="CU5" s="1"/>
      <c r="CV5" s="1"/>
    </row>
    <row r="6" spans="1:100" outlineLevel="1">
      <c r="CT6"/>
    </row>
    <row r="7" spans="1:100">
      <c r="A7" s="1819"/>
      <c r="B7" s="1313"/>
      <c r="C7" s="158">
        <v>2007</v>
      </c>
      <c r="D7" s="159"/>
      <c r="E7" s="159"/>
      <c r="F7" s="159"/>
      <c r="G7" s="126">
        <v>2007</v>
      </c>
      <c r="H7" s="169"/>
      <c r="I7" s="158">
        <f>C7+1</f>
        <v>2008</v>
      </c>
      <c r="J7" s="159"/>
      <c r="K7" s="159"/>
      <c r="L7" s="159"/>
      <c r="M7" s="126">
        <f>G7+1</f>
        <v>2008</v>
      </c>
      <c r="N7" s="170"/>
      <c r="O7" s="158">
        <f>I7+1</f>
        <v>2009</v>
      </c>
      <c r="P7" s="159"/>
      <c r="Q7" s="159"/>
      <c r="R7" s="159"/>
      <c r="S7" s="126">
        <f>M7+1</f>
        <v>2009</v>
      </c>
      <c r="T7" s="170"/>
      <c r="U7" s="158">
        <f>O7+1</f>
        <v>2010</v>
      </c>
      <c r="V7" s="159"/>
      <c r="W7" s="159"/>
      <c r="X7" s="159"/>
      <c r="Y7" s="126">
        <f>S7+1</f>
        <v>2010</v>
      </c>
      <c r="Z7" s="170"/>
      <c r="AA7" s="158">
        <f>U7+1</f>
        <v>2011</v>
      </c>
      <c r="AB7" s="159"/>
      <c r="AC7" s="159"/>
      <c r="AD7" s="159"/>
      <c r="AE7" s="126">
        <f>Y7+1</f>
        <v>2011</v>
      </c>
      <c r="AF7" s="170"/>
      <c r="AG7" s="158">
        <f>AA7+1</f>
        <v>2012</v>
      </c>
      <c r="AH7" s="159"/>
      <c r="AI7" s="159"/>
      <c r="AJ7" s="159"/>
      <c r="AK7" s="126">
        <f>AE7+1</f>
        <v>2012</v>
      </c>
      <c r="AL7" s="170"/>
      <c r="AM7" s="158">
        <f>AG7+1</f>
        <v>2013</v>
      </c>
      <c r="AN7" s="159"/>
      <c r="AO7" s="159"/>
      <c r="AP7" s="159"/>
      <c r="AQ7" s="126">
        <f>AK7+1</f>
        <v>2013</v>
      </c>
      <c r="AR7" s="170"/>
      <c r="AS7" s="158">
        <f>AM7+1</f>
        <v>2014</v>
      </c>
      <c r="AT7" s="159"/>
      <c r="AU7" s="159"/>
      <c r="AV7" s="159"/>
      <c r="AW7" s="126">
        <f>AQ7+1</f>
        <v>2014</v>
      </c>
      <c r="AX7" s="170"/>
      <c r="AY7" s="158">
        <f>AS7+1</f>
        <v>2015</v>
      </c>
      <c r="AZ7" s="159"/>
      <c r="BA7" s="159"/>
      <c r="BB7" s="159"/>
      <c r="BC7" s="126">
        <f>AW7+1</f>
        <v>2015</v>
      </c>
      <c r="BD7" s="170"/>
      <c r="BE7" s="158">
        <f>AY7+1</f>
        <v>2016</v>
      </c>
      <c r="BF7" s="159"/>
      <c r="BG7" s="159"/>
      <c r="BH7" s="159"/>
      <c r="BI7" s="126">
        <f>BC7+1</f>
        <v>2016</v>
      </c>
      <c r="BJ7" s="170"/>
      <c r="BK7" s="158">
        <f>BE7+1</f>
        <v>2017</v>
      </c>
      <c r="BL7" s="159"/>
      <c r="BM7" s="159"/>
      <c r="BN7" s="159"/>
      <c r="BO7" s="126">
        <f>BI7+1</f>
        <v>2017</v>
      </c>
      <c r="BP7" s="170"/>
      <c r="BQ7" s="171">
        <f>BK7+1</f>
        <v>2018</v>
      </c>
      <c r="BR7" s="159"/>
      <c r="BS7" s="159"/>
      <c r="BT7" s="159"/>
      <c r="BU7" s="130">
        <f>BO7+1</f>
        <v>2018</v>
      </c>
      <c r="BV7" s="170"/>
      <c r="BW7" s="171">
        <f>BQ7+1</f>
        <v>2019</v>
      </c>
      <c r="BX7" s="159"/>
      <c r="BY7" s="159"/>
      <c r="BZ7" s="159"/>
      <c r="CA7" s="130">
        <f>BU7+1</f>
        <v>2019</v>
      </c>
      <c r="CB7" s="170"/>
      <c r="CC7" s="171">
        <f>BW7+1</f>
        <v>2020</v>
      </c>
      <c r="CD7" s="159"/>
      <c r="CE7" s="159"/>
      <c r="CF7" s="159"/>
      <c r="CG7" s="130">
        <f>CA7+1</f>
        <v>2020</v>
      </c>
      <c r="CH7" s="170"/>
      <c r="CI7" s="171">
        <f t="shared" ref="CI7" si="0">CC7+1</f>
        <v>2021</v>
      </c>
      <c r="CJ7" s="159"/>
      <c r="CK7" s="159"/>
      <c r="CL7" s="159"/>
      <c r="CM7" s="130">
        <f t="shared" ref="CM7" si="1">CG7+1</f>
        <v>2021</v>
      </c>
      <c r="CN7" s="170"/>
      <c r="CO7" s="171">
        <f t="shared" ref="CO7" si="2">CI7+1</f>
        <v>2022</v>
      </c>
      <c r="CP7" s="159"/>
      <c r="CQ7" s="159"/>
      <c r="CR7" s="159"/>
      <c r="CS7" s="130">
        <f t="shared" ref="CS7" si="3">CM7+1</f>
        <v>2022</v>
      </c>
      <c r="CT7" s="2385"/>
      <c r="CU7" s="1"/>
      <c r="CV7" s="1"/>
    </row>
    <row r="8" spans="1:100" ht="13.5" thickBot="1">
      <c r="A8" s="44"/>
      <c r="B8" s="1818"/>
      <c r="C8" s="172">
        <v>39172</v>
      </c>
      <c r="D8" s="173">
        <f>C8+FLOOR(365/4,1)</f>
        <v>39263</v>
      </c>
      <c r="E8" s="173">
        <f>D8+FLOOR(365/4,1)+1</f>
        <v>39355</v>
      </c>
      <c r="F8" s="173">
        <f>E8+FLOOR(365/4,1)+1</f>
        <v>39447</v>
      </c>
      <c r="G8" s="174"/>
      <c r="H8" s="175"/>
      <c r="I8" s="172">
        <f>C8+366</f>
        <v>39538</v>
      </c>
      <c r="J8" s="173">
        <f>I8+FLOOR(365/4,1)</f>
        <v>39629</v>
      </c>
      <c r="K8" s="173">
        <f>J8+FLOOR(365/4,1)+1</f>
        <v>39721</v>
      </c>
      <c r="L8" s="173">
        <f>K8+FLOOR(365/4,1)+1</f>
        <v>39813</v>
      </c>
      <c r="M8" s="174"/>
      <c r="N8" s="176"/>
      <c r="O8" s="172">
        <f>I8+365</f>
        <v>39903</v>
      </c>
      <c r="P8" s="173">
        <f>O8+FLOOR(365/4,1)</f>
        <v>39994</v>
      </c>
      <c r="Q8" s="173">
        <f>P8+FLOOR(365/4,1)+1</f>
        <v>40086</v>
      </c>
      <c r="R8" s="173">
        <f>Q8+FLOOR(365/4,1)+1</f>
        <v>40178</v>
      </c>
      <c r="S8" s="174"/>
      <c r="T8" s="176"/>
      <c r="U8" s="172">
        <f>O8+365</f>
        <v>40268</v>
      </c>
      <c r="V8" s="173">
        <f>U8+FLOOR(365/4,1)</f>
        <v>40359</v>
      </c>
      <c r="W8" s="173">
        <f>V8+FLOOR(365/4,1)+1</f>
        <v>40451</v>
      </c>
      <c r="X8" s="173">
        <f>W8+FLOOR(365/4,1)+1</f>
        <v>40543</v>
      </c>
      <c r="Y8" s="174"/>
      <c r="Z8" s="176"/>
      <c r="AA8" s="172">
        <f>U8+365</f>
        <v>40633</v>
      </c>
      <c r="AB8" s="173">
        <f>AA8+FLOOR(365/4,1)</f>
        <v>40724</v>
      </c>
      <c r="AC8" s="173">
        <f>AB8+FLOOR(365/4,1)+1</f>
        <v>40816</v>
      </c>
      <c r="AD8" s="173">
        <f>AC8+FLOOR(365/4,1)+1</f>
        <v>40908</v>
      </c>
      <c r="AE8" s="174"/>
      <c r="AF8" s="176"/>
      <c r="AG8" s="172">
        <f>AA8+366</f>
        <v>40999</v>
      </c>
      <c r="AH8" s="173">
        <f>AG8+FLOOR(365/4,1)</f>
        <v>41090</v>
      </c>
      <c r="AI8" s="173">
        <f>AH8+FLOOR(365/4,1)+1</f>
        <v>41182</v>
      </c>
      <c r="AJ8" s="173">
        <f>AI8+FLOOR(365/4,1)+1</f>
        <v>41274</v>
      </c>
      <c r="AK8" s="174"/>
      <c r="AL8" s="176"/>
      <c r="AM8" s="172">
        <f>AG8+365</f>
        <v>41364</v>
      </c>
      <c r="AN8" s="173">
        <f>AM8+FLOOR(365/4,1)</f>
        <v>41455</v>
      </c>
      <c r="AO8" s="173">
        <f>AN8+FLOOR(365/4,1)+1</f>
        <v>41547</v>
      </c>
      <c r="AP8" s="173">
        <f>AO8+FLOOR(365/4,1)+1</f>
        <v>41639</v>
      </c>
      <c r="AQ8" s="174"/>
      <c r="AR8" s="176"/>
      <c r="AS8" s="172">
        <f>AM8+365</f>
        <v>41729</v>
      </c>
      <c r="AT8" s="173">
        <f>AS8+FLOOR(365/4,1)</f>
        <v>41820</v>
      </c>
      <c r="AU8" s="173">
        <f>AT8+FLOOR(365/4,1)+1</f>
        <v>41912</v>
      </c>
      <c r="AV8" s="173">
        <f>AU8+FLOOR(365/4,1)+1</f>
        <v>42004</v>
      </c>
      <c r="AW8" s="174"/>
      <c r="AX8" s="176"/>
      <c r="AY8" s="172">
        <f>AS8+365</f>
        <v>42094</v>
      </c>
      <c r="AZ8" s="173">
        <f>AY8+FLOOR(365/4,1)</f>
        <v>42185</v>
      </c>
      <c r="BA8" s="173">
        <f>AZ8+FLOOR(365/4,1)+1</f>
        <v>42277</v>
      </c>
      <c r="BB8" s="173">
        <f>BA8+FLOOR(365/4,1)+1</f>
        <v>42369</v>
      </c>
      <c r="BC8" s="174"/>
      <c r="BD8" s="176"/>
      <c r="BE8" s="172">
        <f>AY8+365+1</f>
        <v>42460</v>
      </c>
      <c r="BF8" s="173">
        <f>BE8+FLOOR(365/4,1)</f>
        <v>42551</v>
      </c>
      <c r="BG8" s="173">
        <f>BF8+FLOOR(365/4,1)+1</f>
        <v>42643</v>
      </c>
      <c r="BH8" s="173">
        <f>BG8+FLOOR(365/4,1)+1</f>
        <v>42735</v>
      </c>
      <c r="BI8" s="174"/>
      <c r="BJ8" s="176"/>
      <c r="BK8" s="172">
        <f>BE8+365</f>
        <v>42825</v>
      </c>
      <c r="BL8" s="173">
        <f>BK8+FLOOR(365/4,1)</f>
        <v>42916</v>
      </c>
      <c r="BM8" s="173">
        <f>BL8+FLOOR(365/4,1)+1</f>
        <v>43008</v>
      </c>
      <c r="BN8" s="173">
        <f>BM8+FLOOR(365/4,1)+1</f>
        <v>43100</v>
      </c>
      <c r="BO8" s="174"/>
      <c r="BP8" s="176"/>
      <c r="BQ8" s="178">
        <f>BK8+365</f>
        <v>43190</v>
      </c>
      <c r="BR8" s="177">
        <f>BQ8+FLOOR(365/4,1)</f>
        <v>43281</v>
      </c>
      <c r="BS8" s="177">
        <f>BR8+FLOOR(365/4,1)+1</f>
        <v>43373</v>
      </c>
      <c r="BT8" s="179">
        <f>BS8+FLOOR(365/4,1)+1</f>
        <v>43465</v>
      </c>
      <c r="BU8" s="174"/>
      <c r="BV8" s="176"/>
      <c r="BW8" s="178">
        <f>BQ8+365</f>
        <v>43555</v>
      </c>
      <c r="BX8" s="177">
        <f>BW8+FLOOR(365/4,1)</f>
        <v>43646</v>
      </c>
      <c r="BY8" s="177">
        <f>BX8+FLOOR(365/4,1)+1</f>
        <v>43738</v>
      </c>
      <c r="BZ8" s="179">
        <f>BY8+FLOOR(365/4,1)+1</f>
        <v>43830</v>
      </c>
      <c r="CA8" s="174"/>
      <c r="CB8" s="176"/>
      <c r="CC8" s="178">
        <f>BW8+365</f>
        <v>43920</v>
      </c>
      <c r="CD8" s="177">
        <f>CC8+FLOOR(365/4,1)</f>
        <v>44011</v>
      </c>
      <c r="CE8" s="177">
        <f>CD8+FLOOR(365/4,1)+1</f>
        <v>44103</v>
      </c>
      <c r="CF8" s="179">
        <f>CE8+FLOOR(365/4,1)+1</f>
        <v>44195</v>
      </c>
      <c r="CG8" s="174"/>
      <c r="CH8" s="176"/>
      <c r="CI8" s="178">
        <f t="shared" ref="CI8" si="4">CC8+365</f>
        <v>44285</v>
      </c>
      <c r="CJ8" s="177">
        <f t="shared" ref="CJ8" si="5">CI8+FLOOR(365/4,1)</f>
        <v>44376</v>
      </c>
      <c r="CK8" s="177">
        <f t="shared" ref="CK8:CL8" si="6">CJ8+FLOOR(365/4,1)+1</f>
        <v>44468</v>
      </c>
      <c r="CL8" s="179">
        <f t="shared" si="6"/>
        <v>44560</v>
      </c>
      <c r="CM8" s="174"/>
      <c r="CN8" s="176"/>
      <c r="CO8" s="178">
        <f t="shared" ref="CO8" si="7">CI8+365</f>
        <v>44650</v>
      </c>
      <c r="CP8" s="177">
        <f t="shared" ref="CP8" si="8">CO8+FLOOR(365/4,1)</f>
        <v>44741</v>
      </c>
      <c r="CQ8" s="177">
        <f t="shared" ref="CQ8:CR8" si="9">CP8+FLOOR(365/4,1)+1</f>
        <v>44833</v>
      </c>
      <c r="CR8" s="179">
        <f t="shared" si="9"/>
        <v>44925</v>
      </c>
      <c r="CS8" s="174"/>
      <c r="CT8" s="2386"/>
      <c r="CU8" s="1"/>
      <c r="CV8" s="1"/>
    </row>
    <row r="9" spans="1:100">
      <c r="A9" s="1886" t="s">
        <v>239</v>
      </c>
      <c r="B9" s="304"/>
      <c r="C9" s="304"/>
      <c r="D9" s="305"/>
      <c r="E9" s="305"/>
      <c r="F9" s="306"/>
      <c r="G9" s="307"/>
      <c r="H9" s="304"/>
      <c r="I9" s="304"/>
      <c r="J9" s="305"/>
      <c r="K9" s="305"/>
      <c r="L9" s="306"/>
      <c r="M9" s="307"/>
      <c r="N9" s="308"/>
      <c r="O9" s="304"/>
      <c r="P9" s="305"/>
      <c r="Q9" s="305"/>
      <c r="R9" s="306"/>
      <c r="S9" s="307"/>
      <c r="T9" s="308"/>
      <c r="U9" s="304"/>
      <c r="V9" s="305"/>
      <c r="W9" s="305"/>
      <c r="X9" s="306"/>
      <c r="Y9" s="307"/>
      <c r="Z9" s="308"/>
      <c r="AA9" s="304"/>
      <c r="AB9" s="305"/>
      <c r="AC9" s="305"/>
      <c r="AD9" s="305"/>
      <c r="AE9" s="307"/>
      <c r="AF9" s="308"/>
      <c r="AG9" s="309"/>
      <c r="AH9" s="308"/>
      <c r="AI9" s="308"/>
      <c r="AJ9" s="308"/>
      <c r="AK9" s="307"/>
      <c r="AL9" s="308"/>
      <c r="AM9" s="304"/>
      <c r="AN9" s="305"/>
      <c r="AO9" s="305"/>
      <c r="AP9" s="306"/>
      <c r="AQ9" s="307"/>
      <c r="AR9" s="308"/>
      <c r="AS9" s="304"/>
      <c r="AT9" s="305"/>
      <c r="AU9" s="305"/>
      <c r="AV9" s="306"/>
      <c r="AW9" s="307"/>
      <c r="AX9" s="308"/>
      <c r="AY9" s="304"/>
      <c r="AZ9" s="305"/>
      <c r="BA9" s="2025"/>
      <c r="BB9" s="306"/>
      <c r="BC9" s="307"/>
      <c r="BD9" s="308"/>
      <c r="BE9" s="304"/>
      <c r="BF9" s="305"/>
      <c r="BG9" s="305"/>
      <c r="BH9" s="306"/>
      <c r="BI9" s="2380"/>
      <c r="BJ9" s="308"/>
      <c r="BK9" s="304"/>
      <c r="BL9" s="305"/>
      <c r="BM9" s="305"/>
      <c r="BN9" s="306"/>
      <c r="BO9" s="2957"/>
      <c r="BP9" s="308"/>
      <c r="BQ9" s="304"/>
      <c r="BR9" s="305"/>
      <c r="BS9" s="305"/>
      <c r="BT9" s="306"/>
      <c r="BU9" s="2380"/>
      <c r="BV9" s="308"/>
      <c r="BW9" s="304"/>
      <c r="BX9" s="305"/>
      <c r="BY9" s="305"/>
      <c r="BZ9" s="306"/>
      <c r="CA9" s="2380"/>
      <c r="CB9" s="308"/>
      <c r="CC9" s="304"/>
      <c r="CD9" s="305"/>
      <c r="CE9" s="305"/>
      <c r="CF9" s="306"/>
      <c r="CG9" s="2380"/>
      <c r="CH9" s="308"/>
      <c r="CI9" s="304"/>
      <c r="CJ9" s="305"/>
      <c r="CK9" s="305"/>
      <c r="CL9" s="306"/>
      <c r="CM9" s="2380"/>
      <c r="CN9" s="308"/>
      <c r="CO9" s="304"/>
      <c r="CP9" s="305"/>
      <c r="CQ9" s="305"/>
      <c r="CR9" s="306"/>
      <c r="CS9" s="2380"/>
      <c r="CT9" s="2393"/>
      <c r="CU9" s="1"/>
      <c r="CV9" s="1"/>
    </row>
    <row r="10" spans="1:100">
      <c r="A10" s="1887" t="s">
        <v>240</v>
      </c>
      <c r="B10" s="310"/>
      <c r="C10" s="311">
        <v>-298.07600000000002</v>
      </c>
      <c r="D10" s="312">
        <f>-288.812-C10</f>
        <v>9.26400000000001</v>
      </c>
      <c r="E10" s="312">
        <f>-274.311-D10-C10</f>
        <v>14.501000000000033</v>
      </c>
      <c r="F10" s="313">
        <f>-278.359-SUM(C10:E10)</f>
        <v>-4.0480000000000018</v>
      </c>
      <c r="G10" s="218">
        <f t="shared" ref="G10:G16" si="10">SUM(C10:F10)</f>
        <v>-278.35899999999998</v>
      </c>
      <c r="H10" s="192"/>
      <c r="I10" s="311">
        <v>10.743</v>
      </c>
      <c r="J10" s="312">
        <f>23.401-I10</f>
        <v>12.657999999999999</v>
      </c>
      <c r="K10" s="312">
        <f>13.324-J10-I10</f>
        <v>-10.077</v>
      </c>
      <c r="L10" s="313">
        <f>50.477-K10-J10-I10</f>
        <v>37.152999999999992</v>
      </c>
      <c r="M10" s="314">
        <f t="shared" ref="M10:M16" si="11">SUM(I10:L10)</f>
        <v>50.47699999999999</v>
      </c>
      <c r="N10" s="87"/>
      <c r="O10" s="315">
        <f>IS!O32</f>
        <v>18.811000000000007</v>
      </c>
      <c r="P10" s="197">
        <f>IS!P32</f>
        <v>24.688000000000002</v>
      </c>
      <c r="Q10" s="197">
        <f>IS!Q32</f>
        <v>17.077000000000019</v>
      </c>
      <c r="R10" s="197">
        <f>IS!R32</f>
        <v>11.704999999999981</v>
      </c>
      <c r="S10" s="314">
        <f>SUM(O10:R10)</f>
        <v>72.281000000000006</v>
      </c>
      <c r="T10" s="87"/>
      <c r="U10" s="315">
        <f>IS!U32</f>
        <v>21.208000000000013</v>
      </c>
      <c r="V10" s="197">
        <f>IS!V32</f>
        <v>29.795999999999992</v>
      </c>
      <c r="W10" s="197">
        <f>IS!W32</f>
        <v>35.446999999999996</v>
      </c>
      <c r="X10" s="197">
        <f>IS!X32</f>
        <v>38.439999999999976</v>
      </c>
      <c r="Y10" s="314">
        <f>SUM(U10:X10)</f>
        <v>124.89099999999996</v>
      </c>
      <c r="Z10" s="87"/>
      <c r="AA10" s="315">
        <f>IS!AA32</f>
        <v>24.136999999999979</v>
      </c>
      <c r="AB10" s="197">
        <f>IS!AB32</f>
        <v>30.619999999999987</v>
      </c>
      <c r="AC10" s="197">
        <f>IS!AC32</f>
        <v>20.150999999999996</v>
      </c>
      <c r="AD10" s="197">
        <f>IS!AD32</f>
        <v>11.719999999999949</v>
      </c>
      <c r="AE10" s="314">
        <f>SUM(AA10:AD10)</f>
        <v>86.627999999999901</v>
      </c>
      <c r="AF10" s="87"/>
      <c r="AG10" s="315">
        <f>IS!AG32</f>
        <v>26.201999999999995</v>
      </c>
      <c r="AH10" s="197">
        <f>IS!AH32</f>
        <v>23.400999999999954</v>
      </c>
      <c r="AI10" s="197">
        <f>IS!AI32</f>
        <v>29.748000000000033</v>
      </c>
      <c r="AJ10" s="197">
        <f>IS!AJ32</f>
        <v>71.90300000000002</v>
      </c>
      <c r="AK10" s="314">
        <f>SUM(AG10:AJ10)</f>
        <v>151.25400000000002</v>
      </c>
      <c r="AL10" s="87"/>
      <c r="AM10" s="315">
        <f>IS!AM32</f>
        <v>-22.586999999999961</v>
      </c>
      <c r="AN10" s="197">
        <f>IS!AN32</f>
        <v>35.87700000000001</v>
      </c>
      <c r="AO10" s="197">
        <f>IS!AO32</f>
        <v>31.357000000000049</v>
      </c>
      <c r="AP10" s="197">
        <f>IS!AP32</f>
        <v>80.66100000000003</v>
      </c>
      <c r="AQ10" s="314">
        <f>SUM(AM10:AP10)</f>
        <v>125.30800000000013</v>
      </c>
      <c r="AR10" s="87"/>
      <c r="AS10" s="315">
        <f>IS!AS32</f>
        <v>59.976999999999997</v>
      </c>
      <c r="AT10" s="197">
        <f>IS!AT32</f>
        <v>46.60499999999999</v>
      </c>
      <c r="AU10" s="197">
        <f>IS!AU32</f>
        <v>93.489000000000033</v>
      </c>
      <c r="AV10" s="197">
        <f>IS!AV32</f>
        <v>153.28</v>
      </c>
      <c r="AW10" s="314">
        <f>SUM(AS10:AV10)</f>
        <v>353.351</v>
      </c>
      <c r="AX10" s="87"/>
      <c r="AY10" s="2453">
        <f>IS!AY32</f>
        <v>136.65800000000007</v>
      </c>
      <c r="AZ10" s="2027">
        <f>IS!AZ32</f>
        <v>102.2469999999999</v>
      </c>
      <c r="BA10" s="2027">
        <f>IS!BA32-IS!BA29</f>
        <v>115.62099999999997</v>
      </c>
      <c r="BB10" s="2027">
        <f>IS!BB32-IS!BB29</f>
        <v>102.864</v>
      </c>
      <c r="BC10" s="2206">
        <f t="shared" ref="BC10:BC16" si="12">SUM(AY10:BB10)</f>
        <v>457.39</v>
      </c>
      <c r="BD10" s="87"/>
      <c r="BE10" s="315">
        <f>IS!BE32-IS!BE29</f>
        <v>87.219000000000094</v>
      </c>
      <c r="BF10" s="197">
        <f>IS!BF32-IS!BF29</f>
        <v>116.39400000000001</v>
      </c>
      <c r="BG10" s="197">
        <f>IS!BG32-IS!BG29</f>
        <v>116.93500000000003</v>
      </c>
      <c r="BH10" s="2027">
        <f>IS!BH32-IS!BH29</f>
        <v>107.54200000000004</v>
      </c>
      <c r="BI10" s="2206">
        <f>SUM(BE10:BH10)</f>
        <v>428.09000000000015</v>
      </c>
      <c r="BJ10" s="87"/>
      <c r="BK10" s="3018">
        <v>348</v>
      </c>
      <c r="BL10" s="3019">
        <f>468-SUM(BK10)</f>
        <v>120</v>
      </c>
      <c r="BM10" s="3019">
        <f>621-SUM(BK10:BL10)</f>
        <v>153</v>
      </c>
      <c r="BN10" s="3019">
        <f>678-SUM(BK10:BM10)</f>
        <v>57</v>
      </c>
      <c r="BO10" s="314">
        <f t="shared" ref="BO10:BO16" si="13">SUM(BK10:BN10)</f>
        <v>678</v>
      </c>
      <c r="BP10" s="87"/>
      <c r="BQ10" s="315">
        <f>IS!BQ32</f>
        <v>208</v>
      </c>
      <c r="BR10" s="197">
        <f>IS!BR32</f>
        <v>158.27165001571481</v>
      </c>
      <c r="BS10" s="197">
        <f>IS!BS32</f>
        <v>165.43933703477836</v>
      </c>
      <c r="BT10" s="316">
        <f>IS!BT32</f>
        <v>176.32614500258657</v>
      </c>
      <c r="BU10" s="314">
        <f t="shared" ref="BU10:BU16" si="14">SUM(BQ10:BT10)</f>
        <v>708.03713205307986</v>
      </c>
      <c r="BV10" s="87"/>
      <c r="BW10" s="315">
        <f>IS!BW32</f>
        <v>205.86174878211997</v>
      </c>
      <c r="BX10" s="197">
        <f>IS!BX32</f>
        <v>167.87823001353337</v>
      </c>
      <c r="BY10" s="197">
        <f>IS!BY32</f>
        <v>175.3081295345811</v>
      </c>
      <c r="BZ10" s="316">
        <f>IS!BZ32</f>
        <v>186.38885826705709</v>
      </c>
      <c r="CA10" s="314">
        <f t="shared" ref="CA10:CA16" si="15">SUM(BW10:BZ10)</f>
        <v>735.43696659729153</v>
      </c>
      <c r="CB10" s="87"/>
      <c r="CC10" s="315">
        <f>IS!CC32</f>
        <v>227.57453602593077</v>
      </c>
      <c r="CD10" s="197">
        <f>IS!CD32</f>
        <v>243.94221423167102</v>
      </c>
      <c r="CE10" s="197">
        <f>IS!CE32</f>
        <v>258.68886697121042</v>
      </c>
      <c r="CF10" s="316">
        <f>IS!CF32</f>
        <v>275.24665373192443</v>
      </c>
      <c r="CG10" s="314">
        <f t="shared" ref="CG10:CG16" si="16">SUM(CC10:CF10)</f>
        <v>1005.4522709607365</v>
      </c>
      <c r="CH10" s="87"/>
      <c r="CI10" s="315">
        <f>IS!CI32</f>
        <v>324.27276687442452</v>
      </c>
      <c r="CJ10" s="197">
        <f>IS!CJ32</f>
        <v>214.44490994919394</v>
      </c>
      <c r="CK10" s="197">
        <f>IS!CK32</f>
        <v>224.2175308702906</v>
      </c>
      <c r="CL10" s="316">
        <f>IS!CL32</f>
        <v>238.77597142459146</v>
      </c>
      <c r="CM10" s="314">
        <f t="shared" ref="CM10:CM16" si="17">SUM(CI10:CL10)</f>
        <v>1001.7111791185006</v>
      </c>
      <c r="CN10" s="87"/>
      <c r="CO10" s="315">
        <f>IS!CO32</f>
        <v>287.35222375662784</v>
      </c>
      <c r="CP10" s="197">
        <f>IS!CP32</f>
        <v>241.586416515319</v>
      </c>
      <c r="CQ10" s="197">
        <f>IS!CQ32</f>
        <v>253.62115128469571</v>
      </c>
      <c r="CR10" s="316">
        <f>IS!CR32</f>
        <v>270.17510452868424</v>
      </c>
      <c r="CS10" s="314">
        <f t="shared" ref="CS10:CS16" si="18">SUM(CO10:CR10)</f>
        <v>1052.7348960853267</v>
      </c>
      <c r="CT10" s="197"/>
      <c r="CU10" s="2"/>
      <c r="CV10" s="2"/>
    </row>
    <row r="11" spans="1:100" outlineLevel="1">
      <c r="A11" s="1888" t="s">
        <v>241</v>
      </c>
      <c r="B11" s="89"/>
      <c r="C11" s="95">
        <v>2.5939999999999999</v>
      </c>
      <c r="D11" s="7">
        <f>5.438-C11</f>
        <v>2.8439999999999999</v>
      </c>
      <c r="E11" s="7">
        <f>8.177-D11-C11</f>
        <v>2.7390000000000003</v>
      </c>
      <c r="F11" s="96">
        <f>11.464-SUM(C11:E11)</f>
        <v>3.2870000000000008</v>
      </c>
      <c r="G11" s="188">
        <f t="shared" si="10"/>
        <v>11.464</v>
      </c>
      <c r="H11" s="89"/>
      <c r="I11" s="95">
        <v>3.7770000000000001</v>
      </c>
      <c r="J11" s="7">
        <f>7.73-I11</f>
        <v>3.9530000000000003</v>
      </c>
      <c r="K11" s="7">
        <f>12.206-J11-I11</f>
        <v>4.476</v>
      </c>
      <c r="L11" s="96">
        <f>17.285-SUM(I11:K11)</f>
        <v>5.0790000000000006</v>
      </c>
      <c r="M11" s="188">
        <f t="shared" si="11"/>
        <v>17.285</v>
      </c>
      <c r="N11" s="2"/>
      <c r="O11" s="95">
        <v>5.6040000000000001</v>
      </c>
      <c r="P11" s="7">
        <f>11.712-O11</f>
        <v>6.1079999999999997</v>
      </c>
      <c r="Q11" s="7">
        <f>18.259-P11-O11</f>
        <v>6.5469999999999997</v>
      </c>
      <c r="R11" s="96">
        <f>24.504-SUM(O11:Q11)</f>
        <v>6.245000000000001</v>
      </c>
      <c r="S11" s="188">
        <f t="shared" ref="S11:S16" si="19">SUM(O11:R11)</f>
        <v>24.504000000000001</v>
      </c>
      <c r="T11" s="2"/>
      <c r="U11" s="95">
        <v>7.391</v>
      </c>
      <c r="V11" s="7">
        <f>15.804-U11</f>
        <v>8.4130000000000003</v>
      </c>
      <c r="W11" s="7">
        <f>24.611-V11-U11</f>
        <v>8.8070000000000004</v>
      </c>
      <c r="X11" s="96">
        <f>34.204-SUM(U11:W11)</f>
        <v>9.593</v>
      </c>
      <c r="Y11" s="188">
        <f>SUM(U11:X11)</f>
        <v>34.204000000000001</v>
      </c>
      <c r="Z11" s="2"/>
      <c r="AA11" s="95">
        <v>12.829000000000001</v>
      </c>
      <c r="AB11" s="7">
        <f>25.989-AA11</f>
        <v>13.16</v>
      </c>
      <c r="AC11" s="7">
        <f>40.303-SUM(AA11:AB11)</f>
        <v>14.313999999999997</v>
      </c>
      <c r="AD11" s="7">
        <f>55.575-SUM(AA11:AC11)</f>
        <v>15.272000000000006</v>
      </c>
      <c r="AE11" s="188">
        <f>SUM(AA11:AD11)</f>
        <v>55.575000000000003</v>
      </c>
      <c r="AF11" s="2"/>
      <c r="AG11" s="95">
        <v>11.959</v>
      </c>
      <c r="AH11" s="7">
        <f>23.477-AG11</f>
        <v>11.518000000000001</v>
      </c>
      <c r="AI11" s="7">
        <f>35.564-AG11-AH11</f>
        <v>12.087</v>
      </c>
      <c r="AJ11" s="7">
        <f>48.249-SUM(AG11:AI11)</f>
        <v>12.685000000000002</v>
      </c>
      <c r="AK11" s="188">
        <f>SUM(AG11:AJ11)</f>
        <v>48.249000000000002</v>
      </c>
      <c r="AL11" s="2"/>
      <c r="AM11" s="95">
        <v>11.759</v>
      </c>
      <c r="AN11" s="7">
        <f>23.718-AM11</f>
        <v>11.959</v>
      </c>
      <c r="AO11" s="7">
        <f>37.081-AM11-AN11</f>
        <v>13.363000000000003</v>
      </c>
      <c r="AP11" s="7">
        <f>50.81-SUM(AM11:AO11)</f>
        <v>13.728999999999999</v>
      </c>
      <c r="AQ11" s="188">
        <f t="shared" ref="AQ11:AQ16" si="20">SUM(AM11:AP11)</f>
        <v>50.81</v>
      </c>
      <c r="AR11" s="2"/>
      <c r="AS11" s="95">
        <v>14.593</v>
      </c>
      <c r="AT11" s="7">
        <f>29.985-AS11</f>
        <v>15.391999999999999</v>
      </c>
      <c r="AU11" s="7">
        <f>44.783-SUM(AS11:AT11)</f>
        <v>14.798000000000002</v>
      </c>
      <c r="AV11" s="7">
        <f>61.905-SUM(AS11:AU11)</f>
        <v>17.122</v>
      </c>
      <c r="AW11" s="188">
        <f t="shared" ref="AW11:AW16" si="21">SUM(AS11:AV11)</f>
        <v>61.905000000000001</v>
      </c>
      <c r="AX11" s="2"/>
      <c r="AY11" s="95">
        <v>16.754000000000001</v>
      </c>
      <c r="AZ11" s="7">
        <f>34.204-AY11</f>
        <v>17.45</v>
      </c>
      <c r="BA11" s="2024">
        <f>52.774-SUM(AY11:AZ11)</f>
        <v>18.57</v>
      </c>
      <c r="BB11" s="7">
        <f>72.687-SUM(AY11:BA11)</f>
        <v>19.912999999999997</v>
      </c>
      <c r="BC11" s="188">
        <f t="shared" si="12"/>
        <v>72.686999999999998</v>
      </c>
      <c r="BD11" s="2"/>
      <c r="BE11" s="2436">
        <v>20.673999999999999</v>
      </c>
      <c r="BF11" s="2743">
        <f>42.429-BE11</f>
        <v>21.755000000000003</v>
      </c>
      <c r="BG11" s="2743">
        <f>65.433-SUM(BE11:BF11)</f>
        <v>23.004000000000005</v>
      </c>
      <c r="BH11" s="2743">
        <f>89.955-SUM(BE11:BG11)</f>
        <v>24.521999999999991</v>
      </c>
      <c r="BI11" s="188">
        <f t="shared" ref="BI11:BI16" si="22">SUM(BE11:BH11)</f>
        <v>89.954999999999998</v>
      </c>
      <c r="BJ11" s="2"/>
      <c r="BK11" s="2436">
        <v>26</v>
      </c>
      <c r="BL11" s="2743">
        <f>52-BK11</f>
        <v>26</v>
      </c>
      <c r="BM11" s="2743">
        <f>81-SUM(BK11:BL11)</f>
        <v>29</v>
      </c>
      <c r="BN11" s="2743">
        <f>110-SUM(BK11:BM11)</f>
        <v>29</v>
      </c>
      <c r="BO11" s="188">
        <f t="shared" si="13"/>
        <v>110</v>
      </c>
      <c r="BP11" s="2"/>
      <c r="BQ11" s="89">
        <f>-BS!BQ101</f>
        <v>30.438000000000002</v>
      </c>
      <c r="BR11" s="9">
        <f>-BS!BR101</f>
        <v>32.588500000000003</v>
      </c>
      <c r="BS11" s="9">
        <f>-BS!BS101</f>
        <v>34.76218846692268</v>
      </c>
      <c r="BT11" s="90">
        <f>-BS!BT101</f>
        <v>36.977799250244573</v>
      </c>
      <c r="BU11" s="188">
        <f t="shared" si="14"/>
        <v>134.76648771716725</v>
      </c>
      <c r="BV11" s="2"/>
      <c r="BW11" s="89">
        <f>-BS!BW101</f>
        <v>39.288674099965689</v>
      </c>
      <c r="BX11" s="9">
        <f>-BS!BX101</f>
        <v>41.688497678597237</v>
      </c>
      <c r="BY11" s="9">
        <f>-BS!BY101</f>
        <v>44.081612939023842</v>
      </c>
      <c r="BZ11" s="90">
        <f>-BS!BZ101</f>
        <v>46.507302023553194</v>
      </c>
      <c r="CA11" s="188">
        <f t="shared" si="15"/>
        <v>171.56608674113997</v>
      </c>
      <c r="CB11" s="2"/>
      <c r="CC11" s="89">
        <f>-BS!CC101</f>
        <v>49.031328961031448</v>
      </c>
      <c r="CD11" s="9">
        <f>-BS!CD101</f>
        <v>51.674860816325463</v>
      </c>
      <c r="CE11" s="9">
        <f>-BS!CE101</f>
        <v>54.313356245562467</v>
      </c>
      <c r="CF11" s="90">
        <f>-BS!CF101</f>
        <v>56.98703610315961</v>
      </c>
      <c r="CG11" s="188">
        <f t="shared" si="16"/>
        <v>212.00658212607897</v>
      </c>
      <c r="CH11" s="2"/>
      <c r="CI11" s="89">
        <f>-BS!CI101</f>
        <v>59.772946835966017</v>
      </c>
      <c r="CJ11" s="9">
        <f>-BS!CJ101</f>
        <v>62.692277360963047</v>
      </c>
      <c r="CK11" s="9">
        <f>-BS!CK101</f>
        <v>65.605524379075391</v>
      </c>
      <c r="CL11" s="90">
        <f>-BS!CL101</f>
        <v>68.555965076640874</v>
      </c>
      <c r="CM11" s="188">
        <f t="shared" si="17"/>
        <v>256.62671365264532</v>
      </c>
      <c r="CN11" s="2"/>
      <c r="CO11" s="89">
        <f>-BS!CO101</f>
        <v>71.63781269667443</v>
      </c>
      <c r="CP11" s="9">
        <f>-BS!CP101</f>
        <v>74.847947329786308</v>
      </c>
      <c r="CQ11" s="9">
        <f>-BS!CQ101</f>
        <v>78.065435131797528</v>
      </c>
      <c r="CR11" s="90">
        <f>-BS!CR101</f>
        <v>81.335848834928697</v>
      </c>
      <c r="CS11" s="188">
        <f t="shared" si="18"/>
        <v>305.88704399318698</v>
      </c>
      <c r="CT11" s="9"/>
      <c r="CU11" s="2"/>
      <c r="CV11" s="2"/>
    </row>
    <row r="12" spans="1:100" ht="13.5" customHeight="1" outlineLevel="1">
      <c r="A12" s="1888" t="s">
        <v>242</v>
      </c>
      <c r="B12" s="13"/>
      <c r="C12" s="93">
        <v>0.442</v>
      </c>
      <c r="D12" s="26">
        <f>1.126-C12</f>
        <v>0.68399999999999994</v>
      </c>
      <c r="E12" s="26">
        <f>1.803-D12-C12</f>
        <v>0.67700000000000005</v>
      </c>
      <c r="F12" s="94">
        <f>2.429-SUM(C12:E12)</f>
        <v>0.62599999999999989</v>
      </c>
      <c r="G12" s="188">
        <f t="shared" si="10"/>
        <v>2.4289999999999998</v>
      </c>
      <c r="H12" s="89"/>
      <c r="I12" s="93">
        <v>2.415</v>
      </c>
      <c r="J12" s="26">
        <f>5.084-I12</f>
        <v>2.6689999999999996</v>
      </c>
      <c r="K12" s="26">
        <f>7.785-J12-I12</f>
        <v>2.7010000000000005</v>
      </c>
      <c r="L12" s="94">
        <f>10.438-SUM(I12:K12)</f>
        <v>2.6530000000000005</v>
      </c>
      <c r="M12" s="188">
        <f t="shared" si="11"/>
        <v>10.438000000000001</v>
      </c>
      <c r="N12" s="2"/>
      <c r="O12" s="93">
        <v>1.67</v>
      </c>
      <c r="P12" s="26">
        <f>3.34-O12</f>
        <v>1.67</v>
      </c>
      <c r="Q12" s="26">
        <f>5.01-P12-O12</f>
        <v>1.67</v>
      </c>
      <c r="R12" s="94">
        <f>6.68-SUM(O12:Q12)</f>
        <v>1.67</v>
      </c>
      <c r="S12" s="188">
        <f t="shared" si="19"/>
        <v>6.68</v>
      </c>
      <c r="T12" s="2"/>
      <c r="U12" s="93">
        <v>1.62</v>
      </c>
      <c r="V12" s="26">
        <f>3.215-U12</f>
        <v>1.5949999999999998</v>
      </c>
      <c r="W12" s="26">
        <f>5.51-V12-U12</f>
        <v>2.2949999999999999</v>
      </c>
      <c r="X12" s="94">
        <f>7.805-SUM(U12:W12)</f>
        <v>2.2949999999999999</v>
      </c>
      <c r="Y12" s="188">
        <f t="shared" ref="Y12:Y25" si="23">SUM(U12:X12)</f>
        <v>7.8049999999999997</v>
      </c>
      <c r="Z12" s="2"/>
      <c r="AA12" s="93">
        <v>2.9849999999999999</v>
      </c>
      <c r="AB12" s="26">
        <f>6.313-AA12</f>
        <v>3.3279999999999998</v>
      </c>
      <c r="AC12" s="26">
        <f>9.501-SUM(AA12:AB12)</f>
        <v>3.1879999999999997</v>
      </c>
      <c r="AD12" s="26">
        <f>12.689-SUM(AA12:AC12)</f>
        <v>3.1880000000000006</v>
      </c>
      <c r="AE12" s="188">
        <f t="shared" ref="AE12:AE25" si="24">SUM(AA12:AD12)</f>
        <v>12.689</v>
      </c>
      <c r="AF12" s="2"/>
      <c r="AG12" s="93">
        <v>3.1949999999999998</v>
      </c>
      <c r="AH12" s="26">
        <f>6.39-AG12</f>
        <v>3.1949999999999998</v>
      </c>
      <c r="AI12" s="26">
        <f>10.13-AG12-AH12</f>
        <v>3.7400000000000007</v>
      </c>
      <c r="AJ12" s="26">
        <f>15.541-SUM(AG12:AI12)</f>
        <v>5.4109999999999996</v>
      </c>
      <c r="AK12" s="188">
        <f t="shared" ref="AK12:AK25" si="25">SUM(AG12:AJ12)</f>
        <v>15.541</v>
      </c>
      <c r="AL12" s="2"/>
      <c r="AM12" s="93">
        <v>8.7720000000000002</v>
      </c>
      <c r="AN12" s="26">
        <f>20.162-AM12</f>
        <v>11.389999999999999</v>
      </c>
      <c r="AO12" s="26">
        <f>33.677-AM12-AN12</f>
        <v>13.515000000000002</v>
      </c>
      <c r="AP12" s="26">
        <f>47.115-SUM(AM12:AO12)</f>
        <v>13.438000000000002</v>
      </c>
      <c r="AQ12" s="188">
        <f t="shared" si="20"/>
        <v>47.115000000000002</v>
      </c>
      <c r="AR12" s="2"/>
      <c r="AS12" s="93">
        <v>13.814</v>
      </c>
      <c r="AT12" s="26">
        <f>25.948-AS12</f>
        <v>12.134</v>
      </c>
      <c r="AU12" s="7">
        <f>37.839-SUM(AS12:AT12)</f>
        <v>11.890999999999998</v>
      </c>
      <c r="AV12" s="7">
        <f>50.669-SUM(AS12:AU12)</f>
        <v>12.829999999999998</v>
      </c>
      <c r="AW12" s="188">
        <f t="shared" si="21"/>
        <v>50.668999999999997</v>
      </c>
      <c r="AX12" s="2"/>
      <c r="AY12" s="1857">
        <v>13.348000000000001</v>
      </c>
      <c r="AZ12" s="7">
        <f>26.598-AY12</f>
        <v>13.249999999999998</v>
      </c>
      <c r="BA12" s="2024">
        <f>40.884-SUM(AY12:AZ12)</f>
        <v>14.286000000000001</v>
      </c>
      <c r="BB12" s="7">
        <f>53.732-SUM(AY12:BA12)</f>
        <v>12.847999999999999</v>
      </c>
      <c r="BC12" s="188">
        <f t="shared" si="12"/>
        <v>53.731999999999999</v>
      </c>
      <c r="BD12" s="2"/>
      <c r="BE12" s="2764">
        <v>12.545</v>
      </c>
      <c r="BF12" s="2743">
        <f>25.143-BE12</f>
        <v>12.598000000000001</v>
      </c>
      <c r="BG12" s="2743">
        <f>38.051-SUM(BE12:BF12)</f>
        <v>12.908000000000001</v>
      </c>
      <c r="BH12" s="2743">
        <f>50.96-SUM(BE12:BG12)</f>
        <v>12.908999999999999</v>
      </c>
      <c r="BI12" s="188">
        <f t="shared" si="22"/>
        <v>50.96</v>
      </c>
      <c r="BJ12" s="2"/>
      <c r="BK12" s="2764">
        <v>12</v>
      </c>
      <c r="BL12" s="2743">
        <f>24-BK12</f>
        <v>12</v>
      </c>
      <c r="BM12" s="2743">
        <f>36-SUM(BK12:BL12)</f>
        <v>12</v>
      </c>
      <c r="BN12" s="2743">
        <f>46-SUM(BK12:BM12)</f>
        <v>10</v>
      </c>
      <c r="BO12" s="188">
        <f t="shared" si="13"/>
        <v>46</v>
      </c>
      <c r="BP12" s="2"/>
      <c r="BQ12" s="91">
        <f>-BS!BQ114</f>
        <v>10</v>
      </c>
      <c r="BR12" s="10">
        <f>-BS!BR114</f>
        <v>10</v>
      </c>
      <c r="BS12" s="10">
        <f>-BS!BS114</f>
        <v>10</v>
      </c>
      <c r="BT12" s="92">
        <f>-BS!BT114</f>
        <v>10</v>
      </c>
      <c r="BU12" s="188">
        <f t="shared" si="14"/>
        <v>40</v>
      </c>
      <c r="BV12" s="2"/>
      <c r="BW12" s="91">
        <f>-BS!BW114</f>
        <v>10</v>
      </c>
      <c r="BX12" s="10">
        <f>-BS!BX114</f>
        <v>10</v>
      </c>
      <c r="BY12" s="10">
        <f>-BS!BY114</f>
        <v>10</v>
      </c>
      <c r="BZ12" s="92">
        <f>-BS!BZ114</f>
        <v>10</v>
      </c>
      <c r="CA12" s="188">
        <f t="shared" si="15"/>
        <v>40</v>
      </c>
      <c r="CB12" s="2"/>
      <c r="CC12" s="91">
        <f>-BS!CC114</f>
        <v>10</v>
      </c>
      <c r="CD12" s="10">
        <f>-BS!CD114</f>
        <v>10</v>
      </c>
      <c r="CE12" s="10">
        <f>-BS!CE114</f>
        <v>10</v>
      </c>
      <c r="CF12" s="92">
        <f>-BS!CF114</f>
        <v>10</v>
      </c>
      <c r="CG12" s="188">
        <f t="shared" si="16"/>
        <v>40</v>
      </c>
      <c r="CH12" s="2"/>
      <c r="CI12" s="91">
        <f>-BS!CI114</f>
        <v>7.5</v>
      </c>
      <c r="CJ12" s="10">
        <f>-BS!CJ114</f>
        <v>7.5</v>
      </c>
      <c r="CK12" s="10">
        <f>-BS!CK114</f>
        <v>7.5</v>
      </c>
      <c r="CL12" s="92">
        <f>-BS!CL114</f>
        <v>7.5</v>
      </c>
      <c r="CM12" s="188">
        <f t="shared" si="17"/>
        <v>30</v>
      </c>
      <c r="CN12" s="2"/>
      <c r="CO12" s="91">
        <f>-BS!CO114</f>
        <v>5</v>
      </c>
      <c r="CP12" s="10">
        <f>-BS!CP114</f>
        <v>5</v>
      </c>
      <c r="CQ12" s="10">
        <f>-BS!CQ114</f>
        <v>5</v>
      </c>
      <c r="CR12" s="92">
        <f>-BS!CR114</f>
        <v>5</v>
      </c>
      <c r="CS12" s="188">
        <f t="shared" si="18"/>
        <v>20</v>
      </c>
      <c r="CT12" s="9"/>
      <c r="CU12" s="2"/>
      <c r="CV12" s="2"/>
    </row>
    <row r="13" spans="1:100" outlineLevel="1">
      <c r="A13" s="1888" t="s">
        <v>243</v>
      </c>
      <c r="B13" s="13"/>
      <c r="C13" s="93">
        <v>303.39999999999998</v>
      </c>
      <c r="D13" s="26">
        <f>303.4-C13</f>
        <v>0</v>
      </c>
      <c r="E13" s="26">
        <f>303.4-D13-C13</f>
        <v>0</v>
      </c>
      <c r="F13" s="94">
        <f>303.4-SUM(C13:E13)</f>
        <v>0</v>
      </c>
      <c r="G13" s="188">
        <f t="shared" si="10"/>
        <v>303.39999999999998</v>
      </c>
      <c r="H13" s="89"/>
      <c r="I13" s="93">
        <v>0</v>
      </c>
      <c r="J13" s="26">
        <f>0-I13</f>
        <v>0</v>
      </c>
      <c r="K13" s="26">
        <f>24.66-J13-I13</f>
        <v>24.66</v>
      </c>
      <c r="L13" s="94">
        <f>24.66-SUM(I13:K13)</f>
        <v>0</v>
      </c>
      <c r="M13" s="188">
        <f t="shared" si="11"/>
        <v>24.66</v>
      </c>
      <c r="N13" s="2"/>
      <c r="O13" s="93">
        <v>0</v>
      </c>
      <c r="P13" s="26">
        <f>0-O13</f>
        <v>0</v>
      </c>
      <c r="Q13" s="26">
        <f>1.325-P13-O13</f>
        <v>1.325</v>
      </c>
      <c r="R13" s="94">
        <f>11.325-SUM(O13:Q13)</f>
        <v>10</v>
      </c>
      <c r="S13" s="188">
        <f t="shared" si="19"/>
        <v>11.324999999999999</v>
      </c>
      <c r="T13" s="2"/>
      <c r="U13" s="93">
        <v>0</v>
      </c>
      <c r="V13" s="26">
        <f>0-U13</f>
        <v>0</v>
      </c>
      <c r="W13" s="26">
        <f>1.325-V13-U13</f>
        <v>1.325</v>
      </c>
      <c r="X13" s="94">
        <f>1.325-SUM(U13:W13)</f>
        <v>0</v>
      </c>
      <c r="Y13" s="188">
        <f t="shared" si="23"/>
        <v>1.325</v>
      </c>
      <c r="Z13" s="2"/>
      <c r="AA13" s="93">
        <v>0</v>
      </c>
      <c r="AB13" s="26">
        <f>0-AA13</f>
        <v>0</v>
      </c>
      <c r="AC13" s="26">
        <f>0-SUM(AA13:AB13)</f>
        <v>0</v>
      </c>
      <c r="AD13" s="26">
        <v>0</v>
      </c>
      <c r="AE13" s="188">
        <f t="shared" si="24"/>
        <v>0</v>
      </c>
      <c r="AF13" s="2"/>
      <c r="AG13" s="93">
        <v>0</v>
      </c>
      <c r="AH13" s="26">
        <f>0-SUM(AG13)</f>
        <v>0</v>
      </c>
      <c r="AI13" s="26">
        <f>0-SUM(AG13:AH13)</f>
        <v>0</v>
      </c>
      <c r="AJ13" s="26">
        <f>0-SUM(AG13:AI13)</f>
        <v>0</v>
      </c>
      <c r="AK13" s="188">
        <f>SUM(AG13:AJ13)</f>
        <v>0</v>
      </c>
      <c r="AL13" s="2"/>
      <c r="AM13" s="93">
        <v>0</v>
      </c>
      <c r="AN13" s="26">
        <f>0-AM13</f>
        <v>0</v>
      </c>
      <c r="AO13" s="26">
        <v>0</v>
      </c>
      <c r="AP13" s="26">
        <f>0-SUM(AM13:AO13)</f>
        <v>0</v>
      </c>
      <c r="AQ13" s="188">
        <f>SUM(AM13:AP13)</f>
        <v>0</v>
      </c>
      <c r="AR13" s="2"/>
      <c r="AS13" s="93">
        <v>0</v>
      </c>
      <c r="AT13" s="26">
        <f>0-AS13</f>
        <v>0</v>
      </c>
      <c r="AU13" s="7">
        <f>0-SUM(AS13:AT13)</f>
        <v>0</v>
      </c>
      <c r="AV13" s="7">
        <f>0-SUM(AS13:AU13)</f>
        <v>0</v>
      </c>
      <c r="AW13" s="188">
        <f>SUM(AS13:AV13)</f>
        <v>0</v>
      </c>
      <c r="AX13" s="2"/>
      <c r="AY13" s="1857">
        <v>0</v>
      </c>
      <c r="AZ13" s="7">
        <f>0-AY13</f>
        <v>0</v>
      </c>
      <c r="BA13" s="2024">
        <f>0-SUM(AY13:AZ13)</f>
        <v>0</v>
      </c>
      <c r="BB13" s="7">
        <f>0-SUM(AY13:BA13)</f>
        <v>0</v>
      </c>
      <c r="BC13" s="188">
        <f t="shared" si="12"/>
        <v>0</v>
      </c>
      <c r="BD13" s="2"/>
      <c r="BE13" s="2764">
        <v>0</v>
      </c>
      <c r="BF13" s="2743">
        <f t="shared" ref="BF13" si="26">0-BE13</f>
        <v>0</v>
      </c>
      <c r="BG13" s="2743">
        <f t="shared" ref="BG13:BG22" si="27">0-SUM(BE13:BF13)</f>
        <v>0</v>
      </c>
      <c r="BH13" s="2743">
        <f t="shared" ref="BH13:BH22" si="28">0-SUM(BE13:BG13)</f>
        <v>0</v>
      </c>
      <c r="BI13" s="188">
        <f t="shared" si="22"/>
        <v>0</v>
      </c>
      <c r="BJ13" s="2"/>
      <c r="BK13" s="2764">
        <v>0</v>
      </c>
      <c r="BL13" s="2743">
        <f>0-BK13</f>
        <v>0</v>
      </c>
      <c r="BM13" s="2743">
        <f t="shared" ref="BM13:BM15" si="29">0-SUM(BK13:BL13)</f>
        <v>0</v>
      </c>
      <c r="BN13" s="2743">
        <f t="shared" ref="BN13" si="30">0-SUM(BK13:BM13)</f>
        <v>0</v>
      </c>
      <c r="BO13" s="188">
        <f t="shared" si="13"/>
        <v>0</v>
      </c>
      <c r="BP13" s="2"/>
      <c r="BQ13" s="95">
        <v>0</v>
      </c>
      <c r="BR13" s="7">
        <v>0</v>
      </c>
      <c r="BS13" s="7">
        <v>0</v>
      </c>
      <c r="BT13" s="96">
        <v>0</v>
      </c>
      <c r="BU13" s="188">
        <f t="shared" si="14"/>
        <v>0</v>
      </c>
      <c r="BV13" s="2"/>
      <c r="BW13" s="95">
        <v>0</v>
      </c>
      <c r="BX13" s="7">
        <v>0</v>
      </c>
      <c r="BY13" s="7">
        <v>0</v>
      </c>
      <c r="BZ13" s="96">
        <v>0</v>
      </c>
      <c r="CA13" s="188">
        <f t="shared" si="15"/>
        <v>0</v>
      </c>
      <c r="CB13" s="2"/>
      <c r="CC13" s="95">
        <v>0</v>
      </c>
      <c r="CD13" s="7">
        <v>0</v>
      </c>
      <c r="CE13" s="7">
        <v>0</v>
      </c>
      <c r="CF13" s="96">
        <v>0</v>
      </c>
      <c r="CG13" s="188">
        <f t="shared" si="16"/>
        <v>0</v>
      </c>
      <c r="CH13" s="2"/>
      <c r="CI13" s="95">
        <v>0</v>
      </c>
      <c r="CJ13" s="7">
        <v>0</v>
      </c>
      <c r="CK13" s="7">
        <v>0</v>
      </c>
      <c r="CL13" s="96">
        <v>0</v>
      </c>
      <c r="CM13" s="188">
        <f t="shared" si="17"/>
        <v>0</v>
      </c>
      <c r="CN13" s="2"/>
      <c r="CO13" s="95">
        <v>0</v>
      </c>
      <c r="CP13" s="7">
        <v>0</v>
      </c>
      <c r="CQ13" s="7">
        <v>0</v>
      </c>
      <c r="CR13" s="96">
        <v>0</v>
      </c>
      <c r="CS13" s="188">
        <f t="shared" si="18"/>
        <v>0</v>
      </c>
      <c r="CT13" s="9"/>
      <c r="CU13" s="2"/>
      <c r="CV13" s="2"/>
    </row>
    <row r="14" spans="1:100" outlineLevel="1">
      <c r="A14" s="1888" t="s">
        <v>244</v>
      </c>
      <c r="B14" s="89"/>
      <c r="C14" s="95">
        <v>7.6779999999999999</v>
      </c>
      <c r="D14" s="7">
        <f>15.463-C14</f>
        <v>7.7849999999999993</v>
      </c>
      <c r="E14" s="7">
        <f>24.13-D14-C14</f>
        <v>8.666999999999998</v>
      </c>
      <c r="F14" s="96">
        <f>33.746-SUM(C14:E14)</f>
        <v>9.6160000000000068</v>
      </c>
      <c r="G14" s="188">
        <f t="shared" si="10"/>
        <v>33.746000000000002</v>
      </c>
      <c r="H14" s="89"/>
      <c r="I14" s="95">
        <v>10.856999999999999</v>
      </c>
      <c r="J14" s="7">
        <f>23.131-I14</f>
        <v>12.274000000000001</v>
      </c>
      <c r="K14" s="7">
        <f>35.87-J14-I14</f>
        <v>12.738999999999997</v>
      </c>
      <c r="L14" s="96">
        <f>47.688-SUM(I14:K14)</f>
        <v>11.818000000000005</v>
      </c>
      <c r="M14" s="188">
        <f t="shared" si="11"/>
        <v>47.688000000000002</v>
      </c>
      <c r="N14" s="2"/>
      <c r="O14" s="95">
        <v>14.86</v>
      </c>
      <c r="P14" s="7">
        <f>29.761-O14</f>
        <v>14.901</v>
      </c>
      <c r="Q14" s="7">
        <f>44.334-P14-O14</f>
        <v>14.573000000000004</v>
      </c>
      <c r="R14" s="96">
        <f>60.811-SUM(O14:Q14)</f>
        <v>16.476999999999997</v>
      </c>
      <c r="S14" s="188">
        <f t="shared" si="19"/>
        <v>60.811</v>
      </c>
      <c r="T14" s="2"/>
      <c r="U14" s="95">
        <v>16.998999999999999</v>
      </c>
      <c r="V14" s="7">
        <f>33.844-U14</f>
        <v>16.845000000000002</v>
      </c>
      <c r="W14" s="7">
        <f>51.804-V14-U14</f>
        <v>17.960000000000004</v>
      </c>
      <c r="X14" s="96">
        <f>71.645-SUM(U14:W14)</f>
        <v>19.840999999999994</v>
      </c>
      <c r="Y14" s="188">
        <f t="shared" si="23"/>
        <v>71.644999999999996</v>
      </c>
      <c r="Z14" s="2"/>
      <c r="AA14" s="95">
        <v>22.039000000000001</v>
      </c>
      <c r="AB14" s="7">
        <f>45.705-AA14</f>
        <v>23.665999999999997</v>
      </c>
      <c r="AC14" s="7">
        <f>70.276-SUM(AA14:AB14)</f>
        <v>24.570999999999998</v>
      </c>
      <c r="AD14" s="7">
        <f>92.092-SUM(AA14:AC14)</f>
        <v>21.816000000000003</v>
      </c>
      <c r="AE14" s="188">
        <f t="shared" si="24"/>
        <v>92.091999999999999</v>
      </c>
      <c r="AF14" s="2"/>
      <c r="AG14" s="95">
        <v>23.029</v>
      </c>
      <c r="AH14" s="7">
        <f>47.076-AG14</f>
        <v>24.047000000000001</v>
      </c>
      <c r="AI14" s="7">
        <f>70.148-AG14-AH14</f>
        <v>23.071999999999999</v>
      </c>
      <c r="AJ14" s="7">
        <f>94.324-SUM(AG14:AI14)</f>
        <v>24.176000000000002</v>
      </c>
      <c r="AK14" s="188">
        <f t="shared" si="25"/>
        <v>94.323999999999998</v>
      </c>
      <c r="AL14" s="2"/>
      <c r="AM14" s="95">
        <v>24.219000000000001</v>
      </c>
      <c r="AN14" s="7">
        <f>48.671-AM14</f>
        <v>24.451999999999998</v>
      </c>
      <c r="AO14" s="7">
        <f>76.08-AM14-AN14</f>
        <v>27.408999999999999</v>
      </c>
      <c r="AP14" s="7">
        <f>105.826-SUM(AM14:AO14)</f>
        <v>29.745999999999995</v>
      </c>
      <c r="AQ14" s="188">
        <f t="shared" si="20"/>
        <v>105.82599999999999</v>
      </c>
      <c r="AR14" s="2"/>
      <c r="AS14" s="95">
        <v>33.423999999999999</v>
      </c>
      <c r="AT14" s="7">
        <f>69.42-AS14</f>
        <v>35.996000000000002</v>
      </c>
      <c r="AU14" s="7">
        <f>114.089-SUM(AS14:AT14)</f>
        <v>44.668999999999997</v>
      </c>
      <c r="AV14" s="7">
        <f>152.551-SUM(AS14:AU14)</f>
        <v>38.461999999999989</v>
      </c>
      <c r="AW14" s="188">
        <f t="shared" si="21"/>
        <v>152.55099999999999</v>
      </c>
      <c r="AX14" s="2"/>
      <c r="AY14" s="95">
        <v>31.917999999999999</v>
      </c>
      <c r="AZ14" s="7">
        <f>64.875-AY14</f>
        <v>32.957000000000001</v>
      </c>
      <c r="BA14" s="2024">
        <f>97.104-SUM(AY14:AZ14)</f>
        <v>32.228999999999999</v>
      </c>
      <c r="BB14" s="7">
        <f>132.593-SUM(AY14:BA14)</f>
        <v>35.48899999999999</v>
      </c>
      <c r="BC14" s="188">
        <f t="shared" si="12"/>
        <v>132.59299999999999</v>
      </c>
      <c r="BD14" s="2"/>
      <c r="BE14" s="2436">
        <v>35.292000000000002</v>
      </c>
      <c r="BF14" s="2743">
        <f>67.262-BE14</f>
        <v>31.97</v>
      </c>
      <c r="BG14" s="2743">
        <f>101.845-SUM(BE14:BF14)</f>
        <v>34.582999999999998</v>
      </c>
      <c r="BH14" s="2743">
        <f>129.065-SUM(BE14:BG14)</f>
        <v>27.22</v>
      </c>
      <c r="BI14" s="188">
        <f t="shared" si="22"/>
        <v>129.065</v>
      </c>
      <c r="BJ14" s="2"/>
      <c r="BK14" s="2436">
        <v>50</v>
      </c>
      <c r="BL14" s="2743">
        <f>89-BK14</f>
        <v>39</v>
      </c>
      <c r="BM14" s="2743">
        <f>123-SUM(BK14:BL14)</f>
        <v>34</v>
      </c>
      <c r="BN14" s="2743">
        <f>164-SUM(BK14:BM14)</f>
        <v>41</v>
      </c>
      <c r="BO14" s="188">
        <f t="shared" si="13"/>
        <v>164</v>
      </c>
      <c r="BP14" s="2"/>
      <c r="BQ14" s="89">
        <f>IS!BQ73</f>
        <v>48</v>
      </c>
      <c r="BR14" s="9">
        <f>IS!BR73</f>
        <v>53.42169342479491</v>
      </c>
      <c r="BS14" s="9">
        <f>IS!BS73</f>
        <v>53.917195507955554</v>
      </c>
      <c r="BT14" s="90">
        <f>IS!BT73</f>
        <v>55.660181655462793</v>
      </c>
      <c r="BU14" s="188">
        <f t="shared" si="14"/>
        <v>210.99907058821327</v>
      </c>
      <c r="BV14" s="2"/>
      <c r="BW14" s="89">
        <f>IS!BW73</f>
        <v>53.624179107304904</v>
      </c>
      <c r="BX14" s="9">
        <f>IS!BX73</f>
        <v>58.589076741231352</v>
      </c>
      <c r="BY14" s="9">
        <f>IS!BY73</f>
        <v>58.788971791293932</v>
      </c>
      <c r="BZ14" s="90">
        <f>IS!BZ73</f>
        <v>60.552772579735617</v>
      </c>
      <c r="CA14" s="188">
        <f t="shared" si="15"/>
        <v>231.55500021956578</v>
      </c>
      <c r="CB14" s="2"/>
      <c r="CC14" s="89">
        <f>IS!CC73</f>
        <v>59.085717144853582</v>
      </c>
      <c r="CD14" s="9">
        <f>IS!CD73</f>
        <v>64.333211907476056</v>
      </c>
      <c r="CE14" s="9">
        <f>IS!CE73</f>
        <v>64.531982766406287</v>
      </c>
      <c r="CF14" s="90">
        <f>IS!CF73</f>
        <v>66.560743050824925</v>
      </c>
      <c r="CG14" s="188">
        <f t="shared" si="16"/>
        <v>254.51165486956086</v>
      </c>
      <c r="CH14" s="2"/>
      <c r="CI14" s="89">
        <f>IS!CI73</f>
        <v>65.299889760893308</v>
      </c>
      <c r="CJ14" s="9">
        <f>IS!CJ73</f>
        <v>70.768532664237227</v>
      </c>
      <c r="CK14" s="9">
        <f>IS!CK73</f>
        <v>70.945021629266307</v>
      </c>
      <c r="CL14" s="90">
        <f>IS!CL73</f>
        <v>73.353891388359401</v>
      </c>
      <c r="CM14" s="188">
        <f t="shared" si="17"/>
        <v>280.36733544275626</v>
      </c>
      <c r="CN14" s="2"/>
      <c r="CO14" s="89">
        <f>IS!CO73</f>
        <v>71.857372954681409</v>
      </c>
      <c r="CP14" s="9">
        <f>IS!CP73</f>
        <v>77.851961369595784</v>
      </c>
      <c r="CQ14" s="9">
        <f>IS!CQ73</f>
        <v>78.323890811249044</v>
      </c>
      <c r="CR14" s="90">
        <f>IS!CR73</f>
        <v>81.077618653093054</v>
      </c>
      <c r="CS14" s="188">
        <f t="shared" si="18"/>
        <v>309.11084378861926</v>
      </c>
      <c r="CT14" s="9"/>
      <c r="CU14" s="2"/>
      <c r="CV14" s="2"/>
    </row>
    <row r="15" spans="1:100" outlineLevel="1">
      <c r="A15" s="1888" t="s">
        <v>461</v>
      </c>
      <c r="B15" s="13" t="s">
        <v>16</v>
      </c>
      <c r="C15" s="93">
        <v>0</v>
      </c>
      <c r="D15" s="26">
        <f>0-C15</f>
        <v>0</v>
      </c>
      <c r="E15" s="26">
        <f>0-D15-C15</f>
        <v>0</v>
      </c>
      <c r="F15" s="94">
        <f>-20.086-SUM(C15:E15)</f>
        <v>-20.085999999999999</v>
      </c>
      <c r="G15" s="188">
        <f t="shared" si="10"/>
        <v>-20.085999999999999</v>
      </c>
      <c r="H15" s="89"/>
      <c r="I15" s="93">
        <v>0</v>
      </c>
      <c r="J15" s="26">
        <f>0-I15</f>
        <v>0</v>
      </c>
      <c r="K15" s="26">
        <f>0-J15-I15</f>
        <v>0</v>
      </c>
      <c r="L15" s="94">
        <f>-18.501-SUM(I15:K15)</f>
        <v>-18.501000000000001</v>
      </c>
      <c r="M15" s="188">
        <f t="shared" si="11"/>
        <v>-18.501000000000001</v>
      </c>
      <c r="N15" s="2"/>
      <c r="O15" s="93">
        <v>0</v>
      </c>
      <c r="P15" s="26">
        <f>-25.7-O15</f>
        <v>-25.7</v>
      </c>
      <c r="Q15" s="26">
        <f>-39.077-P15-O15</f>
        <v>-13.376999999999999</v>
      </c>
      <c r="R15" s="94">
        <f>-39.319-SUM(O15:Q15)</f>
        <v>-0.24200000000000443</v>
      </c>
      <c r="S15" s="188">
        <f t="shared" si="19"/>
        <v>-39.319000000000003</v>
      </c>
      <c r="T15" s="2"/>
      <c r="U15" s="93">
        <v>-4.5</v>
      </c>
      <c r="V15" s="26">
        <f>-8-U15</f>
        <v>-3.5</v>
      </c>
      <c r="W15" s="26">
        <f>-14.551-V15-U15</f>
        <v>-6.5510000000000002</v>
      </c>
      <c r="X15" s="94">
        <f>-42.445-SUM(U15:W15)</f>
        <v>-27.893999999999998</v>
      </c>
      <c r="Y15" s="188">
        <f t="shared" si="23"/>
        <v>-42.445</v>
      </c>
      <c r="Z15" s="2"/>
      <c r="AA15" s="93">
        <v>-10</v>
      </c>
      <c r="AB15" s="26">
        <f>-33.32-AA15</f>
        <v>-23.32</v>
      </c>
      <c r="AC15" s="26">
        <f>-40.387-SUM(AA15:AB15)</f>
        <v>-7.0670000000000002</v>
      </c>
      <c r="AD15" s="26">
        <f>-46.354-SUM(AA15:AC15)</f>
        <v>-5.9669999999999987</v>
      </c>
      <c r="AE15" s="188">
        <f t="shared" si="24"/>
        <v>-46.353999999999999</v>
      </c>
      <c r="AF15" s="2"/>
      <c r="AG15" s="93">
        <v>2.9209999999999998</v>
      </c>
      <c r="AH15" s="26">
        <f>2.965-AG15</f>
        <v>4.4000000000000039E-2</v>
      </c>
      <c r="AI15" s="26">
        <f>4.049-AG15-AH15</f>
        <v>1.0840000000000005</v>
      </c>
      <c r="AJ15" s="26">
        <f>-20.783-SUM(AG15:AI15)</f>
        <v>-24.832000000000001</v>
      </c>
      <c r="AK15" s="188">
        <f t="shared" si="25"/>
        <v>-20.783000000000001</v>
      </c>
      <c r="AL15" s="2"/>
      <c r="AM15" s="93">
        <v>1.393</v>
      </c>
      <c r="AN15" s="26">
        <f>2.751-AM15</f>
        <v>1.3579999999999999</v>
      </c>
      <c r="AO15" s="26">
        <f>4.109-AM15-AN15</f>
        <v>1.3580000000000003</v>
      </c>
      <c r="AP15" s="26">
        <f>8.278-SUM(AM15:AO15)</f>
        <v>4.1690000000000005</v>
      </c>
      <c r="AQ15" s="188">
        <f t="shared" si="20"/>
        <v>8.2780000000000005</v>
      </c>
      <c r="AR15" s="2"/>
      <c r="AS15" s="93">
        <v>2.4169999999999998</v>
      </c>
      <c r="AT15" s="26">
        <f>2.485-AS15</f>
        <v>6.800000000000006E-2</v>
      </c>
      <c r="AU15" s="7">
        <f>2.553-SUM(AS15:AT15)</f>
        <v>6.800000000000006E-2</v>
      </c>
      <c r="AV15" s="7">
        <f>2.621-SUM(AS15:AU15)</f>
        <v>6.800000000000006E-2</v>
      </c>
      <c r="AW15" s="188">
        <f t="shared" si="21"/>
        <v>2.621</v>
      </c>
      <c r="AX15" s="2"/>
      <c r="AY15" s="1857">
        <v>0</v>
      </c>
      <c r="AZ15" s="7">
        <f>0-AY15</f>
        <v>0</v>
      </c>
      <c r="BA15" s="2024">
        <f>-121.703-SUM(AY15:AZ15)</f>
        <v>-121.703</v>
      </c>
      <c r="BB15" s="7">
        <f>-126.659-SUM(AY15:BA15)</f>
        <v>-4.9560000000000031</v>
      </c>
      <c r="BC15" s="188">
        <f t="shared" si="12"/>
        <v>-126.65900000000001</v>
      </c>
      <c r="BD15" s="2"/>
      <c r="BE15" s="2764">
        <v>0</v>
      </c>
      <c r="BF15" s="2743">
        <v>0</v>
      </c>
      <c r="BG15" s="2743">
        <v>0</v>
      </c>
      <c r="BH15" s="2743">
        <v>0</v>
      </c>
      <c r="BI15" s="188">
        <f t="shared" si="22"/>
        <v>0</v>
      </c>
      <c r="BJ15" s="2"/>
      <c r="BK15" s="2764">
        <v>0</v>
      </c>
      <c r="BL15" s="2743">
        <v>0</v>
      </c>
      <c r="BM15" s="2743">
        <f t="shared" si="29"/>
        <v>0</v>
      </c>
      <c r="BN15" s="2743">
        <v>0</v>
      </c>
      <c r="BO15" s="188">
        <f t="shared" si="13"/>
        <v>0</v>
      </c>
      <c r="BP15" s="2"/>
      <c r="BQ15" s="93">
        <v>0</v>
      </c>
      <c r="BR15" s="26">
        <f>+BQ15</f>
        <v>0</v>
      </c>
      <c r="BS15" s="26">
        <f>+BR15</f>
        <v>0</v>
      </c>
      <c r="BT15" s="94">
        <f>+BS15</f>
        <v>0</v>
      </c>
      <c r="BU15" s="188">
        <f t="shared" si="14"/>
        <v>0</v>
      </c>
      <c r="BV15" s="2"/>
      <c r="BW15" s="93">
        <v>0</v>
      </c>
      <c r="BX15" s="26">
        <f t="shared" ref="BX15:BZ15" si="31">+BW15</f>
        <v>0</v>
      </c>
      <c r="BY15" s="26">
        <f t="shared" si="31"/>
        <v>0</v>
      </c>
      <c r="BZ15" s="94">
        <f t="shared" si="31"/>
        <v>0</v>
      </c>
      <c r="CA15" s="188">
        <f t="shared" si="15"/>
        <v>0</v>
      </c>
      <c r="CB15" s="2"/>
      <c r="CC15" s="93">
        <v>0</v>
      </c>
      <c r="CD15" s="26">
        <f t="shared" ref="CD15:CF15" si="32">+CC15</f>
        <v>0</v>
      </c>
      <c r="CE15" s="26">
        <f t="shared" si="32"/>
        <v>0</v>
      </c>
      <c r="CF15" s="94">
        <f t="shared" si="32"/>
        <v>0</v>
      </c>
      <c r="CG15" s="188">
        <f t="shared" si="16"/>
        <v>0</v>
      </c>
      <c r="CH15" s="2"/>
      <c r="CI15" s="93">
        <v>0</v>
      </c>
      <c r="CJ15" s="26">
        <f t="shared" ref="CJ15" si="33">+CI15</f>
        <v>0</v>
      </c>
      <c r="CK15" s="26">
        <f t="shared" ref="CK15" si="34">+CJ15</f>
        <v>0</v>
      </c>
      <c r="CL15" s="94">
        <f t="shared" ref="CL15" si="35">+CK15</f>
        <v>0</v>
      </c>
      <c r="CM15" s="188">
        <f t="shared" si="17"/>
        <v>0</v>
      </c>
      <c r="CN15" s="2"/>
      <c r="CO15" s="93">
        <v>0</v>
      </c>
      <c r="CP15" s="26">
        <f t="shared" ref="CP15" si="36">+CO15</f>
        <v>0</v>
      </c>
      <c r="CQ15" s="26">
        <f t="shared" ref="CQ15" si="37">+CP15</f>
        <v>0</v>
      </c>
      <c r="CR15" s="94">
        <f t="shared" ref="CR15" si="38">+CQ15</f>
        <v>0</v>
      </c>
      <c r="CS15" s="188">
        <f t="shared" si="18"/>
        <v>0</v>
      </c>
      <c r="CT15" s="9"/>
      <c r="CU15" s="2"/>
      <c r="CV15" s="2"/>
    </row>
    <row r="16" spans="1:100" outlineLevel="1">
      <c r="A16" s="1888" t="s">
        <v>245</v>
      </c>
      <c r="B16" s="89"/>
      <c r="C16" s="95">
        <f>0.816+0.165+0.002-0.06</f>
        <v>0.92300000000000004</v>
      </c>
      <c r="D16" s="7">
        <f>0.942+0.501-0.102-C16</f>
        <v>0.41799999999999993</v>
      </c>
      <c r="E16" s="7">
        <f>0.942+0.839+0.016-0.145-D16-C16</f>
        <v>0.31099999999999994</v>
      </c>
      <c r="F16" s="96">
        <f>0.942+1.176+0.015-0.187-SUM(C16:E16)</f>
        <v>0.29400000000000004</v>
      </c>
      <c r="G16" s="188">
        <f t="shared" si="10"/>
        <v>1.946</v>
      </c>
      <c r="H16" s="89"/>
      <c r="I16" s="95">
        <f>4.589+0.172-0.043</f>
        <v>4.718</v>
      </c>
      <c r="J16" s="7">
        <f>9.265+0.348-0.079+4.069-I16</f>
        <v>8.8850000000000016</v>
      </c>
      <c r="K16" s="7">
        <f>14.03+0.527+4.069+0.514-J16-I16</f>
        <v>5.5369999999999955</v>
      </c>
      <c r="L16" s="96">
        <f>-0.17+0.262+1.374+4.069-SUM(I16:K16)</f>
        <v>-13.604999999999997</v>
      </c>
      <c r="M16" s="188">
        <f t="shared" si="11"/>
        <v>5.5350000000000001</v>
      </c>
      <c r="N16" s="2"/>
      <c r="O16" s="95">
        <f>4.875-0.578</f>
        <v>4.2969999999999997</v>
      </c>
      <c r="P16" s="7">
        <f>9.787-0.219-O16</f>
        <v>5.2710000000000017</v>
      </c>
      <c r="Q16" s="7">
        <f>14.792+0.308-P16-O16</f>
        <v>5.5319999999999974</v>
      </c>
      <c r="R16" s="96">
        <f>20.286+1.721-SUM(O16:Q16)</f>
        <v>6.9070000000000036</v>
      </c>
      <c r="S16" s="188">
        <f t="shared" si="19"/>
        <v>22.007000000000001</v>
      </c>
      <c r="T16" s="2"/>
      <c r="U16" s="95">
        <f>5.203+1.427</f>
        <v>6.6300000000000008</v>
      </c>
      <c r="V16" s="7">
        <f>10.504-2.914+1.436+1.838-U16</f>
        <v>4.234</v>
      </c>
      <c r="W16" s="7">
        <f>15.904-2.914+4.567-V16-U16</f>
        <v>6.6930000000000014</v>
      </c>
      <c r="X16" s="96">
        <f>21.407-10.376+13.223-2.914+7.239-SUM(U16:W16)</f>
        <v>11.021999999999998</v>
      </c>
      <c r="Y16" s="188">
        <f t="shared" si="23"/>
        <v>28.579000000000001</v>
      </c>
      <c r="Z16" s="2"/>
      <c r="AA16" s="95">
        <f>6.514+0.27+1.204+2.425+27.177</f>
        <v>37.590000000000003</v>
      </c>
      <c r="AB16" s="7">
        <f>15.185+36.856+2.573+4.837-AA16</f>
        <v>21.861000000000004</v>
      </c>
      <c r="AC16" s="7">
        <f>23.673+37.611+2.897+8.07-SUM(AA16:AB16)</f>
        <v>12.799999999999997</v>
      </c>
      <c r="AD16" s="7">
        <f>32.173+37.611+23.638+3.457-4.5+8.872-SUM(AA16:AC16)</f>
        <v>28.999999999999986</v>
      </c>
      <c r="AE16" s="188">
        <f t="shared" si="24"/>
        <v>101.25099999999999</v>
      </c>
      <c r="AF16" s="2"/>
      <c r="AG16" s="95">
        <f>8.599-9.494-5.323+1.737+2.484</f>
        <v>-1.9969999999999999</v>
      </c>
      <c r="AH16" s="7">
        <f>17.298-AG16-11.205-27.752+2.817+21.438+5.592</f>
        <v>10.184999999999999</v>
      </c>
      <c r="AI16" s="7">
        <f>26.1+19.484-12.463-36.439+1.713+21.438+7.178-AG16-AH16</f>
        <v>18.823000000000004</v>
      </c>
      <c r="AJ16" s="7">
        <f>35.004+22.367+6.306+1.975+7.78-45.911-6+21.438-SUM(AG16:AI16)</f>
        <v>15.947999999999986</v>
      </c>
      <c r="AK16" s="188">
        <f t="shared" si="25"/>
        <v>42.958999999999989</v>
      </c>
      <c r="AL16" s="2"/>
      <c r="AM16" s="95">
        <f>9.009-5.278-36.704+0.464-6.113+4.107</f>
        <v>-34.515000000000001</v>
      </c>
      <c r="AN16" s="7">
        <f>18.032-14.844-28.833-5.262-6.113+2.142-AM16</f>
        <v>-0.36299999999999244</v>
      </c>
      <c r="AO16" s="7">
        <f>27.095-27.225-58.643-11.031+25.214-0.232-6.113+2.531-AN16-AM16</f>
        <v>-13.52600000000001</v>
      </c>
      <c r="AP16" s="7">
        <f>36.237+2.624-56.678-36.663-18.784-61.357+25.214+0.555+4.533-SUM(AM16:AO16)</f>
        <v>-55.914999999999971</v>
      </c>
      <c r="AQ16" s="188">
        <f t="shared" si="20"/>
        <v>-104.31899999999997</v>
      </c>
      <c r="AR16" s="2"/>
      <c r="AS16" s="95">
        <f>8.992-50.528+33.943-1.76-0.636</f>
        <v>-9.9890000000000025</v>
      </c>
      <c r="AT16" s="7">
        <f>17.997+31.36-77.333+31.512-3.291+3.487-0.305-AS16</f>
        <v>13.416000000000004</v>
      </c>
      <c r="AU16" s="7">
        <f>27.989+31.36-102.639+30.428-2.958+4.357-4.427+3.816-SUM(AS16:AT16)</f>
        <v>-15.500999999999992</v>
      </c>
      <c r="AV16" s="7">
        <f>38.069+5.651-126.479+99.846-5.356-4.427-2+31.36+9.346-SUM(AS16:AU16)</f>
        <v>58.083999999999996</v>
      </c>
      <c r="AW16" s="188">
        <f t="shared" si="21"/>
        <v>46.010000000000005</v>
      </c>
      <c r="AX16" s="2"/>
      <c r="AY16" s="95">
        <f>10.169-76.445+53.452-9.887+0.699-12.582+0.556</f>
        <v>-34.037999999999997</v>
      </c>
      <c r="AZ16" s="7">
        <f>20.376+0.233-106.162+80.581-7.558+2.179-12.582+1.192-AY16</f>
        <v>12.297000000000004</v>
      </c>
      <c r="BA16" s="2024">
        <f>29.828+3.737+83.679-6.449-3.047-15.482+5.488-SUM(AY16:AZ16)</f>
        <v>119.495</v>
      </c>
      <c r="BB16" s="7">
        <f>38.517+4.062+80.504-6.124-2.611-15.601+9.548-SUM(AY16:BA16)</f>
        <v>10.540999999999983</v>
      </c>
      <c r="BC16" s="188">
        <f t="shared" si="12"/>
        <v>108.295</v>
      </c>
      <c r="BD16" s="2"/>
      <c r="BE16" s="2436">
        <f>7.731-6.2+-1.055</f>
        <v>0.47599999999999976</v>
      </c>
      <c r="BF16" s="2743">
        <f>15.009+3.431-BE16</f>
        <v>17.964000000000002</v>
      </c>
      <c r="BG16" s="2743">
        <f>22.342+5.19-SUM(BE16:BF16)</f>
        <v>9.0919999999999987</v>
      </c>
      <c r="BH16" s="2743">
        <f>29.732+0.113-1.161-11.49+14.759-SUM(BE16:BG16)</f>
        <v>4.4209999999999958</v>
      </c>
      <c r="BI16" s="188">
        <f t="shared" si="22"/>
        <v>31.952999999999996</v>
      </c>
      <c r="BJ16" s="2"/>
      <c r="BK16" s="2436">
        <f>-453+7-2+23+86</f>
        <v>-339</v>
      </c>
      <c r="BL16" s="2743">
        <f>-453-BK16+23+15-5</f>
        <v>-81</v>
      </c>
      <c r="BM16" s="2743">
        <f>-453+23+23-2-SUM(BK16:BL16)</f>
        <v>11</v>
      </c>
      <c r="BN16" s="2743">
        <f>-453+30+81+23+1-SUM(BK16:BM16)</f>
        <v>91</v>
      </c>
      <c r="BO16" s="188">
        <f t="shared" si="13"/>
        <v>-318</v>
      </c>
      <c r="BP16" s="2"/>
      <c r="BQ16" s="95">
        <v>0</v>
      </c>
      <c r="BR16" s="7">
        <v>0</v>
      </c>
      <c r="BS16" s="7">
        <v>0</v>
      </c>
      <c r="BT16" s="96">
        <v>0</v>
      </c>
      <c r="BU16" s="188">
        <f t="shared" si="14"/>
        <v>0</v>
      </c>
      <c r="BV16" s="2"/>
      <c r="BW16" s="95">
        <v>0</v>
      </c>
      <c r="BX16" s="7">
        <v>0</v>
      </c>
      <c r="BY16" s="7">
        <v>0</v>
      </c>
      <c r="BZ16" s="96">
        <v>0</v>
      </c>
      <c r="CA16" s="188">
        <f t="shared" si="15"/>
        <v>0</v>
      </c>
      <c r="CB16" s="2"/>
      <c r="CC16" s="95">
        <v>0</v>
      </c>
      <c r="CD16" s="7">
        <v>0</v>
      </c>
      <c r="CE16" s="7">
        <v>0</v>
      </c>
      <c r="CF16" s="96">
        <v>0</v>
      </c>
      <c r="CG16" s="188">
        <f t="shared" si="16"/>
        <v>0</v>
      </c>
      <c r="CH16" s="2"/>
      <c r="CI16" s="95">
        <v>0</v>
      </c>
      <c r="CJ16" s="7">
        <v>0</v>
      </c>
      <c r="CK16" s="7">
        <v>0</v>
      </c>
      <c r="CL16" s="96">
        <v>0</v>
      </c>
      <c r="CM16" s="188">
        <f t="shared" si="17"/>
        <v>0</v>
      </c>
      <c r="CN16" s="2"/>
      <c r="CO16" s="95">
        <v>0</v>
      </c>
      <c r="CP16" s="7">
        <v>0</v>
      </c>
      <c r="CQ16" s="7">
        <v>0</v>
      </c>
      <c r="CR16" s="96">
        <v>0</v>
      </c>
      <c r="CS16" s="188">
        <f t="shared" si="18"/>
        <v>0</v>
      </c>
      <c r="CT16" s="9"/>
      <c r="CU16" s="2"/>
      <c r="CV16" s="2"/>
    </row>
    <row r="17" spans="1:100" outlineLevel="1">
      <c r="A17" s="1882" t="s">
        <v>246</v>
      </c>
      <c r="B17" s="318"/>
      <c r="C17" s="318">
        <f>SUM(C18:C25)</f>
        <v>-2.3179999999999978</v>
      </c>
      <c r="D17" s="319">
        <f>SUM(D18:D25)</f>
        <v>3.488</v>
      </c>
      <c r="E17" s="319">
        <f>SUM(E18:E25)</f>
        <v>-21.580000000000002</v>
      </c>
      <c r="F17" s="320">
        <f>SUM(F18:F25)</f>
        <v>22.163999999999994</v>
      </c>
      <c r="G17" s="321">
        <f t="shared" ref="G17:AE17" si="39">SUM(G18:G25)</f>
        <v>1.7540000000000049</v>
      </c>
      <c r="H17" s="97"/>
      <c r="I17" s="97">
        <f t="shared" si="39"/>
        <v>-59.265000000000008</v>
      </c>
      <c r="J17" s="98">
        <f t="shared" si="39"/>
        <v>-3.2159999999999949</v>
      </c>
      <c r="K17" s="98">
        <f t="shared" si="39"/>
        <v>-12.738999999999997</v>
      </c>
      <c r="L17" s="99">
        <f t="shared" si="39"/>
        <v>25.520000000000003</v>
      </c>
      <c r="M17" s="321">
        <f t="shared" si="39"/>
        <v>-49.699999999999996</v>
      </c>
      <c r="N17" s="65"/>
      <c r="O17" s="97">
        <f>SUM(O18:O25)</f>
        <v>5.506000000000002</v>
      </c>
      <c r="P17" s="98">
        <f>SUM(P18:P25)</f>
        <v>12.430999999999996</v>
      </c>
      <c r="Q17" s="98">
        <f>SUM(Q18:Q25)</f>
        <v>-12.561999999999998</v>
      </c>
      <c r="R17" s="99">
        <f>SUM(R18:R25)</f>
        <v>8.5270000000000046</v>
      </c>
      <c r="S17" s="321">
        <f t="shared" si="39"/>
        <v>13.901999999999997</v>
      </c>
      <c r="T17" s="65"/>
      <c r="U17" s="97">
        <f t="shared" si="39"/>
        <v>9.7170000000000005</v>
      </c>
      <c r="V17" s="98">
        <f t="shared" si="39"/>
        <v>19.815999999999995</v>
      </c>
      <c r="W17" s="98">
        <f t="shared" si="39"/>
        <v>-11.148000000000001</v>
      </c>
      <c r="X17" s="99">
        <f t="shared" si="39"/>
        <v>28.183999999999997</v>
      </c>
      <c r="Y17" s="321">
        <f t="shared" si="39"/>
        <v>46.568999999999996</v>
      </c>
      <c r="Z17" s="65"/>
      <c r="AA17" s="97">
        <f t="shared" si="39"/>
        <v>-1.0020000000000013</v>
      </c>
      <c r="AB17" s="98">
        <f t="shared" si="39"/>
        <v>1.9049999999999998</v>
      </c>
      <c r="AC17" s="98">
        <f>SUM(AC18:AC25)</f>
        <v>22.084999999999994</v>
      </c>
      <c r="AD17" s="98">
        <f>SUM(AD18:AD25)</f>
        <v>33.271000000000001</v>
      </c>
      <c r="AE17" s="321">
        <f t="shared" si="39"/>
        <v>56.259</v>
      </c>
      <c r="AF17" s="65"/>
      <c r="AG17" s="97">
        <f>SUM(AG18:AG25)</f>
        <v>0.13100000000000112</v>
      </c>
      <c r="AH17" s="98">
        <f>SUM(AH18:AH25)</f>
        <v>23.939000000000004</v>
      </c>
      <c r="AI17" s="65">
        <f>SUM(AI18:AI25)</f>
        <v>-37.326000000000008</v>
      </c>
      <c r="AJ17" s="98">
        <f>SUM(AJ18:AJ25)</f>
        <v>-26.414999999999999</v>
      </c>
      <c r="AK17" s="321">
        <f>SUM(AK18:AK25)</f>
        <v>-39.670999999999985</v>
      </c>
      <c r="AL17" s="65"/>
      <c r="AM17" s="97">
        <f>SUM(AM18:AM25)</f>
        <v>98.798999999999992</v>
      </c>
      <c r="AN17" s="65">
        <f>SUM(AN18:AN25)</f>
        <v>3.9330000000000034</v>
      </c>
      <c r="AO17" s="65">
        <f>SUM(AO18:AO25)</f>
        <v>9.6600000000000108</v>
      </c>
      <c r="AP17" s="98">
        <f>SUM(AP18:AP25)</f>
        <v>41.010999999999989</v>
      </c>
      <c r="AQ17" s="321">
        <f>SUM(AQ18:AQ25)</f>
        <v>153.40299999999999</v>
      </c>
      <c r="AR17" s="65"/>
      <c r="AS17" s="100">
        <f>SUM(AS18:AS25)</f>
        <v>-77.148999999999987</v>
      </c>
      <c r="AT17" s="1495">
        <f>SUM(AT18:AT25)</f>
        <v>54.41899999999999</v>
      </c>
      <c r="AU17" s="1495">
        <f>SUM(AU18:AU25)</f>
        <v>-3.8090000000000011</v>
      </c>
      <c r="AV17" s="1495">
        <f>SUM(AV18:AV25)</f>
        <v>-139.29700000000003</v>
      </c>
      <c r="AW17" s="329">
        <f>SUM(AW18:AW25)</f>
        <v>-165.83600000000001</v>
      </c>
      <c r="AX17" s="65"/>
      <c r="AY17" s="100">
        <f>SUM(AY18:AY25)</f>
        <v>-97.86099999999999</v>
      </c>
      <c r="AZ17" s="1495">
        <f>SUM(AZ18:AZ25)</f>
        <v>-6.75600000000001</v>
      </c>
      <c r="BA17" s="98">
        <f>SUM(BA18:BA25)</f>
        <v>2.4959999999999889</v>
      </c>
      <c r="BB17" s="1495">
        <f>SUM(BB18:BB25)</f>
        <v>63.678999999999995</v>
      </c>
      <c r="BC17" s="329">
        <f>SUM(BC18:BC25)</f>
        <v>-38.442000000000014</v>
      </c>
      <c r="BD17" s="65"/>
      <c r="BE17" s="100">
        <f>SUM(BE18:BE25)</f>
        <v>-57.475000000000001</v>
      </c>
      <c r="BF17" s="98">
        <f>SUM(BF18:BF25)</f>
        <v>13.764000000000006</v>
      </c>
      <c r="BG17" s="98">
        <f>SUM(BG18:BG25)</f>
        <v>-50.218000000000004</v>
      </c>
      <c r="BH17" s="1495">
        <f>SUM(BH18:BH25)</f>
        <v>48.914000000000001</v>
      </c>
      <c r="BI17" s="329">
        <f>SUM(BI18:BI25)</f>
        <v>-45.015000000000001</v>
      </c>
      <c r="BJ17" s="65"/>
      <c r="BK17" s="100">
        <f>SUM(BK18:BK25)</f>
        <v>71</v>
      </c>
      <c r="BL17" s="98">
        <f>SUM(BL18:BL25)</f>
        <v>62</v>
      </c>
      <c r="BM17" s="98">
        <f>SUM(BM18:BM25)</f>
        <v>-4</v>
      </c>
      <c r="BN17" s="1495">
        <f>SUM(BN18:BN25)</f>
        <v>66</v>
      </c>
      <c r="BO17" s="321">
        <f>SUM(BO18:BO25)</f>
        <v>195</v>
      </c>
      <c r="BP17" s="65"/>
      <c r="BQ17" s="97">
        <f>SUM(BQ18:BQ25)</f>
        <v>-163.68178610398166</v>
      </c>
      <c r="BR17" s="98">
        <f>SUM(BR18:BR25)</f>
        <v>90.101509949207738</v>
      </c>
      <c r="BS17" s="98">
        <f>SUM(BS18:BS25)</f>
        <v>-4.7712478247778733</v>
      </c>
      <c r="BT17" s="99">
        <f>SUM(BT18:BT25)</f>
        <v>-13.310223389768197</v>
      </c>
      <c r="BU17" s="321">
        <f>SUM(BU18:BU25)</f>
        <v>-91.661747369319997</v>
      </c>
      <c r="BV17" s="65"/>
      <c r="BW17" s="97">
        <f>SUM(BW18:BW25)</f>
        <v>-148.91215126199319</v>
      </c>
      <c r="BX17" s="98">
        <f>SUM(BX18:BX25)</f>
        <v>100.60866788763681</v>
      </c>
      <c r="BY17" s="98">
        <f>SUM(BY18:BY25)</f>
        <v>-3.2704189537336248</v>
      </c>
      <c r="BZ17" s="99">
        <f>SUM(BZ18:BZ25)</f>
        <v>-15.184165102847302</v>
      </c>
      <c r="CA17" s="321">
        <f>SUM(CA18:CA25)</f>
        <v>-66.758067430937317</v>
      </c>
      <c r="CB17" s="65"/>
      <c r="CC17" s="97">
        <f>SUM(CC18:CC25)</f>
        <v>-142.77571923169484</v>
      </c>
      <c r="CD17" s="98">
        <f>SUM(CD18:CD25)</f>
        <v>108.71763856350643</v>
      </c>
      <c r="CE17" s="98">
        <f>SUM(CE18:CE25)</f>
        <v>-1.0555314475413411</v>
      </c>
      <c r="CF17" s="99">
        <f>SUM(CF18:CF25)</f>
        <v>-15.100129890354339</v>
      </c>
      <c r="CG17" s="321">
        <f>SUM(CG18:CG25)</f>
        <v>-50.21374200608409</v>
      </c>
      <c r="CH17" s="65"/>
      <c r="CI17" s="97">
        <f t="shared" ref="CI17:CM17" si="40">SUM(CI18:CI25)</f>
        <v>-154.20601452320193</v>
      </c>
      <c r="CJ17" s="98">
        <f t="shared" si="40"/>
        <v>116.23175619443637</v>
      </c>
      <c r="CK17" s="98">
        <f t="shared" si="40"/>
        <v>-1.0420075939077833</v>
      </c>
      <c r="CL17" s="99">
        <f t="shared" si="40"/>
        <v>-18.072299372825313</v>
      </c>
      <c r="CM17" s="321">
        <f t="shared" si="40"/>
        <v>-57.088565295498654</v>
      </c>
      <c r="CN17" s="65"/>
      <c r="CO17" s="97">
        <f t="shared" ref="CO17:CS17" si="41">SUM(CO18:CO25)</f>
        <v>-161.64113041438907</v>
      </c>
      <c r="CP17" s="98">
        <f t="shared" si="41"/>
        <v>121.88572219748033</v>
      </c>
      <c r="CQ17" s="98">
        <f t="shared" si="41"/>
        <v>-3.0218959091545514</v>
      </c>
      <c r="CR17" s="99">
        <f t="shared" si="41"/>
        <v>-20.875309276849151</v>
      </c>
      <c r="CS17" s="321">
        <f t="shared" si="41"/>
        <v>-63.652613402912436</v>
      </c>
      <c r="CT17" s="98"/>
      <c r="CU17" s="2"/>
      <c r="CV17" s="2"/>
    </row>
    <row r="18" spans="1:100" outlineLevel="1">
      <c r="A18" s="1888" t="s">
        <v>247</v>
      </c>
      <c r="B18" s="13"/>
      <c r="C18" s="14">
        <v>-8.2089999999999996</v>
      </c>
      <c r="D18" s="12">
        <f>-12.536-C18</f>
        <v>-4.327</v>
      </c>
      <c r="E18" s="12">
        <f>-33.92-D18-C18</f>
        <v>-21.384000000000004</v>
      </c>
      <c r="F18" s="322">
        <f>-37.06-SUM(C18:E18)</f>
        <v>-3.1400000000000006</v>
      </c>
      <c r="G18" s="188">
        <f t="shared" ref="G18:G25" si="42">SUM(C18:F18)</f>
        <v>-37.06</v>
      </c>
      <c r="H18" s="89"/>
      <c r="I18" s="14">
        <v>-6.2619999999999996</v>
      </c>
      <c r="J18" s="12">
        <f>-17.281-I18</f>
        <v>-11.018999999999998</v>
      </c>
      <c r="K18" s="12">
        <f>-43.142-J18-I18</f>
        <v>-25.861000000000004</v>
      </c>
      <c r="L18" s="322">
        <f>-57.672-SUM(I18:K18)</f>
        <v>-14.529999999999994</v>
      </c>
      <c r="M18" s="188">
        <f t="shared" ref="M18:M25" si="43">SUM(I18:L18)</f>
        <v>-57.671999999999997</v>
      </c>
      <c r="N18" s="2"/>
      <c r="O18" s="14">
        <v>-4.6929999999999996</v>
      </c>
      <c r="P18" s="12">
        <f>-18.059-O18</f>
        <v>-13.366000000000001</v>
      </c>
      <c r="Q18" s="12">
        <f>-25.03-P18-O18</f>
        <v>-6.9710000000000001</v>
      </c>
      <c r="R18" s="322">
        <f>-18.578-SUM(O18:Q18)</f>
        <v>6.4520000000000017</v>
      </c>
      <c r="S18" s="188">
        <f t="shared" ref="S18:S25" si="44">SUM(O18:R18)</f>
        <v>-18.577999999999999</v>
      </c>
      <c r="T18" s="2"/>
      <c r="U18" s="14">
        <v>-0.78800000000000003</v>
      </c>
      <c r="V18" s="12">
        <f>6.162-U18</f>
        <v>6.95</v>
      </c>
      <c r="W18" s="12">
        <f>-12.752-V18-U18</f>
        <v>-18.914000000000001</v>
      </c>
      <c r="X18" s="322">
        <f>-7.844-SUM(U18:W18)</f>
        <v>4.9080000000000021</v>
      </c>
      <c r="Y18" s="188">
        <f t="shared" si="23"/>
        <v>-7.8440000000000003</v>
      </c>
      <c r="Z18" s="2"/>
      <c r="AA18" s="14">
        <v>-11.112</v>
      </c>
      <c r="AB18" s="12">
        <f>-20.751-AA18</f>
        <v>-9.6390000000000011</v>
      </c>
      <c r="AC18" s="12">
        <f>-2.544-SUM(AA18:AB18)</f>
        <v>18.207000000000001</v>
      </c>
      <c r="AD18" s="12">
        <f>-7.011-SUM(AA18:AC18)</f>
        <v>-4.4669999999999996</v>
      </c>
      <c r="AE18" s="188">
        <f t="shared" si="24"/>
        <v>-7.0110000000000001</v>
      </c>
      <c r="AF18" s="2"/>
      <c r="AG18" s="14">
        <f>-29.158</f>
        <v>-29.158000000000001</v>
      </c>
      <c r="AH18" s="12">
        <f>-13.213-AG18</f>
        <v>15.945000000000002</v>
      </c>
      <c r="AI18" s="12">
        <f>-37.045-AG18-AH18</f>
        <v>-23.832000000000001</v>
      </c>
      <c r="AJ18" s="12">
        <f>-34.441-SUM(AG18:AI18)</f>
        <v>2.6039999999999992</v>
      </c>
      <c r="AK18" s="188">
        <f t="shared" si="25"/>
        <v>-34.441000000000003</v>
      </c>
      <c r="AL18" s="2"/>
      <c r="AM18" s="14">
        <v>6.1289999999999996</v>
      </c>
      <c r="AN18" s="12">
        <f>11.954-AM18</f>
        <v>5.8250000000000011</v>
      </c>
      <c r="AO18" s="12">
        <f>-12.504-AM18-AN18</f>
        <v>-24.457999999999998</v>
      </c>
      <c r="AP18" s="12">
        <f>-15.928-SUM(AM18:AO18)</f>
        <v>-3.424000000000003</v>
      </c>
      <c r="AQ18" s="188">
        <f t="shared" ref="AQ18:AQ24" si="45">SUM(AM18:AP18)</f>
        <v>-15.928000000000001</v>
      </c>
      <c r="AR18" s="2"/>
      <c r="AS18" s="14">
        <v>-52.155999999999999</v>
      </c>
      <c r="AT18" s="12">
        <f>-17.189-AS18</f>
        <v>34.966999999999999</v>
      </c>
      <c r="AU18" s="7">
        <f>-37.733-SUM(AS18:AT18)</f>
        <v>-20.543999999999997</v>
      </c>
      <c r="AV18" s="7">
        <f>-50.381-SUM(AS18:AU18)</f>
        <v>-12.648000000000003</v>
      </c>
      <c r="AW18" s="188">
        <f t="shared" ref="AW18:AW25" si="46">SUM(AS18:AV18)</f>
        <v>-50.381</v>
      </c>
      <c r="AX18" s="2"/>
      <c r="AY18" s="14">
        <v>-59.473999999999997</v>
      </c>
      <c r="AZ18" s="7">
        <f>-75.189-AY18</f>
        <v>-15.714999999999996</v>
      </c>
      <c r="BA18" s="2024">
        <f>-121.309-SUM(AY18:AZ18)</f>
        <v>-46.120000000000005</v>
      </c>
      <c r="BB18" s="7">
        <f>-95.913-SUM(AY18:BA18)</f>
        <v>25.396000000000001</v>
      </c>
      <c r="BC18" s="188">
        <f t="shared" ref="BC18:BC25" si="47">SUM(AY18:BB18)</f>
        <v>-95.912999999999997</v>
      </c>
      <c r="BD18" s="2"/>
      <c r="BE18" s="2766">
        <v>-12.63</v>
      </c>
      <c r="BF18" s="2743">
        <f>13.49-BE18</f>
        <v>26.12</v>
      </c>
      <c r="BG18" s="2743">
        <f>4.999-SUM(BE18:BF18)</f>
        <v>-8.4909999999999997</v>
      </c>
      <c r="BH18" s="2743">
        <f>3.239-SUM(BE18:BG18)</f>
        <v>-1.7600000000000007</v>
      </c>
      <c r="BI18" s="188">
        <f t="shared" ref="BI18:BI25" si="48">SUM(BE18:BH18)</f>
        <v>3.2389999999999999</v>
      </c>
      <c r="BJ18" s="2"/>
      <c r="BK18" s="2766">
        <v>16</v>
      </c>
      <c r="BL18" s="2743">
        <f>14-BK18</f>
        <v>-2</v>
      </c>
      <c r="BM18" s="2743">
        <f>1-SUM(BK18:BL18)</f>
        <v>-13</v>
      </c>
      <c r="BN18" s="2743">
        <f>-26-SUM(BK18:BM18)</f>
        <v>-27</v>
      </c>
      <c r="BO18" s="188">
        <f t="shared" ref="BO18:BO25" si="49">SUM(BK18:BN18)</f>
        <v>-26</v>
      </c>
      <c r="BP18" s="2"/>
      <c r="BQ18" s="100">
        <f>BS!BO13-BS!BQ13</f>
        <v>-65.945837723919965</v>
      </c>
      <c r="BR18" s="11">
        <f>BS!BQ13-BS!BR13</f>
        <v>37.374848562228351</v>
      </c>
      <c r="BS18" s="11">
        <f>BS!BR13-BS!BS13</f>
        <v>11.808966137527079</v>
      </c>
      <c r="BT18" s="101">
        <f>BS!BS13-BS!BT13</f>
        <v>-11.726010825569006</v>
      </c>
      <c r="BU18" s="188">
        <f t="shared" ref="BU18:BU25" si="50">SUM(BQ18:BT18)</f>
        <v>-28.48803384973354</v>
      </c>
      <c r="BV18" s="2"/>
      <c r="BW18" s="100">
        <f>BS!BU13-BS!BW13</f>
        <v>-87.971992858977103</v>
      </c>
      <c r="BX18" s="11">
        <f>BS!BW13-BS!BX13</f>
        <v>48.284122540918759</v>
      </c>
      <c r="BY18" s="11">
        <f>BS!BX13-BS!BY13</f>
        <v>15.687881247629264</v>
      </c>
      <c r="BZ18" s="101">
        <f>BS!BY13-BS!BZ13</f>
        <v>-11.508620634352496</v>
      </c>
      <c r="CA18" s="188">
        <f t="shared" ref="CA18:CA25" si="51">SUM(BW18:BZ18)</f>
        <v>-35.508609704781577</v>
      </c>
      <c r="CB18" s="2"/>
      <c r="CC18" s="100">
        <f>BS!CA13-BS!CC13</f>
        <v>-100.76099857561962</v>
      </c>
      <c r="CD18" s="11">
        <f>BS!CC13-BS!CD13</f>
        <v>52.706293101070514</v>
      </c>
      <c r="CE18" s="11">
        <f>BS!CD13-BS!CE13</f>
        <v>17.505924228025378</v>
      </c>
      <c r="CF18" s="101">
        <f>BS!CE13-BS!CF13</f>
        <v>-13.184126472505454</v>
      </c>
      <c r="CG18" s="188">
        <f t="shared" ref="CG18:CG25" si="52">SUM(CC18:CF18)</f>
        <v>-43.732907719029186</v>
      </c>
      <c r="CH18" s="2"/>
      <c r="CI18" s="100">
        <f>BS!CG13-BS!CI13</f>
        <v>-111.27981808303207</v>
      </c>
      <c r="CJ18" s="11">
        <f>BS!CI13-BS!CJ13</f>
        <v>58.296406612831106</v>
      </c>
      <c r="CK18" s="11">
        <f>BS!CJ13-BS!CK13</f>
        <v>19.715809140243437</v>
      </c>
      <c r="CL18" s="101">
        <f>BS!CK13-BS!CL13</f>
        <v>-15.694431865139336</v>
      </c>
      <c r="CM18" s="188">
        <f t="shared" ref="CM18:CM25" si="53">SUM(CI18:CL18)</f>
        <v>-48.962034195096862</v>
      </c>
      <c r="CN18" s="2"/>
      <c r="CO18" s="100">
        <f>BS!CM13-BS!CO13</f>
        <v>-118.67880452136774</v>
      </c>
      <c r="CP18" s="11">
        <f>BS!CO13-BS!CP13</f>
        <v>61.362336620457882</v>
      </c>
      <c r="CQ18" s="11">
        <f>BS!CP13-BS!CQ13</f>
        <v>19.663627475244084</v>
      </c>
      <c r="CR18" s="101">
        <f>BS!CQ13-BS!CR13</f>
        <v>-17.83473355291369</v>
      </c>
      <c r="CS18" s="188">
        <f t="shared" ref="CS18:CS25" si="54">SUM(CO18:CR18)</f>
        <v>-55.487573978579462</v>
      </c>
      <c r="CT18" s="9"/>
      <c r="CU18" s="2"/>
      <c r="CV18" s="2"/>
    </row>
    <row r="19" spans="1:100" outlineLevel="1">
      <c r="A19" s="1888" t="s">
        <v>248</v>
      </c>
      <c r="B19" s="13"/>
      <c r="C19" s="14">
        <v>-8.2029999999999994</v>
      </c>
      <c r="D19" s="12">
        <f>-14.869-C19</f>
        <v>-6.6660000000000004</v>
      </c>
      <c r="E19" s="12">
        <f>-17.151-D19-C19</f>
        <v>-2.282</v>
      </c>
      <c r="F19" s="322">
        <f>-27.13-SUM(C19:E19)</f>
        <v>-9.9789999999999992</v>
      </c>
      <c r="G19" s="188">
        <f t="shared" si="42"/>
        <v>-27.13</v>
      </c>
      <c r="H19" s="89"/>
      <c r="I19" s="14">
        <v>-0.73199999999999998</v>
      </c>
      <c r="J19" s="12">
        <f>-13.371-I19</f>
        <v>-12.639000000000001</v>
      </c>
      <c r="K19" s="12">
        <f>-18.297-J19-I19</f>
        <v>-4.9259999999999993</v>
      </c>
      <c r="L19" s="322">
        <f>-19.56-SUM(I19:K19)</f>
        <v>-1.2629999999999981</v>
      </c>
      <c r="M19" s="188">
        <f t="shared" si="43"/>
        <v>-19.559999999999999</v>
      </c>
      <c r="N19" s="2"/>
      <c r="O19" s="14">
        <v>3.851</v>
      </c>
      <c r="P19" s="12">
        <f>3.007-O19</f>
        <v>-0.84399999999999986</v>
      </c>
      <c r="Q19" s="12">
        <f>-6.455-P19-O19</f>
        <v>-9.4619999999999997</v>
      </c>
      <c r="R19" s="322">
        <f>-20.557-SUM(O19:Q19)</f>
        <v>-14.101999999999999</v>
      </c>
      <c r="S19" s="188">
        <f t="shared" si="44"/>
        <v>-20.556999999999999</v>
      </c>
      <c r="T19" s="2"/>
      <c r="U19" s="14">
        <v>-8.1809999999999992</v>
      </c>
      <c r="V19" s="12">
        <f>-27.766-U19</f>
        <v>-19.585000000000001</v>
      </c>
      <c r="W19" s="12">
        <f>-36.463-V19-U19</f>
        <v>-8.697000000000001</v>
      </c>
      <c r="X19" s="322">
        <f>-48.583-SUM(U19:W19)</f>
        <v>-12.119999999999997</v>
      </c>
      <c r="Y19" s="188">
        <f t="shared" si="23"/>
        <v>-48.582999999999998</v>
      </c>
      <c r="Z19" s="2"/>
      <c r="AA19" s="14">
        <v>-3.95</v>
      </c>
      <c r="AB19" s="12">
        <f>4.524-AA19</f>
        <v>8.4740000000000002</v>
      </c>
      <c r="AC19" s="12">
        <f>9.315-SUM(AA19:AB19)</f>
        <v>4.7909999999999995</v>
      </c>
      <c r="AD19" s="12">
        <f>22.152-SUM(AA19:AC19)</f>
        <v>12.837000000000002</v>
      </c>
      <c r="AE19" s="188">
        <f t="shared" si="24"/>
        <v>22.152000000000001</v>
      </c>
      <c r="AF19" s="2"/>
      <c r="AG19" s="14">
        <v>0.159</v>
      </c>
      <c r="AH19" s="12">
        <f>-4.81-AG19</f>
        <v>-4.9689999999999994</v>
      </c>
      <c r="AI19" s="12">
        <f>-13.46-AG19-AH19</f>
        <v>-8.6500000000000021</v>
      </c>
      <c r="AJ19" s="12">
        <f>-23.707-SUM(AG19:AI19)</f>
        <v>-10.247</v>
      </c>
      <c r="AK19" s="188">
        <f t="shared" si="25"/>
        <v>-23.707000000000001</v>
      </c>
      <c r="AL19" s="2"/>
      <c r="AM19" s="14">
        <v>-8.266</v>
      </c>
      <c r="AN19" s="12">
        <f>-8.359-AM19</f>
        <v>-9.2999999999999972E-2</v>
      </c>
      <c r="AO19" s="12">
        <f>-0.398-AM19-AN19</f>
        <v>7.9610000000000003</v>
      </c>
      <c r="AP19" s="12">
        <f>6.217-SUM(AM19:AO19)</f>
        <v>6.6149999999999993</v>
      </c>
      <c r="AQ19" s="188">
        <f t="shared" si="45"/>
        <v>6.2169999999999996</v>
      </c>
      <c r="AR19" s="2"/>
      <c r="AS19" s="14">
        <v>-9.9909999999999997</v>
      </c>
      <c r="AT19" s="12">
        <f>-23.187-AS19</f>
        <v>-13.196000000000002</v>
      </c>
      <c r="AU19" s="7">
        <f>-44.693-SUM(AS19:AT19)</f>
        <v>-21.505999999999997</v>
      </c>
      <c r="AV19" s="7">
        <f>-36.542-SUM(AS19:AU19)</f>
        <v>8.1509999999999962</v>
      </c>
      <c r="AW19" s="188">
        <f t="shared" si="46"/>
        <v>-36.542000000000002</v>
      </c>
      <c r="AX19" s="2"/>
      <c r="AY19" s="14">
        <v>-14.044</v>
      </c>
      <c r="AZ19" s="7">
        <f>-32.526-AY19</f>
        <v>-18.482000000000003</v>
      </c>
      <c r="BA19" s="2024">
        <f>-43.598-SUM(AY19:AZ19)</f>
        <v>-11.071999999999996</v>
      </c>
      <c r="BB19" s="7">
        <f>-80.545-SUM(AY19:BA19)</f>
        <v>-36.947000000000003</v>
      </c>
      <c r="BC19" s="188">
        <f t="shared" si="47"/>
        <v>-80.545000000000002</v>
      </c>
      <c r="BD19" s="2"/>
      <c r="BE19" s="2766">
        <v>-17.149000000000001</v>
      </c>
      <c r="BF19" s="2743">
        <f>-40.586-BE19</f>
        <v>-23.436999999999998</v>
      </c>
      <c r="BG19" s="2743">
        <f>-41.757-SUM(BE19:BF19)</f>
        <v>-1.1709999999999994</v>
      </c>
      <c r="BH19" s="2743">
        <f>-29.686-SUM(BE19:BG19)</f>
        <v>12.070999999999998</v>
      </c>
      <c r="BI19" s="188">
        <f t="shared" si="48"/>
        <v>-29.686</v>
      </c>
      <c r="BJ19" s="2"/>
      <c r="BK19" s="2766">
        <v>1</v>
      </c>
      <c r="BL19" s="2743">
        <f>-9-BK19</f>
        <v>-10</v>
      </c>
      <c r="BM19" s="2743">
        <f>-27-SUM(BK19:BL19)</f>
        <v>-18</v>
      </c>
      <c r="BN19" s="2743">
        <f>-33-SUM(BK19:BM19)</f>
        <v>-6</v>
      </c>
      <c r="BO19" s="188">
        <f t="shared" si="49"/>
        <v>-33</v>
      </c>
      <c r="BP19" s="2"/>
      <c r="BQ19" s="100">
        <f>BS!BO14-BS!BQ14</f>
        <v>-16.771525931983945</v>
      </c>
      <c r="BR19" s="11">
        <f>BS!BQ14-BS!BR14</f>
        <v>2.4145733963873681</v>
      </c>
      <c r="BS19" s="11">
        <f>BS!BR14-BS!BS14</f>
        <v>-20.269630411961714</v>
      </c>
      <c r="BT19" s="101">
        <f>BS!BS14-BS!BT14</f>
        <v>-16.459810484279842</v>
      </c>
      <c r="BU19" s="188">
        <f t="shared" si="50"/>
        <v>-51.086393431838133</v>
      </c>
      <c r="BV19" s="2"/>
      <c r="BW19" s="100">
        <f>BS!BU14-BS!BW14</f>
        <v>-11.545841112945823</v>
      </c>
      <c r="BX19" s="11">
        <f>BS!BW14-BS!BX14</f>
        <v>8.0780610224251177</v>
      </c>
      <c r="BY19" s="11">
        <f>BS!BX14-BS!BY14</f>
        <v>-19.618480570256281</v>
      </c>
      <c r="BZ19" s="101">
        <f>BS!BY14-BS!BZ14</f>
        <v>-18.035135939897714</v>
      </c>
      <c r="CA19" s="188">
        <f t="shared" si="51"/>
        <v>-41.1213966006747</v>
      </c>
      <c r="CB19" s="2"/>
      <c r="CC19" s="100">
        <f>BS!CA14-BS!CC14</f>
        <v>-12.892405377097418</v>
      </c>
      <c r="CD19" s="11">
        <f>BS!CC14-BS!CD14</f>
        <v>6.9698906603626938</v>
      </c>
      <c r="CE19" s="11">
        <f>BS!CD14-BS!CE14</f>
        <v>-21.599957918080406</v>
      </c>
      <c r="CF19" s="101">
        <f>BS!CE14-BS!CF14</f>
        <v>-21.017893117252356</v>
      </c>
      <c r="CG19" s="188">
        <f t="shared" si="52"/>
        <v>-48.540365752067487</v>
      </c>
      <c r="CH19" s="2"/>
      <c r="CI19" s="100">
        <f>BS!CG14-BS!CI14</f>
        <v>-13.247114014439774</v>
      </c>
      <c r="CJ19" s="11">
        <f>BS!CI14-BS!CJ14</f>
        <v>6.5743564013370701</v>
      </c>
      <c r="CK19" s="11">
        <f>BS!CJ14-BS!CK14</f>
        <v>-23.864240630287895</v>
      </c>
      <c r="CL19" s="101">
        <f>BS!CK14-BS!CL14</f>
        <v>-24.783779535879887</v>
      </c>
      <c r="CM19" s="188">
        <f t="shared" si="53"/>
        <v>-55.320777779270486</v>
      </c>
      <c r="CN19" s="2"/>
      <c r="CO19" s="100">
        <f>BS!CM14-BS!CO14</f>
        <v>-7.9200145607479726</v>
      </c>
      <c r="CP19" s="11">
        <f>BS!CO14-BS!CP14</f>
        <v>4.8602372872827573</v>
      </c>
      <c r="CQ19" s="11">
        <f>BS!CP14-BS!CQ14</f>
        <v>-28.233101640330574</v>
      </c>
      <c r="CR19" s="101">
        <f>BS!CQ14-BS!CR14</f>
        <v>-28.462405657558634</v>
      </c>
      <c r="CS19" s="188">
        <f t="shared" si="54"/>
        <v>-59.755284571354423</v>
      </c>
      <c r="CT19" s="9"/>
      <c r="CU19" s="2"/>
      <c r="CV19" s="2"/>
    </row>
    <row r="20" spans="1:100" outlineLevel="1">
      <c r="A20" s="1888" t="s">
        <v>249</v>
      </c>
      <c r="B20" s="13" t="s">
        <v>16</v>
      </c>
      <c r="C20" s="14">
        <v>-0.40899999999999997</v>
      </c>
      <c r="D20" s="12">
        <f>-0.76-C20</f>
        <v>-0.35100000000000003</v>
      </c>
      <c r="E20" s="12">
        <f>-0.89-D20-C20</f>
        <v>-0.12999999999999995</v>
      </c>
      <c r="F20" s="322">
        <f>-6.127-SUM(C20:E20)</f>
        <v>-5.2370000000000001</v>
      </c>
      <c r="G20" s="188">
        <f t="shared" si="42"/>
        <v>-6.1269999999999998</v>
      </c>
      <c r="H20" s="89"/>
      <c r="I20" s="14">
        <v>2.2559999999999998</v>
      </c>
      <c r="J20" s="12">
        <f>4.127-I20</f>
        <v>1.871</v>
      </c>
      <c r="K20" s="12">
        <f>3.378-J20-I20</f>
        <v>-0.74899999999999967</v>
      </c>
      <c r="L20" s="322">
        <f>2.322-SUM(I20:K20)</f>
        <v>-1.056</v>
      </c>
      <c r="M20" s="188">
        <f t="shared" si="43"/>
        <v>2.3220000000000001</v>
      </c>
      <c r="N20" s="2"/>
      <c r="O20" s="14">
        <v>-3.4580000000000002</v>
      </c>
      <c r="P20" s="12">
        <f>-0.484-O20</f>
        <v>2.9740000000000002</v>
      </c>
      <c r="Q20" s="12">
        <f>-3.455-P20-O20</f>
        <v>-2.9710000000000001</v>
      </c>
      <c r="R20" s="322">
        <f>-3.429-SUM(O20:Q20)</f>
        <v>2.6000000000000245E-2</v>
      </c>
      <c r="S20" s="188">
        <f t="shared" si="44"/>
        <v>-3.4289999999999998</v>
      </c>
      <c r="T20" s="2"/>
      <c r="U20" s="14">
        <v>1.5469999999999999</v>
      </c>
      <c r="V20" s="12">
        <f>2.092-U20</f>
        <v>0.54500000000000015</v>
      </c>
      <c r="W20" s="12">
        <f>2.571-V20-U20</f>
        <v>0.47899999999999987</v>
      </c>
      <c r="X20" s="322">
        <f>2.554-SUM(U20:W20)</f>
        <v>-1.6999999999999904E-2</v>
      </c>
      <c r="Y20" s="188">
        <f t="shared" si="23"/>
        <v>2.5539999999999998</v>
      </c>
      <c r="Z20" s="2"/>
      <c r="AA20" s="14">
        <v>-5.4450000000000003</v>
      </c>
      <c r="AB20" s="12">
        <f>-6.539-AA20</f>
        <v>-1.0939999999999994</v>
      </c>
      <c r="AC20" s="12">
        <f>-15.474-SUM(AA20:AB20)</f>
        <v>-8.9350000000000005</v>
      </c>
      <c r="AD20" s="12">
        <f>-2.016-SUM(AA20:AC20)</f>
        <v>13.458</v>
      </c>
      <c r="AE20" s="188">
        <f t="shared" si="24"/>
        <v>-2.016</v>
      </c>
      <c r="AF20" s="2"/>
      <c r="AG20" s="14">
        <v>1.2310000000000001</v>
      </c>
      <c r="AH20" s="12">
        <f>1.851-AG20</f>
        <v>0.61999999999999988</v>
      </c>
      <c r="AI20" s="12">
        <f>-1.402-AG20-AH20</f>
        <v>-3.2530000000000001</v>
      </c>
      <c r="AJ20" s="12">
        <f>-3.062-SUM(AG20:AI20)</f>
        <v>-1.6599999999999997</v>
      </c>
      <c r="AK20" s="188">
        <f t="shared" si="25"/>
        <v>-3.0619999999999998</v>
      </c>
      <c r="AL20" s="2"/>
      <c r="AM20" s="14">
        <v>1.536</v>
      </c>
      <c r="AN20" s="12">
        <f>-0.65-AM20</f>
        <v>-2.1859999999999999</v>
      </c>
      <c r="AO20" s="12">
        <f>-1.39-AM20-AN20</f>
        <v>-0.74000000000000021</v>
      </c>
      <c r="AP20" s="12">
        <f>1.783-SUM(AM20:AO20)</f>
        <v>3.173</v>
      </c>
      <c r="AQ20" s="188">
        <f t="shared" si="45"/>
        <v>1.7829999999999999</v>
      </c>
      <c r="AR20" s="2"/>
      <c r="AS20" s="14">
        <v>0.125</v>
      </c>
      <c r="AT20" s="12">
        <f>-1.462-AS20</f>
        <v>-1.587</v>
      </c>
      <c r="AU20" s="7">
        <f>-20.152-SUM(AS20:AT20)</f>
        <v>-18.690000000000001</v>
      </c>
      <c r="AV20" s="7">
        <f>6.619-SUM(AS20:AU20)</f>
        <v>26.771000000000001</v>
      </c>
      <c r="AW20" s="188">
        <f t="shared" si="46"/>
        <v>6.6189999999999998</v>
      </c>
      <c r="AX20" s="2"/>
      <c r="AY20" s="14">
        <v>-1.157</v>
      </c>
      <c r="AZ20" s="7">
        <f>-1.382-AY20</f>
        <v>-0.22499999999999987</v>
      </c>
      <c r="BA20" s="2024">
        <f>-4.982-SUM(AY20:AZ20)</f>
        <v>-3.6000000000000005</v>
      </c>
      <c r="BB20" s="7">
        <f>-10.876-SUM(AY20:BA20)</f>
        <v>-5.8939999999999992</v>
      </c>
      <c r="BC20" s="188">
        <f t="shared" si="47"/>
        <v>-10.875999999999999</v>
      </c>
      <c r="BD20" s="2"/>
      <c r="BE20" s="2766">
        <v>-2.5710000000000002</v>
      </c>
      <c r="BF20" s="2743">
        <f>5.245-BE20</f>
        <v>7.8160000000000007</v>
      </c>
      <c r="BG20" s="2743">
        <f>3.572-SUM(BE20:BF20)</f>
        <v>-1.6730000000000009</v>
      </c>
      <c r="BH20" s="2743">
        <f>-1.204-SUM(BE20:BG20)</f>
        <v>-4.7759999999999998</v>
      </c>
      <c r="BI20" s="188">
        <f t="shared" si="48"/>
        <v>-1.2039999999999997</v>
      </c>
      <c r="BJ20" s="2"/>
      <c r="BK20" s="2766">
        <v>2</v>
      </c>
      <c r="BL20" s="2743">
        <f>5-BK20</f>
        <v>3</v>
      </c>
      <c r="BM20" s="2743">
        <f>14-SUM(BK20:BL20)</f>
        <v>9</v>
      </c>
      <c r="BN20" s="2743">
        <f>8-SUM(BK20:BM20)</f>
        <v>-6</v>
      </c>
      <c r="BO20" s="188">
        <f t="shared" si="49"/>
        <v>8</v>
      </c>
      <c r="BP20" s="2"/>
      <c r="BQ20" s="100">
        <f>BS!BO16-BS!BQ16</f>
        <v>-9.0960000000000036</v>
      </c>
      <c r="BR20" s="11">
        <f>BS!BQ16-BS!BR16</f>
        <v>-1.0793177331283204</v>
      </c>
      <c r="BS20" s="11">
        <f>BS!BR16-BS!BS16</f>
        <v>-1.9512932723998802</v>
      </c>
      <c r="BT20" s="101">
        <f>BS!BS16-BS!BT16</f>
        <v>-4.4341092723998941</v>
      </c>
      <c r="BU20" s="188">
        <f t="shared" si="50"/>
        <v>-16.560720277928098</v>
      </c>
      <c r="BV20" s="2"/>
      <c r="BW20" s="100">
        <f>BS!BU16-BS!BW16</f>
        <v>-7.6308114963863574</v>
      </c>
      <c r="BX20" s="11">
        <f>BS!BW16-BS!BX16</f>
        <v>0.32199927383740601</v>
      </c>
      <c r="BY20" s="11">
        <f>BS!BX16-BS!BY16</f>
        <v>-1.5635435569318332</v>
      </c>
      <c r="BZ20" s="101">
        <f>BS!BY16-BS!BZ16</f>
        <v>-4.7202169415472355</v>
      </c>
      <c r="CA20" s="188">
        <f t="shared" si="51"/>
        <v>-13.59257272102802</v>
      </c>
      <c r="CB20" s="2"/>
      <c r="CC20" s="100">
        <f>BS!CA16-BS!CC16</f>
        <v>-5.7362360551566951</v>
      </c>
      <c r="CD20" s="11">
        <f>BS!CC16-BS!CD16</f>
        <v>0.24174845073679307</v>
      </c>
      <c r="CE20" s="11">
        <f>BS!CD16-BS!CE16</f>
        <v>-1.6888525612868648</v>
      </c>
      <c r="CF20" s="101">
        <f>BS!CE16-BS!CF16</f>
        <v>-5.3870820100442813</v>
      </c>
      <c r="CG20" s="188">
        <f t="shared" si="52"/>
        <v>-12.570422175751048</v>
      </c>
      <c r="CH20" s="2"/>
      <c r="CI20" s="100">
        <f>BS!CG16-BS!CI16</f>
        <v>-6.404150025150102</v>
      </c>
      <c r="CJ20" s="11">
        <f>BS!CI16-BS!CJ16</f>
        <v>0.29200833046505181</v>
      </c>
      <c r="CK20" s="11">
        <f>BS!CJ16-BS!CK16</f>
        <v>-1.7852966137513704</v>
      </c>
      <c r="CL20" s="101">
        <f>BS!CK16-BS!CL16</f>
        <v>-6.3075322784671926</v>
      </c>
      <c r="CM20" s="188">
        <f t="shared" si="53"/>
        <v>-14.204970586903613</v>
      </c>
      <c r="CN20" s="2"/>
      <c r="CO20" s="100">
        <f>BS!CM16-BS!CO16</f>
        <v>-6.1577766277591763</v>
      </c>
      <c r="CP20" s="11">
        <f>BS!CO16-BS!CP16</f>
        <v>-0.35295210716839165</v>
      </c>
      <c r="CQ20" s="11">
        <f>BS!CP16-BS!CQ16</f>
        <v>-2.5404432537584682</v>
      </c>
      <c r="CR20" s="101">
        <f>BS!CQ16-BS!CR16</f>
        <v>-7.1834819220505608</v>
      </c>
      <c r="CS20" s="188">
        <f t="shared" si="54"/>
        <v>-16.234653910736597</v>
      </c>
      <c r="CT20" s="9"/>
      <c r="CU20" s="2"/>
      <c r="CV20" s="2"/>
    </row>
    <row r="21" spans="1:100" outlineLevel="1">
      <c r="A21" s="1888" t="s">
        <v>250</v>
      </c>
      <c r="B21" s="13"/>
      <c r="C21" s="14">
        <v>9.5830000000000002</v>
      </c>
      <c r="D21" s="12">
        <f>20.26-C21</f>
        <v>10.677000000000001</v>
      </c>
      <c r="E21" s="12">
        <f>18.414-D21-C21</f>
        <v>-1.8460000000000001</v>
      </c>
      <c r="F21" s="322">
        <f>12.262-SUM(C21:E21)</f>
        <v>-6.152000000000001</v>
      </c>
      <c r="G21" s="188">
        <f t="shared" si="42"/>
        <v>12.262</v>
      </c>
      <c r="H21" s="89"/>
      <c r="I21" s="14">
        <v>1.502</v>
      </c>
      <c r="J21" s="12">
        <f>6.682-I21</f>
        <v>5.1800000000000006</v>
      </c>
      <c r="K21" s="12">
        <f>3.516-J21-I21</f>
        <v>-3.1660000000000004</v>
      </c>
      <c r="L21" s="322">
        <f>4.84-SUM(I21:K21)</f>
        <v>1.3239999999999998</v>
      </c>
      <c r="M21" s="188">
        <f t="shared" si="43"/>
        <v>4.84</v>
      </c>
      <c r="N21" s="2"/>
      <c r="O21" s="14">
        <v>6.5030000000000001</v>
      </c>
      <c r="P21" s="12">
        <f>11.135-O21</f>
        <v>4.6319999999999997</v>
      </c>
      <c r="Q21" s="12">
        <f>11.989-P21-O21</f>
        <v>0.85400000000000098</v>
      </c>
      <c r="R21" s="322">
        <f>11.778-SUM(O21:Q21)</f>
        <v>-0.2110000000000003</v>
      </c>
      <c r="S21" s="188">
        <f t="shared" si="44"/>
        <v>11.778</v>
      </c>
      <c r="T21" s="2"/>
      <c r="U21" s="14">
        <v>7.2939999999999996</v>
      </c>
      <c r="V21" s="12">
        <f>16.383-U21</f>
        <v>9.0889999999999986</v>
      </c>
      <c r="W21" s="12">
        <f>17.499-V21-U21</f>
        <v>1.1160000000000005</v>
      </c>
      <c r="X21" s="322">
        <f>23.15-SUM(U21:W21)</f>
        <v>5.6509999999999998</v>
      </c>
      <c r="Y21" s="188">
        <f t="shared" si="23"/>
        <v>23.15</v>
      </c>
      <c r="Z21" s="2"/>
      <c r="AA21" s="14">
        <v>-0.63</v>
      </c>
      <c r="AB21" s="12">
        <f>-9.969-AA21</f>
        <v>-9.3389999999999986</v>
      </c>
      <c r="AC21" s="12">
        <f>-14.897-SUM(AA21:AB21)</f>
        <v>-4.9280000000000008</v>
      </c>
      <c r="AD21" s="12">
        <f>-21.097-SUM(AA21:AC21)</f>
        <v>-6.2000000000000011</v>
      </c>
      <c r="AE21" s="188">
        <f t="shared" si="24"/>
        <v>-21.097000000000001</v>
      </c>
      <c r="AF21" s="2"/>
      <c r="AG21" s="14">
        <v>10.259</v>
      </c>
      <c r="AH21" s="12">
        <f>13.034-AG21</f>
        <v>2.7750000000000004</v>
      </c>
      <c r="AI21" s="12">
        <f>18.434-AG21-AH21</f>
        <v>5.4</v>
      </c>
      <c r="AJ21" s="12">
        <f>15.112-SUM(AG21:AI21)</f>
        <v>-3.322000000000001</v>
      </c>
      <c r="AK21" s="188">
        <f t="shared" si="25"/>
        <v>15.112</v>
      </c>
      <c r="AL21" s="2"/>
      <c r="AM21" s="14">
        <v>8.4589999999999996</v>
      </c>
      <c r="AN21" s="12">
        <f>-1.998-AM21</f>
        <v>-10.456999999999999</v>
      </c>
      <c r="AO21" s="12">
        <f>-10.876-AM21-AN21</f>
        <v>-8.8780000000000019</v>
      </c>
      <c r="AP21" s="12">
        <f>2.389-SUM(AM21:AO21)</f>
        <v>13.265000000000001</v>
      </c>
      <c r="AQ21" s="188">
        <f t="shared" si="45"/>
        <v>2.3889999999999993</v>
      </c>
      <c r="AR21" s="2"/>
      <c r="AS21" s="14">
        <v>10.06</v>
      </c>
      <c r="AT21" s="12">
        <f>13.884-AS21</f>
        <v>3.8239999999999998</v>
      </c>
      <c r="AU21" s="7">
        <f>14.748-SUM(AS21:AT21)</f>
        <v>0.86399999999999899</v>
      </c>
      <c r="AV21" s="7">
        <f>-2.106-SUM(AS21:AU21)</f>
        <v>-16.853999999999999</v>
      </c>
      <c r="AW21" s="188">
        <f t="shared" si="46"/>
        <v>-2.1059999999999999</v>
      </c>
      <c r="AX21" s="2"/>
      <c r="AY21" s="14">
        <v>28.867000000000001</v>
      </c>
      <c r="AZ21" s="7">
        <f>30.718-AY21</f>
        <v>1.8509999999999991</v>
      </c>
      <c r="BA21" s="2024">
        <f>49.532-SUM(AY21:AZ21)</f>
        <v>18.813999999999997</v>
      </c>
      <c r="BB21" s="7">
        <f>46.296-SUM(AY21:BA21)</f>
        <v>-3.2359999999999971</v>
      </c>
      <c r="BC21" s="188">
        <f t="shared" si="47"/>
        <v>46.295999999999999</v>
      </c>
      <c r="BD21" s="2"/>
      <c r="BE21" s="2766">
        <v>3.0569999999999999</v>
      </c>
      <c r="BF21" s="2743">
        <f>7.649-BE21</f>
        <v>4.5920000000000005</v>
      </c>
      <c r="BG21" s="2743">
        <f>-7.307-SUM(BE21:BF21)</f>
        <v>-14.956000000000001</v>
      </c>
      <c r="BH21" s="2743">
        <f>-1.969-SUM(BE21:BG21)</f>
        <v>5.3380000000000001</v>
      </c>
      <c r="BI21" s="188">
        <f t="shared" si="48"/>
        <v>-1.9690000000000003</v>
      </c>
      <c r="BJ21" s="2"/>
      <c r="BK21" s="2766">
        <v>0</v>
      </c>
      <c r="BL21" s="2743">
        <f>0-BK21</f>
        <v>0</v>
      </c>
      <c r="BM21" s="2743">
        <f>12-SUM(BK21:BL21)</f>
        <v>12</v>
      </c>
      <c r="BN21" s="2743">
        <f>10-SUM(BK21:BM21)</f>
        <v>-2</v>
      </c>
      <c r="BO21" s="188">
        <f t="shared" si="49"/>
        <v>10</v>
      </c>
      <c r="BP21" s="2"/>
      <c r="BQ21" s="100">
        <f>BS!BQ26-BS!BO26</f>
        <v>6.2115775519222325</v>
      </c>
      <c r="BR21" s="11">
        <f>BS!BR26-BS!BQ26</f>
        <v>6.9335921495275272</v>
      </c>
      <c r="BS21" s="11">
        <f>BS!BS26-BS!BR26</f>
        <v>2.4692816934740165</v>
      </c>
      <c r="BT21" s="101">
        <f>BS!BT26-BS!BS26</f>
        <v>6.7501757252328218</v>
      </c>
      <c r="BU21" s="188">
        <f t="shared" si="50"/>
        <v>22.364627120156598</v>
      </c>
      <c r="BV21" s="2"/>
      <c r="BW21" s="100">
        <f>BS!BW26-BS!BU26</f>
        <v>5.6035695867448112</v>
      </c>
      <c r="BX21" s="11">
        <f>BS!BX26-BS!BW26</f>
        <v>5.2115419626085782</v>
      </c>
      <c r="BY21" s="11">
        <f>BS!BY26-BS!BX26</f>
        <v>1.2916465125892103</v>
      </c>
      <c r="BZ21" s="101">
        <f>BS!BZ26-BS!BY26</f>
        <v>7.3775263999571337</v>
      </c>
      <c r="CA21" s="188">
        <f t="shared" si="51"/>
        <v>19.484284461899733</v>
      </c>
      <c r="CB21" s="2"/>
      <c r="CC21" s="100">
        <f>BS!CC26-BS!CA26</f>
        <v>6.2555523339952117</v>
      </c>
      <c r="CD21" s="11">
        <f>BS!CD26-BS!CC26</f>
        <v>9.3310890191170017</v>
      </c>
      <c r="CE21" s="11">
        <f>BS!CE26-BS!CD26</f>
        <v>3.8823163453867551</v>
      </c>
      <c r="CF21" s="101">
        <f>BS!CF26-BS!CE26</f>
        <v>11.556512690084162</v>
      </c>
      <c r="CG21" s="188">
        <f t="shared" si="52"/>
        <v>31.02547038858313</v>
      </c>
      <c r="CH21" s="2"/>
      <c r="CI21" s="100">
        <f>BS!CI26-BS!CG26</f>
        <v>6.6035740438327366</v>
      </c>
      <c r="CJ21" s="11">
        <f>BS!CJ26-BS!CI26</f>
        <v>11.341267679349471</v>
      </c>
      <c r="CK21" s="11">
        <f>BS!CK26-BS!CJ26</f>
        <v>4.2766955710524144</v>
      </c>
      <c r="CL21" s="101">
        <f>BS!CL26-BS!CK26</f>
        <v>13.954438914377221</v>
      </c>
      <c r="CM21" s="188">
        <f t="shared" si="53"/>
        <v>36.175976208611843</v>
      </c>
      <c r="CN21" s="2"/>
      <c r="CO21" s="100">
        <f>BS!CO26-BS!CM26</f>
        <v>4.0631870006460531</v>
      </c>
      <c r="CP21" s="11">
        <f>BS!CP26-BS!CO26</f>
        <v>14.218106910271729</v>
      </c>
      <c r="CQ21" s="11">
        <f>BS!CQ26-BS!CP26</f>
        <v>5.7324268198648269</v>
      </c>
      <c r="CR21" s="101">
        <f>BS!CR26-BS!CQ26</f>
        <v>16.447011026519135</v>
      </c>
      <c r="CS21" s="188">
        <f t="shared" si="54"/>
        <v>40.460731757301744</v>
      </c>
      <c r="CT21" s="9"/>
      <c r="CU21" s="2"/>
      <c r="CV21" s="2"/>
    </row>
    <row r="22" spans="1:100" outlineLevel="1">
      <c r="A22" s="1888" t="s">
        <v>251</v>
      </c>
      <c r="B22" s="13"/>
      <c r="C22" s="14">
        <v>8.9999999999999993E-3</v>
      </c>
      <c r="D22" s="12">
        <f>0-C22</f>
        <v>-8.9999999999999993E-3</v>
      </c>
      <c r="E22" s="12">
        <f>0-D22-C22</f>
        <v>0</v>
      </c>
      <c r="F22" s="322">
        <f>-11.408-SUM(C22:E22)</f>
        <v>-11.407999999999999</v>
      </c>
      <c r="G22" s="188">
        <f t="shared" si="42"/>
        <v>-11.407999999999999</v>
      </c>
      <c r="H22" s="89"/>
      <c r="I22" s="14">
        <v>6.2539999999999996</v>
      </c>
      <c r="J22" s="12">
        <f>12.691-I22</f>
        <v>6.4370000000000012</v>
      </c>
      <c r="K22" s="12">
        <f>20.078-J22-I22</f>
        <v>7.3869999999999987</v>
      </c>
      <c r="L22" s="322">
        <f>38.692-SUM(I22:K22)</f>
        <v>18.614000000000001</v>
      </c>
      <c r="M22" s="188">
        <f t="shared" si="43"/>
        <v>38.692</v>
      </c>
      <c r="N22" s="2"/>
      <c r="O22" s="14">
        <v>8.7750000000000004</v>
      </c>
      <c r="P22" s="12">
        <f>19.039-O22</f>
        <v>10.264000000000001</v>
      </c>
      <c r="Q22" s="12">
        <f>25.959-P22-O22</f>
        <v>6.9199999999999982</v>
      </c>
      <c r="R22" s="322">
        <f>29.704-SUM(O22:Q22)</f>
        <v>3.745000000000001</v>
      </c>
      <c r="S22" s="188">
        <f t="shared" si="44"/>
        <v>29.704000000000001</v>
      </c>
      <c r="T22" s="2"/>
      <c r="U22" s="14">
        <v>4.6520000000000001</v>
      </c>
      <c r="V22" s="12">
        <f>8.04-U22</f>
        <v>3.387999999999999</v>
      </c>
      <c r="W22" s="12">
        <f>18.844-V22-U22</f>
        <v>10.804000000000002</v>
      </c>
      <c r="X22" s="322">
        <f>48.696-SUM(U22:W22)</f>
        <v>29.851999999999997</v>
      </c>
      <c r="Y22" s="188">
        <f t="shared" si="23"/>
        <v>48.695999999999998</v>
      </c>
      <c r="Z22" s="2"/>
      <c r="AA22" s="14">
        <v>6.6360000000000001</v>
      </c>
      <c r="AB22" s="12">
        <f>4.121-AA22</f>
        <v>-2.5149999999999997</v>
      </c>
      <c r="AC22" s="12">
        <f>6.209-SUM(AA22:AB22)</f>
        <v>2.0879999999999992</v>
      </c>
      <c r="AD22" s="12">
        <f>19.227-SUM(AA22:AC22)</f>
        <v>13.018000000000001</v>
      </c>
      <c r="AE22" s="188">
        <f t="shared" si="24"/>
        <v>19.227</v>
      </c>
      <c r="AF22" s="2"/>
      <c r="AG22" s="93">
        <v>0</v>
      </c>
      <c r="AH22" s="26">
        <f>0-SUM(AG22)</f>
        <v>0</v>
      </c>
      <c r="AI22" s="26">
        <f>0-SUM(AG22:AH22)</f>
        <v>0</v>
      </c>
      <c r="AJ22" s="12">
        <f>-21.698-SUM(AG22:AI22)</f>
        <v>-21.698</v>
      </c>
      <c r="AK22" s="188">
        <f t="shared" si="25"/>
        <v>-21.698</v>
      </c>
      <c r="AL22" s="2"/>
      <c r="AM22" s="93">
        <v>0</v>
      </c>
      <c r="AN22" s="26">
        <f>0-AM22</f>
        <v>0</v>
      </c>
      <c r="AO22" s="26">
        <v>0</v>
      </c>
      <c r="AP22" s="12">
        <f>0-SUM(AM22:AO22)</f>
        <v>0</v>
      </c>
      <c r="AQ22" s="188">
        <f t="shared" si="45"/>
        <v>0</v>
      </c>
      <c r="AR22" s="2"/>
      <c r="AS22" s="93">
        <v>0</v>
      </c>
      <c r="AT22" s="26">
        <f>0-AS22</f>
        <v>0</v>
      </c>
      <c r="AU22" s="7">
        <f>0-SUM(AS22:AT22)</f>
        <v>0</v>
      </c>
      <c r="AV22" s="7">
        <f>0-SUM(AS22:AU22)</f>
        <v>0</v>
      </c>
      <c r="AW22" s="188">
        <f t="shared" si="46"/>
        <v>0</v>
      </c>
      <c r="AX22" s="2"/>
      <c r="AY22" s="1857">
        <v>0</v>
      </c>
      <c r="AZ22" s="7">
        <f>0-AY22</f>
        <v>0</v>
      </c>
      <c r="BA22" s="2024">
        <f>0-SUM(AY22:AZ22)</f>
        <v>0</v>
      </c>
      <c r="BB22" s="7">
        <f>0-SUM(AY22:BA22)</f>
        <v>0</v>
      </c>
      <c r="BC22" s="188">
        <f t="shared" si="47"/>
        <v>0</v>
      </c>
      <c r="BD22" s="2"/>
      <c r="BE22" s="2764">
        <v>0</v>
      </c>
      <c r="BF22" s="2743">
        <f t="shared" ref="BF22" si="55">0-BE22</f>
        <v>0</v>
      </c>
      <c r="BG22" s="2743">
        <f t="shared" si="27"/>
        <v>0</v>
      </c>
      <c r="BH22" s="2743">
        <f t="shared" si="28"/>
        <v>0</v>
      </c>
      <c r="BI22" s="188">
        <f t="shared" si="48"/>
        <v>0</v>
      </c>
      <c r="BJ22" s="2"/>
      <c r="BK22" s="2764">
        <v>-3</v>
      </c>
      <c r="BL22" s="2743">
        <f>66-BK22</f>
        <v>69</v>
      </c>
      <c r="BM22" s="2743">
        <f>53-SUM(BK22:BL22)</f>
        <v>-13</v>
      </c>
      <c r="BN22" s="2743">
        <f>0-SUM(BK22:BM22)</f>
        <v>-53</v>
      </c>
      <c r="BO22" s="188">
        <f t="shared" si="49"/>
        <v>0</v>
      </c>
      <c r="BP22" s="2"/>
      <c r="BQ22" s="100">
        <f>BS!BO22-BS!BQ22+BS!BO15-BS!BQ15</f>
        <v>0</v>
      </c>
      <c r="BR22" s="11">
        <f>BS!BQ22-BS!BR22+BS!BQ15-BS!BR15</f>
        <v>0</v>
      </c>
      <c r="BS22" s="11">
        <f>BS!BR22-BS!BS22+BS!BR15-BS!BS15</f>
        <v>0</v>
      </c>
      <c r="BT22" s="101">
        <f>BS!BS22-BS!BT22+BS!BS15-BS!BT15</f>
        <v>0</v>
      </c>
      <c r="BU22" s="188">
        <f t="shared" si="50"/>
        <v>0</v>
      </c>
      <c r="BV22" s="2"/>
      <c r="BW22" s="100">
        <f>BS!BU22-BS!BW22+BS!BU15-BS!BW15</f>
        <v>0</v>
      </c>
      <c r="BX22" s="11">
        <f>BS!BW22-BS!BX22+BS!BW15-BS!BX15</f>
        <v>0</v>
      </c>
      <c r="BY22" s="11">
        <f>BS!BX22-BS!BY22+BS!BX15-BS!BY15</f>
        <v>0</v>
      </c>
      <c r="BZ22" s="101">
        <f>BS!BY22-BS!BZ22+BS!BY15-BS!BZ15</f>
        <v>0</v>
      </c>
      <c r="CA22" s="188">
        <f t="shared" si="51"/>
        <v>0</v>
      </c>
      <c r="CB22" s="2"/>
      <c r="CC22" s="100">
        <f>BS!CA22-BS!CC22+BS!CA15-BS!CC15</f>
        <v>0</v>
      </c>
      <c r="CD22" s="11">
        <f>BS!CC22-BS!CD22+BS!CC15-BS!CD15</f>
        <v>0</v>
      </c>
      <c r="CE22" s="11">
        <f>BS!CD22-BS!CE22+BS!CD15-BS!CE15</f>
        <v>0</v>
      </c>
      <c r="CF22" s="101">
        <f>BS!CE22-BS!CF22+BS!CE15-BS!CF15</f>
        <v>0</v>
      </c>
      <c r="CG22" s="188">
        <f t="shared" si="52"/>
        <v>0</v>
      </c>
      <c r="CH22" s="2"/>
      <c r="CI22" s="100">
        <f>BS!CG22-BS!CI22+BS!CG15-BS!CI15</f>
        <v>0</v>
      </c>
      <c r="CJ22" s="11">
        <f>BS!CI22-BS!CJ22+BS!CI15-BS!CJ15</f>
        <v>0</v>
      </c>
      <c r="CK22" s="11">
        <f>BS!CJ22-BS!CK22+BS!CJ15-BS!CK15</f>
        <v>0</v>
      </c>
      <c r="CL22" s="101">
        <f>BS!CK22-BS!CL22+BS!CK15-BS!CL15</f>
        <v>0</v>
      </c>
      <c r="CM22" s="188">
        <f t="shared" si="53"/>
        <v>0</v>
      </c>
      <c r="CN22" s="2"/>
      <c r="CO22" s="100">
        <f>BS!CM22-BS!CO22+BS!CM15-BS!CO15</f>
        <v>0</v>
      </c>
      <c r="CP22" s="11">
        <f>BS!CO22-BS!CP22+BS!CO15-BS!CP15</f>
        <v>0</v>
      </c>
      <c r="CQ22" s="11">
        <f>BS!CP22-BS!CQ22+BS!CP15-BS!CQ15</f>
        <v>0</v>
      </c>
      <c r="CR22" s="101">
        <f>BS!CQ22-BS!CR22+BS!CQ15-BS!CR15</f>
        <v>0</v>
      </c>
      <c r="CS22" s="188">
        <f t="shared" si="54"/>
        <v>0</v>
      </c>
      <c r="CT22" s="9"/>
      <c r="CU22" s="2"/>
      <c r="CV22" s="2"/>
    </row>
    <row r="23" spans="1:100" outlineLevel="1">
      <c r="A23" s="1888" t="s">
        <v>256</v>
      </c>
      <c r="B23" s="13"/>
      <c r="C23" s="14">
        <v>3.6589999999999998</v>
      </c>
      <c r="D23" s="12">
        <f>7.712-C23</f>
        <v>4.0529999999999999</v>
      </c>
      <c r="E23" s="12">
        <f>12.13-D23-C23</f>
        <v>4.4180000000000019</v>
      </c>
      <c r="F23" s="322">
        <f>15.901+1.586-SUM(C23:E23)</f>
        <v>5.3569999999999958</v>
      </c>
      <c r="G23" s="188">
        <f t="shared" si="42"/>
        <v>17.486999999999998</v>
      </c>
      <c r="H23" s="89"/>
      <c r="I23" s="14">
        <f>-11.217-0.582</f>
        <v>-11.799000000000001</v>
      </c>
      <c r="J23" s="12">
        <f>-3.171-1.964-I23</f>
        <v>6.6640000000000015</v>
      </c>
      <c r="K23" s="12">
        <f>6.355+1.713-J23-I23</f>
        <v>13.203000000000001</v>
      </c>
      <c r="L23" s="322">
        <f>29.339+2.377-SUM(I23:K23)</f>
        <v>23.647999999999996</v>
      </c>
      <c r="M23" s="188">
        <f t="shared" si="43"/>
        <v>31.715999999999998</v>
      </c>
      <c r="N23" s="2"/>
      <c r="O23" s="14">
        <f>-10.229+1.435</f>
        <v>-8.7939999999999987</v>
      </c>
      <c r="P23" s="12">
        <f>1.178+3.15-O23</f>
        <v>13.121999999999998</v>
      </c>
      <c r="Q23" s="12">
        <f>2.136+4.594-P23-O23</f>
        <v>2.402000000000001</v>
      </c>
      <c r="R23" s="322">
        <f>19.997-SUM(O23:Q23)</f>
        <v>13.266999999999999</v>
      </c>
      <c r="S23" s="188">
        <f t="shared" si="44"/>
        <v>19.997</v>
      </c>
      <c r="T23" s="2"/>
      <c r="U23" s="14">
        <v>5.0609999999999999</v>
      </c>
      <c r="V23" s="12">
        <f>22.398-U23</f>
        <v>17.337</v>
      </c>
      <c r="W23" s="12">
        <f>32.719-1.431-V23-U23</f>
        <v>8.89</v>
      </c>
      <c r="X23" s="322">
        <f>32.028-SUM(U23:W23)</f>
        <v>0.73999999999999844</v>
      </c>
      <c r="Y23" s="188">
        <f t="shared" si="23"/>
        <v>32.027999999999999</v>
      </c>
      <c r="Z23" s="2"/>
      <c r="AA23" s="14">
        <v>17.683</v>
      </c>
      <c r="AB23" s="12">
        <f>30.671-AA23</f>
        <v>12.988</v>
      </c>
      <c r="AC23" s="12">
        <f>41.376-SUM(AA23:AB23)</f>
        <v>10.704999999999998</v>
      </c>
      <c r="AD23" s="12">
        <f>42.955-SUM(AA23:AC23)</f>
        <v>1.5790000000000006</v>
      </c>
      <c r="AE23" s="188">
        <f t="shared" si="24"/>
        <v>42.954999999999998</v>
      </c>
      <c r="AF23" s="2"/>
      <c r="AG23" s="14">
        <v>14.223000000000001</v>
      </c>
      <c r="AH23" s="12">
        <f>26.295-AG23</f>
        <v>12.072000000000001</v>
      </c>
      <c r="AI23" s="12">
        <f>27.331-AG23-AH23</f>
        <v>1.0359999999999978</v>
      </c>
      <c r="AJ23" s="12">
        <f>24.388-SUM(AG23:AI23)</f>
        <v>-2.9429999999999978</v>
      </c>
      <c r="AK23" s="188">
        <f t="shared" si="25"/>
        <v>24.388000000000002</v>
      </c>
      <c r="AL23" s="2"/>
      <c r="AM23" s="14">
        <v>-15.266999999999999</v>
      </c>
      <c r="AN23" s="12">
        <f>-19.374-AM23</f>
        <v>-4.1069999999999993</v>
      </c>
      <c r="AO23" s="12">
        <f>11.932-AM23-AN23</f>
        <v>31.305999999999997</v>
      </c>
      <c r="AP23" s="12">
        <f>38.55-SUM(AM23:AO23)</f>
        <v>26.617999999999999</v>
      </c>
      <c r="AQ23" s="188">
        <f t="shared" si="45"/>
        <v>38.549999999999997</v>
      </c>
      <c r="AR23" s="2"/>
      <c r="AS23" s="14">
        <v>-23.146999999999998</v>
      </c>
      <c r="AT23" s="12">
        <f>8.859-AS23</f>
        <v>32.006</v>
      </c>
      <c r="AU23" s="7">
        <f>40.598-SUM(AS23:AT23)</f>
        <v>31.738999999999997</v>
      </c>
      <c r="AV23" s="7">
        <f>83.902-SUM(AS23:AU23)</f>
        <v>43.304000000000002</v>
      </c>
      <c r="AW23" s="188">
        <f t="shared" si="46"/>
        <v>83.902000000000001</v>
      </c>
      <c r="AX23" s="2"/>
      <c r="AY23" s="14">
        <v>-51.043999999999997</v>
      </c>
      <c r="AZ23" s="7">
        <f>-24.437-AY23</f>
        <v>26.606999999999996</v>
      </c>
      <c r="BA23" s="2024">
        <f>8.884+15-SUM(AY23:AZ23)</f>
        <v>48.320999999999998</v>
      </c>
      <c r="BB23" s="7">
        <f>79.791+19-SUM(AY23:BA23)</f>
        <v>74.906999999999996</v>
      </c>
      <c r="BC23" s="188">
        <f t="shared" si="47"/>
        <v>98.790999999999997</v>
      </c>
      <c r="BD23" s="2"/>
      <c r="BE23" s="2766">
        <v>-29.791</v>
      </c>
      <c r="BF23" s="2743">
        <f>-31.273-BE23</f>
        <v>-1.4819999999999993</v>
      </c>
      <c r="BG23" s="2743">
        <f>-57.325-SUM(BE23:BF23)</f>
        <v>-26.052000000000003</v>
      </c>
      <c r="BH23" s="2743">
        <f>-24.25-SUM(BE23:BG23)</f>
        <v>33.075000000000003</v>
      </c>
      <c r="BI23" s="188">
        <f t="shared" si="48"/>
        <v>-24.25</v>
      </c>
      <c r="BJ23" s="2"/>
      <c r="BK23" s="2766">
        <v>52</v>
      </c>
      <c r="BL23" s="2743">
        <f>41-BK23</f>
        <v>-11</v>
      </c>
      <c r="BM23" s="2743">
        <f>56-SUM(BK23:BL23)</f>
        <v>15</v>
      </c>
      <c r="BN23" s="2743">
        <f>81-SUM(BK23:BM23)</f>
        <v>25</v>
      </c>
      <c r="BO23" s="188">
        <f t="shared" si="49"/>
        <v>81</v>
      </c>
      <c r="BP23" s="2"/>
      <c r="BQ23" s="100">
        <f>BS!BQ27-BS!BO27</f>
        <v>-78.079999999999984</v>
      </c>
      <c r="BR23" s="11">
        <f>BS!BR27-BS!BQ27</f>
        <v>44.457813574192812</v>
      </c>
      <c r="BS23" s="11">
        <f>BS!BS27-BS!BR27</f>
        <v>3.1714280285826248</v>
      </c>
      <c r="BT23" s="101">
        <f>BS!BT27-BS!BS27</f>
        <v>12.559531467247723</v>
      </c>
      <c r="BU23" s="188">
        <f t="shared" si="50"/>
        <v>-17.891226929976824</v>
      </c>
      <c r="BV23" s="2"/>
      <c r="BW23" s="100">
        <f>BS!BW27-BS!BU27</f>
        <v>-47.36707538042873</v>
      </c>
      <c r="BX23" s="11">
        <f>BS!BX27-BS!BW27</f>
        <v>38.712943087846952</v>
      </c>
      <c r="BY23" s="11">
        <f>BS!BY27-BS!BX27</f>
        <v>0.93207741323601567</v>
      </c>
      <c r="BZ23" s="101">
        <f>BS!BZ27-BS!BY27</f>
        <v>11.70228201299301</v>
      </c>
      <c r="CA23" s="188">
        <f t="shared" si="51"/>
        <v>3.9802271336472472</v>
      </c>
      <c r="CB23" s="2"/>
      <c r="CC23" s="100">
        <f>BS!CC27-BS!CA27</f>
        <v>-29.641631557816311</v>
      </c>
      <c r="CD23" s="11">
        <f>BS!CD27-BS!CC27</f>
        <v>39.468617332219424</v>
      </c>
      <c r="CE23" s="11">
        <f>BS!CE27-BS!CD27</f>
        <v>0.84503845841379643</v>
      </c>
      <c r="CF23" s="101">
        <f>BS!CF27-BS!CE27</f>
        <v>12.932459019363591</v>
      </c>
      <c r="CG23" s="188">
        <f t="shared" si="52"/>
        <v>23.604483252180501</v>
      </c>
      <c r="CH23" s="2"/>
      <c r="CI23" s="100">
        <f>BS!CI27-BS!CG27</f>
        <v>-29.878506444412722</v>
      </c>
      <c r="CJ23" s="11">
        <f>BS!CJ27-BS!CI27</f>
        <v>39.727717170453673</v>
      </c>
      <c r="CK23" s="11">
        <f>BS!CK27-BS!CJ27</f>
        <v>0.61502493883563147</v>
      </c>
      <c r="CL23" s="101">
        <f>BS!CL27-BS!CK27</f>
        <v>14.759005392283882</v>
      </c>
      <c r="CM23" s="188">
        <f t="shared" si="53"/>
        <v>25.223241057160465</v>
      </c>
      <c r="CN23" s="2"/>
      <c r="CO23" s="100">
        <f>BS!CO27-BS!CM27</f>
        <v>-32.947721705160234</v>
      </c>
      <c r="CP23" s="11">
        <f>BS!CP27-BS!CO27</f>
        <v>41.797993486636358</v>
      </c>
      <c r="CQ23" s="11">
        <f>BS!CQ27-BS!CP27</f>
        <v>2.3555946898255797</v>
      </c>
      <c r="CR23" s="101">
        <f>BS!CR27-BS!CQ27</f>
        <v>16.158300829154598</v>
      </c>
      <c r="CS23" s="188">
        <f t="shared" si="54"/>
        <v>27.364167300456302</v>
      </c>
      <c r="CT23" s="9"/>
      <c r="CU23" s="2"/>
      <c r="CV23" s="2"/>
    </row>
    <row r="24" spans="1:100" outlineLevel="1">
      <c r="A24" s="1888" t="s">
        <v>257</v>
      </c>
      <c r="B24" s="13"/>
      <c r="C24" s="14">
        <v>1.43</v>
      </c>
      <c r="D24" s="12">
        <f>1.524-C24</f>
        <v>9.4000000000000083E-2</v>
      </c>
      <c r="E24" s="12">
        <f>1.674-D24-C24</f>
        <v>0.14999999999999991</v>
      </c>
      <c r="F24" s="322">
        <f>2.612-SUM(C24:E24)</f>
        <v>0.93800000000000017</v>
      </c>
      <c r="G24" s="188">
        <f t="shared" si="42"/>
        <v>2.6120000000000001</v>
      </c>
      <c r="H24" s="89"/>
      <c r="I24" s="14">
        <v>-0.73</v>
      </c>
      <c r="J24" s="12">
        <f>-1.142-I24</f>
        <v>-0.41199999999999992</v>
      </c>
      <c r="K24" s="12">
        <f>-1.275-J24-I24</f>
        <v>-0.13300000000000001</v>
      </c>
      <c r="L24" s="322">
        <f>-1.815-SUM(I24:K24)</f>
        <v>-0.54</v>
      </c>
      <c r="M24" s="188">
        <f t="shared" si="43"/>
        <v>-1.8149999999999999</v>
      </c>
      <c r="N24" s="2"/>
      <c r="O24" s="14">
        <v>2.7639999999999998</v>
      </c>
      <c r="P24" s="12">
        <f>-2.835-O24</f>
        <v>-5.5990000000000002</v>
      </c>
      <c r="Q24" s="12">
        <f>-2.447-P24-O24</f>
        <v>0.38800000000000034</v>
      </c>
      <c r="R24" s="322">
        <f>-2.67-SUM(O24:Q24)</f>
        <v>-0.22299999999999986</v>
      </c>
      <c r="S24" s="188">
        <f t="shared" si="44"/>
        <v>-2.67</v>
      </c>
      <c r="T24" s="2"/>
      <c r="U24" s="14">
        <v>-1.1859999999999999</v>
      </c>
      <c r="V24" s="12">
        <f>-1.46-U24</f>
        <v>-0.27400000000000002</v>
      </c>
      <c r="W24" s="12">
        <f>-2.467-V24-U24</f>
        <v>-1.0070000000000001</v>
      </c>
      <c r="X24" s="322">
        <f>-3.566-SUM(U24:W24)</f>
        <v>-1.0989999999999998</v>
      </c>
      <c r="Y24" s="188">
        <f t="shared" si="23"/>
        <v>-3.5659999999999998</v>
      </c>
      <c r="Z24" s="2"/>
      <c r="AA24" s="14">
        <v>-3.093</v>
      </c>
      <c r="AB24" s="12">
        <f>-3.632-AA24</f>
        <v>-0.53900000000000015</v>
      </c>
      <c r="AC24" s="12">
        <f>-3.11-SUM(AA24:AB24)</f>
        <v>0.52200000000000024</v>
      </c>
      <c r="AD24" s="12">
        <f>-4.004-SUM(AA24:AC24)</f>
        <v>-0.89399999999999968</v>
      </c>
      <c r="AE24" s="188">
        <f t="shared" si="24"/>
        <v>-4.0039999999999996</v>
      </c>
      <c r="AF24" s="2"/>
      <c r="AG24" s="14">
        <v>-2.1259999999999999</v>
      </c>
      <c r="AH24" s="12">
        <f>-1.987-AG24</f>
        <v>0.13899999999999979</v>
      </c>
      <c r="AI24" s="12">
        <f>-2.717-AG24-AH24</f>
        <v>-0.73</v>
      </c>
      <c r="AJ24" s="12">
        <f>-2.903-SUM(AG24:AI24)</f>
        <v>-0.18599999999999994</v>
      </c>
      <c r="AK24" s="188">
        <f t="shared" si="25"/>
        <v>-2.903</v>
      </c>
      <c r="AL24" s="2"/>
      <c r="AM24" s="14">
        <v>-2.0880000000000001</v>
      </c>
      <c r="AN24" s="12">
        <f>-3.262-AM24</f>
        <v>-1.1739999999999999</v>
      </c>
      <c r="AO24" s="12">
        <f>-3.427-AM24-AN24</f>
        <v>-0.16500000000000004</v>
      </c>
      <c r="AP24" s="12">
        <f>-16.357-SUM(AM24:AO24)</f>
        <v>-12.93</v>
      </c>
      <c r="AQ24" s="188">
        <f t="shared" si="45"/>
        <v>-16.356999999999999</v>
      </c>
      <c r="AR24" s="2"/>
      <c r="AS24" s="14">
        <v>-8.9719999999999995</v>
      </c>
      <c r="AT24" s="12">
        <f>-16.547-AS24</f>
        <v>-7.5750000000000011</v>
      </c>
      <c r="AU24" s="7">
        <f>-5.262-SUM(AS24:AT24)</f>
        <v>11.285</v>
      </c>
      <c r="AV24" s="7">
        <f>-36.256-SUM(AS24:AU24)-109.363</f>
        <v>-140.357</v>
      </c>
      <c r="AW24" s="188">
        <f t="shared" si="46"/>
        <v>-145.619</v>
      </c>
      <c r="AX24" s="2"/>
      <c r="AY24" s="14">
        <v>-2.5299999999999998</v>
      </c>
      <c r="AZ24" s="7">
        <f>-3.346-AY24</f>
        <v>-0.81600000000000028</v>
      </c>
      <c r="BA24" s="2024">
        <f>-0.428-SUM(AY24:AZ24)</f>
        <v>2.9180000000000001</v>
      </c>
      <c r="BB24" s="7">
        <f>-1.418-SUM(AY24:BA24)</f>
        <v>-0.99</v>
      </c>
      <c r="BC24" s="188">
        <f t="shared" si="47"/>
        <v>-1.4179999999999999</v>
      </c>
      <c r="BD24" s="2"/>
      <c r="BE24" s="2766">
        <v>-2.4039999999999999</v>
      </c>
      <c r="BF24" s="2743">
        <f>-5.822-BE24</f>
        <v>-3.4180000000000001</v>
      </c>
      <c r="BG24" s="2743">
        <f>-6.06-SUM(BE24:BF24)</f>
        <v>-0.23799999999999955</v>
      </c>
      <c r="BH24" s="2743">
        <f>-6.882-SUM(BE24:BG24)</f>
        <v>-0.82200000000000006</v>
      </c>
      <c r="BI24" s="188">
        <f t="shared" si="48"/>
        <v>-6.8819999999999997</v>
      </c>
      <c r="BJ24" s="2"/>
      <c r="BK24" s="2766">
        <v>-1</v>
      </c>
      <c r="BL24" s="2743">
        <f>-3-BK24</f>
        <v>-2</v>
      </c>
      <c r="BM24" s="2743">
        <f>-3-SUM(BK24:BL24)</f>
        <v>0</v>
      </c>
      <c r="BN24" s="2743">
        <f>-5-SUM(BK24:BM24)</f>
        <v>-2</v>
      </c>
      <c r="BO24" s="188">
        <f t="shared" si="49"/>
        <v>-5</v>
      </c>
      <c r="BP24" s="2"/>
      <c r="BQ24" s="100">
        <f>BS!BO23-BS!BQ23</f>
        <v>0</v>
      </c>
      <c r="BR24" s="11">
        <f>BS!BQ23-BS!BR23</f>
        <v>0</v>
      </c>
      <c r="BS24" s="11">
        <f>BS!BR23-BS!BS23</f>
        <v>0</v>
      </c>
      <c r="BT24" s="101">
        <f>BS!BS23-BS!BT23</f>
        <v>0</v>
      </c>
      <c r="BU24" s="188">
        <f t="shared" si="50"/>
        <v>0</v>
      </c>
      <c r="BV24" s="2"/>
      <c r="BW24" s="100">
        <f>BS!BU23-BS!BW23</f>
        <v>0</v>
      </c>
      <c r="BX24" s="11">
        <f>BS!BW23-BS!BX23</f>
        <v>0</v>
      </c>
      <c r="BY24" s="11">
        <f>BS!BX23-BS!BY23</f>
        <v>0</v>
      </c>
      <c r="BZ24" s="101">
        <f>BS!BY23-BS!BZ23</f>
        <v>0</v>
      </c>
      <c r="CA24" s="188">
        <f t="shared" si="51"/>
        <v>0</v>
      </c>
      <c r="CB24" s="2"/>
      <c r="CC24" s="100">
        <f>BS!CA23-BS!CC23</f>
        <v>0</v>
      </c>
      <c r="CD24" s="11">
        <f>BS!CC23-BS!CD23</f>
        <v>0</v>
      </c>
      <c r="CE24" s="11">
        <f>BS!CD23-BS!CE23</f>
        <v>0</v>
      </c>
      <c r="CF24" s="101">
        <f>BS!CE23-BS!CF23</f>
        <v>0</v>
      </c>
      <c r="CG24" s="188">
        <f t="shared" si="52"/>
        <v>0</v>
      </c>
      <c r="CH24" s="2"/>
      <c r="CI24" s="100">
        <f>BS!CG23-BS!CI23</f>
        <v>0</v>
      </c>
      <c r="CJ24" s="11">
        <f>BS!CI23-BS!CJ23</f>
        <v>0</v>
      </c>
      <c r="CK24" s="11">
        <f>BS!CJ23-BS!CK23</f>
        <v>0</v>
      </c>
      <c r="CL24" s="101">
        <f>BS!CK23-BS!CL23</f>
        <v>0</v>
      </c>
      <c r="CM24" s="188">
        <f t="shared" si="53"/>
        <v>0</v>
      </c>
      <c r="CN24" s="2"/>
      <c r="CO24" s="100">
        <f>BS!CM23-BS!CO23</f>
        <v>0</v>
      </c>
      <c r="CP24" s="11">
        <f>BS!CO23-BS!CP23</f>
        <v>0</v>
      </c>
      <c r="CQ24" s="11">
        <f>BS!CP23-BS!CQ23</f>
        <v>0</v>
      </c>
      <c r="CR24" s="101">
        <f>BS!CQ23-BS!CR23</f>
        <v>0</v>
      </c>
      <c r="CS24" s="188">
        <f t="shared" si="54"/>
        <v>0</v>
      </c>
      <c r="CT24" s="9"/>
      <c r="CU24" s="2"/>
      <c r="CV24" s="2"/>
    </row>
    <row r="25" spans="1:100" outlineLevel="1">
      <c r="A25" s="1888" t="s">
        <v>259</v>
      </c>
      <c r="B25" s="13"/>
      <c r="C25" s="14">
        <v>-0.17799999999999999</v>
      </c>
      <c r="D25" s="12">
        <f>-0.161-C25</f>
        <v>1.6999999999999987E-2</v>
      </c>
      <c r="E25" s="12">
        <f>-0.667-D25-C25</f>
        <v>-0.50600000000000001</v>
      </c>
      <c r="F25" s="322">
        <f>-3.418+54.536-SUM(C25:E25)</f>
        <v>51.785000000000004</v>
      </c>
      <c r="G25" s="188">
        <f t="shared" si="42"/>
        <v>51.118000000000002</v>
      </c>
      <c r="H25" s="89"/>
      <c r="I25" s="14">
        <f>4.782-54.536</f>
        <v>-49.754000000000005</v>
      </c>
      <c r="J25" s="12">
        <f>5.484-54.536-I25</f>
        <v>0.70200000000000529</v>
      </c>
      <c r="K25" s="12">
        <f>6.99-54.536-J25-I25</f>
        <v>1.5060000000000002</v>
      </c>
      <c r="L25" s="322">
        <f>6.313-54.536-SUM(I25:K25)</f>
        <v>-0.6769999999999996</v>
      </c>
      <c r="M25" s="188">
        <f t="shared" si="43"/>
        <v>-48.222999999999999</v>
      </c>
      <c r="N25" s="2"/>
      <c r="O25" s="14">
        <v>0.55800000000000005</v>
      </c>
      <c r="P25" s="12">
        <f>1.806-O25</f>
        <v>1.248</v>
      </c>
      <c r="Q25" s="12">
        <f>0.35-2.266-P25-O25</f>
        <v>-3.7219999999999995</v>
      </c>
      <c r="R25" s="322">
        <f>0.814-3.157-SUM(O25:Q25)</f>
        <v>-0.42700000000000049</v>
      </c>
      <c r="S25" s="188">
        <f t="shared" si="44"/>
        <v>-2.343</v>
      </c>
      <c r="T25" s="2"/>
      <c r="U25" s="14">
        <f>-1.487+2.805</f>
        <v>1.3180000000000001</v>
      </c>
      <c r="V25" s="12">
        <f>-0.799+4.483-U25</f>
        <v>2.3659999999999997</v>
      </c>
      <c r="W25" s="12">
        <f>0.429-0.564-V25-U25</f>
        <v>-3.8189999999999995</v>
      </c>
      <c r="X25" s="322">
        <f>0.247-0.113-SUM(U25:W25)</f>
        <v>0.26899999999999979</v>
      </c>
      <c r="Y25" s="188">
        <f t="shared" si="23"/>
        <v>0.13400000000000001</v>
      </c>
      <c r="Z25" s="2"/>
      <c r="AA25" s="14">
        <f>-0.951-0.14</f>
        <v>-1.091</v>
      </c>
      <c r="AB25" s="12">
        <f>1.248+1.23-AA25</f>
        <v>3.569</v>
      </c>
      <c r="AC25" s="12">
        <f>4.002-1.889-SUM(AA25:AB25)</f>
        <v>-0.36500000000000021</v>
      </c>
      <c r="AD25" s="12">
        <f>8.058-2.005-SUM(AA25:AC25)</f>
        <v>3.9400000000000004</v>
      </c>
      <c r="AE25" s="188">
        <f t="shared" si="24"/>
        <v>6.0529999999999999</v>
      </c>
      <c r="AF25" s="2"/>
      <c r="AG25" s="14">
        <f>4.413+1.13</f>
        <v>5.5430000000000001</v>
      </c>
      <c r="AH25" s="12">
        <f>-1.7+4.6-AG25</f>
        <v>-2.6430000000000007</v>
      </c>
      <c r="AI25" s="12">
        <f>-1.107-3.29-AG25-AH25</f>
        <v>-7.2970000000000006</v>
      </c>
      <c r="AJ25" s="12">
        <f>6.64-SUM(AG25:AI25)</f>
        <v>11.037000000000001</v>
      </c>
      <c r="AK25" s="188">
        <f t="shared" si="25"/>
        <v>6.64</v>
      </c>
      <c r="AL25" s="2"/>
      <c r="AM25" s="14">
        <f>1.374+106.922</f>
        <v>108.29599999999999</v>
      </c>
      <c r="AN25" s="12">
        <f>122.713+1.708-AM25</f>
        <v>16.125</v>
      </c>
      <c r="AO25" s="12">
        <f>127.012+2.043-AM25-AN25</f>
        <v>4.6340000000000146</v>
      </c>
      <c r="AP25" s="12">
        <f>3.816+132.933-SUM(AM25:AO25)</f>
        <v>7.6939999999999884</v>
      </c>
      <c r="AQ25" s="188">
        <f>SUM(AM25:AP25)</f>
        <v>136.749</v>
      </c>
      <c r="AR25" s="2"/>
      <c r="AS25" s="14">
        <f>5.847+1.085</f>
        <v>6.9320000000000004</v>
      </c>
      <c r="AT25" s="12">
        <f>10.664+2.248-AS25</f>
        <v>5.9799999999999986</v>
      </c>
      <c r="AU25" s="7">
        <f>22.147+3.808-SUM(AS25:AT25)</f>
        <v>13.042999999999999</v>
      </c>
      <c r="AV25" s="7">
        <f>-23.57+1.861-SUM(AS25:AU25)</f>
        <v>-47.664000000000001</v>
      </c>
      <c r="AW25" s="188">
        <f t="shared" si="46"/>
        <v>-21.709000000000003</v>
      </c>
      <c r="AX25" s="2"/>
      <c r="AY25" s="14">
        <f>1.521</f>
        <v>1.5209999999999999</v>
      </c>
      <c r="AZ25" s="7">
        <f>1.545-AY25</f>
        <v>2.4000000000000021E-2</v>
      </c>
      <c r="BA25" s="2024">
        <f>-5.22-SUM(AY25:AZ25)</f>
        <v>-6.7649999999999997</v>
      </c>
      <c r="BB25" s="7">
        <f>5.223-SUM(AY25:BA25)</f>
        <v>10.443</v>
      </c>
      <c r="BC25" s="188">
        <f t="shared" si="47"/>
        <v>5.2229999999999999</v>
      </c>
      <c r="BD25" s="2"/>
      <c r="BE25" s="2766">
        <v>4.0129999999999999</v>
      </c>
      <c r="BF25" s="2743">
        <f>7.586-BE25</f>
        <v>3.5730000000000004</v>
      </c>
      <c r="BG25" s="2743">
        <f>9.949-SUM(BE25:BF25)</f>
        <v>2.3629999999999995</v>
      </c>
      <c r="BH25" s="2743">
        <f>15.737-SUM(BE25:BG25)</f>
        <v>5.7880000000000003</v>
      </c>
      <c r="BI25" s="188">
        <f t="shared" si="48"/>
        <v>15.737</v>
      </c>
      <c r="BJ25" s="2"/>
      <c r="BK25" s="2766">
        <v>4</v>
      </c>
      <c r="BL25" s="2743">
        <f>19-BK25</f>
        <v>15</v>
      </c>
      <c r="BM25" s="2743">
        <f>23-SUM(BK25:BL25)</f>
        <v>4</v>
      </c>
      <c r="BN25" s="2743">
        <f>160-SUM(BK25:BM25)</f>
        <v>137</v>
      </c>
      <c r="BO25" s="188">
        <f t="shared" si="49"/>
        <v>160</v>
      </c>
      <c r="BP25" s="2"/>
      <c r="BQ25" s="100">
        <f>BS!BQ31-BS!BN31-BQ16+BS!BQ28-BS!BN28</f>
        <v>0</v>
      </c>
      <c r="BR25" s="11">
        <f>BS!BR31-BS!BQ31-BR16+BS!BR28-BS!BQ28</f>
        <v>0</v>
      </c>
      <c r="BS25" s="11">
        <f>BS!BS31-BS!BR31-BS16+BS!BS28-BS!BR28</f>
        <v>0</v>
      </c>
      <c r="BT25" s="101">
        <f>BS!BT31-BS!BS31-BT16+BS!BT28-BS!BS28</f>
        <v>0</v>
      </c>
      <c r="BU25" s="188">
        <f t="shared" si="50"/>
        <v>0</v>
      </c>
      <c r="BV25" s="2"/>
      <c r="BW25" s="100">
        <f>BS!BW31-BS!BT31-BW16+BS!BW28-BS!BT28</f>
        <v>0</v>
      </c>
      <c r="BX25" s="11">
        <f>BS!BX31-BS!BW31-BX16+BS!BX28-BS!BW28</f>
        <v>0</v>
      </c>
      <c r="BY25" s="11">
        <f>BS!BY31-BS!BX31-BY16+BS!BY28-BS!BX28</f>
        <v>0</v>
      </c>
      <c r="BZ25" s="101">
        <f>BS!BZ31-BS!BY31-BZ16+BS!BZ28-BS!BY28</f>
        <v>0</v>
      </c>
      <c r="CA25" s="188">
        <f t="shared" si="51"/>
        <v>0</v>
      </c>
      <c r="CB25" s="2"/>
      <c r="CC25" s="100">
        <f>BS!CC31-BS!BZ31-CC16+BS!CC28-BS!BZ28</f>
        <v>0</v>
      </c>
      <c r="CD25" s="11">
        <f>BS!CD31-BS!CC31-CD16+BS!CD28-BS!CC28</f>
        <v>0</v>
      </c>
      <c r="CE25" s="11">
        <f>BS!CE31-BS!CD31-CE16+BS!CE28-BS!CD28</f>
        <v>0</v>
      </c>
      <c r="CF25" s="101">
        <f>BS!CF31-BS!CE31-CF16+BS!CF28-BS!CE28</f>
        <v>0</v>
      </c>
      <c r="CG25" s="188">
        <f t="shared" si="52"/>
        <v>0</v>
      </c>
      <c r="CH25" s="2"/>
      <c r="CI25" s="100">
        <f>BS!CI31-BS!CF31-CI16+BS!CI28-BS!CF28</f>
        <v>0</v>
      </c>
      <c r="CJ25" s="11">
        <f>BS!CJ31-BS!CI31-CJ16+BS!CJ28-BS!CI28</f>
        <v>0</v>
      </c>
      <c r="CK25" s="11">
        <f>BS!CK31-BS!CJ31-CK16+BS!CK28-BS!CJ28</f>
        <v>0</v>
      </c>
      <c r="CL25" s="101">
        <f>BS!CL31-BS!CK31-CL16+BS!CL28-BS!CK28</f>
        <v>0</v>
      </c>
      <c r="CM25" s="188">
        <f t="shared" si="53"/>
        <v>0</v>
      </c>
      <c r="CN25" s="2"/>
      <c r="CO25" s="100">
        <f>BS!CO31-BS!CL31-CO16+BS!CO28-BS!CL28</f>
        <v>0</v>
      </c>
      <c r="CP25" s="11">
        <f>BS!CP31-BS!CO31-CP16+BS!CP28-BS!CO28</f>
        <v>0</v>
      </c>
      <c r="CQ25" s="11">
        <f>BS!CQ31-BS!CP31-CQ16+BS!CQ28-BS!CP28</f>
        <v>0</v>
      </c>
      <c r="CR25" s="101">
        <f>BS!CR31-BS!CQ31-CR16+BS!CR28-BS!CQ28</f>
        <v>0</v>
      </c>
      <c r="CS25" s="188">
        <f t="shared" si="54"/>
        <v>0</v>
      </c>
      <c r="CT25" s="9"/>
      <c r="CU25" s="2"/>
      <c r="CV25" s="2"/>
    </row>
    <row r="26" spans="1:100" ht="12.75" customHeight="1">
      <c r="A26" s="1889" t="s">
        <v>260</v>
      </c>
      <c r="B26" s="110"/>
      <c r="C26" s="110">
        <f>SUM(C10:C17)</f>
        <v>14.642999999999958</v>
      </c>
      <c r="D26" s="323">
        <f>SUM(D10:D17)</f>
        <v>24.483000000000008</v>
      </c>
      <c r="E26" s="323">
        <f>SUM(E10:E17)</f>
        <v>5.3150000000000297</v>
      </c>
      <c r="F26" s="324">
        <f>SUM(F10:F17)</f>
        <v>11.853000000000002</v>
      </c>
      <c r="G26" s="325">
        <f t="shared" ref="G26:AE26" si="56">SUM(G10:G17)</f>
        <v>56.293999999999983</v>
      </c>
      <c r="H26" s="110"/>
      <c r="I26" s="110">
        <f t="shared" si="56"/>
        <v>-26.75500000000001</v>
      </c>
      <c r="J26" s="323">
        <f t="shared" si="56"/>
        <v>37.223000000000013</v>
      </c>
      <c r="K26" s="323">
        <f t="shared" si="56"/>
        <v>27.29699999999999</v>
      </c>
      <c r="L26" s="324">
        <f t="shared" si="56"/>
        <v>50.117000000000004</v>
      </c>
      <c r="M26" s="325">
        <f t="shared" si="56"/>
        <v>87.882000000000005</v>
      </c>
      <c r="N26" s="323"/>
      <c r="O26" s="110">
        <f>SUM(O10:O17)</f>
        <v>50.748000000000005</v>
      </c>
      <c r="P26" s="323">
        <f>SUM(P10:P17)</f>
        <v>39.369</v>
      </c>
      <c r="Q26" s="323">
        <f>SUM(Q10:Q17)</f>
        <v>20.785000000000025</v>
      </c>
      <c r="R26" s="324">
        <f>SUM(R10:R17)</f>
        <v>61.288999999999987</v>
      </c>
      <c r="S26" s="325">
        <f t="shared" si="56"/>
        <v>172.19099999999997</v>
      </c>
      <c r="T26" s="323"/>
      <c r="U26" s="110">
        <f t="shared" si="56"/>
        <v>59.065000000000012</v>
      </c>
      <c r="V26" s="323">
        <f t="shared" si="56"/>
        <v>77.198999999999984</v>
      </c>
      <c r="W26" s="323">
        <f t="shared" si="56"/>
        <v>54.827999999999996</v>
      </c>
      <c r="X26" s="324">
        <f t="shared" si="56"/>
        <v>81.480999999999966</v>
      </c>
      <c r="Y26" s="325">
        <f t="shared" si="56"/>
        <v>272.57299999999998</v>
      </c>
      <c r="Z26" s="323"/>
      <c r="AA26" s="110">
        <f t="shared" si="56"/>
        <v>88.577999999999989</v>
      </c>
      <c r="AB26" s="323">
        <f t="shared" si="56"/>
        <v>71.22</v>
      </c>
      <c r="AC26" s="323">
        <f>SUM(AC10:AC17)</f>
        <v>90.041999999999987</v>
      </c>
      <c r="AD26" s="323">
        <f>SUM(AD10:AD17)</f>
        <v>108.29999999999994</v>
      </c>
      <c r="AE26" s="325">
        <f t="shared" si="56"/>
        <v>358.13999999999993</v>
      </c>
      <c r="AF26" s="323"/>
      <c r="AG26" s="110">
        <f>SUM(AG10:AG17)</f>
        <v>65.44</v>
      </c>
      <c r="AH26" s="323">
        <f>SUM(AH10:AH17)</f>
        <v>96.328999999999965</v>
      </c>
      <c r="AI26" s="323">
        <f>SUM(AI10:AI17)</f>
        <v>51.228000000000037</v>
      </c>
      <c r="AJ26" s="323">
        <f>SUM(AJ10:AJ17)</f>
        <v>78.876000000000005</v>
      </c>
      <c r="AK26" s="325">
        <f>SUM(AK10:AK17)</f>
        <v>291.87299999999999</v>
      </c>
      <c r="AL26" s="323"/>
      <c r="AM26" s="110">
        <f>SUM(AM10:AM17)</f>
        <v>87.840000000000032</v>
      </c>
      <c r="AN26" s="323">
        <f>SUM(AN10:AN17)</f>
        <v>88.606000000000037</v>
      </c>
      <c r="AO26" s="323">
        <f>SUM(AO10:AO17)</f>
        <v>83.136000000000067</v>
      </c>
      <c r="AP26" s="323">
        <f>SUM(AP10:AP17)</f>
        <v>126.83900000000006</v>
      </c>
      <c r="AQ26" s="325">
        <f>SUM(AQ10:AQ17)</f>
        <v>386.42100000000016</v>
      </c>
      <c r="AR26" s="323"/>
      <c r="AS26" s="110">
        <f>SUM(AS10:AS17)</f>
        <v>37.087000000000003</v>
      </c>
      <c r="AT26" s="323">
        <f>SUM(AT10:AT17)</f>
        <v>178.02999999999997</v>
      </c>
      <c r="AU26" s="323">
        <f>SUM(AU10:AU17)</f>
        <v>145.60500000000005</v>
      </c>
      <c r="AV26" s="323">
        <f>SUM(AV10:AV17)</f>
        <v>140.54899999999992</v>
      </c>
      <c r="AW26" s="325">
        <f>SUM(AW10:AW17)</f>
        <v>501.27099999999984</v>
      </c>
      <c r="AX26" s="323"/>
      <c r="AY26" s="110">
        <f>SUM(AY10:AY17)</f>
        <v>66.77900000000011</v>
      </c>
      <c r="AZ26" s="323">
        <f>SUM(AZ10:AZ17)</f>
        <v>171.44499999999988</v>
      </c>
      <c r="BA26" s="323">
        <f>SUM(BA10:BA17)</f>
        <v>180.99399999999994</v>
      </c>
      <c r="BB26" s="323">
        <f>SUM(BB10:BB17)</f>
        <v>240.37799999999996</v>
      </c>
      <c r="BC26" s="325">
        <f>SUM(BC10:BC17)</f>
        <v>659.59599999999989</v>
      </c>
      <c r="BD26" s="323"/>
      <c r="BE26" s="110">
        <f>SUM(BE10:BE17)</f>
        <v>98.73100000000008</v>
      </c>
      <c r="BF26" s="323">
        <f>SUM(BF10:BF17)</f>
        <v>214.44500000000002</v>
      </c>
      <c r="BG26" s="323">
        <f>SUM(BG10:BG17)</f>
        <v>146.30400000000003</v>
      </c>
      <c r="BH26" s="323">
        <f>SUM(BH10:BH17)</f>
        <v>225.52800000000002</v>
      </c>
      <c r="BI26" s="325">
        <f>SUM(BI10:BI17)</f>
        <v>685.00800000000015</v>
      </c>
      <c r="BJ26" s="323"/>
      <c r="BK26" s="110">
        <f>SUM(BK10:BK17)</f>
        <v>168</v>
      </c>
      <c r="BL26" s="323">
        <f>SUM(BL10:BL17)</f>
        <v>178</v>
      </c>
      <c r="BM26" s="323">
        <f>SUM(BM10:BM17)</f>
        <v>235</v>
      </c>
      <c r="BN26" s="323">
        <f>SUM(BN10:BN17)</f>
        <v>294</v>
      </c>
      <c r="BO26" s="325">
        <f>SUM(BO10:BO17)</f>
        <v>875</v>
      </c>
      <c r="BP26" s="323"/>
      <c r="BQ26" s="110">
        <f>SUM(BQ10:BQ17)</f>
        <v>132.75621389601832</v>
      </c>
      <c r="BR26" s="323">
        <f>SUM(BR10:BR17)</f>
        <v>344.38335338971746</v>
      </c>
      <c r="BS26" s="323">
        <f>SUM(BS10:BS17)</f>
        <v>259.34747318487871</v>
      </c>
      <c r="BT26" s="324">
        <f>SUM(BT10:BT17)</f>
        <v>265.65390251852568</v>
      </c>
      <c r="BU26" s="325">
        <f>SUM(BU10:BU17)</f>
        <v>1002.1409429891405</v>
      </c>
      <c r="BV26" s="323"/>
      <c r="BW26" s="110">
        <f>SUM(BW10:BW17)</f>
        <v>159.86245072739734</v>
      </c>
      <c r="BX26" s="323">
        <f>SUM(BX10:BX17)</f>
        <v>378.76447232099872</v>
      </c>
      <c r="BY26" s="323">
        <f>SUM(BY10:BY17)</f>
        <v>284.90829531116526</v>
      </c>
      <c r="BZ26" s="324">
        <f>SUM(BZ10:BZ17)</f>
        <v>288.2647677674986</v>
      </c>
      <c r="CA26" s="325">
        <f>SUM(CA10:CA17)</f>
        <v>1111.79998612706</v>
      </c>
      <c r="CB26" s="323"/>
      <c r="CC26" s="110">
        <f>SUM(CC10:CC17)</f>
        <v>202.91586290012094</v>
      </c>
      <c r="CD26" s="323">
        <f>SUM(CD10:CD17)</f>
        <v>478.6679255189789</v>
      </c>
      <c r="CE26" s="323">
        <f>SUM(CE10:CE17)</f>
        <v>386.47867453563782</v>
      </c>
      <c r="CF26" s="324">
        <f>SUM(CF10:CF17)</f>
        <v>393.69430299555461</v>
      </c>
      <c r="CG26" s="325">
        <f>SUM(CG10:CG17)</f>
        <v>1461.7567659502924</v>
      </c>
      <c r="CH26" s="323"/>
      <c r="CI26" s="110">
        <f t="shared" ref="CI26:CM26" si="57">SUM(CI10:CI17)</f>
        <v>302.63958894808195</v>
      </c>
      <c r="CJ26" s="323">
        <f t="shared" si="57"/>
        <v>471.63747616883063</v>
      </c>
      <c r="CK26" s="323">
        <f t="shared" si="57"/>
        <v>367.22606928472453</v>
      </c>
      <c r="CL26" s="324">
        <f t="shared" si="57"/>
        <v>370.11352851676645</v>
      </c>
      <c r="CM26" s="325">
        <f t="shared" si="57"/>
        <v>1511.6166629184036</v>
      </c>
      <c r="CN26" s="323"/>
      <c r="CO26" s="110">
        <f t="shared" ref="CO26:CS26" si="58">SUM(CO10:CO17)</f>
        <v>274.20627899359459</v>
      </c>
      <c r="CP26" s="323">
        <f t="shared" si="58"/>
        <v>521.17204741218143</v>
      </c>
      <c r="CQ26" s="323">
        <f t="shared" si="58"/>
        <v>411.98858131858776</v>
      </c>
      <c r="CR26" s="324">
        <f t="shared" si="58"/>
        <v>416.71326273985687</v>
      </c>
      <c r="CS26" s="325">
        <f t="shared" si="58"/>
        <v>1624.0801704642206</v>
      </c>
      <c r="CT26" s="2394"/>
      <c r="CU26" s="2"/>
      <c r="CV26" s="2"/>
    </row>
    <row r="27" spans="1:100" ht="6" customHeight="1">
      <c r="A27" s="330"/>
      <c r="B27" s="102"/>
      <c r="C27" s="102"/>
      <c r="D27" s="15"/>
      <c r="E27" s="15"/>
      <c r="F27" s="103"/>
      <c r="G27" s="326"/>
      <c r="H27" s="102"/>
      <c r="I27" s="102"/>
      <c r="J27" s="15"/>
      <c r="K27" s="15"/>
      <c r="L27" s="103"/>
      <c r="M27" s="326"/>
      <c r="N27" s="131"/>
      <c r="O27" s="102"/>
      <c r="P27" s="15"/>
      <c r="Q27" s="15"/>
      <c r="R27" s="103"/>
      <c r="S27" s="326"/>
      <c r="T27" s="131"/>
      <c r="U27" s="102"/>
      <c r="V27" s="15"/>
      <c r="W27" s="15"/>
      <c r="X27" s="103"/>
      <c r="Y27" s="326"/>
      <c r="Z27" s="131"/>
      <c r="AA27" s="102"/>
      <c r="AB27" s="15"/>
      <c r="AC27" s="15"/>
      <c r="AD27" s="15"/>
      <c r="AE27" s="326"/>
      <c r="AF27" s="131"/>
      <c r="AG27" s="102"/>
      <c r="AH27" s="15"/>
      <c r="AI27" s="131"/>
      <c r="AJ27" s="15"/>
      <c r="AK27" s="326"/>
      <c r="AL27" s="131"/>
      <c r="AM27" s="102"/>
      <c r="AN27" s="15"/>
      <c r="AO27" s="15"/>
      <c r="AP27" s="103"/>
      <c r="AQ27" s="326"/>
      <c r="AR27" s="131"/>
      <c r="AS27" s="102"/>
      <c r="AT27" s="15"/>
      <c r="AU27" s="15"/>
      <c r="AV27" s="15"/>
      <c r="AW27" s="326"/>
      <c r="AX27" s="131"/>
      <c r="AY27" s="1858"/>
      <c r="AZ27" s="15"/>
      <c r="BA27" s="15"/>
      <c r="BB27" s="15"/>
      <c r="BC27" s="326"/>
      <c r="BD27" s="131"/>
      <c r="BE27" s="102"/>
      <c r="BF27" s="15"/>
      <c r="BG27" s="15"/>
      <c r="BH27" s="15"/>
      <c r="BI27" s="326"/>
      <c r="BJ27" s="131"/>
      <c r="BK27" s="102"/>
      <c r="BL27" s="15"/>
      <c r="BM27" s="15"/>
      <c r="BN27" s="15"/>
      <c r="BO27" s="326"/>
      <c r="BP27" s="131"/>
      <c r="BQ27" s="102"/>
      <c r="BR27" s="15"/>
      <c r="BS27" s="15"/>
      <c r="BT27" s="103"/>
      <c r="BU27" s="326"/>
      <c r="BV27" s="131"/>
      <c r="BW27" s="102"/>
      <c r="BX27" s="15"/>
      <c r="BY27" s="15"/>
      <c r="BZ27" s="103"/>
      <c r="CA27" s="326"/>
      <c r="CB27" s="131"/>
      <c r="CC27" s="102"/>
      <c r="CD27" s="15"/>
      <c r="CE27" s="15"/>
      <c r="CF27" s="103"/>
      <c r="CG27" s="326"/>
      <c r="CH27" s="131"/>
      <c r="CI27" s="102"/>
      <c r="CJ27" s="15"/>
      <c r="CK27" s="15"/>
      <c r="CL27" s="103"/>
      <c r="CM27" s="326"/>
      <c r="CN27" s="131"/>
      <c r="CO27" s="102"/>
      <c r="CP27" s="15"/>
      <c r="CQ27" s="15"/>
      <c r="CR27" s="103"/>
      <c r="CS27" s="326"/>
      <c r="CT27" s="15"/>
      <c r="CU27" s="1"/>
      <c r="CV27" s="1"/>
    </row>
    <row r="28" spans="1:100">
      <c r="A28" s="1890" t="s">
        <v>261</v>
      </c>
      <c r="B28" s="102"/>
      <c r="C28" s="102"/>
      <c r="D28" s="15"/>
      <c r="E28" s="15"/>
      <c r="F28" s="103"/>
      <c r="G28" s="326"/>
      <c r="H28" s="102"/>
      <c r="I28" s="102"/>
      <c r="J28" s="15"/>
      <c r="K28" s="15"/>
      <c r="L28" s="103"/>
      <c r="M28" s="326"/>
      <c r="N28" s="131"/>
      <c r="O28" s="102"/>
      <c r="P28" s="15"/>
      <c r="Q28" s="15"/>
      <c r="R28" s="103"/>
      <c r="S28" s="326"/>
      <c r="T28" s="131"/>
      <c r="U28" s="102"/>
      <c r="V28" s="15"/>
      <c r="W28" s="15"/>
      <c r="X28" s="103"/>
      <c r="Y28" s="326"/>
      <c r="Z28" s="131"/>
      <c r="AA28" s="102"/>
      <c r="AB28" s="15"/>
      <c r="AC28" s="15"/>
      <c r="AD28" s="15"/>
      <c r="AE28" s="326"/>
      <c r="AF28" s="131"/>
      <c r="AG28" s="102"/>
      <c r="AH28" s="15"/>
      <c r="AI28" s="327"/>
      <c r="AJ28" s="15"/>
      <c r="AK28" s="326"/>
      <c r="AL28" s="131"/>
      <c r="AM28" s="102"/>
      <c r="AN28" s="15"/>
      <c r="AO28" s="15"/>
      <c r="AP28" s="103"/>
      <c r="AQ28" s="326"/>
      <c r="AR28" s="131"/>
      <c r="AS28" s="102"/>
      <c r="AT28" s="15"/>
      <c r="AU28" s="15"/>
      <c r="AV28" s="15"/>
      <c r="AW28" s="326"/>
      <c r="AX28" s="131"/>
      <c r="AY28" s="1858"/>
      <c r="AZ28" s="15"/>
      <c r="BA28" s="15"/>
      <c r="BB28" s="15"/>
      <c r="BC28" s="326"/>
      <c r="BD28" s="131"/>
      <c r="BE28" s="102"/>
      <c r="BF28" s="15"/>
      <c r="BG28" s="15"/>
      <c r="BH28" s="15"/>
      <c r="BI28" s="326"/>
      <c r="BJ28" s="131"/>
      <c r="BK28" s="102"/>
      <c r="BL28" s="15"/>
      <c r="BM28" s="15"/>
      <c r="BN28" s="15"/>
      <c r="BO28" s="326"/>
      <c r="BP28" s="131"/>
      <c r="BQ28" s="102"/>
      <c r="BR28" s="15"/>
      <c r="BS28" s="15"/>
      <c r="BT28" s="103"/>
      <c r="BU28" s="326"/>
      <c r="BV28" s="131"/>
      <c r="BW28" s="102"/>
      <c r="BX28" s="15"/>
      <c r="BY28" s="15"/>
      <c r="BZ28" s="103"/>
      <c r="CA28" s="326"/>
      <c r="CB28" s="131"/>
      <c r="CC28" s="102"/>
      <c r="CD28" s="15"/>
      <c r="CE28" s="15"/>
      <c r="CF28" s="103"/>
      <c r="CG28" s="326"/>
      <c r="CH28" s="131"/>
      <c r="CI28" s="102"/>
      <c r="CJ28" s="15"/>
      <c r="CK28" s="15"/>
      <c r="CL28" s="103"/>
      <c r="CM28" s="326"/>
      <c r="CN28" s="131"/>
      <c r="CO28" s="102"/>
      <c r="CP28" s="15"/>
      <c r="CQ28" s="15"/>
      <c r="CR28" s="103"/>
      <c r="CS28" s="326"/>
      <c r="CT28" s="15"/>
      <c r="CU28" s="1"/>
      <c r="CV28" s="1"/>
    </row>
    <row r="29" spans="1:100">
      <c r="A29" s="1888" t="s">
        <v>262</v>
      </c>
      <c r="B29" s="102"/>
      <c r="C29" s="104">
        <v>-3.2389999999999999</v>
      </c>
      <c r="D29" s="16">
        <f>-9.925-C29</f>
        <v>-6.6860000000000008</v>
      </c>
      <c r="E29" s="16">
        <f>-15.257-D29-C29</f>
        <v>-5.3319999999999981</v>
      </c>
      <c r="F29" s="105">
        <f>-24.343-SUM(C29:E29)</f>
        <v>-9.0860000000000021</v>
      </c>
      <c r="G29" s="326">
        <f>SUM(C29:F29)</f>
        <v>-24.343</v>
      </c>
      <c r="H29" s="102"/>
      <c r="I29" s="104">
        <v>-6.9630000000000001</v>
      </c>
      <c r="J29" s="16">
        <f>-29.823-I29</f>
        <v>-22.86</v>
      </c>
      <c r="K29" s="16">
        <f>-45.139-J29-I29</f>
        <v>-15.316000000000003</v>
      </c>
      <c r="L29" s="105">
        <f>-59.693-SUM(I29:K29)</f>
        <v>-14.553999999999995</v>
      </c>
      <c r="M29" s="326">
        <f>SUM(I29:L29)</f>
        <v>-59.692999999999998</v>
      </c>
      <c r="N29" s="15"/>
      <c r="O29" s="104">
        <v>-12.569000000000001</v>
      </c>
      <c r="P29" s="16">
        <f>-26.591-O29</f>
        <v>-14.022</v>
      </c>
      <c r="Q29" s="16">
        <f>-46.288-P29-O29</f>
        <v>-19.696999999999996</v>
      </c>
      <c r="R29" s="105">
        <f>-52.673-SUM(O29:Q29)</f>
        <v>-6.3850000000000051</v>
      </c>
      <c r="S29" s="326">
        <f>SUM(O29:R29)</f>
        <v>-52.673000000000002</v>
      </c>
      <c r="T29" s="15"/>
      <c r="U29" s="104">
        <v>-11.18</v>
      </c>
      <c r="V29" s="16">
        <f>-24.322-U29</f>
        <v>-13.141999999999999</v>
      </c>
      <c r="W29" s="16">
        <f>-37.434-V29-U29</f>
        <v>-13.111999999999998</v>
      </c>
      <c r="X29" s="105">
        <f>-49.818-SUM(U29:W29)</f>
        <v>-12.384</v>
      </c>
      <c r="Y29" s="326">
        <f>SUM(U29:X29)</f>
        <v>-49.817999999999998</v>
      </c>
      <c r="Z29" s="15"/>
      <c r="AA29" s="104">
        <v>-12.3</v>
      </c>
      <c r="AB29" s="16">
        <f>-28.503-AA29</f>
        <v>-16.202999999999999</v>
      </c>
      <c r="AC29" s="16">
        <f>-50.686-SUM(AA29:AB29)</f>
        <v>-22.183</v>
      </c>
      <c r="AD29" s="16">
        <f>-77.8-SUM(AA29:AC29)</f>
        <v>-27.113999999999997</v>
      </c>
      <c r="AE29" s="326">
        <f>SUM(AA29:AD29)</f>
        <v>-77.8</v>
      </c>
      <c r="AF29" s="15"/>
      <c r="AG29" s="104">
        <v>-13.084</v>
      </c>
      <c r="AH29" s="16">
        <f>-34.03-AG29</f>
        <v>-20.946000000000002</v>
      </c>
      <c r="AI29" s="16">
        <f>-51.68-AG29-AH29</f>
        <v>-17.650000000000002</v>
      </c>
      <c r="AJ29" s="16">
        <f>-68.781-SUM(AG29:AI29)</f>
        <v>-17.100999999999999</v>
      </c>
      <c r="AK29" s="326">
        <f>SUM(AG29:AJ29)</f>
        <v>-68.781000000000006</v>
      </c>
      <c r="AL29" s="15"/>
      <c r="AM29" s="104">
        <v>-21.440999999999999</v>
      </c>
      <c r="AN29" s="16">
        <f>-32.975-AM29</f>
        <v>-11.534000000000002</v>
      </c>
      <c r="AO29" s="16">
        <f>-51.905-AM29-AN29</f>
        <v>-18.93</v>
      </c>
      <c r="AP29" s="12">
        <f>-79.215-SUM(AM29:AO29)</f>
        <v>-27.310000000000002</v>
      </c>
      <c r="AQ29" s="326">
        <f>SUM(AM29:AP29)</f>
        <v>-79.215000000000003</v>
      </c>
      <c r="AR29" s="15"/>
      <c r="AS29" s="104">
        <v>-19.012</v>
      </c>
      <c r="AT29" s="16">
        <f>-42.336-AS29</f>
        <v>-23.323999999999998</v>
      </c>
      <c r="AU29" s="7">
        <f>-71.164-SUM(AS29:AT29)</f>
        <v>-28.828000000000003</v>
      </c>
      <c r="AV29" s="7">
        <f>-105.996-SUM(AS29:AU29)</f>
        <v>-34.831999999999994</v>
      </c>
      <c r="AW29" s="326">
        <f>SUM(AS29:AV29)</f>
        <v>-105.996</v>
      </c>
      <c r="AX29" s="15"/>
      <c r="AY29" s="104">
        <v>-36.551000000000002</v>
      </c>
      <c r="AZ29" s="7">
        <f>-77.902-AY29</f>
        <v>-41.350999999999999</v>
      </c>
      <c r="BA29" s="2024">
        <f>-107.361-SUM(AY29:AZ29)</f>
        <v>-29.459000000000003</v>
      </c>
      <c r="BB29" s="7">
        <f>-142.847-SUM(AY29:BA29)</f>
        <v>-35.486000000000004</v>
      </c>
      <c r="BC29" s="326">
        <f>SUM(AY29:BB29)</f>
        <v>-142.84700000000001</v>
      </c>
      <c r="BD29" s="15"/>
      <c r="BE29" s="2767">
        <v>-53.417999999999999</v>
      </c>
      <c r="BF29" s="2743">
        <f>-121.231-BE29</f>
        <v>-67.812999999999988</v>
      </c>
      <c r="BG29" s="2743">
        <f>-178.353-SUM(BE29:BF29)</f>
        <v>-57.122000000000014</v>
      </c>
      <c r="BH29" s="2743">
        <f>-259.891-SUM(BE29:BG29)</f>
        <v>-81.538000000000011</v>
      </c>
      <c r="BI29" s="326">
        <f>SUM(BE29:BH29)</f>
        <v>-259.89100000000002</v>
      </c>
      <c r="BJ29" s="15"/>
      <c r="BK29" s="2767">
        <v>-83</v>
      </c>
      <c r="BL29" s="2743">
        <f>-152-BK29</f>
        <v>-69</v>
      </c>
      <c r="BM29" s="2743">
        <f>-234-SUM(BK29:BL29)</f>
        <v>-82</v>
      </c>
      <c r="BN29" s="2743">
        <f>-310-SUM(BK29:BM29)</f>
        <v>-76</v>
      </c>
      <c r="BO29" s="326">
        <f>SUM(BK29:BN29)</f>
        <v>-310</v>
      </c>
      <c r="BP29" s="15"/>
      <c r="BQ29" s="102">
        <f>-BS!BQ94</f>
        <v>-86.02</v>
      </c>
      <c r="BR29" s="15">
        <f>-BS!BR94</f>
        <v>-86.947538676907158</v>
      </c>
      <c r="BS29" s="15">
        <f>-BS!BS94</f>
        <v>-88.624431332875801</v>
      </c>
      <c r="BT29" s="103">
        <f>-BS!BT94</f>
        <v>-92.434993988844454</v>
      </c>
      <c r="BU29" s="326">
        <f>SUM(BQ29:BT29)</f>
        <v>-354.02696399862742</v>
      </c>
      <c r="BV29" s="15"/>
      <c r="BW29" s="102">
        <f>-BS!BW94</f>
        <v>-95.992943145262046</v>
      </c>
      <c r="BX29" s="15">
        <f>-BS!BX94</f>
        <v>-95.724610417064198</v>
      </c>
      <c r="BY29" s="15">
        <f>-BS!BY94</f>
        <v>-97.027563381174062</v>
      </c>
      <c r="BZ29" s="103">
        <f>-BS!BZ94</f>
        <v>-100.9610774991301</v>
      </c>
      <c r="CA29" s="326">
        <f>SUM(BW29:BZ29)</f>
        <v>-389.70619444263042</v>
      </c>
      <c r="CB29" s="15"/>
      <c r="CC29" s="102">
        <f>-BS!CC94</f>
        <v>-105.74127421176067</v>
      </c>
      <c r="CD29" s="15">
        <f>-BS!CD94</f>
        <v>-105.53981716948</v>
      </c>
      <c r="CE29" s="15">
        <f>-BS!CE94</f>
        <v>-106.94719430388574</v>
      </c>
      <c r="CF29" s="103">
        <f>-BS!CF94</f>
        <v>-111.43642931225597</v>
      </c>
      <c r="CG29" s="326">
        <f>SUM(CC29:CF29)</f>
        <v>-429.66471499738236</v>
      </c>
      <c r="CH29" s="15"/>
      <c r="CI29" s="102">
        <f>-BS!CI94</f>
        <v>-116.77322099988106</v>
      </c>
      <c r="CJ29" s="15">
        <f>-BS!CJ94</f>
        <v>-116.52988072449349</v>
      </c>
      <c r="CK29" s="15">
        <f>-BS!CK94</f>
        <v>-118.01762790261965</v>
      </c>
      <c r="CL29" s="103">
        <f>-BS!CL94</f>
        <v>-123.27390480134231</v>
      </c>
      <c r="CM29" s="326">
        <f t="shared" ref="CM29:CM33" si="59">SUM(CI29:CL29)</f>
        <v>-474.59463442833652</v>
      </c>
      <c r="CN29" s="15"/>
      <c r="CO29" s="102">
        <f>-BS!CO94</f>
        <v>-128.40538532447496</v>
      </c>
      <c r="CP29" s="15">
        <f>-BS!CP94</f>
        <v>-128.69951208044861</v>
      </c>
      <c r="CQ29" s="15">
        <f>-BS!CQ94</f>
        <v>-130.81654812524735</v>
      </c>
      <c r="CR29" s="103">
        <f>-BS!CR94</f>
        <v>-136.80278306028947</v>
      </c>
      <c r="CS29" s="326">
        <f t="shared" ref="CS29:CS33" si="60">SUM(CO29:CR29)</f>
        <v>-524.72422859046037</v>
      </c>
      <c r="CT29" s="15"/>
      <c r="CU29" s="2"/>
      <c r="CV29" s="2"/>
    </row>
    <row r="30" spans="1:100" outlineLevel="1">
      <c r="A30" s="1888" t="s">
        <v>263</v>
      </c>
      <c r="B30" s="13"/>
      <c r="C30" s="104">
        <v>-157.55000000000001</v>
      </c>
      <c r="D30" s="16">
        <f>-296.879-C30</f>
        <v>-139.32900000000001</v>
      </c>
      <c r="E30" s="16">
        <f>-449.088-D30-C30</f>
        <v>-152.209</v>
      </c>
      <c r="F30" s="105">
        <f>-598.383-SUM(C30:E30)</f>
        <v>-149.29500000000002</v>
      </c>
      <c r="G30" s="326">
        <f>SUM(C30:F30)</f>
        <v>-598.38300000000004</v>
      </c>
      <c r="H30" s="102"/>
      <c r="I30" s="104">
        <v>-166.178</v>
      </c>
      <c r="J30" s="16">
        <f>-247.451-I30</f>
        <v>-81.272999999999996</v>
      </c>
      <c r="K30" s="16">
        <f>-430.851-J30-I30</f>
        <v>-183.39999999999998</v>
      </c>
      <c r="L30" s="105">
        <f>-568.707-SUM(I30:K30)</f>
        <v>-137.85599999999999</v>
      </c>
      <c r="M30" s="326">
        <f>SUM(I30:L30)</f>
        <v>-568.70699999999999</v>
      </c>
      <c r="N30" s="15"/>
      <c r="O30" s="104">
        <v>-171.60900000000001</v>
      </c>
      <c r="P30" s="16">
        <f>-334.764-O30</f>
        <v>-163.155</v>
      </c>
      <c r="Q30" s="16">
        <f>-563.29-P30-O30</f>
        <v>-228.52599999999998</v>
      </c>
      <c r="R30" s="105">
        <f>-694.487-SUM(O30:Q30)</f>
        <v>-131.197</v>
      </c>
      <c r="S30" s="326">
        <f>SUM(O30:R30)</f>
        <v>-694.48699999999997</v>
      </c>
      <c r="T30" s="15"/>
      <c r="U30" s="104">
        <v>-114.039</v>
      </c>
      <c r="V30" s="16">
        <f>-313.017-U30</f>
        <v>-198.97800000000001</v>
      </c>
      <c r="W30" s="16">
        <f>-663.43-V30-U30</f>
        <v>-350.41299999999995</v>
      </c>
      <c r="X30" s="105">
        <f>-846.208-SUM(U30:W30)</f>
        <v>-182.77800000000002</v>
      </c>
      <c r="Y30" s="326">
        <f>SUM(U30:X30)</f>
        <v>-846.20799999999997</v>
      </c>
      <c r="Z30" s="15"/>
      <c r="AA30" s="104">
        <v>-360.65699999999998</v>
      </c>
      <c r="AB30" s="16">
        <f>-806.985-AA30</f>
        <v>-446.32800000000003</v>
      </c>
      <c r="AC30" s="16">
        <f>-1076.674-SUM(AA30:AB30)</f>
        <v>-269.68899999999996</v>
      </c>
      <c r="AD30" s="16">
        <f>-1310.269-SUM(AA30:AC30)</f>
        <v>-233.59500000000003</v>
      </c>
      <c r="AE30" s="326">
        <f>SUM(AA30:AD30)</f>
        <v>-1310.269</v>
      </c>
      <c r="AF30" s="15"/>
      <c r="AG30" s="104">
        <v>-331.65199999999999</v>
      </c>
      <c r="AH30" s="16">
        <f>-562.241-AG30</f>
        <v>-230.589</v>
      </c>
      <c r="AI30" s="16">
        <f>-802.353-AG30-AH30</f>
        <v>-240.11199999999997</v>
      </c>
      <c r="AJ30" s="16">
        <f>-925.478-SUM(AG30:AI30)</f>
        <v>-123.125</v>
      </c>
      <c r="AK30" s="326">
        <f>SUM(AG30:AJ30)</f>
        <v>-925.47799999999995</v>
      </c>
      <c r="AL30" s="15"/>
      <c r="AM30" s="104">
        <v>-97.48</v>
      </c>
      <c r="AN30" s="16">
        <f>-157.499-AM30</f>
        <v>-60.018999999999991</v>
      </c>
      <c r="AO30" s="16">
        <f>-178.512-AM30-AN30</f>
        <v>-21.013000000000005</v>
      </c>
      <c r="AP30" s="12">
        <f>-364.001-SUM(AM30:AO30)</f>
        <v>-185.48899999999998</v>
      </c>
      <c r="AQ30" s="326">
        <f>SUM(AM30:AP30)</f>
        <v>-364.00099999999998</v>
      </c>
      <c r="AR30" s="15"/>
      <c r="AS30" s="104">
        <v>-253.255</v>
      </c>
      <c r="AT30" s="16">
        <f>-358.874-AS30</f>
        <v>-105.61900000000003</v>
      </c>
      <c r="AU30" s="7">
        <f>-428.7-SUM(AS30:AT30)</f>
        <v>-69.825999999999965</v>
      </c>
      <c r="AV30" s="7">
        <f>-791.252-SUM(AS30:AU30)</f>
        <v>-362.55199999999996</v>
      </c>
      <c r="AW30" s="326">
        <f>SUM(AS30:AV30)</f>
        <v>-791.25199999999995</v>
      </c>
      <c r="AX30" s="15"/>
      <c r="AY30" s="104">
        <v>-325.38299999999998</v>
      </c>
      <c r="AZ30" s="7">
        <f>-578.425-AY30</f>
        <v>-253.04199999999997</v>
      </c>
      <c r="BA30" s="2024">
        <f>-713.862-SUM(AY30:AZ30)</f>
        <v>-135.43700000000001</v>
      </c>
      <c r="BB30" s="7">
        <f>-797.022-SUM(AY30:BA30)</f>
        <v>-83.160000000000082</v>
      </c>
      <c r="BC30" s="326">
        <f>SUM(AY30:BB30)</f>
        <v>-797.02200000000005</v>
      </c>
      <c r="BD30" s="15"/>
      <c r="BE30" s="2767">
        <v>-84.882000000000005</v>
      </c>
      <c r="BF30" s="2743">
        <f>-302.547-BE30</f>
        <v>-217.66500000000002</v>
      </c>
      <c r="BG30" s="2743">
        <f>-679.064-SUM(BE30:BF30)</f>
        <v>-376.51699999999994</v>
      </c>
      <c r="BH30" s="2743">
        <f>-894.369-SUM(BE30:BG30)</f>
        <v>-215.30500000000006</v>
      </c>
      <c r="BI30" s="326">
        <f>SUM(BE30:BH30)</f>
        <v>-894.36900000000003</v>
      </c>
      <c r="BJ30" s="15"/>
      <c r="BK30" s="2767">
        <v>-61</v>
      </c>
      <c r="BL30" s="2743">
        <f>-86-BK30</f>
        <v>-25</v>
      </c>
      <c r="BM30" s="2743">
        <f>-359-SUM(BK30:BL30)</f>
        <v>-273</v>
      </c>
      <c r="BN30" s="2743">
        <f>-742-SUM(BK30:BM30)</f>
        <v>-383</v>
      </c>
      <c r="BO30" s="326">
        <f>SUM(BK30:BN30)</f>
        <v>-742</v>
      </c>
      <c r="BP30" s="15"/>
      <c r="BQ30" s="104">
        <v>0</v>
      </c>
      <c r="BR30" s="16">
        <v>0</v>
      </c>
      <c r="BS30" s="16">
        <v>0</v>
      </c>
      <c r="BT30" s="105">
        <v>0</v>
      </c>
      <c r="BU30" s="326">
        <f>SUM(BQ30:BT30)</f>
        <v>0</v>
      </c>
      <c r="BV30" s="15"/>
      <c r="BW30" s="104">
        <v>0</v>
      </c>
      <c r="BX30" s="16">
        <v>0</v>
      </c>
      <c r="BY30" s="16">
        <v>0</v>
      </c>
      <c r="BZ30" s="105">
        <v>0</v>
      </c>
      <c r="CA30" s="326">
        <f>SUM(BW30:BZ30)</f>
        <v>0</v>
      </c>
      <c r="CB30" s="15"/>
      <c r="CC30" s="104">
        <v>0</v>
      </c>
      <c r="CD30" s="16">
        <v>0</v>
      </c>
      <c r="CE30" s="16">
        <v>0</v>
      </c>
      <c r="CF30" s="105">
        <v>0</v>
      </c>
      <c r="CG30" s="326">
        <f>SUM(CC30:CF30)</f>
        <v>0</v>
      </c>
      <c r="CH30" s="15"/>
      <c r="CI30" s="104">
        <v>0</v>
      </c>
      <c r="CJ30" s="16">
        <v>0</v>
      </c>
      <c r="CK30" s="16">
        <v>0</v>
      </c>
      <c r="CL30" s="105">
        <v>0</v>
      </c>
      <c r="CM30" s="326">
        <f t="shared" si="59"/>
        <v>0</v>
      </c>
      <c r="CN30" s="15"/>
      <c r="CO30" s="104">
        <v>0</v>
      </c>
      <c r="CP30" s="16">
        <v>0</v>
      </c>
      <c r="CQ30" s="16">
        <v>0</v>
      </c>
      <c r="CR30" s="105">
        <v>0</v>
      </c>
      <c r="CS30" s="326">
        <f t="shared" si="60"/>
        <v>0</v>
      </c>
      <c r="CT30" s="15"/>
      <c r="CU30" s="2"/>
      <c r="CV30" s="2"/>
    </row>
    <row r="31" spans="1:100" outlineLevel="1">
      <c r="A31" s="1888" t="s">
        <v>265</v>
      </c>
      <c r="B31" s="13" t="s">
        <v>16</v>
      </c>
      <c r="C31" s="104">
        <v>49.634</v>
      </c>
      <c r="D31" s="16">
        <f>130.308-C31</f>
        <v>80.673999999999992</v>
      </c>
      <c r="E31" s="16">
        <f>256.239-D31-C31</f>
        <v>125.931</v>
      </c>
      <c r="F31" s="105">
        <f>479.415-SUM(C31:E31)</f>
        <v>223.17600000000004</v>
      </c>
      <c r="G31" s="326">
        <f>SUM(C31:F31)</f>
        <v>479.41500000000002</v>
      </c>
      <c r="H31" s="102"/>
      <c r="I31" s="104">
        <v>165.018</v>
      </c>
      <c r="J31" s="16">
        <f>231.767-I31</f>
        <v>66.748999999999995</v>
      </c>
      <c r="K31" s="16">
        <f>290.629-J31-I31</f>
        <v>58.862000000000023</v>
      </c>
      <c r="L31" s="105">
        <f>411.817-SUM(I31:K31)</f>
        <v>121.18799999999999</v>
      </c>
      <c r="M31" s="326">
        <f>SUM(I31:L31)</f>
        <v>411.81700000000001</v>
      </c>
      <c r="N31" s="15"/>
      <c r="O31" s="104">
        <v>162.31</v>
      </c>
      <c r="P31" s="16">
        <f>266.027-O31</f>
        <v>103.71699999999998</v>
      </c>
      <c r="Q31" s="16">
        <f>356.281-P31-O31</f>
        <v>90.254000000000019</v>
      </c>
      <c r="R31" s="105">
        <f>514.216-SUM(O31:Q31)</f>
        <v>157.935</v>
      </c>
      <c r="S31" s="326">
        <f>SUM(O31:R31)</f>
        <v>514.21600000000001</v>
      </c>
      <c r="T31" s="15"/>
      <c r="U31" s="104">
        <v>126.706</v>
      </c>
      <c r="V31" s="16">
        <f>256.034-U31</f>
        <v>129.32799999999997</v>
      </c>
      <c r="W31" s="16">
        <f>558.128-V31-U31</f>
        <v>302.09400000000005</v>
      </c>
      <c r="X31" s="105">
        <f>688.611+54.9-SUM(U31:W31)</f>
        <v>185.38299999999992</v>
      </c>
      <c r="Y31" s="326">
        <f>SUM(U31:X31)</f>
        <v>743.51099999999997</v>
      </c>
      <c r="Z31" s="15"/>
      <c r="AA31" s="104">
        <v>278.97199999999998</v>
      </c>
      <c r="AB31" s="16">
        <f>476.46-AA31</f>
        <v>197.488</v>
      </c>
      <c r="AC31" s="16">
        <f>840.107-SUM(AA31:AB31)</f>
        <v>363.64699999999999</v>
      </c>
      <c r="AD31" s="16">
        <f>900.884+160.007-SUM(AA31:AC31)</f>
        <v>220.78400000000011</v>
      </c>
      <c r="AE31" s="326">
        <f>SUM(AA31:AD31)</f>
        <v>1060.8910000000001</v>
      </c>
      <c r="AF31" s="15"/>
      <c r="AG31" s="104">
        <f>188.766+21.6</f>
        <v>210.36599999999999</v>
      </c>
      <c r="AH31" s="16">
        <f>359.637-AG31+100.146</f>
        <v>249.41700000000003</v>
      </c>
      <c r="AI31" s="16">
        <f>666.579+128.346-AG31-AH31</f>
        <v>335.14199999999994</v>
      </c>
      <c r="AJ31" s="16">
        <f>733.326+165.424-SUM(AG31:AI31)</f>
        <v>103.82500000000005</v>
      </c>
      <c r="AK31" s="326">
        <f>SUM(AG31:AJ31)</f>
        <v>898.75</v>
      </c>
      <c r="AL31" s="15"/>
      <c r="AM31" s="104">
        <f>322.955+66.559</f>
        <v>389.51400000000001</v>
      </c>
      <c r="AN31" s="16">
        <f>604.031+111.331-AM31</f>
        <v>325.84799999999996</v>
      </c>
      <c r="AO31" s="16">
        <f>622.699+123.231-AM31-AN31</f>
        <v>30.567999999999984</v>
      </c>
      <c r="AP31" s="12">
        <f>523.635+289.197-SUM(AM31:AO31)</f>
        <v>66.902000000000044</v>
      </c>
      <c r="AQ31" s="326">
        <f>SUM(AM31:AP31)</f>
        <v>812.83199999999999</v>
      </c>
      <c r="AR31" s="15"/>
      <c r="AS31" s="104">
        <f>89.03+44.075</f>
        <v>133.10500000000002</v>
      </c>
      <c r="AT31" s="16">
        <f>291.264+92.643-AS31</f>
        <v>250.80200000000002</v>
      </c>
      <c r="AU31" s="7">
        <f>324.554+118.229-SUM(AS31:AT31)</f>
        <v>58.87599999999992</v>
      </c>
      <c r="AV31" s="7">
        <f>150.229+391.655-SUM(AS31:AU31)</f>
        <v>99.101000000000056</v>
      </c>
      <c r="AW31" s="326">
        <f>SUM(AS31:AV31)</f>
        <v>541.88400000000001</v>
      </c>
      <c r="AX31" s="15"/>
      <c r="AY31" s="104">
        <f>152.156+42.564</f>
        <v>194.72</v>
      </c>
      <c r="AZ31" s="7">
        <f>263.447+95.612-AY31</f>
        <v>164.33899999999997</v>
      </c>
      <c r="BA31" s="2024">
        <f>335.351+189.929-SUM(AY31:AZ31)</f>
        <v>166.221</v>
      </c>
      <c r="BB31" s="7">
        <f>582.528+294.224-SUM(AY31:BA31)</f>
        <v>351.47199999999998</v>
      </c>
      <c r="BC31" s="326">
        <f>SUM(AY31:BB31)</f>
        <v>876.75199999999995</v>
      </c>
      <c r="BD31" s="15"/>
      <c r="BE31" s="2767">
        <f>39.009+76.455</f>
        <v>115.464</v>
      </c>
      <c r="BF31" s="2743">
        <f>335.299+112.675-BE31</f>
        <v>332.51</v>
      </c>
      <c r="BG31" s="2743">
        <f>406.286+148.29-SUM(BE31:BF31)</f>
        <v>106.60200000000003</v>
      </c>
      <c r="BH31" s="2743">
        <f>543.252+139.642-SUM(BE31:BG31)</f>
        <v>128.31799999999998</v>
      </c>
      <c r="BI31" s="326">
        <f>SUM(BE31:BH31)</f>
        <v>682.89400000000001</v>
      </c>
      <c r="BJ31" s="15"/>
      <c r="BK31" s="2767">
        <f>40+48</f>
        <v>88</v>
      </c>
      <c r="BL31" s="2743">
        <f>139+96-BK31</f>
        <v>147</v>
      </c>
      <c r="BM31" s="2743">
        <f>314+181-SUM(BK31:BL31)</f>
        <v>260</v>
      </c>
      <c r="BN31" s="2743">
        <f>322+321-SUM(BK31:BM31)</f>
        <v>148</v>
      </c>
      <c r="BO31" s="326">
        <f>SUM(BK31:BN31)</f>
        <v>643</v>
      </c>
      <c r="BP31" s="15"/>
      <c r="BQ31" s="102">
        <f>IF(SUM(BQ26,BQ29:BQ30,BQ32:BQ33,BQ43,BQ45,BQ48)&lt;100,100-SUM( BQ26,BQ29:BQ30,BQ32:BQ33,BQ43,BQ45,BQ48),0)</f>
        <v>0</v>
      </c>
      <c r="BR31" s="15">
        <f>IF(SUM(BR26,BR29:BR30,BR32:BR33,BR43,BR45,BR48)&lt;100,100-SUM( BR26,BR29:BR30,BR32:BR33,BR43,BR45,BR48),0)</f>
        <v>0</v>
      </c>
      <c r="BS31" s="15">
        <f>IF(SUM(BS26,BS29:BS30,BS32:BS33,BS43,BS45,BS48)&lt;100,100-SUM( BS26,BS29:BS30,BS32:BS33,BS43,BS45,BS48),0)</f>
        <v>0</v>
      </c>
      <c r="BT31" s="103">
        <f>IF(SUM(BT26,BT29:BT30,BT32:BT33,BT43,BT45,BT48)&lt;100,100-SUM( BT26,BT29:BT30,BT32:BT33,BT43,BT45,BT48),0)</f>
        <v>0</v>
      </c>
      <c r="BU31" s="326">
        <f>SUM(BQ31:BT31)</f>
        <v>0</v>
      </c>
      <c r="BV31" s="15"/>
      <c r="BW31" s="102">
        <f>IF(SUM(BW26,BW29:BW30,BW32:BW33,BW43,BW45,BW48)&lt;100,100-SUM( BW26,BW29:BW30,BW32:BW33,BW43,BW45,BW48),0)</f>
        <v>0</v>
      </c>
      <c r="BX31" s="15">
        <f>IF(SUM(BX26,BX29:BX30,BX32:BX33,BX43,BX45,BX48)&lt;100,100-SUM( BX26,BX29:BX30,BX32:BX33,BX43,BX45,BX48),0)</f>
        <v>0</v>
      </c>
      <c r="BY31" s="15">
        <f>IF(SUM(BY26,BY29:BY30,BY32:BY33,BY43,BY45,BY48)&lt;100,100-SUM( BY26,BY29:BY30,BY32:BY33,BY43,BY45,BY48),0)</f>
        <v>0</v>
      </c>
      <c r="BZ31" s="103">
        <f>IF(SUM(BZ26,BZ29:BZ30,BZ32:BZ33,BZ43,BZ45,BZ48)&lt;100,100-SUM( BZ26,BZ29:BZ30,BZ32:BZ33,BZ43,BZ45,BZ48),0)</f>
        <v>0</v>
      </c>
      <c r="CA31" s="326">
        <f>SUM(BW31:BZ31)</f>
        <v>0</v>
      </c>
      <c r="CB31" s="15"/>
      <c r="CC31" s="102">
        <f>IF(SUM(CC26,CC29:CC30,CC32:CC33,CC43,CC45,CC48)&lt;100,100-SUM( CC26,CC29:CC30,CC32:CC33,CC43,CC45,CC48),0)</f>
        <v>0</v>
      </c>
      <c r="CD31" s="15">
        <f>IF(SUM(CD26,CD29:CD30,CD32:CD33,CD43,CD45,CD48)&lt;100,100-SUM( CD26,CD29:CD30,CD32:CD33,CD43,CD45,CD48),0)</f>
        <v>0</v>
      </c>
      <c r="CE31" s="15">
        <f>IF(SUM(CE26,CE29:CE30,CE32:CE33,CE43,CE45,CE48)&lt;100,100-SUM( CE26,CE29:CE30,CE32:CE33,CE43,CE45,CE48),0)</f>
        <v>0</v>
      </c>
      <c r="CF31" s="103">
        <f>IF(SUM(CF26,CF29:CF30,CF32:CF33,CF43,CF45,CF48)&lt;100,100-SUM( CF26,CF29:CF30,CF32:CF33,CF43,CF45,CF48),0)</f>
        <v>0</v>
      </c>
      <c r="CG31" s="326">
        <f>SUM(CC31:CF31)</f>
        <v>0</v>
      </c>
      <c r="CH31" s="15"/>
      <c r="CI31" s="102">
        <f t="shared" ref="CI31:CL31" si="61">IF(SUM(CI26,CI29:CI30,CI32:CI33,CI43,CI45,CI48)&lt;100,100-SUM( CI26,CI29:CI30,CI32:CI33,CI43,CI45,CI48),0)</f>
        <v>0</v>
      </c>
      <c r="CJ31" s="15">
        <f t="shared" si="61"/>
        <v>0</v>
      </c>
      <c r="CK31" s="15">
        <f t="shared" si="61"/>
        <v>0</v>
      </c>
      <c r="CL31" s="103">
        <f t="shared" si="61"/>
        <v>0</v>
      </c>
      <c r="CM31" s="326">
        <f t="shared" si="59"/>
        <v>0</v>
      </c>
      <c r="CN31" s="15"/>
      <c r="CO31" s="102">
        <f t="shared" ref="CO31:CR31" si="62">IF(SUM(CO26,CO29:CO30,CO32:CO33,CO43,CO45,CO48)&lt;100,100-SUM( CO26,CO29:CO30,CO32:CO33,CO43,CO45,CO48),0)</f>
        <v>0</v>
      </c>
      <c r="CP31" s="15">
        <f t="shared" si="62"/>
        <v>0</v>
      </c>
      <c r="CQ31" s="15">
        <f t="shared" si="62"/>
        <v>0</v>
      </c>
      <c r="CR31" s="103">
        <f t="shared" si="62"/>
        <v>0</v>
      </c>
      <c r="CS31" s="326">
        <f t="shared" si="60"/>
        <v>0</v>
      </c>
      <c r="CT31" s="15"/>
      <c r="CU31" s="2"/>
      <c r="CV31" s="2"/>
    </row>
    <row r="32" spans="1:100" outlineLevel="1">
      <c r="A32" s="1888" t="s">
        <v>266</v>
      </c>
      <c r="B32" s="102"/>
      <c r="C32" s="14">
        <v>76.745000000000005</v>
      </c>
      <c r="D32" s="12">
        <f>72.532-C32</f>
        <v>-4.2130000000000081</v>
      </c>
      <c r="E32" s="12">
        <f>72.083-D32-C32</f>
        <v>-0.44899999999999807</v>
      </c>
      <c r="F32" s="322">
        <f>72.075-SUM(C32:E32)</f>
        <v>-7.9999999999955662E-3</v>
      </c>
      <c r="G32" s="328">
        <f>SUM(C32:F32)</f>
        <v>72.075000000000003</v>
      </c>
      <c r="H32" s="13"/>
      <c r="I32" s="14">
        <v>0</v>
      </c>
      <c r="J32" s="12">
        <f>0-I32</f>
        <v>0</v>
      </c>
      <c r="K32" s="12">
        <f>-24.666-J32-I32</f>
        <v>-24.666</v>
      </c>
      <c r="L32" s="322">
        <f>-24.666-SUM(I32:K32)</f>
        <v>0</v>
      </c>
      <c r="M32" s="329">
        <f>SUM(I32:L32)</f>
        <v>-24.666</v>
      </c>
      <c r="N32" s="17"/>
      <c r="O32" s="14">
        <v>0</v>
      </c>
      <c r="P32" s="12">
        <f>0-O32</f>
        <v>0</v>
      </c>
      <c r="Q32" s="12">
        <f>-1.325-P32-O32</f>
        <v>-1.325</v>
      </c>
      <c r="R32" s="322">
        <f>-1.325-SUM(O32:Q32)</f>
        <v>0</v>
      </c>
      <c r="S32" s="329">
        <f>SUM(O32:R32)</f>
        <v>-1.325</v>
      </c>
      <c r="T32" s="17"/>
      <c r="U32" s="14">
        <v>-10</v>
      </c>
      <c r="V32" s="12">
        <f>-75.069-U32</f>
        <v>-65.069000000000003</v>
      </c>
      <c r="W32" s="12">
        <f>-98.21-V32-U32</f>
        <v>-23.140999999999991</v>
      </c>
      <c r="X32" s="322">
        <f>-98.211-SUM(U32:W32)</f>
        <v>-1.0000000000047748E-3</v>
      </c>
      <c r="Y32" s="329">
        <f>SUM(U32:X32)</f>
        <v>-98.210999999999999</v>
      </c>
      <c r="Z32" s="17"/>
      <c r="AA32" s="14">
        <v>-58.302</v>
      </c>
      <c r="AB32" s="12">
        <f>-58.302-AA32</f>
        <v>0</v>
      </c>
      <c r="AC32" s="12">
        <f>-58.302-SUM(AA32:AB32)</f>
        <v>0</v>
      </c>
      <c r="AD32" s="12">
        <f>-58.302-SUM(AA32:AC32)</f>
        <v>0</v>
      </c>
      <c r="AE32" s="326">
        <f>SUM(AA32:AD32)</f>
        <v>-58.302</v>
      </c>
      <c r="AF32" s="17"/>
      <c r="AG32" s="14">
        <v>-7.5</v>
      </c>
      <c r="AH32" s="12">
        <f>-15.03-AG32</f>
        <v>-7.5299999999999994</v>
      </c>
      <c r="AI32" s="17">
        <f>-83.156-15.03-11.329-AG32-AH32</f>
        <v>-94.485000000000014</v>
      </c>
      <c r="AJ32" s="12">
        <f>-83.156-SUM(AG32:AI32)</f>
        <v>26.359000000000009</v>
      </c>
      <c r="AK32" s="2770">
        <f>SUM(AG32:AJ32)</f>
        <v>-83.156000000000006</v>
      </c>
      <c r="AL32" s="17"/>
      <c r="AM32" s="14">
        <v>-345.11099999999999</v>
      </c>
      <c r="AN32" s="17">
        <f>-345.161-AM32</f>
        <v>-5.0000000000011369E-2</v>
      </c>
      <c r="AO32" s="12">
        <f>-437.478-4.03-2.845-AM32-AN32</f>
        <v>-99.192000000000007</v>
      </c>
      <c r="AP32" s="12">
        <f>-523.501-SUM(AM32:AO32)</f>
        <v>-79.147999999999968</v>
      </c>
      <c r="AQ32" s="326">
        <f>SUM(AM32:AP32)</f>
        <v>-523.50099999999998</v>
      </c>
      <c r="AR32" s="17"/>
      <c r="AS32" s="14">
        <v>0</v>
      </c>
      <c r="AT32" s="17">
        <f>0-AS32</f>
        <v>0</v>
      </c>
      <c r="AU32" s="7">
        <f>0-SUM(AS32:AT32)</f>
        <v>0</v>
      </c>
      <c r="AV32" s="7">
        <f>-3.285-SUM(AS32:AU32)</f>
        <v>-3.2850000000000001</v>
      </c>
      <c r="AW32" s="326">
        <f>SUM(AS32:AV32)</f>
        <v>-3.2850000000000001</v>
      </c>
      <c r="AX32" s="17"/>
      <c r="AY32" s="14">
        <v>0</v>
      </c>
      <c r="AZ32" s="7">
        <f>0-AY32</f>
        <v>0</v>
      </c>
      <c r="BA32" s="2024">
        <f>-35.226-SUM(AY32:AZ32)</f>
        <v>-35.225999999999999</v>
      </c>
      <c r="BB32" s="7">
        <f>-36.581-SUM(AY32:BA32)</f>
        <v>-1.355000000000004</v>
      </c>
      <c r="BC32" s="326">
        <f>SUM(AY32:BB32)</f>
        <v>-36.581000000000003</v>
      </c>
      <c r="BD32" s="17"/>
      <c r="BE32" s="2766">
        <v>-17.875</v>
      </c>
      <c r="BF32" s="2743">
        <f>-17.841-BE32</f>
        <v>3.399999999999892E-2</v>
      </c>
      <c r="BG32" s="2743">
        <f>-17.841-SUM(BE32:BF32)</f>
        <v>0</v>
      </c>
      <c r="BH32" s="2743">
        <f>-17.841-SUM(BE32:BG32)</f>
        <v>0</v>
      </c>
      <c r="BI32" s="326">
        <f>SUM(BE32:BH32)</f>
        <v>-17.841000000000001</v>
      </c>
      <c r="BJ32" s="17"/>
      <c r="BK32" s="2766">
        <v>0.48399999999999999</v>
      </c>
      <c r="BL32" s="2743">
        <v>0</v>
      </c>
      <c r="BM32" s="2743">
        <v>0</v>
      </c>
      <c r="BN32" s="2743">
        <f>0-SUM(BK32:BM32)</f>
        <v>-0.48399999999999999</v>
      </c>
      <c r="BO32" s="326">
        <f>SUM(BK32:BN32)</f>
        <v>0</v>
      </c>
      <c r="BP32" s="17"/>
      <c r="BQ32" s="3030">
        <v>0</v>
      </c>
      <c r="BR32" s="15">
        <f>+BQ32</f>
        <v>0</v>
      </c>
      <c r="BS32" s="15">
        <f>+BR32</f>
        <v>0</v>
      </c>
      <c r="BT32" s="103">
        <f>+BS32</f>
        <v>0</v>
      </c>
      <c r="BU32" s="326">
        <f>SUM(BQ32:BT32)</f>
        <v>0</v>
      </c>
      <c r="BV32" s="17"/>
      <c r="BW32" s="102">
        <f>+BT32</f>
        <v>0</v>
      </c>
      <c r="BX32" s="15">
        <f>+BW32</f>
        <v>0</v>
      </c>
      <c r="BY32" s="15">
        <f>+BX32</f>
        <v>0</v>
      </c>
      <c r="BZ32" s="103">
        <f>+BY32</f>
        <v>0</v>
      </c>
      <c r="CA32" s="326">
        <f>SUM(BW32:BZ32)</f>
        <v>0</v>
      </c>
      <c r="CB32" s="17"/>
      <c r="CC32" s="102">
        <f>+BZ32</f>
        <v>0</v>
      </c>
      <c r="CD32" s="15">
        <f>+CC32</f>
        <v>0</v>
      </c>
      <c r="CE32" s="15">
        <f>+CD32</f>
        <v>0</v>
      </c>
      <c r="CF32" s="103">
        <f>+CE32</f>
        <v>0</v>
      </c>
      <c r="CG32" s="326">
        <f>SUM(CC32:CF32)</f>
        <v>0</v>
      </c>
      <c r="CH32" s="17"/>
      <c r="CI32" s="102">
        <f t="shared" ref="CI32" si="63">+CF32</f>
        <v>0</v>
      </c>
      <c r="CJ32" s="15">
        <f t="shared" ref="CJ32:CL32" si="64">+CI32</f>
        <v>0</v>
      </c>
      <c r="CK32" s="15">
        <f t="shared" si="64"/>
        <v>0</v>
      </c>
      <c r="CL32" s="103">
        <f t="shared" si="64"/>
        <v>0</v>
      </c>
      <c r="CM32" s="326">
        <f t="shared" si="59"/>
        <v>0</v>
      </c>
      <c r="CN32" s="17"/>
      <c r="CO32" s="102">
        <f t="shared" ref="CO32" si="65">+CL32</f>
        <v>0</v>
      </c>
      <c r="CP32" s="15">
        <f t="shared" ref="CP32:CR32" si="66">+CO32</f>
        <v>0</v>
      </c>
      <c r="CQ32" s="15">
        <f t="shared" si="66"/>
        <v>0</v>
      </c>
      <c r="CR32" s="103">
        <f t="shared" si="66"/>
        <v>0</v>
      </c>
      <c r="CS32" s="326">
        <f t="shared" si="60"/>
        <v>0</v>
      </c>
      <c r="CT32" s="12"/>
      <c r="CU32" s="2"/>
      <c r="CV32" s="2"/>
    </row>
    <row r="33" spans="1:100" outlineLevel="1">
      <c r="A33" s="1888" t="s">
        <v>204</v>
      </c>
      <c r="B33" s="102"/>
      <c r="C33" s="14">
        <v>0</v>
      </c>
      <c r="D33" s="12">
        <f>0.04-C33</f>
        <v>0.04</v>
      </c>
      <c r="E33" s="12">
        <f>0.04-0.085-D33-C33</f>
        <v>-8.5000000000000006E-2</v>
      </c>
      <c r="F33" s="322">
        <f>3.593+0.042-0.085-SUM(C33:E33)</f>
        <v>3.5949999999999998</v>
      </c>
      <c r="G33" s="328">
        <f>SUM(C33:F33)</f>
        <v>3.55</v>
      </c>
      <c r="H33" s="13"/>
      <c r="I33" s="14">
        <v>-36</v>
      </c>
      <c r="J33" s="12">
        <f>-36-I33</f>
        <v>0</v>
      </c>
      <c r="K33" s="12">
        <f>-36-J33-I33</f>
        <v>0</v>
      </c>
      <c r="L33" s="322">
        <f>-36-SUM(I33:K33)</f>
        <v>0</v>
      </c>
      <c r="M33" s="329">
        <f>SUM(I33:L33)</f>
        <v>-36</v>
      </c>
      <c r="N33" s="15"/>
      <c r="O33" s="14">
        <v>-17.95</v>
      </c>
      <c r="P33" s="12">
        <f>-17.95+0.15-O33</f>
        <v>0.14999999999999858</v>
      </c>
      <c r="Q33" s="12">
        <f>0.45-17.95-P33-O33</f>
        <v>0.30000000000000071</v>
      </c>
      <c r="R33" s="322">
        <f>1-19.9-3.4-SUM(O33:Q33)</f>
        <v>-4.7999999999999972</v>
      </c>
      <c r="S33" s="329">
        <f>SUM(O33:R33)</f>
        <v>-22.299999999999997</v>
      </c>
      <c r="T33" s="15"/>
      <c r="U33" s="14">
        <v>-16.151</v>
      </c>
      <c r="V33" s="12">
        <f>-2+54.9-17.65-U33</f>
        <v>51.400999999999996</v>
      </c>
      <c r="W33" s="12">
        <f>54.9-22.45-6.5-V33-U33</f>
        <v>-9.2999999999999936</v>
      </c>
      <c r="X33" s="322">
        <f>-27.677-6.65-SUM(U33:W33)</f>
        <v>-60.277000000000001</v>
      </c>
      <c r="Y33" s="329">
        <f>SUM(U33:X33)</f>
        <v>-34.326999999999998</v>
      </c>
      <c r="Z33" s="15"/>
      <c r="AA33" s="14">
        <f>-0.114-0.475</f>
        <v>-0.58899999999999997</v>
      </c>
      <c r="AB33" s="12">
        <f>-6.708-1.102-AA33</f>
        <v>-7.2210000000000001</v>
      </c>
      <c r="AC33" s="12">
        <f>-11.384-1.1-SUM(AA33:AB33)</f>
        <v>-4.6739999999999995</v>
      </c>
      <c r="AD33" s="12">
        <f>-13.769-1.75-SUM(AA33:AC33)</f>
        <v>-3.0350000000000001</v>
      </c>
      <c r="AE33" s="329">
        <f>SUM(AA33:AD33)</f>
        <v>-15.519</v>
      </c>
      <c r="AF33" s="15"/>
      <c r="AG33" s="14">
        <v>0</v>
      </c>
      <c r="AH33" s="12">
        <v>0</v>
      </c>
      <c r="AI33" s="12">
        <v>0</v>
      </c>
      <c r="AJ33" s="12">
        <f>-15.938-12.228+50.819+6-SUM(AG33:AI33)</f>
        <v>28.653000000000002</v>
      </c>
      <c r="AK33" s="329">
        <f>SUM(AG33:AJ33)</f>
        <v>28.653000000000002</v>
      </c>
      <c r="AL33" s="15"/>
      <c r="AM33" s="14">
        <f>-0.501+9.998</f>
        <v>9.4969999999999999</v>
      </c>
      <c r="AN33" s="12">
        <f>-4.429+10.001-2.843-AM33</f>
        <v>-6.7680000000000007</v>
      </c>
      <c r="AO33" s="12">
        <f>10.001-AM33-AN33</f>
        <v>7.2720000000000002</v>
      </c>
      <c r="AP33" s="12">
        <f>95.58-11.344-SUM(AM33:AO33)</f>
        <v>74.234999999999999</v>
      </c>
      <c r="AQ33" s="329">
        <f>SUM(AM33:AP33)</f>
        <v>84.236000000000004</v>
      </c>
      <c r="AR33" s="15"/>
      <c r="AS33" s="14">
        <f>-4.6-0.625</f>
        <v>-5.2249999999999996</v>
      </c>
      <c r="AT33" s="12">
        <f>-0.625-11.682-AS33</f>
        <v>-7.0820000000000007</v>
      </c>
      <c r="AU33" s="7">
        <f>-3.285-6.755-6.72-SUM(AS33:AT33)</f>
        <v>-4.4529999999999976</v>
      </c>
      <c r="AV33" s="7">
        <f>-11.755-36.22-SUM(AS33:AU33)</f>
        <v>-31.215000000000003</v>
      </c>
      <c r="AW33" s="329">
        <f>SUM(AS33:AV33)</f>
        <v>-47.975000000000001</v>
      </c>
      <c r="AX33" s="15"/>
      <c r="AY33" s="14">
        <v>13.067</v>
      </c>
      <c r="AZ33" s="7">
        <f>0.926-0.275-AY33</f>
        <v>-12.416</v>
      </c>
      <c r="BA33" s="2024">
        <f>-4.1-0.275-SUM(AY33:AZ33)</f>
        <v>-5.0259999999999998</v>
      </c>
      <c r="BB33" s="7">
        <f>-6.048-0.4-SUM(AY33:BA33)</f>
        <v>-2.0730000000000004</v>
      </c>
      <c r="BC33" s="329">
        <f>SUM(AY33:BB33)</f>
        <v>-6.4480000000000004</v>
      </c>
      <c r="BD33" s="15"/>
      <c r="BE33" s="2766">
        <v>-2.8420000000000001</v>
      </c>
      <c r="BF33" s="2743">
        <f>-6.371-BE33</f>
        <v>-3.5290000000000004</v>
      </c>
      <c r="BG33" s="2743">
        <f>-9.075-11.49-SUM(BE33:BF33)</f>
        <v>-14.193999999999997</v>
      </c>
      <c r="BH33" s="2743">
        <f>-13.842-11.49-SUM(BE33:BG33)</f>
        <v>-4.767000000000003</v>
      </c>
      <c r="BI33" s="329">
        <f>SUM(BE33:BH33)</f>
        <v>-25.332000000000001</v>
      </c>
      <c r="BJ33" s="15"/>
      <c r="BK33" s="2766">
        <f>278-52-7</f>
        <v>219</v>
      </c>
      <c r="BL33" s="2743">
        <f>278-52-25-BK33</f>
        <v>-18</v>
      </c>
      <c r="BM33" s="2743">
        <f>278-52-25-2-SUM(BK33:BL33)</f>
        <v>-2</v>
      </c>
      <c r="BN33" s="2743">
        <f>278-52-29-2-SUM(BK33:BM33)</f>
        <v>-4</v>
      </c>
      <c r="BO33" s="329">
        <f>SUM(BK33:BN33)</f>
        <v>195</v>
      </c>
      <c r="BP33" s="15"/>
      <c r="BQ33" s="14">
        <v>0</v>
      </c>
      <c r="BR33" s="12">
        <v>0</v>
      </c>
      <c r="BS33" s="12">
        <v>0</v>
      </c>
      <c r="BT33" s="322">
        <v>0</v>
      </c>
      <c r="BU33" s="329">
        <f>SUM(BQ33:BT33)</f>
        <v>0</v>
      </c>
      <c r="BV33" s="15"/>
      <c r="BW33" s="14">
        <v>0</v>
      </c>
      <c r="BX33" s="12">
        <v>0</v>
      </c>
      <c r="BY33" s="12">
        <v>0</v>
      </c>
      <c r="BZ33" s="322">
        <v>0</v>
      </c>
      <c r="CA33" s="329">
        <f>SUM(BW33:BZ33)</f>
        <v>0</v>
      </c>
      <c r="CB33" s="15"/>
      <c r="CC33" s="14">
        <v>0</v>
      </c>
      <c r="CD33" s="12">
        <v>0</v>
      </c>
      <c r="CE33" s="12">
        <v>0</v>
      </c>
      <c r="CF33" s="322">
        <v>0</v>
      </c>
      <c r="CG33" s="329">
        <f>SUM(CC33:CF33)</f>
        <v>0</v>
      </c>
      <c r="CH33" s="15"/>
      <c r="CI33" s="14">
        <v>0</v>
      </c>
      <c r="CJ33" s="12">
        <v>0</v>
      </c>
      <c r="CK33" s="12">
        <v>0</v>
      </c>
      <c r="CL33" s="322">
        <v>0</v>
      </c>
      <c r="CM33" s="329">
        <f t="shared" si="59"/>
        <v>0</v>
      </c>
      <c r="CN33" s="15"/>
      <c r="CO33" s="14">
        <v>0</v>
      </c>
      <c r="CP33" s="12">
        <v>0</v>
      </c>
      <c r="CQ33" s="12">
        <v>0</v>
      </c>
      <c r="CR33" s="322">
        <v>0</v>
      </c>
      <c r="CS33" s="329">
        <f t="shared" si="60"/>
        <v>0</v>
      </c>
      <c r="CT33" s="11"/>
      <c r="CU33" s="2"/>
      <c r="CV33" s="2"/>
    </row>
    <row r="34" spans="1:100" ht="12.75" customHeight="1">
      <c r="A34" s="1891" t="s">
        <v>267</v>
      </c>
      <c r="B34" s="110"/>
      <c r="C34" s="110">
        <f t="shared" ref="C34:AK34" si="67">SUM(C29:C33)</f>
        <v>-34.410000000000011</v>
      </c>
      <c r="D34" s="323">
        <f t="shared" si="67"/>
        <v>-69.514000000000024</v>
      </c>
      <c r="E34" s="323">
        <f t="shared" si="67"/>
        <v>-32.143999999999998</v>
      </c>
      <c r="F34" s="324">
        <f t="shared" si="67"/>
        <v>68.382000000000019</v>
      </c>
      <c r="G34" s="325">
        <f t="shared" si="67"/>
        <v>-67.685999999999979</v>
      </c>
      <c r="H34" s="110"/>
      <c r="I34" s="110">
        <f t="shared" si="67"/>
        <v>-44.12299999999999</v>
      </c>
      <c r="J34" s="323">
        <f t="shared" si="67"/>
        <v>-37.384</v>
      </c>
      <c r="K34" s="323">
        <f t="shared" si="67"/>
        <v>-164.51999999999995</v>
      </c>
      <c r="L34" s="324">
        <f t="shared" si="67"/>
        <v>-31.222000000000008</v>
      </c>
      <c r="M34" s="325">
        <f t="shared" si="67"/>
        <v>-277.24899999999997</v>
      </c>
      <c r="N34" s="323"/>
      <c r="O34" s="110">
        <f t="shared" si="67"/>
        <v>-39.817999999999998</v>
      </c>
      <c r="P34" s="323">
        <f t="shared" si="67"/>
        <v>-73.31</v>
      </c>
      <c r="Q34" s="323">
        <f t="shared" si="67"/>
        <v>-158.99399999999994</v>
      </c>
      <c r="R34" s="324">
        <f t="shared" si="67"/>
        <v>15.553000000000011</v>
      </c>
      <c r="S34" s="325">
        <f t="shared" si="67"/>
        <v>-256.56899999999996</v>
      </c>
      <c r="T34" s="323"/>
      <c r="U34" s="110">
        <f t="shared" si="67"/>
        <v>-24.663999999999991</v>
      </c>
      <c r="V34" s="323">
        <f t="shared" si="67"/>
        <v>-96.460000000000051</v>
      </c>
      <c r="W34" s="323">
        <f t="shared" si="67"/>
        <v>-93.871999999999915</v>
      </c>
      <c r="X34" s="324">
        <f t="shared" si="67"/>
        <v>-70.057000000000116</v>
      </c>
      <c r="Y34" s="325">
        <f t="shared" si="67"/>
        <v>-285.053</v>
      </c>
      <c r="Z34" s="323"/>
      <c r="AA34" s="110">
        <f t="shared" si="67"/>
        <v>-152.876</v>
      </c>
      <c r="AB34" s="323">
        <f t="shared" si="67"/>
        <v>-272.26400000000001</v>
      </c>
      <c r="AC34" s="323">
        <f t="shared" si="67"/>
        <v>67.101000000000028</v>
      </c>
      <c r="AD34" s="323">
        <f t="shared" si="67"/>
        <v>-42.959999999999894</v>
      </c>
      <c r="AE34" s="325">
        <f t="shared" si="67"/>
        <v>-400.99899999999991</v>
      </c>
      <c r="AF34" s="323"/>
      <c r="AG34" s="110">
        <f t="shared" si="67"/>
        <v>-141.87</v>
      </c>
      <c r="AH34" s="323">
        <f t="shared" si="67"/>
        <v>-9.6479999999999659</v>
      </c>
      <c r="AI34" s="323">
        <f>SUM(AI29:AI33)</f>
        <v>-17.105000000000018</v>
      </c>
      <c r="AJ34" s="323">
        <f>SUM(AJ29:AJ33)</f>
        <v>18.611000000000057</v>
      </c>
      <c r="AK34" s="325">
        <f t="shared" si="67"/>
        <v>-150.01200000000003</v>
      </c>
      <c r="AL34" s="323"/>
      <c r="AM34" s="110">
        <f>SUM(AM29:AM33)</f>
        <v>-65.020999999999972</v>
      </c>
      <c r="AN34" s="323">
        <f>SUM(AN29:AN33)</f>
        <v>247.47699999999995</v>
      </c>
      <c r="AO34" s="323">
        <f>SUM(AO29:AO33)</f>
        <v>-101.29500000000003</v>
      </c>
      <c r="AP34" s="324">
        <f>SUM(AP29:AP33)</f>
        <v>-150.80999999999989</v>
      </c>
      <c r="AQ34" s="325">
        <f>SUM(AQ29:AQ33)</f>
        <v>-69.648999999999987</v>
      </c>
      <c r="AR34" s="323"/>
      <c r="AS34" s="110">
        <f>SUM(AS29:AS33)</f>
        <v>-144.38699999999997</v>
      </c>
      <c r="AT34" s="323">
        <f>SUM(AT29:AT33)</f>
        <v>114.77699999999999</v>
      </c>
      <c r="AU34" s="323">
        <f>SUM(AU29:AU33)</f>
        <v>-44.231000000000044</v>
      </c>
      <c r="AV34" s="323">
        <f>SUM(AV29:AV33)</f>
        <v>-332.7829999999999</v>
      </c>
      <c r="AW34" s="325">
        <f>SUM(AW29:AW33)</f>
        <v>-406.62399999999997</v>
      </c>
      <c r="AX34" s="323"/>
      <c r="AY34" s="110">
        <f>SUM(AY29:AY33)</f>
        <v>-154.14699999999996</v>
      </c>
      <c r="AZ34" s="323">
        <f>SUM(AZ29:AZ33)</f>
        <v>-142.47</v>
      </c>
      <c r="BA34" s="323">
        <f>SUM(BA29:BA33)</f>
        <v>-38.927000000000007</v>
      </c>
      <c r="BB34" s="323">
        <f>SUM(BB29:BB33)</f>
        <v>229.39799999999988</v>
      </c>
      <c r="BC34" s="325">
        <f>SUM(BC29:BC33)</f>
        <v>-106.14600000000007</v>
      </c>
      <c r="BD34" s="323"/>
      <c r="BE34" s="110">
        <f>SUM(BE29:BE33)</f>
        <v>-43.553000000000011</v>
      </c>
      <c r="BF34" s="323">
        <f>SUM(BF29:BF33)</f>
        <v>43.536999999999978</v>
      </c>
      <c r="BG34" s="323">
        <f>SUM(BG29:BG33)</f>
        <v>-341.23099999999994</v>
      </c>
      <c r="BH34" s="323">
        <f>SUM(BH29:BH33)</f>
        <v>-173.29200000000009</v>
      </c>
      <c r="BI34" s="325">
        <f>SUM(BI29:BI33)</f>
        <v>-514.53899999999999</v>
      </c>
      <c r="BJ34" s="323"/>
      <c r="BK34" s="110">
        <f>SUM(BK29:BK33)</f>
        <v>163.48400000000001</v>
      </c>
      <c r="BL34" s="323">
        <f>SUM(BL29:BL33)</f>
        <v>35</v>
      </c>
      <c r="BM34" s="323">
        <f>SUM(BM29:BM33)</f>
        <v>-97</v>
      </c>
      <c r="BN34" s="323">
        <f>SUM(BN29:BN33)</f>
        <v>-315.48399999999998</v>
      </c>
      <c r="BO34" s="325">
        <f>SUM(BO29:BO33)</f>
        <v>-214</v>
      </c>
      <c r="BP34" s="323"/>
      <c r="BQ34" s="110">
        <f>SUM(BQ29:BQ33)</f>
        <v>-86.02</v>
      </c>
      <c r="BR34" s="323">
        <f>SUM(BR29:BR33)</f>
        <v>-86.947538676907158</v>
      </c>
      <c r="BS34" s="323">
        <f>SUM(BS29:BS33)</f>
        <v>-88.624431332875801</v>
      </c>
      <c r="BT34" s="324">
        <f>SUM(BT29:BT33)</f>
        <v>-92.434993988844454</v>
      </c>
      <c r="BU34" s="325">
        <f>SUM(BU29:BU33)</f>
        <v>-354.02696399862742</v>
      </c>
      <c r="BV34" s="323"/>
      <c r="BW34" s="110">
        <f>SUM(BW29:BW33)</f>
        <v>-95.992943145262046</v>
      </c>
      <c r="BX34" s="323">
        <f>SUM(BX29:BX33)</f>
        <v>-95.724610417064198</v>
      </c>
      <c r="BY34" s="323">
        <f>SUM(BY29:BY33)</f>
        <v>-97.027563381174062</v>
      </c>
      <c r="BZ34" s="324">
        <f>SUM(BZ29:BZ33)</f>
        <v>-100.9610774991301</v>
      </c>
      <c r="CA34" s="325">
        <f>SUM(CA29:CA33)</f>
        <v>-389.70619444263042</v>
      </c>
      <c r="CB34" s="323"/>
      <c r="CC34" s="110">
        <f>SUM(CC29:CC33)</f>
        <v>-105.74127421176067</v>
      </c>
      <c r="CD34" s="323">
        <f>SUM(CD29:CD33)</f>
        <v>-105.53981716948</v>
      </c>
      <c r="CE34" s="323">
        <f>SUM(CE29:CE33)</f>
        <v>-106.94719430388574</v>
      </c>
      <c r="CF34" s="324">
        <f>SUM(CF29:CF33)</f>
        <v>-111.43642931225597</v>
      </c>
      <c r="CG34" s="325">
        <f>SUM(CG29:CG33)</f>
        <v>-429.66471499738236</v>
      </c>
      <c r="CH34" s="323"/>
      <c r="CI34" s="110">
        <f t="shared" ref="CI34:CM34" si="68">SUM(CI29:CI33)</f>
        <v>-116.77322099988106</v>
      </c>
      <c r="CJ34" s="323">
        <f t="shared" si="68"/>
        <v>-116.52988072449349</v>
      </c>
      <c r="CK34" s="323">
        <f t="shared" si="68"/>
        <v>-118.01762790261965</v>
      </c>
      <c r="CL34" s="324">
        <f t="shared" si="68"/>
        <v>-123.27390480134231</v>
      </c>
      <c r="CM34" s="325">
        <f t="shared" si="68"/>
        <v>-474.59463442833652</v>
      </c>
      <c r="CN34" s="323"/>
      <c r="CO34" s="110">
        <f t="shared" ref="CO34:CS34" si="69">SUM(CO29:CO33)</f>
        <v>-128.40538532447496</v>
      </c>
      <c r="CP34" s="323">
        <f t="shared" si="69"/>
        <v>-128.69951208044861</v>
      </c>
      <c r="CQ34" s="323">
        <f t="shared" si="69"/>
        <v>-130.81654812524735</v>
      </c>
      <c r="CR34" s="324">
        <f t="shared" si="69"/>
        <v>-136.80278306028947</v>
      </c>
      <c r="CS34" s="325">
        <f t="shared" si="69"/>
        <v>-524.72422859046037</v>
      </c>
      <c r="CT34" s="2394"/>
      <c r="CU34" s="2"/>
      <c r="CV34" s="1"/>
    </row>
    <row r="35" spans="1:100" ht="9.75" customHeight="1">
      <c r="A35" s="330"/>
      <c r="B35" s="102"/>
      <c r="C35" s="102"/>
      <c r="D35" s="15"/>
      <c r="E35" s="15"/>
      <c r="F35" s="103"/>
      <c r="G35" s="330"/>
      <c r="H35" s="331"/>
      <c r="I35" s="102"/>
      <c r="J35" s="15"/>
      <c r="K35" s="15"/>
      <c r="L35" s="103"/>
      <c r="M35" s="326"/>
      <c r="N35" s="131"/>
      <c r="O35" s="102"/>
      <c r="P35" s="15"/>
      <c r="Q35" s="15"/>
      <c r="R35" s="103"/>
      <c r="S35" s="326"/>
      <c r="T35" s="131"/>
      <c r="U35" s="102"/>
      <c r="V35" s="15"/>
      <c r="W35" s="15"/>
      <c r="X35" s="103"/>
      <c r="Y35" s="326"/>
      <c r="Z35" s="131"/>
      <c r="AA35" s="102"/>
      <c r="AB35" s="15"/>
      <c r="AC35" s="15"/>
      <c r="AD35" s="15"/>
      <c r="AE35" s="326"/>
      <c r="AF35" s="131"/>
      <c r="AG35" s="102"/>
      <c r="AH35" s="15"/>
      <c r="AI35" s="131"/>
      <c r="AJ35" s="15"/>
      <c r="AK35" s="326"/>
      <c r="AL35" s="131"/>
      <c r="AM35" s="102"/>
      <c r="AN35" s="15"/>
      <c r="AO35" s="15"/>
      <c r="AP35" s="103"/>
      <c r="AQ35" s="326"/>
      <c r="AR35" s="131"/>
      <c r="AS35" s="102"/>
      <c r="AT35" s="15"/>
      <c r="AU35" s="15"/>
      <c r="AV35" s="15"/>
      <c r="AW35" s="326"/>
      <c r="AX35" s="131"/>
      <c r="AY35" s="1858"/>
      <c r="AZ35" s="15"/>
      <c r="BA35" s="15"/>
      <c r="BB35" s="15"/>
      <c r="BC35" s="326"/>
      <c r="BD35" s="131"/>
      <c r="BE35" s="102"/>
      <c r="BF35" s="15"/>
      <c r="BG35" s="15"/>
      <c r="BH35" s="15"/>
      <c r="BI35" s="326"/>
      <c r="BJ35" s="131"/>
      <c r="BK35" s="102"/>
      <c r="BL35" s="15"/>
      <c r="BM35" s="15"/>
      <c r="BN35" s="15"/>
      <c r="BO35" s="326"/>
      <c r="BP35" s="131"/>
      <c r="BQ35" s="102"/>
      <c r="BR35" s="15"/>
      <c r="BS35" s="15"/>
      <c r="BT35" s="103"/>
      <c r="BU35" s="326"/>
      <c r="BV35" s="131"/>
      <c r="BW35" s="102"/>
      <c r="BX35" s="15"/>
      <c r="BY35" s="15"/>
      <c r="BZ35" s="103"/>
      <c r="CA35" s="326"/>
      <c r="CB35" s="131"/>
      <c r="CC35" s="102"/>
      <c r="CD35" s="15"/>
      <c r="CE35" s="15"/>
      <c r="CF35" s="103"/>
      <c r="CG35" s="326"/>
      <c r="CH35" s="131"/>
      <c r="CI35" s="102"/>
      <c r="CJ35" s="15"/>
      <c r="CK35" s="15"/>
      <c r="CL35" s="103"/>
      <c r="CM35" s="326"/>
      <c r="CN35" s="131"/>
      <c r="CO35" s="102"/>
      <c r="CP35" s="15"/>
      <c r="CQ35" s="15"/>
      <c r="CR35" s="103"/>
      <c r="CS35" s="326"/>
      <c r="CT35" s="15"/>
      <c r="CU35" s="1"/>
      <c r="CV35" s="1"/>
    </row>
    <row r="36" spans="1:100">
      <c r="A36" s="1890" t="s">
        <v>268</v>
      </c>
      <c r="B36" s="102"/>
      <c r="C36" s="102"/>
      <c r="D36" s="15"/>
      <c r="E36" s="15"/>
      <c r="F36" s="103"/>
      <c r="G36" s="330"/>
      <c r="H36" s="331"/>
      <c r="I36" s="102"/>
      <c r="J36" s="15"/>
      <c r="K36" s="15"/>
      <c r="L36" s="103"/>
      <c r="M36" s="326"/>
      <c r="N36" s="131"/>
      <c r="O36" s="102"/>
      <c r="P36" s="15"/>
      <c r="Q36" s="15"/>
      <c r="R36" s="103"/>
      <c r="S36" s="326"/>
      <c r="T36" s="131"/>
      <c r="U36" s="102"/>
      <c r="V36" s="15"/>
      <c r="W36" s="15"/>
      <c r="X36" s="103"/>
      <c r="Y36" s="326"/>
      <c r="Z36" s="131"/>
      <c r="AA36" s="102"/>
      <c r="AB36" s="15"/>
      <c r="AC36" s="15"/>
      <c r="AD36" s="15"/>
      <c r="AE36" s="326"/>
      <c r="AF36" s="131"/>
      <c r="AG36" s="102"/>
      <c r="AH36" s="15"/>
      <c r="AI36" s="131"/>
      <c r="AJ36" s="15"/>
      <c r="AK36" s="326"/>
      <c r="AL36" s="131"/>
      <c r="AM36" s="102"/>
      <c r="AN36" s="15"/>
      <c r="AO36" s="15"/>
      <c r="AP36" s="103"/>
      <c r="AQ36" s="326"/>
      <c r="AR36" s="131"/>
      <c r="AS36" s="102"/>
      <c r="AT36" s="15"/>
      <c r="AU36" s="15"/>
      <c r="AV36" s="15"/>
      <c r="AW36" s="326"/>
      <c r="AX36" s="131"/>
      <c r="AY36" s="1858"/>
      <c r="AZ36" s="15"/>
      <c r="BA36" s="15"/>
      <c r="BB36" s="15"/>
      <c r="BC36" s="326"/>
      <c r="BD36" s="131"/>
      <c r="BE36" s="102"/>
      <c r="BF36" s="15"/>
      <c r="BG36" s="15"/>
      <c r="BH36" s="15"/>
      <c r="BI36" s="326"/>
      <c r="BJ36" s="131"/>
      <c r="BK36" s="102"/>
      <c r="BL36" s="15"/>
      <c r="BM36" s="15"/>
      <c r="BN36" s="15"/>
      <c r="BO36" s="326"/>
      <c r="BP36" s="131"/>
      <c r="BQ36" s="102"/>
      <c r="BR36" s="15"/>
      <c r="BS36" s="15"/>
      <c r="BT36" s="103"/>
      <c r="BU36" s="326"/>
      <c r="BV36" s="131"/>
      <c r="BW36" s="102"/>
      <c r="BX36" s="15"/>
      <c r="BY36" s="15"/>
      <c r="BZ36" s="103"/>
      <c r="CA36" s="326"/>
      <c r="CB36" s="131"/>
      <c r="CC36" s="102"/>
      <c r="CD36" s="15"/>
      <c r="CE36" s="15"/>
      <c r="CF36" s="103"/>
      <c r="CG36" s="326"/>
      <c r="CH36" s="131"/>
      <c r="CI36" s="102"/>
      <c r="CJ36" s="15"/>
      <c r="CK36" s="15"/>
      <c r="CL36" s="103"/>
      <c r="CM36" s="326"/>
      <c r="CN36" s="131"/>
      <c r="CO36" s="102"/>
      <c r="CP36" s="15"/>
      <c r="CQ36" s="15"/>
      <c r="CR36" s="103"/>
      <c r="CS36" s="326"/>
      <c r="CT36" s="15"/>
      <c r="CU36" s="1"/>
      <c r="CV36" s="1"/>
    </row>
    <row r="37" spans="1:100" outlineLevel="1">
      <c r="A37" s="1888" t="s">
        <v>269</v>
      </c>
      <c r="B37" s="102"/>
      <c r="C37" s="104">
        <v>11.731</v>
      </c>
      <c r="D37" s="16">
        <f>15.41-C37</f>
        <v>3.6790000000000003</v>
      </c>
      <c r="E37" s="16">
        <f>25.684-D37-C37</f>
        <v>10.274000000000003</v>
      </c>
      <c r="F37" s="105">
        <f>30.179+6.075-SUM(C37:E37)</f>
        <v>10.569999999999993</v>
      </c>
      <c r="G37" s="326">
        <f>SUM(C37:F37)</f>
        <v>36.253999999999998</v>
      </c>
      <c r="H37" s="102"/>
      <c r="I37" s="104">
        <v>15.988</v>
      </c>
      <c r="J37" s="16">
        <f>27.982-I37</f>
        <v>11.994</v>
      </c>
      <c r="K37" s="16">
        <f>41.473+342.637-J37-I37</f>
        <v>356.12799999999999</v>
      </c>
      <c r="L37" s="105">
        <f>342.65+44.33-SUM(I37:K37)</f>
        <v>2.8699999999999477</v>
      </c>
      <c r="M37" s="326">
        <f>SUM(I37:L37)</f>
        <v>386.97999999999996</v>
      </c>
      <c r="N37" s="131"/>
      <c r="O37" s="104">
        <v>13.051</v>
      </c>
      <c r="P37" s="16">
        <f>24.133-O37</f>
        <v>11.081999999999999</v>
      </c>
      <c r="Q37" s="16">
        <f>35.634-P37-O37</f>
        <v>11.500999999999999</v>
      </c>
      <c r="R37" s="105">
        <f>39.379-SUM(O37:Q37)</f>
        <v>3.7449999999999974</v>
      </c>
      <c r="S37" s="326">
        <f>SUM(O37:R37)</f>
        <v>39.378999999999998</v>
      </c>
      <c r="T37" s="131"/>
      <c r="U37" s="104">
        <v>26.16</v>
      </c>
      <c r="V37" s="16">
        <f>59.935-U37</f>
        <v>33.775000000000006</v>
      </c>
      <c r="W37" s="16">
        <f>81.798-V37-U37</f>
        <v>21.862999999999996</v>
      </c>
      <c r="X37" s="105">
        <f>16.029+102.016-SUM(U37:W37)</f>
        <v>36.247</v>
      </c>
      <c r="Y37" s="326">
        <f>SUM(U37:X37)</f>
        <v>118.045</v>
      </c>
      <c r="Z37" s="131"/>
      <c r="AA37" s="104">
        <v>15.423999999999999</v>
      </c>
      <c r="AB37" s="16">
        <f>41.909-AA37</f>
        <v>26.484999999999999</v>
      </c>
      <c r="AC37" s="16">
        <f>60.057-SUM(AA37:AB37)</f>
        <v>18.148000000000003</v>
      </c>
      <c r="AD37" s="16">
        <f>61.938-SUM(AA37:AC37)</f>
        <v>1.8810000000000002</v>
      </c>
      <c r="AE37" s="326">
        <f>SUM(AA37:AD37)</f>
        <v>61.938000000000002</v>
      </c>
      <c r="AF37" s="131"/>
      <c r="AG37" s="104">
        <v>24.122</v>
      </c>
      <c r="AH37" s="16">
        <f>28.02-AG37</f>
        <v>3.8979999999999997</v>
      </c>
      <c r="AI37" s="112">
        <f>38.707-AG37-AH37</f>
        <v>10.687000000000001</v>
      </c>
      <c r="AJ37" s="16">
        <f>54.358-SUM(AG37:AI37)</f>
        <v>15.650999999999996</v>
      </c>
      <c r="AK37" s="326">
        <f>SUM(AG37:AJ37)</f>
        <v>54.357999999999997</v>
      </c>
      <c r="AL37" s="131"/>
      <c r="AM37" s="104">
        <v>10.77</v>
      </c>
      <c r="AN37" s="26">
        <f>41.079-AM37</f>
        <v>30.309000000000001</v>
      </c>
      <c r="AO37" s="16">
        <f>80.226-AM37-AN37</f>
        <v>39.147000000000006</v>
      </c>
      <c r="AP37" s="12">
        <f>94.46-SUM(AM37:AO37)</f>
        <v>14.233999999999995</v>
      </c>
      <c r="AQ37" s="326">
        <f>SUM(AM37:AP37)</f>
        <v>94.46</v>
      </c>
      <c r="AR37" s="131"/>
      <c r="AS37" s="104">
        <f>32.045-8.826</f>
        <v>23.219000000000001</v>
      </c>
      <c r="AT37" s="26">
        <f>54.152-9.409-AS37</f>
        <v>21.524000000000001</v>
      </c>
      <c r="AU37" s="7">
        <f>84.733-9.668-SUM(AS37:AT37)</f>
        <v>30.321999999999996</v>
      </c>
      <c r="AV37" s="7">
        <f>96.328-10.038-SUM(AS37:AU37)</f>
        <v>11.225000000000009</v>
      </c>
      <c r="AW37" s="326">
        <f>SUM(AS37:AV37)</f>
        <v>86.29</v>
      </c>
      <c r="AX37" s="131"/>
      <c r="AY37" s="104">
        <f>29.727</f>
        <v>29.727</v>
      </c>
      <c r="AZ37" s="7">
        <f>42.513-AY37</f>
        <v>12.785999999999998</v>
      </c>
      <c r="BA37" s="2024">
        <f>65.668-SUM(AY37:AZ37)</f>
        <v>23.155000000000008</v>
      </c>
      <c r="BB37" s="7">
        <f>71.839-SUM(AY37:BA37)</f>
        <v>6.1709999999999923</v>
      </c>
      <c r="BC37" s="326">
        <f>SUM(AY37:BB37)</f>
        <v>71.838999999999999</v>
      </c>
      <c r="BD37" s="131"/>
      <c r="BE37" s="2767">
        <v>23.053000000000001</v>
      </c>
      <c r="BF37" s="2743">
        <f>26.561-BE37</f>
        <v>3.5079999999999991</v>
      </c>
      <c r="BG37" s="2743">
        <f>47.156-SUM(BE37:BF37)</f>
        <v>20.594999999999999</v>
      </c>
      <c r="BH37" s="2743">
        <f>47.661-SUM(BE37:BG37)</f>
        <v>0.50500000000000256</v>
      </c>
      <c r="BI37" s="326">
        <f>SUM(BE37:BH37)</f>
        <v>47.661000000000001</v>
      </c>
      <c r="BJ37" s="131"/>
      <c r="BK37" s="2767">
        <v>22</v>
      </c>
      <c r="BL37" s="2743">
        <f>31-BK37</f>
        <v>9</v>
      </c>
      <c r="BM37" s="2743">
        <f>63-SUM(BK37:BL37)</f>
        <v>32</v>
      </c>
      <c r="BN37" s="2743">
        <f>71-SUM(BK37:BM37)</f>
        <v>8</v>
      </c>
      <c r="BO37" s="326">
        <f>SUM(BK37:BN37)</f>
        <v>71</v>
      </c>
      <c r="BP37" s="131"/>
      <c r="BQ37" s="102">
        <f>BU37/4</f>
        <v>15.116280248651142</v>
      </c>
      <c r="BR37" s="15">
        <f>(BU37-BQ37)/3</f>
        <v>15.116280248651142</v>
      </c>
      <c r="BS37" s="15">
        <f>(BU37-SUM(BQ37:BR37))/2</f>
        <v>15.116280248651142</v>
      </c>
      <c r="BT37" s="103">
        <f>BU37-SUM(BQ37:BS37)</f>
        <v>15.116280248651144</v>
      </c>
      <c r="BU37" s="326">
        <f>+BU73</f>
        <v>60.465120994604568</v>
      </c>
      <c r="BV37" s="131"/>
      <c r="BW37" s="102">
        <f>CA37/4</f>
        <v>20.769236017841173</v>
      </c>
      <c r="BX37" s="15">
        <f>(CA37-BW37)/3</f>
        <v>20.769236017841173</v>
      </c>
      <c r="BY37" s="15">
        <f>(CA37-SUM(BW37:BX37))/2</f>
        <v>20.769236017841173</v>
      </c>
      <c r="BZ37" s="103">
        <f>CA37-SUM(BW37:BY37)</f>
        <v>20.769236017841173</v>
      </c>
      <c r="CA37" s="326">
        <f>+CA73</f>
        <v>83.076944071364693</v>
      </c>
      <c r="CB37" s="131"/>
      <c r="CC37" s="102">
        <f>CG37/4</f>
        <v>30.140725439032028</v>
      </c>
      <c r="CD37" s="15">
        <f>(CG37-CC37)/3</f>
        <v>30.140725439032028</v>
      </c>
      <c r="CE37" s="15">
        <f>(CG37-SUM(CC37:CD37))/2</f>
        <v>30.140725439032028</v>
      </c>
      <c r="CF37" s="103">
        <f>CG37-SUM(CC37:CE37)</f>
        <v>30.140725439032025</v>
      </c>
      <c r="CG37" s="326">
        <f>+CG73</f>
        <v>120.56290175612811</v>
      </c>
      <c r="CH37" s="131"/>
      <c r="CI37" s="102">
        <f t="shared" ref="CI37" si="70">CM37/4</f>
        <v>44.945142628152844</v>
      </c>
      <c r="CJ37" s="15">
        <f t="shared" ref="CJ37" si="71">(CM37-CI37)/3</f>
        <v>44.945142628152844</v>
      </c>
      <c r="CK37" s="15">
        <f t="shared" ref="CK37" si="72">(CM37-SUM(CI37:CJ37))/2</f>
        <v>44.945142628152844</v>
      </c>
      <c r="CL37" s="103">
        <f t="shared" ref="CL37" si="73">CM37-SUM(CI37:CK37)</f>
        <v>44.945142628152837</v>
      </c>
      <c r="CM37" s="326">
        <f t="shared" ref="CM37" si="74">+CM73</f>
        <v>179.78057051261138</v>
      </c>
      <c r="CN37" s="131"/>
      <c r="CO37" s="102">
        <f t="shared" ref="CO37" si="75">CS37/4</f>
        <v>67.876965002576014</v>
      </c>
      <c r="CP37" s="15">
        <f t="shared" ref="CP37" si="76">(CS37-CO37)/3</f>
        <v>67.876965002576014</v>
      </c>
      <c r="CQ37" s="15">
        <f t="shared" ref="CQ37" si="77">(CS37-SUM(CO37:CP37))/2</f>
        <v>67.876965002576014</v>
      </c>
      <c r="CR37" s="103">
        <f t="shared" ref="CR37" si="78">CS37-SUM(CO37:CQ37)</f>
        <v>67.876965002576014</v>
      </c>
      <c r="CS37" s="326">
        <f t="shared" ref="CS37" si="79">+CS73</f>
        <v>271.50786001030406</v>
      </c>
      <c r="CT37" s="15"/>
      <c r="CU37" s="2">
        <f>+BK37+BL37</f>
        <v>31</v>
      </c>
      <c r="CV37" s="2"/>
    </row>
    <row r="38" spans="1:100" outlineLevel="1">
      <c r="A38" s="1888" t="s">
        <v>270</v>
      </c>
      <c r="B38" s="102"/>
      <c r="C38" s="104">
        <f>-0.037+390.745</f>
        <v>390.70800000000003</v>
      </c>
      <c r="D38" s="16">
        <f>-0.069+390.296-C38</f>
        <v>-0.48100000000005139</v>
      </c>
      <c r="E38" s="16">
        <f>-0.086+390.27-D38-C38</f>
        <v>-4.3000000000006366E-2</v>
      </c>
      <c r="F38" s="105">
        <f>390.269-0.095-SUM(C38:E38)</f>
        <v>-9.9999999999909051E-3</v>
      </c>
      <c r="G38" s="326">
        <f>SUM(C38:F38)</f>
        <v>390.17399999999998</v>
      </c>
      <c r="H38" s="102"/>
      <c r="I38" s="104">
        <v>-8.9999999999999993E-3</v>
      </c>
      <c r="J38" s="16">
        <f>-0.016-I38</f>
        <v>-7.000000000000001E-3</v>
      </c>
      <c r="K38" s="16">
        <f>-0.015-J38-I38</f>
        <v>1.0000000000000009E-3</v>
      </c>
      <c r="L38" s="105">
        <f>-0.015-SUM(I38:K38)</f>
        <v>0</v>
      </c>
      <c r="M38" s="326">
        <f>SUM(I38:L38)</f>
        <v>-1.4999999999999999E-2</v>
      </c>
      <c r="N38" s="131"/>
      <c r="O38" s="104">
        <v>-10</v>
      </c>
      <c r="P38" s="16">
        <f>-10-O38</f>
        <v>0</v>
      </c>
      <c r="Q38" s="16">
        <f>-10-P38-O38</f>
        <v>0</v>
      </c>
      <c r="R38" s="105">
        <f>-10-SUM(O38:Q38)</f>
        <v>0</v>
      </c>
      <c r="S38" s="326">
        <f>SUM(O38:R38)</f>
        <v>-10</v>
      </c>
      <c r="T38" s="131"/>
      <c r="U38" s="104">
        <v>0</v>
      </c>
      <c r="V38" s="16">
        <f>0-U38</f>
        <v>0</v>
      </c>
      <c r="W38" s="16">
        <f>0-V38-U38</f>
        <v>0</v>
      </c>
      <c r="X38" s="105">
        <f>0-SUM(U38:W38)</f>
        <v>0</v>
      </c>
      <c r="Y38" s="326">
        <f>SUM(U38:X38)</f>
        <v>0</v>
      </c>
      <c r="Z38" s="131"/>
      <c r="AA38" s="104">
        <f>-253.135+786</f>
        <v>532.86500000000001</v>
      </c>
      <c r="AB38" s="16">
        <f>-340.909+903.492-AA38</f>
        <v>29.717999999999961</v>
      </c>
      <c r="AC38" s="16">
        <f>-349.874+903.492-SUM(AA38:AB38)</f>
        <v>-8.9650000000000318</v>
      </c>
      <c r="AD38" s="16">
        <f>-349.874+903.492-SUM(AA38:AC38)</f>
        <v>0</v>
      </c>
      <c r="AE38" s="326">
        <f>SUM(AA38:AD38)</f>
        <v>553.61799999999994</v>
      </c>
      <c r="AF38" s="131"/>
      <c r="AG38" s="104">
        <v>0</v>
      </c>
      <c r="AH38" s="16">
        <v>0</v>
      </c>
      <c r="AI38" s="112">
        <v>0</v>
      </c>
      <c r="AJ38" s="16">
        <f>0+0-3.374-SUM(AG38:AI38)</f>
        <v>-3.3740000000000001</v>
      </c>
      <c r="AK38" s="326">
        <f>SUM(AG38:AJ38)</f>
        <v>-3.3740000000000001</v>
      </c>
      <c r="AL38" s="131"/>
      <c r="AM38" s="104">
        <f>-0.058-3.985</f>
        <v>-4.0430000000000001</v>
      </c>
      <c r="AN38" s="26">
        <f>-9.14-3.985-AM38</f>
        <v>-9.0820000000000007</v>
      </c>
      <c r="AO38" s="16">
        <f>-10.721-3.985-AM38-AN38</f>
        <v>-1.5809999999999995</v>
      </c>
      <c r="AP38" s="12">
        <f>-10.852-3.985-SUM(AM38:AO38)</f>
        <v>-0.13100000000000023</v>
      </c>
      <c r="AQ38" s="326">
        <f>SUM(AM38:AP38)</f>
        <v>-14.837</v>
      </c>
      <c r="AR38" s="131"/>
      <c r="AS38" s="104">
        <f>-29.654+0</f>
        <v>-29.654</v>
      </c>
      <c r="AT38" s="26">
        <f>-29.747+1132.378-1244.721-AS38</f>
        <v>-112.43600000000015</v>
      </c>
      <c r="AU38" s="7">
        <f>-29.88+1132.378-1244.721-SUM(AS38:AT38)</f>
        <v>-0.1330000000000382</v>
      </c>
      <c r="AV38" s="7">
        <f>-29.991+1132.378-1244.721-SUM(AS38:AU38)</f>
        <v>-0.11099999999987631</v>
      </c>
      <c r="AW38" s="326">
        <f>SUM(AS38:AV38)</f>
        <v>-142.33400000000006</v>
      </c>
      <c r="AX38" s="131"/>
      <c r="AY38" s="104">
        <v>-0.114</v>
      </c>
      <c r="AZ38" s="7">
        <f>-8.664-AY38</f>
        <v>-8.5499999999999989</v>
      </c>
      <c r="BA38" s="2024">
        <f>-216.207-1.5-SUM(AY38:AZ38)</f>
        <v>-209.04300000000001</v>
      </c>
      <c r="BB38" s="7">
        <f>-244.952-2.9-SUM(AY38:BA38)</f>
        <v>-30.14500000000001</v>
      </c>
      <c r="BC38" s="326">
        <f>SUM(AY38:BB38)</f>
        <v>-247.852</v>
      </c>
      <c r="BD38" s="131"/>
      <c r="BE38" s="2767">
        <f>-75.675+39.8</f>
        <v>-35.875</v>
      </c>
      <c r="BF38" s="2743">
        <f>-71.572-29.2+2.042-BE38</f>
        <v>-62.855000000000004</v>
      </c>
      <c r="BG38" s="2743">
        <f>-70.522-29.2+5-SUM(BE38:BF38)</f>
        <v>4.0079999999999956</v>
      </c>
      <c r="BH38" s="2743">
        <f>-65.897-29.2+5-SUM(BE38:BG38)</f>
        <v>4.625</v>
      </c>
      <c r="BI38" s="326">
        <f>SUM(BE38:BH38)</f>
        <v>-90.097000000000008</v>
      </c>
      <c r="BJ38" s="131"/>
      <c r="BK38" s="2767">
        <v>-1</v>
      </c>
      <c r="BL38" s="2743">
        <f>5-6-3-BK38</f>
        <v>-3</v>
      </c>
      <c r="BM38" s="2743">
        <f>-7-3+5-SUM(BK38:BL38)</f>
        <v>-1</v>
      </c>
      <c r="BN38" s="2743">
        <f>-9+5-SUM(BK38:BM38)</f>
        <v>1</v>
      </c>
      <c r="BO38" s="326">
        <f>SUM(BK38:BN38)</f>
        <v>-4</v>
      </c>
      <c r="BP38" s="131"/>
      <c r="BQ38" s="877">
        <f>BS!BQ29-BS!BO29+BS!BQ32-BS!BO32</f>
        <v>-110.62977474990225</v>
      </c>
      <c r="BR38" s="132">
        <f>BS!BR29-BS!BQ29+BS!BR32-BS!BQ32</f>
        <v>7.8770906962224672</v>
      </c>
      <c r="BS38" s="132">
        <f>BS!BS29-BS!BR29+BS!BS32-BS!BR32</f>
        <v>8.0268055197981312</v>
      </c>
      <c r="BT38" s="878">
        <f>BS!BT29-BS!BS29+BS!BT32-BS!BS32</f>
        <v>8.0908129541893459</v>
      </c>
      <c r="BU38" s="326">
        <f>SUM(BQ38:BT38)</f>
        <v>-86.635065579692309</v>
      </c>
      <c r="BV38" s="131"/>
      <c r="BW38" s="877">
        <f>BS!BW29-BS!BU29+BS!BW32-BS!BU32</f>
        <v>7.9773557054752473</v>
      </c>
      <c r="BX38" s="132">
        <f>BS!BX29-BS!BW29+BS!BX32-BS!BW32</f>
        <v>8.1292693647911278</v>
      </c>
      <c r="BY38" s="132">
        <f>BS!BY29-BS!BX29+BS!BY32-BS!BX32</f>
        <v>8.2837953151095576</v>
      </c>
      <c r="BZ38" s="878">
        <f>BS!BZ29-BS!BY29+BS!BZ32-BS!BY32</f>
        <v>8.3498704157426573</v>
      </c>
      <c r="CA38" s="326">
        <f>SUM(BW38:BZ38)</f>
        <v>32.74029080111859</v>
      </c>
      <c r="CB38" s="131"/>
      <c r="CC38" s="877">
        <f>BS!CC29-BS!CA29+BS!CC32-BS!CA32</f>
        <v>8.2327983350193108</v>
      </c>
      <c r="CD38" s="132">
        <f>BS!CD29-BS!CC29+BS!CD32-BS!CC32</f>
        <v>8.3895945850065345</v>
      </c>
      <c r="CE38" s="132">
        <f>BS!CE29-BS!CD29+BS!CE32-BS!CD32</f>
        <v>8.5490876726837541</v>
      </c>
      <c r="CF38" s="878">
        <f>BS!CF29-BS!CE29+BS!CF32-BS!CE32</f>
        <v>8.6172978362874346</v>
      </c>
      <c r="CG38" s="326">
        <f>SUM(CC38:CF38)</f>
        <v>33.788778428997034</v>
      </c>
      <c r="CH38" s="131"/>
      <c r="CI38" s="877">
        <f>BS!CI29-BS!CG29+BS!CI32-BS!CG32</f>
        <v>8.4964947129269603</v>
      </c>
      <c r="CJ38" s="132">
        <f>BS!CJ29-BS!CI29+BS!CJ32-BS!CI32</f>
        <v>8.6583319075680265</v>
      </c>
      <c r="CK38" s="132">
        <f>BS!CK29-BS!CJ29+BS!CK32-BS!CJ32</f>
        <v>8.8229532475972974</v>
      </c>
      <c r="CL38" s="878">
        <f>BS!CL29-BS!CK29+BS!CL32-BS!CK32</f>
        <v>8.8933680871657543</v>
      </c>
      <c r="CM38" s="326">
        <f t="shared" ref="CM38:CM41" si="80">SUM(CI38:CL38)</f>
        <v>34.871147955258039</v>
      </c>
      <c r="CN38" s="131"/>
      <c r="CO38" s="877">
        <f>BS!CO29-BS!CM29+BS!CO32-BS!CM32</f>
        <v>8.7687139406527876</v>
      </c>
      <c r="CP38" s="132">
        <f>BS!CP29-BS!CO29+BS!CP32-BS!CO32</f>
        <v>8.9357556158111038</v>
      </c>
      <c r="CQ38" s="132">
        <f>BS!CQ29-BS!CP29+BS!CQ32-BS!CP32</f>
        <v>9.1056715960239671</v>
      </c>
      <c r="CR38" s="878">
        <f>BS!CR29-BS!CQ29+BS!CR32-BS!CQ32</f>
        <v>9.1783630143183927</v>
      </c>
      <c r="CS38" s="326">
        <f t="shared" ref="CS38:CS41" si="81">SUM(CO38:CR38)</f>
        <v>35.988504166806251</v>
      </c>
      <c r="CT38" s="15"/>
      <c r="CU38" s="2">
        <f>+BK38+BL38</f>
        <v>-4</v>
      </c>
      <c r="CV38" s="2"/>
    </row>
    <row r="39" spans="1:100" outlineLevel="1">
      <c r="A39" s="1888" t="s">
        <v>272</v>
      </c>
      <c r="B39" s="102" t="s">
        <v>16</v>
      </c>
      <c r="C39" s="104">
        <v>0</v>
      </c>
      <c r="D39" s="16">
        <f>0-C39</f>
        <v>0</v>
      </c>
      <c r="E39" s="16">
        <f>0-D39-C39</f>
        <v>0</v>
      </c>
      <c r="F39" s="105">
        <f>20.086-SUM(C39:E39)</f>
        <v>20.085999999999999</v>
      </c>
      <c r="G39" s="326">
        <f>SUM(C39:F39)</f>
        <v>20.085999999999999</v>
      </c>
      <c r="H39" s="102"/>
      <c r="I39" s="104">
        <v>0</v>
      </c>
      <c r="J39" s="16">
        <f>0-I39</f>
        <v>0</v>
      </c>
      <c r="K39" s="16">
        <f>0-J39-I39</f>
        <v>0</v>
      </c>
      <c r="L39" s="105">
        <f>18.501-SUM(I39:K39)</f>
        <v>18.501000000000001</v>
      </c>
      <c r="M39" s="326">
        <f>SUM(I39:L39)</f>
        <v>18.501000000000001</v>
      </c>
      <c r="N39" s="131"/>
      <c r="O39" s="104">
        <v>0</v>
      </c>
      <c r="P39" s="16">
        <f>25.7-O39</f>
        <v>25.7</v>
      </c>
      <c r="Q39" s="16">
        <f>39.077-P39-O39</f>
        <v>13.376999999999999</v>
      </c>
      <c r="R39" s="105">
        <f>39.319-SUM(O39:Q39)</f>
        <v>0.24200000000000443</v>
      </c>
      <c r="S39" s="326">
        <f>SUM(O39:R39)</f>
        <v>39.319000000000003</v>
      </c>
      <c r="T39" s="131"/>
      <c r="U39" s="104">
        <v>4.5</v>
      </c>
      <c r="V39" s="16">
        <f>8-U39</f>
        <v>3.5</v>
      </c>
      <c r="W39" s="16">
        <f>14.551-V39-U39</f>
        <v>6.5510000000000002</v>
      </c>
      <c r="X39" s="105">
        <f>42.445-SUM(U39:W39)</f>
        <v>27.893999999999998</v>
      </c>
      <c r="Y39" s="326">
        <f>SUM(U39:X39)</f>
        <v>42.445</v>
      </c>
      <c r="Z39" s="131"/>
      <c r="AA39" s="104">
        <v>10</v>
      </c>
      <c r="AB39" s="16">
        <f>33.32-AA39</f>
        <v>23.32</v>
      </c>
      <c r="AC39" s="16">
        <f>40.387-SUM(AA39:AB39)</f>
        <v>7.0670000000000002</v>
      </c>
      <c r="AD39" s="16">
        <f>46.354-SUM(AA39:AC39)</f>
        <v>5.9669999999999987</v>
      </c>
      <c r="AE39" s="326">
        <f>SUM(AA39:AD39)</f>
        <v>46.353999999999999</v>
      </c>
      <c r="AF39" s="131"/>
      <c r="AG39" s="104">
        <v>9.4939999999999998</v>
      </c>
      <c r="AH39" s="16">
        <f>11.205-AG39</f>
        <v>1.7110000000000003</v>
      </c>
      <c r="AI39" s="112">
        <f>12.463-AG39-AH39</f>
        <v>1.2579999999999991</v>
      </c>
      <c r="AJ39" s="16">
        <f>20.783-SUM(AG39:AI39)</f>
        <v>8.3200000000000021</v>
      </c>
      <c r="AK39" s="326">
        <f>SUM(AG39:AJ39)</f>
        <v>20.783000000000001</v>
      </c>
      <c r="AL39" s="131"/>
      <c r="AM39" s="104">
        <v>5.2779999999999996</v>
      </c>
      <c r="AN39" s="26">
        <f>14.844-AM39</f>
        <v>9.5659999999999989</v>
      </c>
      <c r="AO39" s="16">
        <f>27.225-AM39-AN39</f>
        <v>12.381000000000004</v>
      </c>
      <c r="AP39" s="12">
        <f>56.678-SUM(AM39:AO39)</f>
        <v>29.452999999999996</v>
      </c>
      <c r="AQ39" s="326">
        <f>SUM(AM39:AP39)</f>
        <v>56.677999999999997</v>
      </c>
      <c r="AR39" s="131"/>
      <c r="AS39" s="104">
        <v>50.527999999999999</v>
      </c>
      <c r="AT39" s="26">
        <f>77.333-AS39</f>
        <v>26.805</v>
      </c>
      <c r="AU39" s="7">
        <f>102.639-SUM(AS39:AT39)</f>
        <v>25.305999999999997</v>
      </c>
      <c r="AV39" s="7">
        <f>126.479-SUM(AS39:AU39)</f>
        <v>23.840000000000003</v>
      </c>
      <c r="AW39" s="326">
        <f>SUM(AS39:AV39)</f>
        <v>126.479</v>
      </c>
      <c r="AX39" s="131"/>
      <c r="AY39" s="104">
        <v>76.444999999999993</v>
      </c>
      <c r="AZ39" s="7">
        <f>106.162-AY39</f>
        <v>29.717000000000013</v>
      </c>
      <c r="BA39" s="2024">
        <f>121.703-SUM(AY39:AZ39)</f>
        <v>15.540999999999997</v>
      </c>
      <c r="BB39" s="7">
        <f>126.659-SUM(AY39:BA39)</f>
        <v>4.9560000000000031</v>
      </c>
      <c r="BC39" s="326">
        <f>SUM(AY39:BB39)</f>
        <v>126.65900000000001</v>
      </c>
      <c r="BD39" s="131"/>
      <c r="BE39" s="2767">
        <v>-69</v>
      </c>
      <c r="BF39" s="2743">
        <f>84.22-72.792-BE39-84.22+27.829</f>
        <v>24.036999999999999</v>
      </c>
      <c r="BG39" s="2743">
        <f>-76.365-SUM(BE39:BF39)+57.539</f>
        <v>26.137000000000008</v>
      </c>
      <c r="BH39" s="2743">
        <f>91.332-SUM(BE39:BG39)-91.332+93.562</f>
        <v>112.38799999999999</v>
      </c>
      <c r="BI39" s="326">
        <f>SUM(BE39:BH39)</f>
        <v>93.561999999999998</v>
      </c>
      <c r="BJ39" s="131"/>
      <c r="BK39" s="2767">
        <v>-22</v>
      </c>
      <c r="BL39" s="2743">
        <f>-24-BK39</f>
        <v>-2</v>
      </c>
      <c r="BM39" s="2743">
        <f>-28-SUM(BK39:BL39)</f>
        <v>-4</v>
      </c>
      <c r="BN39" s="2743">
        <f>-68+0.484-SUM(BK39:BM39)</f>
        <v>-39.516000000000005</v>
      </c>
      <c r="BO39" s="326">
        <f>SUM(BK39:BN39)</f>
        <v>-67.516000000000005</v>
      </c>
      <c r="BP39" s="131"/>
      <c r="BQ39" s="102">
        <f>-BQ15</f>
        <v>0</v>
      </c>
      <c r="BR39" s="15">
        <f>-BR15</f>
        <v>0</v>
      </c>
      <c r="BS39" s="15">
        <f>-BS15</f>
        <v>0</v>
      </c>
      <c r="BT39" s="103">
        <f>-BT15</f>
        <v>0</v>
      </c>
      <c r="BU39" s="326">
        <f>SUM(BQ39:BT39)</f>
        <v>0</v>
      </c>
      <c r="BV39" s="131"/>
      <c r="BW39" s="102">
        <f>-BW15</f>
        <v>0</v>
      </c>
      <c r="BX39" s="15">
        <f>-BX15</f>
        <v>0</v>
      </c>
      <c r="BY39" s="15">
        <f>-BY15</f>
        <v>0</v>
      </c>
      <c r="BZ39" s="103">
        <f>-BZ15</f>
        <v>0</v>
      </c>
      <c r="CA39" s="326">
        <f>SUM(BW39:BZ39)</f>
        <v>0</v>
      </c>
      <c r="CB39" s="131"/>
      <c r="CC39" s="102">
        <f>-CC15</f>
        <v>0</v>
      </c>
      <c r="CD39" s="15">
        <f>-CD15</f>
        <v>0</v>
      </c>
      <c r="CE39" s="15">
        <f>-CE15</f>
        <v>0</v>
      </c>
      <c r="CF39" s="103">
        <f>-CF15</f>
        <v>0</v>
      </c>
      <c r="CG39" s="326">
        <f>SUM(CC39:CF39)</f>
        <v>0</v>
      </c>
      <c r="CH39" s="131"/>
      <c r="CI39" s="102">
        <f t="shared" ref="CI39:CL39" si="82">-CI15</f>
        <v>0</v>
      </c>
      <c r="CJ39" s="15">
        <f t="shared" si="82"/>
        <v>0</v>
      </c>
      <c r="CK39" s="15">
        <f t="shared" si="82"/>
        <v>0</v>
      </c>
      <c r="CL39" s="103">
        <f t="shared" si="82"/>
        <v>0</v>
      </c>
      <c r="CM39" s="326">
        <f t="shared" si="80"/>
        <v>0</v>
      </c>
      <c r="CN39" s="131"/>
      <c r="CO39" s="102">
        <f t="shared" ref="CO39:CR39" si="83">-CO15</f>
        <v>0</v>
      </c>
      <c r="CP39" s="15">
        <f t="shared" si="83"/>
        <v>0</v>
      </c>
      <c r="CQ39" s="15">
        <f t="shared" si="83"/>
        <v>0</v>
      </c>
      <c r="CR39" s="103">
        <f t="shared" si="83"/>
        <v>0</v>
      </c>
      <c r="CS39" s="326">
        <f t="shared" si="81"/>
        <v>0</v>
      </c>
      <c r="CT39" s="15"/>
      <c r="CU39" s="2">
        <f>+BK39+BL39</f>
        <v>-24</v>
      </c>
      <c r="CV39" s="2"/>
    </row>
    <row r="40" spans="1:100" outlineLevel="1">
      <c r="A40" s="1888" t="s">
        <v>273</v>
      </c>
      <c r="B40" s="102" t="s">
        <v>16</v>
      </c>
      <c r="C40" s="104">
        <f>-139.04+92.44</f>
        <v>-46.599999999999994</v>
      </c>
      <c r="D40" s="16">
        <f>-139.04+92.44-C40</f>
        <v>0</v>
      </c>
      <c r="E40" s="16">
        <f>-139.04+92.642-D40-C40</f>
        <v>0.20199999999999818</v>
      </c>
      <c r="F40" s="105">
        <f>-139.04+92.44-SUM(C40:E40)</f>
        <v>-0.20199999999999818</v>
      </c>
      <c r="G40" s="326">
        <f>SUM(C40:F40)</f>
        <v>-46.599999999999994</v>
      </c>
      <c r="H40" s="102"/>
      <c r="I40" s="104">
        <v>0</v>
      </c>
      <c r="J40" s="16">
        <f>2.184-I40</f>
        <v>2.1840000000000002</v>
      </c>
      <c r="K40" s="16">
        <f>2.991-J40-I40</f>
        <v>0.80699999999999994</v>
      </c>
      <c r="L40" s="105">
        <f>2.991-SUM(I40:K40)</f>
        <v>0</v>
      </c>
      <c r="M40" s="326">
        <f>SUM(I40:L40)</f>
        <v>2.9910000000000001</v>
      </c>
      <c r="N40" s="15"/>
      <c r="O40" s="104">
        <v>4.7619999999999996</v>
      </c>
      <c r="P40" s="16">
        <f>7.113-O40</f>
        <v>2.3510000000000009</v>
      </c>
      <c r="Q40" s="16">
        <f>7.576-P40-O40</f>
        <v>0.46299999999999919</v>
      </c>
      <c r="R40" s="105">
        <f>7.576-SUM(O40:Q40)</f>
        <v>0</v>
      </c>
      <c r="S40" s="326">
        <f>SUM(O40:R40)</f>
        <v>7.5759999999999996</v>
      </c>
      <c r="T40" s="15"/>
      <c r="U40" s="104">
        <v>3.6459999999999999</v>
      </c>
      <c r="V40" s="16">
        <f>9.587-U40</f>
        <v>5.9409999999999998</v>
      </c>
      <c r="W40" s="16">
        <f>9.587-V40-U40</f>
        <v>0</v>
      </c>
      <c r="X40" s="105">
        <f>0-SUM(U40:W40)</f>
        <v>-9.5869999999999997</v>
      </c>
      <c r="Y40" s="326">
        <f>SUM(U40:X40)</f>
        <v>0</v>
      </c>
      <c r="Z40" s="15"/>
      <c r="AA40" s="104">
        <v>5.5119999999999996</v>
      </c>
      <c r="AB40" s="16">
        <f>5.512-AA40</f>
        <v>0</v>
      </c>
      <c r="AC40" s="16">
        <f>5.512-SUM(AA40:AB40)</f>
        <v>0</v>
      </c>
      <c r="AD40" s="16">
        <f>5.512-SUM(AA40:AC40)</f>
        <v>0</v>
      </c>
      <c r="AE40" s="326">
        <f>SUM(AA40:AD40)</f>
        <v>5.5119999999999996</v>
      </c>
      <c r="AF40" s="15"/>
      <c r="AG40" s="104">
        <v>0</v>
      </c>
      <c r="AH40" s="16">
        <f>-3.374-AG40</f>
        <v>-3.3740000000000001</v>
      </c>
      <c r="AI40" s="112">
        <f>-3.374-AH40</f>
        <v>0</v>
      </c>
      <c r="AJ40" s="16">
        <f>0-SUM(AG40:AI40)</f>
        <v>3.3740000000000001</v>
      </c>
      <c r="AK40" s="326">
        <f>SUM(AG40:AJ40)</f>
        <v>0</v>
      </c>
      <c r="AL40" s="15"/>
      <c r="AM40" s="104">
        <v>0</v>
      </c>
      <c r="AN40" s="26">
        <f>0-AM40</f>
        <v>0</v>
      </c>
      <c r="AO40" s="16">
        <f>-125-AM40-AN40</f>
        <v>-125</v>
      </c>
      <c r="AP40" s="12">
        <f>-125-SUM(AM40:AO40)</f>
        <v>0</v>
      </c>
      <c r="AQ40" s="326">
        <f>SUM(AM40:AP40)</f>
        <v>-125</v>
      </c>
      <c r="AR40" s="15"/>
      <c r="AS40" s="104">
        <v>0</v>
      </c>
      <c r="AT40" s="26">
        <f>0-AS40</f>
        <v>0</v>
      </c>
      <c r="AU40" s="7">
        <f>0-SUM(AS40:AT40)</f>
        <v>0</v>
      </c>
      <c r="AV40" s="7">
        <f>0-SUM(AS40:AU40)</f>
        <v>0</v>
      </c>
      <c r="AW40" s="326">
        <f>SUM(AS40:AV40)</f>
        <v>0</v>
      </c>
      <c r="AX40" s="15"/>
      <c r="AY40" s="104">
        <v>-83.838999999999999</v>
      </c>
      <c r="AZ40" s="7">
        <f>-89.982-AY40</f>
        <v>-6.1430000000000007</v>
      </c>
      <c r="BA40" s="2024">
        <f>-95.157+32.128-SUM(AY40:AZ40)</f>
        <v>26.953000000000003</v>
      </c>
      <c r="BB40" s="7">
        <f>-127.212+32.128-SUM(AY40:BA40)</f>
        <v>-32.055000000000007</v>
      </c>
      <c r="BC40" s="326">
        <f>SUM(AY40:BB40)</f>
        <v>-95.084000000000003</v>
      </c>
      <c r="BD40" s="15"/>
      <c r="BE40" s="2767">
        <f>+-69.52+80</f>
        <v>10.480000000000004</v>
      </c>
      <c r="BF40" s="2743">
        <f>5.047+80-BE40</f>
        <v>74.566999999999993</v>
      </c>
      <c r="BG40" s="2743">
        <f>5.851+80-SUM(BE40:BF40)</f>
        <v>0.80400000000000205</v>
      </c>
      <c r="BH40" s="2743">
        <f>-99.825+6.558+89-SUM(BE40:BG40)</f>
        <v>-90.117999999999995</v>
      </c>
      <c r="BI40" s="326">
        <f>SUM(BE40:BH40)</f>
        <v>-4.2669999999999959</v>
      </c>
      <c r="BJ40" s="15"/>
      <c r="BK40" s="2767">
        <v>16</v>
      </c>
      <c r="BL40" s="2743">
        <f>36-BK40</f>
        <v>20</v>
      </c>
      <c r="BM40" s="2743">
        <f>79-SUM(BK40:BL40)</f>
        <v>43</v>
      </c>
      <c r="BN40" s="2743">
        <f>79-3-SUM(BK40:BM40)</f>
        <v>-3</v>
      </c>
      <c r="BO40" s="326">
        <f>SUM(BK40:BN40)</f>
        <v>76</v>
      </c>
      <c r="BP40" s="15"/>
      <c r="BQ40" s="104">
        <v>0</v>
      </c>
      <c r="BR40" s="16">
        <v>0</v>
      </c>
      <c r="BS40" s="16">
        <v>0</v>
      </c>
      <c r="BT40" s="105">
        <v>0</v>
      </c>
      <c r="BU40" s="326">
        <f>SUM(BQ40:BT40)</f>
        <v>0</v>
      </c>
      <c r="BV40" s="15"/>
      <c r="BW40" s="104">
        <v>0</v>
      </c>
      <c r="BX40" s="16">
        <v>0</v>
      </c>
      <c r="BY40" s="16">
        <v>0</v>
      </c>
      <c r="BZ40" s="105">
        <v>0</v>
      </c>
      <c r="CA40" s="326">
        <f>SUM(BW40:BZ40)</f>
        <v>0</v>
      </c>
      <c r="CB40" s="15"/>
      <c r="CC40" s="104">
        <v>0</v>
      </c>
      <c r="CD40" s="16">
        <v>0</v>
      </c>
      <c r="CE40" s="16">
        <v>0</v>
      </c>
      <c r="CF40" s="105">
        <v>0</v>
      </c>
      <c r="CG40" s="326">
        <f>SUM(CC40:CF40)</f>
        <v>0</v>
      </c>
      <c r="CH40" s="15"/>
      <c r="CI40" s="104">
        <v>0</v>
      </c>
      <c r="CJ40" s="16">
        <v>0</v>
      </c>
      <c r="CK40" s="16">
        <v>0</v>
      </c>
      <c r="CL40" s="105">
        <v>0</v>
      </c>
      <c r="CM40" s="326">
        <f t="shared" si="80"/>
        <v>0</v>
      </c>
      <c r="CN40" s="15"/>
      <c r="CO40" s="104">
        <v>0</v>
      </c>
      <c r="CP40" s="16">
        <v>0</v>
      </c>
      <c r="CQ40" s="16">
        <v>0</v>
      </c>
      <c r="CR40" s="105">
        <v>0</v>
      </c>
      <c r="CS40" s="326">
        <f t="shared" si="81"/>
        <v>0</v>
      </c>
      <c r="CT40" s="15"/>
      <c r="CU40" s="2">
        <f>+BK40+BL40</f>
        <v>36</v>
      </c>
      <c r="CV40" s="2"/>
    </row>
    <row r="41" spans="1:100">
      <c r="A41" s="1888" t="s">
        <v>274</v>
      </c>
      <c r="B41" s="102"/>
      <c r="C41" s="104">
        <v>-250.88900000000001</v>
      </c>
      <c r="D41" s="16">
        <f>-251.622-C41</f>
        <v>-0.73300000000000409</v>
      </c>
      <c r="E41" s="16">
        <f>-251.622-D41-C41</f>
        <v>0</v>
      </c>
      <c r="F41" s="105">
        <f>-251.622-SUM(C41:E41)</f>
        <v>0</v>
      </c>
      <c r="G41" s="326">
        <f>SUM(C41:F41)</f>
        <v>-251.62200000000001</v>
      </c>
      <c r="H41" s="102"/>
      <c r="I41" s="104">
        <v>0</v>
      </c>
      <c r="J41" s="16">
        <f>0-I41</f>
        <v>0</v>
      </c>
      <c r="K41" s="16">
        <f>0-J41-I41</f>
        <v>0</v>
      </c>
      <c r="L41" s="105">
        <f>-70.785-SUM(I41:K41)</f>
        <v>-70.784999999999997</v>
      </c>
      <c r="M41" s="326">
        <f>SUM(I41:L41)</f>
        <v>-70.784999999999997</v>
      </c>
      <c r="N41" s="15"/>
      <c r="O41" s="104">
        <v>0</v>
      </c>
      <c r="P41" s="16">
        <f>0-O41</f>
        <v>0</v>
      </c>
      <c r="Q41" s="16">
        <f>0-P41-O41</f>
        <v>0</v>
      </c>
      <c r="R41" s="105">
        <f>-175.136-SUM(O41:Q41)</f>
        <v>-175.136</v>
      </c>
      <c r="S41" s="326">
        <f>SUM(O41:R41)</f>
        <v>-175.136</v>
      </c>
      <c r="T41" s="15"/>
      <c r="U41" s="104">
        <v>0</v>
      </c>
      <c r="V41" s="16">
        <f>0-U41</f>
        <v>0</v>
      </c>
      <c r="W41" s="16">
        <f>-16.006-V41-U41</f>
        <v>-16.006</v>
      </c>
      <c r="X41" s="105">
        <f>-44.016-SUM(U41:W41)</f>
        <v>-28.009999999999998</v>
      </c>
      <c r="Y41" s="326">
        <f>SUM(U41:X41)</f>
        <v>-44.015999999999998</v>
      </c>
      <c r="Z41" s="15"/>
      <c r="AA41" s="104">
        <v>-338.32</v>
      </c>
      <c r="AB41" s="16">
        <f>-366.326-AA41</f>
        <v>-28.006000000000029</v>
      </c>
      <c r="AC41" s="16">
        <f>-570.406-SUM(AA41:AB41)</f>
        <v>-204.07999999999993</v>
      </c>
      <c r="AD41" s="16">
        <f>-570.406-SUM(AA41:AC41)</f>
        <v>0</v>
      </c>
      <c r="AE41" s="326">
        <f>SUM(AA41:AD41)</f>
        <v>-570.40599999999995</v>
      </c>
      <c r="AF41" s="15"/>
      <c r="AG41" s="104">
        <v>0</v>
      </c>
      <c r="AH41" s="16">
        <f>-32.499</f>
        <v>-32.499000000000002</v>
      </c>
      <c r="AI41" s="112">
        <f>-52.509-AG41-AH41</f>
        <v>-20.009999999999998</v>
      </c>
      <c r="AJ41" s="16">
        <f>-82.522-SUM(AG41:AI41)</f>
        <v>-30.013000000000005</v>
      </c>
      <c r="AK41" s="2769">
        <f>SUM(AG41:AJ41)</f>
        <v>-82.522000000000006</v>
      </c>
      <c r="AL41" s="15"/>
      <c r="AM41" s="104">
        <v>-25.010999999999999</v>
      </c>
      <c r="AN41" s="26">
        <f>-50.02-AM41</f>
        <v>-25.009000000000004</v>
      </c>
      <c r="AO41" s="16">
        <f>-50.02-AM41-AN41</f>
        <v>0</v>
      </c>
      <c r="AP41" s="12">
        <f>-50.02-SUM(AM41:AO41)</f>
        <v>0</v>
      </c>
      <c r="AQ41" s="326">
        <f>SUM(AM41:AP41)</f>
        <v>-50.02</v>
      </c>
      <c r="AR41" s="15"/>
      <c r="AS41" s="104">
        <v>-130.017</v>
      </c>
      <c r="AT41" s="26">
        <f>-202.431-AS41</f>
        <v>-72.414000000000016</v>
      </c>
      <c r="AU41" s="7">
        <f>-202.431-SUM(AS41:AT41)</f>
        <v>0</v>
      </c>
      <c r="AV41" s="7">
        <f>-237.183-SUM(AS41:AU41)</f>
        <v>-34.751999999999981</v>
      </c>
      <c r="AW41" s="326">
        <f>SUM(AS41:AV41)</f>
        <v>-237.18299999999999</v>
      </c>
      <c r="AX41" s="15"/>
      <c r="AY41" s="104">
        <v>-34.753</v>
      </c>
      <c r="AZ41" s="7">
        <f>-34.753-AY41</f>
        <v>0</v>
      </c>
      <c r="BA41" s="2015">
        <f>-72.256-SUM(AY41:AZ41)</f>
        <v>-37.503</v>
      </c>
      <c r="BB41" s="7">
        <f>-274.324-SUM(AY41:BA41)</f>
        <v>-202.06800000000001</v>
      </c>
      <c r="BC41" s="326">
        <f>SUM(AY41:BB41)</f>
        <v>-274.32400000000001</v>
      </c>
      <c r="BD41" s="15"/>
      <c r="BE41" s="2767">
        <v>0</v>
      </c>
      <c r="BF41" s="2768">
        <f>-100-BE41</f>
        <v>-100</v>
      </c>
      <c r="BG41" s="2768">
        <f>-113.075-SUM(BE41:BF41)</f>
        <v>-13.075000000000003</v>
      </c>
      <c r="BH41" s="2743">
        <f>-249.342-SUM(BE41:BG41)</f>
        <v>-136.267</v>
      </c>
      <c r="BI41" s="326">
        <f>SUM(BE41:BH41)</f>
        <v>-249.34199999999998</v>
      </c>
      <c r="BJ41" s="15"/>
      <c r="BK41" s="2767">
        <v>-101</v>
      </c>
      <c r="BL41" s="2768">
        <f>-101-BK41</f>
        <v>0</v>
      </c>
      <c r="BM41" s="2768">
        <f>-176-SUM(BK41:BL41)</f>
        <v>-75</v>
      </c>
      <c r="BN41" s="2743">
        <f>-251-SUM(BK41:BM41)</f>
        <v>-75</v>
      </c>
      <c r="BO41" s="326">
        <f>SUM(BK41:BN41)</f>
        <v>-251</v>
      </c>
      <c r="BP41" s="15"/>
      <c r="BQ41" s="104">
        <v>-150</v>
      </c>
      <c r="BR41" s="332">
        <f>BQ41</f>
        <v>-150</v>
      </c>
      <c r="BS41" s="332">
        <f>BR41</f>
        <v>-150</v>
      </c>
      <c r="BT41" s="333">
        <f>BS41</f>
        <v>-150</v>
      </c>
      <c r="BU41" s="326">
        <f>SUM(BQ41:BT41)</f>
        <v>-600</v>
      </c>
      <c r="BV41" s="15"/>
      <c r="BW41" s="104">
        <v>-150</v>
      </c>
      <c r="BX41" s="332">
        <f>BW41</f>
        <v>-150</v>
      </c>
      <c r="BY41" s="332">
        <f>BX41</f>
        <v>-150</v>
      </c>
      <c r="BZ41" s="333">
        <f>BY41</f>
        <v>-150</v>
      </c>
      <c r="CA41" s="326">
        <f>SUM(BW41:BZ41)</f>
        <v>-600</v>
      </c>
      <c r="CB41" s="15"/>
      <c r="CC41" s="104">
        <v>-150</v>
      </c>
      <c r="CD41" s="332">
        <f>CC41</f>
        <v>-150</v>
      </c>
      <c r="CE41" s="332">
        <f>CD41</f>
        <v>-150</v>
      </c>
      <c r="CF41" s="333">
        <f>CE41</f>
        <v>-150</v>
      </c>
      <c r="CG41" s="326">
        <f>SUM(CC41:CF41)</f>
        <v>-600</v>
      </c>
      <c r="CH41" s="15"/>
      <c r="CI41" s="104">
        <v>-150</v>
      </c>
      <c r="CJ41" s="332">
        <f t="shared" ref="CJ41:CL41" si="84">CI41</f>
        <v>-150</v>
      </c>
      <c r="CK41" s="332">
        <f t="shared" si="84"/>
        <v>-150</v>
      </c>
      <c r="CL41" s="333">
        <f t="shared" si="84"/>
        <v>-150</v>
      </c>
      <c r="CM41" s="326">
        <f t="shared" si="80"/>
        <v>-600</v>
      </c>
      <c r="CN41" s="15"/>
      <c r="CO41" s="104">
        <v>-150</v>
      </c>
      <c r="CP41" s="332">
        <f t="shared" ref="CP41:CR41" si="85">CO41</f>
        <v>-150</v>
      </c>
      <c r="CQ41" s="332">
        <f t="shared" si="85"/>
        <v>-150</v>
      </c>
      <c r="CR41" s="333">
        <f t="shared" si="85"/>
        <v>-150</v>
      </c>
      <c r="CS41" s="326">
        <f t="shared" si="81"/>
        <v>-600</v>
      </c>
      <c r="CT41" s="15"/>
      <c r="CU41" s="2">
        <f>+BK41+BL41</f>
        <v>-101</v>
      </c>
      <c r="CV41" s="2"/>
    </row>
    <row r="42" spans="1:100" ht="6" customHeight="1">
      <c r="A42" s="330"/>
      <c r="B42" s="102"/>
      <c r="C42" s="102"/>
      <c r="D42" s="15"/>
      <c r="E42" s="15"/>
      <c r="F42" s="103"/>
      <c r="G42" s="326"/>
      <c r="H42" s="102"/>
      <c r="I42" s="102"/>
      <c r="J42" s="15"/>
      <c r="K42" s="15"/>
      <c r="L42" s="103"/>
      <c r="M42" s="326"/>
      <c r="N42" s="131"/>
      <c r="O42" s="102"/>
      <c r="P42" s="15"/>
      <c r="Q42" s="15"/>
      <c r="R42" s="103"/>
      <c r="S42" s="326"/>
      <c r="T42" s="131"/>
      <c r="U42" s="102"/>
      <c r="V42" s="15"/>
      <c r="W42" s="15"/>
      <c r="X42" s="103"/>
      <c r="Y42" s="326"/>
      <c r="Z42" s="131"/>
      <c r="AA42" s="102"/>
      <c r="AB42" s="15"/>
      <c r="AC42" s="15"/>
      <c r="AD42" s="15"/>
      <c r="AE42" s="326"/>
      <c r="AF42" s="131"/>
      <c r="AG42" s="102"/>
      <c r="AH42" s="15"/>
      <c r="AI42" s="131"/>
      <c r="AJ42" s="15"/>
      <c r="AK42" s="326"/>
      <c r="AL42" s="131"/>
      <c r="AM42" s="102"/>
      <c r="AN42" s="15"/>
      <c r="AO42" s="15"/>
      <c r="AP42" s="103"/>
      <c r="AQ42" s="326"/>
      <c r="AR42" s="131"/>
      <c r="AS42" s="102"/>
      <c r="AT42" s="15"/>
      <c r="AU42" s="15"/>
      <c r="AV42" s="15"/>
      <c r="AW42" s="326"/>
      <c r="AX42" s="131"/>
      <c r="AY42" s="102"/>
      <c r="AZ42" s="15"/>
      <c r="BA42" s="15"/>
      <c r="BB42" s="15"/>
      <c r="BC42" s="326"/>
      <c r="BD42" s="131"/>
      <c r="BE42" s="102"/>
      <c r="BF42" s="15"/>
      <c r="BG42" s="15"/>
      <c r="BH42" s="15"/>
      <c r="BI42" s="326"/>
      <c r="BJ42" s="131"/>
      <c r="BK42" s="102"/>
      <c r="BL42" s="15"/>
      <c r="BM42" s="15"/>
      <c r="BN42" s="15"/>
      <c r="BO42" s="326"/>
      <c r="BP42" s="131"/>
      <c r="BQ42" s="102"/>
      <c r="BR42" s="15"/>
      <c r="BS42" s="15"/>
      <c r="BT42" s="103"/>
      <c r="BU42" s="326"/>
      <c r="BV42" s="131"/>
      <c r="BW42" s="102"/>
      <c r="BX42" s="15"/>
      <c r="BY42" s="15"/>
      <c r="BZ42" s="103"/>
      <c r="CA42" s="326"/>
      <c r="CB42" s="131"/>
      <c r="CC42" s="102"/>
      <c r="CD42" s="15"/>
      <c r="CE42" s="15"/>
      <c r="CF42" s="103"/>
      <c r="CG42" s="326"/>
      <c r="CH42" s="131"/>
      <c r="CI42" s="102"/>
      <c r="CJ42" s="15"/>
      <c r="CK42" s="15"/>
      <c r="CL42" s="103"/>
      <c r="CM42" s="326"/>
      <c r="CN42" s="131"/>
      <c r="CO42" s="102"/>
      <c r="CP42" s="15"/>
      <c r="CQ42" s="15"/>
      <c r="CR42" s="103"/>
      <c r="CS42" s="326"/>
      <c r="CT42" s="15"/>
      <c r="CU42" s="2"/>
      <c r="CV42" s="1"/>
    </row>
    <row r="43" spans="1:100" ht="13.5" customHeight="1">
      <c r="A43" s="1889" t="s">
        <v>275</v>
      </c>
      <c r="B43" s="110"/>
      <c r="C43" s="334">
        <f>SUM(C37:C41)</f>
        <v>104.95000000000005</v>
      </c>
      <c r="D43" s="335">
        <f>SUM(D37:D41)</f>
        <v>2.4649999999999448</v>
      </c>
      <c r="E43" s="335">
        <f>SUM(E37:E41)</f>
        <v>10.432999999999995</v>
      </c>
      <c r="F43" s="336">
        <f>SUM(F37:F41)</f>
        <v>30.444000000000003</v>
      </c>
      <c r="G43" s="325">
        <f>SUM(G37:G41)</f>
        <v>148.29199999999997</v>
      </c>
      <c r="H43" s="110"/>
      <c r="I43" s="334">
        <f>SUM(I37:I41)</f>
        <v>15.978999999999999</v>
      </c>
      <c r="J43" s="335">
        <f>SUM(J37:J41)</f>
        <v>14.170999999999999</v>
      </c>
      <c r="K43" s="335">
        <f>SUM(K37:K41)</f>
        <v>356.93599999999998</v>
      </c>
      <c r="L43" s="336">
        <f>SUM(L37:L41)</f>
        <v>-49.414000000000044</v>
      </c>
      <c r="M43" s="325">
        <f>SUM(M37:M41)</f>
        <v>337.67199999999991</v>
      </c>
      <c r="N43" s="335"/>
      <c r="O43" s="334">
        <f>SUM(O37:O41)</f>
        <v>7.8129999999999997</v>
      </c>
      <c r="P43" s="335">
        <f>SUM(P37:P41)</f>
        <v>39.132999999999996</v>
      </c>
      <c r="Q43" s="335">
        <f>SUM(Q37:Q41)</f>
        <v>25.341000000000001</v>
      </c>
      <c r="R43" s="336">
        <f>SUM(R37:R41)</f>
        <v>-171.149</v>
      </c>
      <c r="S43" s="325">
        <f>SUM(S37:S41)</f>
        <v>-98.861999999999995</v>
      </c>
      <c r="T43" s="335"/>
      <c r="U43" s="334">
        <f>SUM(U37:U41)</f>
        <v>34.305999999999997</v>
      </c>
      <c r="V43" s="335">
        <f>SUM(V37:V41)</f>
        <v>43.216000000000008</v>
      </c>
      <c r="W43" s="335">
        <f>SUM(W37:W41)</f>
        <v>12.407999999999994</v>
      </c>
      <c r="X43" s="336">
        <f>SUM(X37:X41)</f>
        <v>26.54399999999999</v>
      </c>
      <c r="Y43" s="325">
        <f>SUM(Y37:Y41)</f>
        <v>116.47400000000002</v>
      </c>
      <c r="Z43" s="335"/>
      <c r="AA43" s="334">
        <f>SUM(AA37:AA41)</f>
        <v>225.48099999999994</v>
      </c>
      <c r="AB43" s="335">
        <f>SUM(AB37:AB41)</f>
        <v>51.516999999999939</v>
      </c>
      <c r="AC43" s="335">
        <f>SUM(AC37:AC41)</f>
        <v>-187.82999999999996</v>
      </c>
      <c r="AD43" s="336">
        <f>SUM(AD37:AD41)</f>
        <v>7.847999999999999</v>
      </c>
      <c r="AE43" s="325">
        <f>SUM(AE37:AE41)</f>
        <v>97.015999999999963</v>
      </c>
      <c r="AF43" s="335"/>
      <c r="AG43" s="334">
        <f>SUM(AG37:AG41)</f>
        <v>33.616</v>
      </c>
      <c r="AH43" s="335">
        <f>SUM(AH37:AH41)</f>
        <v>-30.264000000000003</v>
      </c>
      <c r="AI43" s="335">
        <f>SUM(AI37:AI41)</f>
        <v>-8.0649999999999977</v>
      </c>
      <c r="AJ43" s="336">
        <f>SUM(AJ37:AJ41)</f>
        <v>-6.0420000000000087</v>
      </c>
      <c r="AK43" s="325">
        <f>SUM(AK37:AK41)</f>
        <v>-10.75500000000001</v>
      </c>
      <c r="AL43" s="335"/>
      <c r="AM43" s="334">
        <f>SUM(AM37:AM41)</f>
        <v>-13.006</v>
      </c>
      <c r="AN43" s="335">
        <f>SUM(AN37:AN41)</f>
        <v>5.7839999999999954</v>
      </c>
      <c r="AO43" s="335">
        <f>SUM(AO37:AO41)</f>
        <v>-75.052999999999997</v>
      </c>
      <c r="AP43" s="336">
        <f>SUM(AP37:AP41)</f>
        <v>43.55599999999999</v>
      </c>
      <c r="AQ43" s="325">
        <f>SUM(AQ37:AQ41)</f>
        <v>-38.719000000000015</v>
      </c>
      <c r="AR43" s="335"/>
      <c r="AS43" s="334">
        <f>SUM(AS37:AS41)</f>
        <v>-85.923999999999992</v>
      </c>
      <c r="AT43" s="335">
        <f>SUM(AT37:AT41)</f>
        <v>-136.52100000000016</v>
      </c>
      <c r="AU43" s="335">
        <f>SUM(AU37:AU41)</f>
        <v>55.494999999999955</v>
      </c>
      <c r="AV43" s="336">
        <f>SUM(AV37:AV41)</f>
        <v>0.2020000000001545</v>
      </c>
      <c r="AW43" s="325">
        <f>SUM(AW37:AW41)</f>
        <v>-166.74800000000005</v>
      </c>
      <c r="AX43" s="335"/>
      <c r="AY43" s="334">
        <f>SUM(AY37:AY41)</f>
        <v>-12.534000000000006</v>
      </c>
      <c r="AZ43" s="335">
        <f>SUM(AZ37:AZ41)</f>
        <v>27.810000000000009</v>
      </c>
      <c r="BA43" s="335">
        <f>SUM(BA37:BA41)</f>
        <v>-180.89699999999999</v>
      </c>
      <c r="BB43" s="336">
        <f>SUM(BB37:BB41)</f>
        <v>-253.14100000000002</v>
      </c>
      <c r="BC43" s="325">
        <f>SUM(BC37:BC41)</f>
        <v>-418.762</v>
      </c>
      <c r="BD43" s="335"/>
      <c r="BE43" s="334">
        <f>SUM(BE37:BE41)</f>
        <v>-71.341999999999999</v>
      </c>
      <c r="BF43" s="335">
        <f>SUM(BF37:BF41)</f>
        <v>-60.743000000000016</v>
      </c>
      <c r="BG43" s="335">
        <f>SUM(BG37:BG41)</f>
        <v>38.469000000000001</v>
      </c>
      <c r="BH43" s="336">
        <f>SUM(BH37:BH41)</f>
        <v>-108.86699999999999</v>
      </c>
      <c r="BI43" s="325">
        <f>SUM(BI37:BI41)</f>
        <v>-202.483</v>
      </c>
      <c r="BJ43" s="335"/>
      <c r="BK43" s="334">
        <f>SUM(BK37:BK41)</f>
        <v>-86</v>
      </c>
      <c r="BL43" s="335">
        <f>SUM(BL37:BL41)</f>
        <v>24</v>
      </c>
      <c r="BM43" s="335">
        <f>SUM(BM37:BM41)</f>
        <v>-5</v>
      </c>
      <c r="BN43" s="336">
        <f>SUM(BN37:BN41)</f>
        <v>-108.51600000000001</v>
      </c>
      <c r="BO43" s="325">
        <f>SUM(BO37:BO41)</f>
        <v>-175.51600000000002</v>
      </c>
      <c r="BP43" s="335"/>
      <c r="BQ43" s="334">
        <f>SUM(BQ37:BQ41)</f>
        <v>-245.5134945012511</v>
      </c>
      <c r="BR43" s="335">
        <f>SUM(BR37:BR41)</f>
        <v>-127.00662905512638</v>
      </c>
      <c r="BS43" s="335">
        <f>SUM(BS37:BS41)</f>
        <v>-126.85691423155072</v>
      </c>
      <c r="BT43" s="336">
        <f>SUM(BT37:BT41)</f>
        <v>-126.7929067971595</v>
      </c>
      <c r="BU43" s="325">
        <f>SUM(BU37:BU41)</f>
        <v>-626.16994458508771</v>
      </c>
      <c r="BV43" s="335"/>
      <c r="BW43" s="334">
        <f>SUM(BW37:BW41)</f>
        <v>-121.25340827668359</v>
      </c>
      <c r="BX43" s="335">
        <f>SUM(BX37:BX41)</f>
        <v>-121.10149461736771</v>
      </c>
      <c r="BY43" s="335">
        <f>SUM(BY37:BY41)</f>
        <v>-120.94696866704928</v>
      </c>
      <c r="BZ43" s="336">
        <f>SUM(BZ37:BZ41)</f>
        <v>-120.88089356641618</v>
      </c>
      <c r="CA43" s="325">
        <f>SUM(CA37:CA41)</f>
        <v>-484.18276512751675</v>
      </c>
      <c r="CB43" s="335"/>
      <c r="CC43" s="334">
        <f>SUM(CC37:CC41)</f>
        <v>-111.62647622594866</v>
      </c>
      <c r="CD43" s="335">
        <f>SUM(CD37:CD41)</f>
        <v>-111.46967997596144</v>
      </c>
      <c r="CE43" s="335">
        <f>SUM(CE37:CE41)</f>
        <v>-111.31018688828422</v>
      </c>
      <c r="CF43" s="336">
        <f>SUM(CF37:CF41)</f>
        <v>-111.24197672468054</v>
      </c>
      <c r="CG43" s="325">
        <f>SUM(CG37:CG41)</f>
        <v>-445.64831981487487</v>
      </c>
      <c r="CH43" s="335"/>
      <c r="CI43" s="334">
        <f t="shared" ref="CI43:CM43" si="86">SUM(CI37:CI41)</f>
        <v>-96.558362658920203</v>
      </c>
      <c r="CJ43" s="335">
        <f t="shared" si="86"/>
        <v>-96.396525464279136</v>
      </c>
      <c r="CK43" s="335">
        <f t="shared" si="86"/>
        <v>-96.231904124249866</v>
      </c>
      <c r="CL43" s="336">
        <f t="shared" si="86"/>
        <v>-96.161489284681409</v>
      </c>
      <c r="CM43" s="325">
        <f t="shared" si="86"/>
        <v>-385.34828153213061</v>
      </c>
      <c r="CN43" s="335"/>
      <c r="CO43" s="334">
        <f t="shared" ref="CO43:CS43" si="87">SUM(CO37:CO41)</f>
        <v>-73.354321056771198</v>
      </c>
      <c r="CP43" s="335">
        <f t="shared" si="87"/>
        <v>-73.187279381612882</v>
      </c>
      <c r="CQ43" s="335">
        <f t="shared" si="87"/>
        <v>-73.017363401400019</v>
      </c>
      <c r="CR43" s="336">
        <f t="shared" si="87"/>
        <v>-72.944671983105593</v>
      </c>
      <c r="CS43" s="325">
        <f t="shared" si="87"/>
        <v>-292.50363582288969</v>
      </c>
      <c r="CT43" s="2394"/>
      <c r="CU43" s="2">
        <f>+BK43+BL43</f>
        <v>-62</v>
      </c>
      <c r="CV43" s="2"/>
    </row>
    <row r="44" spans="1:100" ht="4.5" customHeight="1">
      <c r="A44" s="330"/>
      <c r="B44" s="102"/>
      <c r="C44" s="102"/>
      <c r="D44" s="15"/>
      <c r="E44" s="15"/>
      <c r="F44" s="103"/>
      <c r="G44" s="326"/>
      <c r="H44" s="102"/>
      <c r="I44" s="102"/>
      <c r="J44" s="15"/>
      <c r="K44" s="15"/>
      <c r="L44" s="103"/>
      <c r="M44" s="326"/>
      <c r="N44" s="131"/>
      <c r="O44" s="102"/>
      <c r="P44" s="15"/>
      <c r="Q44" s="15"/>
      <c r="R44" s="103"/>
      <c r="S44" s="326"/>
      <c r="T44" s="131"/>
      <c r="U44" s="102"/>
      <c r="V44" s="15"/>
      <c r="W44" s="15"/>
      <c r="X44" s="103"/>
      <c r="Y44" s="326"/>
      <c r="Z44" s="131"/>
      <c r="AA44" s="102"/>
      <c r="AB44" s="15"/>
      <c r="AC44" s="15"/>
      <c r="AD44" s="15"/>
      <c r="AE44" s="326"/>
      <c r="AF44" s="131"/>
      <c r="AG44" s="102"/>
      <c r="AH44" s="15"/>
      <c r="AI44" s="131"/>
      <c r="AJ44" s="15"/>
      <c r="AK44" s="326"/>
      <c r="AL44" s="131"/>
      <c r="AM44" s="102"/>
      <c r="AN44" s="15"/>
      <c r="AO44" s="15"/>
      <c r="AP44" s="103"/>
      <c r="AQ44" s="326"/>
      <c r="AR44" s="131"/>
      <c r="AS44" s="102"/>
      <c r="AT44" s="15"/>
      <c r="AU44" s="15"/>
      <c r="AV44" s="15"/>
      <c r="AW44" s="326"/>
      <c r="AX44" s="131"/>
      <c r="AY44" s="102"/>
      <c r="AZ44" s="15"/>
      <c r="BA44" s="15"/>
      <c r="BB44" s="15"/>
      <c r="BC44" s="326"/>
      <c r="BD44" s="131"/>
      <c r="BE44" s="102"/>
      <c r="BF44" s="15"/>
      <c r="BG44" s="15"/>
      <c r="BH44" s="15"/>
      <c r="BI44" s="326"/>
      <c r="BJ44" s="131"/>
      <c r="BK44" s="102"/>
      <c r="BL44" s="15"/>
      <c r="BM44" s="15"/>
      <c r="BN44" s="15"/>
      <c r="BO44" s="326"/>
      <c r="BP44" s="131"/>
      <c r="BQ44" s="102"/>
      <c r="BR44" s="15"/>
      <c r="BS44" s="15"/>
      <c r="BT44" s="103"/>
      <c r="BU44" s="326"/>
      <c r="BV44" s="131"/>
      <c r="BW44" s="102"/>
      <c r="BX44" s="15"/>
      <c r="BY44" s="15"/>
      <c r="BZ44" s="103"/>
      <c r="CA44" s="326"/>
      <c r="CB44" s="131"/>
      <c r="CC44" s="102"/>
      <c r="CD44" s="15"/>
      <c r="CE44" s="15"/>
      <c r="CF44" s="103"/>
      <c r="CG44" s="326"/>
      <c r="CH44" s="131"/>
      <c r="CI44" s="102"/>
      <c r="CJ44" s="15"/>
      <c r="CK44" s="15"/>
      <c r="CL44" s="103"/>
      <c r="CM44" s="326"/>
      <c r="CN44" s="131"/>
      <c r="CO44" s="102"/>
      <c r="CP44" s="15"/>
      <c r="CQ44" s="15"/>
      <c r="CR44" s="103"/>
      <c r="CS44" s="326"/>
      <c r="CT44" s="15"/>
      <c r="CU44" s="1"/>
      <c r="CV44" s="1"/>
    </row>
    <row r="45" spans="1:100" ht="11.25" customHeight="1">
      <c r="A45" s="1888" t="s">
        <v>276</v>
      </c>
      <c r="B45" s="102"/>
      <c r="C45" s="337">
        <v>-0.04</v>
      </c>
      <c r="D45" s="338">
        <f>0.114-C45</f>
        <v>0.154</v>
      </c>
      <c r="E45" s="338">
        <f>-0.5-D45-C45</f>
        <v>-0.61399999999999999</v>
      </c>
      <c r="F45" s="339">
        <f>-0.345-SUM(C45:E45)</f>
        <v>0.15500000000000003</v>
      </c>
      <c r="G45" s="326">
        <f>SUM(C45:F45)</f>
        <v>-0.34499999999999997</v>
      </c>
      <c r="H45" s="102"/>
      <c r="I45" s="337">
        <v>-1.4279999999999999</v>
      </c>
      <c r="J45" s="338">
        <f>-1.084-I45</f>
        <v>0.34399999999999986</v>
      </c>
      <c r="K45" s="338">
        <f>1.454-J45-I45</f>
        <v>2.5380000000000003</v>
      </c>
      <c r="L45" s="339">
        <f>3.778-SUM(I45:K45)</f>
        <v>2.3239999999999998</v>
      </c>
      <c r="M45" s="326">
        <f>SUM(I45:L45)</f>
        <v>3.778</v>
      </c>
      <c r="N45" s="340"/>
      <c r="O45" s="337">
        <v>5.3789999999999996</v>
      </c>
      <c r="P45" s="338">
        <f>1.138-O45</f>
        <v>-4.2409999999999997</v>
      </c>
      <c r="Q45" s="338">
        <f>0.437-P45-O45</f>
        <v>-0.70099999999999962</v>
      </c>
      <c r="R45" s="339">
        <f>0.849-SUM(O45:Q45)</f>
        <v>0.4119999999999997</v>
      </c>
      <c r="S45" s="326">
        <f>SUM(O45:R45)</f>
        <v>0.84899999999999998</v>
      </c>
      <c r="T45" s="340"/>
      <c r="U45" s="337">
        <v>-0.115</v>
      </c>
      <c r="V45" s="338">
        <f>-0.108-U45</f>
        <v>7.0000000000000062E-3</v>
      </c>
      <c r="W45" s="338">
        <f>0.108-V45-U45</f>
        <v>0.216</v>
      </c>
      <c r="X45" s="339">
        <f>0.32-SUM(U45:W45)</f>
        <v>0.21200000000000002</v>
      </c>
      <c r="Y45" s="326">
        <f>SUM(U45:X45)</f>
        <v>0.32</v>
      </c>
      <c r="Z45" s="340"/>
      <c r="AA45" s="337">
        <v>0.21099999999999999</v>
      </c>
      <c r="AB45" s="338">
        <f>0.481-AA45</f>
        <v>0.27</v>
      </c>
      <c r="AC45" s="16">
        <f>-0.07-SUM(AA45:AB45)</f>
        <v>-0.55099999999999993</v>
      </c>
      <c r="AD45" s="16">
        <f>-0.126-SUM(AA45:AC45)</f>
        <v>-5.600000000000005E-2</v>
      </c>
      <c r="AE45" s="326">
        <f>SUM(AA45:AD45)</f>
        <v>-0.126</v>
      </c>
      <c r="AF45" s="340"/>
      <c r="AG45" s="337">
        <v>0.03</v>
      </c>
      <c r="AH45" s="338">
        <f>-0.169-AG45</f>
        <v>-0.19900000000000001</v>
      </c>
      <c r="AI45" s="340">
        <f>0.45-AG45-AH45</f>
        <v>0.61899999999999999</v>
      </c>
      <c r="AJ45" s="16">
        <f>-0.103-SUM(AG45:AI45)</f>
        <v>-0.55299999999999994</v>
      </c>
      <c r="AK45" s="326">
        <f>SUM(AG45:AJ45)</f>
        <v>-0.10299999999999998</v>
      </c>
      <c r="AL45" s="340"/>
      <c r="AM45" s="337">
        <v>-0.71199999999999997</v>
      </c>
      <c r="AN45" s="338">
        <f>-2.05-AM45</f>
        <v>-1.3379999999999999</v>
      </c>
      <c r="AO45" s="338">
        <f>-0.613-AM45-AN45</f>
        <v>1.4369999999999998</v>
      </c>
      <c r="AP45" s="12">
        <f>-0.397-SUM(AM45:AO45)</f>
        <v>0.21599999999999997</v>
      </c>
      <c r="AQ45" s="326">
        <f>SUM(AM45:AP45)</f>
        <v>-0.39700000000000002</v>
      </c>
      <c r="AR45" s="340"/>
      <c r="AS45" s="14">
        <v>0.1</v>
      </c>
      <c r="AT45" s="12">
        <f>0.522-AS45</f>
        <v>0.42200000000000004</v>
      </c>
      <c r="AU45" s="7">
        <f>-1.673-SUM(AS45:AT45)</f>
        <v>-2.1950000000000003</v>
      </c>
      <c r="AV45" s="7">
        <f>-3.382-SUM(AS45:AU45)</f>
        <v>-1.7089999999999999</v>
      </c>
      <c r="AW45" s="326">
        <f>SUM(AS45:AV45)</f>
        <v>-3.3820000000000001</v>
      </c>
      <c r="AX45" s="340"/>
      <c r="AY45" s="14">
        <v>-2.7149999999999999</v>
      </c>
      <c r="AZ45" s="7">
        <f>-1.98-AY45</f>
        <v>0.73499999999999988</v>
      </c>
      <c r="BA45" s="2024">
        <f>-2.678-SUM(AY45:AZ45)</f>
        <v>-0.69799999999999995</v>
      </c>
      <c r="BB45" s="7">
        <f>-2.072-SUM(AY45:BA45)</f>
        <v>0.60599999999999987</v>
      </c>
      <c r="BC45" s="326">
        <f>SUM(AY45:BB45)</f>
        <v>-2.0720000000000001</v>
      </c>
      <c r="BD45" s="340"/>
      <c r="BE45" s="2766">
        <v>2.3039999999999998</v>
      </c>
      <c r="BF45" s="2743">
        <f>1.817-BE45</f>
        <v>-0.48699999999999988</v>
      </c>
      <c r="BG45" s="2743">
        <f>1.31-SUM(BE45:BF45)</f>
        <v>-0.5069999999999999</v>
      </c>
      <c r="BH45" s="2743">
        <f>-2.24-SUM(BE45:BG45)</f>
        <v>-3.5500000000000003</v>
      </c>
      <c r="BI45" s="326">
        <f>SUM(BE45:BH45)</f>
        <v>-2.2400000000000002</v>
      </c>
      <c r="BJ45" s="340"/>
      <c r="BK45" s="2766">
        <f>1</f>
        <v>1</v>
      </c>
      <c r="BL45" s="2743">
        <f>2-SUM(BK45)</f>
        <v>1</v>
      </c>
      <c r="BM45" s="2743">
        <f>4-SUM(BK45:BL45)</f>
        <v>2</v>
      </c>
      <c r="BN45" s="2743">
        <f>5-SUM(BK45:BM45)</f>
        <v>1</v>
      </c>
      <c r="BO45" s="326">
        <f>SUM(BK45:BN45)</f>
        <v>5</v>
      </c>
      <c r="BP45" s="340"/>
      <c r="BQ45" s="337">
        <v>0</v>
      </c>
      <c r="BR45" s="338">
        <v>0</v>
      </c>
      <c r="BS45" s="338">
        <v>0</v>
      </c>
      <c r="BT45" s="339">
        <v>0</v>
      </c>
      <c r="BU45" s="326">
        <f>SUM(BQ45:BT45)</f>
        <v>0</v>
      </c>
      <c r="BV45" s="340"/>
      <c r="BW45" s="337">
        <v>0</v>
      </c>
      <c r="BX45" s="338">
        <v>0</v>
      </c>
      <c r="BY45" s="338">
        <v>0</v>
      </c>
      <c r="BZ45" s="339">
        <v>0</v>
      </c>
      <c r="CA45" s="326">
        <f>SUM(BW45:BZ45)</f>
        <v>0</v>
      </c>
      <c r="CB45" s="340"/>
      <c r="CC45" s="337">
        <v>0</v>
      </c>
      <c r="CD45" s="338">
        <v>0</v>
      </c>
      <c r="CE45" s="338">
        <v>0</v>
      </c>
      <c r="CF45" s="339">
        <v>0</v>
      </c>
      <c r="CG45" s="326">
        <f>SUM(CC45:CF45)</f>
        <v>0</v>
      </c>
      <c r="CH45" s="340"/>
      <c r="CI45" s="337">
        <v>0</v>
      </c>
      <c r="CJ45" s="338">
        <v>0</v>
      </c>
      <c r="CK45" s="338">
        <v>0</v>
      </c>
      <c r="CL45" s="339">
        <v>0</v>
      </c>
      <c r="CM45" s="326">
        <f t="shared" ref="CM45" si="88">SUM(CI45:CL45)</f>
        <v>0</v>
      </c>
      <c r="CN45" s="340"/>
      <c r="CO45" s="337">
        <v>0</v>
      </c>
      <c r="CP45" s="338">
        <v>0</v>
      </c>
      <c r="CQ45" s="338">
        <v>0</v>
      </c>
      <c r="CR45" s="339">
        <v>0</v>
      </c>
      <c r="CS45" s="326">
        <f t="shared" ref="CS45" si="89">SUM(CO45:CR45)</f>
        <v>0</v>
      </c>
      <c r="CT45" s="15"/>
      <c r="CU45" s="2"/>
      <c r="CV45" s="2"/>
    </row>
    <row r="46" spans="1:100" ht="5.25" customHeight="1">
      <c r="A46" s="330"/>
      <c r="B46" s="102"/>
      <c r="C46" s="102"/>
      <c r="D46" s="15"/>
      <c r="E46" s="15"/>
      <c r="F46" s="103"/>
      <c r="G46" s="326"/>
      <c r="H46" s="102"/>
      <c r="I46" s="102"/>
      <c r="J46" s="15"/>
      <c r="K46" s="15"/>
      <c r="L46" s="103"/>
      <c r="M46" s="326"/>
      <c r="N46" s="131"/>
      <c r="O46" s="102"/>
      <c r="P46" s="15"/>
      <c r="Q46" s="15"/>
      <c r="R46" s="103"/>
      <c r="S46" s="326"/>
      <c r="T46" s="131"/>
      <c r="U46" s="102"/>
      <c r="V46" s="15"/>
      <c r="W46" s="15"/>
      <c r="X46" s="103"/>
      <c r="Y46" s="326"/>
      <c r="Z46" s="131"/>
      <c r="AA46" s="102"/>
      <c r="AB46" s="15"/>
      <c r="AC46" s="15"/>
      <c r="AD46" s="15"/>
      <c r="AE46" s="326"/>
      <c r="AF46" s="131"/>
      <c r="AG46" s="102"/>
      <c r="AH46" s="131"/>
      <c r="AI46" s="131"/>
      <c r="AJ46" s="15"/>
      <c r="AK46" s="326"/>
      <c r="AL46" s="131"/>
      <c r="AM46" s="102"/>
      <c r="AN46" s="15"/>
      <c r="AO46" s="15"/>
      <c r="AP46" s="103"/>
      <c r="AQ46" s="326"/>
      <c r="AR46" s="131"/>
      <c r="AS46" s="102"/>
      <c r="AT46" s="15"/>
      <c r="AU46" s="15"/>
      <c r="AV46" s="15"/>
      <c r="AW46" s="326"/>
      <c r="AX46" s="131"/>
      <c r="AY46" s="102"/>
      <c r="AZ46" s="15"/>
      <c r="BA46" s="15"/>
      <c r="BB46" s="15"/>
      <c r="BC46" s="326"/>
      <c r="BD46" s="131"/>
      <c r="BE46" s="102"/>
      <c r="BF46" s="15"/>
      <c r="BG46" s="15"/>
      <c r="BH46" s="15"/>
      <c r="BI46" s="326"/>
      <c r="BJ46" s="131"/>
      <c r="BK46" s="102"/>
      <c r="BL46" s="15"/>
      <c r="BM46" s="15"/>
      <c r="BN46" s="15"/>
      <c r="BO46" s="326"/>
      <c r="BP46" s="131"/>
      <c r="BQ46" s="102"/>
      <c r="BR46" s="15"/>
      <c r="BS46" s="15"/>
      <c r="BT46" s="103"/>
      <c r="BU46" s="326"/>
      <c r="BV46" s="131"/>
      <c r="BW46" s="102"/>
      <c r="BX46" s="15"/>
      <c r="BY46" s="15"/>
      <c r="BZ46" s="103"/>
      <c r="CA46" s="326"/>
      <c r="CB46" s="131"/>
      <c r="CC46" s="102"/>
      <c r="CD46" s="15"/>
      <c r="CE46" s="15"/>
      <c r="CF46" s="103"/>
      <c r="CG46" s="326"/>
      <c r="CH46" s="131"/>
      <c r="CI46" s="102"/>
      <c r="CJ46" s="15"/>
      <c r="CK46" s="15"/>
      <c r="CL46" s="103"/>
      <c r="CM46" s="326"/>
      <c r="CN46" s="131"/>
      <c r="CO46" s="102"/>
      <c r="CP46" s="15"/>
      <c r="CQ46" s="15"/>
      <c r="CR46" s="103"/>
      <c r="CS46" s="326"/>
      <c r="CT46" s="15"/>
      <c r="CU46" s="1"/>
      <c r="CV46" s="1"/>
    </row>
    <row r="47" spans="1:100" ht="13.5" thickBot="1">
      <c r="A47" s="1892" t="s">
        <v>277</v>
      </c>
      <c r="B47" s="341"/>
      <c r="C47" s="342">
        <f>(C26+C34+C43+C45)</f>
        <v>85.142999999999986</v>
      </c>
      <c r="D47" s="343">
        <f>(D26+D34+D43+D45)</f>
        <v>-42.41200000000007</v>
      </c>
      <c r="E47" s="343">
        <f>(E26+E34+E43+E45)</f>
        <v>-17.009999999999973</v>
      </c>
      <c r="F47" s="344">
        <f>(F26+F34+F43+F45)</f>
        <v>110.83400000000002</v>
      </c>
      <c r="G47" s="345">
        <f>(G26+G34+G43+G45)</f>
        <v>136.55499999999998</v>
      </c>
      <c r="H47" s="341"/>
      <c r="I47" s="342">
        <f>(I26+I34+I43+I45)</f>
        <v>-56.326999999999998</v>
      </c>
      <c r="J47" s="343">
        <f>(J26+J34+J43+J45)</f>
        <v>14.354000000000012</v>
      </c>
      <c r="K47" s="343">
        <f>(K26+K34+K43+K45)</f>
        <v>222.25100000000003</v>
      </c>
      <c r="L47" s="344">
        <f>(L26+L34+L43+L45)</f>
        <v>-28.19500000000005</v>
      </c>
      <c r="M47" s="345">
        <f>(M26+M34+M43+M45)</f>
        <v>152.08299999999994</v>
      </c>
      <c r="N47" s="343"/>
      <c r="O47" s="342">
        <f>(O26+O34+O43+O45)</f>
        <v>24.122000000000007</v>
      </c>
      <c r="P47" s="343">
        <f>(P26+P34+P43+P45)</f>
        <v>0.95099999999999341</v>
      </c>
      <c r="Q47" s="343">
        <f>(Q26+Q34+Q43+Q45)</f>
        <v>-113.5689999999999</v>
      </c>
      <c r="R47" s="344">
        <f>(R26+R34+R43+R45)</f>
        <v>-93.894999999999996</v>
      </c>
      <c r="S47" s="346">
        <f>(S26+S34+S43+S45)</f>
        <v>-182.39099999999999</v>
      </c>
      <c r="T47" s="343"/>
      <c r="U47" s="342">
        <f>(U26+U34+U43+U45)</f>
        <v>68.592000000000027</v>
      </c>
      <c r="V47" s="343">
        <f>(V26+V34+V43+V45)</f>
        <v>23.961999999999943</v>
      </c>
      <c r="W47" s="343">
        <f>(W26+W34+W43+W45)</f>
        <v>-26.419999999999924</v>
      </c>
      <c r="X47" s="344">
        <f>(X26+X34+X43+X45)</f>
        <v>38.179999999999843</v>
      </c>
      <c r="Y47" s="346">
        <f>(Y26+Y34+Y43+Y45)</f>
        <v>104.31399999999999</v>
      </c>
      <c r="Z47" s="343"/>
      <c r="AA47" s="342">
        <f>(AA26+AA34+AA43+AA45)</f>
        <v>161.39399999999995</v>
      </c>
      <c r="AB47" s="343">
        <f>(AB26+AB34+AB43+AB45)</f>
        <v>-149.25700000000006</v>
      </c>
      <c r="AC47" s="343">
        <f>(AC26+AC34+AC43+AC45)</f>
        <v>-31.237999999999925</v>
      </c>
      <c r="AD47" s="343">
        <f>(AD26+AD34+AD43+AD45)</f>
        <v>73.132000000000048</v>
      </c>
      <c r="AE47" s="346">
        <f>(AE26+AE34+AE43+AE45)</f>
        <v>54.030999999999985</v>
      </c>
      <c r="AF47" s="343"/>
      <c r="AG47" s="342">
        <f>(AG26+AG34+AG43+AG45)</f>
        <v>-42.784000000000006</v>
      </c>
      <c r="AH47" s="343">
        <f>(AH26+AH34+AH43+AH45)</f>
        <v>56.217999999999996</v>
      </c>
      <c r="AI47" s="343">
        <f>(AI26+AI34+AI43+AI45)</f>
        <v>26.677000000000021</v>
      </c>
      <c r="AJ47" s="343">
        <f>(AJ26+AJ34+AJ43+AJ45)</f>
        <v>90.892000000000053</v>
      </c>
      <c r="AK47" s="346">
        <f>SUM(AG47:AJ47)</f>
        <v>131.00300000000007</v>
      </c>
      <c r="AL47" s="343"/>
      <c r="AM47" s="342">
        <f>(AM26+AM34+AM43+AM45)</f>
        <v>9.1010000000000595</v>
      </c>
      <c r="AN47" s="343">
        <f>(AN26+AN34+AN43+AN45)</f>
        <v>340.52899999999994</v>
      </c>
      <c r="AO47" s="343">
        <f>(AO26+AO34+AO43+AO45)</f>
        <v>-91.774999999999963</v>
      </c>
      <c r="AP47" s="344">
        <f>(AP26+AP34+AP43+AP45)</f>
        <v>19.801000000000158</v>
      </c>
      <c r="AQ47" s="346">
        <f>(AQ26+AQ34+AQ43+AQ45)</f>
        <v>277.65600000000018</v>
      </c>
      <c r="AR47" s="343"/>
      <c r="AS47" s="342">
        <f>(AS26+AS34+AS43+AS45)</f>
        <v>-193.12399999999997</v>
      </c>
      <c r="AT47" s="343">
        <f>(AT26+AT34+AT43+AT45)</f>
        <v>156.7079999999998</v>
      </c>
      <c r="AU47" s="343">
        <f>(AU26+AU34+AU43+AU45)</f>
        <v>154.67399999999995</v>
      </c>
      <c r="AV47" s="343">
        <f>(AV26+AV34+AV43+AV45)</f>
        <v>-193.74099999999981</v>
      </c>
      <c r="AW47" s="346">
        <f>(AW26+AW34+AW43+AW45)</f>
        <v>-75.483000000000175</v>
      </c>
      <c r="AX47" s="343"/>
      <c r="AY47" s="342">
        <f>(AY26+AY34+AY43+AY45)</f>
        <v>-102.61699999999986</v>
      </c>
      <c r="AZ47" s="343">
        <f>(AZ26+AZ34+AZ43+AZ45)</f>
        <v>57.519999999999889</v>
      </c>
      <c r="BA47" s="343">
        <f>(BA26+BA34+BA43+BA45)</f>
        <v>-39.528000000000041</v>
      </c>
      <c r="BB47" s="343">
        <f>(BB26+BB34+BB43+BB45)</f>
        <v>217.24099999999981</v>
      </c>
      <c r="BC47" s="346">
        <f>(BC26+BC34+BC43+BC45)</f>
        <v>132.61599999999981</v>
      </c>
      <c r="BD47" s="343"/>
      <c r="BE47" s="342">
        <f>(BE26+BE34+BE43+BE45)</f>
        <v>-13.85999999999993</v>
      </c>
      <c r="BF47" s="343">
        <f>(BF26+BF34+BF43+BF45)</f>
        <v>196.75199999999995</v>
      </c>
      <c r="BG47" s="343">
        <f>(BG26+BG34+BG43+BG45)</f>
        <v>-156.96499999999992</v>
      </c>
      <c r="BH47" s="343">
        <f>(BH26+BH34+BH43+BH45)</f>
        <v>-60.181000000000054</v>
      </c>
      <c r="BI47" s="346">
        <f>(BI26+BI34+BI43+BI45)</f>
        <v>-34.253999999999841</v>
      </c>
      <c r="BJ47" s="343"/>
      <c r="BK47" s="342">
        <f>(BK26+BK34+BK43+BK45)</f>
        <v>246.48400000000004</v>
      </c>
      <c r="BL47" s="343">
        <f>(BL26+BL34+BL43+BL45)</f>
        <v>238</v>
      </c>
      <c r="BM47" s="343">
        <f>(BM26+BM34+BM43+BM45)</f>
        <v>135</v>
      </c>
      <c r="BN47" s="343">
        <f>(BN26+BN34+BN43+BN45)</f>
        <v>-129</v>
      </c>
      <c r="BO47" s="346">
        <f>(BO26+BO34+BO43+BO45)</f>
        <v>490.48399999999998</v>
      </c>
      <c r="BP47" s="343"/>
      <c r="BQ47" s="342">
        <f>(BQ26+BQ34+BQ43+BQ45)</f>
        <v>-198.77728060523276</v>
      </c>
      <c r="BR47" s="343">
        <f>(BR26+BR34+BR43+BR45)</f>
        <v>130.42918565768389</v>
      </c>
      <c r="BS47" s="343">
        <f>(BS26+BS34+BS43+BS45)</f>
        <v>43.866127620452176</v>
      </c>
      <c r="BT47" s="344">
        <f>(BT26+BT34+BT43+BT45)</f>
        <v>46.42600173252174</v>
      </c>
      <c r="BU47" s="346">
        <f>(BU26+BU34+BU43+BU45)</f>
        <v>21.944034405425327</v>
      </c>
      <c r="BV47" s="343"/>
      <c r="BW47" s="342">
        <f>(BW26+BW34+BW43+BW45)</f>
        <v>-57.383900694548288</v>
      </c>
      <c r="BX47" s="343">
        <f>(BX26+BX34+BX43+BX45)</f>
        <v>161.93836728656683</v>
      </c>
      <c r="BY47" s="343">
        <f>(BY26+BY34+BY43+BY45)</f>
        <v>66.933763262941937</v>
      </c>
      <c r="BZ47" s="344">
        <f>(BZ26+BZ34+BZ43+BZ45)</f>
        <v>66.422796701952308</v>
      </c>
      <c r="CA47" s="346">
        <f>(CA26+CA34+CA43+CA45)</f>
        <v>237.91102655691282</v>
      </c>
      <c r="CB47" s="343"/>
      <c r="CC47" s="342">
        <f>(CC26+CC34+CC43+CC45)</f>
        <v>-14.451887537588391</v>
      </c>
      <c r="CD47" s="343">
        <f>(CD26+CD34+CD43+CD45)</f>
        <v>261.6584283735375</v>
      </c>
      <c r="CE47" s="343">
        <f>(CE26+CE34+CE43+CE45)</f>
        <v>168.22129334346786</v>
      </c>
      <c r="CF47" s="344">
        <f>(CF26+CF34+CF43+CF45)</f>
        <v>171.01589695861807</v>
      </c>
      <c r="CG47" s="346">
        <f>(CG26+CG34+CG43+CG45)</f>
        <v>586.44373113803522</v>
      </c>
      <c r="CH47" s="343"/>
      <c r="CI47" s="342">
        <f t="shared" ref="CI47:CM47" si="90">(CI26+CI34+CI43+CI45)</f>
        <v>89.308005289280686</v>
      </c>
      <c r="CJ47" s="343">
        <f t="shared" si="90"/>
        <v>258.71106998005797</v>
      </c>
      <c r="CK47" s="343">
        <f t="shared" si="90"/>
        <v>152.976537257855</v>
      </c>
      <c r="CL47" s="344">
        <f t="shared" si="90"/>
        <v>150.67813443074272</v>
      </c>
      <c r="CM47" s="346">
        <f t="shared" si="90"/>
        <v>651.67374695793637</v>
      </c>
      <c r="CN47" s="343"/>
      <c r="CO47" s="342">
        <f t="shared" ref="CO47:CS47" si="91">(CO26+CO34+CO43+CO45)</f>
        <v>72.446572612348433</v>
      </c>
      <c r="CP47" s="343">
        <f t="shared" si="91"/>
        <v>319.28525595011996</v>
      </c>
      <c r="CQ47" s="343">
        <f t="shared" si="91"/>
        <v>208.15466979194042</v>
      </c>
      <c r="CR47" s="344">
        <f t="shared" si="91"/>
        <v>206.96580769646181</v>
      </c>
      <c r="CS47" s="346">
        <f t="shared" si="91"/>
        <v>806.85230605087054</v>
      </c>
      <c r="CT47" s="2395"/>
      <c r="CU47" s="2"/>
      <c r="CV47" s="2"/>
    </row>
    <row r="48" spans="1:100">
      <c r="A48" s="1893" t="s">
        <v>75</v>
      </c>
      <c r="B48" s="76"/>
      <c r="C48" s="72">
        <v>38.386000000000003</v>
      </c>
      <c r="D48" s="73">
        <f>C49</f>
        <v>123.529</v>
      </c>
      <c r="E48" s="73">
        <f>D49</f>
        <v>81.116999999999933</v>
      </c>
      <c r="F48" s="74">
        <f>E49</f>
        <v>64.106999999999957</v>
      </c>
      <c r="G48" s="75">
        <f>C48</f>
        <v>38.386000000000003</v>
      </c>
      <c r="H48" s="76"/>
      <c r="I48" s="76">
        <f>G49</f>
        <v>174.94099999999997</v>
      </c>
      <c r="J48" s="73">
        <f>I49</f>
        <v>118.61399999999998</v>
      </c>
      <c r="K48" s="73">
        <f>J49</f>
        <v>132.96799999999999</v>
      </c>
      <c r="L48" s="74">
        <f>K49</f>
        <v>355.21900000000005</v>
      </c>
      <c r="M48" s="75">
        <f>I48</f>
        <v>174.94099999999997</v>
      </c>
      <c r="N48" s="73"/>
      <c r="O48" s="76">
        <f>M49</f>
        <v>327.02399999999989</v>
      </c>
      <c r="P48" s="73">
        <f>O49</f>
        <v>351.1459999999999</v>
      </c>
      <c r="Q48" s="73">
        <f>P49</f>
        <v>352.09699999999987</v>
      </c>
      <c r="R48" s="74">
        <f>Q49</f>
        <v>238.52799999999996</v>
      </c>
      <c r="S48" s="75">
        <f>O48</f>
        <v>327.02399999999989</v>
      </c>
      <c r="T48" s="73"/>
      <c r="U48" s="76">
        <f>S49</f>
        <v>144.6329999999999</v>
      </c>
      <c r="V48" s="73">
        <f>U49</f>
        <v>213.22499999999991</v>
      </c>
      <c r="W48" s="73">
        <f>V49</f>
        <v>237.18699999999984</v>
      </c>
      <c r="X48" s="74">
        <f>W49</f>
        <v>210.76699999999991</v>
      </c>
      <c r="Y48" s="75">
        <f>U48</f>
        <v>144.6329999999999</v>
      </c>
      <c r="Z48" s="73"/>
      <c r="AA48" s="73">
        <f>Y49</f>
        <v>248.94699999999989</v>
      </c>
      <c r="AB48" s="73">
        <f>AA49</f>
        <v>410.34099999999984</v>
      </c>
      <c r="AC48" s="73">
        <f>AB49</f>
        <v>261.08399999999978</v>
      </c>
      <c r="AD48" s="73">
        <f>AC49</f>
        <v>229.84599999999986</v>
      </c>
      <c r="AE48" s="75">
        <f>Y49</f>
        <v>248.94699999999989</v>
      </c>
      <c r="AF48" s="73"/>
      <c r="AG48" s="73">
        <f>AE49</f>
        <v>302.97799999999989</v>
      </c>
      <c r="AH48" s="73">
        <f>AG49</f>
        <v>260.1939999999999</v>
      </c>
      <c r="AI48" s="73">
        <f>AH49</f>
        <v>316.41199999999992</v>
      </c>
      <c r="AJ48" s="73">
        <f>AI49</f>
        <v>343.08899999999994</v>
      </c>
      <c r="AK48" s="75">
        <f>AE49</f>
        <v>302.97799999999989</v>
      </c>
      <c r="AL48" s="73"/>
      <c r="AM48" s="76">
        <f>AK49</f>
        <v>433.98099999999999</v>
      </c>
      <c r="AN48" s="73">
        <f>AM49</f>
        <v>443.08200000000005</v>
      </c>
      <c r="AO48" s="73">
        <f>AN49</f>
        <v>783.61099999999999</v>
      </c>
      <c r="AP48" s="74">
        <f>AO49</f>
        <v>691.83600000000001</v>
      </c>
      <c r="AQ48" s="75">
        <f>AK49</f>
        <v>433.98099999999999</v>
      </c>
      <c r="AR48" s="73"/>
      <c r="AS48" s="76">
        <f>AQ49</f>
        <v>711.63700000000017</v>
      </c>
      <c r="AT48" s="73">
        <f>AS49</f>
        <v>518.51300000000015</v>
      </c>
      <c r="AU48" s="73">
        <f>AT49</f>
        <v>675.221</v>
      </c>
      <c r="AV48" s="74">
        <f>AU49</f>
        <v>829.89499999999998</v>
      </c>
      <c r="AW48" s="75">
        <f>AQ49</f>
        <v>711.63700000000017</v>
      </c>
      <c r="AX48" s="73"/>
      <c r="AY48" s="76">
        <f>AW49</f>
        <v>636.154</v>
      </c>
      <c r="AZ48" s="73">
        <f>AY49</f>
        <v>533.53700000000015</v>
      </c>
      <c r="BA48" s="73">
        <f>AZ49</f>
        <v>591.05700000000002</v>
      </c>
      <c r="BB48" s="74">
        <f>BA49</f>
        <v>551.529</v>
      </c>
      <c r="BC48" s="75">
        <f>AW49</f>
        <v>636.154</v>
      </c>
      <c r="BD48" s="73"/>
      <c r="BE48" s="76">
        <f>BC49</f>
        <v>768.76999999999975</v>
      </c>
      <c r="BF48" s="73">
        <f>BE49</f>
        <v>754.90999999999985</v>
      </c>
      <c r="BG48" s="73">
        <f>BF49</f>
        <v>951.66199999999981</v>
      </c>
      <c r="BH48" s="74">
        <f>BG49</f>
        <v>794.69699999999989</v>
      </c>
      <c r="BI48" s="75">
        <f>BC49</f>
        <v>768.76999999999975</v>
      </c>
      <c r="BJ48" s="73"/>
      <c r="BK48" s="76">
        <f>BI49</f>
        <v>734.51599999999996</v>
      </c>
      <c r="BL48" s="73">
        <f>BK49</f>
        <v>981</v>
      </c>
      <c r="BM48" s="73">
        <f>BL49</f>
        <v>1219</v>
      </c>
      <c r="BN48" s="74">
        <f>BM49</f>
        <v>1354</v>
      </c>
      <c r="BO48" s="75">
        <f>BI49</f>
        <v>734.51599999999996</v>
      </c>
      <c r="BP48" s="73"/>
      <c r="BQ48" s="76">
        <f>BO49</f>
        <v>1225</v>
      </c>
      <c r="BR48" s="73">
        <f>BQ49</f>
        <v>1026.2227193947672</v>
      </c>
      <c r="BS48" s="73">
        <f>BR49</f>
        <v>1156.6519050524512</v>
      </c>
      <c r="BT48" s="74">
        <f>BS49</f>
        <v>1200.5180326729032</v>
      </c>
      <c r="BU48" s="75">
        <f>BO49</f>
        <v>1225</v>
      </c>
      <c r="BV48" s="73"/>
      <c r="BW48" s="76">
        <f>BU49</f>
        <v>1246.9440344054253</v>
      </c>
      <c r="BX48" s="73">
        <f>BW49</f>
        <v>1189.5601337108769</v>
      </c>
      <c r="BY48" s="73">
        <f>BX49</f>
        <v>1351.4985009974437</v>
      </c>
      <c r="BZ48" s="74">
        <f>BY49</f>
        <v>1418.4322642603856</v>
      </c>
      <c r="CA48" s="75">
        <f>BU49</f>
        <v>1246.9440344054253</v>
      </c>
      <c r="CB48" s="73"/>
      <c r="CC48" s="76">
        <f>CA49</f>
        <v>1484.855060962338</v>
      </c>
      <c r="CD48" s="73">
        <f>CC49</f>
        <v>1470.4031734247496</v>
      </c>
      <c r="CE48" s="73">
        <f>CD49</f>
        <v>1732.061601798287</v>
      </c>
      <c r="CF48" s="74">
        <f>CE49</f>
        <v>1900.2828951417548</v>
      </c>
      <c r="CG48" s="75">
        <f>CA49</f>
        <v>1484.855060962338</v>
      </c>
      <c r="CH48" s="73"/>
      <c r="CI48" s="76">
        <f t="shared" ref="CI48" si="92">CG49</f>
        <v>2071.2987921003732</v>
      </c>
      <c r="CJ48" s="73">
        <f t="shared" ref="CJ48:CL48" si="93">CI49</f>
        <v>2160.6067973896538</v>
      </c>
      <c r="CK48" s="73">
        <f t="shared" si="93"/>
        <v>2419.3178673697116</v>
      </c>
      <c r="CL48" s="74">
        <f t="shared" si="93"/>
        <v>2572.2944046275666</v>
      </c>
      <c r="CM48" s="75">
        <f t="shared" ref="CM48" si="94">CG49</f>
        <v>2071.2987921003732</v>
      </c>
      <c r="CN48" s="73"/>
      <c r="CO48" s="76">
        <f t="shared" ref="CO48" si="95">CM49</f>
        <v>2722.9725390583098</v>
      </c>
      <c r="CP48" s="73">
        <f t="shared" ref="CP48:CR48" si="96">CO49</f>
        <v>2795.4191116706584</v>
      </c>
      <c r="CQ48" s="73">
        <f t="shared" si="96"/>
        <v>3114.7043676207782</v>
      </c>
      <c r="CR48" s="74">
        <f t="shared" si="96"/>
        <v>3322.8590374127184</v>
      </c>
      <c r="CS48" s="75">
        <f t="shared" ref="CS48" si="97">CM49</f>
        <v>2722.9725390583098</v>
      </c>
      <c r="CT48" s="9"/>
      <c r="CU48" s="2"/>
      <c r="CV48" s="2"/>
    </row>
    <row r="49" spans="1:100" ht="14.25" customHeight="1">
      <c r="A49" s="1894" t="s">
        <v>76</v>
      </c>
      <c r="B49" s="77"/>
      <c r="C49" s="77">
        <f t="shared" ref="C49:AK49" si="98">C48+C47</f>
        <v>123.529</v>
      </c>
      <c r="D49" s="78">
        <f t="shared" si="98"/>
        <v>81.116999999999933</v>
      </c>
      <c r="E49" s="78">
        <f t="shared" si="98"/>
        <v>64.106999999999957</v>
      </c>
      <c r="F49" s="79">
        <f t="shared" si="98"/>
        <v>174.94099999999997</v>
      </c>
      <c r="G49" s="80">
        <f t="shared" si="98"/>
        <v>174.94099999999997</v>
      </c>
      <c r="H49" s="77"/>
      <c r="I49" s="77">
        <f t="shared" si="98"/>
        <v>118.61399999999998</v>
      </c>
      <c r="J49" s="78">
        <f t="shared" si="98"/>
        <v>132.96799999999999</v>
      </c>
      <c r="K49" s="78">
        <f t="shared" si="98"/>
        <v>355.21900000000005</v>
      </c>
      <c r="L49" s="79">
        <f t="shared" si="98"/>
        <v>327.024</v>
      </c>
      <c r="M49" s="80">
        <f t="shared" si="98"/>
        <v>327.02399999999989</v>
      </c>
      <c r="N49" s="78"/>
      <c r="O49" s="77">
        <f t="shared" si="98"/>
        <v>351.1459999999999</v>
      </c>
      <c r="P49" s="78">
        <f t="shared" si="98"/>
        <v>352.09699999999987</v>
      </c>
      <c r="Q49" s="78">
        <f t="shared" si="98"/>
        <v>238.52799999999996</v>
      </c>
      <c r="R49" s="79">
        <f t="shared" si="98"/>
        <v>144.63299999999998</v>
      </c>
      <c r="S49" s="80">
        <f t="shared" si="98"/>
        <v>144.6329999999999</v>
      </c>
      <c r="T49" s="78"/>
      <c r="U49" s="77">
        <f t="shared" si="98"/>
        <v>213.22499999999991</v>
      </c>
      <c r="V49" s="78">
        <f t="shared" si="98"/>
        <v>237.18699999999984</v>
      </c>
      <c r="W49" s="78">
        <f t="shared" si="98"/>
        <v>210.76699999999991</v>
      </c>
      <c r="X49" s="79">
        <f t="shared" si="98"/>
        <v>248.94699999999975</v>
      </c>
      <c r="Y49" s="80">
        <f t="shared" si="98"/>
        <v>248.94699999999989</v>
      </c>
      <c r="Z49" s="78"/>
      <c r="AA49" s="78">
        <f t="shared" si="98"/>
        <v>410.34099999999984</v>
      </c>
      <c r="AB49" s="78">
        <f t="shared" si="98"/>
        <v>261.08399999999978</v>
      </c>
      <c r="AC49" s="78">
        <f>AC48+AC47</f>
        <v>229.84599999999986</v>
      </c>
      <c r="AD49" s="78">
        <f>AD48+AD47</f>
        <v>302.97799999999989</v>
      </c>
      <c r="AE49" s="80">
        <f t="shared" si="98"/>
        <v>302.97799999999989</v>
      </c>
      <c r="AF49" s="78"/>
      <c r="AG49" s="78">
        <f t="shared" si="98"/>
        <v>260.1939999999999</v>
      </c>
      <c r="AH49" s="78">
        <f>AH48+AH47</f>
        <v>316.41199999999992</v>
      </c>
      <c r="AI49" s="78">
        <f>AI48+AI47</f>
        <v>343.08899999999994</v>
      </c>
      <c r="AJ49" s="78">
        <f>AJ48+AJ47</f>
        <v>433.98099999999999</v>
      </c>
      <c r="AK49" s="80">
        <f t="shared" si="98"/>
        <v>433.98099999999999</v>
      </c>
      <c r="AL49" s="78"/>
      <c r="AM49" s="77">
        <f>AM48+AM47</f>
        <v>443.08200000000005</v>
      </c>
      <c r="AN49" s="78">
        <f>AN48+AN47</f>
        <v>783.61099999999999</v>
      </c>
      <c r="AO49" s="78">
        <f>AO48+AO47</f>
        <v>691.83600000000001</v>
      </c>
      <c r="AP49" s="79">
        <f>AP48+AP47</f>
        <v>711.63700000000017</v>
      </c>
      <c r="AQ49" s="80">
        <f>AQ48+AQ47</f>
        <v>711.63700000000017</v>
      </c>
      <c r="AR49" s="78"/>
      <c r="AS49" s="77">
        <f>AS48+AS47</f>
        <v>518.51300000000015</v>
      </c>
      <c r="AT49" s="78">
        <f>AT48+AT47</f>
        <v>675.221</v>
      </c>
      <c r="AU49" s="78">
        <f>AU48+AU47</f>
        <v>829.89499999999998</v>
      </c>
      <c r="AV49" s="79">
        <f>AV48+AV47</f>
        <v>636.15400000000022</v>
      </c>
      <c r="AW49" s="80">
        <f>AW48+AW47</f>
        <v>636.154</v>
      </c>
      <c r="AX49" s="78"/>
      <c r="AY49" s="77">
        <f>AY48+AY47</f>
        <v>533.53700000000015</v>
      </c>
      <c r="AZ49" s="78">
        <f>AZ48+AZ47</f>
        <v>591.05700000000002</v>
      </c>
      <c r="BA49" s="78">
        <f>BA48+BA47</f>
        <v>551.529</v>
      </c>
      <c r="BB49" s="79">
        <f>BB48+BB47</f>
        <v>768.76999999999975</v>
      </c>
      <c r="BC49" s="80">
        <f>BC48+BC47</f>
        <v>768.76999999999975</v>
      </c>
      <c r="BD49" s="78"/>
      <c r="BE49" s="77">
        <f>BE48+BE47</f>
        <v>754.90999999999985</v>
      </c>
      <c r="BF49" s="78">
        <f>BF48+BF47</f>
        <v>951.66199999999981</v>
      </c>
      <c r="BG49" s="78">
        <f>BG48+BG47</f>
        <v>794.69699999999989</v>
      </c>
      <c r="BH49" s="79">
        <f>BH48+BH47</f>
        <v>734.51599999999985</v>
      </c>
      <c r="BI49" s="80">
        <f>BI48+BI47</f>
        <v>734.51599999999996</v>
      </c>
      <c r="BJ49" s="78"/>
      <c r="BK49" s="77">
        <f>BK48+BK47</f>
        <v>981</v>
      </c>
      <c r="BL49" s="78">
        <f>BL48+BL47</f>
        <v>1219</v>
      </c>
      <c r="BM49" s="2915">
        <f>BM48+BM47</f>
        <v>1354</v>
      </c>
      <c r="BN49" s="79">
        <f>BN48+BN47</f>
        <v>1225</v>
      </c>
      <c r="BO49" s="80">
        <f>BO48+BO47</f>
        <v>1225</v>
      </c>
      <c r="BP49" s="78"/>
      <c r="BQ49" s="77">
        <f>BQ48+BQ47</f>
        <v>1026.2227193947672</v>
      </c>
      <c r="BR49" s="78">
        <f>BR48+BR47</f>
        <v>1156.6519050524512</v>
      </c>
      <c r="BS49" s="78">
        <f>BS48+BS47</f>
        <v>1200.5180326729032</v>
      </c>
      <c r="BT49" s="79">
        <f>BT48+BT47</f>
        <v>1246.9440344054251</v>
      </c>
      <c r="BU49" s="80">
        <f>BU48+BU47</f>
        <v>1246.9440344054253</v>
      </c>
      <c r="BV49" s="78"/>
      <c r="BW49" s="77">
        <f>BW48+BW47</f>
        <v>1189.5601337108769</v>
      </c>
      <c r="BX49" s="78">
        <f>BX48+BX47</f>
        <v>1351.4985009974437</v>
      </c>
      <c r="BY49" s="78">
        <f>BY48+BY47</f>
        <v>1418.4322642603856</v>
      </c>
      <c r="BZ49" s="79">
        <f>BZ48+BZ47</f>
        <v>1484.855060962338</v>
      </c>
      <c r="CA49" s="80">
        <f>CA48+CA47</f>
        <v>1484.855060962338</v>
      </c>
      <c r="CB49" s="78"/>
      <c r="CC49" s="77">
        <f>CC48+CC47</f>
        <v>1470.4031734247496</v>
      </c>
      <c r="CD49" s="78">
        <f>CD48+CD47</f>
        <v>1732.061601798287</v>
      </c>
      <c r="CE49" s="78">
        <f>CE48+CE47</f>
        <v>1900.2828951417548</v>
      </c>
      <c r="CF49" s="79">
        <f>CF48+CF47</f>
        <v>2071.2987921003728</v>
      </c>
      <c r="CG49" s="80">
        <f>CG48+CG47</f>
        <v>2071.2987921003732</v>
      </c>
      <c r="CH49" s="78"/>
      <c r="CI49" s="77">
        <f t="shared" ref="CI49:CM49" si="99">CI48+CI47</f>
        <v>2160.6067973896538</v>
      </c>
      <c r="CJ49" s="78">
        <f t="shared" si="99"/>
        <v>2419.3178673697116</v>
      </c>
      <c r="CK49" s="78">
        <f t="shared" si="99"/>
        <v>2572.2944046275666</v>
      </c>
      <c r="CL49" s="79">
        <f t="shared" si="99"/>
        <v>2722.9725390583094</v>
      </c>
      <c r="CM49" s="80">
        <f t="shared" si="99"/>
        <v>2722.9725390583098</v>
      </c>
      <c r="CN49" s="78"/>
      <c r="CO49" s="77">
        <f t="shared" ref="CO49:CS49" si="100">CO48+CO47</f>
        <v>2795.4191116706584</v>
      </c>
      <c r="CP49" s="78">
        <f t="shared" si="100"/>
        <v>3114.7043676207782</v>
      </c>
      <c r="CQ49" s="78">
        <f t="shared" si="100"/>
        <v>3322.8590374127184</v>
      </c>
      <c r="CR49" s="79">
        <f t="shared" si="100"/>
        <v>3529.8248451091804</v>
      </c>
      <c r="CS49" s="80">
        <f t="shared" si="100"/>
        <v>3529.8248451091804</v>
      </c>
      <c r="CT49" s="348"/>
      <c r="CU49" s="2"/>
      <c r="CV49" s="2"/>
    </row>
    <row r="50" spans="1:100" ht="14.25" customHeight="1" outlineLevel="1">
      <c r="A50" s="347"/>
      <c r="B50" s="348"/>
      <c r="C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  <c r="N50" s="348"/>
      <c r="O50" s="348"/>
      <c r="P50" s="348"/>
      <c r="Q50" s="348"/>
      <c r="R50" s="348"/>
      <c r="S50" s="349"/>
      <c r="T50" s="348"/>
      <c r="U50" s="348"/>
      <c r="V50" s="348"/>
      <c r="W50" s="348"/>
      <c r="X50" s="348"/>
      <c r="Y50" s="349"/>
      <c r="Z50" s="348"/>
      <c r="AA50" s="348"/>
      <c r="AB50" s="348"/>
      <c r="AC50" s="348"/>
      <c r="AD50" s="350"/>
      <c r="AE50" s="349"/>
      <c r="AF50" s="350"/>
      <c r="AG50" s="350"/>
      <c r="AH50" s="350"/>
      <c r="AI50" s="350"/>
      <c r="AJ50" s="350"/>
      <c r="AK50" s="349"/>
      <c r="AL50" s="349"/>
      <c r="AM50" s="350"/>
      <c r="AN50" s="350"/>
      <c r="AO50" s="350"/>
      <c r="AP50" s="350"/>
      <c r="AQ50" s="349"/>
      <c r="AR50" s="350"/>
      <c r="AS50" s="350"/>
      <c r="AT50" s="350"/>
      <c r="AU50" s="350"/>
      <c r="AV50" s="350"/>
      <c r="AW50" s="349"/>
      <c r="AX50" s="350"/>
      <c r="AY50" s="350"/>
      <c r="AZ50" s="350"/>
      <c r="BA50" s="350"/>
      <c r="BB50" s="350"/>
      <c r="BC50" s="349"/>
      <c r="BD50" s="350"/>
      <c r="BE50" s="350"/>
      <c r="BF50" s="350"/>
      <c r="BG50" s="350"/>
      <c r="BH50" s="350"/>
      <c r="BI50" s="349"/>
      <c r="BJ50" s="350"/>
      <c r="BK50" s="350"/>
      <c r="BL50" s="350"/>
      <c r="BM50" s="350"/>
      <c r="BN50" s="350"/>
      <c r="BO50" s="349"/>
      <c r="BP50" s="350"/>
      <c r="BQ50" s="350"/>
      <c r="BR50" s="350"/>
      <c r="BS50" s="350"/>
      <c r="BT50" s="350"/>
      <c r="BU50" s="349"/>
      <c r="BV50" s="350"/>
      <c r="BW50" s="350"/>
      <c r="BX50" s="350"/>
      <c r="BY50" s="350"/>
      <c r="BZ50" s="350"/>
      <c r="CA50" s="349"/>
      <c r="CB50" s="350"/>
      <c r="CC50" s="350"/>
      <c r="CD50" s="350"/>
      <c r="CE50" s="350"/>
      <c r="CF50" s="350"/>
      <c r="CG50" s="349"/>
      <c r="CH50" s="350"/>
      <c r="CI50" s="350"/>
      <c r="CJ50" s="350"/>
      <c r="CK50" s="350"/>
      <c r="CL50" s="350"/>
      <c r="CM50" s="349"/>
      <c r="CN50" s="350"/>
      <c r="CO50" s="350"/>
      <c r="CP50" s="350"/>
      <c r="CQ50" s="350"/>
      <c r="CR50" s="350"/>
      <c r="CS50" s="349"/>
      <c r="CT50" s="349"/>
      <c r="CU50" s="2"/>
      <c r="CV50" s="2"/>
    </row>
    <row r="51" spans="1:100" ht="14.25" customHeight="1" outlineLevel="1">
      <c r="A51" s="774" t="s">
        <v>44</v>
      </c>
      <c r="B51" s="348"/>
      <c r="C51" s="351">
        <f>C49-BS!C11</f>
        <v>0</v>
      </c>
      <c r="D51" s="351">
        <f>D49-BS!D11</f>
        <v>0</v>
      </c>
      <c r="E51" s="351">
        <f>E49-BS!E11</f>
        <v>0</v>
      </c>
      <c r="F51" s="351">
        <f>F49-BS!F11</f>
        <v>0</v>
      </c>
      <c r="G51" s="351">
        <f>G49-BS!G11</f>
        <v>0</v>
      </c>
      <c r="H51" s="351"/>
      <c r="I51" s="351">
        <f>I49-BS!I11</f>
        <v>0</v>
      </c>
      <c r="J51" s="351">
        <f>J49-BS!J11</f>
        <v>0</v>
      </c>
      <c r="K51" s="351">
        <f>K49-BS!K11</f>
        <v>0</v>
      </c>
      <c r="L51" s="351">
        <f>L49-BS!L11</f>
        <v>0</v>
      </c>
      <c r="M51" s="351">
        <f>M49-BS!M11</f>
        <v>0</v>
      </c>
      <c r="N51" s="351"/>
      <c r="O51" s="351">
        <f>O49-BS!O11</f>
        <v>0</v>
      </c>
      <c r="P51" s="351">
        <f>P49-BS!P11</f>
        <v>0</v>
      </c>
      <c r="Q51" s="351">
        <f>Q49-BS!Q11</f>
        <v>0</v>
      </c>
      <c r="R51" s="351">
        <f>R49-BS!R11</f>
        <v>0</v>
      </c>
      <c r="S51" s="351">
        <f>S49-BS!S11</f>
        <v>0</v>
      </c>
      <c r="T51" s="351"/>
      <c r="U51" s="351">
        <f>U49-BS!U11</f>
        <v>0</v>
      </c>
      <c r="V51" s="351">
        <f>V49-BS!V11</f>
        <v>0</v>
      </c>
      <c r="W51" s="351">
        <f>W49-BS!W11</f>
        <v>0</v>
      </c>
      <c r="X51" s="351">
        <f>X49-BS!X11</f>
        <v>-2.5579538487363607E-13</v>
      </c>
      <c r="Y51" s="351">
        <f>Y49-BS!Y11</f>
        <v>0</v>
      </c>
      <c r="Z51" s="351"/>
      <c r="AA51" s="351">
        <f>AA49-BS!AA11</f>
        <v>0</v>
      </c>
      <c r="AB51" s="351">
        <f>AB49-BS!AB11</f>
        <v>0</v>
      </c>
      <c r="AC51" s="351">
        <f>AC49-BS!AC11</f>
        <v>0</v>
      </c>
      <c r="AD51" s="351">
        <f>AD49-BS!AD11</f>
        <v>0</v>
      </c>
      <c r="AE51" s="351">
        <f>AE49-BS!AE11</f>
        <v>0</v>
      </c>
      <c r="AF51" s="351"/>
      <c r="AG51" s="351">
        <f>AG49-BS!AG11</f>
        <v>0</v>
      </c>
      <c r="AH51" s="351">
        <f>AH49-BS!AH11</f>
        <v>0</v>
      </c>
      <c r="AI51" s="351">
        <f>AI49-BS!AI11</f>
        <v>0</v>
      </c>
      <c r="AJ51" s="351">
        <f>AJ49-BS!AJ11</f>
        <v>0</v>
      </c>
      <c r="AK51" s="351">
        <f>AK49-BS!AK11</f>
        <v>0</v>
      </c>
      <c r="AL51" s="351"/>
      <c r="AM51" s="351">
        <f>AM49-BS!AM11</f>
        <v>0</v>
      </c>
      <c r="AN51" s="351">
        <f>AN49-BS!AN11</f>
        <v>0</v>
      </c>
      <c r="AO51" s="351">
        <f>AO49-BS!AO11</f>
        <v>0</v>
      </c>
      <c r="AP51" s="351">
        <f>AP49-BS!AP11</f>
        <v>0</v>
      </c>
      <c r="AQ51" s="1345">
        <f>AQ49-BS!AQ11</f>
        <v>0</v>
      </c>
      <c r="AR51" s="351"/>
      <c r="AS51" s="351">
        <f>AS49-BS!AS11</f>
        <v>0</v>
      </c>
      <c r="AT51" s="351">
        <f>AT49-BS!AT11</f>
        <v>0</v>
      </c>
      <c r="AU51" s="351">
        <f>AU49-BS!AU11</f>
        <v>0</v>
      </c>
      <c r="AV51" s="351">
        <f>AV49-BS!AV11</f>
        <v>0</v>
      </c>
      <c r="AW51" s="351">
        <f>AW49-BS!AW11</f>
        <v>0</v>
      </c>
      <c r="AX51" s="351"/>
      <c r="AY51" s="351">
        <f>AY49-BS!AY11</f>
        <v>0</v>
      </c>
      <c r="AZ51" s="351">
        <f>AZ49-BS!AZ11</f>
        <v>0</v>
      </c>
      <c r="BA51" s="351">
        <f>BA49-BS!BA11</f>
        <v>0</v>
      </c>
      <c r="BB51" s="351">
        <f>BB49-BS!BB11</f>
        <v>0</v>
      </c>
      <c r="BC51" s="351">
        <f>BC49-BS!BC11</f>
        <v>0</v>
      </c>
      <c r="BD51" s="351"/>
      <c r="BE51" s="351">
        <f>BE49-BS!BE11</f>
        <v>0</v>
      </c>
      <c r="BF51" s="351">
        <f>BF49-BS!BF11</f>
        <v>0</v>
      </c>
      <c r="BG51" s="351">
        <f>BG49-BS!BG11</f>
        <v>0</v>
      </c>
      <c r="BH51" s="351">
        <f>BH49-BS!BH11</f>
        <v>0</v>
      </c>
      <c r="BI51" s="2471">
        <f>BI49-BS!BI11</f>
        <v>0</v>
      </c>
      <c r="BJ51" s="351"/>
      <c r="BK51" s="2910">
        <f>BK49-BS!BK11</f>
        <v>0</v>
      </c>
      <c r="BL51" s="2910">
        <f>BL49-BS!BL11</f>
        <v>0</v>
      </c>
      <c r="BM51" s="2910">
        <f>BM49-BS!BM11</f>
        <v>0</v>
      </c>
      <c r="BN51" s="3020">
        <f>BN49-BS!BN11</f>
        <v>0</v>
      </c>
      <c r="BO51" s="351">
        <f>BO49-BS!BO11</f>
        <v>0</v>
      </c>
      <c r="BP51" s="351"/>
      <c r="BQ51" s="351">
        <f>BQ49-BS!BQ11</f>
        <v>0</v>
      </c>
      <c r="BR51" s="351">
        <f>BR49-BS!BR11</f>
        <v>0</v>
      </c>
      <c r="BS51" s="351">
        <f>BS49-BS!BS11</f>
        <v>0</v>
      </c>
      <c r="BT51" s="351">
        <f>BT49-BS!BT11</f>
        <v>0</v>
      </c>
      <c r="BU51" s="351">
        <f>BU49-BS!BU11</f>
        <v>0</v>
      </c>
      <c r="BV51" s="351"/>
      <c r="BW51" s="351">
        <f>BW49-BS!BW11</f>
        <v>0</v>
      </c>
      <c r="BX51" s="351">
        <f>BX49-BS!BX11</f>
        <v>0</v>
      </c>
      <c r="BY51" s="351">
        <f>BY49-BS!BY11</f>
        <v>0</v>
      </c>
      <c r="BZ51" s="351">
        <f>BZ49-BS!BZ11</f>
        <v>0</v>
      </c>
      <c r="CA51" s="351">
        <f>CA49-BS!CA11</f>
        <v>0</v>
      </c>
      <c r="CB51" s="351"/>
      <c r="CC51" s="351">
        <f>CC49-BS!CC11</f>
        <v>0</v>
      </c>
      <c r="CD51" s="351">
        <f>CD49-BS!CD11</f>
        <v>0</v>
      </c>
      <c r="CE51" s="351">
        <f>CE49-BS!CE11</f>
        <v>0</v>
      </c>
      <c r="CF51" s="351">
        <f>CF49-BS!CF11</f>
        <v>0</v>
      </c>
      <c r="CG51" s="351">
        <f>CG49-BS!CG11</f>
        <v>0</v>
      </c>
      <c r="CH51" s="351"/>
      <c r="CI51" s="351">
        <f>CI49-BS!CI11</f>
        <v>0</v>
      </c>
      <c r="CJ51" s="351">
        <f>CJ49-BS!CJ11</f>
        <v>0</v>
      </c>
      <c r="CK51" s="351">
        <f>CK49-BS!CK11</f>
        <v>0</v>
      </c>
      <c r="CL51" s="351">
        <f>CL49-BS!CL11</f>
        <v>0</v>
      </c>
      <c r="CM51" s="351">
        <f>CM49-BS!CM11</f>
        <v>0</v>
      </c>
      <c r="CN51" s="351"/>
      <c r="CO51" s="351">
        <f>CO49-BS!CO11</f>
        <v>0</v>
      </c>
      <c r="CP51" s="351">
        <f>CP49-BS!CP11</f>
        <v>0</v>
      </c>
      <c r="CQ51" s="351">
        <f>CQ49-BS!CQ11</f>
        <v>0</v>
      </c>
      <c r="CR51" s="351">
        <f>CR49-BS!CR11</f>
        <v>0</v>
      </c>
      <c r="CS51" s="351">
        <f>CS49-BS!CS11</f>
        <v>0</v>
      </c>
      <c r="CT51" s="351"/>
      <c r="CU51" s="2"/>
      <c r="CV51" s="2"/>
    </row>
    <row r="52" spans="1:100" ht="12.75" customHeight="1">
      <c r="A52" s="352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4"/>
      <c r="AR52" s="43"/>
      <c r="AS52" s="44"/>
      <c r="AT52" s="43"/>
      <c r="AU52" s="44"/>
      <c r="AV52" s="44"/>
      <c r="AW52" s="44"/>
      <c r="AX52" s="43"/>
      <c r="AY52" s="44"/>
      <c r="AZ52" s="351"/>
      <c r="BA52" s="351"/>
      <c r="BB52" s="351"/>
      <c r="BC52" s="351"/>
      <c r="BD52" s="43"/>
      <c r="BE52" s="44"/>
      <c r="BF52" s="44"/>
      <c r="BG52" s="44"/>
      <c r="BH52" s="44"/>
      <c r="BI52" s="44"/>
      <c r="BJ52" s="43"/>
      <c r="BK52" s="44"/>
      <c r="BL52" s="44"/>
      <c r="BM52" s="44"/>
      <c r="BN52" s="44"/>
      <c r="BO52" s="44"/>
      <c r="BP52" s="43"/>
      <c r="BQ52" s="44"/>
      <c r="BR52" s="44"/>
      <c r="BS52" s="44"/>
      <c r="BT52" s="44"/>
      <c r="BU52" s="44"/>
      <c r="BV52" s="43"/>
      <c r="BW52" s="44"/>
      <c r="BX52" s="44"/>
      <c r="BY52" s="44"/>
      <c r="BZ52" s="44"/>
      <c r="CA52" s="44"/>
      <c r="CB52" s="43"/>
      <c r="CC52" s="44"/>
      <c r="CD52" s="44"/>
      <c r="CE52" s="44"/>
      <c r="CF52" s="44"/>
      <c r="CG52" s="44"/>
      <c r="CH52" s="43"/>
      <c r="CI52" s="44"/>
      <c r="CJ52" s="44"/>
      <c r="CK52" s="44"/>
      <c r="CL52" s="44"/>
      <c r="CM52" s="44"/>
      <c r="CN52" s="43"/>
      <c r="CO52" s="44"/>
      <c r="CP52" s="44"/>
      <c r="CQ52" s="44"/>
      <c r="CR52" s="44"/>
      <c r="CS52" s="44"/>
      <c r="CT52" s="44"/>
      <c r="CU52" s="1"/>
      <c r="CV52" s="1"/>
    </row>
    <row r="53" spans="1:100" ht="12.75" customHeight="1">
      <c r="A53" s="28" t="s">
        <v>310</v>
      </c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30"/>
      <c r="AX53" s="29"/>
      <c r="AY53" s="29"/>
      <c r="AZ53" s="29"/>
      <c r="BA53" s="29"/>
      <c r="BB53" s="29"/>
      <c r="BC53" s="30"/>
      <c r="BD53" s="29"/>
      <c r="BE53" s="29"/>
      <c r="BF53" s="29"/>
      <c r="BG53" s="29"/>
      <c r="BH53" s="29"/>
      <c r="BI53" s="30"/>
      <c r="BJ53" s="29"/>
      <c r="BK53" s="29"/>
      <c r="BL53" s="29"/>
      <c r="BM53" s="29"/>
      <c r="BN53" s="29"/>
      <c r="BO53" s="30"/>
      <c r="BP53" s="29"/>
      <c r="BQ53" s="29"/>
      <c r="BR53" s="29"/>
      <c r="BS53" s="29"/>
      <c r="BT53" s="29"/>
      <c r="BU53" s="30"/>
      <c r="BV53" s="29"/>
      <c r="BW53" s="29"/>
      <c r="BX53" s="29"/>
      <c r="BY53" s="29"/>
      <c r="BZ53" s="29"/>
      <c r="CA53" s="30"/>
      <c r="CB53" s="29"/>
      <c r="CC53" s="29"/>
      <c r="CD53" s="29"/>
      <c r="CE53" s="29"/>
      <c r="CF53" s="29"/>
      <c r="CG53" s="30"/>
      <c r="CH53" s="29"/>
      <c r="CI53" s="29"/>
      <c r="CJ53" s="29"/>
      <c r="CK53" s="29"/>
      <c r="CL53" s="29"/>
      <c r="CM53" s="30"/>
      <c r="CN53" s="29"/>
      <c r="CO53" s="29"/>
      <c r="CP53" s="29"/>
      <c r="CQ53" s="29"/>
      <c r="CR53" s="29"/>
      <c r="CS53" s="30"/>
      <c r="CT53" s="2913"/>
      <c r="CU53" s="375"/>
      <c r="CV53" s="375"/>
    </row>
    <row r="54" spans="1:100" ht="12.75" customHeight="1" outlineLevel="1">
      <c r="A54" s="353" t="s">
        <v>48</v>
      </c>
      <c r="B54" s="227"/>
      <c r="C54" s="354">
        <f>C26+C29</f>
        <v>11.403999999999957</v>
      </c>
      <c r="D54" s="227">
        <f>D26+D29</f>
        <v>17.797000000000008</v>
      </c>
      <c r="E54" s="227">
        <f>E26+E29</f>
        <v>-1.6999999999968374E-2</v>
      </c>
      <c r="F54" s="227">
        <f>F26+F29</f>
        <v>2.7669999999999995</v>
      </c>
      <c r="G54" s="355">
        <f>G26+G29</f>
        <v>31.950999999999983</v>
      </c>
      <c r="H54" s="227"/>
      <c r="I54" s="354">
        <f>I26+I29</f>
        <v>-33.718000000000011</v>
      </c>
      <c r="J54" s="227">
        <f>J26+J29</f>
        <v>14.363000000000014</v>
      </c>
      <c r="K54" s="227">
        <f>K26+K29</f>
        <v>11.980999999999987</v>
      </c>
      <c r="L54" s="227">
        <f>L26+L29</f>
        <v>35.563000000000009</v>
      </c>
      <c r="M54" s="355">
        <f>M26+M29</f>
        <v>28.189000000000007</v>
      </c>
      <c r="N54" s="227"/>
      <c r="O54" s="354">
        <f>O26+O29</f>
        <v>38.179000000000002</v>
      </c>
      <c r="P54" s="227">
        <f>P26+P29</f>
        <v>25.347000000000001</v>
      </c>
      <c r="Q54" s="227">
        <f>Q26+Q29</f>
        <v>1.0880000000000294</v>
      </c>
      <c r="R54" s="227">
        <f>R26+R29</f>
        <v>54.903999999999982</v>
      </c>
      <c r="S54" s="355">
        <f>S26+S29</f>
        <v>119.51799999999997</v>
      </c>
      <c r="T54" s="227"/>
      <c r="U54" s="354">
        <f>U26+U29</f>
        <v>47.885000000000012</v>
      </c>
      <c r="V54" s="227">
        <f>V26+V29</f>
        <v>64.056999999999988</v>
      </c>
      <c r="W54" s="227">
        <f>W26+W29</f>
        <v>41.715999999999994</v>
      </c>
      <c r="X54" s="227">
        <f>X26+X29</f>
        <v>69.096999999999966</v>
      </c>
      <c r="Y54" s="355">
        <f>Y26+Y29</f>
        <v>222.755</v>
      </c>
      <c r="Z54" s="227"/>
      <c r="AA54" s="354">
        <f>AA26+AA29</f>
        <v>76.277999999999992</v>
      </c>
      <c r="AB54" s="227">
        <f>AB26+AB29</f>
        <v>55.016999999999996</v>
      </c>
      <c r="AC54" s="227">
        <f>AC26+AC29</f>
        <v>67.85899999999998</v>
      </c>
      <c r="AD54" s="227">
        <f>AD26+AD29</f>
        <v>81.18599999999995</v>
      </c>
      <c r="AE54" s="355">
        <f>AE26+AE29</f>
        <v>280.33999999999992</v>
      </c>
      <c r="AF54" s="227"/>
      <c r="AG54" s="354">
        <f>AG26+AG29</f>
        <v>52.355999999999995</v>
      </c>
      <c r="AH54" s="227">
        <f>AH26+AH29</f>
        <v>75.382999999999967</v>
      </c>
      <c r="AI54" s="227">
        <f>AI26+AI29</f>
        <v>33.578000000000031</v>
      </c>
      <c r="AJ54" s="227">
        <f>AJ26+AJ29</f>
        <v>61.775000000000006</v>
      </c>
      <c r="AK54" s="355">
        <f>AK26+AK29</f>
        <v>223.09199999999998</v>
      </c>
      <c r="AL54" s="227"/>
      <c r="AM54" s="354">
        <f>AM26+AM29</f>
        <v>66.399000000000029</v>
      </c>
      <c r="AN54" s="227">
        <f>AN26+AN29</f>
        <v>77.072000000000031</v>
      </c>
      <c r="AO54" s="227">
        <f>AO26+AO29</f>
        <v>64.206000000000074</v>
      </c>
      <c r="AP54" s="227">
        <f>AP26+AP29</f>
        <v>99.529000000000053</v>
      </c>
      <c r="AQ54" s="355">
        <f>AQ26+AQ29</f>
        <v>307.20600000000013</v>
      </c>
      <c r="AR54" s="227"/>
      <c r="AS54" s="354">
        <f>AS26+AS29</f>
        <v>18.075000000000003</v>
      </c>
      <c r="AT54" s="1496">
        <f>AT26+AT29</f>
        <v>154.70599999999996</v>
      </c>
      <c r="AU54" s="227">
        <f>AU26+AU29</f>
        <v>116.77700000000004</v>
      </c>
      <c r="AV54" s="227">
        <f>AV26+AV29</f>
        <v>105.71699999999993</v>
      </c>
      <c r="AW54" s="355">
        <f>AW26+AW29</f>
        <v>395.27499999999986</v>
      </c>
      <c r="AX54" s="227"/>
      <c r="AY54" s="354">
        <f>AY26+AY29</f>
        <v>30.228000000000108</v>
      </c>
      <c r="AZ54" s="227">
        <f>AZ26+AZ29</f>
        <v>130.09399999999988</v>
      </c>
      <c r="BA54" s="227">
        <f>BA26+BA29</f>
        <v>151.53499999999994</v>
      </c>
      <c r="BB54" s="227">
        <f>BB26+BB29</f>
        <v>204.89199999999994</v>
      </c>
      <c r="BC54" s="355">
        <f>BC26+BC29</f>
        <v>516.74899999999991</v>
      </c>
      <c r="BD54" s="227"/>
      <c r="BE54" s="2313">
        <f>BE26+BE29</f>
        <v>45.313000000000081</v>
      </c>
      <c r="BF54" s="227">
        <f>BF26+BF29</f>
        <v>146.63200000000003</v>
      </c>
      <c r="BG54" s="227">
        <f>BG26+BG29</f>
        <v>89.182000000000016</v>
      </c>
      <c r="BH54" s="227">
        <f>BH26+BH29</f>
        <v>143.99</v>
      </c>
      <c r="BI54" s="355">
        <f>BI26+BI29</f>
        <v>425.11700000000013</v>
      </c>
      <c r="BJ54" s="227"/>
      <c r="BK54" s="354">
        <f>BK26+BK29</f>
        <v>85</v>
      </c>
      <c r="BL54" s="227">
        <f>BL26+BL29</f>
        <v>109</v>
      </c>
      <c r="BM54" s="227">
        <f>BM26+BM29</f>
        <v>153</v>
      </c>
      <c r="BN54" s="227">
        <f>BN26+BN29</f>
        <v>218</v>
      </c>
      <c r="BO54" s="355">
        <f>BO26+BO29</f>
        <v>565</v>
      </c>
      <c r="BP54" s="227"/>
      <c r="BQ54" s="354">
        <f>BQ26+BQ29</f>
        <v>46.736213896018327</v>
      </c>
      <c r="BR54" s="227">
        <f>BR26+BR29</f>
        <v>257.43581471281027</v>
      </c>
      <c r="BS54" s="227">
        <f>BS26+BS29</f>
        <v>170.72304185200289</v>
      </c>
      <c r="BT54" s="227">
        <f>BT26+BT29</f>
        <v>173.21890852968124</v>
      </c>
      <c r="BU54" s="355">
        <f>BU26+BU29</f>
        <v>648.11397899051303</v>
      </c>
      <c r="BV54" s="227"/>
      <c r="BW54" s="354">
        <f>BW26+BW29</f>
        <v>63.869507582135299</v>
      </c>
      <c r="BX54" s="227">
        <f>BX26+BX29</f>
        <v>283.03986190393454</v>
      </c>
      <c r="BY54" s="227">
        <f>BY26+BY29</f>
        <v>187.88073192999121</v>
      </c>
      <c r="BZ54" s="227">
        <f>BZ26+BZ29</f>
        <v>187.30369026836848</v>
      </c>
      <c r="CA54" s="355">
        <f>CA26+CA29</f>
        <v>722.09379168442956</v>
      </c>
      <c r="CB54" s="227"/>
      <c r="CC54" s="354">
        <f>CC26+CC29</f>
        <v>97.174588688360274</v>
      </c>
      <c r="CD54" s="227">
        <f>CD26+CD29</f>
        <v>373.12810834949892</v>
      </c>
      <c r="CE54" s="227">
        <f>CE26+CE29</f>
        <v>279.53148023175208</v>
      </c>
      <c r="CF54" s="227">
        <f>CF26+CF29</f>
        <v>282.25787368329861</v>
      </c>
      <c r="CG54" s="355">
        <f>CG26+CG29</f>
        <v>1032.0920509529101</v>
      </c>
      <c r="CH54" s="227"/>
      <c r="CI54" s="354">
        <f t="shared" ref="CI54:CM54" si="101">CI26+CI29</f>
        <v>185.86636794820089</v>
      </c>
      <c r="CJ54" s="227">
        <f t="shared" si="101"/>
        <v>355.10759544433711</v>
      </c>
      <c r="CK54" s="227">
        <f t="shared" si="101"/>
        <v>249.20844138210487</v>
      </c>
      <c r="CL54" s="227">
        <f t="shared" si="101"/>
        <v>246.83962371542412</v>
      </c>
      <c r="CM54" s="355">
        <f t="shared" si="101"/>
        <v>1037.022028490067</v>
      </c>
      <c r="CN54" s="227"/>
      <c r="CO54" s="354">
        <f t="shared" ref="CO54:CS54" si="102">CO26+CO29</f>
        <v>145.80089366911963</v>
      </c>
      <c r="CP54" s="227">
        <f t="shared" si="102"/>
        <v>392.47253533173284</v>
      </c>
      <c r="CQ54" s="227">
        <f t="shared" si="102"/>
        <v>281.17203319334044</v>
      </c>
      <c r="CR54" s="227">
        <f t="shared" si="102"/>
        <v>279.9104796795674</v>
      </c>
      <c r="CS54" s="355">
        <f t="shared" si="102"/>
        <v>1099.3559418737602</v>
      </c>
      <c r="CT54" s="227"/>
      <c r="CU54" s="163"/>
      <c r="CV54" s="163"/>
    </row>
    <row r="55" spans="1:100" ht="12.75" customHeight="1" outlineLevel="1">
      <c r="A55" s="356" t="s">
        <v>49</v>
      </c>
      <c r="B55" s="357"/>
      <c r="C55" s="358">
        <f>C54/IS!C43</f>
        <v>0.10673505297442962</v>
      </c>
      <c r="D55" s="357">
        <f>D54/IS!D43</f>
        <v>0.15326122526308544</v>
      </c>
      <c r="E55" s="357">
        <f>E54/IS!E43</f>
        <v>-1.4310968936752567E-4</v>
      </c>
      <c r="F55" s="357">
        <f>F54/IS!F43</f>
        <v>2.5129416038506942E-2</v>
      </c>
      <c r="G55" s="84">
        <f>G54/IS!G43</f>
        <v>0.29500129260996399</v>
      </c>
      <c r="H55" s="357"/>
      <c r="I55" s="358">
        <f>I54/IS!I43</f>
        <v>-0.26439683834138394</v>
      </c>
      <c r="J55" s="357">
        <f>J54/IS!J43</f>
        <v>0.10767189420972155</v>
      </c>
      <c r="K55" s="357">
        <f>K54/IS!K43</f>
        <v>0.10006430975587338</v>
      </c>
      <c r="L55" s="357">
        <f>L54/IS!L43</f>
        <v>0.27085094553735323</v>
      </c>
      <c r="M55" s="84">
        <f>M54/IS!M43</f>
        <v>0.21098445440732902</v>
      </c>
      <c r="N55" s="357"/>
      <c r="O55" s="358">
        <f>O54/IS!O43</f>
        <v>0.28713139350365124</v>
      </c>
      <c r="P55" s="357">
        <f>P54/IS!P43</f>
        <v>0.18174452371562758</v>
      </c>
      <c r="Q55" s="357">
        <f>Q54/IS!Q43</f>
        <v>7.7784291576706854E-3</v>
      </c>
      <c r="R55" s="357">
        <f>R54/IS!R43</f>
        <v>0.40342407876850717</v>
      </c>
      <c r="S55" s="84">
        <f>S54/IS!S43</f>
        <v>0.87178327595261695</v>
      </c>
      <c r="T55" s="357"/>
      <c r="U55" s="358">
        <f>U54/IS!U43</f>
        <v>0.3510450343457448</v>
      </c>
      <c r="V55" s="357">
        <f>V54/IS!V43</f>
        <v>0.45446289845407262</v>
      </c>
      <c r="W55" s="357">
        <f>W54/IS!W43</f>
        <v>0.28729038256258388</v>
      </c>
      <c r="X55" s="357">
        <f>X54/IS!X43</f>
        <v>0.45707840789569409</v>
      </c>
      <c r="Y55" s="84">
        <f>Y54/IS!Y43</f>
        <v>1.5530247572037119</v>
      </c>
      <c r="Z55" s="357"/>
      <c r="AA55" s="358">
        <f>AA54/IS!AA43</f>
        <v>0.49812902846619517</v>
      </c>
      <c r="AB55" s="357">
        <f>AB54/IS!AB43</f>
        <v>0.38808591683419746</v>
      </c>
      <c r="AC55" s="357">
        <f>AC54/IS!AC43</f>
        <v>0.49908800729594144</v>
      </c>
      <c r="AD55" s="357">
        <f>AD54/IS!AD43</f>
        <v>0.65007046313496852</v>
      </c>
      <c r="AE55" s="84">
        <f>AE54/IS!AE43</f>
        <v>2.0177490517284804</v>
      </c>
      <c r="AF55" s="357"/>
      <c r="AG55" s="358">
        <f>AG54/IS!AG43</f>
        <v>0.39112797794694409</v>
      </c>
      <c r="AH55" s="357">
        <f>AH54/IS!AH43</f>
        <v>0.56674260023607048</v>
      </c>
      <c r="AI55" s="357">
        <f>AI54/IS!AI43</f>
        <v>0.25340548046518319</v>
      </c>
      <c r="AJ55" s="357">
        <f>AJ54/IS!AJ43</f>
        <v>0.45626435635520302</v>
      </c>
      <c r="AK55" s="84">
        <f>AK54/IS!AK43</f>
        <v>1.6686887121988434</v>
      </c>
      <c r="AL55" s="357"/>
      <c r="AM55" s="358">
        <f>AM54/IS!AM43</f>
        <v>0.53647954236959494</v>
      </c>
      <c r="AN55" s="357">
        <f>AN54/IS!AN43</f>
        <v>0.55297502457363856</v>
      </c>
      <c r="AO55" s="357">
        <f>AO54/IS!AO43</f>
        <v>0.45665393560501044</v>
      </c>
      <c r="AP55" s="357">
        <f>AP54/IS!AP43</f>
        <v>0.69187509558302196</v>
      </c>
      <c r="AQ55" s="84">
        <f>AQ54/IS!AQ43</f>
        <v>2.1953321518408422</v>
      </c>
      <c r="AR55" s="357"/>
      <c r="AS55" s="358">
        <f>AS54/IS!AS43</f>
        <v>0.1200047802734051</v>
      </c>
      <c r="AT55" s="1497">
        <f>AT54/IS!AT43</f>
        <v>1.03745280678107</v>
      </c>
      <c r="AU55" s="357">
        <f>AU54/IS!AU43</f>
        <v>0.79164406963501299</v>
      </c>
      <c r="AV55" s="357">
        <f>AV54/IS!AV43</f>
        <v>0.71114713736991808</v>
      </c>
      <c r="AW55" s="84">
        <f>AW54/IS!AW43</f>
        <v>2.6532574604511754</v>
      </c>
      <c r="AX55" s="357"/>
      <c r="AY55" s="358">
        <f>AY54/IS!AY43</f>
        <v>0.20330501805855483</v>
      </c>
      <c r="AZ55" s="357">
        <f>AZ54/IS!AZ43</f>
        <v>0.8732957863716605</v>
      </c>
      <c r="BA55" s="357">
        <f>BA54/IS!BA43</f>
        <v>1.0124472179165105</v>
      </c>
      <c r="BB55" s="357">
        <f>BB54/IS!BB43</f>
        <v>1.3755572264890699</v>
      </c>
      <c r="BC55" s="84">
        <f>BC54/IS!BC43</f>
        <v>3.4665087979392091</v>
      </c>
      <c r="BD55" s="357"/>
      <c r="BE55" s="358">
        <f>BE54/IS!BE43</f>
        <v>0.3054321670025687</v>
      </c>
      <c r="BF55" s="357">
        <f>BF54/IS!BF43</f>
        <v>0.99150038204328939</v>
      </c>
      <c r="BG55" s="357">
        <f>BG54/IS!BG43</f>
        <v>0.60298442877330116</v>
      </c>
      <c r="BH55" s="357">
        <f>BH54/IS!BH43</f>
        <v>0.972806810120596</v>
      </c>
      <c r="BI55" s="84">
        <f>BI54/IS!BI43</f>
        <v>2.8716263454932949</v>
      </c>
      <c r="BJ55" s="357"/>
      <c r="BK55" s="358">
        <f>BK54/IS!BK43</f>
        <v>0.57666214382632286</v>
      </c>
      <c r="BL55" s="357">
        <f>BL54/IS!BL43</f>
        <v>0.74657534246575341</v>
      </c>
      <c r="BM55" s="357">
        <f>BM54/IS!BM43</f>
        <v>1.0372881355932204</v>
      </c>
      <c r="BN55" s="357">
        <f>BN54/IS!BN43</f>
        <v>1.4779661016949153</v>
      </c>
      <c r="BO55" s="84">
        <f>BO54/IS!BO43</f>
        <v>3.840924541128484</v>
      </c>
      <c r="BP55" s="357"/>
      <c r="BQ55" s="358">
        <f>BQ54/IS!BQ43</f>
        <v>0.31793342786407025</v>
      </c>
      <c r="BR55" s="357">
        <f>BR54/IS!BR43</f>
        <v>1.7450813967245904</v>
      </c>
      <c r="BS55" s="357">
        <f>BS54/IS!BS43</f>
        <v>1.1625193281286281</v>
      </c>
      <c r="BT55" s="357">
        <f>BT54/IS!BT43</f>
        <v>1.1847629664001447</v>
      </c>
      <c r="BU55" s="84">
        <f>BU54/IS!BU43</f>
        <v>4.4120718442379507</v>
      </c>
      <c r="BV55" s="357"/>
      <c r="BW55" s="358">
        <f>BW54/IS!BW43</f>
        <v>0.43875805242665633</v>
      </c>
      <c r="BX55" s="357">
        <f>BX54/IS!BX43</f>
        <v>1.9527297438649647</v>
      </c>
      <c r="BY55" s="357">
        <f>BY54/IS!BY43</f>
        <v>1.3016908427982861</v>
      </c>
      <c r="BZ55" s="357">
        <f>BZ54/IS!BZ43</f>
        <v>1.3030812253652353</v>
      </c>
      <c r="CA55" s="84">
        <f>CA54/IS!CA43</f>
        <v>4.9920967354965109</v>
      </c>
      <c r="CB55" s="357"/>
      <c r="CC55" s="358">
        <f>CC54/IS!CC43</f>
        <v>0.67860141735790991</v>
      </c>
      <c r="CD55" s="357">
        <f>CD54/IS!CD43</f>
        <v>2.614367878797931</v>
      </c>
      <c r="CE55" s="357">
        <f>CE54/IS!CE43</f>
        <v>1.9649883731475744</v>
      </c>
      <c r="CF55" s="357">
        <f>CF54/IS!CF43</f>
        <v>1.9905362487016927</v>
      </c>
      <c r="CG55" s="84">
        <f>CG54/IS!CG43</f>
        <v>7.2430510453200698</v>
      </c>
      <c r="CH55" s="357"/>
      <c r="CI55" s="358">
        <f>CI54/IS!CI43</f>
        <v>1.3149045401947514</v>
      </c>
      <c r="CJ55" s="357">
        <f>CJ54/IS!CJ43</f>
        <v>2.5199839123356997</v>
      </c>
      <c r="CK55" s="357">
        <f>CK54/IS!CK43</f>
        <v>1.7738640706952933</v>
      </c>
      <c r="CL55" s="357">
        <f>CL54/IS!CL43</f>
        <v>1.7622519945311494</v>
      </c>
      <c r="CM55" s="84">
        <f>CM54/IS!CM43</f>
        <v>7.3700589242205909</v>
      </c>
      <c r="CN55" s="357"/>
      <c r="CO55" s="358">
        <f>CO54/IS!CO43</f>
        <v>1.0439627618880212</v>
      </c>
      <c r="CP55" s="357">
        <f>CP54/IS!CP43</f>
        <v>2.818268006183843</v>
      </c>
      <c r="CQ55" s="357">
        <f>CQ54/IS!CQ43</f>
        <v>2.0247444543580824</v>
      </c>
      <c r="CR55" s="357">
        <f>CR54/IS!CR43</f>
        <v>2.0212478760968633</v>
      </c>
      <c r="CS55" s="84">
        <f>CS54/IS!CS43</f>
        <v>7.9051525775681029</v>
      </c>
      <c r="CT55" s="357"/>
      <c r="CU55" s="359"/>
      <c r="CV55" s="360"/>
    </row>
    <row r="56" spans="1:100" ht="12.75" customHeight="1" outlineLevel="1">
      <c r="A56" s="361" t="s">
        <v>50</v>
      </c>
      <c r="B56" s="362"/>
      <c r="C56" s="363">
        <f>(C55*4)/C57</f>
        <v>2.432158499627687E-2</v>
      </c>
      <c r="D56" s="362">
        <f>(D55*4)/D57</f>
        <v>3.576410637605798E-2</v>
      </c>
      <c r="E56" s="362">
        <f>(E55*4)/E57</f>
        <v>-2.4408724439991865E-5</v>
      </c>
      <c r="F56" s="362">
        <f>(F55*4)/F57</f>
        <v>3.5559842805466123E-3</v>
      </c>
      <c r="G56" s="36">
        <f>(G55)/G57</f>
        <v>1.361806649999496E-2</v>
      </c>
      <c r="H56" s="362"/>
      <c r="I56" s="363">
        <f>(I55*4)/I57</f>
        <v>-3.089236436941414E-2</v>
      </c>
      <c r="J56" s="362">
        <f>(J55*4)/J57</f>
        <v>1.0954769466219053E-2</v>
      </c>
      <c r="K56" s="362">
        <f>(K55*4)/K57</f>
        <v>9.1978972068811771E-3</v>
      </c>
      <c r="L56" s="362">
        <f>(L55*4)/L57</f>
        <v>4.1626609823073001E-2</v>
      </c>
      <c r="M56" s="36">
        <f>(M55)/M57</f>
        <v>5.8948400343329949E-3</v>
      </c>
      <c r="N56" s="362"/>
      <c r="O56" s="363">
        <f>(O55*4)/O57</f>
        <v>3.6051002751165594E-2</v>
      </c>
      <c r="P56" s="362">
        <f>(P55*4)/P57</f>
        <v>1.9867065962582472E-2</v>
      </c>
      <c r="Q56" s="362">
        <f>(Q55*4)/Q57</f>
        <v>8.5943201921397636E-4</v>
      </c>
      <c r="R56" s="362">
        <f>(R55*4)/R57</f>
        <v>4.7976263285171253E-2</v>
      </c>
      <c r="S56" s="36">
        <f>(S55)/S57</f>
        <v>2.5198671380565075E-2</v>
      </c>
      <c r="T56" s="362"/>
      <c r="U56" s="363">
        <f>(U55*4)/U57</f>
        <v>3.7541636715492897E-2</v>
      </c>
      <c r="V56" s="362">
        <f>(V55*4)/V57</f>
        <v>4.4189270391677797E-2</v>
      </c>
      <c r="W56" s="362">
        <f>(W55*4)/W57</f>
        <v>2.5335910420334288E-2</v>
      </c>
      <c r="X56" s="362">
        <f>(X55*4)/X57</f>
        <v>3.1829976244665062E-2</v>
      </c>
      <c r="Y56" s="36">
        <f>(Y55)/Y57</f>
        <v>3.4244558661561793E-2</v>
      </c>
      <c r="Z56" s="362"/>
      <c r="AA56" s="363">
        <f>(AA55*4)/AA57</f>
        <v>2.9262564018874639E-2</v>
      </c>
      <c r="AB56" s="362">
        <f>(AB55*4)/AB57</f>
        <v>2.1663082501599994E-2</v>
      </c>
      <c r="AC56" s="362">
        <f>(AC55*4)/AC57</f>
        <v>3.54223223976999E-2</v>
      </c>
      <c r="AD56" s="362">
        <f>(AD55*4)/AD57</f>
        <v>8.8049468211264109E-2</v>
      </c>
      <c r="AE56" s="36">
        <f>(AE55)/AE57</f>
        <v>3.5798882192375106E-2</v>
      </c>
      <c r="AF56" s="362"/>
      <c r="AG56" s="363">
        <f>(AG55*4)/AG57</f>
        <v>3.3021586114761886E-2</v>
      </c>
      <c r="AH56" s="362">
        <f>(AH55*4)/AH57</f>
        <v>5.1590085083279273E-2</v>
      </c>
      <c r="AI56" s="362">
        <f>(AI55*4)/AI57</f>
        <v>2.3529482247936665E-2</v>
      </c>
      <c r="AJ56" s="362">
        <f>(AJ55*4)/AJ57</f>
        <v>3.5979402431038317E-2</v>
      </c>
      <c r="AK56" s="36">
        <f>(AK55)/AK57</f>
        <v>3.6072806237599571E-2</v>
      </c>
      <c r="AL56" s="362"/>
      <c r="AM56" s="363">
        <f>(AM55*4)/AM57</f>
        <v>4.1529789248326579E-2</v>
      </c>
      <c r="AN56" s="362">
        <f>(AN55*4)/AN57</f>
        <v>3.3616464298232146E-2</v>
      </c>
      <c r="AO56" s="362">
        <f>(AO55*4)/AO57</f>
        <v>2.3227687392468617E-2</v>
      </c>
      <c r="AP56" s="362">
        <f>(AP55*4)/AP57</f>
        <v>2.9392608562000596E-2</v>
      </c>
      <c r="AQ56" s="36">
        <f>(AQ55)/AQ57</f>
        <v>3.0252712785020397E-2</v>
      </c>
      <c r="AR56" s="362"/>
      <c r="AS56" s="363">
        <f>(AS55*4)/AS57</f>
        <v>3.8622724849891959E-3</v>
      </c>
      <c r="AT56" s="1421">
        <f>(AT55*4)/AT57</f>
        <v>2.7057544551539334E-2</v>
      </c>
      <c r="AU56" s="362">
        <f>(AU55*4)/AU57</f>
        <v>1.8425815749374422E-2</v>
      </c>
      <c r="AV56" s="362">
        <f>(AV55*4)/AV57</f>
        <v>1.5701943036393828E-2</v>
      </c>
      <c r="AW56" s="36">
        <f>(AW55)/AW57</f>
        <v>1.6828157499961156E-2</v>
      </c>
      <c r="AX56" s="362"/>
      <c r="AY56" s="363">
        <f>(AY55*4)/AY57</f>
        <v>5.383146902252142E-3</v>
      </c>
      <c r="AZ56" s="362">
        <f>(AZ55*4)/AZ57</f>
        <v>1.7397664028680541E-2</v>
      </c>
      <c r="BA56" s="362">
        <f>(BA55*4)/BA57</f>
        <v>1.9489185370858642E-2</v>
      </c>
      <c r="BB56" s="362">
        <f>(BB55*4)/BB57</f>
        <v>3.3163921221944302E-2</v>
      </c>
      <c r="BC56" s="36">
        <f>(BC55)/BC57</f>
        <v>1.9110825462458635E-2</v>
      </c>
      <c r="BD56" s="362"/>
      <c r="BE56" s="2314">
        <f>(BE55*4)/BE57</f>
        <v>7.7743725765862318E-3</v>
      </c>
      <c r="BF56" s="362">
        <f>(BF55*4)/BF57</f>
        <v>2.7112311221587911E-2</v>
      </c>
      <c r="BG56" s="362">
        <f>(BG55*4)/BG57</f>
        <v>1.4665090919676146E-2</v>
      </c>
      <c r="BH56" s="362">
        <f>(BH55*4)/BH57</f>
        <v>2.8084527031257439E-2</v>
      </c>
      <c r="BI56" s="36">
        <f>(BI55)/BI57</f>
        <v>1.8940540592590982E-2</v>
      </c>
      <c r="BJ56" s="362"/>
      <c r="BK56" s="363">
        <f>(BK55*4)/BK57</f>
        <v>1.4240981360028489E-2</v>
      </c>
      <c r="BL56" s="362">
        <f>(BL55*4)/BL57</f>
        <v>1.6799625167996251E-2</v>
      </c>
      <c r="BM56" s="362">
        <f>(BM55*4)/BM57</f>
        <v>2.1680159790115706E-2</v>
      </c>
      <c r="BN56" s="362">
        <f>(BN55*4)/BN57</f>
        <v>2.7947315654547795E-2</v>
      </c>
      <c r="BO56" s="36">
        <f>(BO55)/BO57</f>
        <v>2.0398304729234346E-2</v>
      </c>
      <c r="BP56" s="362"/>
      <c r="BQ56" s="363">
        <f>(BQ55*4)/BQ57</f>
        <v>5.8837633252180714E-3</v>
      </c>
      <c r="BR56" s="362">
        <f>(BR55*4)/BR57</f>
        <v>3.1606620847306741E-2</v>
      </c>
      <c r="BS56" s="362">
        <f>(BS55*4)/BS57</f>
        <v>2.0606580767320783E-2</v>
      </c>
      <c r="BT56" s="362">
        <f>(BT55*4)/BT57</f>
        <v>2.0553254474269748E-2</v>
      </c>
      <c r="BU56" s="36">
        <f>(BU55)/BU57</f>
        <v>1.9757894806365847E-2</v>
      </c>
      <c r="BV56" s="362"/>
      <c r="BW56" s="363">
        <f>(BW55*4)/BW57</f>
        <v>7.4493367042026883E-3</v>
      </c>
      <c r="BX56" s="362">
        <f>(BX55*4)/BX57</f>
        <v>3.2447259447385551E-2</v>
      </c>
      <c r="BY56" s="362">
        <f>(BY55*4)/BY57</f>
        <v>2.1168354754660883E-2</v>
      </c>
      <c r="BZ56" s="362">
        <f>(BZ55*4)/BZ57</f>
        <v>2.0739301179732571E-2</v>
      </c>
      <c r="CA56" s="36">
        <f>(CA55)/CA57</f>
        <v>2.0509477085324582E-2</v>
      </c>
      <c r="CB56" s="362"/>
      <c r="CC56" s="363">
        <f>(CC55*4)/CC57</f>
        <v>1.0570140715000249E-2</v>
      </c>
      <c r="CD56" s="362">
        <f>(CD55*4)/CD57</f>
        <v>3.9854382167059908E-2</v>
      </c>
      <c r="CE56" s="362">
        <f>(CE55*4)/CE57</f>
        <v>2.9316542016850643E-2</v>
      </c>
      <c r="CF56" s="362">
        <f>(CF55*4)/CF57</f>
        <v>2.9064725373838377E-2</v>
      </c>
      <c r="CG56" s="36">
        <f>(CG55)/CG57</f>
        <v>2.7300251201403232E-2</v>
      </c>
      <c r="CH56" s="362"/>
      <c r="CI56" s="363">
        <f t="shared" ref="CI56:CL56" si="103">(CI55*4)/CI57</f>
        <v>1.8790300844882132E-2</v>
      </c>
      <c r="CJ56" s="362">
        <f t="shared" si="103"/>
        <v>3.5243631549113773E-2</v>
      </c>
      <c r="CK56" s="362">
        <f t="shared" si="103"/>
        <v>2.4279883402767422E-2</v>
      </c>
      <c r="CL56" s="362">
        <f t="shared" si="103"/>
        <v>2.3606828549896874E-2</v>
      </c>
      <c r="CM56" s="36">
        <f t="shared" ref="CM56" si="104">(CM55)/CM57</f>
        <v>2.5485288803262941E-2</v>
      </c>
      <c r="CN56" s="362"/>
      <c r="CO56" s="363">
        <f t="shared" ref="CO56:CR56" si="105">(CO55*4)/CO57</f>
        <v>1.3686677002635809E-2</v>
      </c>
      <c r="CP56" s="362">
        <f t="shared" si="105"/>
        <v>3.6160853836175587E-2</v>
      </c>
      <c r="CQ56" s="362">
        <f t="shared" si="105"/>
        <v>2.5425527959021643E-2</v>
      </c>
      <c r="CR56" s="362">
        <f t="shared" si="105"/>
        <v>2.4840636156785188E-2</v>
      </c>
      <c r="CS56" s="36">
        <f t="shared" ref="CS56" si="106">(CS55)/CS57</f>
        <v>2.5078546269073448E-2</v>
      </c>
      <c r="CT56" s="362"/>
      <c r="CU56" s="364"/>
      <c r="CV56" s="359"/>
    </row>
    <row r="57" spans="1:100" ht="12.75" customHeight="1" outlineLevel="1">
      <c r="A57" s="365" t="s">
        <v>51</v>
      </c>
      <c r="B57" s="366"/>
      <c r="C57" s="367">
        <v>17.553963360655736</v>
      </c>
      <c r="D57" s="366">
        <v>17.141345420634924</v>
      </c>
      <c r="E57" s="366">
        <v>23.452219261904759</v>
      </c>
      <c r="F57" s="366">
        <v>28.267184617187503</v>
      </c>
      <c r="G57" s="368">
        <v>21.662494643426303</v>
      </c>
      <c r="H57" s="366"/>
      <c r="I57" s="367">
        <v>34.234587573770497</v>
      </c>
      <c r="J57" s="366">
        <v>39.315074421875025</v>
      </c>
      <c r="K57" s="366">
        <v>43.516167882812503</v>
      </c>
      <c r="L57" s="366">
        <v>26.026711921874998</v>
      </c>
      <c r="M57" s="368">
        <v>35.791379100790486</v>
      </c>
      <c r="N57" s="369"/>
      <c r="O57" s="367">
        <v>31.858353065573773</v>
      </c>
      <c r="P57" s="366">
        <v>36.592121666666685</v>
      </c>
      <c r="Q57" s="366">
        <v>36.202650046875007</v>
      </c>
      <c r="R57" s="366">
        <v>33.635306390625011</v>
      </c>
      <c r="S57" s="368">
        <v>34.59639846825398</v>
      </c>
      <c r="T57" s="369"/>
      <c r="U57" s="367">
        <v>37.40327434375002</v>
      </c>
      <c r="V57" s="366">
        <v>41.137850380952386</v>
      </c>
      <c r="W57" s="366">
        <v>45.357025312500028</v>
      </c>
      <c r="X57" s="366">
        <v>57.439993593750017</v>
      </c>
      <c r="Y57" s="368">
        <v>45.35099349803923</v>
      </c>
      <c r="Z57" s="369"/>
      <c r="AA57" s="367">
        <v>68.090961290322625</v>
      </c>
      <c r="AB57" s="366">
        <v>71.658484761904802</v>
      </c>
      <c r="AC57" s="366">
        <v>56.358586734375045</v>
      </c>
      <c r="AD57" s="366">
        <v>29.532056301587314</v>
      </c>
      <c r="AE57" s="368">
        <v>56.363465230158667</v>
      </c>
      <c r="AF57" s="369"/>
      <c r="AG57" s="367">
        <v>47.378460451612916</v>
      </c>
      <c r="AH57" s="366">
        <v>43.941978333333353</v>
      </c>
      <c r="AI57" s="366">
        <v>43.078802634920656</v>
      </c>
      <c r="AJ57" s="366">
        <v>50.72506217741936</v>
      </c>
      <c r="AK57" s="368">
        <v>46.258910415999964</v>
      </c>
      <c r="AL57" s="369"/>
      <c r="AM57" s="371">
        <v>51.671780866666651</v>
      </c>
      <c r="AN57" s="369">
        <v>65.798118406249998</v>
      </c>
      <c r="AO57" s="369">
        <v>78.639586953125033</v>
      </c>
      <c r="AP57" s="369">
        <v>94.156337859375043</v>
      </c>
      <c r="AQ57" s="370">
        <f>AVERAGE(AM57:AP57)</f>
        <v>72.566456021354185</v>
      </c>
      <c r="AR57" s="369"/>
      <c r="AS57" s="371">
        <v>124.28411588235292</v>
      </c>
      <c r="AT57" s="1498">
        <v>153.36983809523812</v>
      </c>
      <c r="AU57" s="369">
        <v>171.85541859374996</v>
      </c>
      <c r="AV57" s="369">
        <v>181.16156343750001</v>
      </c>
      <c r="AW57" s="370">
        <f>AVERAGE(AS57:AV57)</f>
        <v>157.66773400221027</v>
      </c>
      <c r="AX57" s="369"/>
      <c r="AY57" s="371">
        <v>151.06778377049179</v>
      </c>
      <c r="AZ57" s="369">
        <v>200.78460761904765</v>
      </c>
      <c r="BA57" s="369">
        <v>207.79672390625012</v>
      </c>
      <c r="BB57" s="369">
        <v>165.91008249999999</v>
      </c>
      <c r="BC57" s="370">
        <f>AVERAGE(AY57:BB57)</f>
        <v>181.38979944894737</v>
      </c>
      <c r="BD57" s="369"/>
      <c r="BE57" s="2771">
        <v>157.14820147540991</v>
      </c>
      <c r="BF57" s="2746">
        <v>146.28046630769228</v>
      </c>
      <c r="BG57" s="2746">
        <v>164.46796874999995</v>
      </c>
      <c r="BH57" s="2746">
        <v>138.55413111111099</v>
      </c>
      <c r="BI57" s="370">
        <f>AVERAGE(BE57:BH57)</f>
        <v>151.61269191105328</v>
      </c>
      <c r="BJ57" s="369"/>
      <c r="BK57" s="2771">
        <v>161.97258580645155</v>
      </c>
      <c r="BL57" s="2746" t="s">
        <v>828</v>
      </c>
      <c r="BM57" s="2746">
        <v>191.38016428571433</v>
      </c>
      <c r="BN57" s="2746">
        <v>211.53603730158744</v>
      </c>
      <c r="BO57" s="370">
        <f>AVERAGE(BK57:BN57)</f>
        <v>188.29626246458443</v>
      </c>
      <c r="BP57" s="369"/>
      <c r="BQ57" s="371">
        <v>216.14290738133087</v>
      </c>
      <c r="BR57" s="369">
        <v>220.85010671089086</v>
      </c>
      <c r="BS57" s="369">
        <v>225.65982027881591</v>
      </c>
      <c r="BT57" s="369">
        <v>230.57428065873037</v>
      </c>
      <c r="BU57" s="370">
        <f>AVERAGE(BQ57:BT57)</f>
        <v>223.306778757442</v>
      </c>
      <c r="BV57" s="369"/>
      <c r="BW57" s="371">
        <v>235.59576904565071</v>
      </c>
      <c r="BX57" s="369">
        <v>240.72661631487111</v>
      </c>
      <c r="BY57" s="369">
        <v>245.96920410390945</v>
      </c>
      <c r="BZ57" s="369">
        <v>251.32596591801621</v>
      </c>
      <c r="CA57" s="370">
        <f>AVERAGE(BW57:BZ57)</f>
        <v>243.40438884561186</v>
      </c>
      <c r="CB57" s="369"/>
      <c r="CC57" s="371">
        <v>256.79938825975938</v>
      </c>
      <c r="CD57" s="369">
        <v>262.39201178320963</v>
      </c>
      <c r="CE57" s="369">
        <v>268.10643247326141</v>
      </c>
      <c r="CF57" s="369">
        <v>273.9453028506378</v>
      </c>
      <c r="CG57" s="370">
        <f>AVERAGE(CC57:CF57)</f>
        <v>265.31078384171707</v>
      </c>
      <c r="CH57" s="369"/>
      <c r="CI57" s="371">
        <v>279.91133320313787</v>
      </c>
      <c r="CJ57" s="369">
        <v>286.00729284369862</v>
      </c>
      <c r="CK57" s="369">
        <v>292.23601139585509</v>
      </c>
      <c r="CL57" s="369">
        <v>298.60038010719535</v>
      </c>
      <c r="CM57" s="370">
        <f t="shared" ref="CM57" si="107">AVERAGE(CI57:CL57)</f>
        <v>289.18875438747176</v>
      </c>
      <c r="CN57" s="369"/>
      <c r="CO57" s="371">
        <v>305.10335319142041</v>
      </c>
      <c r="CP57" s="369">
        <v>311.74794919963165</v>
      </c>
      <c r="CQ57" s="369">
        <v>318.53725242148215</v>
      </c>
      <c r="CR57" s="369">
        <v>325.47441431684302</v>
      </c>
      <c r="CS57" s="370">
        <f t="shared" ref="CS57" si="108">AVERAGE(CO57:CR57)</f>
        <v>315.21574228234431</v>
      </c>
      <c r="CT57" s="394"/>
      <c r="CU57" s="360"/>
      <c r="CV57" s="360"/>
    </row>
    <row r="58" spans="1:100" ht="12.75" customHeight="1">
      <c r="A58" s="27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1360"/>
      <c r="AP58" s="43"/>
      <c r="AQ58" s="44"/>
      <c r="AR58" s="43"/>
      <c r="AS58" s="44"/>
      <c r="AT58" s="44"/>
      <c r="AU58" s="44"/>
      <c r="AV58" s="44"/>
      <c r="AW58" s="44"/>
      <c r="AX58" s="43"/>
      <c r="AY58" s="44"/>
      <c r="AZ58" s="44"/>
      <c r="BA58" s="44"/>
      <c r="BB58" s="44"/>
      <c r="BC58" s="44"/>
      <c r="BD58" s="43"/>
      <c r="BE58" s="44"/>
      <c r="BF58" s="44"/>
      <c r="BG58" s="44"/>
      <c r="BH58" s="44"/>
      <c r="BI58" s="44"/>
      <c r="BJ58" s="43"/>
      <c r="BK58" s="44"/>
      <c r="BL58" s="44"/>
      <c r="BM58" s="44"/>
      <c r="BN58" s="44"/>
      <c r="BO58" s="195">
        <f>+(BO55/BC55)^(0.5)-1</f>
        <v>5.2620282890959436E-2</v>
      </c>
      <c r="BP58" s="43"/>
      <c r="BQ58" s="44"/>
      <c r="BR58" s="44"/>
      <c r="BS58" s="44"/>
      <c r="BT58" s="44"/>
      <c r="BU58" s="195">
        <f>+(BU55/BI55)^(0.5)-1</f>
        <v>0.23953080190821474</v>
      </c>
      <c r="BV58" s="43"/>
      <c r="BW58" s="44"/>
      <c r="BX58" s="44"/>
      <c r="BY58" s="44"/>
      <c r="BZ58" s="44"/>
      <c r="CA58" s="195">
        <f>+(CA55/BO55)^(0.5)-1</f>
        <v>0.14004923802341285</v>
      </c>
      <c r="CB58" s="43"/>
      <c r="CC58" s="44"/>
      <c r="CD58" s="44"/>
      <c r="CE58" s="44"/>
      <c r="CF58" s="44"/>
      <c r="CG58" s="195">
        <f>+(CG55/BU55)^(0.5)-1</f>
        <v>0.28126654093752634</v>
      </c>
      <c r="CH58" s="43"/>
      <c r="CI58" s="44"/>
      <c r="CJ58" s="44"/>
      <c r="CK58" s="44"/>
      <c r="CL58" s="44"/>
      <c r="CM58" s="195">
        <f t="shared" ref="CM58" si="109">+(CM55/CA55)^(0.5)-1</f>
        <v>0.21504953579788788</v>
      </c>
      <c r="CN58" s="43"/>
      <c r="CO58" s="44"/>
      <c r="CP58" s="44"/>
      <c r="CQ58" s="44"/>
      <c r="CR58" s="44"/>
      <c r="CS58" s="195">
        <f t="shared" ref="CS58" si="110">+(CS55/CG55)^(0.5)-1</f>
        <v>4.4706640879166093E-2</v>
      </c>
      <c r="CT58" s="195"/>
      <c r="CU58" s="1"/>
      <c r="CV58" s="1"/>
    </row>
    <row r="59" spans="1:100" ht="12.75" customHeight="1">
      <c r="A59" s="28" t="s">
        <v>402</v>
      </c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30"/>
      <c r="AX59" s="29"/>
      <c r="AY59" s="29"/>
      <c r="AZ59" s="29"/>
      <c r="BA59" s="29"/>
      <c r="BB59" s="29"/>
      <c r="BC59" s="30"/>
      <c r="BD59" s="29"/>
      <c r="BE59" s="29"/>
      <c r="BF59" s="29"/>
      <c r="BG59" s="29"/>
      <c r="BH59" s="29"/>
      <c r="BI59" s="30"/>
      <c r="BJ59" s="29"/>
      <c r="BK59" s="29"/>
      <c r="BL59" s="29"/>
      <c r="BM59" s="29"/>
      <c r="BN59" s="29"/>
      <c r="BO59" s="30"/>
      <c r="BP59" s="29"/>
      <c r="BQ59" s="29"/>
      <c r="BR59" s="29"/>
      <c r="BS59" s="29"/>
      <c r="BT59" s="29"/>
      <c r="BU59" s="30"/>
      <c r="BV59" s="29"/>
      <c r="BW59" s="29"/>
      <c r="BX59" s="29"/>
      <c r="BY59" s="29"/>
      <c r="BZ59" s="29"/>
      <c r="CA59" s="30"/>
      <c r="CB59" s="29"/>
      <c r="CC59" s="29"/>
      <c r="CD59" s="29"/>
      <c r="CE59" s="29"/>
      <c r="CF59" s="29"/>
      <c r="CG59" s="30"/>
      <c r="CH59" s="29"/>
      <c r="CI59" s="29"/>
      <c r="CJ59" s="29"/>
      <c r="CK59" s="29"/>
      <c r="CL59" s="29"/>
      <c r="CM59" s="30"/>
      <c r="CN59" s="29"/>
      <c r="CO59" s="29"/>
      <c r="CP59" s="29"/>
      <c r="CQ59" s="29"/>
      <c r="CR59" s="29"/>
      <c r="CS59" s="30"/>
      <c r="CT59" s="2913"/>
      <c r="CU59" s="375"/>
      <c r="CV59" s="375"/>
    </row>
    <row r="60" spans="1:100" ht="12.75" customHeight="1" outlineLevel="1">
      <c r="A60" s="55"/>
      <c r="B60" s="372"/>
      <c r="C60" s="373"/>
      <c r="D60" s="372"/>
      <c r="E60" s="372"/>
      <c r="F60" s="372"/>
      <c r="G60" s="374"/>
      <c r="H60" s="372"/>
      <c r="I60" s="373"/>
      <c r="J60" s="372"/>
      <c r="K60" s="372"/>
      <c r="L60" s="372"/>
      <c r="M60" s="374"/>
      <c r="N60" s="372"/>
      <c r="O60" s="373"/>
      <c r="P60" s="372"/>
      <c r="Q60" s="372"/>
      <c r="R60" s="372"/>
      <c r="S60" s="374"/>
      <c r="T60" s="372"/>
      <c r="U60" s="373"/>
      <c r="V60" s="372"/>
      <c r="W60" s="372"/>
      <c r="X60" s="372"/>
      <c r="Y60" s="374"/>
      <c r="Z60" s="372"/>
      <c r="AA60" s="373"/>
      <c r="AB60" s="372"/>
      <c r="AC60" s="372"/>
      <c r="AD60" s="372"/>
      <c r="AE60" s="374"/>
      <c r="AF60" s="372"/>
      <c r="AG60" s="373"/>
      <c r="AH60" s="372"/>
      <c r="AI60" s="372"/>
      <c r="AJ60" s="372"/>
      <c r="AK60" s="374"/>
      <c r="AL60" s="372"/>
      <c r="AM60" s="373"/>
      <c r="AN60" s="372"/>
      <c r="AO60" s="372"/>
      <c r="AP60" s="1390"/>
      <c r="AQ60" s="374"/>
      <c r="AR60" s="372"/>
      <c r="AS60" s="373"/>
      <c r="AT60" s="1499"/>
      <c r="AU60" s="372"/>
      <c r="AV60" s="372"/>
      <c r="AW60" s="374"/>
      <c r="AX60" s="372"/>
      <c r="AY60" s="373"/>
      <c r="AZ60" s="372"/>
      <c r="BA60" s="372"/>
      <c r="BB60" s="372"/>
      <c r="BC60" s="374"/>
      <c r="BD60" s="372"/>
      <c r="BE60" s="373"/>
      <c r="BF60" s="372"/>
      <c r="BG60" s="372"/>
      <c r="BH60" s="372"/>
      <c r="BI60" s="374"/>
      <c r="BJ60" s="372"/>
      <c r="BK60" s="373"/>
      <c r="BL60" s="372"/>
      <c r="BM60" s="372"/>
      <c r="BN60" s="372"/>
      <c r="BO60" s="374"/>
      <c r="BP60" s="372"/>
      <c r="BQ60" s="373"/>
      <c r="BR60" s="372"/>
      <c r="BS60" s="372"/>
      <c r="BT60" s="372"/>
      <c r="BU60" s="374"/>
      <c r="BV60" s="372"/>
      <c r="BW60" s="373"/>
      <c r="BX60" s="372"/>
      <c r="BY60" s="372"/>
      <c r="BZ60" s="372"/>
      <c r="CA60" s="374"/>
      <c r="CB60" s="372"/>
      <c r="CC60" s="373"/>
      <c r="CD60" s="372"/>
      <c r="CE60" s="372"/>
      <c r="CF60" s="372"/>
      <c r="CG60" s="374"/>
      <c r="CH60" s="372"/>
      <c r="CI60" s="373"/>
      <c r="CJ60" s="372"/>
      <c r="CK60" s="372"/>
      <c r="CL60" s="372"/>
      <c r="CM60" s="374"/>
      <c r="CN60" s="372"/>
      <c r="CO60" s="373"/>
      <c r="CP60" s="372"/>
      <c r="CQ60" s="372"/>
      <c r="CR60" s="372"/>
      <c r="CS60" s="374"/>
      <c r="CT60" s="372"/>
      <c r="CU60" s="375"/>
      <c r="CV60" s="375"/>
    </row>
    <row r="61" spans="1:100" ht="12.75" customHeight="1" outlineLevel="1">
      <c r="A61" s="262" t="s">
        <v>52</v>
      </c>
      <c r="B61" s="376"/>
      <c r="C61" s="377"/>
      <c r="D61" s="376"/>
      <c r="E61" s="376"/>
      <c r="F61" s="376"/>
      <c r="G61" s="378">
        <v>17.1156902</v>
      </c>
      <c r="H61" s="376"/>
      <c r="I61" s="377"/>
      <c r="J61" s="376"/>
      <c r="K61" s="376"/>
      <c r="L61" s="376"/>
      <c r="M61" s="378">
        <f>G65</f>
        <v>21.2453182</v>
      </c>
      <c r="N61" s="376"/>
      <c r="O61" s="377"/>
      <c r="P61" s="376"/>
      <c r="Q61" s="376"/>
      <c r="R61" s="376"/>
      <c r="S61" s="378">
        <f>M65</f>
        <v>18.531654199999998</v>
      </c>
      <c r="T61" s="376"/>
      <c r="U61" s="377"/>
      <c r="V61" s="376"/>
      <c r="W61" s="376"/>
      <c r="X61" s="376"/>
      <c r="Y61" s="378">
        <f>S65</f>
        <v>16.486888199999996</v>
      </c>
      <c r="Z61" s="376"/>
      <c r="AA61" s="377"/>
      <c r="AB61" s="376"/>
      <c r="AC61" s="376"/>
      <c r="AD61" s="376"/>
      <c r="AE61" s="378">
        <f>Y65</f>
        <v>12.279751199999996</v>
      </c>
      <c r="AF61" s="376"/>
      <c r="AG61" s="377"/>
      <c r="AH61" s="376"/>
      <c r="AI61" s="376"/>
      <c r="AJ61" s="376"/>
      <c r="AK61" s="378">
        <f>AE65</f>
        <v>10.775751199999998</v>
      </c>
      <c r="AL61" s="376"/>
      <c r="AM61" s="377"/>
      <c r="AN61" s="376"/>
      <c r="AO61" s="376"/>
      <c r="AP61" s="376"/>
      <c r="AQ61" s="378">
        <f>AK65</f>
        <v>8.7487511999999974</v>
      </c>
      <c r="AR61" s="376"/>
      <c r="AS61" s="377"/>
      <c r="AT61" s="15"/>
      <c r="AU61" s="376"/>
      <c r="AV61" s="376"/>
      <c r="AW61" s="378">
        <f>AQ65</f>
        <v>6.1217511999999976</v>
      </c>
      <c r="AX61" s="376"/>
      <c r="AY61" s="377"/>
      <c r="AZ61" s="376"/>
      <c r="BA61" s="376"/>
      <c r="BB61" s="376"/>
      <c r="BC61" s="378">
        <f>AW65</f>
        <v>4.5122857439999979</v>
      </c>
      <c r="BD61" s="376"/>
      <c r="BE61" s="377"/>
      <c r="BF61" s="376"/>
      <c r="BG61" s="376"/>
      <c r="BH61" s="376"/>
      <c r="BI61" s="378">
        <f>BC65</f>
        <v>3.8011371612799989</v>
      </c>
      <c r="BJ61" s="376"/>
      <c r="BK61" s="377"/>
      <c r="BL61" s="376"/>
      <c r="BM61" s="376"/>
      <c r="BN61" s="376"/>
      <c r="BO61" s="378">
        <f>BI65</f>
        <v>3.7616330399935989</v>
      </c>
      <c r="BP61" s="376"/>
      <c r="BQ61" s="377"/>
      <c r="BR61" s="376"/>
      <c r="BS61" s="376"/>
      <c r="BT61" s="376"/>
      <c r="BU61" s="378">
        <f>BO65</f>
        <v>4.2991116847960313</v>
      </c>
      <c r="BV61" s="376"/>
      <c r="BW61" s="377"/>
      <c r="BX61" s="376"/>
      <c r="BY61" s="376"/>
      <c r="BZ61" s="376"/>
      <c r="CA61" s="378">
        <f>BU65</f>
        <v>5.4191081245735395</v>
      </c>
      <c r="CB61" s="376"/>
      <c r="CC61" s="377"/>
      <c r="CD61" s="376"/>
      <c r="CE61" s="376"/>
      <c r="CF61" s="376"/>
      <c r="CG61" s="378">
        <f>CA65</f>
        <v>7.2149694692355935</v>
      </c>
      <c r="CH61" s="376"/>
      <c r="CI61" s="377"/>
      <c r="CJ61" s="376"/>
      <c r="CK61" s="376"/>
      <c r="CL61" s="376"/>
      <c r="CM61" s="378">
        <f t="shared" ref="CM61" si="111">CG65</f>
        <v>9.8704524757260668</v>
      </c>
      <c r="CN61" s="376"/>
      <c r="CO61" s="377"/>
      <c r="CP61" s="376"/>
      <c r="CQ61" s="376"/>
      <c r="CR61" s="376"/>
      <c r="CS61" s="378">
        <f t="shared" ref="CS61" si="112">CM65</f>
        <v>13.67572050167016</v>
      </c>
      <c r="CT61" s="2396"/>
      <c r="CU61" s="69"/>
      <c r="CV61" s="69"/>
    </row>
    <row r="62" spans="1:100" ht="12.75" customHeight="1" outlineLevel="1">
      <c r="A62" s="259" t="s">
        <v>53</v>
      </c>
      <c r="B62" s="376"/>
      <c r="C62" s="377"/>
      <c r="D62" s="376"/>
      <c r="E62" s="376"/>
      <c r="F62" s="376"/>
      <c r="G62" s="32">
        <v>10.417680000000001</v>
      </c>
      <c r="H62" s="376"/>
      <c r="I62" s="377"/>
      <c r="J62" s="376"/>
      <c r="K62" s="376"/>
      <c r="L62" s="376"/>
      <c r="M62" s="32">
        <v>3.0911080000000002</v>
      </c>
      <c r="N62" s="376"/>
      <c r="O62" s="377"/>
      <c r="P62" s="376"/>
      <c r="Q62" s="376"/>
      <c r="R62" s="376"/>
      <c r="S62" s="32">
        <v>1.5600240000000001</v>
      </c>
      <c r="T62" s="376"/>
      <c r="U62" s="377"/>
      <c r="V62" s="376"/>
      <c r="W62" s="376"/>
      <c r="X62" s="376"/>
      <c r="Y62" s="32">
        <v>2.0454889999999999</v>
      </c>
      <c r="Z62" s="376"/>
      <c r="AA62" s="377"/>
      <c r="AB62" s="376"/>
      <c r="AC62" s="376"/>
      <c r="AD62" s="376"/>
      <c r="AE62" s="32">
        <v>1.399</v>
      </c>
      <c r="AF62" s="376"/>
      <c r="AG62" s="377"/>
      <c r="AH62" s="376"/>
      <c r="AI62" s="376"/>
      <c r="AJ62" s="376"/>
      <c r="AK62" s="2769">
        <v>0.251</v>
      </c>
      <c r="AL62" s="2768"/>
      <c r="AM62" s="2767"/>
      <c r="AN62" s="2768"/>
      <c r="AO62" s="2768"/>
      <c r="AP62" s="2768"/>
      <c r="AQ62" s="2769">
        <v>0.51200000000000001</v>
      </c>
      <c r="AR62" s="376"/>
      <c r="AS62" s="377"/>
      <c r="AT62" s="15"/>
      <c r="AU62" s="376"/>
      <c r="AV62" s="376"/>
      <c r="AW62" s="379">
        <f>AQ62*(1+AW71)</f>
        <v>0.71679999999999999</v>
      </c>
      <c r="AX62" s="376"/>
      <c r="AY62" s="377"/>
      <c r="AZ62" s="376"/>
      <c r="BA62" s="376"/>
      <c r="BB62" s="376"/>
      <c r="BC62" s="379">
        <f>AW62*(1+BC71)</f>
        <v>1.00352</v>
      </c>
      <c r="BD62" s="376"/>
      <c r="BE62" s="377"/>
      <c r="BF62" s="376"/>
      <c r="BG62" s="376"/>
      <c r="BH62" s="376"/>
      <c r="BI62" s="379">
        <f>BC62*(1+BI71)</f>
        <v>1.404928</v>
      </c>
      <c r="BJ62" s="376"/>
      <c r="BK62" s="377"/>
      <c r="BL62" s="376"/>
      <c r="BM62" s="376"/>
      <c r="BN62" s="376"/>
      <c r="BO62" s="379">
        <f>BI62*(1+BO71)</f>
        <v>1.9668991999999998</v>
      </c>
      <c r="BP62" s="376"/>
      <c r="BQ62" s="377"/>
      <c r="BR62" s="376"/>
      <c r="BS62" s="376"/>
      <c r="BT62" s="376"/>
      <c r="BU62" s="379">
        <f>BO62*(1+BU71)</f>
        <v>2.7536588799999997</v>
      </c>
      <c r="BV62" s="376"/>
      <c r="BW62" s="377"/>
      <c r="BX62" s="376"/>
      <c r="BY62" s="376"/>
      <c r="BZ62" s="376"/>
      <c r="CA62" s="379">
        <f>BU62*(1+CA71)</f>
        <v>3.8551224319999995</v>
      </c>
      <c r="CB62" s="376"/>
      <c r="CC62" s="377"/>
      <c r="CD62" s="376"/>
      <c r="CE62" s="376"/>
      <c r="CF62" s="376"/>
      <c r="CG62" s="379">
        <f>CA62*(1+CG71)</f>
        <v>5.397171404799999</v>
      </c>
      <c r="CH62" s="376"/>
      <c r="CI62" s="377"/>
      <c r="CJ62" s="376"/>
      <c r="CK62" s="376"/>
      <c r="CL62" s="376"/>
      <c r="CM62" s="379">
        <f t="shared" ref="CM62" si="113">CG62*(1+CM71)</f>
        <v>7.5560399667199984</v>
      </c>
      <c r="CN62" s="376"/>
      <c r="CO62" s="377"/>
      <c r="CP62" s="376"/>
      <c r="CQ62" s="376"/>
      <c r="CR62" s="376"/>
      <c r="CS62" s="379">
        <f t="shared" ref="CS62" si="114">CM62*(1+CS71)</f>
        <v>10.578455953407998</v>
      </c>
      <c r="CT62" s="376"/>
      <c r="CU62" s="69"/>
      <c r="CV62" s="69"/>
    </row>
    <row r="63" spans="1:100" ht="12.75" customHeight="1" outlineLevel="1">
      <c r="A63" s="259" t="s">
        <v>54</v>
      </c>
      <c r="B63" s="376"/>
      <c r="C63" s="377"/>
      <c r="D63" s="376"/>
      <c r="E63" s="376"/>
      <c r="F63" s="376"/>
      <c r="G63" s="32">
        <v>-4.3585719999999997</v>
      </c>
      <c r="H63" s="376"/>
      <c r="I63" s="377"/>
      <c r="J63" s="376"/>
      <c r="K63" s="376"/>
      <c r="L63" s="376"/>
      <c r="M63" s="32">
        <v>-4.5718550000000002</v>
      </c>
      <c r="N63" s="376"/>
      <c r="O63" s="377"/>
      <c r="P63" s="376"/>
      <c r="Q63" s="376"/>
      <c r="R63" s="376"/>
      <c r="S63" s="32">
        <v>-2.9656060000000002</v>
      </c>
      <c r="T63" s="376"/>
      <c r="U63" s="377"/>
      <c r="V63" s="376"/>
      <c r="W63" s="376"/>
      <c r="X63" s="376"/>
      <c r="Y63" s="32">
        <v>-5.5412759999999999</v>
      </c>
      <c r="Z63" s="376"/>
      <c r="AA63" s="377"/>
      <c r="AB63" s="376"/>
      <c r="AC63" s="376"/>
      <c r="AD63" s="376"/>
      <c r="AE63" s="32">
        <v>-2.7839999999999998</v>
      </c>
      <c r="AF63" s="376"/>
      <c r="AG63" s="377"/>
      <c r="AH63" s="376"/>
      <c r="AI63" s="376"/>
      <c r="AJ63" s="376"/>
      <c r="AK63" s="2769">
        <v>-2.0710000000000002</v>
      </c>
      <c r="AL63" s="2768"/>
      <c r="AM63" s="2767"/>
      <c r="AN63" s="2768"/>
      <c r="AO63" s="2768"/>
      <c r="AP63" s="2768"/>
      <c r="AQ63" s="2769">
        <v>-3.0059999999999998</v>
      </c>
      <c r="AR63" s="376"/>
      <c r="AS63" s="377"/>
      <c r="AT63" s="15"/>
      <c r="AU63" s="376"/>
      <c r="AV63" s="376"/>
      <c r="AW63" s="379">
        <f>AW69*AW61</f>
        <v>-2.0201778959999994</v>
      </c>
      <c r="AX63" s="376"/>
      <c r="AY63" s="377"/>
      <c r="AZ63" s="376"/>
      <c r="BA63" s="376"/>
      <c r="BB63" s="376"/>
      <c r="BC63" s="379">
        <f>BC69*BC61</f>
        <v>-1.4890542955199995</v>
      </c>
      <c r="BD63" s="376"/>
      <c r="BE63" s="377"/>
      <c r="BF63" s="376"/>
      <c r="BG63" s="376"/>
      <c r="BH63" s="376"/>
      <c r="BI63" s="379">
        <f>BI69*BI61</f>
        <v>-1.2543752632223997</v>
      </c>
      <c r="BJ63" s="376"/>
      <c r="BK63" s="377"/>
      <c r="BL63" s="376"/>
      <c r="BM63" s="376"/>
      <c r="BN63" s="376"/>
      <c r="BO63" s="379">
        <f>BO69*BO61</f>
        <v>-1.2413389031978876</v>
      </c>
      <c r="BP63" s="376"/>
      <c r="BQ63" s="377"/>
      <c r="BR63" s="376"/>
      <c r="BS63" s="376"/>
      <c r="BT63" s="376"/>
      <c r="BU63" s="379">
        <f>BU69*BU61</f>
        <v>-1.4187068559826903</v>
      </c>
      <c r="BV63" s="376"/>
      <c r="BW63" s="377"/>
      <c r="BX63" s="376"/>
      <c r="BY63" s="376"/>
      <c r="BZ63" s="376"/>
      <c r="CA63" s="379">
        <f>CA69*CA61</f>
        <v>-1.7883056811092681</v>
      </c>
      <c r="CB63" s="376"/>
      <c r="CC63" s="377"/>
      <c r="CD63" s="376"/>
      <c r="CE63" s="376"/>
      <c r="CF63" s="376"/>
      <c r="CG63" s="379">
        <f>CG69*CG61</f>
        <v>-2.3809399248477461</v>
      </c>
      <c r="CH63" s="376"/>
      <c r="CI63" s="377"/>
      <c r="CJ63" s="376"/>
      <c r="CK63" s="376"/>
      <c r="CL63" s="376"/>
      <c r="CM63" s="379">
        <f t="shared" ref="CM63" si="115">CM69*CM61</f>
        <v>-3.2572493169896024</v>
      </c>
      <c r="CN63" s="376"/>
      <c r="CO63" s="377"/>
      <c r="CP63" s="376"/>
      <c r="CQ63" s="376"/>
      <c r="CR63" s="376"/>
      <c r="CS63" s="379">
        <f t="shared" ref="CS63" si="116">CS69*CS61</f>
        <v>-4.512987765551153</v>
      </c>
      <c r="CT63" s="376"/>
      <c r="CU63" s="69"/>
      <c r="CV63" s="69"/>
    </row>
    <row r="64" spans="1:100" ht="12.75" customHeight="1" outlineLevel="1">
      <c r="A64" s="259" t="s">
        <v>55</v>
      </c>
      <c r="B64" s="376"/>
      <c r="C64" s="377"/>
      <c r="D64" s="376"/>
      <c r="E64" s="376"/>
      <c r="F64" s="376"/>
      <c r="G64" s="32">
        <v>-1.9294800000000001</v>
      </c>
      <c r="H64" s="376"/>
      <c r="I64" s="377"/>
      <c r="J64" s="376"/>
      <c r="K64" s="376"/>
      <c r="L64" s="376"/>
      <c r="M64" s="32">
        <v>-1.232917</v>
      </c>
      <c r="N64" s="376"/>
      <c r="O64" s="377"/>
      <c r="P64" s="376"/>
      <c r="Q64" s="376"/>
      <c r="R64" s="376"/>
      <c r="S64" s="32">
        <v>-0.63918399999999997</v>
      </c>
      <c r="T64" s="376"/>
      <c r="U64" s="377"/>
      <c r="V64" s="376"/>
      <c r="W64" s="376"/>
      <c r="X64" s="376"/>
      <c r="Y64" s="32">
        <v>-0.71135000000000004</v>
      </c>
      <c r="Z64" s="376"/>
      <c r="AA64" s="377"/>
      <c r="AB64" s="376"/>
      <c r="AC64" s="376"/>
      <c r="AD64" s="376"/>
      <c r="AE64" s="32">
        <v>-0.11899999999999999</v>
      </c>
      <c r="AF64" s="376"/>
      <c r="AG64" s="377"/>
      <c r="AH64" s="376"/>
      <c r="AI64" s="376"/>
      <c r="AJ64" s="376"/>
      <c r="AK64" s="2769">
        <v>-0.20699999999999999</v>
      </c>
      <c r="AL64" s="2768"/>
      <c r="AM64" s="2767"/>
      <c r="AN64" s="2768"/>
      <c r="AO64" s="2768"/>
      <c r="AP64" s="2768"/>
      <c r="AQ64" s="2769">
        <v>-0.13300000000000001</v>
      </c>
      <c r="AR64" s="376"/>
      <c r="AS64" s="377"/>
      <c r="AT64" s="15"/>
      <c r="AU64" s="376"/>
      <c r="AV64" s="376"/>
      <c r="AW64" s="379">
        <f>AW70*AW61</f>
        <v>-0.30608755999999993</v>
      </c>
      <c r="AX64" s="376"/>
      <c r="AY64" s="377"/>
      <c r="AZ64" s="376"/>
      <c r="BA64" s="376"/>
      <c r="BB64" s="376"/>
      <c r="BC64" s="379">
        <f>BC70*BC61</f>
        <v>-0.2256142871999999</v>
      </c>
      <c r="BD64" s="376"/>
      <c r="BE64" s="377"/>
      <c r="BF64" s="376"/>
      <c r="BG64" s="376"/>
      <c r="BH64" s="376"/>
      <c r="BI64" s="379">
        <f>BI70*BI61</f>
        <v>-0.19005685806399997</v>
      </c>
      <c r="BJ64" s="376"/>
      <c r="BK64" s="377"/>
      <c r="BL64" s="376"/>
      <c r="BM64" s="376"/>
      <c r="BN64" s="376"/>
      <c r="BO64" s="379">
        <f>BO70*BO61</f>
        <v>-0.18808165199967997</v>
      </c>
      <c r="BP64" s="376"/>
      <c r="BQ64" s="377"/>
      <c r="BR64" s="376"/>
      <c r="BS64" s="376"/>
      <c r="BT64" s="376"/>
      <c r="BU64" s="379">
        <f>BU70*BU61</f>
        <v>-0.21495558423980157</v>
      </c>
      <c r="BV64" s="376"/>
      <c r="BW64" s="377"/>
      <c r="BX64" s="376"/>
      <c r="BY64" s="376"/>
      <c r="BZ64" s="376"/>
      <c r="CA64" s="379">
        <f>CA70*CA61</f>
        <v>-0.27095540622867698</v>
      </c>
      <c r="CB64" s="376"/>
      <c r="CC64" s="377"/>
      <c r="CD64" s="376"/>
      <c r="CE64" s="376"/>
      <c r="CF64" s="376"/>
      <c r="CG64" s="379">
        <f>CG70*CG61</f>
        <v>-0.36074847346177968</v>
      </c>
      <c r="CH64" s="376"/>
      <c r="CI64" s="377"/>
      <c r="CJ64" s="376"/>
      <c r="CK64" s="376"/>
      <c r="CL64" s="376"/>
      <c r="CM64" s="379">
        <f t="shared" ref="CM64" si="117">CM70*CM61</f>
        <v>-0.49352262378630335</v>
      </c>
      <c r="CN64" s="376"/>
      <c r="CO64" s="377"/>
      <c r="CP64" s="376"/>
      <c r="CQ64" s="376"/>
      <c r="CR64" s="376"/>
      <c r="CS64" s="379">
        <f t="shared" ref="CS64" si="118">CS70*CS61</f>
        <v>-0.68378602508350805</v>
      </c>
      <c r="CT64" s="376"/>
      <c r="CU64" s="69"/>
      <c r="CV64" s="69"/>
    </row>
    <row r="65" spans="1:100" ht="12.75" customHeight="1" outlineLevel="1">
      <c r="A65" s="262" t="s">
        <v>56</v>
      </c>
      <c r="B65" s="380"/>
      <c r="C65" s="381"/>
      <c r="D65" s="380"/>
      <c r="E65" s="380"/>
      <c r="F65" s="380"/>
      <c r="G65" s="33">
        <f>SUM(G61:G64)</f>
        <v>21.2453182</v>
      </c>
      <c r="H65" s="380"/>
      <c r="I65" s="381"/>
      <c r="J65" s="380"/>
      <c r="K65" s="380"/>
      <c r="L65" s="380"/>
      <c r="M65" s="33">
        <f>SUM(M61:M64)</f>
        <v>18.531654199999998</v>
      </c>
      <c r="N65" s="380"/>
      <c r="O65" s="381"/>
      <c r="P65" s="380"/>
      <c r="Q65" s="380"/>
      <c r="R65" s="380"/>
      <c r="S65" s="33">
        <f>SUM(S61:S64)</f>
        <v>16.486888199999996</v>
      </c>
      <c r="T65" s="380"/>
      <c r="U65" s="381"/>
      <c r="V65" s="380"/>
      <c r="W65" s="380"/>
      <c r="X65" s="380"/>
      <c r="Y65" s="33">
        <f>SUM(Y61:Y64)</f>
        <v>12.279751199999996</v>
      </c>
      <c r="Z65" s="380"/>
      <c r="AA65" s="381"/>
      <c r="AB65" s="380"/>
      <c r="AC65" s="380"/>
      <c r="AD65" s="380"/>
      <c r="AE65" s="33">
        <f>SUM(AE61:AE64)</f>
        <v>10.775751199999998</v>
      </c>
      <c r="AF65" s="380"/>
      <c r="AG65" s="381"/>
      <c r="AH65" s="380"/>
      <c r="AI65" s="380"/>
      <c r="AJ65" s="380"/>
      <c r="AK65" s="33">
        <f>SUM(AK61:AK64)</f>
        <v>8.7487511999999974</v>
      </c>
      <c r="AL65" s="380"/>
      <c r="AM65" s="381"/>
      <c r="AN65" s="380"/>
      <c r="AO65" s="380"/>
      <c r="AP65" s="380"/>
      <c r="AQ65" s="33">
        <f>SUM(AQ61:AQ64)</f>
        <v>6.1217511999999976</v>
      </c>
      <c r="AR65" s="380"/>
      <c r="AS65" s="381"/>
      <c r="AT65" s="1500"/>
      <c r="AU65" s="380"/>
      <c r="AV65" s="380"/>
      <c r="AW65" s="33">
        <f>SUM(AW61:AW64)</f>
        <v>4.5122857439999979</v>
      </c>
      <c r="AX65" s="380"/>
      <c r="AY65" s="381"/>
      <c r="AZ65" s="380"/>
      <c r="BA65" s="380"/>
      <c r="BB65" s="380"/>
      <c r="BC65" s="33">
        <f>SUM(BC61:BC64)</f>
        <v>3.8011371612799989</v>
      </c>
      <c r="BD65" s="380"/>
      <c r="BE65" s="381"/>
      <c r="BF65" s="380"/>
      <c r="BG65" s="380"/>
      <c r="BH65" s="380"/>
      <c r="BI65" s="33">
        <f>SUM(BI61:BI64)</f>
        <v>3.7616330399935989</v>
      </c>
      <c r="BJ65" s="380"/>
      <c r="BK65" s="381"/>
      <c r="BL65" s="380"/>
      <c r="BM65" s="380"/>
      <c r="BN65" s="380"/>
      <c r="BO65" s="33">
        <f>SUM(BO61:BO64)</f>
        <v>4.2991116847960313</v>
      </c>
      <c r="BP65" s="380"/>
      <c r="BQ65" s="381"/>
      <c r="BR65" s="380"/>
      <c r="BS65" s="380"/>
      <c r="BT65" s="380"/>
      <c r="BU65" s="33">
        <f>SUM(BU61:BU64)</f>
        <v>5.4191081245735395</v>
      </c>
      <c r="BV65" s="380"/>
      <c r="BW65" s="381"/>
      <c r="BX65" s="380"/>
      <c r="BY65" s="380"/>
      <c r="BZ65" s="380"/>
      <c r="CA65" s="33">
        <f>SUM(CA61:CA64)</f>
        <v>7.2149694692355935</v>
      </c>
      <c r="CB65" s="380"/>
      <c r="CC65" s="381"/>
      <c r="CD65" s="380"/>
      <c r="CE65" s="380"/>
      <c r="CF65" s="380"/>
      <c r="CG65" s="33">
        <f>SUM(CG61:CG64)</f>
        <v>9.8704524757260668</v>
      </c>
      <c r="CH65" s="380"/>
      <c r="CI65" s="381"/>
      <c r="CJ65" s="380"/>
      <c r="CK65" s="380"/>
      <c r="CL65" s="380"/>
      <c r="CM65" s="33">
        <f t="shared" ref="CM65" si="119">SUM(CM61:CM64)</f>
        <v>13.67572050167016</v>
      </c>
      <c r="CN65" s="380"/>
      <c r="CO65" s="381"/>
      <c r="CP65" s="380"/>
      <c r="CQ65" s="380"/>
      <c r="CR65" s="380"/>
      <c r="CS65" s="33">
        <f t="shared" ref="CS65" si="120">SUM(CS61:CS64)</f>
        <v>19.057402664443501</v>
      </c>
      <c r="CT65" s="380"/>
      <c r="CU65" s="69"/>
      <c r="CV65" s="69"/>
    </row>
    <row r="66" spans="1:100" ht="12.75" customHeight="1" outlineLevel="1">
      <c r="A66" s="55" t="s">
        <v>57</v>
      </c>
      <c r="B66" s="372"/>
      <c r="C66" s="382"/>
      <c r="D66" s="372"/>
      <c r="E66" s="372"/>
      <c r="F66" s="372"/>
      <c r="G66" s="383">
        <v>6.03</v>
      </c>
      <c r="H66" s="372"/>
      <c r="I66" s="382"/>
      <c r="J66" s="372"/>
      <c r="K66" s="372"/>
      <c r="L66" s="372"/>
      <c r="M66" s="383">
        <v>16.260000000000002</v>
      </c>
      <c r="N66" s="372"/>
      <c r="O66" s="382"/>
      <c r="P66" s="372"/>
      <c r="Q66" s="372"/>
      <c r="R66" s="372"/>
      <c r="S66" s="383">
        <v>15.08</v>
      </c>
      <c r="T66" s="372"/>
      <c r="U66" s="382"/>
      <c r="V66" s="372"/>
      <c r="W66" s="372"/>
      <c r="X66" s="372"/>
      <c r="Y66" s="34">
        <v>17.7</v>
      </c>
      <c r="Z66" s="372"/>
      <c r="AA66" s="382"/>
      <c r="AB66" s="372"/>
      <c r="AC66" s="372"/>
      <c r="AD66" s="372"/>
      <c r="AE66" s="383">
        <v>17.98</v>
      </c>
      <c r="AF66" s="372"/>
      <c r="AG66" s="382"/>
      <c r="AH66" s="372"/>
      <c r="AI66" s="372"/>
      <c r="AJ66" s="372"/>
      <c r="AK66" s="2772">
        <v>20.34</v>
      </c>
      <c r="AL66" s="2773"/>
      <c r="AM66" s="2774"/>
      <c r="AN66" s="2773"/>
      <c r="AO66" s="2773"/>
      <c r="AP66" s="2773"/>
      <c r="AQ66" s="2772">
        <v>27.7</v>
      </c>
      <c r="AR66" s="372"/>
      <c r="AS66" s="382"/>
      <c r="AT66" s="1501"/>
      <c r="AU66" s="372"/>
      <c r="AV66" s="372"/>
      <c r="AW66" s="84">
        <v>30.193000000000001</v>
      </c>
      <c r="AX66" s="372"/>
      <c r="AY66" s="382"/>
      <c r="AZ66" s="372"/>
      <c r="BA66" s="372"/>
      <c r="BB66" s="372"/>
      <c r="BC66" s="84">
        <v>32.910370000000007</v>
      </c>
      <c r="BD66" s="372"/>
      <c r="BE66" s="382"/>
      <c r="BF66" s="372"/>
      <c r="BG66" s="372"/>
      <c r="BH66" s="372"/>
      <c r="BI66" s="84">
        <v>35.872303300000013</v>
      </c>
      <c r="BJ66" s="372"/>
      <c r="BK66" s="382"/>
      <c r="BL66" s="372"/>
      <c r="BM66" s="372"/>
      <c r="BN66" s="372"/>
      <c r="BO66" s="84">
        <v>39.10081059700002</v>
      </c>
      <c r="BP66" s="372"/>
      <c r="BQ66" s="382"/>
      <c r="BR66" s="372"/>
      <c r="BS66" s="372"/>
      <c r="BT66" s="372"/>
      <c r="BU66" s="84">
        <v>42.619883550730023</v>
      </c>
      <c r="BV66" s="372"/>
      <c r="BW66" s="382"/>
      <c r="BX66" s="372"/>
      <c r="BY66" s="372"/>
      <c r="BZ66" s="372"/>
      <c r="CA66" s="84">
        <v>46.455673070295731</v>
      </c>
      <c r="CB66" s="372"/>
      <c r="CC66" s="382"/>
      <c r="CD66" s="372"/>
      <c r="CE66" s="372"/>
      <c r="CF66" s="372"/>
      <c r="CG66" s="84">
        <v>50.636683646622352</v>
      </c>
      <c r="CH66" s="372"/>
      <c r="CI66" s="382"/>
      <c r="CJ66" s="372"/>
      <c r="CK66" s="372"/>
      <c r="CL66" s="372"/>
      <c r="CM66" s="84">
        <v>55.193985174818366</v>
      </c>
      <c r="CN66" s="372"/>
      <c r="CO66" s="382"/>
      <c r="CP66" s="372"/>
      <c r="CQ66" s="372"/>
      <c r="CR66" s="372"/>
      <c r="CS66" s="84">
        <v>60.161443840552025</v>
      </c>
      <c r="CT66" s="357"/>
      <c r="CU66" s="375"/>
      <c r="CV66" s="375"/>
    </row>
    <row r="67" spans="1:100" ht="12.75" customHeight="1" outlineLevel="1">
      <c r="A67" s="384" t="s">
        <v>58</v>
      </c>
      <c r="B67" s="46"/>
      <c r="C67" s="107"/>
      <c r="D67" s="46"/>
      <c r="E67" s="46"/>
      <c r="F67" s="46"/>
      <c r="G67" s="36"/>
      <c r="H67" s="46"/>
      <c r="I67" s="107"/>
      <c r="J67" s="46"/>
      <c r="K67" s="46"/>
      <c r="L67" s="46"/>
      <c r="M67" s="36">
        <f>M66/G66-1</f>
        <v>1.6965174129353233</v>
      </c>
      <c r="N67" s="46"/>
      <c r="O67" s="107"/>
      <c r="P67" s="46"/>
      <c r="Q67" s="46"/>
      <c r="R67" s="46"/>
      <c r="S67" s="36">
        <f>S66/M66-1</f>
        <v>-7.25707257072572E-2</v>
      </c>
      <c r="T67" s="46"/>
      <c r="U67" s="107"/>
      <c r="V67" s="46"/>
      <c r="W67" s="46"/>
      <c r="X67" s="46"/>
      <c r="Y67" s="36">
        <f>Y66/S66-1</f>
        <v>0.17374005305039786</v>
      </c>
      <c r="Z67" s="46"/>
      <c r="AA67" s="107"/>
      <c r="AB67" s="46"/>
      <c r="AC67" s="46"/>
      <c r="AD67" s="46"/>
      <c r="AE67" s="36">
        <f>AE66/Y66-1</f>
        <v>1.5819209039548143E-2</v>
      </c>
      <c r="AF67" s="46"/>
      <c r="AG67" s="107"/>
      <c r="AH67" s="46"/>
      <c r="AI67" s="46"/>
      <c r="AJ67" s="46"/>
      <c r="AK67" s="36">
        <f>AK66/AE66-1</f>
        <v>0.13125695216907673</v>
      </c>
      <c r="AL67" s="46"/>
      <c r="AM67" s="107"/>
      <c r="AN67" s="46"/>
      <c r="AO67" s="46"/>
      <c r="AP67" s="46"/>
      <c r="AQ67" s="36">
        <f>AQ66/AK66-1</f>
        <v>0.36184857423795469</v>
      </c>
      <c r="AR67" s="46"/>
      <c r="AS67" s="107"/>
      <c r="AT67" s="155"/>
      <c r="AU67" s="46"/>
      <c r="AV67" s="46"/>
      <c r="AW67" s="36">
        <f>AW66/AQ66-1</f>
        <v>9.000000000000008E-2</v>
      </c>
      <c r="AX67" s="46"/>
      <c r="AY67" s="107"/>
      <c r="AZ67" s="46"/>
      <c r="BA67" s="46"/>
      <c r="BB67" s="46"/>
      <c r="BC67" s="36">
        <f>BC66/AW66-1</f>
        <v>9.0000000000000302E-2</v>
      </c>
      <c r="BD67" s="46"/>
      <c r="BE67" s="107"/>
      <c r="BF67" s="46"/>
      <c r="BG67" s="46"/>
      <c r="BH67" s="46"/>
      <c r="BI67" s="36">
        <f>BI66/BC66-1</f>
        <v>9.000000000000008E-2</v>
      </c>
      <c r="BJ67" s="46"/>
      <c r="BK67" s="107"/>
      <c r="BL67" s="46"/>
      <c r="BM67" s="46"/>
      <c r="BN67" s="46"/>
      <c r="BO67" s="36">
        <f>BO66/BI66-1</f>
        <v>9.000000000000008E-2</v>
      </c>
      <c r="BP67" s="46"/>
      <c r="BQ67" s="107"/>
      <c r="BR67" s="46"/>
      <c r="BS67" s="46"/>
      <c r="BT67" s="46"/>
      <c r="BU67" s="36">
        <f>BU66/BO66-1</f>
        <v>9.000000000000008E-2</v>
      </c>
      <c r="BV67" s="46"/>
      <c r="BW67" s="107"/>
      <c r="BX67" s="46"/>
      <c r="BY67" s="46"/>
      <c r="BZ67" s="46"/>
      <c r="CA67" s="36">
        <f>CA66/BU66-1</f>
        <v>9.000000000000008E-2</v>
      </c>
      <c r="CB67" s="46"/>
      <c r="CC67" s="107"/>
      <c r="CD67" s="46"/>
      <c r="CE67" s="46"/>
      <c r="CF67" s="46"/>
      <c r="CG67" s="36">
        <f>CG66/CA66-1</f>
        <v>9.000000000000008E-2</v>
      </c>
      <c r="CH67" s="46"/>
      <c r="CI67" s="107"/>
      <c r="CJ67" s="46"/>
      <c r="CK67" s="46"/>
      <c r="CL67" s="46"/>
      <c r="CM67" s="36">
        <f t="shared" ref="CM67" si="121">CM66/CG66-1</f>
        <v>9.000000000000008E-2</v>
      </c>
      <c r="CN67" s="46"/>
      <c r="CO67" s="107"/>
      <c r="CP67" s="46"/>
      <c r="CQ67" s="46"/>
      <c r="CR67" s="46"/>
      <c r="CS67" s="36">
        <f t="shared" ref="CS67" si="122">CS66/CM66-1</f>
        <v>9.000000000000008E-2</v>
      </c>
      <c r="CT67" s="362"/>
      <c r="CU67" s="364"/>
      <c r="CV67" s="364"/>
    </row>
    <row r="68" spans="1:100" ht="12.75" customHeight="1" outlineLevel="1">
      <c r="A68" s="55"/>
      <c r="B68" s="372"/>
      <c r="C68" s="382"/>
      <c r="D68" s="372"/>
      <c r="E68" s="372"/>
      <c r="F68" s="372"/>
      <c r="G68" s="37"/>
      <c r="H68" s="372"/>
      <c r="I68" s="382"/>
      <c r="J68" s="372"/>
      <c r="K68" s="372"/>
      <c r="L68" s="372"/>
      <c r="M68" s="37"/>
      <c r="N68" s="372"/>
      <c r="O68" s="382"/>
      <c r="P68" s="372"/>
      <c r="Q68" s="372"/>
      <c r="R68" s="372"/>
      <c r="S68" s="37"/>
      <c r="T68" s="372"/>
      <c r="U68" s="382"/>
      <c r="V68" s="372"/>
      <c r="W68" s="372"/>
      <c r="X68" s="372"/>
      <c r="Y68" s="37"/>
      <c r="Z68" s="372"/>
      <c r="AA68" s="382"/>
      <c r="AB68" s="372"/>
      <c r="AC68" s="372"/>
      <c r="AD68" s="372"/>
      <c r="AE68" s="37"/>
      <c r="AF68" s="372"/>
      <c r="AG68" s="382"/>
      <c r="AH68" s="372"/>
      <c r="AI68" s="372"/>
      <c r="AJ68" s="372"/>
      <c r="AK68" s="37"/>
      <c r="AL68" s="372"/>
      <c r="AM68" s="382"/>
      <c r="AN68" s="372"/>
      <c r="AO68" s="372"/>
      <c r="AP68" s="372"/>
      <c r="AQ68" s="37"/>
      <c r="AR68" s="372"/>
      <c r="AS68" s="382"/>
      <c r="AT68" s="1499"/>
      <c r="AU68" s="372"/>
      <c r="AV68" s="372"/>
      <c r="AW68" s="37"/>
      <c r="AX68" s="372"/>
      <c r="AY68" s="382"/>
      <c r="AZ68" s="372"/>
      <c r="BA68" s="372"/>
      <c r="BB68" s="372"/>
      <c r="BC68" s="37"/>
      <c r="BD68" s="372"/>
      <c r="BE68" s="382"/>
      <c r="BF68" s="372"/>
      <c r="BG68" s="372"/>
      <c r="BH68" s="372"/>
      <c r="BI68" s="37"/>
      <c r="BJ68" s="372"/>
      <c r="BK68" s="382"/>
      <c r="BL68" s="372"/>
      <c r="BM68" s="372"/>
      <c r="BN68" s="372"/>
      <c r="BO68" s="37"/>
      <c r="BP68" s="372"/>
      <c r="BQ68" s="382"/>
      <c r="BR68" s="372"/>
      <c r="BS68" s="372"/>
      <c r="BT68" s="372"/>
      <c r="BU68" s="37"/>
      <c r="BV68" s="372"/>
      <c r="BW68" s="382"/>
      <c r="BX68" s="372"/>
      <c r="BY68" s="372"/>
      <c r="BZ68" s="372"/>
      <c r="CA68" s="37"/>
      <c r="CB68" s="372"/>
      <c r="CC68" s="382"/>
      <c r="CD68" s="372"/>
      <c r="CE68" s="372"/>
      <c r="CF68" s="372"/>
      <c r="CG68" s="37"/>
      <c r="CH68" s="372"/>
      <c r="CI68" s="382"/>
      <c r="CJ68" s="372"/>
      <c r="CK68" s="372"/>
      <c r="CL68" s="372"/>
      <c r="CM68" s="37"/>
      <c r="CN68" s="372"/>
      <c r="CO68" s="382"/>
      <c r="CP68" s="372"/>
      <c r="CQ68" s="372"/>
      <c r="CR68" s="372"/>
      <c r="CS68" s="37"/>
      <c r="CT68" s="372"/>
      <c r="CU68" s="375"/>
      <c r="CV68" s="375"/>
    </row>
    <row r="69" spans="1:100" ht="12.75" customHeight="1" outlineLevel="1">
      <c r="A69" s="41" t="s">
        <v>59</v>
      </c>
      <c r="B69" s="362"/>
      <c r="C69" s="363"/>
      <c r="D69" s="362"/>
      <c r="E69" s="362"/>
      <c r="F69" s="362"/>
      <c r="G69" s="36">
        <f>G63/G61</f>
        <v>-0.25465359264331622</v>
      </c>
      <c r="H69" s="362"/>
      <c r="I69" s="363"/>
      <c r="J69" s="362"/>
      <c r="K69" s="362"/>
      <c r="L69" s="362"/>
      <c r="M69" s="36">
        <f>M63/M61</f>
        <v>-0.21519352908538694</v>
      </c>
      <c r="N69" s="362"/>
      <c r="O69" s="363"/>
      <c r="P69" s="362"/>
      <c r="Q69" s="362"/>
      <c r="R69" s="362"/>
      <c r="S69" s="36">
        <f>S63/S61</f>
        <v>-0.16002921099186065</v>
      </c>
      <c r="T69" s="362"/>
      <c r="U69" s="363"/>
      <c r="V69" s="362"/>
      <c r="W69" s="362"/>
      <c r="X69" s="362"/>
      <c r="Y69" s="36">
        <f>Y63/Y61</f>
        <v>-0.33610199406823182</v>
      </c>
      <c r="Z69" s="362"/>
      <c r="AA69" s="363"/>
      <c r="AB69" s="362"/>
      <c r="AC69" s="362"/>
      <c r="AD69" s="362"/>
      <c r="AE69" s="36">
        <f>AE63/AE61</f>
        <v>-0.22671469109243847</v>
      </c>
      <c r="AF69" s="362"/>
      <c r="AG69" s="363"/>
      <c r="AH69" s="362"/>
      <c r="AI69" s="362"/>
      <c r="AJ69" s="362"/>
      <c r="AK69" s="36">
        <f>AK63/AK61</f>
        <v>-0.19219077738171986</v>
      </c>
      <c r="AL69" s="362"/>
      <c r="AM69" s="363"/>
      <c r="AN69" s="362"/>
      <c r="AO69" s="362"/>
      <c r="AP69" s="362"/>
      <c r="AQ69" s="36">
        <f>AQ63/AQ61</f>
        <v>-0.34359189457805139</v>
      </c>
      <c r="AR69" s="362"/>
      <c r="AS69" s="363"/>
      <c r="AT69" s="1421"/>
      <c r="AU69" s="362"/>
      <c r="AV69" s="362"/>
      <c r="AW69" s="2775">
        <v>-0.33</v>
      </c>
      <c r="AX69" s="2776"/>
      <c r="AY69" s="2777"/>
      <c r="AZ69" s="2776"/>
      <c r="BA69" s="2776"/>
      <c r="BB69" s="2776"/>
      <c r="BC69" s="2775">
        <v>-0.33</v>
      </c>
      <c r="BD69" s="362"/>
      <c r="BE69" s="363"/>
      <c r="BF69" s="362"/>
      <c r="BG69" s="362"/>
      <c r="BH69" s="362"/>
      <c r="BI69" s="2775">
        <v>-0.33</v>
      </c>
      <c r="BJ69" s="2776"/>
      <c r="BK69" s="2777"/>
      <c r="BL69" s="2776"/>
      <c r="BM69" s="2776"/>
      <c r="BN69" s="2776"/>
      <c r="BO69" s="2775">
        <v>-0.33</v>
      </c>
      <c r="BP69" s="2646"/>
      <c r="BQ69" s="2647"/>
      <c r="BR69" s="2646"/>
      <c r="BS69" s="2646"/>
      <c r="BT69" s="2646"/>
      <c r="BU69" s="2775">
        <v>-0.33</v>
      </c>
      <c r="BV69" s="2776"/>
      <c r="BW69" s="2777"/>
      <c r="BX69" s="2776"/>
      <c r="BY69" s="2776"/>
      <c r="BZ69" s="2776"/>
      <c r="CA69" s="2775">
        <v>-0.33</v>
      </c>
      <c r="CB69" s="2776"/>
      <c r="CC69" s="2777"/>
      <c r="CD69" s="2776"/>
      <c r="CE69" s="2776"/>
      <c r="CF69" s="2776"/>
      <c r="CG69" s="2775">
        <v>-0.33</v>
      </c>
      <c r="CH69" s="2776"/>
      <c r="CI69" s="2777"/>
      <c r="CJ69" s="2776"/>
      <c r="CK69" s="2776"/>
      <c r="CL69" s="2776"/>
      <c r="CM69" s="2775">
        <v>-0.33</v>
      </c>
      <c r="CN69" s="2776"/>
      <c r="CO69" s="2777"/>
      <c r="CP69" s="2776"/>
      <c r="CQ69" s="2776"/>
      <c r="CR69" s="2776"/>
      <c r="CS69" s="2775">
        <v>-0.33</v>
      </c>
      <c r="CT69" s="274"/>
      <c r="CU69" s="364"/>
      <c r="CV69" s="364"/>
    </row>
    <row r="70" spans="1:100" ht="12.75" customHeight="1" outlineLevel="1">
      <c r="A70" s="41" t="s">
        <v>60</v>
      </c>
      <c r="B70" s="362"/>
      <c r="C70" s="363"/>
      <c r="D70" s="362"/>
      <c r="E70" s="362"/>
      <c r="F70" s="362"/>
      <c r="G70" s="36">
        <f>G64/G61</f>
        <v>-0.11273165016740021</v>
      </c>
      <c r="H70" s="362"/>
      <c r="I70" s="363"/>
      <c r="J70" s="362"/>
      <c r="K70" s="362"/>
      <c r="L70" s="362"/>
      <c r="M70" s="36">
        <f>M64/M61</f>
        <v>-5.803240922981328E-2</v>
      </c>
      <c r="N70" s="362"/>
      <c r="O70" s="363"/>
      <c r="P70" s="362"/>
      <c r="Q70" s="362"/>
      <c r="R70" s="362"/>
      <c r="S70" s="36">
        <f>S64/S61</f>
        <v>-3.4491470275762E-2</v>
      </c>
      <c r="T70" s="362"/>
      <c r="U70" s="363"/>
      <c r="V70" s="362"/>
      <c r="W70" s="362"/>
      <c r="X70" s="362"/>
      <c r="Y70" s="36">
        <f>Y64/Y61</f>
        <v>-4.3146407701120958E-2</v>
      </c>
      <c r="Z70" s="362"/>
      <c r="AA70" s="363"/>
      <c r="AB70" s="362"/>
      <c r="AC70" s="362"/>
      <c r="AD70" s="362"/>
      <c r="AE70" s="36">
        <f>AE64/AE61</f>
        <v>-9.6907500862069614E-3</v>
      </c>
      <c r="AF70" s="362"/>
      <c r="AG70" s="363"/>
      <c r="AH70" s="362"/>
      <c r="AI70" s="362"/>
      <c r="AJ70" s="362"/>
      <c r="AK70" s="36">
        <f>AK64/AK61</f>
        <v>-1.9209797642692421E-2</v>
      </c>
      <c r="AL70" s="362"/>
      <c r="AM70" s="363"/>
      <c r="AN70" s="362"/>
      <c r="AO70" s="362"/>
      <c r="AP70" s="362"/>
      <c r="AQ70" s="36">
        <f>AQ64/AQ61</f>
        <v>-1.5202169653652975E-2</v>
      </c>
      <c r="AR70" s="362"/>
      <c r="AS70" s="363"/>
      <c r="AT70" s="1421"/>
      <c r="AU70" s="362"/>
      <c r="AV70" s="362"/>
      <c r="AW70" s="2775">
        <v>-0.05</v>
      </c>
      <c r="AX70" s="2776"/>
      <c r="AY70" s="2777"/>
      <c r="AZ70" s="2776"/>
      <c r="BA70" s="2776"/>
      <c r="BB70" s="2776"/>
      <c r="BC70" s="2775">
        <v>-0.05</v>
      </c>
      <c r="BD70" s="362"/>
      <c r="BE70" s="363"/>
      <c r="BF70" s="362"/>
      <c r="BG70" s="362"/>
      <c r="BH70" s="362"/>
      <c r="BI70" s="2775">
        <v>-0.05</v>
      </c>
      <c r="BJ70" s="2776"/>
      <c r="BK70" s="2777"/>
      <c r="BL70" s="2776"/>
      <c r="BM70" s="2776"/>
      <c r="BN70" s="2776"/>
      <c r="BO70" s="2775">
        <v>-0.05</v>
      </c>
      <c r="BP70" s="2646"/>
      <c r="BQ70" s="2647"/>
      <c r="BR70" s="2646"/>
      <c r="BS70" s="2646"/>
      <c r="BT70" s="2646"/>
      <c r="BU70" s="2775">
        <v>-0.05</v>
      </c>
      <c r="BV70" s="2776"/>
      <c r="BW70" s="2777"/>
      <c r="BX70" s="2776"/>
      <c r="BY70" s="2776"/>
      <c r="BZ70" s="2776"/>
      <c r="CA70" s="2775">
        <v>-0.05</v>
      </c>
      <c r="CB70" s="2776"/>
      <c r="CC70" s="2777"/>
      <c r="CD70" s="2776"/>
      <c r="CE70" s="2776"/>
      <c r="CF70" s="2776"/>
      <c r="CG70" s="2775">
        <v>-0.05</v>
      </c>
      <c r="CH70" s="2776"/>
      <c r="CI70" s="2777"/>
      <c r="CJ70" s="2776"/>
      <c r="CK70" s="2776"/>
      <c r="CL70" s="2776"/>
      <c r="CM70" s="2775">
        <v>-0.05</v>
      </c>
      <c r="CN70" s="2776"/>
      <c r="CO70" s="2777"/>
      <c r="CP70" s="2776"/>
      <c r="CQ70" s="2776"/>
      <c r="CR70" s="2776"/>
      <c r="CS70" s="2775">
        <v>-0.05</v>
      </c>
      <c r="CT70" s="274"/>
      <c r="CU70" s="364"/>
      <c r="CV70" s="364"/>
    </row>
    <row r="71" spans="1:100" ht="12.75" customHeight="1" outlineLevel="1">
      <c r="A71" s="55" t="s">
        <v>61</v>
      </c>
      <c r="B71" s="385"/>
      <c r="C71" s="386"/>
      <c r="D71" s="385"/>
      <c r="E71" s="385"/>
      <c r="F71" s="385"/>
      <c r="G71" s="387"/>
      <c r="H71" s="385"/>
      <c r="I71" s="386"/>
      <c r="J71" s="385"/>
      <c r="K71" s="385"/>
      <c r="L71" s="385"/>
      <c r="M71" s="387">
        <f>M62/G62-1</f>
        <v>-0.70328249667872311</v>
      </c>
      <c r="N71" s="385"/>
      <c r="O71" s="386"/>
      <c r="P71" s="385"/>
      <c r="Q71" s="385"/>
      <c r="R71" s="385"/>
      <c r="S71" s="387">
        <f>S62/M62-1</f>
        <v>-0.49531883065878002</v>
      </c>
      <c r="T71" s="385"/>
      <c r="U71" s="386"/>
      <c r="V71" s="385"/>
      <c r="W71" s="385"/>
      <c r="X71" s="385"/>
      <c r="Y71" s="387">
        <f>Y62/S62-1</f>
        <v>0.3111907252708932</v>
      </c>
      <c r="Z71" s="385"/>
      <c r="AA71" s="386"/>
      <c r="AB71" s="385"/>
      <c r="AC71" s="385"/>
      <c r="AD71" s="385"/>
      <c r="AE71" s="387">
        <f>AE62/Y62-1</f>
        <v>-0.31605596510174339</v>
      </c>
      <c r="AF71" s="385"/>
      <c r="AG71" s="386"/>
      <c r="AH71" s="385"/>
      <c r="AI71" s="385"/>
      <c r="AJ71" s="385"/>
      <c r="AK71" s="387">
        <f>AK62/AE62-1</f>
        <v>-0.82058613295210869</v>
      </c>
      <c r="AL71" s="385"/>
      <c r="AM71" s="386"/>
      <c r="AN71" s="385"/>
      <c r="AO71" s="385"/>
      <c r="AP71" s="385"/>
      <c r="AQ71" s="387">
        <f>AQ62/AK62-1</f>
        <v>1.0398406374501992</v>
      </c>
      <c r="AR71" s="385"/>
      <c r="AS71" s="386"/>
      <c r="AT71" s="1502"/>
      <c r="AU71" s="385"/>
      <c r="AV71" s="385"/>
      <c r="AW71" s="2778">
        <v>0.4</v>
      </c>
      <c r="AX71" s="2779"/>
      <c r="AY71" s="2780"/>
      <c r="AZ71" s="2779"/>
      <c r="BA71" s="2779"/>
      <c r="BB71" s="2779"/>
      <c r="BC71" s="2778">
        <v>0.4</v>
      </c>
      <c r="BD71" s="385"/>
      <c r="BE71" s="386"/>
      <c r="BF71" s="385"/>
      <c r="BG71" s="385"/>
      <c r="BH71" s="385"/>
      <c r="BI71" s="2778">
        <v>0.4</v>
      </c>
      <c r="BJ71" s="2779"/>
      <c r="BK71" s="2780"/>
      <c r="BL71" s="2779"/>
      <c r="BM71" s="2779"/>
      <c r="BN71" s="2779"/>
      <c r="BO71" s="2778">
        <v>0.4</v>
      </c>
      <c r="BP71" s="2651"/>
      <c r="BQ71" s="2652"/>
      <c r="BR71" s="2651"/>
      <c r="BS71" s="2651"/>
      <c r="BT71" s="2651"/>
      <c r="BU71" s="2778">
        <v>0.4</v>
      </c>
      <c r="BV71" s="2779"/>
      <c r="BW71" s="2780"/>
      <c r="BX71" s="2779"/>
      <c r="BY71" s="2779"/>
      <c r="BZ71" s="2779"/>
      <c r="CA71" s="2778">
        <v>0.4</v>
      </c>
      <c r="CB71" s="2779"/>
      <c r="CC71" s="2780"/>
      <c r="CD71" s="2779"/>
      <c r="CE71" s="2779"/>
      <c r="CF71" s="2779"/>
      <c r="CG71" s="2778">
        <v>0.4</v>
      </c>
      <c r="CH71" s="2779"/>
      <c r="CI71" s="2780"/>
      <c r="CJ71" s="2779"/>
      <c r="CK71" s="2779"/>
      <c r="CL71" s="2779"/>
      <c r="CM71" s="2778">
        <v>0.4</v>
      </c>
      <c r="CN71" s="2779"/>
      <c r="CO71" s="2780"/>
      <c r="CP71" s="2779"/>
      <c r="CQ71" s="2779"/>
      <c r="CR71" s="2779"/>
      <c r="CS71" s="2778">
        <v>0.4</v>
      </c>
      <c r="CT71" s="2397"/>
      <c r="CU71" s="375"/>
      <c r="CV71" s="375"/>
    </row>
    <row r="72" spans="1:100" ht="12.75" customHeight="1" outlineLevel="1">
      <c r="A72" s="55"/>
      <c r="B72" s="372"/>
      <c r="C72" s="382"/>
      <c r="D72" s="372"/>
      <c r="E72" s="372"/>
      <c r="F72" s="372"/>
      <c r="G72" s="37"/>
      <c r="H72" s="372"/>
      <c r="I72" s="382"/>
      <c r="J72" s="372"/>
      <c r="K72" s="372"/>
      <c r="L72" s="372"/>
      <c r="M72" s="37"/>
      <c r="N72" s="372"/>
      <c r="O72" s="382"/>
      <c r="P72" s="372"/>
      <c r="Q72" s="372"/>
      <c r="R72" s="372"/>
      <c r="S72" s="37"/>
      <c r="T72" s="372"/>
      <c r="U72" s="382"/>
      <c r="V72" s="372"/>
      <c r="W72" s="372"/>
      <c r="X72" s="372"/>
      <c r="Y72" s="37"/>
      <c r="Z72" s="372"/>
      <c r="AA72" s="382"/>
      <c r="AB72" s="372"/>
      <c r="AC72" s="372"/>
      <c r="AD72" s="372"/>
      <c r="AE72" s="37"/>
      <c r="AF72" s="372"/>
      <c r="AG72" s="382"/>
      <c r="AH72" s="372"/>
      <c r="AI72" s="372"/>
      <c r="AJ72" s="372"/>
      <c r="AK72" s="37"/>
      <c r="AL72" s="372"/>
      <c r="AM72" s="382"/>
      <c r="AN72" s="372"/>
      <c r="AO72" s="372"/>
      <c r="AP72" s="372"/>
      <c r="AQ72" s="37"/>
      <c r="AR72" s="372"/>
      <c r="AS72" s="382"/>
      <c r="AT72" s="1499"/>
      <c r="AU72" s="372"/>
      <c r="AV72" s="372"/>
      <c r="AW72" s="2781"/>
      <c r="AX72" s="2773"/>
      <c r="AY72" s="2774"/>
      <c r="AZ72" s="2773"/>
      <c r="BA72" s="2773"/>
      <c r="BB72" s="2773"/>
      <c r="BC72" s="2781"/>
      <c r="BD72" s="372"/>
      <c r="BE72" s="382"/>
      <c r="BF72" s="372"/>
      <c r="BG72" s="372"/>
      <c r="BH72" s="372"/>
      <c r="BI72" s="37"/>
      <c r="BJ72" s="372"/>
      <c r="BK72" s="382"/>
      <c r="BL72" s="372"/>
      <c r="BM72" s="372"/>
      <c r="BN72" s="372"/>
      <c r="BO72" s="37"/>
      <c r="BP72" s="372"/>
      <c r="BQ72" s="382"/>
      <c r="BR72" s="372"/>
      <c r="BS72" s="372"/>
      <c r="BT72" s="372"/>
      <c r="BU72" s="37"/>
      <c r="BV72" s="372"/>
      <c r="BW72" s="382"/>
      <c r="BX72" s="372"/>
      <c r="BY72" s="372"/>
      <c r="BZ72" s="372"/>
      <c r="CA72" s="37"/>
      <c r="CB72" s="372"/>
      <c r="CC72" s="382"/>
      <c r="CD72" s="372"/>
      <c r="CE72" s="372"/>
      <c r="CF72" s="372"/>
      <c r="CG72" s="37"/>
      <c r="CH72" s="372"/>
      <c r="CI72" s="382"/>
      <c r="CJ72" s="372"/>
      <c r="CK72" s="372"/>
      <c r="CL72" s="372"/>
      <c r="CM72" s="37"/>
      <c r="CN72" s="372"/>
      <c r="CO72" s="382"/>
      <c r="CP72" s="372"/>
      <c r="CQ72" s="372"/>
      <c r="CR72" s="372"/>
      <c r="CS72" s="37"/>
      <c r="CT72" s="372"/>
      <c r="CU72" s="375"/>
      <c r="CV72" s="375"/>
    </row>
    <row r="73" spans="1:100" ht="12.75" customHeight="1" outlineLevel="1">
      <c r="A73" s="353" t="s">
        <v>68</v>
      </c>
      <c r="B73" s="227"/>
      <c r="C73" s="388"/>
      <c r="D73" s="227"/>
      <c r="E73" s="227"/>
      <c r="F73" s="227"/>
      <c r="G73" s="389">
        <f>-G66*G63</f>
        <v>26.282189159999998</v>
      </c>
      <c r="H73" s="227"/>
      <c r="I73" s="388"/>
      <c r="J73" s="227"/>
      <c r="K73" s="227"/>
      <c r="L73" s="227"/>
      <c r="M73" s="389">
        <f>-M66*M63</f>
        <v>74.338362300000014</v>
      </c>
      <c r="N73" s="227"/>
      <c r="O73" s="388"/>
      <c r="P73" s="227"/>
      <c r="Q73" s="227"/>
      <c r="R73" s="227"/>
      <c r="S73" s="389">
        <f>-S66*S63</f>
        <v>44.72133848</v>
      </c>
      <c r="T73" s="227"/>
      <c r="U73" s="388"/>
      <c r="V73" s="227"/>
      <c r="W73" s="227"/>
      <c r="X73" s="227"/>
      <c r="Y73" s="389">
        <f>-Y66*Y63</f>
        <v>98.080585199999987</v>
      </c>
      <c r="Z73" s="227"/>
      <c r="AA73" s="388"/>
      <c r="AB73" s="227"/>
      <c r="AC73" s="227"/>
      <c r="AD73" s="227"/>
      <c r="AE73" s="389">
        <f>-AE66*AE63</f>
        <v>50.056319999999999</v>
      </c>
      <c r="AF73" s="227"/>
      <c r="AG73" s="388"/>
      <c r="AH73" s="227"/>
      <c r="AI73" s="227"/>
      <c r="AJ73" s="227"/>
      <c r="AK73" s="389">
        <f>-AK66*AK63</f>
        <v>42.124140000000004</v>
      </c>
      <c r="AL73" s="227"/>
      <c r="AM73" s="388"/>
      <c r="AN73" s="227"/>
      <c r="AO73" s="227"/>
      <c r="AP73" s="227"/>
      <c r="AQ73" s="389">
        <f>-AQ66*AQ63</f>
        <v>83.266199999999998</v>
      </c>
      <c r="AR73" s="227"/>
      <c r="AS73" s="388"/>
      <c r="AT73" s="1496"/>
      <c r="AU73" s="227"/>
      <c r="AV73" s="227"/>
      <c r="AW73" s="389">
        <f>-AW66*AW63</f>
        <v>60.995231213927987</v>
      </c>
      <c r="AX73" s="227"/>
      <c r="AY73" s="388"/>
      <c r="AZ73" s="227"/>
      <c r="BA73" s="227"/>
      <c r="BB73" s="227"/>
      <c r="BC73" s="389">
        <f>-BC66*BC63</f>
        <v>49.005327815652535</v>
      </c>
      <c r="BD73" s="227"/>
      <c r="BE73" s="388"/>
      <c r="BF73" s="227"/>
      <c r="BG73" s="227"/>
      <c r="BH73" s="227"/>
      <c r="BI73" s="389">
        <f>-BI66*BI63</f>
        <v>44.997329894331273</v>
      </c>
      <c r="BJ73" s="227"/>
      <c r="BK73" s="388"/>
      <c r="BL73" s="227"/>
      <c r="BM73" s="227"/>
      <c r="BN73" s="227"/>
      <c r="BO73" s="389">
        <f>-BO66*BO63</f>
        <v>48.537357340628347</v>
      </c>
      <c r="BP73" s="227"/>
      <c r="BQ73" s="388"/>
      <c r="BR73" s="227"/>
      <c r="BS73" s="227"/>
      <c r="BT73" s="227"/>
      <c r="BU73" s="389">
        <f>-BU66*BU63</f>
        <v>60.465120994604568</v>
      </c>
      <c r="BV73" s="227"/>
      <c r="BW73" s="388"/>
      <c r="BX73" s="227"/>
      <c r="BY73" s="227"/>
      <c r="BZ73" s="227"/>
      <c r="CA73" s="389">
        <f>-CA66*CA63</f>
        <v>83.076944071364693</v>
      </c>
      <c r="CB73" s="227"/>
      <c r="CC73" s="388"/>
      <c r="CD73" s="227"/>
      <c r="CE73" s="227"/>
      <c r="CF73" s="227"/>
      <c r="CG73" s="389">
        <f>-CG66*CG63</f>
        <v>120.56290175612811</v>
      </c>
      <c r="CH73" s="227"/>
      <c r="CI73" s="388"/>
      <c r="CJ73" s="227"/>
      <c r="CK73" s="227"/>
      <c r="CL73" s="227"/>
      <c r="CM73" s="389">
        <f t="shared" ref="CM73" si="123">-CM66*CM63</f>
        <v>179.78057051261138</v>
      </c>
      <c r="CN73" s="227"/>
      <c r="CO73" s="388"/>
      <c r="CP73" s="227"/>
      <c r="CQ73" s="227"/>
      <c r="CR73" s="227"/>
      <c r="CS73" s="389">
        <f t="shared" ref="CS73" si="124">-CS66*CS63</f>
        <v>271.50786001030406</v>
      </c>
      <c r="CT73" s="227"/>
      <c r="CU73" s="163"/>
      <c r="CV73" s="163"/>
    </row>
    <row r="74" spans="1:100" ht="12.75" customHeight="1" outlineLevel="1">
      <c r="A74" s="55"/>
      <c r="B74" s="372"/>
      <c r="C74" s="382"/>
      <c r="D74" s="372"/>
      <c r="E74" s="372"/>
      <c r="F74" s="372"/>
      <c r="G74" s="37"/>
      <c r="H74" s="372"/>
      <c r="I74" s="382"/>
      <c r="J74" s="372"/>
      <c r="K74" s="372"/>
      <c r="L74" s="372"/>
      <c r="M74" s="37"/>
      <c r="N74" s="372"/>
      <c r="O74" s="382"/>
      <c r="P74" s="372"/>
      <c r="Q74" s="372"/>
      <c r="R74" s="372"/>
      <c r="S74" s="37"/>
      <c r="T74" s="372"/>
      <c r="U74" s="382"/>
      <c r="V74" s="372"/>
      <c r="W74" s="372"/>
      <c r="X74" s="372"/>
      <c r="Y74" s="37"/>
      <c r="Z74" s="372"/>
      <c r="AA74" s="382"/>
      <c r="AB74" s="372"/>
      <c r="AC74" s="372"/>
      <c r="AD74" s="372"/>
      <c r="AE74" s="37"/>
      <c r="AF74" s="372"/>
      <c r="AG74" s="382"/>
      <c r="AH74" s="372"/>
      <c r="AI74" s="372"/>
      <c r="AJ74" s="372"/>
      <c r="AK74" s="37"/>
      <c r="AL74" s="372"/>
      <c r="AM74" s="382"/>
      <c r="AN74" s="372"/>
      <c r="AO74" s="372"/>
      <c r="AP74" s="372"/>
      <c r="AQ74" s="37"/>
      <c r="AR74" s="372"/>
      <c r="AS74" s="382"/>
      <c r="AT74" s="1499"/>
      <c r="AU74" s="372"/>
      <c r="AV74" s="372"/>
      <c r="AW74" s="37"/>
      <c r="AX74" s="372"/>
      <c r="AY74" s="382"/>
      <c r="AZ74" s="372"/>
      <c r="BA74" s="372"/>
      <c r="BB74" s="372"/>
      <c r="BC74" s="37"/>
      <c r="BD74" s="372"/>
      <c r="BE74" s="382"/>
      <c r="BF74" s="372"/>
      <c r="BG74" s="372"/>
      <c r="BH74" s="372"/>
      <c r="BI74" s="37"/>
      <c r="BJ74" s="372"/>
      <c r="BK74" s="382"/>
      <c r="BL74" s="372"/>
      <c r="BM74" s="372"/>
      <c r="BN74" s="372"/>
      <c r="BO74" s="37"/>
      <c r="BP74" s="372"/>
      <c r="BQ74" s="382"/>
      <c r="BR74" s="372"/>
      <c r="BS74" s="372"/>
      <c r="BT74" s="372"/>
      <c r="BU74" s="37"/>
      <c r="BV74" s="372"/>
      <c r="BW74" s="382"/>
      <c r="BX74" s="372"/>
      <c r="BY74" s="372"/>
      <c r="BZ74" s="372"/>
      <c r="CA74" s="37"/>
      <c r="CB74" s="372"/>
      <c r="CC74" s="382"/>
      <c r="CD74" s="372"/>
      <c r="CE74" s="372"/>
      <c r="CF74" s="372"/>
      <c r="CG74" s="37"/>
      <c r="CH74" s="372"/>
      <c r="CI74" s="382"/>
      <c r="CJ74" s="372"/>
      <c r="CK74" s="372"/>
      <c r="CL74" s="372"/>
      <c r="CM74" s="37"/>
      <c r="CN74" s="372"/>
      <c r="CO74" s="382"/>
      <c r="CP74" s="372"/>
      <c r="CQ74" s="372"/>
      <c r="CR74" s="372"/>
      <c r="CS74" s="37"/>
      <c r="CT74" s="372"/>
      <c r="CU74" s="375"/>
      <c r="CV74" s="375"/>
    </row>
    <row r="75" spans="1:100" ht="12.75" customHeight="1" outlineLevel="1">
      <c r="A75" s="390" t="s">
        <v>62</v>
      </c>
      <c r="B75" s="372"/>
      <c r="C75" s="382"/>
      <c r="D75" s="372"/>
      <c r="E75" s="372"/>
      <c r="F75" s="372"/>
      <c r="G75" s="37"/>
      <c r="H75" s="372"/>
      <c r="I75" s="382"/>
      <c r="J75" s="372"/>
      <c r="K75" s="372"/>
      <c r="L75" s="372"/>
      <c r="M75" s="37"/>
      <c r="N75" s="372"/>
      <c r="O75" s="382"/>
      <c r="P75" s="372"/>
      <c r="Q75" s="372"/>
      <c r="R75" s="372"/>
      <c r="S75" s="37"/>
      <c r="T75" s="372"/>
      <c r="U75" s="382"/>
      <c r="V75" s="372"/>
      <c r="W75" s="372"/>
      <c r="X75" s="372"/>
      <c r="Y75" s="37"/>
      <c r="Z75" s="372"/>
      <c r="AA75" s="382"/>
      <c r="AB75" s="372"/>
      <c r="AC75" s="372"/>
      <c r="AD75" s="372"/>
      <c r="AE75" s="37"/>
      <c r="AF75" s="372"/>
      <c r="AG75" s="382"/>
      <c r="AH75" s="372"/>
      <c r="AI75" s="372"/>
      <c r="AJ75" s="372"/>
      <c r="AK75" s="37"/>
      <c r="AL75" s="372"/>
      <c r="AM75" s="382"/>
      <c r="AN75" s="372"/>
      <c r="AO75" s="372"/>
      <c r="AP75" s="372"/>
      <c r="AQ75" s="37"/>
      <c r="AR75" s="372"/>
      <c r="AS75" s="382"/>
      <c r="AT75" s="1499"/>
      <c r="AU75" s="372"/>
      <c r="AV75" s="372"/>
      <c r="AW75" s="37"/>
      <c r="AX75" s="372"/>
      <c r="AY75" s="382"/>
      <c r="AZ75" s="372"/>
      <c r="BA75" s="372"/>
      <c r="BB75" s="372"/>
      <c r="BC75" s="37"/>
      <c r="BD75" s="372"/>
      <c r="BE75" s="382"/>
      <c r="BF75" s="372"/>
      <c r="BG75" s="372"/>
      <c r="BH75" s="372"/>
      <c r="BI75" s="37"/>
      <c r="BJ75" s="372"/>
      <c r="BK75" s="382"/>
      <c r="BL75" s="372"/>
      <c r="BM75" s="372"/>
      <c r="BN75" s="372"/>
      <c r="BO75" s="37"/>
      <c r="BP75" s="372"/>
      <c r="BQ75" s="382"/>
      <c r="BR75" s="372"/>
      <c r="BS75" s="372"/>
      <c r="BT75" s="372"/>
      <c r="BU75" s="37"/>
      <c r="BV75" s="372"/>
      <c r="BW75" s="382"/>
      <c r="BX75" s="372"/>
      <c r="BY75" s="372"/>
      <c r="BZ75" s="372"/>
      <c r="CA75" s="37"/>
      <c r="CB75" s="372"/>
      <c r="CC75" s="382"/>
      <c r="CD75" s="372"/>
      <c r="CE75" s="372"/>
      <c r="CF75" s="372"/>
      <c r="CG75" s="37"/>
      <c r="CH75" s="372"/>
      <c r="CI75" s="382"/>
      <c r="CJ75" s="372"/>
      <c r="CK75" s="372"/>
      <c r="CL75" s="372"/>
      <c r="CM75" s="37"/>
      <c r="CN75" s="372"/>
      <c r="CO75" s="382"/>
      <c r="CP75" s="372"/>
      <c r="CQ75" s="372"/>
      <c r="CR75" s="372"/>
      <c r="CS75" s="37"/>
      <c r="CT75" s="372"/>
      <c r="CU75" s="375"/>
      <c r="CV75" s="375"/>
    </row>
    <row r="76" spans="1:100" ht="12.75" customHeight="1" outlineLevel="1">
      <c r="A76" s="262" t="s">
        <v>63</v>
      </c>
      <c r="B76" s="376"/>
      <c r="C76" s="377">
        <f>-C77/C78</f>
        <v>14.292441817574122</v>
      </c>
      <c r="D76" s="376">
        <f>-D77/D78</f>
        <v>4.2762104258024652E-2</v>
      </c>
      <c r="E76" s="376">
        <f>-E77/E78</f>
        <v>0</v>
      </c>
      <c r="F76" s="376">
        <f>-F77/F78</f>
        <v>0</v>
      </c>
      <c r="G76" s="379">
        <f>-G77/G78</f>
        <v>11.615559710079706</v>
      </c>
      <c r="H76" s="376"/>
      <c r="I76" s="377">
        <f>-I77/I78</f>
        <v>0</v>
      </c>
      <c r="J76" s="376">
        <f>-J77/J78</f>
        <v>0</v>
      </c>
      <c r="K76" s="376">
        <f>-K77/K78</f>
        <v>0</v>
      </c>
      <c r="L76" s="376">
        <f>-L77/L78</f>
        <v>2.7197058242499867</v>
      </c>
      <c r="M76" s="379">
        <f>-M77/M78</f>
        <v>1.977710883971963</v>
      </c>
      <c r="N76" s="376"/>
      <c r="O76" s="377">
        <f>-O77/O78</f>
        <v>0</v>
      </c>
      <c r="P76" s="376">
        <f>-P77/P78</f>
        <v>0</v>
      </c>
      <c r="Q76" s="376">
        <f>-Q77/Q78</f>
        <v>0</v>
      </c>
      <c r="R76" s="376">
        <f>-R77/R78</f>
        <v>5.2069096076025252</v>
      </c>
      <c r="S76" s="379">
        <f>-S77/S78</f>
        <v>5.0622610373940118</v>
      </c>
      <c r="T76" s="376"/>
      <c r="U76" s="377">
        <f>-U77/U78</f>
        <v>0</v>
      </c>
      <c r="V76" s="376">
        <f>-V77/V78</f>
        <v>0</v>
      </c>
      <c r="W76" s="376">
        <f>-W77/W78</f>
        <v>0.3528891035009934</v>
      </c>
      <c r="X76" s="376">
        <f>-X77/X78</f>
        <v>0.48763933015214916</v>
      </c>
      <c r="Y76" s="379">
        <f>-Y77/Y78</f>
        <v>0.9705630815321179</v>
      </c>
      <c r="Z76" s="376"/>
      <c r="AA76" s="377">
        <f>-AA77/AA78</f>
        <v>4.9686477263478359</v>
      </c>
      <c r="AB76" s="376">
        <f>-AB77/AB78</f>
        <v>0.39082601443574794</v>
      </c>
      <c r="AC76" s="376">
        <f>-AC77/AC78</f>
        <v>3.6210986084845258</v>
      </c>
      <c r="AD76" s="376">
        <f>-AD77/AD78</f>
        <v>0</v>
      </c>
      <c r="AE76" s="379">
        <f>-AE77/AE78</f>
        <v>10.120137178769308</v>
      </c>
      <c r="AF76" s="376"/>
      <c r="AG76" s="377">
        <f>-AG77/AG78</f>
        <v>0</v>
      </c>
      <c r="AH76" s="376">
        <f>-AH77/AH78</f>
        <v>0.92854285714285723</v>
      </c>
      <c r="AI76" s="376">
        <f>-AI77/AI78</f>
        <v>0.46449758990700074</v>
      </c>
      <c r="AJ76" s="376">
        <f>-AJ77/AJ78</f>
        <v>0.59167990558640493</v>
      </c>
      <c r="AK76" s="379">
        <f>-AK77/AK78</f>
        <v>1.7839157744506109</v>
      </c>
      <c r="AL76" s="376"/>
      <c r="AM76" s="377">
        <f>-AM77/AM78</f>
        <v>0.48403595890256101</v>
      </c>
      <c r="AN76" s="376">
        <f>-AN77/AN78</f>
        <v>0.38008685667255282</v>
      </c>
      <c r="AO76" s="376">
        <f>-AO77/AO78</f>
        <v>0</v>
      </c>
      <c r="AP76" s="376">
        <f>-AP77/AP78</f>
        <v>0</v>
      </c>
      <c r="AQ76" s="379">
        <f>-AQ77/AQ78</f>
        <v>0.68929919886511448</v>
      </c>
      <c r="AR76" s="376"/>
      <c r="AS76" s="377">
        <f>-AS77/AS78</f>
        <v>1.0461272470496055</v>
      </c>
      <c r="AT76" s="15">
        <f>-AT77/AT78</f>
        <v>0.47215280983105079</v>
      </c>
      <c r="AU76" s="376">
        <f>-AU77/AU78</f>
        <v>0</v>
      </c>
      <c r="AV76" s="376">
        <f>-AV77/AV78</f>
        <v>0.19182877063207326</v>
      </c>
      <c r="AW76" s="379">
        <f>-AW77/AW78</f>
        <v>1.5043217402786739</v>
      </c>
      <c r="AX76" s="376"/>
      <c r="AY76" s="377">
        <f>-AY77/AY78</f>
        <v>0.23004904905997792</v>
      </c>
      <c r="AZ76" s="376">
        <f>-AZ77/AZ78</f>
        <v>0</v>
      </c>
      <c r="BA76" s="376">
        <f>-BA77/BA78</f>
        <v>0.18047926499996172</v>
      </c>
      <c r="BB76" s="376">
        <f>-BB77/BB78</f>
        <v>1.2179368303309717</v>
      </c>
      <c r="BC76" s="379">
        <f>-BC77/BC78</f>
        <v>1.5123452412064065</v>
      </c>
      <c r="BD76" s="376"/>
      <c r="BE76" s="377">
        <f>-BE77/BE78</f>
        <v>0</v>
      </c>
      <c r="BF76" s="376">
        <f>-BF77/BF78</f>
        <v>0.68361827470289804</v>
      </c>
      <c r="BG76" s="376">
        <f>-BG77/BG78</f>
        <v>7.9498762581999768E-2</v>
      </c>
      <c r="BH76" s="376">
        <f>-BH77/BH78</f>
        <v>0.98349286958988702</v>
      </c>
      <c r="BI76" s="379">
        <f>-BI77/BI78</f>
        <v>1.6445984624181835</v>
      </c>
      <c r="BJ76" s="376"/>
      <c r="BK76" s="377">
        <f>-BK77/BK78</f>
        <v>0.6235623114684945</v>
      </c>
      <c r="BL76" s="376">
        <f>-BL77/BL78</f>
        <v>0</v>
      </c>
      <c r="BM76" s="376">
        <f>-BM77/BM78</f>
        <v>0.39189014326495913</v>
      </c>
      <c r="BN76" s="376">
        <f>-BN77/BN78</f>
        <v>0.3545495176931594</v>
      </c>
      <c r="BO76" s="379">
        <f>-BO77/BO78</f>
        <v>1.3330057469792274</v>
      </c>
      <c r="BP76" s="376"/>
      <c r="BQ76" s="377">
        <f>-BQ77/BQ78</f>
        <v>0.693985298048027</v>
      </c>
      <c r="BR76" s="376">
        <f>-BR77/BR78</f>
        <v>0.67919369491797943</v>
      </c>
      <c r="BS76" s="376">
        <f>-BS77/BS78</f>
        <v>0.6647173600274352</v>
      </c>
      <c r="BT76" s="376">
        <f>-BT77/BT78</f>
        <v>0.65054957374891609</v>
      </c>
      <c r="BU76" s="379">
        <f>-BU77/BU78</f>
        <v>2.6868866379185286</v>
      </c>
      <c r="BV76" s="376"/>
      <c r="BW76" s="377">
        <f>-BW77/BW78</f>
        <v>0.63668375967708879</v>
      </c>
      <c r="BX76" s="376">
        <f>-BX77/BX78</f>
        <v>0.62311348157612767</v>
      </c>
      <c r="BY76" s="376">
        <f>-BY77/BY78</f>
        <v>0.60983244039214213</v>
      </c>
      <c r="BZ76" s="376">
        <f>-BZ77/BZ78</f>
        <v>0.59683447132928058</v>
      </c>
      <c r="CA76" s="379">
        <f>-CA77/CA78</f>
        <v>2.4650336127692913</v>
      </c>
      <c r="CB76" s="376"/>
      <c r="CC76" s="377">
        <f>-CC77/CC78</f>
        <v>0.5841135409881546</v>
      </c>
      <c r="CD76" s="376">
        <f>-CD77/CD78</f>
        <v>0.57166374456525448</v>
      </c>
      <c r="CE76" s="376">
        <f>-CE77/CE78</f>
        <v>0.55947930311205674</v>
      </c>
      <c r="CF76" s="376">
        <f>-CF77/CF78</f>
        <v>0.54755456085255072</v>
      </c>
      <c r="CG76" s="379">
        <f>-CG77/CG78</f>
        <v>2.2614987273112752</v>
      </c>
      <c r="CH76" s="376"/>
      <c r="CI76" s="377">
        <f t="shared" ref="CI76:CM76" si="125">-CI77/CI78</f>
        <v>0.53588398255793979</v>
      </c>
      <c r="CJ76" s="376">
        <f t="shared" si="125"/>
        <v>0.52446215097729754</v>
      </c>
      <c r="CK76" s="376">
        <f t="shared" si="125"/>
        <v>0.51328376432298761</v>
      </c>
      <c r="CL76" s="376">
        <f t="shared" si="125"/>
        <v>0.50234363380967939</v>
      </c>
      <c r="CM76" s="379">
        <f t="shared" si="125"/>
        <v>2.0747694745974989</v>
      </c>
      <c r="CN76" s="376"/>
      <c r="CO76" s="377">
        <f t="shared" ref="CO76:CS76" si="126">-CO77/CO78</f>
        <v>0.49163668124581611</v>
      </c>
      <c r="CP76" s="376">
        <f t="shared" si="126"/>
        <v>0.48115793667641948</v>
      </c>
      <c r="CQ76" s="376">
        <f t="shared" si="126"/>
        <v>0.47090253607613525</v>
      </c>
      <c r="CR76" s="376">
        <f t="shared" si="126"/>
        <v>0.4608657190914488</v>
      </c>
      <c r="CS76" s="379">
        <f t="shared" si="126"/>
        <v>1.9034582335756867</v>
      </c>
      <c r="CT76" s="376"/>
      <c r="CU76" s="69"/>
      <c r="CV76" s="69"/>
    </row>
    <row r="77" spans="1:100" ht="12.75" customHeight="1" outlineLevel="1">
      <c r="A77" s="353" t="s">
        <v>64</v>
      </c>
      <c r="B77" s="227"/>
      <c r="C77" s="388">
        <f>C41</f>
        <v>-250.88900000000001</v>
      </c>
      <c r="D77" s="227">
        <f>D41</f>
        <v>-0.73300000000000409</v>
      </c>
      <c r="E77" s="227">
        <f>E41</f>
        <v>0</v>
      </c>
      <c r="F77" s="227">
        <f>F41</f>
        <v>0</v>
      </c>
      <c r="G77" s="389">
        <f>G41</f>
        <v>-251.62200000000001</v>
      </c>
      <c r="H77" s="227"/>
      <c r="I77" s="388">
        <f>I41</f>
        <v>0</v>
      </c>
      <c r="J77" s="227">
        <f>J41</f>
        <v>0</v>
      </c>
      <c r="K77" s="227">
        <f>K41</f>
        <v>0</v>
      </c>
      <c r="L77" s="227">
        <f>L41</f>
        <v>-70.784999999999997</v>
      </c>
      <c r="M77" s="389">
        <f>M41</f>
        <v>-70.784999999999997</v>
      </c>
      <c r="N77" s="227"/>
      <c r="O77" s="388">
        <f>O41</f>
        <v>0</v>
      </c>
      <c r="P77" s="227">
        <f>P41</f>
        <v>0</v>
      </c>
      <c r="Q77" s="227">
        <f>Q41</f>
        <v>0</v>
      </c>
      <c r="R77" s="227">
        <f>R41</f>
        <v>-175.136</v>
      </c>
      <c r="S77" s="389">
        <f>S41</f>
        <v>-175.136</v>
      </c>
      <c r="T77" s="227"/>
      <c r="U77" s="388">
        <f>U41</f>
        <v>0</v>
      </c>
      <c r="V77" s="227">
        <f>V41</f>
        <v>0</v>
      </c>
      <c r="W77" s="227">
        <f>W41</f>
        <v>-16.006</v>
      </c>
      <c r="X77" s="227">
        <f>X41</f>
        <v>-28.009999999999998</v>
      </c>
      <c r="Y77" s="389">
        <f>Y41</f>
        <v>-44.015999999999998</v>
      </c>
      <c r="Z77" s="227"/>
      <c r="AA77" s="388">
        <f>AA41</f>
        <v>-338.32</v>
      </c>
      <c r="AB77" s="227">
        <f>AB41</f>
        <v>-28.006000000000029</v>
      </c>
      <c r="AC77" s="227">
        <f>AC41</f>
        <v>-204.07999999999993</v>
      </c>
      <c r="AD77" s="227">
        <f>AD41</f>
        <v>0</v>
      </c>
      <c r="AE77" s="389">
        <f>AE41</f>
        <v>-570.40599999999995</v>
      </c>
      <c r="AF77" s="227"/>
      <c r="AG77" s="388">
        <f>AG41</f>
        <v>0</v>
      </c>
      <c r="AH77" s="227">
        <f>AH41</f>
        <v>-32.499000000000002</v>
      </c>
      <c r="AI77" s="227">
        <f>AI41</f>
        <v>-20.009999999999998</v>
      </c>
      <c r="AJ77" s="227">
        <f>AJ41</f>
        <v>-30.013000000000005</v>
      </c>
      <c r="AK77" s="389">
        <f>AK41</f>
        <v>-82.522000000000006</v>
      </c>
      <c r="AL77" s="227"/>
      <c r="AM77" s="388">
        <f>AM41</f>
        <v>-25.010999999999999</v>
      </c>
      <c r="AN77" s="227">
        <f>AN41</f>
        <v>-25.009000000000004</v>
      </c>
      <c r="AO77" s="227">
        <f>AO41</f>
        <v>0</v>
      </c>
      <c r="AP77" s="227">
        <f>AP41</f>
        <v>0</v>
      </c>
      <c r="AQ77" s="389">
        <f>AQ41</f>
        <v>-50.02</v>
      </c>
      <c r="AR77" s="227"/>
      <c r="AS77" s="388">
        <f>AS41</f>
        <v>-130.017</v>
      </c>
      <c r="AT77" s="1496">
        <f>AT41</f>
        <v>-72.414000000000016</v>
      </c>
      <c r="AU77" s="227">
        <f>AU41</f>
        <v>0</v>
      </c>
      <c r="AV77" s="227">
        <f>AV41</f>
        <v>-34.751999999999981</v>
      </c>
      <c r="AW77" s="389">
        <f>AW41</f>
        <v>-237.18299999999999</v>
      </c>
      <c r="AX77" s="227"/>
      <c r="AY77" s="388">
        <f>AY41</f>
        <v>-34.753</v>
      </c>
      <c r="AZ77" s="227">
        <f>AZ41</f>
        <v>0</v>
      </c>
      <c r="BA77" s="227">
        <f>BA41</f>
        <v>-37.503</v>
      </c>
      <c r="BB77" s="227">
        <f>BB41</f>
        <v>-202.06800000000001</v>
      </c>
      <c r="BC77" s="389">
        <f>BC41</f>
        <v>-274.32400000000001</v>
      </c>
      <c r="BD77" s="227"/>
      <c r="BE77" s="388">
        <f>BE41</f>
        <v>0</v>
      </c>
      <c r="BF77" s="227">
        <f>BF41</f>
        <v>-100</v>
      </c>
      <c r="BG77" s="227">
        <f>BG41</f>
        <v>-13.075000000000003</v>
      </c>
      <c r="BH77" s="227">
        <f>BH41</f>
        <v>-136.267</v>
      </c>
      <c r="BI77" s="389">
        <f>BI41</f>
        <v>-249.34199999999998</v>
      </c>
      <c r="BJ77" s="227"/>
      <c r="BK77" s="388">
        <f>BK41</f>
        <v>-101</v>
      </c>
      <c r="BL77" s="227">
        <f>BL41</f>
        <v>0</v>
      </c>
      <c r="BM77" s="227">
        <f>BM41</f>
        <v>-75</v>
      </c>
      <c r="BN77" s="227">
        <f>BN41</f>
        <v>-75</v>
      </c>
      <c r="BO77" s="389">
        <f>BO41</f>
        <v>-251</v>
      </c>
      <c r="BP77" s="227"/>
      <c r="BQ77" s="388">
        <f>BQ41</f>
        <v>-150</v>
      </c>
      <c r="BR77" s="227">
        <f>BR41</f>
        <v>-150</v>
      </c>
      <c r="BS77" s="227">
        <f>BS41</f>
        <v>-150</v>
      </c>
      <c r="BT77" s="227">
        <f>BT41</f>
        <v>-150</v>
      </c>
      <c r="BU77" s="389">
        <f>BU41</f>
        <v>-600</v>
      </c>
      <c r="BV77" s="227"/>
      <c r="BW77" s="388">
        <f>BW41</f>
        <v>-150</v>
      </c>
      <c r="BX77" s="227">
        <f>BX41</f>
        <v>-150</v>
      </c>
      <c r="BY77" s="227">
        <f>BY41</f>
        <v>-150</v>
      </c>
      <c r="BZ77" s="227">
        <f>BZ41</f>
        <v>-150</v>
      </c>
      <c r="CA77" s="389">
        <f>CA41</f>
        <v>-600</v>
      </c>
      <c r="CB77" s="227"/>
      <c r="CC77" s="388">
        <f>CC41</f>
        <v>-150</v>
      </c>
      <c r="CD77" s="227">
        <f>CD41</f>
        <v>-150</v>
      </c>
      <c r="CE77" s="227">
        <f>CE41</f>
        <v>-150</v>
      </c>
      <c r="CF77" s="227">
        <f>CF41</f>
        <v>-150</v>
      </c>
      <c r="CG77" s="389">
        <f>CG41</f>
        <v>-600</v>
      </c>
      <c r="CH77" s="227"/>
      <c r="CI77" s="388">
        <f t="shared" ref="CI77:CM77" si="127">CI41</f>
        <v>-150</v>
      </c>
      <c r="CJ77" s="227">
        <f t="shared" si="127"/>
        <v>-150</v>
      </c>
      <c r="CK77" s="227">
        <f t="shared" si="127"/>
        <v>-150</v>
      </c>
      <c r="CL77" s="227">
        <f t="shared" si="127"/>
        <v>-150</v>
      </c>
      <c r="CM77" s="389">
        <f t="shared" si="127"/>
        <v>-600</v>
      </c>
      <c r="CN77" s="227"/>
      <c r="CO77" s="388">
        <f t="shared" ref="CO77:CS77" si="128">CO41</f>
        <v>-150</v>
      </c>
      <c r="CP77" s="227">
        <f t="shared" si="128"/>
        <v>-150</v>
      </c>
      <c r="CQ77" s="227">
        <f t="shared" si="128"/>
        <v>-150</v>
      </c>
      <c r="CR77" s="227">
        <f t="shared" si="128"/>
        <v>-150</v>
      </c>
      <c r="CS77" s="389">
        <f t="shared" si="128"/>
        <v>-600</v>
      </c>
      <c r="CT77" s="227"/>
      <c r="CU77" s="163"/>
      <c r="CV77" s="163"/>
    </row>
    <row r="78" spans="1:100" ht="12.75" customHeight="1" outlineLevel="1">
      <c r="A78" s="356" t="s">
        <v>65</v>
      </c>
      <c r="B78" s="391"/>
      <c r="C78" s="392">
        <f>C57</f>
        <v>17.553963360655736</v>
      </c>
      <c r="D78" s="391">
        <f>D57</f>
        <v>17.141345420634924</v>
      </c>
      <c r="E78" s="391">
        <f>E57</f>
        <v>23.452219261904759</v>
      </c>
      <c r="F78" s="391">
        <f>F57</f>
        <v>28.267184617187503</v>
      </c>
      <c r="G78" s="393">
        <f>G57</f>
        <v>21.662494643426303</v>
      </c>
      <c r="H78" s="391"/>
      <c r="I78" s="392">
        <f>I57</f>
        <v>34.234587573770497</v>
      </c>
      <c r="J78" s="391">
        <f>J57</f>
        <v>39.315074421875025</v>
      </c>
      <c r="K78" s="391">
        <f>K57</f>
        <v>43.516167882812503</v>
      </c>
      <c r="L78" s="391">
        <f>L57</f>
        <v>26.026711921874998</v>
      </c>
      <c r="M78" s="393">
        <f>M57</f>
        <v>35.791379100790486</v>
      </c>
      <c r="N78" s="394"/>
      <c r="O78" s="392">
        <f>O57</f>
        <v>31.858353065573773</v>
      </c>
      <c r="P78" s="391">
        <f>P57</f>
        <v>36.592121666666685</v>
      </c>
      <c r="Q78" s="391">
        <f>Q57</f>
        <v>36.202650046875007</v>
      </c>
      <c r="R78" s="391">
        <f>R57</f>
        <v>33.635306390625011</v>
      </c>
      <c r="S78" s="393">
        <f>S57</f>
        <v>34.59639846825398</v>
      </c>
      <c r="T78" s="394"/>
      <c r="U78" s="392">
        <f>U57</f>
        <v>37.40327434375002</v>
      </c>
      <c r="V78" s="391">
        <f>V57</f>
        <v>41.137850380952386</v>
      </c>
      <c r="W78" s="391">
        <f>W57</f>
        <v>45.357025312500028</v>
      </c>
      <c r="X78" s="391">
        <f>X57</f>
        <v>57.439993593750017</v>
      </c>
      <c r="Y78" s="393">
        <f>Y57</f>
        <v>45.35099349803923</v>
      </c>
      <c r="Z78" s="394"/>
      <c r="AA78" s="392">
        <f>AA57</f>
        <v>68.090961290322625</v>
      </c>
      <c r="AB78" s="391">
        <f>AB57</f>
        <v>71.658484761904802</v>
      </c>
      <c r="AC78" s="391">
        <f>AC57</f>
        <v>56.358586734375045</v>
      </c>
      <c r="AD78" s="391">
        <f>AD57</f>
        <v>29.532056301587314</v>
      </c>
      <c r="AE78" s="393">
        <f>AE57</f>
        <v>56.363465230158667</v>
      </c>
      <c r="AF78" s="394"/>
      <c r="AG78" s="392">
        <f>AG57</f>
        <v>47.378460451612916</v>
      </c>
      <c r="AH78" s="391">
        <v>35</v>
      </c>
      <c r="AI78" s="391">
        <f>AI57</f>
        <v>43.078802634920656</v>
      </c>
      <c r="AJ78" s="391">
        <f>AJ57</f>
        <v>50.72506217741936</v>
      </c>
      <c r="AK78" s="393">
        <f>AK57</f>
        <v>46.258910415999964</v>
      </c>
      <c r="AL78" s="394"/>
      <c r="AM78" s="392">
        <f>AM57</f>
        <v>51.671780866666651</v>
      </c>
      <c r="AN78" s="391">
        <f>AN57</f>
        <v>65.798118406249998</v>
      </c>
      <c r="AO78" s="391">
        <f>AO57</f>
        <v>78.639586953125033</v>
      </c>
      <c r="AP78" s="391">
        <f>AP57</f>
        <v>94.156337859375043</v>
      </c>
      <c r="AQ78" s="393">
        <f>AQ57</f>
        <v>72.566456021354185</v>
      </c>
      <c r="AR78" s="394"/>
      <c r="AS78" s="392">
        <f>AS57</f>
        <v>124.28411588235292</v>
      </c>
      <c r="AT78" s="1503">
        <f>AT57</f>
        <v>153.36983809523812</v>
      </c>
      <c r="AU78" s="391">
        <f>AU57</f>
        <v>171.85541859374996</v>
      </c>
      <c r="AV78" s="391">
        <f>AV57</f>
        <v>181.16156343750001</v>
      </c>
      <c r="AW78" s="393">
        <f>AW57</f>
        <v>157.66773400221027</v>
      </c>
      <c r="AX78" s="394"/>
      <c r="AY78" s="392">
        <f>AY57</f>
        <v>151.06778377049179</v>
      </c>
      <c r="AZ78" s="391">
        <f>AZ57</f>
        <v>200.78460761904765</v>
      </c>
      <c r="BA78" s="391">
        <f>BA57</f>
        <v>207.79672390625012</v>
      </c>
      <c r="BB78" s="391">
        <f>BB57</f>
        <v>165.91008249999999</v>
      </c>
      <c r="BC78" s="393">
        <f>BC57</f>
        <v>181.38979944894737</v>
      </c>
      <c r="BD78" s="394"/>
      <c r="BE78" s="392">
        <f>BE57</f>
        <v>157.14820147540991</v>
      </c>
      <c r="BF78" s="391">
        <f>BF57</f>
        <v>146.28046630769228</v>
      </c>
      <c r="BG78" s="391">
        <f>BG57</f>
        <v>164.46796874999995</v>
      </c>
      <c r="BH78" s="391">
        <f>BH57</f>
        <v>138.55413111111099</v>
      </c>
      <c r="BI78" s="393">
        <f>BI57</f>
        <v>151.61269191105328</v>
      </c>
      <c r="BJ78" s="394"/>
      <c r="BK78" s="392">
        <f>BK57</f>
        <v>161.97258580645155</v>
      </c>
      <c r="BL78" s="391" t="str">
        <f>BL57</f>
        <v xml:space="preserve">$177.76 </v>
      </c>
      <c r="BM78" s="391">
        <f>BM57</f>
        <v>191.38016428571433</v>
      </c>
      <c r="BN78" s="391">
        <f>BN57</f>
        <v>211.53603730158744</v>
      </c>
      <c r="BO78" s="393">
        <f>BO57</f>
        <v>188.29626246458443</v>
      </c>
      <c r="BP78" s="394"/>
      <c r="BQ78" s="392">
        <f>BQ57</f>
        <v>216.14290738133087</v>
      </c>
      <c r="BR78" s="391">
        <f>BR57</f>
        <v>220.85010671089086</v>
      </c>
      <c r="BS78" s="391">
        <f>BS57</f>
        <v>225.65982027881591</v>
      </c>
      <c r="BT78" s="391">
        <f>BT57</f>
        <v>230.57428065873037</v>
      </c>
      <c r="BU78" s="393">
        <f>BU57</f>
        <v>223.306778757442</v>
      </c>
      <c r="BV78" s="394"/>
      <c r="BW78" s="392">
        <f>BW57</f>
        <v>235.59576904565071</v>
      </c>
      <c r="BX78" s="391">
        <f>BX57</f>
        <v>240.72661631487111</v>
      </c>
      <c r="BY78" s="391">
        <f>BY57</f>
        <v>245.96920410390945</v>
      </c>
      <c r="BZ78" s="391">
        <f>BZ57</f>
        <v>251.32596591801621</v>
      </c>
      <c r="CA78" s="393">
        <f>CA57</f>
        <v>243.40438884561186</v>
      </c>
      <c r="CB78" s="394"/>
      <c r="CC78" s="392">
        <f>CC57</f>
        <v>256.79938825975938</v>
      </c>
      <c r="CD78" s="391">
        <f>CD57</f>
        <v>262.39201178320963</v>
      </c>
      <c r="CE78" s="391">
        <f>CE57</f>
        <v>268.10643247326141</v>
      </c>
      <c r="CF78" s="391">
        <f>CF57</f>
        <v>273.9453028506378</v>
      </c>
      <c r="CG78" s="393">
        <f>CG57</f>
        <v>265.31078384171707</v>
      </c>
      <c r="CH78" s="394"/>
      <c r="CI78" s="392">
        <f t="shared" ref="CI78:CM78" si="129">CI57</f>
        <v>279.91133320313787</v>
      </c>
      <c r="CJ78" s="391">
        <f t="shared" si="129"/>
        <v>286.00729284369862</v>
      </c>
      <c r="CK78" s="391">
        <f t="shared" si="129"/>
        <v>292.23601139585509</v>
      </c>
      <c r="CL78" s="391">
        <f t="shared" si="129"/>
        <v>298.60038010719535</v>
      </c>
      <c r="CM78" s="393">
        <f t="shared" si="129"/>
        <v>289.18875438747176</v>
      </c>
      <c r="CN78" s="394"/>
      <c r="CO78" s="392">
        <f t="shared" ref="CO78:CS78" si="130">CO57</f>
        <v>305.10335319142041</v>
      </c>
      <c r="CP78" s="391">
        <f t="shared" si="130"/>
        <v>311.74794919963165</v>
      </c>
      <c r="CQ78" s="391">
        <f t="shared" si="130"/>
        <v>318.53725242148215</v>
      </c>
      <c r="CR78" s="391">
        <f t="shared" si="130"/>
        <v>325.47441431684302</v>
      </c>
      <c r="CS78" s="393">
        <f t="shared" si="130"/>
        <v>315.21574228234431</v>
      </c>
      <c r="CT78" s="391"/>
      <c r="CU78" s="360"/>
      <c r="CV78" s="360"/>
    </row>
    <row r="79" spans="1:100" ht="12.75" customHeight="1" outlineLevel="1">
      <c r="A79" s="395" t="s">
        <v>66</v>
      </c>
      <c r="B79" s="49"/>
      <c r="C79" s="396"/>
      <c r="D79" s="397"/>
      <c r="E79" s="397"/>
      <c r="F79" s="397"/>
      <c r="G79" s="398"/>
      <c r="H79" s="49"/>
      <c r="I79" s="396"/>
      <c r="J79" s="397"/>
      <c r="K79" s="397"/>
      <c r="L79" s="397"/>
      <c r="M79" s="398"/>
      <c r="N79" s="49"/>
      <c r="O79" s="396"/>
      <c r="P79" s="397"/>
      <c r="Q79" s="397"/>
      <c r="R79" s="397"/>
      <c r="S79" s="398"/>
      <c r="T79" s="49"/>
      <c r="U79" s="396"/>
      <c r="V79" s="397"/>
      <c r="W79" s="397"/>
      <c r="X79" s="397"/>
      <c r="Y79" s="398"/>
      <c r="Z79" s="49"/>
      <c r="AA79" s="396"/>
      <c r="AB79" s="397"/>
      <c r="AC79" s="397"/>
      <c r="AD79" s="397"/>
      <c r="AE79" s="398"/>
      <c r="AF79" s="49"/>
      <c r="AG79" s="396"/>
      <c r="AH79" s="397"/>
      <c r="AI79" s="397"/>
      <c r="AJ79" s="397"/>
      <c r="AK79" s="398"/>
      <c r="AL79" s="49"/>
      <c r="AM79" s="396"/>
      <c r="AN79" s="397"/>
      <c r="AO79" s="397"/>
      <c r="AP79" s="397"/>
      <c r="AQ79" s="398"/>
      <c r="AR79" s="49"/>
      <c r="AS79" s="396"/>
      <c r="AT79" s="1504"/>
      <c r="AU79" s="397"/>
      <c r="AV79" s="397"/>
      <c r="AW79" s="398"/>
      <c r="AX79" s="49"/>
      <c r="AY79" s="396"/>
      <c r="AZ79" s="397"/>
      <c r="BA79" s="397"/>
      <c r="BB79" s="397"/>
      <c r="BC79" s="398"/>
      <c r="BD79" s="49"/>
      <c r="BE79" s="396"/>
      <c r="BF79" s="397"/>
      <c r="BG79" s="397"/>
      <c r="BH79" s="397"/>
      <c r="BI79" s="398"/>
      <c r="BJ79" s="49"/>
      <c r="BK79" s="396"/>
      <c r="BL79" s="397"/>
      <c r="BM79" s="397"/>
      <c r="BN79" s="397"/>
      <c r="BO79" s="398"/>
      <c r="BP79" s="49"/>
      <c r="BQ79" s="396"/>
      <c r="BR79" s="397"/>
      <c r="BS79" s="397"/>
      <c r="BT79" s="397"/>
      <c r="BU79" s="398"/>
      <c r="BV79" s="49"/>
      <c r="BW79" s="396"/>
      <c r="BX79" s="397"/>
      <c r="BY79" s="397"/>
      <c r="BZ79" s="397"/>
      <c r="CA79" s="398"/>
      <c r="CB79" s="49"/>
      <c r="CC79" s="396"/>
      <c r="CD79" s="397"/>
      <c r="CE79" s="397"/>
      <c r="CF79" s="397"/>
      <c r="CG79" s="398"/>
      <c r="CH79" s="49"/>
      <c r="CI79" s="396"/>
      <c r="CJ79" s="397"/>
      <c r="CK79" s="397"/>
      <c r="CL79" s="397"/>
      <c r="CM79" s="398"/>
      <c r="CN79" s="49"/>
      <c r="CO79" s="396"/>
      <c r="CP79" s="397"/>
      <c r="CQ79" s="397"/>
      <c r="CR79" s="397"/>
      <c r="CS79" s="398"/>
      <c r="CT79" s="362"/>
      <c r="CU79" s="364"/>
      <c r="CV79" s="364"/>
    </row>
    <row r="80" spans="1:100" ht="12.75" customHeight="1">
      <c r="A80" s="399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4"/>
      <c r="AR80" s="43"/>
      <c r="AS80" s="44"/>
      <c r="AT80" s="43"/>
      <c r="AU80" s="44"/>
      <c r="AV80" s="44"/>
      <c r="AW80" s="44"/>
      <c r="AX80" s="43"/>
      <c r="AY80" s="44"/>
      <c r="AZ80" s="44"/>
      <c r="BA80" s="44"/>
      <c r="BB80" s="44"/>
      <c r="BC80" s="44"/>
      <c r="BD80" s="43"/>
      <c r="BE80" s="44"/>
      <c r="BF80" s="44"/>
      <c r="BG80" s="44"/>
      <c r="BH80" s="44"/>
      <c r="BI80" s="44"/>
      <c r="BJ80" s="43"/>
      <c r="BK80" s="44"/>
      <c r="BL80" s="44"/>
      <c r="BM80" s="44"/>
      <c r="BN80" s="44"/>
      <c r="BO80" s="44"/>
      <c r="BP80" s="43"/>
      <c r="BQ80" s="44"/>
      <c r="BR80" s="44"/>
      <c r="BS80" s="44"/>
      <c r="BT80" s="44"/>
      <c r="BU80" s="44"/>
      <c r="BV80" s="43"/>
      <c r="BW80" s="44"/>
      <c r="BX80" s="44"/>
      <c r="BY80" s="44"/>
      <c r="BZ80" s="44"/>
      <c r="CA80" s="44"/>
      <c r="CB80" s="43"/>
      <c r="CC80" s="44"/>
      <c r="CD80" s="44"/>
      <c r="CE80" s="44"/>
      <c r="CF80" s="44"/>
      <c r="CG80" s="44"/>
      <c r="CH80" s="43"/>
      <c r="CI80" s="44"/>
      <c r="CJ80" s="44"/>
      <c r="CK80" s="44"/>
      <c r="CL80" s="44"/>
      <c r="CM80" s="44"/>
      <c r="CN80" s="43"/>
      <c r="CO80" s="44"/>
      <c r="CP80" s="44"/>
      <c r="CQ80" s="44"/>
      <c r="CR80" s="44"/>
      <c r="CS80" s="44"/>
      <c r="CT80" s="44"/>
      <c r="CU80" s="1"/>
      <c r="CV80" s="1"/>
    </row>
    <row r="81" spans="1:100" ht="12.75" customHeight="1">
      <c r="A81" s="28" t="s">
        <v>67</v>
      </c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40"/>
      <c r="AX81" s="39"/>
      <c r="AY81" s="39"/>
      <c r="AZ81" s="39"/>
      <c r="BA81" s="39"/>
      <c r="BB81" s="39"/>
      <c r="BC81" s="40"/>
      <c r="BD81" s="39"/>
      <c r="BE81" s="39"/>
      <c r="BF81" s="39"/>
      <c r="BG81" s="39"/>
      <c r="BH81" s="39"/>
      <c r="BI81" s="40"/>
      <c r="BJ81" s="39"/>
      <c r="BK81" s="39"/>
      <c r="BL81" s="39"/>
      <c r="BM81" s="39"/>
      <c r="BN81" s="39"/>
      <c r="BO81" s="40"/>
      <c r="BP81" s="39"/>
      <c r="BQ81" s="39"/>
      <c r="BR81" s="39"/>
      <c r="BS81" s="39"/>
      <c r="BT81" s="39"/>
      <c r="BU81" s="40"/>
      <c r="BV81" s="39"/>
      <c r="BW81" s="39"/>
      <c r="BX81" s="39"/>
      <c r="BY81" s="39"/>
      <c r="BZ81" s="39"/>
      <c r="CA81" s="40"/>
      <c r="CB81" s="39"/>
      <c r="CC81" s="39"/>
      <c r="CD81" s="39"/>
      <c r="CE81" s="39"/>
      <c r="CF81" s="39"/>
      <c r="CG81" s="40"/>
      <c r="CH81" s="39"/>
      <c r="CI81" s="39"/>
      <c r="CJ81" s="39"/>
      <c r="CK81" s="39"/>
      <c r="CL81" s="39"/>
      <c r="CM81" s="40"/>
      <c r="CN81" s="39"/>
      <c r="CO81" s="39"/>
      <c r="CP81" s="39"/>
      <c r="CQ81" s="39"/>
      <c r="CR81" s="39"/>
      <c r="CS81" s="40"/>
      <c r="CT81" s="2914"/>
      <c r="CU81" s="375"/>
      <c r="CV81" s="375"/>
    </row>
    <row r="82" spans="1:100" ht="12.75" customHeight="1" outlineLevel="1">
      <c r="A82" s="41" t="s">
        <v>180</v>
      </c>
      <c r="B82" s="46"/>
      <c r="C82" s="106"/>
      <c r="D82" s="46"/>
      <c r="E82" s="46"/>
      <c r="F82" s="46"/>
      <c r="G82" s="45"/>
      <c r="H82" s="46"/>
      <c r="I82" s="106"/>
      <c r="J82" s="46"/>
      <c r="K82" s="46"/>
      <c r="L82" s="46"/>
      <c r="M82" s="45"/>
      <c r="N82" s="35"/>
      <c r="O82" s="106"/>
      <c r="P82" s="46"/>
      <c r="Q82" s="46"/>
      <c r="R82" s="46"/>
      <c r="S82" s="45"/>
      <c r="T82" s="35"/>
      <c r="U82" s="106"/>
      <c r="V82" s="46"/>
      <c r="W82" s="46"/>
      <c r="X82" s="46"/>
      <c r="Y82" s="45"/>
      <c r="Z82" s="35"/>
      <c r="AA82" s="106"/>
      <c r="AB82" s="46"/>
      <c r="AC82" s="46"/>
      <c r="AD82" s="46"/>
      <c r="AE82" s="1337"/>
      <c r="AF82" s="46"/>
      <c r="AG82" s="106"/>
      <c r="AH82" s="46"/>
      <c r="AI82" s="46"/>
      <c r="AJ82" s="46"/>
      <c r="AK82" s="2653">
        <v>0.3</v>
      </c>
      <c r="AL82" s="2654"/>
      <c r="AM82" s="2655"/>
      <c r="AN82" s="2654"/>
      <c r="AO82" s="2654"/>
      <c r="AP82" s="2654"/>
      <c r="AQ82" s="2653">
        <v>0.3</v>
      </c>
      <c r="AR82" s="2654"/>
      <c r="AS82" s="2655"/>
      <c r="AT82" s="2654"/>
      <c r="AU82" s="2654"/>
      <c r="AV82" s="2654"/>
      <c r="AW82" s="2653">
        <v>0.3</v>
      </c>
      <c r="AX82" s="2654"/>
      <c r="AY82" s="2655"/>
      <c r="AZ82" s="2654"/>
      <c r="BA82" s="2654"/>
      <c r="BB82" s="2654"/>
      <c r="BC82" s="2653">
        <v>0.3</v>
      </c>
      <c r="BD82" s="2654"/>
      <c r="BE82" s="2655"/>
      <c r="BF82" s="2654"/>
      <c r="BG82" s="2654"/>
      <c r="BH82" s="2654"/>
      <c r="BI82" s="2653">
        <v>0.3</v>
      </c>
      <c r="BJ82" s="2654"/>
      <c r="BK82" s="2655"/>
      <c r="BL82" s="2654"/>
      <c r="BM82" s="2654"/>
      <c r="BN82" s="2654"/>
      <c r="BO82" s="2653">
        <v>0.3</v>
      </c>
      <c r="BP82" s="2654"/>
      <c r="BQ82" s="2655"/>
      <c r="BR82" s="2654"/>
      <c r="BS82" s="2654"/>
      <c r="BT82" s="2654"/>
      <c r="BU82" s="2653">
        <v>0.3</v>
      </c>
      <c r="BV82" s="2654"/>
      <c r="BW82" s="2655"/>
      <c r="BX82" s="2654"/>
      <c r="BY82" s="2654"/>
      <c r="BZ82" s="2654"/>
      <c r="CA82" s="2653">
        <v>0.3</v>
      </c>
      <c r="CB82" s="2654"/>
      <c r="CC82" s="2655"/>
      <c r="CD82" s="2654"/>
      <c r="CE82" s="2654"/>
      <c r="CF82" s="2654"/>
      <c r="CG82" s="2653">
        <v>0.3</v>
      </c>
      <c r="CH82" s="2654"/>
      <c r="CI82" s="2655"/>
      <c r="CJ82" s="2654"/>
      <c r="CK82" s="2654"/>
      <c r="CL82" s="2654"/>
      <c r="CM82" s="2653">
        <v>0.3</v>
      </c>
      <c r="CN82" s="2654"/>
      <c r="CO82" s="2655"/>
      <c r="CP82" s="2654"/>
      <c r="CQ82" s="2654"/>
      <c r="CR82" s="2654"/>
      <c r="CS82" s="2653">
        <v>0.3</v>
      </c>
      <c r="CT82" s="2398"/>
      <c r="CU82" s="364"/>
      <c r="CV82" s="364"/>
    </row>
    <row r="83" spans="1:100" ht="12.75" customHeight="1" outlineLevel="1">
      <c r="A83" s="41" t="s">
        <v>216</v>
      </c>
      <c r="B83" s="46"/>
      <c r="C83" s="107"/>
      <c r="D83" s="46"/>
      <c r="E83" s="46"/>
      <c r="F83" s="46"/>
      <c r="G83" s="47"/>
      <c r="H83" s="46"/>
      <c r="I83" s="107"/>
      <c r="J83" s="46"/>
      <c r="K83" s="46"/>
      <c r="L83" s="46"/>
      <c r="M83" s="47"/>
      <c r="N83" s="35"/>
      <c r="O83" s="107"/>
      <c r="P83" s="46"/>
      <c r="Q83" s="46"/>
      <c r="R83" s="46"/>
      <c r="S83" s="47"/>
      <c r="T83" s="35"/>
      <c r="U83" s="107"/>
      <c r="V83" s="46"/>
      <c r="W83" s="46"/>
      <c r="X83" s="46"/>
      <c r="Y83" s="47"/>
      <c r="Z83" s="35"/>
      <c r="AA83" s="107"/>
      <c r="AB83" s="46"/>
      <c r="AC83" s="46"/>
      <c r="AD83" s="46"/>
      <c r="AE83" s="1338"/>
      <c r="AF83" s="46"/>
      <c r="AG83" s="107"/>
      <c r="AH83" s="46"/>
      <c r="AI83" s="46"/>
      <c r="AJ83" s="46"/>
      <c r="AK83" s="2656">
        <v>0.6</v>
      </c>
      <c r="AL83" s="2654"/>
      <c r="AM83" s="2657"/>
      <c r="AN83" s="2654"/>
      <c r="AO83" s="2654"/>
      <c r="AP83" s="2654"/>
      <c r="AQ83" s="2656">
        <v>0.6</v>
      </c>
      <c r="AR83" s="2654"/>
      <c r="AS83" s="2657"/>
      <c r="AT83" s="2654"/>
      <c r="AU83" s="2654"/>
      <c r="AV83" s="2654"/>
      <c r="AW83" s="2656">
        <v>0.6</v>
      </c>
      <c r="AX83" s="2654"/>
      <c r="AY83" s="2657"/>
      <c r="AZ83" s="2654"/>
      <c r="BA83" s="2654"/>
      <c r="BB83" s="2654"/>
      <c r="BC83" s="2656">
        <v>0.6</v>
      </c>
      <c r="BD83" s="2654"/>
      <c r="BE83" s="2657"/>
      <c r="BF83" s="2654"/>
      <c r="BG83" s="2654"/>
      <c r="BH83" s="2654"/>
      <c r="BI83" s="2656">
        <v>0.6</v>
      </c>
      <c r="BJ83" s="2654"/>
      <c r="BK83" s="2657"/>
      <c r="BL83" s="2654"/>
      <c r="BM83" s="2654"/>
      <c r="BN83" s="2654"/>
      <c r="BO83" s="2656">
        <v>0.6</v>
      </c>
      <c r="BP83" s="2654"/>
      <c r="BQ83" s="2657"/>
      <c r="BR83" s="2654"/>
      <c r="BS83" s="2654"/>
      <c r="BT83" s="2654"/>
      <c r="BU83" s="2656">
        <v>0.6</v>
      </c>
      <c r="BV83" s="2654"/>
      <c r="BW83" s="2657"/>
      <c r="BX83" s="2654"/>
      <c r="BY83" s="2654"/>
      <c r="BZ83" s="2654"/>
      <c r="CA83" s="2656">
        <v>0.6</v>
      </c>
      <c r="CB83" s="2654"/>
      <c r="CC83" s="2657"/>
      <c r="CD83" s="2654"/>
      <c r="CE83" s="2654"/>
      <c r="CF83" s="2654"/>
      <c r="CG83" s="2656">
        <v>0.6</v>
      </c>
      <c r="CH83" s="2654"/>
      <c r="CI83" s="2657"/>
      <c r="CJ83" s="2654"/>
      <c r="CK83" s="2654"/>
      <c r="CL83" s="2654"/>
      <c r="CM83" s="2656">
        <v>0.6</v>
      </c>
      <c r="CN83" s="2654"/>
      <c r="CO83" s="2657"/>
      <c r="CP83" s="2654"/>
      <c r="CQ83" s="2654"/>
      <c r="CR83" s="2654"/>
      <c r="CS83" s="2656">
        <v>0.6</v>
      </c>
      <c r="CT83" s="2398"/>
      <c r="CU83" s="364"/>
      <c r="CV83" s="364"/>
    </row>
    <row r="84" spans="1:100" ht="12.75" customHeight="1" outlineLevel="1">
      <c r="A84" s="42" t="s">
        <v>343</v>
      </c>
      <c r="B84" s="49"/>
      <c r="C84" s="108"/>
      <c r="D84" s="49"/>
      <c r="E84" s="49"/>
      <c r="F84" s="49"/>
      <c r="G84" s="48"/>
      <c r="H84" s="49"/>
      <c r="I84" s="108"/>
      <c r="J84" s="49"/>
      <c r="K84" s="49"/>
      <c r="L84" s="49"/>
      <c r="M84" s="48"/>
      <c r="N84" s="38"/>
      <c r="O84" s="108"/>
      <c r="P84" s="49"/>
      <c r="Q84" s="49"/>
      <c r="R84" s="49"/>
      <c r="S84" s="48"/>
      <c r="T84" s="38"/>
      <c r="U84" s="108"/>
      <c r="V84" s="49"/>
      <c r="W84" s="49"/>
      <c r="X84" s="49"/>
      <c r="Y84" s="48"/>
      <c r="Z84" s="38"/>
      <c r="AA84" s="108"/>
      <c r="AB84" s="49"/>
      <c r="AC84" s="49"/>
      <c r="AD84" s="49"/>
      <c r="AE84" s="1339"/>
      <c r="AF84" s="49"/>
      <c r="AG84" s="108"/>
      <c r="AH84" s="49"/>
      <c r="AI84" s="49"/>
      <c r="AJ84" s="49"/>
      <c r="AK84" s="2658">
        <v>0.1</v>
      </c>
      <c r="AL84" s="2659"/>
      <c r="AM84" s="2660"/>
      <c r="AN84" s="2659"/>
      <c r="AO84" s="2659"/>
      <c r="AP84" s="2659"/>
      <c r="AQ84" s="2658">
        <v>0.1</v>
      </c>
      <c r="AR84" s="2659"/>
      <c r="AS84" s="2660"/>
      <c r="AT84" s="2659"/>
      <c r="AU84" s="2659"/>
      <c r="AV84" s="2659"/>
      <c r="AW84" s="2658">
        <v>0.1</v>
      </c>
      <c r="AX84" s="2659"/>
      <c r="AY84" s="2660"/>
      <c r="AZ84" s="2659"/>
      <c r="BA84" s="2659"/>
      <c r="BB84" s="2659"/>
      <c r="BC84" s="2658">
        <v>0.1</v>
      </c>
      <c r="BD84" s="2659"/>
      <c r="BE84" s="2660"/>
      <c r="BF84" s="2659"/>
      <c r="BG84" s="2659"/>
      <c r="BH84" s="2659"/>
      <c r="BI84" s="2658">
        <v>0.1</v>
      </c>
      <c r="BJ84" s="2659"/>
      <c r="BK84" s="2660"/>
      <c r="BL84" s="2659"/>
      <c r="BM84" s="2659"/>
      <c r="BN84" s="2659"/>
      <c r="BO84" s="2658">
        <v>0.1</v>
      </c>
      <c r="BP84" s="2659"/>
      <c r="BQ84" s="2660"/>
      <c r="BR84" s="2659"/>
      <c r="BS84" s="2659"/>
      <c r="BT84" s="2659"/>
      <c r="BU84" s="2658">
        <v>0.1</v>
      </c>
      <c r="BV84" s="2659"/>
      <c r="BW84" s="2660"/>
      <c r="BX84" s="2659"/>
      <c r="BY84" s="2659"/>
      <c r="BZ84" s="2659"/>
      <c r="CA84" s="2658">
        <v>0.1</v>
      </c>
      <c r="CB84" s="2659"/>
      <c r="CC84" s="2660"/>
      <c r="CD84" s="2659"/>
      <c r="CE84" s="2659"/>
      <c r="CF84" s="2659"/>
      <c r="CG84" s="2658">
        <v>0.1</v>
      </c>
      <c r="CH84" s="2659"/>
      <c r="CI84" s="2660"/>
      <c r="CJ84" s="2659"/>
      <c r="CK84" s="2659"/>
      <c r="CL84" s="2659"/>
      <c r="CM84" s="2658">
        <v>0.1</v>
      </c>
      <c r="CN84" s="2659"/>
      <c r="CO84" s="2660"/>
      <c r="CP84" s="2659"/>
      <c r="CQ84" s="2659"/>
      <c r="CR84" s="2659"/>
      <c r="CS84" s="2658">
        <v>0.1</v>
      </c>
      <c r="CT84" s="2398"/>
      <c r="CU84" s="364"/>
      <c r="CV84" s="364"/>
    </row>
    <row r="85" spans="1:100" ht="18.75" customHeight="1"/>
    <row r="86" spans="1:100" ht="12.75" customHeight="1">
      <c r="BG86" s="2348"/>
    </row>
  </sheetData>
  <phoneticPr fontId="6" type="noConversion"/>
  <pageMargins left="0.25" right="0.25" top="0.75" bottom="0.75" header="0.3" footer="0.3"/>
  <pageSetup scale="66" orientation="landscape" r:id="rId1"/>
  <headerFooter alignWithMargins="0"/>
  <ignoredErrors>
    <ignoredError sqref="G17 J14 AQ17 AZ14 BH14 BM14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70C0"/>
    <pageSetUpPr fitToPage="1"/>
  </sheetPr>
  <dimension ref="A1:CS62"/>
  <sheetViews>
    <sheetView zoomScaleNormal="100" workbookViewId="0">
      <pane xSplit="2" ySplit="8" topLeftCell="BJ33" activePane="bottomRight" state="frozen"/>
      <selection activeCell="B9" sqref="B9"/>
      <selection pane="topRight" activeCell="B9" sqref="B9"/>
      <selection pane="bottomLeft" activeCell="B9" sqref="B9"/>
      <selection pane="bottomRight" sqref="A1:XFD1048576"/>
    </sheetView>
  </sheetViews>
  <sheetFormatPr defaultColWidth="9.42578125" defaultRowHeight="12.75" outlineLevelRow="1" outlineLevelCol="1"/>
  <cols>
    <col min="1" max="1" width="30.7109375" customWidth="1"/>
    <col min="2" max="2" width="0.85546875" customWidth="1"/>
    <col min="3" max="7" width="8.7109375" hidden="1" customWidth="1" outlineLevel="1"/>
    <col min="8" max="8" width="0.85546875" hidden="1" customWidth="1" outlineLevel="1"/>
    <col min="9" max="13" width="8.7109375" hidden="1" customWidth="1" outlineLevel="1"/>
    <col min="14" max="14" width="0.85546875" hidden="1" customWidth="1" outlineLevel="1"/>
    <col min="15" max="19" width="8.7109375" hidden="1" customWidth="1" outlineLevel="1"/>
    <col min="20" max="20" width="0.85546875" hidden="1" customWidth="1" outlineLevel="1"/>
    <col min="21" max="25" width="8.7109375" hidden="1" customWidth="1" outlineLevel="1"/>
    <col min="26" max="26" width="0.85546875" hidden="1" customWidth="1" outlineLevel="1"/>
    <col min="27" max="30" width="8.7109375" hidden="1" customWidth="1" outlineLevel="1"/>
    <col min="31" max="31" width="8.7109375" customWidth="1" collapsed="1"/>
    <col min="32" max="32" width="0.85546875" customWidth="1"/>
    <col min="33" max="36" width="8.7109375" hidden="1" customWidth="1" outlineLevel="1"/>
    <col min="37" max="37" width="8.7109375" customWidth="1" collapsed="1"/>
    <col min="38" max="38" width="0.85546875" customWidth="1"/>
    <col min="39" max="42" width="8.7109375" hidden="1" customWidth="1" outlineLevel="1"/>
    <col min="43" max="43" width="8.7109375" customWidth="1" collapsed="1"/>
    <col min="44" max="44" width="0.85546875" customWidth="1"/>
    <col min="45" max="48" width="8.7109375" hidden="1" customWidth="1" outlineLevel="1"/>
    <col min="49" max="49" width="8.7109375" customWidth="1" collapsed="1"/>
    <col min="50" max="50" width="0.85546875" customWidth="1"/>
    <col min="51" max="54" width="8.7109375" hidden="1" customWidth="1" outlineLevel="1"/>
    <col min="55" max="55" width="8.7109375" customWidth="1" collapsed="1"/>
    <col min="56" max="56" width="0.85546875" customWidth="1"/>
    <col min="57" max="60" width="8.7109375" hidden="1" customWidth="1" outlineLevel="1"/>
    <col min="61" max="61" width="8.7109375" customWidth="1" collapsed="1"/>
    <col min="62" max="62" width="0.85546875" customWidth="1"/>
    <col min="63" max="66" width="8.7109375" customWidth="1" outlineLevel="1"/>
    <col min="67" max="67" width="8.7109375" customWidth="1"/>
    <col min="68" max="68" width="0.85546875" customWidth="1"/>
    <col min="69" max="72" width="8.7109375" customWidth="1" outlineLevel="1"/>
    <col min="73" max="73" width="8.7109375" customWidth="1"/>
    <col min="74" max="74" width="0.85546875" customWidth="1"/>
    <col min="75" max="78" width="9.42578125" customWidth="1" outlineLevel="1"/>
    <col min="80" max="80" width="0.85546875" customWidth="1"/>
    <col min="81" max="84" width="9.42578125" customWidth="1" outlineLevel="1"/>
    <col min="86" max="86" width="0.85546875" customWidth="1"/>
    <col min="87" max="90" width="9.42578125" customWidth="1" outlineLevel="1"/>
    <col min="92" max="92" width="0.85546875" customWidth="1"/>
    <col min="93" max="96" width="9.42578125" customWidth="1" outlineLevel="1"/>
  </cols>
  <sheetData>
    <row r="1" spans="1:97">
      <c r="A1" s="1"/>
      <c r="B1" s="1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1"/>
      <c r="Z1" s="4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</row>
    <row r="2" spans="1:97">
      <c r="A2" s="871" t="s">
        <v>127</v>
      </c>
      <c r="B2" s="871"/>
      <c r="C2" s="871"/>
      <c r="D2" s="4"/>
      <c r="E2" s="4"/>
      <c r="F2" s="4"/>
      <c r="G2" s="4"/>
      <c r="H2" s="4"/>
      <c r="I2" s="4"/>
      <c r="J2" s="4"/>
      <c r="K2" s="4"/>
      <c r="L2" s="4"/>
      <c r="M2" s="195"/>
      <c r="N2" s="4"/>
      <c r="O2" s="4"/>
      <c r="P2" s="4"/>
      <c r="Q2" s="4"/>
      <c r="R2" s="4"/>
      <c r="S2" s="195"/>
      <c r="T2" s="4"/>
      <c r="U2" s="4"/>
      <c r="V2" s="4"/>
      <c r="W2" s="4"/>
      <c r="X2" s="4"/>
      <c r="Y2" s="777"/>
      <c r="Z2" s="4"/>
      <c r="AA2" s="1"/>
      <c r="AB2" s="1"/>
      <c r="AC2" s="1"/>
      <c r="AD2" s="1"/>
      <c r="AE2" s="777"/>
      <c r="AF2" s="1"/>
      <c r="AG2" s="778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</row>
    <row r="3" spans="1:97">
      <c r="A3" s="779" t="s">
        <v>465</v>
      </c>
      <c r="B3" s="779"/>
      <c r="C3" s="779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9"/>
      <c r="AT3" s="4"/>
      <c r="AU3" s="4"/>
      <c r="AV3" s="4"/>
      <c r="AW3" s="146"/>
      <c r="AX3" s="4"/>
      <c r="AY3" s="4"/>
      <c r="AZ3" s="4"/>
      <c r="BA3" s="4"/>
      <c r="BB3" s="4"/>
      <c r="BC3" s="872"/>
      <c r="BD3" s="4"/>
      <c r="BE3" s="4"/>
      <c r="BF3" s="4"/>
      <c r="BG3" s="4"/>
      <c r="BH3" s="4"/>
      <c r="BI3" s="872"/>
      <c r="BJ3" s="4"/>
      <c r="BK3" s="4"/>
      <c r="BL3" s="4"/>
      <c r="BM3" s="4"/>
      <c r="BN3" s="4"/>
      <c r="BO3" s="872"/>
      <c r="BP3" s="4"/>
      <c r="BQ3" s="4"/>
      <c r="BR3" s="4"/>
      <c r="BS3" s="4"/>
      <c r="BT3" s="4"/>
      <c r="BU3" s="872"/>
    </row>
    <row r="4" spans="1:97">
      <c r="A4" s="115" t="s">
        <v>466</v>
      </c>
      <c r="B4" s="115"/>
      <c r="C4" s="88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17"/>
      <c r="Z4" s="4"/>
      <c r="AA4" s="116"/>
      <c r="AB4" s="116"/>
      <c r="AC4" s="118"/>
      <c r="AD4" s="118"/>
      <c r="AE4" s="117"/>
      <c r="AF4" s="116"/>
      <c r="AG4" s="118"/>
      <c r="AH4" s="118"/>
      <c r="AI4" s="119"/>
      <c r="AJ4" s="118"/>
      <c r="AK4" s="118"/>
      <c r="AL4" s="116"/>
      <c r="AM4" s="118"/>
      <c r="AN4" s="118"/>
      <c r="AO4" s="118"/>
      <c r="AP4" s="118"/>
      <c r="AQ4" s="118"/>
      <c r="AR4" s="116"/>
      <c r="AS4" s="118"/>
      <c r="AT4" s="118"/>
      <c r="AU4" s="118"/>
      <c r="AV4" s="118"/>
      <c r="AW4" s="118"/>
      <c r="AX4" s="116"/>
      <c r="AY4" s="118"/>
      <c r="AZ4" s="118"/>
      <c r="BA4" s="118"/>
      <c r="BB4" s="118"/>
      <c r="BC4" s="118"/>
      <c r="BD4" s="116"/>
      <c r="BE4" s="118"/>
      <c r="BF4" s="118"/>
      <c r="BG4" s="118"/>
      <c r="BH4" s="118"/>
      <c r="BI4" s="118"/>
      <c r="BJ4" s="116"/>
      <c r="BK4" s="118"/>
      <c r="BL4" s="118"/>
      <c r="BM4" s="118"/>
      <c r="BN4" s="118"/>
      <c r="BO4" s="118"/>
      <c r="BP4" s="116"/>
      <c r="BQ4" s="118"/>
      <c r="BR4" s="118"/>
      <c r="BS4" s="118"/>
      <c r="BT4" s="118"/>
      <c r="BU4" s="118"/>
      <c r="BV4" s="116"/>
      <c r="BW4" s="118"/>
      <c r="BX4" s="118"/>
      <c r="BY4" s="118"/>
      <c r="BZ4" s="118"/>
      <c r="CA4" s="118"/>
      <c r="CB4" s="116"/>
      <c r="CC4" s="118"/>
      <c r="CD4" s="118"/>
      <c r="CE4" s="118"/>
      <c r="CF4" s="118"/>
      <c r="CG4" s="118"/>
      <c r="CH4" s="116"/>
      <c r="CI4" s="118"/>
      <c r="CJ4" s="118"/>
      <c r="CK4" s="118"/>
      <c r="CL4" s="118"/>
      <c r="CM4" s="118"/>
      <c r="CN4" s="116"/>
      <c r="CO4" s="118"/>
      <c r="CP4" s="118"/>
      <c r="CQ4" s="118"/>
      <c r="CR4" s="118"/>
      <c r="CS4" s="118"/>
    </row>
    <row r="5" spans="1:97">
      <c r="A5" s="120" t="s">
        <v>130</v>
      </c>
      <c r="B5" s="120"/>
      <c r="C5" s="88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1"/>
      <c r="Z5" s="4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 ht="12.75" hidden="1" customHeight="1" outlineLevel="1">
      <c r="A6" s="121"/>
      <c r="B6" s="121"/>
      <c r="C6" s="121"/>
      <c r="D6" s="122"/>
      <c r="E6" s="122"/>
      <c r="F6" s="122"/>
      <c r="G6" s="121"/>
      <c r="H6" s="151"/>
      <c r="I6" s="151"/>
      <c r="J6" s="151"/>
      <c r="K6" s="151"/>
      <c r="L6" s="151"/>
      <c r="M6" s="121"/>
      <c r="N6" s="151"/>
      <c r="O6" s="152"/>
      <c r="P6" s="152"/>
      <c r="Q6" s="152"/>
      <c r="R6" s="152"/>
      <c r="S6" s="121"/>
      <c r="T6" s="151"/>
      <c r="U6" s="152"/>
      <c r="V6" s="152"/>
      <c r="W6" s="152"/>
      <c r="X6" s="152"/>
      <c r="Y6" s="71"/>
      <c r="Z6" s="151"/>
      <c r="AA6" s="124" t="s">
        <v>151</v>
      </c>
      <c r="AB6" s="124" t="s">
        <v>152</v>
      </c>
      <c r="AC6" s="124" t="s">
        <v>153</v>
      </c>
      <c r="AD6" s="124" t="s">
        <v>154</v>
      </c>
      <c r="AE6" s="71" t="s">
        <v>155</v>
      </c>
      <c r="AF6" s="123"/>
      <c r="AG6" s="124" t="s">
        <v>156</v>
      </c>
      <c r="AH6" s="124" t="s">
        <v>157</v>
      </c>
      <c r="AI6" s="124" t="s">
        <v>158</v>
      </c>
      <c r="AJ6" s="124" t="s">
        <v>159</v>
      </c>
      <c r="AK6" s="71" t="s">
        <v>160</v>
      </c>
      <c r="AL6" s="123"/>
      <c r="AM6" s="71" t="s">
        <v>161</v>
      </c>
      <c r="AN6" s="71" t="s">
        <v>162</v>
      </c>
      <c r="AO6" s="71" t="s">
        <v>163</v>
      </c>
      <c r="AP6" s="71" t="s">
        <v>164</v>
      </c>
      <c r="AQ6" s="71" t="s">
        <v>165</v>
      </c>
      <c r="AR6" s="123"/>
      <c r="AS6" s="71" t="s">
        <v>166</v>
      </c>
      <c r="AT6" s="71" t="s">
        <v>167</v>
      </c>
      <c r="AU6" s="71" t="s">
        <v>168</v>
      </c>
      <c r="AV6" s="71" t="s">
        <v>169</v>
      </c>
      <c r="AW6" s="71" t="s">
        <v>170</v>
      </c>
      <c r="AX6" s="123"/>
      <c r="AY6" s="71" t="s">
        <v>30</v>
      </c>
      <c r="AZ6" s="71" t="s">
        <v>31</v>
      </c>
      <c r="BA6" s="71" t="s">
        <v>32</v>
      </c>
      <c r="BB6" s="71" t="s">
        <v>33</v>
      </c>
      <c r="BC6" s="71" t="s">
        <v>34</v>
      </c>
      <c r="BD6" s="123"/>
      <c r="BE6" s="71" t="s">
        <v>467</v>
      </c>
      <c r="BF6" s="71" t="s">
        <v>468</v>
      </c>
      <c r="BG6" s="71" t="s">
        <v>469</v>
      </c>
      <c r="BH6" s="71" t="s">
        <v>470</v>
      </c>
      <c r="BI6" s="71" t="s">
        <v>471</v>
      </c>
      <c r="BJ6" s="123"/>
      <c r="BK6" s="71" t="s">
        <v>472</v>
      </c>
      <c r="BL6" s="71" t="s">
        <v>473</v>
      </c>
      <c r="BM6" s="71" t="s">
        <v>474</v>
      </c>
      <c r="BN6" s="71" t="s">
        <v>475</v>
      </c>
      <c r="BO6" s="71" t="s">
        <v>476</v>
      </c>
      <c r="BP6" s="123"/>
      <c r="BQ6" s="71" t="s">
        <v>455</v>
      </c>
      <c r="BR6" s="71" t="s">
        <v>456</v>
      </c>
      <c r="BS6" s="71" t="s">
        <v>457</v>
      </c>
      <c r="BT6" s="71" t="s">
        <v>458</v>
      </c>
      <c r="BU6" s="71" t="s">
        <v>459</v>
      </c>
      <c r="BV6" s="123"/>
      <c r="BW6" s="71" t="s">
        <v>737</v>
      </c>
      <c r="BX6" s="71" t="s">
        <v>738</v>
      </c>
      <c r="BY6" s="71" t="s">
        <v>739</v>
      </c>
      <c r="BZ6" s="71" t="s">
        <v>740</v>
      </c>
      <c r="CA6" s="71" t="s">
        <v>741</v>
      </c>
      <c r="CB6" s="123"/>
      <c r="CC6" s="71" t="s">
        <v>737</v>
      </c>
      <c r="CD6" s="71" t="s">
        <v>738</v>
      </c>
      <c r="CE6" s="71" t="s">
        <v>739</v>
      </c>
      <c r="CF6" s="71" t="s">
        <v>740</v>
      </c>
      <c r="CG6" s="71" t="s">
        <v>741</v>
      </c>
      <c r="CH6" s="123"/>
      <c r="CI6" s="71" t="s">
        <v>737</v>
      </c>
      <c r="CJ6" s="71" t="s">
        <v>738</v>
      </c>
      <c r="CK6" s="71" t="s">
        <v>739</v>
      </c>
      <c r="CL6" s="71" t="s">
        <v>740</v>
      </c>
      <c r="CM6" s="71" t="s">
        <v>741</v>
      </c>
      <c r="CN6" s="123"/>
      <c r="CO6" s="71" t="s">
        <v>737</v>
      </c>
      <c r="CP6" s="71" t="s">
        <v>738</v>
      </c>
      <c r="CQ6" s="71" t="s">
        <v>739</v>
      </c>
      <c r="CR6" s="71" t="s">
        <v>740</v>
      </c>
      <c r="CS6" s="71" t="s">
        <v>741</v>
      </c>
    </row>
    <row r="7" spans="1:97" collapsed="1">
      <c r="A7" s="125"/>
      <c r="B7" s="125"/>
      <c r="C7" s="125"/>
      <c r="D7" s="121"/>
      <c r="E7" s="121"/>
      <c r="F7" s="121"/>
      <c r="G7" s="126">
        <f>IS!C7</f>
        <v>2007</v>
      </c>
      <c r="H7" s="121"/>
      <c r="I7" s="121"/>
      <c r="J7" s="121"/>
      <c r="K7" s="121"/>
      <c r="L7" s="121"/>
      <c r="M7" s="126">
        <f>IS!I7</f>
        <v>2008</v>
      </c>
      <c r="N7" s="121"/>
      <c r="O7" s="150"/>
      <c r="P7" s="150"/>
      <c r="Q7" s="150"/>
      <c r="R7" s="150"/>
      <c r="S7" s="126">
        <f>IS!O7</f>
        <v>2009</v>
      </c>
      <c r="T7" s="121"/>
      <c r="U7" s="150"/>
      <c r="V7" s="150"/>
      <c r="W7" s="150"/>
      <c r="X7" s="150"/>
      <c r="Y7" s="126">
        <f>IS!U7</f>
        <v>2010</v>
      </c>
      <c r="Z7" s="121"/>
      <c r="AA7" s="127">
        <f>IS!AA7</f>
        <v>2011</v>
      </c>
      <c r="AB7" s="128"/>
      <c r="AC7" s="128"/>
      <c r="AD7" s="128"/>
      <c r="AE7" s="126">
        <f>IS!AA7</f>
        <v>2011</v>
      </c>
      <c r="AF7" s="121"/>
      <c r="AG7" s="158">
        <f>IS!AG7</f>
        <v>2012</v>
      </c>
      <c r="AH7" s="1314"/>
      <c r="AI7" s="1314"/>
      <c r="AJ7" s="1315"/>
      <c r="AK7" s="126">
        <f>IS!AG7</f>
        <v>2012</v>
      </c>
      <c r="AL7" s="121"/>
      <c r="AM7" s="158">
        <f>IS!AM7</f>
        <v>2013</v>
      </c>
      <c r="AN7" s="1314"/>
      <c r="AO7" s="1314"/>
      <c r="AP7" s="1315"/>
      <c r="AQ7" s="126">
        <f>IS!AM7</f>
        <v>2013</v>
      </c>
      <c r="AR7" s="121"/>
      <c r="AS7" s="158">
        <f>IS!AS7</f>
        <v>2014</v>
      </c>
      <c r="AT7" s="1314"/>
      <c r="AU7" s="1314"/>
      <c r="AV7" s="1315"/>
      <c r="AW7" s="126">
        <f>IS!AS7</f>
        <v>2014</v>
      </c>
      <c r="AX7" s="121"/>
      <c r="AY7" s="158">
        <f>IS!AY7</f>
        <v>2015</v>
      </c>
      <c r="AZ7" s="1314"/>
      <c r="BA7" s="1314"/>
      <c r="BB7" s="1315"/>
      <c r="BC7" s="126">
        <f>IS!AY7</f>
        <v>2015</v>
      </c>
      <c r="BD7" s="121"/>
      <c r="BE7" s="158">
        <f>IS!BE7</f>
        <v>2016</v>
      </c>
      <c r="BF7" s="1314"/>
      <c r="BG7" s="1314"/>
      <c r="BH7" s="1315"/>
      <c r="BI7" s="126">
        <f>IS!BE7</f>
        <v>2016</v>
      </c>
      <c r="BJ7" s="121"/>
      <c r="BK7" s="127">
        <v>2017</v>
      </c>
      <c r="BL7" s="128"/>
      <c r="BM7" s="128"/>
      <c r="BN7" s="128"/>
      <c r="BO7" s="126">
        <v>2017</v>
      </c>
      <c r="BP7" s="121"/>
      <c r="BQ7" s="129">
        <f>IS!BQ7</f>
        <v>2018</v>
      </c>
      <c r="BR7" s="128"/>
      <c r="BS7" s="128"/>
      <c r="BT7" s="128"/>
      <c r="BU7" s="130">
        <f>IS!BQ7</f>
        <v>2018</v>
      </c>
      <c r="BV7" s="121"/>
      <c r="BW7" s="129">
        <f>IS!BW7</f>
        <v>2019</v>
      </c>
      <c r="BX7" s="128"/>
      <c r="BY7" s="128"/>
      <c r="BZ7" s="128"/>
      <c r="CA7" s="130">
        <f>IS!BW7</f>
        <v>2019</v>
      </c>
      <c r="CB7" s="121"/>
      <c r="CC7" s="129">
        <f>IS!CC7</f>
        <v>2020</v>
      </c>
      <c r="CD7" s="128"/>
      <c r="CE7" s="128"/>
      <c r="CF7" s="128"/>
      <c r="CG7" s="130">
        <f>IS!CC7</f>
        <v>2020</v>
      </c>
      <c r="CH7" s="121"/>
      <c r="CI7" s="129">
        <f>IS!CI7</f>
        <v>2021</v>
      </c>
      <c r="CJ7" s="128"/>
      <c r="CK7" s="128"/>
      <c r="CL7" s="128"/>
      <c r="CM7" s="130">
        <f>IS!CI7</f>
        <v>2021</v>
      </c>
      <c r="CN7" s="121"/>
      <c r="CO7" s="129">
        <f>IS!CO7</f>
        <v>2022</v>
      </c>
      <c r="CP7" s="128"/>
      <c r="CQ7" s="128"/>
      <c r="CR7" s="128"/>
      <c r="CS7" s="130">
        <f>IS!CO7</f>
        <v>2022</v>
      </c>
    </row>
    <row r="8" spans="1:97">
      <c r="A8" s="1550"/>
      <c r="B8" s="1550"/>
      <c r="C8" s="1550"/>
      <c r="D8" s="1551"/>
      <c r="E8" s="1551"/>
      <c r="F8" s="1551"/>
      <c r="G8" s="1552"/>
      <c r="H8" s="1551"/>
      <c r="I8" s="1551"/>
      <c r="J8" s="1551"/>
      <c r="K8" s="1551"/>
      <c r="L8" s="1551"/>
      <c r="M8" s="1552"/>
      <c r="N8" s="1551"/>
      <c r="O8" s="1553"/>
      <c r="P8" s="1554"/>
      <c r="Q8" s="1554"/>
      <c r="R8" s="1554"/>
      <c r="S8" s="1552"/>
      <c r="T8" s="1555"/>
      <c r="U8" s="1553"/>
      <c r="V8" s="1554"/>
      <c r="W8" s="1554"/>
      <c r="X8" s="1554"/>
      <c r="Y8" s="1556"/>
      <c r="Z8" s="1555"/>
      <c r="AA8" s="1557">
        <f>IS!AA8</f>
        <v>40633</v>
      </c>
      <c r="AB8" s="1558">
        <f>IS!AB8</f>
        <v>40724</v>
      </c>
      <c r="AC8" s="1558">
        <f>IS!AC8</f>
        <v>40816</v>
      </c>
      <c r="AD8" s="1558">
        <f>IS!AD8</f>
        <v>40908</v>
      </c>
      <c r="AE8" s="1556"/>
      <c r="AF8" s="1555"/>
      <c r="AG8" s="1557">
        <f>IS!AG8</f>
        <v>40999</v>
      </c>
      <c r="AH8" s="1558">
        <f>IS!AH8</f>
        <v>41090</v>
      </c>
      <c r="AI8" s="1558">
        <f>IS!AI8</f>
        <v>41182</v>
      </c>
      <c r="AJ8" s="1558">
        <f>IS!AJ8</f>
        <v>41274</v>
      </c>
      <c r="AK8" s="1556"/>
      <c r="AL8" s="1555"/>
      <c r="AM8" s="1559">
        <f>IS!AM8</f>
        <v>41364</v>
      </c>
      <c r="AN8" s="1558">
        <f>IS!AN8</f>
        <v>41455</v>
      </c>
      <c r="AO8" s="1558">
        <f>IS!AO8</f>
        <v>41547</v>
      </c>
      <c r="AP8" s="1558">
        <f>IS!AP8</f>
        <v>41639</v>
      </c>
      <c r="AQ8" s="1556"/>
      <c r="AR8" s="1555"/>
      <c r="AS8" s="1559">
        <f>IS!AS8</f>
        <v>41729</v>
      </c>
      <c r="AT8" s="1558">
        <f>IS!AT8</f>
        <v>41820</v>
      </c>
      <c r="AU8" s="1558">
        <f>IS!AU8</f>
        <v>41912</v>
      </c>
      <c r="AV8" s="1558">
        <f>IS!AV8</f>
        <v>42004</v>
      </c>
      <c r="AW8" s="1556"/>
      <c r="AX8" s="1555"/>
      <c r="AY8" s="1559">
        <f>IS!AY8</f>
        <v>42094</v>
      </c>
      <c r="AZ8" s="1558">
        <f>IS!AZ8</f>
        <v>42185</v>
      </c>
      <c r="BA8" s="1558">
        <f>IS!BA8</f>
        <v>42277</v>
      </c>
      <c r="BB8" s="1558">
        <f>IS!BB8</f>
        <v>42369</v>
      </c>
      <c r="BC8" s="1556"/>
      <c r="BD8" s="1555"/>
      <c r="BE8" s="1559">
        <f>IS!BE8</f>
        <v>42460</v>
      </c>
      <c r="BF8" s="1558">
        <f>IS!BF8</f>
        <v>42551</v>
      </c>
      <c r="BG8" s="1558">
        <f>IS!BG8</f>
        <v>42643</v>
      </c>
      <c r="BH8" s="1558">
        <f>IS!BH8</f>
        <v>42735</v>
      </c>
      <c r="BI8" s="1556"/>
      <c r="BJ8" s="1555"/>
      <c r="BK8" s="1559">
        <v>42825</v>
      </c>
      <c r="BL8" s="1558">
        <v>42916</v>
      </c>
      <c r="BM8" s="1558">
        <v>43008</v>
      </c>
      <c r="BN8" s="1560">
        <v>43100</v>
      </c>
      <c r="BO8" s="1556"/>
      <c r="BP8" s="1555"/>
      <c r="BQ8" s="1561">
        <f>IS!BQ8</f>
        <v>43190</v>
      </c>
      <c r="BR8" s="1560">
        <f>IS!BR8</f>
        <v>43281</v>
      </c>
      <c r="BS8" s="1560">
        <f>IS!BS8</f>
        <v>43373</v>
      </c>
      <c r="BT8" s="1560">
        <f>IS!BT8</f>
        <v>43465</v>
      </c>
      <c r="BU8" s="1556"/>
      <c r="BV8" s="1555"/>
      <c r="BW8" s="1561">
        <f>IS!BW8</f>
        <v>43555</v>
      </c>
      <c r="BX8" s="1560">
        <f>IS!BX8</f>
        <v>43646</v>
      </c>
      <c r="BY8" s="1560">
        <f>IS!BY8</f>
        <v>43738</v>
      </c>
      <c r="BZ8" s="1560">
        <f>IS!BZ8</f>
        <v>43830</v>
      </c>
      <c r="CA8" s="1556"/>
      <c r="CB8" s="1555"/>
      <c r="CC8" s="1561">
        <f>IS!CC8</f>
        <v>43920</v>
      </c>
      <c r="CD8" s="1560">
        <f>IS!CD8</f>
        <v>44011</v>
      </c>
      <c r="CE8" s="1560">
        <f>IS!CE8</f>
        <v>44103</v>
      </c>
      <c r="CF8" s="1560">
        <f>IS!CF8</f>
        <v>44195</v>
      </c>
      <c r="CG8" s="1556"/>
      <c r="CH8" s="1555"/>
      <c r="CI8" s="1561">
        <f>IS!CI8</f>
        <v>44285</v>
      </c>
      <c r="CJ8" s="1560">
        <f>IS!CJ8</f>
        <v>44376</v>
      </c>
      <c r="CK8" s="1560">
        <f>IS!CK8</f>
        <v>44468</v>
      </c>
      <c r="CL8" s="1560">
        <f>IS!CL8</f>
        <v>44560</v>
      </c>
      <c r="CM8" s="1556"/>
      <c r="CN8" s="1555"/>
      <c r="CO8" s="1561">
        <f>IS!CO8</f>
        <v>44650</v>
      </c>
      <c r="CP8" s="1560">
        <f>IS!CP8</f>
        <v>44741</v>
      </c>
      <c r="CQ8" s="1560">
        <f>IS!CQ8</f>
        <v>44833</v>
      </c>
      <c r="CR8" s="1560">
        <f>IS!CR8</f>
        <v>44925</v>
      </c>
      <c r="CS8" s="1556"/>
    </row>
    <row r="9" spans="1:97">
      <c r="A9" s="1562" t="s">
        <v>477</v>
      </c>
      <c r="B9" s="116"/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6"/>
      <c r="X9" s="116"/>
      <c r="Y9" s="1563"/>
      <c r="Z9" s="116"/>
      <c r="AA9" s="1564"/>
      <c r="AB9" s="1565"/>
      <c r="AC9" s="1565"/>
      <c r="AD9" s="1565"/>
      <c r="AE9" s="1563"/>
      <c r="AF9" s="1565"/>
      <c r="AG9" s="1564"/>
      <c r="AH9" s="1565"/>
      <c r="AI9" s="1565"/>
      <c r="AJ9" s="1565"/>
      <c r="AK9" s="1563"/>
      <c r="AL9" s="1565"/>
      <c r="AM9" s="1564"/>
      <c r="AN9" s="1565"/>
      <c r="AO9" s="1565"/>
      <c r="AP9" s="1565"/>
      <c r="AQ9" s="1563"/>
      <c r="AR9" s="1565"/>
      <c r="AS9" s="1564"/>
      <c r="AT9" s="1565"/>
      <c r="AU9" s="1565"/>
      <c r="AV9" s="1565"/>
      <c r="AW9" s="1563"/>
      <c r="AX9" s="1565"/>
      <c r="AY9" s="1564"/>
      <c r="AZ9" s="1565"/>
      <c r="BA9" s="1565"/>
      <c r="BB9" s="1565"/>
      <c r="BC9" s="1563"/>
      <c r="BD9" s="1565"/>
      <c r="BE9" s="1564"/>
      <c r="BF9" s="1565"/>
      <c r="BG9" s="1565"/>
      <c r="BH9" s="1565"/>
      <c r="BI9" s="1563"/>
      <c r="BJ9" s="1565"/>
      <c r="BK9" s="1564"/>
      <c r="BL9" s="1565"/>
      <c r="BM9" s="1565"/>
      <c r="BN9" s="1565"/>
      <c r="BO9" s="1563"/>
      <c r="BP9" s="1565"/>
      <c r="BQ9" s="1564"/>
      <c r="BR9" s="1565"/>
      <c r="BS9" s="1565"/>
      <c r="BT9" s="1565"/>
      <c r="BU9" s="1566"/>
      <c r="BV9" s="1565"/>
      <c r="BW9" s="1564"/>
      <c r="BX9" s="1565"/>
      <c r="BY9" s="1565"/>
      <c r="BZ9" s="1565"/>
      <c r="CA9" s="1566"/>
      <c r="CB9" s="1565"/>
      <c r="CC9" s="1564"/>
      <c r="CD9" s="1565"/>
      <c r="CE9" s="1565"/>
      <c r="CF9" s="1565"/>
      <c r="CG9" s="1566"/>
      <c r="CH9" s="1565"/>
      <c r="CI9" s="1564"/>
      <c r="CJ9" s="1565"/>
      <c r="CK9" s="1565"/>
      <c r="CL9" s="1565"/>
      <c r="CM9" s="1566"/>
      <c r="CN9" s="1565"/>
      <c r="CO9" s="1564"/>
      <c r="CP9" s="1565"/>
      <c r="CQ9" s="1565"/>
      <c r="CR9" s="1565"/>
      <c r="CS9" s="1566"/>
    </row>
    <row r="10" spans="1:97">
      <c r="A10" s="1567" t="s">
        <v>99</v>
      </c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892"/>
      <c r="Z10" s="4"/>
      <c r="AA10" s="885"/>
      <c r="AB10" s="5"/>
      <c r="AC10" s="5"/>
      <c r="AD10" s="5"/>
      <c r="AE10" s="892"/>
      <c r="AF10" s="5"/>
      <c r="AG10" s="885"/>
      <c r="AH10" s="5"/>
      <c r="AI10" s="5"/>
      <c r="AJ10" s="5"/>
      <c r="AK10" s="892"/>
      <c r="AL10" s="5"/>
      <c r="AM10" s="885"/>
      <c r="AN10" s="5"/>
      <c r="AO10" s="5"/>
      <c r="AP10" s="5"/>
      <c r="AQ10" s="892"/>
      <c r="AR10" s="5"/>
      <c r="AS10" s="885"/>
      <c r="AT10" s="5"/>
      <c r="AU10" s="5"/>
      <c r="AV10" s="5"/>
      <c r="AW10" s="892"/>
      <c r="AX10" s="5"/>
      <c r="AY10" s="885"/>
      <c r="AZ10" s="5"/>
      <c r="BA10" s="5"/>
      <c r="BB10" s="5"/>
      <c r="BC10" s="892"/>
      <c r="BD10" s="5"/>
      <c r="BE10" s="885"/>
      <c r="BF10" s="5"/>
      <c r="BG10" s="5"/>
      <c r="BH10" s="5"/>
      <c r="BI10" s="892"/>
      <c r="BJ10" s="5"/>
      <c r="BK10" s="885"/>
      <c r="BL10" s="5"/>
      <c r="BM10" s="5"/>
      <c r="BN10" s="5"/>
      <c r="BO10" s="892"/>
      <c r="BP10" s="5"/>
      <c r="BQ10" s="885"/>
      <c r="BR10" s="5"/>
      <c r="BS10" s="5"/>
      <c r="BT10" s="5"/>
      <c r="BU10" s="1568"/>
      <c r="BV10" s="5"/>
      <c r="BW10" s="885"/>
      <c r="BX10" s="5"/>
      <c r="BY10" s="5"/>
      <c r="BZ10" s="5"/>
      <c r="CA10" s="1568"/>
      <c r="CB10" s="5"/>
      <c r="CC10" s="885"/>
      <c r="CD10" s="5"/>
      <c r="CE10" s="5"/>
      <c r="CF10" s="5"/>
      <c r="CG10" s="1568"/>
      <c r="CH10" s="5"/>
      <c r="CI10" s="885"/>
      <c r="CJ10" s="5"/>
      <c r="CK10" s="5"/>
      <c r="CL10" s="5"/>
      <c r="CM10" s="1568"/>
      <c r="CN10" s="5"/>
      <c r="CO10" s="885"/>
      <c r="CP10" s="5"/>
      <c r="CQ10" s="5"/>
      <c r="CR10" s="5"/>
      <c r="CS10" s="1568"/>
    </row>
    <row r="11" spans="1:97">
      <c r="A11" s="1569" t="s">
        <v>404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892"/>
      <c r="Z11" s="4"/>
      <c r="AA11" s="885"/>
      <c r="AB11" s="5"/>
      <c r="AC11" s="5"/>
      <c r="AD11" s="5"/>
      <c r="AE11" s="892"/>
      <c r="AF11" s="5"/>
      <c r="AG11" s="885"/>
      <c r="AH11" s="5"/>
      <c r="AI11" s="5"/>
      <c r="AJ11" s="5"/>
      <c r="AK11" s="892"/>
      <c r="AL11" s="5"/>
      <c r="AM11" s="885"/>
      <c r="AN11" s="5"/>
      <c r="AO11" s="5"/>
      <c r="AP11" s="5"/>
      <c r="AQ11" s="892"/>
      <c r="AR11" s="5"/>
      <c r="AS11" s="885"/>
      <c r="AT11" s="7">
        <v>517.5</v>
      </c>
      <c r="AU11" s="7">
        <v>517.5</v>
      </c>
      <c r="AV11" s="7">
        <v>517.5</v>
      </c>
      <c r="AW11" s="141">
        <f>AV11</f>
        <v>517.5</v>
      </c>
      <c r="AX11" s="5"/>
      <c r="AY11" s="95">
        <v>517.5</v>
      </c>
      <c r="AZ11" s="7">
        <v>517.5</v>
      </c>
      <c r="BA11" s="7">
        <v>517.5</v>
      </c>
      <c r="BB11" s="7">
        <v>517.5</v>
      </c>
      <c r="BC11" s="141">
        <f>BB11</f>
        <v>517.5</v>
      </c>
      <c r="BD11" s="5"/>
      <c r="BE11" s="2642">
        <v>517.5</v>
      </c>
      <c r="BF11" s="2643">
        <v>517.5</v>
      </c>
      <c r="BG11" s="2643">
        <v>517.5</v>
      </c>
      <c r="BH11" s="2675">
        <v>517.5</v>
      </c>
      <c r="BI11" s="141">
        <f>BH11</f>
        <v>517.5</v>
      </c>
      <c r="BJ11" s="5"/>
      <c r="BK11" s="2642">
        <v>517</v>
      </c>
      <c r="BL11" s="2643">
        <v>517</v>
      </c>
      <c r="BM11" s="2643">
        <v>517</v>
      </c>
      <c r="BN11" s="2675">
        <v>517</v>
      </c>
      <c r="BO11" s="141">
        <f>BN11</f>
        <v>517</v>
      </c>
      <c r="BP11" s="5"/>
      <c r="BQ11" s="143">
        <f>BO11+BQ46</f>
        <v>517</v>
      </c>
      <c r="BR11" s="144">
        <f>BQ11+BR46</f>
        <v>517</v>
      </c>
      <c r="BS11" s="144">
        <f>BR11+BS46</f>
        <v>517</v>
      </c>
      <c r="BT11" s="144">
        <f>BS11+BT46</f>
        <v>517</v>
      </c>
      <c r="BU11" s="141">
        <f>BT11</f>
        <v>517</v>
      </c>
      <c r="BV11" s="5"/>
      <c r="BW11" s="143">
        <f>BU11+BW46</f>
        <v>517</v>
      </c>
      <c r="BX11" s="144">
        <f>BW11+BX46</f>
        <v>517</v>
      </c>
      <c r="BY11" s="144">
        <f>BX11+BY46</f>
        <v>517</v>
      </c>
      <c r="BZ11" s="144">
        <f>BY11+BZ46</f>
        <v>517</v>
      </c>
      <c r="CA11" s="141">
        <f>BZ11</f>
        <v>517</v>
      </c>
      <c r="CB11" s="5"/>
      <c r="CC11" s="143">
        <f t="shared" ref="CC11" si="0">CA11+CC46</f>
        <v>517</v>
      </c>
      <c r="CD11" s="144">
        <f t="shared" ref="CD11:CF11" si="1">CC11+CD46</f>
        <v>517</v>
      </c>
      <c r="CE11" s="144">
        <f t="shared" si="1"/>
        <v>517</v>
      </c>
      <c r="CF11" s="144">
        <f t="shared" si="1"/>
        <v>517</v>
      </c>
      <c r="CG11" s="141">
        <f t="shared" ref="CG11" si="2">CF11</f>
        <v>517</v>
      </c>
      <c r="CH11" s="5"/>
      <c r="CI11" s="143">
        <f t="shared" ref="CI11" si="3">CG11+CI46</f>
        <v>517</v>
      </c>
      <c r="CJ11" s="144">
        <f t="shared" ref="CJ11:CL11" si="4">CI11+CJ46</f>
        <v>517</v>
      </c>
      <c r="CK11" s="144">
        <f t="shared" si="4"/>
        <v>517</v>
      </c>
      <c r="CL11" s="144">
        <f t="shared" si="4"/>
        <v>517</v>
      </c>
      <c r="CM11" s="141">
        <f t="shared" ref="CM11" si="5">CL11</f>
        <v>517</v>
      </c>
      <c r="CN11" s="5"/>
      <c r="CO11" s="143">
        <f t="shared" ref="CO11" si="6">CM11+CO46</f>
        <v>517</v>
      </c>
      <c r="CP11" s="144">
        <f t="shared" ref="CP11:CR11" si="7">CO11+CP46</f>
        <v>517</v>
      </c>
      <c r="CQ11" s="144">
        <f t="shared" si="7"/>
        <v>517</v>
      </c>
      <c r="CR11" s="144">
        <f t="shared" si="7"/>
        <v>517</v>
      </c>
      <c r="CS11" s="141">
        <f t="shared" ref="CS11:CS12" si="8">CR11</f>
        <v>517</v>
      </c>
    </row>
    <row r="12" spans="1:97">
      <c r="A12" s="1570" t="s">
        <v>405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892"/>
      <c r="Z12" s="4"/>
      <c r="AA12" s="885"/>
      <c r="AB12" s="5"/>
      <c r="AC12" s="5"/>
      <c r="AD12" s="5"/>
      <c r="AE12" s="892"/>
      <c r="AF12" s="5"/>
      <c r="AG12" s="885"/>
      <c r="AH12" s="5"/>
      <c r="AI12" s="5"/>
      <c r="AJ12" s="5"/>
      <c r="AK12" s="892"/>
      <c r="AL12" s="5"/>
      <c r="AM12" s="885"/>
      <c r="AN12" s="5"/>
      <c r="AO12" s="5"/>
      <c r="AP12" s="5"/>
      <c r="AQ12" s="892"/>
      <c r="AR12" s="5"/>
      <c r="AS12" s="885"/>
      <c r="AT12" s="9">
        <f>AT13-AT11</f>
        <v>-95.584241047290845</v>
      </c>
      <c r="AU12" s="144">
        <f>AU13-AU11</f>
        <v>-92.514216607825858</v>
      </c>
      <c r="AV12" s="144">
        <f>AV13-AV11</f>
        <v>-89.41710769399856</v>
      </c>
      <c r="AW12" s="141">
        <f>AV12</f>
        <v>-89.41710769399856</v>
      </c>
      <c r="AX12" s="5"/>
      <c r="AY12" s="143">
        <f>AY13-AY11</f>
        <v>-86.360890026006473</v>
      </c>
      <c r="AZ12" s="144">
        <f>AZ13-AZ11</f>
        <v>-83.24389833292355</v>
      </c>
      <c r="BA12" s="144">
        <f>BA13-BA11</f>
        <v>-80.06500450089834</v>
      </c>
      <c r="BB12" s="144">
        <f>BB13-BB11</f>
        <v>-76.858065723240998</v>
      </c>
      <c r="BC12" s="141">
        <f>BB12</f>
        <v>-76.858065723240998</v>
      </c>
      <c r="BD12" s="5"/>
      <c r="BE12" s="143">
        <f>BE13-BE11</f>
        <v>-73.658153115973448</v>
      </c>
      <c r="BF12" s="144">
        <f>BF13-BF11</f>
        <v>-70.430318317339299</v>
      </c>
      <c r="BG12" s="144">
        <f>BG13-BG11</f>
        <v>-67.138380082487743</v>
      </c>
      <c r="BH12" s="144">
        <f>BH13-BH11</f>
        <v>-63.817399597816234</v>
      </c>
      <c r="BI12" s="141">
        <f>BH12</f>
        <v>-63.817399597816234</v>
      </c>
      <c r="BJ12" s="5"/>
      <c r="BK12" s="143">
        <f>BK13-BK11</f>
        <v>-60.481773133009199</v>
      </c>
      <c r="BL12" s="144">
        <f>BL13-BL11</f>
        <v>-57.142701937120705</v>
      </c>
      <c r="BM12" s="144">
        <f>BM13-BM11</f>
        <v>-53.737318197132595</v>
      </c>
      <c r="BN12" s="144">
        <f>BN13-BN11</f>
        <v>-50.301891364518156</v>
      </c>
      <c r="BO12" s="141">
        <f>BN12</f>
        <v>-50.301891364518156</v>
      </c>
      <c r="BP12" s="5"/>
      <c r="BQ12" s="143">
        <f>BQ13-BQ11</f>
        <v>-46.911822601984738</v>
      </c>
      <c r="BR12" s="144">
        <f>BR13-BR11</f>
        <v>-43.454341061169316</v>
      </c>
      <c r="BS12" s="144">
        <f>BS13-BS11</f>
        <v>-39.928195396799993</v>
      </c>
      <c r="BT12" s="144">
        <f>BT13-BT11</f>
        <v>-36.3709412498348</v>
      </c>
      <c r="BU12" s="141">
        <f>BT12</f>
        <v>-36.3709412498348</v>
      </c>
      <c r="BV12" s="5"/>
      <c r="BW12" s="143">
        <f>BW13-BW11</f>
        <v>-32.860653663578091</v>
      </c>
      <c r="BX12" s="144">
        <f>BX13-BX11</f>
        <v>-29.280562703013914</v>
      </c>
      <c r="BY12" s="144">
        <f>BY13-BY11</f>
        <v>-25.629372647589207</v>
      </c>
      <c r="BZ12" s="144">
        <f>BZ13-BZ11</f>
        <v>-21.945970938674918</v>
      </c>
      <c r="CA12" s="141">
        <f>BZ12</f>
        <v>-21.945970938674918</v>
      </c>
      <c r="CB12" s="5"/>
      <c r="CC12" s="143">
        <f t="shared" ref="CC12:CF12" si="9">CC13-CC11</f>
        <v>-18.311201321488852</v>
      </c>
      <c r="CD12" s="144">
        <f t="shared" si="9"/>
        <v>-14.604152958509133</v>
      </c>
      <c r="CE12" s="144">
        <f t="shared" si="9"/>
        <v>-10.823484180261858</v>
      </c>
      <c r="CF12" s="144">
        <f t="shared" si="9"/>
        <v>-7.0094614569185865</v>
      </c>
      <c r="CG12" s="141">
        <f t="shared" ref="CG12" si="10">CF12</f>
        <v>-7.0094614569185865</v>
      </c>
      <c r="CH12" s="5"/>
      <c r="CI12" s="143">
        <f t="shared" ref="CI12:CL12" si="11">CI13-CI11</f>
        <v>-3.2457954194850345</v>
      </c>
      <c r="CJ12" s="144">
        <f t="shared" si="11"/>
        <v>0.59271251700181438</v>
      </c>
      <c r="CK12" s="144">
        <f t="shared" si="11"/>
        <v>4.5074516003802501</v>
      </c>
      <c r="CL12" s="144">
        <f t="shared" si="11"/>
        <v>8.4567274284751193</v>
      </c>
      <c r="CM12" s="141">
        <f t="shared" ref="CM12" si="12">CL12</f>
        <v>8.4567274284751193</v>
      </c>
      <c r="CN12" s="5"/>
      <c r="CO12" s="143">
        <f t="shared" ref="CO12:CR12" si="13">CO13-CO11</f>
        <v>12.353860818815633</v>
      </c>
      <c r="CP12" s="144">
        <f t="shared" si="13"/>
        <v>16.328490156165117</v>
      </c>
      <c r="CQ12" s="144">
        <f t="shared" si="13"/>
        <v>20.382053953953118</v>
      </c>
      <c r="CR12" s="144">
        <f t="shared" si="13"/>
        <v>24.471379240589954</v>
      </c>
      <c r="CS12" s="141">
        <f t="shared" si="8"/>
        <v>24.471379240589954</v>
      </c>
    </row>
    <row r="13" spans="1:97">
      <c r="A13" s="1570" t="s">
        <v>406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892"/>
      <c r="Z13" s="4"/>
      <c r="AA13" s="885"/>
      <c r="AB13" s="5"/>
      <c r="AC13" s="5"/>
      <c r="AD13" s="5"/>
      <c r="AE13" s="892"/>
      <c r="AF13" s="5"/>
      <c r="AG13" s="885"/>
      <c r="AH13" s="5"/>
      <c r="AI13" s="5"/>
      <c r="AJ13" s="5"/>
      <c r="AK13" s="892"/>
      <c r="AL13" s="5"/>
      <c r="AM13" s="885"/>
      <c r="AN13" s="5"/>
      <c r="AO13" s="5"/>
      <c r="AP13" s="5"/>
      <c r="AQ13" s="892"/>
      <c r="AR13" s="5"/>
      <c r="AS13" s="885"/>
      <c r="AT13" s="144">
        <f>PV(3.5%/4,(DATE(2021,6,15)-AT8)/365*4,-0.5%*AT11/4,-AT11)</f>
        <v>421.91575895270915</v>
      </c>
      <c r="AU13" s="144">
        <f>PV(3.5%/4,(DATE(2021,6,15)-AU8)/365*4,-0.5%*AU11/4,-AU11)</f>
        <v>424.98578339217414</v>
      </c>
      <c r="AV13" s="144">
        <f>PV(3.5%/4,(DATE(2021,6,15)-AV8)/365*4,-0.5%*AV11/4,-AV11)</f>
        <v>428.08289230600144</v>
      </c>
      <c r="AW13" s="141">
        <f>SUM(AW11:AW12)</f>
        <v>428.08289230600144</v>
      </c>
      <c r="AX13" s="5"/>
      <c r="AY13" s="143">
        <f>PV(3.5%/4,(DATE(2021,6,15)-AY8)/365*4,-0.5%*AY11/4,-AY11)</f>
        <v>431.13910997399353</v>
      </c>
      <c r="AZ13" s="144">
        <f>PV(3.5%/4,(DATE(2021,6,15)-AZ8)/365*4,-0.5%*AZ11/4,-AZ11)</f>
        <v>434.25610166707645</v>
      </c>
      <c r="BA13" s="144">
        <f>PV(3.5%/4,(DATE(2021,6,15)-BA8)/365*4,-0.5%*BA11/4,-BA11)</f>
        <v>437.43499549910166</v>
      </c>
      <c r="BB13" s="144">
        <f>PV(3.5%/4,(DATE(2021,6,15)-BB8)/365*4,-0.5%*BB11/4,-BB11)</f>
        <v>440.641934276759</v>
      </c>
      <c r="BC13" s="141">
        <f>SUM(BC11:BC12)</f>
        <v>440.641934276759</v>
      </c>
      <c r="BD13" s="5"/>
      <c r="BE13" s="143">
        <f>PV(3.5%/4,(DATE(2021,6,15)-BE8)/365*4,-0.5%*BE11/4,-BE11)</f>
        <v>443.84184688402655</v>
      </c>
      <c r="BF13" s="144">
        <f>PV(3.5%/4,(DATE(2021,6,15)-BF8)/365*4,-0.5%*BF11/4,-BF11)</f>
        <v>447.0696816826607</v>
      </c>
      <c r="BG13" s="144">
        <f>PV(3.5%/4,(DATE(2021,6,15)-BG8)/365*4,-0.5%*BG11/4,-BG11)</f>
        <v>450.36161991751226</v>
      </c>
      <c r="BH13" s="144">
        <f>PV(3.5%/4,(DATE(2021,6,15)-BH8)/365*4,-0.5%*BH11/4,-BH11)</f>
        <v>453.68260040218377</v>
      </c>
      <c r="BI13" s="141">
        <f>SUM(BI11:BI12)</f>
        <v>453.68260040218377</v>
      </c>
      <c r="BJ13" s="5"/>
      <c r="BK13" s="143">
        <f>PV(3.5%/4,(DATE(2021,6,15)-BK8)/365*4,-0.5%*BK11/4,-BK11)</f>
        <v>456.5182268669908</v>
      </c>
      <c r="BL13" s="144">
        <f>PV(3.5%/4,(DATE(2021,6,15)-BL8)/365*4,-0.5%*BL11/4,-BL11)</f>
        <v>459.85729806287929</v>
      </c>
      <c r="BM13" s="144">
        <f>PV(3.5%/4,(DATE(2021,6,15)-BM8)/365*4,-0.5%*BM11/4,-BM11)</f>
        <v>463.26268180286741</v>
      </c>
      <c r="BN13" s="144">
        <f>PV(3.5%/4,(DATE(2021,6,15)-BN8)/365*4,-0.5%*BN11/4,-BN11)</f>
        <v>466.69810863548184</v>
      </c>
      <c r="BO13" s="141">
        <f>SUM(BO11:BO12)</f>
        <v>466.69810863548184</v>
      </c>
      <c r="BP13" s="5"/>
      <c r="BQ13" s="143">
        <f>PV(3.5%/4,(DATE(2021,6,15)-BQ8)/365*4,-0.5%*BQ11/4,-BQ11)</f>
        <v>470.08817739801526</v>
      </c>
      <c r="BR13" s="144">
        <f>PV(3.5%/4,(DATE(2021,6,15)-BR8)/365*4,-0.5%*BR11/4,-BR11)</f>
        <v>473.54565893883068</v>
      </c>
      <c r="BS13" s="144">
        <f>PV(3.5%/4,(DATE(2021,6,15)-BS8)/365*4,-0.5%*BS11/4,-BS11)</f>
        <v>477.07180460320001</v>
      </c>
      <c r="BT13" s="144">
        <f>PV(3.5%/4,(DATE(2021,6,15)-BT8)/365*4,-0.5%*BT11/4,-BT11)</f>
        <v>480.6290587501652</v>
      </c>
      <c r="BU13" s="141">
        <f>SUM(BU11:BU12)</f>
        <v>480.6290587501652</v>
      </c>
      <c r="BV13" s="5"/>
      <c r="BW13" s="143">
        <f>PV(3.5%/4,(DATE(2021,6,15)-BW8)/365*4,-0.5%*BW11/4,-BW11)</f>
        <v>484.13934633642191</v>
      </c>
      <c r="BX13" s="144">
        <f>PV(3.5%/4,(DATE(2021,6,15)-BX8)/365*4,-0.5%*BX11/4,-BX11)</f>
        <v>487.71943729698609</v>
      </c>
      <c r="BY13" s="144">
        <f>PV(3.5%/4,(DATE(2021,6,15)-BY8)/365*4,-0.5%*BY11/4,-BY11)</f>
        <v>491.37062735241079</v>
      </c>
      <c r="BZ13" s="144">
        <f>PV(3.5%/4,(DATE(2021,6,15)-BZ8)/365*4,-0.5%*BZ11/4,-BZ11)</f>
        <v>495.05402906132508</v>
      </c>
      <c r="CA13" s="141">
        <f>SUM(CA11:CA12)</f>
        <v>495.05402906132508</v>
      </c>
      <c r="CB13" s="5"/>
      <c r="CC13" s="143">
        <f t="shared" ref="CC13:CF13" si="14">PV(3.5%/4,(DATE(2021,6,15)-CC8)/365*4,-0.5%*CC11/4,-CC11)</f>
        <v>498.68879867851115</v>
      </c>
      <c r="CD13" s="144">
        <f t="shared" si="14"/>
        <v>502.39584704149087</v>
      </c>
      <c r="CE13" s="144">
        <f t="shared" si="14"/>
        <v>506.17651581973814</v>
      </c>
      <c r="CF13" s="144">
        <f t="shared" si="14"/>
        <v>509.99053854308141</v>
      </c>
      <c r="CG13" s="141">
        <f t="shared" ref="CG13" si="15">SUM(CG11:CG12)</f>
        <v>509.99053854308141</v>
      </c>
      <c r="CH13" s="5"/>
      <c r="CI13" s="143">
        <f t="shared" ref="CI13:CL13" si="16">PV(3.5%/4,(DATE(2021,6,15)-CI8)/365*4,-0.5%*CI11/4,-CI11)</f>
        <v>513.75420458051497</v>
      </c>
      <c r="CJ13" s="144">
        <f t="shared" si="16"/>
        <v>517.59271251700181</v>
      </c>
      <c r="CK13" s="144">
        <f t="shared" si="16"/>
        <v>521.50745160038025</v>
      </c>
      <c r="CL13" s="144">
        <f t="shared" si="16"/>
        <v>525.45672742847512</v>
      </c>
      <c r="CM13" s="141">
        <f t="shared" ref="CM13" si="17">SUM(CM11:CM12)</f>
        <v>525.45672742847512</v>
      </c>
      <c r="CN13" s="5"/>
      <c r="CO13" s="143">
        <f t="shared" ref="CO13:CR13" si="18">PV(3.5%/4,(DATE(2021,6,15)-CO8)/365*4,-0.5%*CO11/4,-CO11)</f>
        <v>529.35386081881563</v>
      </c>
      <c r="CP13" s="144">
        <f t="shared" si="18"/>
        <v>533.32849015616512</v>
      </c>
      <c r="CQ13" s="144">
        <f t="shared" si="18"/>
        <v>537.38205395395312</v>
      </c>
      <c r="CR13" s="144">
        <f t="shared" si="18"/>
        <v>541.47137924058995</v>
      </c>
      <c r="CS13" s="141">
        <f t="shared" ref="CS13" si="19">SUM(CS11:CS12)</f>
        <v>541.47137924058995</v>
      </c>
    </row>
    <row r="14" spans="1:97">
      <c r="A14" s="1569" t="s">
        <v>408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892"/>
      <c r="Z14" s="4"/>
      <c r="AA14" s="885"/>
      <c r="AB14" s="5"/>
      <c r="AC14" s="5"/>
      <c r="AD14" s="5"/>
      <c r="AE14" s="892"/>
      <c r="AF14" s="5"/>
      <c r="AG14" s="885"/>
      <c r="AH14" s="5"/>
      <c r="AI14" s="5"/>
      <c r="AJ14" s="5"/>
      <c r="AK14" s="892"/>
      <c r="AL14" s="5"/>
      <c r="AM14" s="885"/>
      <c r="AN14" s="5"/>
      <c r="AO14" s="5"/>
      <c r="AP14" s="5"/>
      <c r="AQ14" s="892"/>
      <c r="AR14" s="5"/>
      <c r="AS14" s="885"/>
      <c r="AT14" s="9">
        <f>IF(OR(AT43&gt;1.3*254.3364,AT8&gt;=DATE(2020,6,15)),-AT13,0)</f>
        <v>0</v>
      </c>
      <c r="AU14" s="144">
        <f>IF(OR(AU43&gt;1.3*254.3364,AU8&gt;=DATE(2020,6,15)),-AU13,0)</f>
        <v>0</v>
      </c>
      <c r="AV14" s="144">
        <f>IF(OR(AV43&gt;1.3*254.3364,AV8&gt;=DATE(2020,6,15)),-AV13,0)</f>
        <v>0</v>
      </c>
      <c r="AW14" s="141">
        <f>AV14</f>
        <v>0</v>
      </c>
      <c r="AX14" s="5"/>
      <c r="AY14" s="143">
        <f>IF(OR(AY43&gt;1.3*254.3364,AY8&gt;=DATE(2020,6,15)),-AY13,0)</f>
        <v>0</v>
      </c>
      <c r="AZ14" s="144">
        <f>IF(OR(AZ43&gt;1.3*254.3364,AZ8&gt;=DATE(2020,6,15)),-AZ13,0)</f>
        <v>0</v>
      </c>
      <c r="BA14" s="144">
        <f>IF(OR(BA43&gt;1.3*254.3364,BA8&gt;=DATE(2020,6,15)),-BA13,0)</f>
        <v>0</v>
      </c>
      <c r="BB14" s="144">
        <f>IF(OR(BB43&gt;1.3*254.3364,BB8&gt;=DATE(2020,6,15)),-BB13,0)</f>
        <v>0</v>
      </c>
      <c r="BC14" s="141">
        <f>BB14</f>
        <v>0</v>
      </c>
      <c r="BD14" s="5"/>
      <c r="BE14" s="143">
        <f>IF(OR(BE43&gt;1.3*254.3364,BE8&gt;=DATE(2020,6,15)),-BE13,0)</f>
        <v>0</v>
      </c>
      <c r="BF14" s="144">
        <f>IF(OR(BF43&gt;1.3*254.3364,BF8&gt;=DATE(2020,6,15)),-BF13,0)</f>
        <v>0</v>
      </c>
      <c r="BG14" s="144">
        <f>IF(OR(BG43&gt;1.3*254.3364,BG8&gt;=DATE(2020,6,15)),-BG13,0)</f>
        <v>0</v>
      </c>
      <c r="BH14" s="144">
        <f>IF(OR(BH43&gt;1.3*254.3364,BH8&gt;=DATE(2020,6,15)),-BH13,0)</f>
        <v>0</v>
      </c>
      <c r="BI14" s="141">
        <f>BH14</f>
        <v>0</v>
      </c>
      <c r="BJ14" s="5"/>
      <c r="BK14" s="143">
        <f>IF(OR(BK43&gt;1.3*254.3364,BK8&gt;=DATE(2020,6,15)),-BK13,0)</f>
        <v>0</v>
      </c>
      <c r="BL14" s="144">
        <f>IF(OR(BL43&gt;1.3*254.3364,BL8&gt;=DATE(2020,6,15)),-BL13,0)</f>
        <v>-459.85729806287929</v>
      </c>
      <c r="BM14" s="144">
        <f>IF(OR(BM43&gt;1.3*254.3364,BM8&gt;=DATE(2020,6,15)),-BM13,0)</f>
        <v>0</v>
      </c>
      <c r="BN14" s="144">
        <f>IF(OR(BN43&gt;1.3*254.3364,BN8&gt;=DATE(2020,6,15)),-BN13,0)</f>
        <v>0</v>
      </c>
      <c r="BO14" s="141">
        <f>BN14</f>
        <v>0</v>
      </c>
      <c r="BP14" s="5"/>
      <c r="BQ14" s="143">
        <f>IF(OR(BQ43&gt;1.3*254.3364,BQ8&gt;=DATE(2020,6,15)),-BQ13,0)</f>
        <v>0</v>
      </c>
      <c r="BR14" s="9">
        <f>IF(OR(BR43&gt;1.3*254.3364,BR8&gt;=DATE(2020,6,15)),-BR13,0)</f>
        <v>0</v>
      </c>
      <c r="BS14" s="144">
        <f>IF(OR(BS43&gt;1.3*254.3364,BS8&gt;=DATE(2020,6,15)),-BS13,0)</f>
        <v>0</v>
      </c>
      <c r="BT14" s="144">
        <f>IF(OR(BT43&gt;1.3*254.3364,BT8&gt;=DATE(2020,6,15)),-BT13,0)</f>
        <v>0</v>
      </c>
      <c r="BU14" s="141">
        <f>BT14</f>
        <v>0</v>
      </c>
      <c r="BV14" s="5"/>
      <c r="BW14" s="143">
        <f>IF(OR(BW43&gt;1.3*254.3364,BW8&gt;=DATE(2020,6,15)),-BW13,0)</f>
        <v>0</v>
      </c>
      <c r="BX14" s="9">
        <f>IF(OR(BX43&gt;1.3*254.3364,BX8&gt;=DATE(2020,6,15)),-BX13,0)</f>
        <v>0</v>
      </c>
      <c r="BY14" s="144">
        <f>IF(OR(BY43&gt;1.3*254.3364,BY8&gt;=DATE(2020,6,15)),-BY13,0)</f>
        <v>0</v>
      </c>
      <c r="BZ14" s="144">
        <f>IF(OR(BZ43&gt;1.3*254.3364,BZ8&gt;=DATE(2020,6,15)),-BZ13,0)</f>
        <v>0</v>
      </c>
      <c r="CA14" s="141">
        <f>BZ14</f>
        <v>0</v>
      </c>
      <c r="CB14" s="5"/>
      <c r="CC14" s="143">
        <f t="shared" ref="CC14:CF14" si="20">IF(OR(CC43&gt;1.3*254.3364,CC8&gt;=DATE(2020,6,15)),-CC13,0)</f>
        <v>0</v>
      </c>
      <c r="CD14" s="9">
        <f t="shared" si="20"/>
        <v>-502.39584704149087</v>
      </c>
      <c r="CE14" s="144">
        <f t="shared" si="20"/>
        <v>-506.17651581973814</v>
      </c>
      <c r="CF14" s="144">
        <f t="shared" si="20"/>
        <v>-509.99053854308141</v>
      </c>
      <c r="CG14" s="141">
        <f t="shared" ref="CG14" si="21">CF14</f>
        <v>-509.99053854308141</v>
      </c>
      <c r="CH14" s="5"/>
      <c r="CI14" s="143">
        <f t="shared" ref="CI14:CL14" si="22">IF(OR(CI43&gt;1.3*254.3364,CI8&gt;=DATE(2020,6,15)),-CI13,0)</f>
        <v>-513.75420458051497</v>
      </c>
      <c r="CJ14" s="9">
        <f t="shared" si="22"/>
        <v>-517.59271251700181</v>
      </c>
      <c r="CK14" s="144">
        <f t="shared" si="22"/>
        <v>-521.50745160038025</v>
      </c>
      <c r="CL14" s="144">
        <f t="shared" si="22"/>
        <v>-525.45672742847512</v>
      </c>
      <c r="CM14" s="141">
        <f t="shared" ref="CM14" si="23">CL14</f>
        <v>-525.45672742847512</v>
      </c>
      <c r="CN14" s="5"/>
      <c r="CO14" s="143">
        <f t="shared" ref="CO14:CR14" si="24">IF(OR(CO43&gt;1.3*254.3364,CO8&gt;=DATE(2020,6,15)),-CO13,0)</f>
        <v>-529.35386081881563</v>
      </c>
      <c r="CP14" s="9">
        <f t="shared" si="24"/>
        <v>-533.32849015616512</v>
      </c>
      <c r="CQ14" s="144">
        <f t="shared" si="24"/>
        <v>-537.38205395395312</v>
      </c>
      <c r="CR14" s="144">
        <f t="shared" si="24"/>
        <v>-541.47137924058995</v>
      </c>
      <c r="CS14" s="141">
        <f t="shared" ref="CS14" si="25">CR14</f>
        <v>-541.47137924058995</v>
      </c>
    </row>
    <row r="15" spans="1:97">
      <c r="A15" s="1569" t="s">
        <v>407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892"/>
      <c r="Z15" s="4"/>
      <c r="AA15" s="885"/>
      <c r="AB15" s="5"/>
      <c r="AC15" s="5"/>
      <c r="AD15" s="5"/>
      <c r="AE15" s="892"/>
      <c r="AF15" s="5"/>
      <c r="AG15" s="885"/>
      <c r="AH15" s="5"/>
      <c r="AI15" s="5"/>
      <c r="AJ15" s="5"/>
      <c r="AK15" s="892"/>
      <c r="AL15" s="5"/>
      <c r="AM15" s="885"/>
      <c r="AN15" s="5"/>
      <c r="AO15" s="5"/>
      <c r="AP15" s="5"/>
      <c r="AQ15" s="892"/>
      <c r="AR15" s="5"/>
      <c r="AS15" s="885"/>
      <c r="AT15" s="144">
        <f>AT13+AT14</f>
        <v>421.91575895270915</v>
      </c>
      <c r="AU15" s="144">
        <f>AU13+AU14</f>
        <v>424.98578339217414</v>
      </c>
      <c r="AV15" s="144">
        <f>AV13+AV14</f>
        <v>428.08289230600144</v>
      </c>
      <c r="AW15" s="141">
        <f>AW13+AW14</f>
        <v>428.08289230600144</v>
      </c>
      <c r="AX15" s="5"/>
      <c r="AY15" s="143">
        <f>AY13+AY14</f>
        <v>431.13910997399353</v>
      </c>
      <c r="AZ15" s="144">
        <f>AZ13+AZ14</f>
        <v>434.25610166707645</v>
      </c>
      <c r="BA15" s="144">
        <f>BA13+BA14</f>
        <v>437.43499549910166</v>
      </c>
      <c r="BB15" s="144">
        <f>BB13+BB14</f>
        <v>440.641934276759</v>
      </c>
      <c r="BC15" s="141">
        <f>BC13+BC14</f>
        <v>440.641934276759</v>
      </c>
      <c r="BD15" s="5"/>
      <c r="BE15" s="143">
        <f>BE13+BE14</f>
        <v>443.84184688402655</v>
      </c>
      <c r="BF15" s="144">
        <f>BF13+BF14</f>
        <v>447.0696816826607</v>
      </c>
      <c r="BG15" s="144">
        <f>BG13+BG14</f>
        <v>450.36161991751226</v>
      </c>
      <c r="BH15" s="144">
        <f>BH13+BH14</f>
        <v>453.68260040218377</v>
      </c>
      <c r="BI15" s="141">
        <f>BI13+BI14</f>
        <v>453.68260040218377</v>
      </c>
      <c r="BJ15" s="5"/>
      <c r="BK15" s="143">
        <f>BK13+BK14</f>
        <v>456.5182268669908</v>
      </c>
      <c r="BL15" s="144">
        <f>BL13+BL14</f>
        <v>0</v>
      </c>
      <c r="BM15" s="144">
        <f>BM13+BM14</f>
        <v>463.26268180286741</v>
      </c>
      <c r="BN15" s="144">
        <f>BN13+BN14</f>
        <v>466.69810863548184</v>
      </c>
      <c r="BO15" s="141">
        <f>BO13+BO14</f>
        <v>466.69810863548184</v>
      </c>
      <c r="BP15" s="5"/>
      <c r="BQ15" s="143">
        <f>BQ13+BQ14</f>
        <v>470.08817739801526</v>
      </c>
      <c r="BR15" s="144">
        <f>BR13+BR14</f>
        <v>473.54565893883068</v>
      </c>
      <c r="BS15" s="144">
        <f>BS13+BS14</f>
        <v>477.07180460320001</v>
      </c>
      <c r="BT15" s="144">
        <f>BT13+BT14</f>
        <v>480.6290587501652</v>
      </c>
      <c r="BU15" s="141">
        <f>BU13+BU14</f>
        <v>480.6290587501652</v>
      </c>
      <c r="BV15" s="5"/>
      <c r="BW15" s="143">
        <f>BW13+BW14</f>
        <v>484.13934633642191</v>
      </c>
      <c r="BX15" s="144">
        <f>BX13+BX14</f>
        <v>487.71943729698609</v>
      </c>
      <c r="BY15" s="144">
        <f>BY13+BY14</f>
        <v>491.37062735241079</v>
      </c>
      <c r="BZ15" s="144">
        <f>BZ13+BZ14</f>
        <v>495.05402906132508</v>
      </c>
      <c r="CA15" s="141">
        <f>CA13+CA14</f>
        <v>495.05402906132508</v>
      </c>
      <c r="CB15" s="5"/>
      <c r="CC15" s="143">
        <f t="shared" ref="CC15:CG15" si="26">CC13+CC14</f>
        <v>498.68879867851115</v>
      </c>
      <c r="CD15" s="144">
        <f t="shared" si="26"/>
        <v>0</v>
      </c>
      <c r="CE15" s="144">
        <f t="shared" si="26"/>
        <v>0</v>
      </c>
      <c r="CF15" s="144">
        <f t="shared" si="26"/>
        <v>0</v>
      </c>
      <c r="CG15" s="141">
        <f t="shared" si="26"/>
        <v>0</v>
      </c>
      <c r="CH15" s="5"/>
      <c r="CI15" s="143">
        <f t="shared" ref="CI15:CM15" si="27">CI13+CI14</f>
        <v>0</v>
      </c>
      <c r="CJ15" s="144">
        <f t="shared" si="27"/>
        <v>0</v>
      </c>
      <c r="CK15" s="144">
        <f t="shared" si="27"/>
        <v>0</v>
      </c>
      <c r="CL15" s="144">
        <f t="shared" si="27"/>
        <v>0</v>
      </c>
      <c r="CM15" s="141">
        <f t="shared" si="27"/>
        <v>0</v>
      </c>
      <c r="CN15" s="5"/>
      <c r="CO15" s="143">
        <f t="shared" ref="CO15:CS15" si="28">CO13+CO14</f>
        <v>0</v>
      </c>
      <c r="CP15" s="144">
        <f t="shared" si="28"/>
        <v>0</v>
      </c>
      <c r="CQ15" s="144">
        <f t="shared" si="28"/>
        <v>0</v>
      </c>
      <c r="CR15" s="144">
        <f t="shared" si="28"/>
        <v>0</v>
      </c>
      <c r="CS15" s="141">
        <f t="shared" si="28"/>
        <v>0</v>
      </c>
    </row>
    <row r="16" spans="1:97">
      <c r="A16" s="1569" t="s">
        <v>409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892"/>
      <c r="Z16" s="4"/>
      <c r="AA16" s="885"/>
      <c r="AB16" s="5"/>
      <c r="AC16" s="5"/>
      <c r="AD16" s="5"/>
      <c r="AE16" s="892"/>
      <c r="AF16" s="5"/>
      <c r="AG16" s="885"/>
      <c r="AH16" s="5"/>
      <c r="AI16" s="5"/>
      <c r="AJ16" s="5"/>
      <c r="AK16" s="892"/>
      <c r="AL16" s="5"/>
      <c r="AM16" s="885"/>
      <c r="AN16" s="5"/>
      <c r="AO16" s="5"/>
      <c r="AP16" s="5"/>
      <c r="AQ16" s="892"/>
      <c r="AR16" s="5"/>
      <c r="AS16" s="885"/>
      <c r="AT16" s="1543">
        <v>0</v>
      </c>
      <c r="AU16" s="1665">
        <v>0</v>
      </c>
      <c r="AV16" s="1580">
        <v>0</v>
      </c>
      <c r="AW16" s="141">
        <f>AV16</f>
        <v>0</v>
      </c>
      <c r="AX16" s="5"/>
      <c r="AY16" s="1860">
        <v>0</v>
      </c>
      <c r="AZ16" s="1665">
        <v>0</v>
      </c>
      <c r="BA16" s="1665">
        <v>0</v>
      </c>
      <c r="BB16" s="1580">
        <v>0</v>
      </c>
      <c r="BC16" s="141">
        <f>BB16</f>
        <v>0</v>
      </c>
      <c r="BD16" s="5"/>
      <c r="BE16" s="2642">
        <v>0</v>
      </c>
      <c r="BF16" s="2675">
        <v>0</v>
      </c>
      <c r="BG16" s="2675">
        <v>0</v>
      </c>
      <c r="BH16" s="2675">
        <v>0</v>
      </c>
      <c r="BI16" s="141">
        <f>BH16</f>
        <v>0</v>
      </c>
      <c r="BJ16" s="5"/>
      <c r="BK16" s="2642">
        <v>0</v>
      </c>
      <c r="BL16" s="2675">
        <v>0</v>
      </c>
      <c r="BM16" s="2675">
        <v>0</v>
      </c>
      <c r="BN16" s="2675">
        <v>0</v>
      </c>
      <c r="BO16" s="141">
        <f>BN16</f>
        <v>0</v>
      </c>
      <c r="BP16" s="5"/>
      <c r="BQ16" s="1579">
        <v>0</v>
      </c>
      <c r="BR16" s="1580">
        <v>0</v>
      </c>
      <c r="BS16" s="1580">
        <v>0</v>
      </c>
      <c r="BT16" s="1580">
        <v>0</v>
      </c>
      <c r="BU16" s="141">
        <f>BT16</f>
        <v>0</v>
      </c>
      <c r="BV16" s="5"/>
      <c r="BW16" s="1579">
        <v>0</v>
      </c>
      <c r="BX16" s="1580">
        <v>0</v>
      </c>
      <c r="BY16" s="1580">
        <v>0</v>
      </c>
      <c r="BZ16" s="1580">
        <v>0</v>
      </c>
      <c r="CA16" s="141">
        <f>BZ16</f>
        <v>0</v>
      </c>
      <c r="CB16" s="5"/>
      <c r="CC16" s="1579">
        <v>0</v>
      </c>
      <c r="CD16" s="1580">
        <v>0</v>
      </c>
      <c r="CE16" s="1580">
        <v>0</v>
      </c>
      <c r="CF16" s="1580">
        <v>0</v>
      </c>
      <c r="CG16" s="141">
        <f t="shared" ref="CG16" si="29">CF16</f>
        <v>0</v>
      </c>
      <c r="CH16" s="5"/>
      <c r="CI16" s="1579">
        <v>0</v>
      </c>
      <c r="CJ16" s="1580">
        <v>0</v>
      </c>
      <c r="CK16" s="1580">
        <v>0</v>
      </c>
      <c r="CL16" s="1580">
        <v>0</v>
      </c>
      <c r="CM16" s="141">
        <f t="shared" ref="CM16" si="30">CL16</f>
        <v>0</v>
      </c>
      <c r="CN16" s="5"/>
      <c r="CO16" s="1579">
        <v>0</v>
      </c>
      <c r="CP16" s="1580">
        <v>0</v>
      </c>
      <c r="CQ16" s="1580">
        <v>0</v>
      </c>
      <c r="CR16" s="1580">
        <v>0</v>
      </c>
      <c r="CS16" s="141">
        <f t="shared" ref="CS16:CS17" si="31">CR16</f>
        <v>0</v>
      </c>
    </row>
    <row r="17" spans="1:97">
      <c r="A17" s="1571" t="s">
        <v>410</v>
      </c>
      <c r="B17" s="1572"/>
      <c r="C17" s="1572"/>
      <c r="D17" s="1572"/>
      <c r="E17" s="1572"/>
      <c r="F17" s="1572"/>
      <c r="G17" s="1572"/>
      <c r="H17" s="1572"/>
      <c r="I17" s="1572"/>
      <c r="J17" s="1572"/>
      <c r="K17" s="1572"/>
      <c r="L17" s="1572"/>
      <c r="M17" s="1572"/>
      <c r="N17" s="1572"/>
      <c r="O17" s="1572"/>
      <c r="P17" s="1572"/>
      <c r="Q17" s="1572"/>
      <c r="R17" s="1572"/>
      <c r="S17" s="1572"/>
      <c r="T17" s="1572"/>
      <c r="U17" s="1572"/>
      <c r="V17" s="1572"/>
      <c r="W17" s="1572"/>
      <c r="X17" s="1572"/>
      <c r="Y17" s="1573"/>
      <c r="Z17" s="1572"/>
      <c r="AA17" s="1574"/>
      <c r="AB17" s="1575"/>
      <c r="AC17" s="1575"/>
      <c r="AD17" s="1575"/>
      <c r="AE17" s="1573"/>
      <c r="AF17" s="1575"/>
      <c r="AG17" s="1574"/>
      <c r="AH17" s="1575"/>
      <c r="AI17" s="1575"/>
      <c r="AJ17" s="1575"/>
      <c r="AK17" s="1573"/>
      <c r="AL17" s="1575"/>
      <c r="AM17" s="1574"/>
      <c r="AN17" s="1575"/>
      <c r="AO17" s="1575"/>
      <c r="AP17" s="1575"/>
      <c r="AQ17" s="1573"/>
      <c r="AR17" s="1575"/>
      <c r="AS17" s="1574"/>
      <c r="AT17" s="1536">
        <f>0.985*AT11-PV(3.5%/4,(DATE(2021,6,15)-DATE(2014,6,11))/365*4,-0.5%*AT11/4,-AT11)-1.5</f>
        <v>86.952415216164525</v>
      </c>
      <c r="AU17" s="1576">
        <f>AT17</f>
        <v>86.952415216164525</v>
      </c>
      <c r="AV17" s="1576">
        <f>AU17</f>
        <v>86.952415216164525</v>
      </c>
      <c r="AW17" s="1577">
        <f>AV17</f>
        <v>86.952415216164525</v>
      </c>
      <c r="AX17" s="1575"/>
      <c r="AY17" s="1578">
        <f>AW17</f>
        <v>86.952415216164525</v>
      </c>
      <c r="AZ17" s="1576">
        <f>AY17</f>
        <v>86.952415216164525</v>
      </c>
      <c r="BA17" s="1576">
        <f>AZ17</f>
        <v>86.952415216164525</v>
      </c>
      <c r="BB17" s="1576">
        <f>BA17</f>
        <v>86.952415216164525</v>
      </c>
      <c r="BC17" s="1577">
        <f>BB17</f>
        <v>86.952415216164525</v>
      </c>
      <c r="BD17" s="1575"/>
      <c r="BE17" s="1578">
        <f>BB17</f>
        <v>86.952415216164525</v>
      </c>
      <c r="BF17" s="1576">
        <f>BE17</f>
        <v>86.952415216164525</v>
      </c>
      <c r="BG17" s="1576">
        <f>BF17</f>
        <v>86.952415216164525</v>
      </c>
      <c r="BH17" s="1576">
        <f>BG17</f>
        <v>86.952415216164525</v>
      </c>
      <c r="BI17" s="1577">
        <f>BH17</f>
        <v>86.952415216164525</v>
      </c>
      <c r="BJ17" s="1575"/>
      <c r="BK17" s="1578">
        <f>BH17</f>
        <v>86.952415216164525</v>
      </c>
      <c r="BL17" s="1576">
        <f>BK17</f>
        <v>86.952415216164525</v>
      </c>
      <c r="BM17" s="1576">
        <f>BL17</f>
        <v>86.952415216164525</v>
      </c>
      <c r="BN17" s="3022">
        <f>BM17</f>
        <v>86.952415216164525</v>
      </c>
      <c r="BO17" s="1577">
        <f>BN17</f>
        <v>86.952415216164525</v>
      </c>
      <c r="BP17" s="1575"/>
      <c r="BQ17" s="1578">
        <f>BO17</f>
        <v>86.952415216164525</v>
      </c>
      <c r="BR17" s="1576">
        <f>BQ17</f>
        <v>86.952415216164525</v>
      </c>
      <c r="BS17" s="1576">
        <f>BR17</f>
        <v>86.952415216164525</v>
      </c>
      <c r="BT17" s="1576">
        <f>BS17</f>
        <v>86.952415216164525</v>
      </c>
      <c r="BU17" s="1577">
        <f>BT17</f>
        <v>86.952415216164525</v>
      </c>
      <c r="BV17" s="1575"/>
      <c r="BW17" s="1578">
        <f>BU17</f>
        <v>86.952415216164525</v>
      </c>
      <c r="BX17" s="1576">
        <f>BW17</f>
        <v>86.952415216164525</v>
      </c>
      <c r="BY17" s="1576">
        <f>BX17</f>
        <v>86.952415216164525</v>
      </c>
      <c r="BZ17" s="1576">
        <f>BY17</f>
        <v>86.952415216164525</v>
      </c>
      <c r="CA17" s="1577">
        <f>BZ17</f>
        <v>86.952415216164525</v>
      </c>
      <c r="CB17" s="1575"/>
      <c r="CC17" s="1578">
        <f t="shared" ref="CC17" si="32">CA17</f>
        <v>86.952415216164525</v>
      </c>
      <c r="CD17" s="1576">
        <f t="shared" ref="CD17:CG17" si="33">CC17</f>
        <v>86.952415216164525</v>
      </c>
      <c r="CE17" s="1576">
        <f t="shared" si="33"/>
        <v>86.952415216164525</v>
      </c>
      <c r="CF17" s="1576">
        <f t="shared" si="33"/>
        <v>86.952415216164525</v>
      </c>
      <c r="CG17" s="1577">
        <f t="shared" si="33"/>
        <v>86.952415216164525</v>
      </c>
      <c r="CH17" s="1575"/>
      <c r="CI17" s="1578">
        <f t="shared" ref="CI17" si="34">CG17</f>
        <v>86.952415216164525</v>
      </c>
      <c r="CJ17" s="1576">
        <f t="shared" ref="CJ17:CM17" si="35">CI17</f>
        <v>86.952415216164525</v>
      </c>
      <c r="CK17" s="1576">
        <f t="shared" si="35"/>
        <v>86.952415216164525</v>
      </c>
      <c r="CL17" s="1576">
        <f t="shared" si="35"/>
        <v>86.952415216164525</v>
      </c>
      <c r="CM17" s="1577">
        <f t="shared" si="35"/>
        <v>86.952415216164525</v>
      </c>
      <c r="CN17" s="1575"/>
      <c r="CO17" s="1578">
        <f t="shared" ref="CO17" si="36">CM17</f>
        <v>86.952415216164525</v>
      </c>
      <c r="CP17" s="1576">
        <f t="shared" ref="CP17:CR17" si="37">CO17</f>
        <v>86.952415216164525</v>
      </c>
      <c r="CQ17" s="1576">
        <f t="shared" si="37"/>
        <v>86.952415216164525</v>
      </c>
      <c r="CR17" s="1576">
        <f t="shared" si="37"/>
        <v>86.952415216164525</v>
      </c>
      <c r="CS17" s="1577">
        <f t="shared" si="31"/>
        <v>86.952415216164525</v>
      </c>
    </row>
    <row r="18" spans="1:97">
      <c r="A18" s="1549" t="s">
        <v>98</v>
      </c>
      <c r="B18" s="1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892"/>
      <c r="Z18" s="4"/>
      <c r="AA18" s="885"/>
      <c r="AB18" s="5"/>
      <c r="AC18" s="5"/>
      <c r="AD18" s="5"/>
      <c r="AE18" s="892"/>
      <c r="AF18" s="6"/>
      <c r="AG18" s="885"/>
      <c r="AH18" s="5"/>
      <c r="AI18" s="5"/>
      <c r="AJ18" s="5"/>
      <c r="AK18" s="892"/>
      <c r="AL18" s="6"/>
      <c r="AM18" s="885"/>
      <c r="AN18" s="5"/>
      <c r="AO18" s="5"/>
      <c r="AP18" s="5"/>
      <c r="AQ18" s="892"/>
      <c r="AR18" s="6"/>
      <c r="AS18" s="885"/>
      <c r="AT18" s="144"/>
      <c r="AU18" s="144"/>
      <c r="AV18" s="144"/>
      <c r="AW18" s="141"/>
      <c r="AX18" s="6"/>
      <c r="AY18" s="885"/>
      <c r="AZ18" s="144"/>
      <c r="BA18" s="5"/>
      <c r="BB18" s="144"/>
      <c r="BC18" s="141"/>
      <c r="BD18" s="6"/>
      <c r="BE18" s="885"/>
      <c r="BF18" s="5"/>
      <c r="BG18" s="5"/>
      <c r="BH18" s="5"/>
      <c r="BI18" s="892"/>
      <c r="BJ18" s="6"/>
      <c r="BK18" s="885"/>
      <c r="BL18" s="5"/>
      <c r="BM18" s="5"/>
      <c r="BN18" s="5"/>
      <c r="BO18" s="892"/>
      <c r="BP18" s="6"/>
      <c r="BQ18" s="885"/>
      <c r="BR18" s="5"/>
      <c r="BS18" s="5"/>
      <c r="BT18" s="5"/>
      <c r="BU18" s="892"/>
      <c r="BV18" s="6"/>
      <c r="BW18" s="885"/>
      <c r="BX18" s="5"/>
      <c r="BY18" s="5"/>
      <c r="BZ18" s="5"/>
      <c r="CA18" s="892"/>
      <c r="CB18" s="6"/>
      <c r="CC18" s="885"/>
      <c r="CD18" s="5"/>
      <c r="CE18" s="5"/>
      <c r="CF18" s="5"/>
      <c r="CG18" s="892"/>
      <c r="CH18" s="6"/>
      <c r="CI18" s="885"/>
      <c r="CJ18" s="5"/>
      <c r="CK18" s="5"/>
      <c r="CL18" s="5"/>
      <c r="CM18" s="892"/>
      <c r="CN18" s="6"/>
      <c r="CO18" s="885"/>
      <c r="CP18" s="5"/>
      <c r="CQ18" s="5"/>
      <c r="CR18" s="5"/>
      <c r="CS18" s="892"/>
    </row>
    <row r="19" spans="1:97">
      <c r="A19" s="140" t="s">
        <v>404</v>
      </c>
      <c r="B19" s="1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892"/>
      <c r="Z19" s="4"/>
      <c r="AA19" s="885"/>
      <c r="AB19" s="5"/>
      <c r="AC19" s="5"/>
      <c r="AD19" s="5"/>
      <c r="AE19" s="892"/>
      <c r="AF19" s="6"/>
      <c r="AG19" s="885"/>
      <c r="AH19" s="5"/>
      <c r="AI19" s="5"/>
      <c r="AJ19" s="5"/>
      <c r="AK19" s="892"/>
      <c r="AL19" s="6"/>
      <c r="AM19" s="885"/>
      <c r="AN19" s="5"/>
      <c r="AO19" s="5"/>
      <c r="AP19" s="5"/>
      <c r="AQ19" s="892"/>
      <c r="AR19" s="6"/>
      <c r="AS19" s="885"/>
      <c r="AT19" s="7">
        <v>632.5</v>
      </c>
      <c r="AU19" s="7">
        <v>632.5</v>
      </c>
      <c r="AV19" s="7">
        <v>632.5</v>
      </c>
      <c r="AW19" s="141">
        <f>AV19</f>
        <v>632.5</v>
      </c>
      <c r="AX19" s="6"/>
      <c r="AY19" s="95">
        <v>632.5</v>
      </c>
      <c r="AZ19" s="7">
        <v>632.5</v>
      </c>
      <c r="BA19" s="7">
        <v>632.5</v>
      </c>
      <c r="BB19" s="7">
        <v>632.5</v>
      </c>
      <c r="BC19" s="141">
        <f>BB19</f>
        <v>632.5</v>
      </c>
      <c r="BD19" s="6"/>
      <c r="BE19" s="2642">
        <v>632.5</v>
      </c>
      <c r="BF19" s="2643">
        <v>632.5</v>
      </c>
      <c r="BG19" s="2643">
        <v>632.5</v>
      </c>
      <c r="BH19" s="2643">
        <v>632.5</v>
      </c>
      <c r="BI19" s="2662">
        <f>BH19</f>
        <v>632.5</v>
      </c>
      <c r="BJ19" s="2638"/>
      <c r="BK19" s="2642">
        <v>633</v>
      </c>
      <c r="BL19" s="2643">
        <v>633</v>
      </c>
      <c r="BM19" s="2643">
        <v>633</v>
      </c>
      <c r="BN19" s="2643">
        <v>633</v>
      </c>
      <c r="BO19" s="141">
        <f>BN19</f>
        <v>633</v>
      </c>
      <c r="BP19" s="6"/>
      <c r="BQ19" s="143">
        <f>BO19+BQ47</f>
        <v>633</v>
      </c>
      <c r="BR19" s="144">
        <f>BQ19+BR47</f>
        <v>633</v>
      </c>
      <c r="BS19" s="144">
        <f>BR19+BS47</f>
        <v>633</v>
      </c>
      <c r="BT19" s="144">
        <f>BS19+BT47</f>
        <v>633</v>
      </c>
      <c r="BU19" s="141">
        <f>BT19</f>
        <v>633</v>
      </c>
      <c r="BV19" s="6"/>
      <c r="BW19" s="143">
        <f>BU19+BW47</f>
        <v>633</v>
      </c>
      <c r="BX19" s="144">
        <f>BW19+BX47</f>
        <v>633</v>
      </c>
      <c r="BY19" s="144">
        <f>BX19+BY47</f>
        <v>633</v>
      </c>
      <c r="BZ19" s="144">
        <f>BY19+BZ47</f>
        <v>633</v>
      </c>
      <c r="CA19" s="141">
        <f>BZ19</f>
        <v>633</v>
      </c>
      <c r="CB19" s="6"/>
      <c r="CC19" s="143">
        <f t="shared" ref="CC19" si="38">CA19+CC47</f>
        <v>633</v>
      </c>
      <c r="CD19" s="144">
        <f t="shared" ref="CD19:CF19" si="39">CC19+CD47</f>
        <v>633</v>
      </c>
      <c r="CE19" s="144">
        <f t="shared" si="39"/>
        <v>633</v>
      </c>
      <c r="CF19" s="144">
        <f t="shared" si="39"/>
        <v>633</v>
      </c>
      <c r="CG19" s="141">
        <f t="shared" ref="CG19" si="40">CF19</f>
        <v>633</v>
      </c>
      <c r="CH19" s="6"/>
      <c r="CI19" s="143">
        <f t="shared" ref="CI19" si="41">CG19+CI47</f>
        <v>633</v>
      </c>
      <c r="CJ19" s="144">
        <f t="shared" ref="CJ19:CL19" si="42">CI19+CJ47</f>
        <v>633</v>
      </c>
      <c r="CK19" s="144">
        <f t="shared" si="42"/>
        <v>633</v>
      </c>
      <c r="CL19" s="144">
        <f t="shared" si="42"/>
        <v>633</v>
      </c>
      <c r="CM19" s="141">
        <f t="shared" ref="CM19" si="43">CL19</f>
        <v>633</v>
      </c>
      <c r="CN19" s="6"/>
      <c r="CO19" s="143">
        <f t="shared" ref="CO19" si="44">CM19+CO47</f>
        <v>633</v>
      </c>
      <c r="CP19" s="144">
        <f t="shared" ref="CP19:CR19" si="45">CO19+CP47</f>
        <v>633</v>
      </c>
      <c r="CQ19" s="144">
        <f t="shared" si="45"/>
        <v>633</v>
      </c>
      <c r="CR19" s="144">
        <f t="shared" si="45"/>
        <v>633</v>
      </c>
      <c r="CS19" s="141">
        <f t="shared" ref="CS19:CS20" si="46">CR19</f>
        <v>633</v>
      </c>
    </row>
    <row r="20" spans="1:97">
      <c r="A20" s="900" t="s">
        <v>405</v>
      </c>
      <c r="B20" s="1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892"/>
      <c r="Z20" s="4"/>
      <c r="AA20" s="885"/>
      <c r="AB20" s="5"/>
      <c r="AC20" s="5"/>
      <c r="AD20" s="5"/>
      <c r="AE20" s="892"/>
      <c r="AF20" s="6"/>
      <c r="AG20" s="885"/>
      <c r="AH20" s="5"/>
      <c r="AI20" s="5"/>
      <c r="AJ20" s="5"/>
      <c r="AK20" s="892"/>
      <c r="AL20" s="6"/>
      <c r="AM20" s="885"/>
      <c r="AN20" s="5"/>
      <c r="AO20" s="5"/>
      <c r="AP20" s="5"/>
      <c r="AQ20" s="892"/>
      <c r="AR20" s="6"/>
      <c r="AS20" s="885"/>
      <c r="AT20" s="9">
        <f>AT21-AT19</f>
        <v>-84.480081029251323</v>
      </c>
      <c r="AU20" s="144">
        <f>AU21-AU19</f>
        <v>-80.474161569370722</v>
      </c>
      <c r="AV20" s="144">
        <f>AV21-AV19</f>
        <v>-76.438959614158193</v>
      </c>
      <c r="AW20" s="141">
        <f>AV20</f>
        <v>-76.438959614158193</v>
      </c>
      <c r="AX20" s="6"/>
      <c r="AY20" s="143">
        <f>AY21-AY19</f>
        <v>-72.462939278872454</v>
      </c>
      <c r="AZ20" s="144">
        <f>AZ21-AZ19</f>
        <v>-68.413834729463019</v>
      </c>
      <c r="BA20" s="144">
        <f>BA21-BA19</f>
        <v>-64.290474121055581</v>
      </c>
      <c r="BB20" s="144">
        <f>BB21-BB19</f>
        <v>-60.136972545268009</v>
      </c>
      <c r="BC20" s="141">
        <f>BB20</f>
        <v>-60.136972545268009</v>
      </c>
      <c r="BD20" s="6"/>
      <c r="BE20" s="143">
        <f>BE21-BE19</f>
        <v>-55.99875045082922</v>
      </c>
      <c r="BF20" s="144">
        <f>BF21-BF19</f>
        <v>-51.830608740200205</v>
      </c>
      <c r="BG20" s="144">
        <f>BG21-BG19</f>
        <v>-47.586027961871309</v>
      </c>
      <c r="BH20" s="144">
        <f>BH21-BH19</f>
        <v>-43.310420120199637</v>
      </c>
      <c r="BI20" s="141">
        <f>BH20</f>
        <v>-43.310420120199637</v>
      </c>
      <c r="BJ20" s="6"/>
      <c r="BK20" s="143">
        <f>BK21-BK19</f>
        <v>-39.128426901752732</v>
      </c>
      <c r="BL20" s="144">
        <f>BL21-BL19</f>
        <v>-34.834696616652082</v>
      </c>
      <c r="BM20" s="144">
        <f>BM21-BM19</f>
        <v>-30.462224109541353</v>
      </c>
      <c r="BN20" s="144">
        <f>BN21-BN19</f>
        <v>-26.057789675322056</v>
      </c>
      <c r="BO20" s="141">
        <f>BN20</f>
        <v>-26.057789675322056</v>
      </c>
      <c r="BP20" s="6"/>
      <c r="BQ20" s="143">
        <f>BQ21-BQ19</f>
        <v>-21.717952147917458</v>
      </c>
      <c r="BR20" s="144">
        <f>BR21-BR19</f>
        <v>-17.298342992510584</v>
      </c>
      <c r="BS20" s="144">
        <f>BS21-BS19</f>
        <v>-12.797683137081776</v>
      </c>
      <c r="BT20" s="144">
        <f>BT21-BT19</f>
        <v>-8.2641243298576228</v>
      </c>
      <c r="BU20" s="141">
        <f>BT20</f>
        <v>-8.2641243298576228</v>
      </c>
      <c r="BV20" s="6"/>
      <c r="BW20" s="143">
        <f>BW21-BW19</f>
        <v>-3.7970562106390844</v>
      </c>
      <c r="BX20" s="144">
        <f>BX21-BX19</f>
        <v>0.7521221935878657</v>
      </c>
      <c r="BY20" s="144">
        <f>BY21-BY19</f>
        <v>5.384727453272717</v>
      </c>
      <c r="BZ20" s="144">
        <f>BZ21-BZ19</f>
        <v>10.051196160101085</v>
      </c>
      <c r="CA20" s="141">
        <f>BZ20</f>
        <v>10.051196160101085</v>
      </c>
      <c r="CB20" s="6"/>
      <c r="CC20" s="143">
        <f t="shared" ref="CC20:CF20" si="47">CC21-CC19</f>
        <v>14.64922487793433</v>
      </c>
      <c r="CD20" s="144">
        <f t="shared" si="47"/>
        <v>19.331771099961202</v>
      </c>
      <c r="CE20" s="144">
        <f t="shared" si="47"/>
        <v>24.100189994397738</v>
      </c>
      <c r="CF20" s="144">
        <f t="shared" si="47"/>
        <v>28.903465107341731</v>
      </c>
      <c r="CG20" s="141">
        <f t="shared" ref="CG20" si="48">CF20</f>
        <v>28.903465107341731</v>
      </c>
      <c r="CH20" s="6"/>
      <c r="CI20" s="143">
        <f t="shared" ref="CI20:CL20" si="49">CI21-CI19</f>
        <v>33.63629378283531</v>
      </c>
      <c r="CJ20" s="144">
        <f t="shared" si="49"/>
        <v>38.456117753916487</v>
      </c>
      <c r="CK20" s="144">
        <f t="shared" si="49"/>
        <v>43.364331918135235</v>
      </c>
      <c r="CL20" s="144">
        <f t="shared" si="49"/>
        <v>48.308424177206234</v>
      </c>
      <c r="CM20" s="141">
        <f t="shared" ref="CM20" si="50">CL20</f>
        <v>48.308424177206234</v>
      </c>
      <c r="CN20" s="6"/>
      <c r="CO20" s="143">
        <f t="shared" ref="CO20:CR20" si="51">CO21-CO19</f>
        <v>53.180004727518394</v>
      </c>
      <c r="CP20" s="144">
        <f t="shared" si="51"/>
        <v>58.141131005980014</v>
      </c>
      <c r="CQ20" s="144">
        <f t="shared" si="51"/>
        <v>63.19323880421598</v>
      </c>
      <c r="CR20" s="144">
        <f t="shared" si="51"/>
        <v>68.282276531897423</v>
      </c>
      <c r="CS20" s="141">
        <f t="shared" si="46"/>
        <v>68.282276531897423</v>
      </c>
    </row>
    <row r="21" spans="1:97">
      <c r="A21" s="900" t="s">
        <v>406</v>
      </c>
      <c r="B21" s="1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892"/>
      <c r="Z21" s="4"/>
      <c r="AA21" s="885"/>
      <c r="AB21" s="5"/>
      <c r="AC21" s="5"/>
      <c r="AD21" s="5"/>
      <c r="AE21" s="892"/>
      <c r="AF21" s="6"/>
      <c r="AG21" s="885"/>
      <c r="AH21" s="5"/>
      <c r="AI21" s="5"/>
      <c r="AJ21" s="5"/>
      <c r="AK21" s="892"/>
      <c r="AL21" s="6"/>
      <c r="AM21" s="885"/>
      <c r="AN21" s="5"/>
      <c r="AO21" s="5"/>
      <c r="AP21" s="5"/>
      <c r="AQ21" s="892"/>
      <c r="AR21" s="6"/>
      <c r="AS21" s="885"/>
      <c r="AT21" s="144">
        <f>PV(2.9%/4,(DATE(2019,6,15)-AT8)/365*4,0%*AT19/4,-AT19)</f>
        <v>548.01991897074868</v>
      </c>
      <c r="AU21" s="144">
        <f>PV(2.9%/4,(DATE(2019,6,15)-AU8)/365*4,0%*AU19/4,-AU19)</f>
        <v>552.02583843062928</v>
      </c>
      <c r="AV21" s="144">
        <f>PV(2.9%/4,(DATE(2019,6,15)-AV8)/365*4,0%*AV19/4,-AV19)</f>
        <v>556.06104038584181</v>
      </c>
      <c r="AW21" s="141">
        <f>SUM(AW19:AW20)</f>
        <v>556.06104038584181</v>
      </c>
      <c r="AX21" s="6"/>
      <c r="AY21" s="143">
        <f>PV(2.9%/4,(DATE(2019,6,15)-AY8)/365*4,0%*AY19/4,-AY19)</f>
        <v>560.03706072112755</v>
      </c>
      <c r="AZ21" s="144">
        <f>PV(2.9%/4,(DATE(2019,6,15)-AZ8)/365*4,0%*AZ19/4,-AZ19)</f>
        <v>564.08616527053698</v>
      </c>
      <c r="BA21" s="144">
        <f>PV(2.9%/4,(DATE(2019,6,15)-BA8)/365*4,0%*BA19/4,-BA19)</f>
        <v>568.20952587894442</v>
      </c>
      <c r="BB21" s="144">
        <f>PV(2.9%/4,(DATE(2019,6,15)-BB8)/365*4,0%*BB19/4,-BB19)</f>
        <v>572.36302745473199</v>
      </c>
      <c r="BC21" s="141">
        <f>SUM(BC19:BC20)</f>
        <v>572.36302745473199</v>
      </c>
      <c r="BD21" s="6"/>
      <c r="BE21" s="143">
        <f>PV(2.9%/4,(DATE(2019,6,15)-BE8)/365*4,0%*BE19/4,-BE19)</f>
        <v>576.50124954917078</v>
      </c>
      <c r="BF21" s="144">
        <f>PV(2.9%/4,(DATE(2019,6,15)-BF8)/365*4,0%*BF19/4,-BF19)</f>
        <v>580.6693912597998</v>
      </c>
      <c r="BG21" s="144">
        <f>PV(2.9%/4,(DATE(2019,6,15)-BG8)/365*4,0%*BG19/4,-BG19)</f>
        <v>584.91397203812869</v>
      </c>
      <c r="BH21" s="144">
        <f>PV(2.9%/4,(DATE(2019,6,15)-BH8)/365*4,0%*BH19/4,-BH19)</f>
        <v>589.18957987980036</v>
      </c>
      <c r="BI21" s="141">
        <f>SUM(BI19:BI20)</f>
        <v>589.18957987980036</v>
      </c>
      <c r="BJ21" s="6"/>
      <c r="BK21" s="143">
        <f>PV(2.9%/4,(DATE(2019,6,15)-BK8)/365*4,0%*BK19/4,-BK19)</f>
        <v>593.87157309824727</v>
      </c>
      <c r="BL21" s="144">
        <f>PV(2.9%/4,(DATE(2019,6,15)-BL8)/365*4,0%*BL19/4,-BL19)</f>
        <v>598.16530338334792</v>
      </c>
      <c r="BM21" s="144">
        <f>PV(2.9%/4,(DATE(2019,6,15)-BM8)/365*4,0%*BM19/4,-BM19)</f>
        <v>602.53777589045865</v>
      </c>
      <c r="BN21" s="144">
        <f>PV(2.9%/4,(DATE(2019,6,15)-BN8)/365*4,0%*BN19/4,-BN19)</f>
        <v>606.94221032467794</v>
      </c>
      <c r="BO21" s="141">
        <f>SUM(BO19:BO20)</f>
        <v>606.94221032467794</v>
      </c>
      <c r="BP21" s="6"/>
      <c r="BQ21" s="143">
        <f>PV(2.9%/4,(DATE(2019,6,15)-BQ8)/365*4,0%*BQ19/4,-BQ19)</f>
        <v>611.28204785208254</v>
      </c>
      <c r="BR21" s="144">
        <f>PV(2.9%/4,(DATE(2019,6,15)-BR8)/365*4,0%*BR19/4,-BR19)</f>
        <v>615.70165700748942</v>
      </c>
      <c r="BS21" s="144">
        <f>PV(2.9%/4,(DATE(2019,6,15)-BS8)/365*4,0%*BS19/4,-BS19)</f>
        <v>620.20231686291822</v>
      </c>
      <c r="BT21" s="144">
        <f>PV(2.9%/4,(DATE(2019,6,15)-BT8)/365*4,0%*BT19/4,-BT19)</f>
        <v>624.73587567014238</v>
      </c>
      <c r="BU21" s="141">
        <f>SUM(BU19:BU20)</f>
        <v>624.73587567014238</v>
      </c>
      <c r="BV21" s="6"/>
      <c r="BW21" s="143">
        <f>PV(2.9%/4,(DATE(2019,6,15)-BW8)/365*4,0%*BW19/4,-BW19)</f>
        <v>629.20294378936092</v>
      </c>
      <c r="BX21" s="144">
        <f>PV(2.9%/4,(DATE(2019,6,15)-BX8)/365*4,0%*BX19/4,-BX19)</f>
        <v>633.75212219358787</v>
      </c>
      <c r="BY21" s="144">
        <f>PV(2.9%/4,(DATE(2019,6,15)-BY8)/365*4,0%*BY19/4,-BY19)</f>
        <v>638.38472745327272</v>
      </c>
      <c r="BZ21" s="144">
        <f>PV(2.9%/4,(DATE(2019,6,15)-BZ8)/365*4,0%*BZ19/4,-BZ19)</f>
        <v>643.05119616010109</v>
      </c>
      <c r="CA21" s="141">
        <f>SUM(CA19:CA20)</f>
        <v>643.05119616010109</v>
      </c>
      <c r="CB21" s="6"/>
      <c r="CC21" s="143">
        <f t="shared" ref="CC21:CF21" si="52">PV(2.9%/4,(DATE(2019,6,15)-CC8)/365*4,0%*CC19/4,-CC19)</f>
        <v>647.64922487793433</v>
      </c>
      <c r="CD21" s="144">
        <f t="shared" si="52"/>
        <v>652.3317710999612</v>
      </c>
      <c r="CE21" s="144">
        <f t="shared" si="52"/>
        <v>657.10018999439774</v>
      </c>
      <c r="CF21" s="144">
        <f t="shared" si="52"/>
        <v>661.90346510734173</v>
      </c>
      <c r="CG21" s="141">
        <f t="shared" ref="CG21" si="53">SUM(CG19:CG20)</f>
        <v>661.90346510734173</v>
      </c>
      <c r="CH21" s="6"/>
      <c r="CI21" s="143">
        <f t="shared" ref="CI21:CL21" si="54">PV(2.9%/4,(DATE(2019,6,15)-CI8)/365*4,0%*CI19/4,-CI19)</f>
        <v>666.63629378283531</v>
      </c>
      <c r="CJ21" s="144">
        <f t="shared" si="54"/>
        <v>671.45611775391649</v>
      </c>
      <c r="CK21" s="144">
        <f t="shared" si="54"/>
        <v>676.36433191813524</v>
      </c>
      <c r="CL21" s="144">
        <f t="shared" si="54"/>
        <v>681.30842417720623</v>
      </c>
      <c r="CM21" s="141">
        <f t="shared" ref="CM21" si="55">SUM(CM19:CM20)</f>
        <v>681.30842417720623</v>
      </c>
      <c r="CN21" s="6"/>
      <c r="CO21" s="143">
        <f t="shared" ref="CO21:CR21" si="56">PV(2.9%/4,(DATE(2019,6,15)-CO8)/365*4,0%*CO19/4,-CO19)</f>
        <v>686.18000472751839</v>
      </c>
      <c r="CP21" s="144">
        <f t="shared" si="56"/>
        <v>691.14113100598001</v>
      </c>
      <c r="CQ21" s="144">
        <f t="shared" si="56"/>
        <v>696.19323880421598</v>
      </c>
      <c r="CR21" s="144">
        <f t="shared" si="56"/>
        <v>701.28227653189742</v>
      </c>
      <c r="CS21" s="141">
        <f t="shared" ref="CS21" si="57">SUM(CS19:CS20)</f>
        <v>701.28227653189742</v>
      </c>
    </row>
    <row r="22" spans="1:97">
      <c r="A22" s="140" t="s">
        <v>408</v>
      </c>
      <c r="B22" s="1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892"/>
      <c r="Z22" s="4"/>
      <c r="AA22" s="885"/>
      <c r="AB22" s="5"/>
      <c r="AC22" s="5"/>
      <c r="AD22" s="5"/>
      <c r="AE22" s="892"/>
      <c r="AF22" s="6"/>
      <c r="AG22" s="885"/>
      <c r="AH22" s="5"/>
      <c r="AI22" s="5"/>
      <c r="AJ22" s="5"/>
      <c r="AK22" s="892"/>
      <c r="AL22" s="6"/>
      <c r="AM22" s="885"/>
      <c r="AN22" s="5"/>
      <c r="AO22" s="5"/>
      <c r="AP22" s="5"/>
      <c r="AQ22" s="892"/>
      <c r="AR22" s="6"/>
      <c r="AS22" s="885"/>
      <c r="AT22" s="9">
        <f>IF(OR(AT43&gt;1.3*254.3364,AT8&gt;=DATE(2018,6,15)),-AT21,0)</f>
        <v>0</v>
      </c>
      <c r="AU22" s="144">
        <f>IF(OR(AU43&gt;1.3*254.3364,AU8&gt;=DATE(2018,6,15)),-AU21,0)</f>
        <v>0</v>
      </c>
      <c r="AV22" s="144">
        <f>IF(OR(AV43&gt;1.3*254.3364,AV8&gt;=DATE(2018,6,15)),-AV21,0)</f>
        <v>0</v>
      </c>
      <c r="AW22" s="141">
        <f>AV22</f>
        <v>0</v>
      </c>
      <c r="AX22" s="6"/>
      <c r="AY22" s="143">
        <f>IF(OR(AY43&gt;1.3*254.3364,AY8&gt;=DATE(2018,6,15)),-AY21,0)</f>
        <v>0</v>
      </c>
      <c r="AZ22" s="144">
        <f>IF(OR(AZ43&gt;1.3*254.3364,AZ8&gt;=DATE(2018,6,15)),-AZ21,0)</f>
        <v>0</v>
      </c>
      <c r="BA22" s="144">
        <f>IF(OR(BA43&gt;1.3*254.3364,BA8&gt;=DATE(2018,6,15)),-BA21,0)</f>
        <v>0</v>
      </c>
      <c r="BB22" s="144">
        <f>IF(OR(BB43&gt;1.3*254.3364,BB8&gt;=DATE(2018,6,15)),-BB21,0)</f>
        <v>0</v>
      </c>
      <c r="BC22" s="141">
        <f>BB22</f>
        <v>0</v>
      </c>
      <c r="BD22" s="6"/>
      <c r="BE22" s="143">
        <f>IF(OR(BE43&gt;1.3*254.3364,BE8&gt;=DATE(2018,6,15)),-BE21,0)</f>
        <v>0</v>
      </c>
      <c r="BF22" s="144">
        <f>IF(OR(BF43&gt;1.3*254.3364,BF8&gt;=DATE(2018,6,15)),-BF21,0)</f>
        <v>0</v>
      </c>
      <c r="BG22" s="144">
        <f>IF(OR(BG43&gt;1.3*254.3364,BG8&gt;=DATE(2018,6,15)),-BG21,0)</f>
        <v>0</v>
      </c>
      <c r="BH22" s="144">
        <f>IF(OR(BH43&gt;1.3*254.3364,BH8&gt;=DATE(2018,6,15)),-BH21,0)</f>
        <v>0</v>
      </c>
      <c r="BI22" s="141">
        <f>BH22</f>
        <v>0</v>
      </c>
      <c r="BJ22" s="6"/>
      <c r="BK22" s="143">
        <f>IF(OR(BK43&gt;1.3*254.3364,BK8&gt;=DATE(2018,6,15)),-BK21,0)</f>
        <v>0</v>
      </c>
      <c r="BL22" s="144">
        <f>IF(OR(BL43&gt;1.3*254.3364,BL8&gt;=DATE(2018,6,15)),-BL21,0)</f>
        <v>-598.16530338334792</v>
      </c>
      <c r="BM22" s="144">
        <f>IF(OR(BM43&gt;1.3*254.3364,BM8&gt;=DATE(2018,6,15)),-BM21,0)</f>
        <v>0</v>
      </c>
      <c r="BN22" s="144">
        <f>IF(OR(BN43&gt;1.3*254.3364,BN8&gt;=DATE(2018,6,15)),-BN21,0)</f>
        <v>0</v>
      </c>
      <c r="BO22" s="141">
        <f>BN22</f>
        <v>0</v>
      </c>
      <c r="BP22" s="6"/>
      <c r="BQ22" s="143">
        <f>IF(OR(BQ43&gt;1.3*254.3364,BQ8&gt;=DATE(2018,6,15)),-BQ21,0)</f>
        <v>0</v>
      </c>
      <c r="BR22" s="9">
        <f>IF(OR(BR43&gt;1.3*254.3364,BR8&gt;=DATE(2018,6,15)),-BR21,0)</f>
        <v>-615.70165700748942</v>
      </c>
      <c r="BS22" s="144">
        <f>IF(OR(BS43&gt;1.3*254.3364,BS8&gt;=DATE(2018,6,15)),-BS21,0)</f>
        <v>-620.20231686291822</v>
      </c>
      <c r="BT22" s="144">
        <f>IF(OR(BT43&gt;1.3*254.3364,BT8&gt;=DATE(2018,6,15)),-BT21,0)</f>
        <v>-624.73587567014238</v>
      </c>
      <c r="BU22" s="141">
        <f>BT22</f>
        <v>-624.73587567014238</v>
      </c>
      <c r="BV22" s="6"/>
      <c r="BW22" s="143">
        <f>IF(OR(BW43&gt;1.3*254.3364,BW8&gt;=DATE(2018,6,15)),-BW21,0)</f>
        <v>-629.20294378936092</v>
      </c>
      <c r="BX22" s="9">
        <f>IF(OR(BX43&gt;1.3*254.3364,BX8&gt;=DATE(2018,6,15)),-BX21,0)</f>
        <v>-633.75212219358787</v>
      </c>
      <c r="BY22" s="144">
        <f>IF(OR(BY43&gt;1.3*254.3364,BY8&gt;=DATE(2018,6,15)),-BY21,0)</f>
        <v>-638.38472745327272</v>
      </c>
      <c r="BZ22" s="144">
        <f>IF(OR(BZ43&gt;1.3*254.3364,BZ8&gt;=DATE(2018,6,15)),-BZ21,0)</f>
        <v>-643.05119616010109</v>
      </c>
      <c r="CA22" s="141">
        <f>BZ22</f>
        <v>-643.05119616010109</v>
      </c>
      <c r="CB22" s="6"/>
      <c r="CC22" s="143">
        <f t="shared" ref="CC22:CF22" si="58">IF(OR(CC43&gt;1.3*254.3364,CC8&gt;=DATE(2018,6,15)),-CC21,0)</f>
        <v>-647.64922487793433</v>
      </c>
      <c r="CD22" s="9">
        <f t="shared" si="58"/>
        <v>-652.3317710999612</v>
      </c>
      <c r="CE22" s="144">
        <f t="shared" si="58"/>
        <v>-657.10018999439774</v>
      </c>
      <c r="CF22" s="144">
        <f t="shared" si="58"/>
        <v>-661.90346510734173</v>
      </c>
      <c r="CG22" s="141">
        <f t="shared" ref="CG22" si="59">CF22</f>
        <v>-661.90346510734173</v>
      </c>
      <c r="CH22" s="6"/>
      <c r="CI22" s="143">
        <f t="shared" ref="CI22:CL22" si="60">IF(OR(CI43&gt;1.3*254.3364,CI8&gt;=DATE(2018,6,15)),-CI21,0)</f>
        <v>-666.63629378283531</v>
      </c>
      <c r="CJ22" s="9">
        <f t="shared" si="60"/>
        <v>-671.45611775391649</v>
      </c>
      <c r="CK22" s="144">
        <f t="shared" si="60"/>
        <v>-676.36433191813524</v>
      </c>
      <c r="CL22" s="144">
        <f t="shared" si="60"/>
        <v>-681.30842417720623</v>
      </c>
      <c r="CM22" s="141">
        <f t="shared" ref="CM22" si="61">CL22</f>
        <v>-681.30842417720623</v>
      </c>
      <c r="CN22" s="6"/>
      <c r="CO22" s="143">
        <f t="shared" ref="CO22:CR22" si="62">IF(OR(CO43&gt;1.3*254.3364,CO8&gt;=DATE(2018,6,15)),-CO21,0)</f>
        <v>-686.18000472751839</v>
      </c>
      <c r="CP22" s="9">
        <f t="shared" si="62"/>
        <v>-691.14113100598001</v>
      </c>
      <c r="CQ22" s="144">
        <f t="shared" si="62"/>
        <v>-696.19323880421598</v>
      </c>
      <c r="CR22" s="144">
        <f t="shared" si="62"/>
        <v>-701.28227653189742</v>
      </c>
      <c r="CS22" s="141">
        <f t="shared" ref="CS22" si="63">CR22</f>
        <v>-701.28227653189742</v>
      </c>
    </row>
    <row r="23" spans="1:97">
      <c r="A23" s="140" t="s">
        <v>407</v>
      </c>
      <c r="B23" s="1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892"/>
      <c r="Z23" s="4"/>
      <c r="AA23" s="885"/>
      <c r="AB23" s="5"/>
      <c r="AC23" s="5"/>
      <c r="AD23" s="5"/>
      <c r="AE23" s="892"/>
      <c r="AF23" s="6"/>
      <c r="AG23" s="885"/>
      <c r="AH23" s="5"/>
      <c r="AI23" s="5"/>
      <c r="AJ23" s="5"/>
      <c r="AK23" s="892"/>
      <c r="AL23" s="6"/>
      <c r="AM23" s="885"/>
      <c r="AN23" s="5"/>
      <c r="AO23" s="5"/>
      <c r="AP23" s="5"/>
      <c r="AQ23" s="892"/>
      <c r="AR23" s="6"/>
      <c r="AS23" s="885"/>
      <c r="AT23" s="144">
        <f>AT21+AT22</f>
        <v>548.01991897074868</v>
      </c>
      <c r="AU23" s="144">
        <f>AU21+AU22</f>
        <v>552.02583843062928</v>
      </c>
      <c r="AV23" s="144">
        <f>AV21+AV22</f>
        <v>556.06104038584181</v>
      </c>
      <c r="AW23" s="141">
        <f>AW21+AW22</f>
        <v>556.06104038584181</v>
      </c>
      <c r="AX23" s="6"/>
      <c r="AY23" s="143">
        <f>AY21+AY22</f>
        <v>560.03706072112755</v>
      </c>
      <c r="AZ23" s="144">
        <f>AZ21+AZ22</f>
        <v>564.08616527053698</v>
      </c>
      <c r="BA23" s="144">
        <f>BA21+BA22</f>
        <v>568.20952587894442</v>
      </c>
      <c r="BB23" s="144">
        <f>BB21+BB22</f>
        <v>572.36302745473199</v>
      </c>
      <c r="BC23" s="141">
        <f>BC21+BC22</f>
        <v>572.36302745473199</v>
      </c>
      <c r="BD23" s="6"/>
      <c r="BE23" s="143">
        <f>BE21+BE22</f>
        <v>576.50124954917078</v>
      </c>
      <c r="BF23" s="144">
        <f>BF21+BF22</f>
        <v>580.6693912597998</v>
      </c>
      <c r="BG23" s="144">
        <f>BG21+BG22</f>
        <v>584.91397203812869</v>
      </c>
      <c r="BH23" s="144">
        <f>BH21+BH22</f>
        <v>589.18957987980036</v>
      </c>
      <c r="BI23" s="141">
        <f>BI21+BI22</f>
        <v>589.18957987980036</v>
      </c>
      <c r="BJ23" s="6"/>
      <c r="BK23" s="143">
        <f>BK21+BK22</f>
        <v>593.87157309824727</v>
      </c>
      <c r="BL23" s="144">
        <f>BL21+BL22</f>
        <v>0</v>
      </c>
      <c r="BM23" s="144">
        <f>BM21+BM22</f>
        <v>602.53777589045865</v>
      </c>
      <c r="BN23" s="144">
        <f>BN21+BN22</f>
        <v>606.94221032467794</v>
      </c>
      <c r="BO23" s="141">
        <f>BO21+BO22</f>
        <v>606.94221032467794</v>
      </c>
      <c r="BP23" s="6"/>
      <c r="BQ23" s="143">
        <f>BQ21+BQ22</f>
        <v>611.28204785208254</v>
      </c>
      <c r="BR23" s="144">
        <f>BR21+BR22</f>
        <v>0</v>
      </c>
      <c r="BS23" s="144">
        <f>BS21+BS22</f>
        <v>0</v>
      </c>
      <c r="BT23" s="144">
        <f>BT21+BT22</f>
        <v>0</v>
      </c>
      <c r="BU23" s="141">
        <f>BU21+BU22</f>
        <v>0</v>
      </c>
      <c r="BV23" s="6"/>
      <c r="BW23" s="143">
        <f>BW21+BW22</f>
        <v>0</v>
      </c>
      <c r="BX23" s="144">
        <f>BX21+BX22</f>
        <v>0</v>
      </c>
      <c r="BY23" s="144">
        <f>BY21+BY22</f>
        <v>0</v>
      </c>
      <c r="BZ23" s="144">
        <f>BZ21+BZ22</f>
        <v>0</v>
      </c>
      <c r="CA23" s="141">
        <f>CA21+CA22</f>
        <v>0</v>
      </c>
      <c r="CB23" s="6"/>
      <c r="CC23" s="143">
        <f t="shared" ref="CC23:CG23" si="64">CC21+CC22</f>
        <v>0</v>
      </c>
      <c r="CD23" s="144">
        <f t="shared" si="64"/>
        <v>0</v>
      </c>
      <c r="CE23" s="144">
        <f t="shared" si="64"/>
        <v>0</v>
      </c>
      <c r="CF23" s="144">
        <f t="shared" si="64"/>
        <v>0</v>
      </c>
      <c r="CG23" s="141">
        <f t="shared" si="64"/>
        <v>0</v>
      </c>
      <c r="CH23" s="6"/>
      <c r="CI23" s="143">
        <f t="shared" ref="CI23:CM23" si="65">CI21+CI22</f>
        <v>0</v>
      </c>
      <c r="CJ23" s="144">
        <f t="shared" si="65"/>
        <v>0</v>
      </c>
      <c r="CK23" s="144">
        <f t="shared" si="65"/>
        <v>0</v>
      </c>
      <c r="CL23" s="144">
        <f t="shared" si="65"/>
        <v>0</v>
      </c>
      <c r="CM23" s="141">
        <f t="shared" si="65"/>
        <v>0</v>
      </c>
      <c r="CN23" s="6"/>
      <c r="CO23" s="143">
        <f t="shared" ref="CO23:CS23" si="66">CO21+CO22</f>
        <v>0</v>
      </c>
      <c r="CP23" s="144">
        <f t="shared" si="66"/>
        <v>0</v>
      </c>
      <c r="CQ23" s="144">
        <f t="shared" si="66"/>
        <v>0</v>
      </c>
      <c r="CR23" s="144">
        <f t="shared" si="66"/>
        <v>0</v>
      </c>
      <c r="CS23" s="141">
        <f t="shared" si="66"/>
        <v>0</v>
      </c>
    </row>
    <row r="24" spans="1:97">
      <c r="A24" s="140" t="s">
        <v>409</v>
      </c>
      <c r="B24" s="1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892"/>
      <c r="Z24" s="4"/>
      <c r="AA24" s="885"/>
      <c r="AB24" s="5"/>
      <c r="AC24" s="5"/>
      <c r="AD24" s="5"/>
      <c r="AE24" s="892"/>
      <c r="AF24" s="6"/>
      <c r="AG24" s="885"/>
      <c r="AH24" s="5"/>
      <c r="AI24" s="5"/>
      <c r="AJ24" s="5"/>
      <c r="AK24" s="892"/>
      <c r="AL24" s="6"/>
      <c r="AM24" s="885"/>
      <c r="AN24" s="5"/>
      <c r="AO24" s="5"/>
      <c r="AP24" s="5"/>
      <c r="AQ24" s="892"/>
      <c r="AR24" s="6"/>
      <c r="AS24" s="885"/>
      <c r="AT24" s="1543">
        <v>0</v>
      </c>
      <c r="AU24" s="1665">
        <v>0</v>
      </c>
      <c r="AV24" s="1580">
        <v>0</v>
      </c>
      <c r="AW24" s="141">
        <f>AV24</f>
        <v>0</v>
      </c>
      <c r="AX24" s="6"/>
      <c r="AY24" s="1860">
        <v>0</v>
      </c>
      <c r="AZ24" s="1665">
        <v>0</v>
      </c>
      <c r="BA24" s="1665">
        <v>0</v>
      </c>
      <c r="BB24" s="1580">
        <v>0</v>
      </c>
      <c r="BC24" s="141">
        <f>BB24</f>
        <v>0</v>
      </c>
      <c r="BD24" s="6"/>
      <c r="BE24" s="2642">
        <v>0</v>
      </c>
      <c r="BF24" s="2675">
        <v>0</v>
      </c>
      <c r="BG24" s="2675">
        <v>0</v>
      </c>
      <c r="BH24" s="2675">
        <v>0</v>
      </c>
      <c r="BI24" s="2662">
        <f>BH24</f>
        <v>0</v>
      </c>
      <c r="BJ24" s="2638"/>
      <c r="BK24" s="2642">
        <v>0</v>
      </c>
      <c r="BL24" s="2675">
        <v>0</v>
      </c>
      <c r="BM24" s="2675">
        <v>0</v>
      </c>
      <c r="BN24" s="2675">
        <v>0</v>
      </c>
      <c r="BO24" s="141">
        <f>BN24</f>
        <v>0</v>
      </c>
      <c r="BP24" s="6"/>
      <c r="BQ24" s="1579">
        <v>0</v>
      </c>
      <c r="BR24" s="1580">
        <v>0</v>
      </c>
      <c r="BS24" s="1580">
        <v>0</v>
      </c>
      <c r="BT24" s="1580">
        <v>0</v>
      </c>
      <c r="BU24" s="141">
        <f>BT24</f>
        <v>0</v>
      </c>
      <c r="BV24" s="6"/>
      <c r="BW24" s="1579">
        <v>0</v>
      </c>
      <c r="BX24" s="1580">
        <v>0</v>
      </c>
      <c r="BY24" s="1580">
        <v>0</v>
      </c>
      <c r="BZ24" s="1580">
        <v>0</v>
      </c>
      <c r="CA24" s="141">
        <f>BZ24</f>
        <v>0</v>
      </c>
      <c r="CB24" s="6"/>
      <c r="CC24" s="1579">
        <v>0</v>
      </c>
      <c r="CD24" s="1580">
        <v>0</v>
      </c>
      <c r="CE24" s="1580">
        <v>0</v>
      </c>
      <c r="CF24" s="1580">
        <v>0</v>
      </c>
      <c r="CG24" s="141">
        <f t="shared" ref="CG24" si="67">CF24</f>
        <v>0</v>
      </c>
      <c r="CH24" s="6"/>
      <c r="CI24" s="1579">
        <v>0</v>
      </c>
      <c r="CJ24" s="1580">
        <v>0</v>
      </c>
      <c r="CK24" s="1580">
        <v>0</v>
      </c>
      <c r="CL24" s="1580">
        <v>0</v>
      </c>
      <c r="CM24" s="141">
        <f t="shared" ref="CM24" si="68">CL24</f>
        <v>0</v>
      </c>
      <c r="CN24" s="6"/>
      <c r="CO24" s="1579">
        <v>0</v>
      </c>
      <c r="CP24" s="1580">
        <v>0</v>
      </c>
      <c r="CQ24" s="1580">
        <v>0</v>
      </c>
      <c r="CR24" s="1580">
        <v>0</v>
      </c>
      <c r="CS24" s="141">
        <f t="shared" ref="CS24:CS25" si="69">CR24</f>
        <v>0</v>
      </c>
    </row>
    <row r="25" spans="1:97">
      <c r="A25" s="145" t="s">
        <v>410</v>
      </c>
      <c r="B25" s="1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892"/>
      <c r="Z25" s="4"/>
      <c r="AA25" s="885"/>
      <c r="AB25" s="5"/>
      <c r="AC25" s="5"/>
      <c r="AD25" s="5"/>
      <c r="AE25" s="892"/>
      <c r="AF25" s="6"/>
      <c r="AG25" s="885"/>
      <c r="AH25" s="5"/>
      <c r="AI25" s="5"/>
      <c r="AJ25" s="5"/>
      <c r="AK25" s="892"/>
      <c r="AL25" s="6"/>
      <c r="AM25" s="885"/>
      <c r="AN25" s="5"/>
      <c r="AO25" s="5"/>
      <c r="AP25" s="5"/>
      <c r="AQ25" s="892"/>
      <c r="AR25" s="6"/>
      <c r="AS25" s="885"/>
      <c r="AT25" s="1536">
        <f>0.985*AT19-PV(2.9%/4,(DATE(2019,6,15)-DATE(2014,6,11))/365*4,0%*AT19/4,-AT19)-1.5</f>
        <v>74.316261779811498</v>
      </c>
      <c r="AU25" s="144">
        <f>AT25</f>
        <v>74.316261779811498</v>
      </c>
      <c r="AV25" s="144">
        <f>AU25</f>
        <v>74.316261779811498</v>
      </c>
      <c r="AW25" s="141">
        <f>AV25</f>
        <v>74.316261779811498</v>
      </c>
      <c r="AX25" s="6"/>
      <c r="AY25" s="1578">
        <f>AW25</f>
        <v>74.316261779811498</v>
      </c>
      <c r="AZ25" s="144">
        <f>AY25</f>
        <v>74.316261779811498</v>
      </c>
      <c r="BA25" s="144">
        <f>AZ25</f>
        <v>74.316261779811498</v>
      </c>
      <c r="BB25" s="144">
        <f>BA25</f>
        <v>74.316261779811498</v>
      </c>
      <c r="BC25" s="141">
        <f>BB25</f>
        <v>74.316261779811498</v>
      </c>
      <c r="BD25" s="6"/>
      <c r="BE25" s="1578">
        <f>BB25</f>
        <v>74.316261779811498</v>
      </c>
      <c r="BF25" s="144">
        <f>BE25</f>
        <v>74.316261779811498</v>
      </c>
      <c r="BG25" s="144">
        <f>BF25</f>
        <v>74.316261779811498</v>
      </c>
      <c r="BH25" s="1576">
        <f>BG25</f>
        <v>74.316261779811498</v>
      </c>
      <c r="BI25" s="1577">
        <f>BH25</f>
        <v>74.316261779811498</v>
      </c>
      <c r="BJ25" s="6"/>
      <c r="BK25" s="1578">
        <f>BH25</f>
        <v>74.316261779811498</v>
      </c>
      <c r="BL25" s="144">
        <f>BK25</f>
        <v>74.316261779811498</v>
      </c>
      <c r="BM25" s="1576">
        <f>BL25</f>
        <v>74.316261779811498</v>
      </c>
      <c r="BN25" s="3022">
        <f>BM25</f>
        <v>74.316261779811498</v>
      </c>
      <c r="BO25" s="1577">
        <f>BN25</f>
        <v>74.316261779811498</v>
      </c>
      <c r="BP25" s="6"/>
      <c r="BQ25" s="1578">
        <f>BO25</f>
        <v>74.316261779811498</v>
      </c>
      <c r="BR25" s="1576">
        <f>BQ25</f>
        <v>74.316261779811498</v>
      </c>
      <c r="BS25" s="1576">
        <f>BR25</f>
        <v>74.316261779811498</v>
      </c>
      <c r="BT25" s="1576">
        <f>BS25</f>
        <v>74.316261779811498</v>
      </c>
      <c r="BU25" s="1577">
        <f>BT25</f>
        <v>74.316261779811498</v>
      </c>
      <c r="BV25" s="6"/>
      <c r="BW25" s="1578">
        <f>BU25</f>
        <v>74.316261779811498</v>
      </c>
      <c r="BX25" s="1576">
        <f>BW25</f>
        <v>74.316261779811498</v>
      </c>
      <c r="BY25" s="1576">
        <f>BX25</f>
        <v>74.316261779811498</v>
      </c>
      <c r="BZ25" s="1576">
        <f>BY25</f>
        <v>74.316261779811498</v>
      </c>
      <c r="CA25" s="1577">
        <f>BZ25</f>
        <v>74.316261779811498</v>
      </c>
      <c r="CB25" s="6"/>
      <c r="CC25" s="1578">
        <f t="shared" ref="CC25" si="70">CA25</f>
        <v>74.316261779811498</v>
      </c>
      <c r="CD25" s="1576">
        <f t="shared" ref="CD25:CG25" si="71">CC25</f>
        <v>74.316261779811498</v>
      </c>
      <c r="CE25" s="1576">
        <f t="shared" si="71"/>
        <v>74.316261779811498</v>
      </c>
      <c r="CF25" s="1576">
        <f t="shared" si="71"/>
        <v>74.316261779811498</v>
      </c>
      <c r="CG25" s="1577">
        <f t="shared" si="71"/>
        <v>74.316261779811498</v>
      </c>
      <c r="CH25" s="6"/>
      <c r="CI25" s="1578">
        <f t="shared" ref="CI25" si="72">CG25</f>
        <v>74.316261779811498</v>
      </c>
      <c r="CJ25" s="1576">
        <f t="shared" ref="CJ25:CM25" si="73">CI25</f>
        <v>74.316261779811498</v>
      </c>
      <c r="CK25" s="1576">
        <f t="shared" si="73"/>
        <v>74.316261779811498</v>
      </c>
      <c r="CL25" s="1576">
        <f t="shared" si="73"/>
        <v>74.316261779811498</v>
      </c>
      <c r="CM25" s="1577">
        <f t="shared" si="73"/>
        <v>74.316261779811498</v>
      </c>
      <c r="CN25" s="6"/>
      <c r="CO25" s="1578">
        <f t="shared" ref="CO25" si="74">CM25</f>
        <v>74.316261779811498</v>
      </c>
      <c r="CP25" s="1576">
        <f t="shared" ref="CP25:CR25" si="75">CO25</f>
        <v>74.316261779811498</v>
      </c>
      <c r="CQ25" s="1576">
        <f t="shared" si="75"/>
        <v>74.316261779811498</v>
      </c>
      <c r="CR25" s="1576">
        <f t="shared" si="75"/>
        <v>74.316261779811498</v>
      </c>
      <c r="CS25" s="1577">
        <f t="shared" si="69"/>
        <v>74.316261779811498</v>
      </c>
    </row>
    <row r="26" spans="1:97">
      <c r="A26" s="895" t="s">
        <v>403</v>
      </c>
      <c r="B26" s="904"/>
      <c r="C26" s="897"/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  <c r="T26" s="134"/>
      <c r="U26" s="134"/>
      <c r="V26" s="134"/>
      <c r="W26" s="134"/>
      <c r="X26" s="134"/>
      <c r="Y26" s="899"/>
      <c r="Z26" s="134"/>
      <c r="AA26" s="907"/>
      <c r="AB26" s="905"/>
      <c r="AC26" s="905"/>
      <c r="AD26" s="905"/>
      <c r="AE26" s="908"/>
      <c r="AF26" s="906"/>
      <c r="AG26" s="907"/>
      <c r="AH26" s="905"/>
      <c r="AI26" s="905"/>
      <c r="AJ26" s="905"/>
      <c r="AK26" s="908"/>
      <c r="AL26" s="906"/>
      <c r="AM26" s="907"/>
      <c r="AN26" s="905"/>
      <c r="AO26" s="905"/>
      <c r="AP26" s="905"/>
      <c r="AQ26" s="908"/>
      <c r="AR26" s="906"/>
      <c r="AS26" s="907"/>
      <c r="AT26" s="905"/>
      <c r="AU26" s="905"/>
      <c r="AV26" s="905"/>
      <c r="AW26" s="908"/>
      <c r="AX26" s="906"/>
      <c r="AY26" s="907"/>
      <c r="AZ26" s="905"/>
      <c r="BA26" s="905"/>
      <c r="BB26" s="905"/>
      <c r="BC26" s="908"/>
      <c r="BD26" s="906"/>
      <c r="BE26" s="907"/>
      <c r="BF26" s="135"/>
      <c r="BG26" s="135"/>
      <c r="BH26" s="135"/>
      <c r="BI26" s="899"/>
      <c r="BJ26" s="135"/>
      <c r="BK26" s="898"/>
      <c r="BL26" s="135"/>
      <c r="BM26" s="135"/>
      <c r="BN26" s="3023"/>
      <c r="BO26" s="899"/>
      <c r="BP26" s="135"/>
      <c r="BQ26" s="898"/>
      <c r="BR26" s="135"/>
      <c r="BS26" s="135"/>
      <c r="BT26" s="135"/>
      <c r="BU26" s="899"/>
      <c r="BV26" s="135"/>
      <c r="BW26" s="898"/>
      <c r="BX26" s="135"/>
      <c r="BY26" s="135"/>
      <c r="BZ26" s="135"/>
      <c r="CA26" s="899"/>
      <c r="CB26" s="135"/>
      <c r="CC26" s="898"/>
      <c r="CD26" s="135"/>
      <c r="CE26" s="135"/>
      <c r="CF26" s="135"/>
      <c r="CG26" s="899"/>
      <c r="CH26" s="135"/>
      <c r="CI26" s="898"/>
      <c r="CJ26" s="135"/>
      <c r="CK26" s="135"/>
      <c r="CL26" s="135"/>
      <c r="CM26" s="899"/>
      <c r="CN26" s="135"/>
      <c r="CO26" s="898"/>
      <c r="CP26" s="135"/>
      <c r="CQ26" s="135"/>
      <c r="CR26" s="135"/>
      <c r="CS26" s="899"/>
    </row>
    <row r="27" spans="1:97">
      <c r="A27" s="140" t="s">
        <v>404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892"/>
      <c r="Z27" s="4"/>
      <c r="AA27" s="886">
        <v>800</v>
      </c>
      <c r="AB27" s="887">
        <v>920</v>
      </c>
      <c r="AC27" s="887">
        <v>920</v>
      </c>
      <c r="AD27" s="887">
        <v>920</v>
      </c>
      <c r="AE27" s="141">
        <f>AD27</f>
        <v>920</v>
      </c>
      <c r="AF27" s="5"/>
      <c r="AG27" s="886">
        <v>920</v>
      </c>
      <c r="AH27" s="887">
        <v>920</v>
      </c>
      <c r="AI27" s="887">
        <v>920</v>
      </c>
      <c r="AJ27" s="887">
        <v>920</v>
      </c>
      <c r="AK27" s="141">
        <f>AJ27</f>
        <v>920</v>
      </c>
      <c r="AL27" s="5"/>
      <c r="AM27" s="886">
        <v>920</v>
      </c>
      <c r="AN27" s="887">
        <v>920</v>
      </c>
      <c r="AO27" s="887">
        <v>920</v>
      </c>
      <c r="AP27" s="887">
        <f>AO27</f>
        <v>920</v>
      </c>
      <c r="AQ27" s="141">
        <f>AP27</f>
        <v>920</v>
      </c>
      <c r="AR27" s="5"/>
      <c r="AS27" s="886">
        <v>920</v>
      </c>
      <c r="AT27" s="7">
        <v>320</v>
      </c>
      <c r="AU27" s="7">
        <v>320</v>
      </c>
      <c r="AV27" s="7">
        <v>320</v>
      </c>
      <c r="AW27" s="141">
        <f>AV27</f>
        <v>320</v>
      </c>
      <c r="AX27" s="5"/>
      <c r="AY27" s="886">
        <v>320</v>
      </c>
      <c r="AZ27" s="7">
        <v>311.60000000000002</v>
      </c>
      <c r="BA27" s="7">
        <v>104.2</v>
      </c>
      <c r="BB27" s="7">
        <v>75.5</v>
      </c>
      <c r="BC27" s="141">
        <f>BB27</f>
        <v>75.5</v>
      </c>
      <c r="BD27" s="5"/>
      <c r="BE27" s="2642">
        <v>0</v>
      </c>
      <c r="BF27" s="2661">
        <v>0</v>
      </c>
      <c r="BG27" s="2661">
        <v>0</v>
      </c>
      <c r="BH27" s="2661">
        <v>0</v>
      </c>
      <c r="BI27" s="2662">
        <f>BH27</f>
        <v>0</v>
      </c>
      <c r="BJ27" s="2663"/>
      <c r="BK27" s="2664">
        <v>0</v>
      </c>
      <c r="BL27" s="2661">
        <v>0</v>
      </c>
      <c r="BM27" s="2661">
        <v>0</v>
      </c>
      <c r="BN27" s="2661">
        <v>0</v>
      </c>
      <c r="BO27" s="141">
        <f>BN27</f>
        <v>0</v>
      </c>
      <c r="BP27" s="5"/>
      <c r="BQ27" s="918">
        <v>0</v>
      </c>
      <c r="BR27" s="882">
        <v>0</v>
      </c>
      <c r="BS27" s="882">
        <v>0</v>
      </c>
      <c r="BT27" s="882">
        <v>0</v>
      </c>
      <c r="BU27" s="141">
        <f>BT27</f>
        <v>0</v>
      </c>
      <c r="BV27" s="5"/>
      <c r="BW27" s="918">
        <v>0</v>
      </c>
      <c r="BX27" s="882">
        <v>0</v>
      </c>
      <c r="BY27" s="882">
        <v>0</v>
      </c>
      <c r="BZ27" s="882">
        <v>0</v>
      </c>
      <c r="CA27" s="141">
        <f>BZ27</f>
        <v>0</v>
      </c>
      <c r="CB27" s="5"/>
      <c r="CC27" s="918">
        <v>0</v>
      </c>
      <c r="CD27" s="882">
        <v>0</v>
      </c>
      <c r="CE27" s="882">
        <v>0</v>
      </c>
      <c r="CF27" s="882">
        <v>0</v>
      </c>
      <c r="CG27" s="141">
        <f t="shared" ref="CG27:CG28" si="76">CF27</f>
        <v>0</v>
      </c>
      <c r="CH27" s="5"/>
      <c r="CI27" s="918">
        <v>0</v>
      </c>
      <c r="CJ27" s="882">
        <v>0</v>
      </c>
      <c r="CK27" s="882">
        <v>0</v>
      </c>
      <c r="CL27" s="882">
        <v>0</v>
      </c>
      <c r="CM27" s="141">
        <f t="shared" ref="CM27:CM28" si="77">CL27</f>
        <v>0</v>
      </c>
      <c r="CN27" s="5"/>
      <c r="CO27" s="918">
        <v>0</v>
      </c>
      <c r="CP27" s="882">
        <v>0</v>
      </c>
      <c r="CQ27" s="882">
        <v>0</v>
      </c>
      <c r="CR27" s="882">
        <v>0</v>
      </c>
      <c r="CS27" s="141">
        <f t="shared" ref="CS27:CS28" si="78">CR27</f>
        <v>0</v>
      </c>
    </row>
    <row r="28" spans="1:97">
      <c r="A28" s="900" t="s">
        <v>405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892"/>
      <c r="Z28" s="4"/>
      <c r="AA28" s="886">
        <v>-147.917</v>
      </c>
      <c r="AB28" s="887">
        <v>-162.726</v>
      </c>
      <c r="AC28" s="887">
        <v>-154.923</v>
      </c>
      <c r="AD28" s="887">
        <v>-147.03399999999999</v>
      </c>
      <c r="AE28" s="141">
        <f t="shared" ref="AE28:AE33" si="79">AD28</f>
        <v>-147.03399999999999</v>
      </c>
      <c r="AF28" s="5"/>
      <c r="AG28" s="886">
        <v>-139.05699999999999</v>
      </c>
      <c r="AH28" s="887">
        <v>-130.99199999999999</v>
      </c>
      <c r="AI28" s="887">
        <v>-122.83799999999999</v>
      </c>
      <c r="AJ28" s="887">
        <v>-114.59399999999999</v>
      </c>
      <c r="AK28" s="141">
        <f t="shared" ref="AK28:AK33" si="80">AJ28</f>
        <v>-114.59399999999999</v>
      </c>
      <c r="AL28" s="5"/>
      <c r="AM28" s="886">
        <v>-106.259</v>
      </c>
      <c r="AN28" s="887">
        <v>-97.831000000000003</v>
      </c>
      <c r="AO28" s="887">
        <v>-89.31</v>
      </c>
      <c r="AP28" s="887">
        <f>-80.977-AP36</f>
        <v>-80.167000000000002</v>
      </c>
      <c r="AQ28" s="141">
        <f t="shared" ref="AQ28:AQ33" si="81">AP28</f>
        <v>-80.167000000000002</v>
      </c>
      <c r="AR28" s="5"/>
      <c r="AS28" s="886">
        <v>-71.983999999999995</v>
      </c>
      <c r="AT28" s="144">
        <f>AT29-AT27</f>
        <v>-22.258341781363868</v>
      </c>
      <c r="AU28" s="144">
        <f>AU29-AU27</f>
        <v>-19.082714786638803</v>
      </c>
      <c r="AV28" s="144">
        <f>AV29-AV27</f>
        <v>-15.871066692357147</v>
      </c>
      <c r="AW28" s="141">
        <f t="shared" ref="AW28:AW33" si="82">AV28</f>
        <v>-15.871066692357147</v>
      </c>
      <c r="AX28" s="5"/>
      <c r="AY28" s="143">
        <f>AY29-AY27</f>
        <v>-12.693989553920687</v>
      </c>
      <c r="AZ28" s="144">
        <f>AZ29-AZ27</f>
        <v>-9.1978191446794426</v>
      </c>
      <c r="BA28" s="144">
        <f>BA29-BA27</f>
        <v>-1.994391511948777</v>
      </c>
      <c r="BB28" s="144">
        <f>BB29-BB27</f>
        <v>-0.65264590959374402</v>
      </c>
      <c r="BC28" s="141">
        <f>BB28</f>
        <v>-0.65264590959374402</v>
      </c>
      <c r="BD28" s="5"/>
      <c r="BE28" s="2642">
        <f>BE29-BE27</f>
        <v>0</v>
      </c>
      <c r="BF28" s="2661">
        <v>0</v>
      </c>
      <c r="BG28" s="2661">
        <v>0</v>
      </c>
      <c r="BH28" s="2661">
        <v>0</v>
      </c>
      <c r="BI28" s="2662">
        <f t="shared" ref="BI28:BI33" si="83">BH28</f>
        <v>0</v>
      </c>
      <c r="BJ28" s="2663"/>
      <c r="BK28" s="2664">
        <v>0</v>
      </c>
      <c r="BL28" s="2661">
        <v>0</v>
      </c>
      <c r="BM28" s="2661">
        <v>0</v>
      </c>
      <c r="BN28" s="2661">
        <v>0</v>
      </c>
      <c r="BO28" s="141">
        <f t="shared" ref="BO28:BO33" si="84">BN28</f>
        <v>0</v>
      </c>
      <c r="BP28" s="5"/>
      <c r="BQ28" s="918">
        <v>0</v>
      </c>
      <c r="BR28" s="882">
        <v>0</v>
      </c>
      <c r="BS28" s="882">
        <v>0</v>
      </c>
      <c r="BT28" s="882">
        <v>0</v>
      </c>
      <c r="BU28" s="141">
        <f t="shared" ref="BU28:BU33" si="85">BT28</f>
        <v>0</v>
      </c>
      <c r="BV28" s="5"/>
      <c r="BW28" s="918">
        <v>0</v>
      </c>
      <c r="BX28" s="882">
        <v>0</v>
      </c>
      <c r="BY28" s="882">
        <v>0</v>
      </c>
      <c r="BZ28" s="882">
        <v>0</v>
      </c>
      <c r="CA28" s="141">
        <f t="shared" ref="CA28" si="86">BZ28</f>
        <v>0</v>
      </c>
      <c r="CB28" s="5"/>
      <c r="CC28" s="918">
        <v>0</v>
      </c>
      <c r="CD28" s="882">
        <v>0</v>
      </c>
      <c r="CE28" s="882">
        <v>0</v>
      </c>
      <c r="CF28" s="882">
        <v>0</v>
      </c>
      <c r="CG28" s="141">
        <f t="shared" si="76"/>
        <v>0</v>
      </c>
      <c r="CH28" s="5"/>
      <c r="CI28" s="918">
        <v>0</v>
      </c>
      <c r="CJ28" s="882">
        <v>0</v>
      </c>
      <c r="CK28" s="882">
        <v>0</v>
      </c>
      <c r="CL28" s="882">
        <v>0</v>
      </c>
      <c r="CM28" s="141">
        <f t="shared" si="77"/>
        <v>0</v>
      </c>
      <c r="CN28" s="5"/>
      <c r="CO28" s="918">
        <v>0</v>
      </c>
      <c r="CP28" s="882">
        <v>0</v>
      </c>
      <c r="CQ28" s="882">
        <v>0</v>
      </c>
      <c r="CR28" s="882">
        <v>0</v>
      </c>
      <c r="CS28" s="141">
        <f t="shared" si="78"/>
        <v>0</v>
      </c>
    </row>
    <row r="29" spans="1:97">
      <c r="A29" s="900" t="s">
        <v>406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892"/>
      <c r="Z29" s="4"/>
      <c r="AA29" s="143">
        <f>SUM(AA27:AA28)</f>
        <v>652.08299999999997</v>
      </c>
      <c r="AB29" s="144">
        <f>SUM(AB27:AB28)</f>
        <v>757.274</v>
      </c>
      <c r="AC29" s="144">
        <f>SUM(AC27:AC28)</f>
        <v>765.077</v>
      </c>
      <c r="AD29" s="144">
        <f>SUM(AD27:AD28)</f>
        <v>772.96600000000001</v>
      </c>
      <c r="AE29" s="141">
        <f>SUM(AE27:AE28)</f>
        <v>772.96600000000001</v>
      </c>
      <c r="AF29" s="5"/>
      <c r="AG29" s="143">
        <f>SUM(AG27:AG28)</f>
        <v>780.94299999999998</v>
      </c>
      <c r="AH29" s="144">
        <f>SUM(AH27:AH28)</f>
        <v>789.00800000000004</v>
      </c>
      <c r="AI29" s="144">
        <f>SUM(AI27:AI28)</f>
        <v>797.16200000000003</v>
      </c>
      <c r="AJ29" s="144">
        <f>SUM(AJ27:AJ28)</f>
        <v>805.40599999999995</v>
      </c>
      <c r="AK29" s="141">
        <f>SUM(AK27:AK28)</f>
        <v>805.40599999999995</v>
      </c>
      <c r="AL29" s="5"/>
      <c r="AM29" s="143">
        <f>SUM(AM27:AM28)</f>
        <v>813.74099999999999</v>
      </c>
      <c r="AN29" s="144">
        <f>SUM(AN27:AN28)</f>
        <v>822.16899999999998</v>
      </c>
      <c r="AO29" s="144">
        <f>SUM(AO27:AO28)</f>
        <v>830.69</v>
      </c>
      <c r="AP29" s="144">
        <f>SUM(AP27:AP28)</f>
        <v>839.83299999999997</v>
      </c>
      <c r="AQ29" s="141">
        <f>SUM(AQ27:AQ28)</f>
        <v>839.83299999999997</v>
      </c>
      <c r="AR29" s="5"/>
      <c r="AS29" s="143">
        <f>SUM(AS27:AS28)</f>
        <v>848.01599999999996</v>
      </c>
      <c r="AT29" s="144">
        <f>PV(4.5%/4,(DATE(2016,3,15)-AT8)/365*4,-0.25%*AT27/4,-AT27)</f>
        <v>297.74165821863613</v>
      </c>
      <c r="AU29" s="144">
        <f>PV(4.5%/4,(DATE(2016,3,15)-AU8)/365*4,-0.25%*AU27/4,-AU27)</f>
        <v>300.9172852133612</v>
      </c>
      <c r="AV29" s="144">
        <f>PV(4.5%/4,(DATE(2016,3,15)-AV8)/365*4,-0.25%*AV27/4,-AV27)</f>
        <v>304.12893330764285</v>
      </c>
      <c r="AW29" s="141">
        <f>SUM(AW27:AW28)</f>
        <v>304.12893330764285</v>
      </c>
      <c r="AX29" s="5"/>
      <c r="AY29" s="143">
        <f>PV(4.5%/4,(DATE(2016,3,15)-AY8)/365*4,-0.25%*AY27/4,-AY27)</f>
        <v>307.30601044607931</v>
      </c>
      <c r="AZ29" s="144">
        <f>PV(4.5%/4,(DATE(2016,3,15)-AZ8)/365*4,-0.25%*AZ27/4,-AZ27)</f>
        <v>302.40218085532058</v>
      </c>
      <c r="BA29" s="144">
        <f>PV(4.5%/4,(DATE(2016,3,15)-BA8)/365*4,-0.25%*BA27/4,-BA27)</f>
        <v>102.20560848805123</v>
      </c>
      <c r="BB29" s="144">
        <f>PV(4.5%/4,(DATE(2016,3,15)-BB8)/365*4,-0.25%*BB27/4,-BB27)</f>
        <v>74.847354090406256</v>
      </c>
      <c r="BC29" s="141">
        <f>SUM(BC27:BC28)</f>
        <v>74.847354090406256</v>
      </c>
      <c r="BD29" s="5"/>
      <c r="BE29" s="2642">
        <f>PV(4.5%/4,(DATE(2016,3,15)-BE8)/365*4,-0.25%*BE27/4,-BE27)</f>
        <v>0</v>
      </c>
      <c r="BF29" s="2661">
        <v>0</v>
      </c>
      <c r="BG29" s="2661">
        <v>0</v>
      </c>
      <c r="BH29" s="2661">
        <v>0</v>
      </c>
      <c r="BI29" s="2662">
        <f>SUM(BI27:BI28)</f>
        <v>0</v>
      </c>
      <c r="BJ29" s="2663"/>
      <c r="BK29" s="2664">
        <v>0</v>
      </c>
      <c r="BL29" s="2661">
        <v>0</v>
      </c>
      <c r="BM29" s="2661">
        <v>0</v>
      </c>
      <c r="BN29" s="2661">
        <v>0</v>
      </c>
      <c r="BO29" s="141">
        <f>SUM(BO27:BO28)</f>
        <v>0</v>
      </c>
      <c r="BP29" s="5"/>
      <c r="BQ29" s="918">
        <v>0</v>
      </c>
      <c r="BR29" s="882">
        <v>0</v>
      </c>
      <c r="BS29" s="882">
        <v>0</v>
      </c>
      <c r="BT29" s="882">
        <v>0</v>
      </c>
      <c r="BU29" s="141">
        <f>SUM(BU27:BU28)</f>
        <v>0</v>
      </c>
      <c r="BV29" s="5"/>
      <c r="BW29" s="918">
        <v>0</v>
      </c>
      <c r="BX29" s="882">
        <v>0</v>
      </c>
      <c r="BY29" s="882">
        <v>0</v>
      </c>
      <c r="BZ29" s="882">
        <v>0</v>
      </c>
      <c r="CA29" s="141">
        <f>SUM(CA27:CA28)</f>
        <v>0</v>
      </c>
      <c r="CB29" s="5"/>
      <c r="CC29" s="918">
        <v>0</v>
      </c>
      <c r="CD29" s="882">
        <v>0</v>
      </c>
      <c r="CE29" s="882">
        <v>0</v>
      </c>
      <c r="CF29" s="882">
        <v>0</v>
      </c>
      <c r="CG29" s="141">
        <f t="shared" ref="CG29" si="87">SUM(CG27:CG28)</f>
        <v>0</v>
      </c>
      <c r="CH29" s="5"/>
      <c r="CI29" s="918">
        <v>0</v>
      </c>
      <c r="CJ29" s="882">
        <v>0</v>
      </c>
      <c r="CK29" s="882">
        <v>0</v>
      </c>
      <c r="CL29" s="882">
        <v>0</v>
      </c>
      <c r="CM29" s="141">
        <f t="shared" ref="CM29" si="88">SUM(CM27:CM28)</f>
        <v>0</v>
      </c>
      <c r="CN29" s="5"/>
      <c r="CO29" s="918">
        <v>0</v>
      </c>
      <c r="CP29" s="882">
        <v>0</v>
      </c>
      <c r="CQ29" s="882">
        <v>0</v>
      </c>
      <c r="CR29" s="882">
        <v>0</v>
      </c>
      <c r="CS29" s="141">
        <f t="shared" ref="CS29" si="89">SUM(CS27:CS28)</f>
        <v>0</v>
      </c>
    </row>
    <row r="30" spans="1:97">
      <c r="A30" s="140" t="s">
        <v>408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892"/>
      <c r="Z30" s="4"/>
      <c r="AA30" s="886">
        <v>0</v>
      </c>
      <c r="AB30" s="887">
        <v>0</v>
      </c>
      <c r="AC30" s="887">
        <v>0</v>
      </c>
      <c r="AD30" s="887">
        <v>0</v>
      </c>
      <c r="AE30" s="141">
        <f t="shared" si="79"/>
        <v>0</v>
      </c>
      <c r="AF30" s="5"/>
      <c r="AG30" s="886">
        <v>0</v>
      </c>
      <c r="AH30" s="887">
        <v>0</v>
      </c>
      <c r="AI30" s="887">
        <v>0</v>
      </c>
      <c r="AJ30" s="887">
        <v>0</v>
      </c>
      <c r="AK30" s="141">
        <f t="shared" si="80"/>
        <v>0</v>
      </c>
      <c r="AL30" s="5"/>
      <c r="AM30" s="886">
        <v>0</v>
      </c>
      <c r="AN30" s="887">
        <v>0</v>
      </c>
      <c r="AO30" s="887">
        <v>0</v>
      </c>
      <c r="AP30" s="887">
        <v>0</v>
      </c>
      <c r="AQ30" s="141">
        <f t="shared" si="81"/>
        <v>0</v>
      </c>
      <c r="AR30" s="5"/>
      <c r="AS30" s="886">
        <v>-848.01599999999996</v>
      </c>
      <c r="AT30" s="7">
        <v>-298.01799999999997</v>
      </c>
      <c r="AU30" s="7">
        <v>301.11900000000003</v>
      </c>
      <c r="AV30" s="7">
        <v>-304.25599999999997</v>
      </c>
      <c r="AW30" s="188">
        <f>AV30</f>
        <v>-304.25599999999997</v>
      </c>
      <c r="AX30" s="4"/>
      <c r="AY30" s="886">
        <v>-307.42700000000002</v>
      </c>
      <c r="AZ30" s="7">
        <v>-302.447</v>
      </c>
      <c r="BA30" s="7">
        <v>-102.166</v>
      </c>
      <c r="BB30" s="7">
        <v>-74.929000000000002</v>
      </c>
      <c r="BC30" s="188">
        <f>BB30</f>
        <v>-74.929000000000002</v>
      </c>
      <c r="BD30" s="4"/>
      <c r="BE30" s="2642">
        <v>0</v>
      </c>
      <c r="BF30" s="2661">
        <v>0</v>
      </c>
      <c r="BG30" s="2661">
        <v>0</v>
      </c>
      <c r="BH30" s="2661">
        <v>0</v>
      </c>
      <c r="BI30" s="2662">
        <f>BH30</f>
        <v>0</v>
      </c>
      <c r="BJ30" s="2663"/>
      <c r="BK30" s="2664">
        <v>0</v>
      </c>
      <c r="BL30" s="2661">
        <v>0</v>
      </c>
      <c r="BM30" s="2661">
        <v>0</v>
      </c>
      <c r="BN30" s="2661">
        <v>0</v>
      </c>
      <c r="BO30" s="141">
        <f>BN30</f>
        <v>0</v>
      </c>
      <c r="BP30" s="5"/>
      <c r="BQ30" s="918">
        <v>0</v>
      </c>
      <c r="BR30" s="882">
        <v>0</v>
      </c>
      <c r="BS30" s="882">
        <v>0</v>
      </c>
      <c r="BT30" s="882">
        <v>0</v>
      </c>
      <c r="BU30" s="141">
        <f>BT30</f>
        <v>0</v>
      </c>
      <c r="BV30" s="5"/>
      <c r="BW30" s="918">
        <v>0</v>
      </c>
      <c r="BX30" s="882">
        <v>0</v>
      </c>
      <c r="BY30" s="882">
        <v>0</v>
      </c>
      <c r="BZ30" s="882">
        <v>0</v>
      </c>
      <c r="CA30" s="141">
        <f>BZ30</f>
        <v>0</v>
      </c>
      <c r="CB30" s="5"/>
      <c r="CC30" s="918">
        <v>0</v>
      </c>
      <c r="CD30" s="882">
        <v>0</v>
      </c>
      <c r="CE30" s="882">
        <v>0</v>
      </c>
      <c r="CF30" s="882">
        <v>0</v>
      </c>
      <c r="CG30" s="141">
        <f t="shared" ref="CG30" si="90">CF30</f>
        <v>0</v>
      </c>
      <c r="CH30" s="5"/>
      <c r="CI30" s="918">
        <v>0</v>
      </c>
      <c r="CJ30" s="882">
        <v>0</v>
      </c>
      <c r="CK30" s="882">
        <v>0</v>
      </c>
      <c r="CL30" s="882">
        <v>0</v>
      </c>
      <c r="CM30" s="141">
        <f t="shared" ref="CM30" si="91">CL30</f>
        <v>0</v>
      </c>
      <c r="CN30" s="5"/>
      <c r="CO30" s="918">
        <v>0</v>
      </c>
      <c r="CP30" s="882">
        <v>0</v>
      </c>
      <c r="CQ30" s="882">
        <v>0</v>
      </c>
      <c r="CR30" s="882">
        <v>0</v>
      </c>
      <c r="CS30" s="141">
        <f t="shared" ref="CS30" si="92">CR30</f>
        <v>0</v>
      </c>
    </row>
    <row r="31" spans="1:97">
      <c r="A31" s="140" t="s">
        <v>407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892"/>
      <c r="Z31" s="4"/>
      <c r="AA31" s="143">
        <f>AA29+AA30</f>
        <v>652.08299999999997</v>
      </c>
      <c r="AB31" s="144">
        <f>AB29+AB30</f>
        <v>757.274</v>
      </c>
      <c r="AC31" s="144">
        <f>AC29+AC30</f>
        <v>765.077</v>
      </c>
      <c r="AD31" s="144">
        <f>AD29+AD30</f>
        <v>772.96600000000001</v>
      </c>
      <c r="AE31" s="141">
        <f>AE29+AE30</f>
        <v>772.96600000000001</v>
      </c>
      <c r="AF31" s="5"/>
      <c r="AG31" s="143">
        <f>AG29+AG30</f>
        <v>780.94299999999998</v>
      </c>
      <c r="AH31" s="144">
        <f>AH29+AH30</f>
        <v>789.00800000000004</v>
      </c>
      <c r="AI31" s="144">
        <f>AI29+AI30</f>
        <v>797.16200000000003</v>
      </c>
      <c r="AJ31" s="144">
        <f>AJ29+AJ30</f>
        <v>805.40599999999995</v>
      </c>
      <c r="AK31" s="141">
        <f>AK29+AK30</f>
        <v>805.40599999999995</v>
      </c>
      <c r="AL31" s="5"/>
      <c r="AM31" s="143">
        <f>AM29+AM30</f>
        <v>813.74099999999999</v>
      </c>
      <c r="AN31" s="144">
        <f>AN29+AN30</f>
        <v>822.16899999999998</v>
      </c>
      <c r="AO31" s="144">
        <f>AO29+AO30</f>
        <v>830.69</v>
      </c>
      <c r="AP31" s="144">
        <f>AP29+AP30</f>
        <v>839.83299999999997</v>
      </c>
      <c r="AQ31" s="141">
        <f>AQ29+AQ30</f>
        <v>839.83299999999997</v>
      </c>
      <c r="AR31" s="5"/>
      <c r="AS31" s="143">
        <f>AS29+AS30</f>
        <v>0</v>
      </c>
      <c r="AT31" s="144">
        <f>AT29+AT30</f>
        <v>-0.2763417813638398</v>
      </c>
      <c r="AU31" s="144">
        <f>AU29+AU30</f>
        <v>602.03628521336123</v>
      </c>
      <c r="AV31" s="144">
        <f>AV29+AV30</f>
        <v>-0.12706669235711843</v>
      </c>
      <c r="AW31" s="141">
        <f>AW29+AW30</f>
        <v>-0.12706669235711843</v>
      </c>
      <c r="AX31" s="5"/>
      <c r="AY31" s="143">
        <f>AY29+AY30</f>
        <v>-0.1209895539207082</v>
      </c>
      <c r="AZ31" s="144">
        <f>AZ29+AZ30</f>
        <v>-4.4819144679422607E-2</v>
      </c>
      <c r="BA31" s="144">
        <f>BA29+BA30</f>
        <v>3.9608488051229074E-2</v>
      </c>
      <c r="BB31" s="144">
        <f>BB29+BB30</f>
        <v>-8.1645909593746069E-2</v>
      </c>
      <c r="BC31" s="141">
        <f>BC29+BC30</f>
        <v>-8.1645909593746069E-2</v>
      </c>
      <c r="BD31" s="5"/>
      <c r="BE31" s="2642">
        <f>BE29+BE30</f>
        <v>0</v>
      </c>
      <c r="BF31" s="2661">
        <v>0</v>
      </c>
      <c r="BG31" s="2661">
        <v>0</v>
      </c>
      <c r="BH31" s="2661">
        <v>0</v>
      </c>
      <c r="BI31" s="2662">
        <f>BI29+BI30</f>
        <v>0</v>
      </c>
      <c r="BJ31" s="2663"/>
      <c r="BK31" s="2664">
        <v>0</v>
      </c>
      <c r="BL31" s="2661">
        <v>0</v>
      </c>
      <c r="BM31" s="2661">
        <v>0</v>
      </c>
      <c r="BN31" s="2661">
        <v>0</v>
      </c>
      <c r="BO31" s="141">
        <f>BO29+BO30</f>
        <v>0</v>
      </c>
      <c r="BP31" s="5"/>
      <c r="BQ31" s="918">
        <v>0</v>
      </c>
      <c r="BR31" s="882">
        <v>0</v>
      </c>
      <c r="BS31" s="882">
        <v>0</v>
      </c>
      <c r="BT31" s="882">
        <v>0</v>
      </c>
      <c r="BU31" s="141">
        <f>BU29+BU30</f>
        <v>0</v>
      </c>
      <c r="BV31" s="5"/>
      <c r="BW31" s="918">
        <v>0</v>
      </c>
      <c r="BX31" s="882">
        <v>0</v>
      </c>
      <c r="BY31" s="882">
        <v>0</v>
      </c>
      <c r="BZ31" s="882">
        <v>0</v>
      </c>
      <c r="CA31" s="141">
        <f>CA29+CA30</f>
        <v>0</v>
      </c>
      <c r="CB31" s="5"/>
      <c r="CC31" s="918">
        <v>0</v>
      </c>
      <c r="CD31" s="882">
        <v>0</v>
      </c>
      <c r="CE31" s="882">
        <v>0</v>
      </c>
      <c r="CF31" s="882">
        <v>0</v>
      </c>
      <c r="CG31" s="141">
        <f t="shared" ref="CG31" si="93">CG29+CG30</f>
        <v>0</v>
      </c>
      <c r="CH31" s="5"/>
      <c r="CI31" s="918">
        <v>0</v>
      </c>
      <c r="CJ31" s="882">
        <v>0</v>
      </c>
      <c r="CK31" s="882">
        <v>0</v>
      </c>
      <c r="CL31" s="882">
        <v>0</v>
      </c>
      <c r="CM31" s="141">
        <f t="shared" ref="CM31" si="94">CM29+CM30</f>
        <v>0</v>
      </c>
      <c r="CN31" s="5"/>
      <c r="CO31" s="918">
        <v>0</v>
      </c>
      <c r="CP31" s="882">
        <v>0</v>
      </c>
      <c r="CQ31" s="882">
        <v>0</v>
      </c>
      <c r="CR31" s="882">
        <v>0</v>
      </c>
      <c r="CS31" s="141">
        <f t="shared" ref="CS31" si="95">CS29+CS30</f>
        <v>0</v>
      </c>
    </row>
    <row r="32" spans="1:97">
      <c r="A32" s="140" t="s">
        <v>409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892"/>
      <c r="Z32" s="4"/>
      <c r="AA32" s="886">
        <v>0</v>
      </c>
      <c r="AB32" s="887">
        <v>0</v>
      </c>
      <c r="AC32" s="887">
        <v>0</v>
      </c>
      <c r="AD32" s="887">
        <v>0</v>
      </c>
      <c r="AE32" s="141">
        <f t="shared" si="79"/>
        <v>0</v>
      </c>
      <c r="AF32" s="5"/>
      <c r="AG32" s="886">
        <v>0</v>
      </c>
      <c r="AH32" s="887">
        <v>0</v>
      </c>
      <c r="AI32" s="887">
        <v>0</v>
      </c>
      <c r="AJ32" s="887">
        <v>0</v>
      </c>
      <c r="AK32" s="141">
        <f t="shared" si="80"/>
        <v>0</v>
      </c>
      <c r="AL32" s="5"/>
      <c r="AM32" s="886">
        <v>0</v>
      </c>
      <c r="AN32" s="887">
        <v>0</v>
      </c>
      <c r="AO32" s="887">
        <v>0</v>
      </c>
      <c r="AP32" s="887">
        <v>0</v>
      </c>
      <c r="AQ32" s="141">
        <f t="shared" si="81"/>
        <v>0</v>
      </c>
      <c r="AR32" s="5"/>
      <c r="AS32" s="886">
        <v>0</v>
      </c>
      <c r="AT32" s="7">
        <v>0</v>
      </c>
      <c r="AU32" s="1666">
        <v>0</v>
      </c>
      <c r="AV32" s="1543">
        <v>0</v>
      </c>
      <c r="AW32" s="188">
        <f t="shared" si="82"/>
        <v>0</v>
      </c>
      <c r="AX32" s="4"/>
      <c r="AY32" s="886">
        <v>0</v>
      </c>
      <c r="AZ32" s="1666">
        <v>0</v>
      </c>
      <c r="BA32" s="1543">
        <v>0</v>
      </c>
      <c r="BB32" s="1543">
        <v>0</v>
      </c>
      <c r="BC32" s="188">
        <f>BB32</f>
        <v>0</v>
      </c>
      <c r="BD32" s="4"/>
      <c r="BE32" s="2642">
        <v>0</v>
      </c>
      <c r="BF32" s="2661">
        <v>0</v>
      </c>
      <c r="BG32" s="2661">
        <v>0</v>
      </c>
      <c r="BH32" s="2661">
        <v>0</v>
      </c>
      <c r="BI32" s="2662">
        <f t="shared" si="83"/>
        <v>0</v>
      </c>
      <c r="BJ32" s="2663"/>
      <c r="BK32" s="2664">
        <v>0</v>
      </c>
      <c r="BL32" s="2661">
        <v>0</v>
      </c>
      <c r="BM32" s="2661">
        <v>0</v>
      </c>
      <c r="BN32" s="2661">
        <v>0</v>
      </c>
      <c r="BO32" s="141">
        <f t="shared" si="84"/>
        <v>0</v>
      </c>
      <c r="BP32" s="5"/>
      <c r="BQ32" s="918">
        <v>0</v>
      </c>
      <c r="BR32" s="882">
        <v>0</v>
      </c>
      <c r="BS32" s="882">
        <v>0</v>
      </c>
      <c r="BT32" s="882">
        <v>0</v>
      </c>
      <c r="BU32" s="141">
        <f t="shared" si="85"/>
        <v>0</v>
      </c>
      <c r="BV32" s="5"/>
      <c r="BW32" s="918">
        <v>0</v>
      </c>
      <c r="BX32" s="882">
        <v>0</v>
      </c>
      <c r="BY32" s="882">
        <v>0</v>
      </c>
      <c r="BZ32" s="882">
        <v>0</v>
      </c>
      <c r="CA32" s="141">
        <f t="shared" ref="CA32:CA33" si="96">BZ32</f>
        <v>0</v>
      </c>
      <c r="CB32" s="5"/>
      <c r="CC32" s="918">
        <v>0</v>
      </c>
      <c r="CD32" s="882">
        <v>0</v>
      </c>
      <c r="CE32" s="882">
        <v>0</v>
      </c>
      <c r="CF32" s="882">
        <v>0</v>
      </c>
      <c r="CG32" s="141">
        <f t="shared" ref="CG32:CG33" si="97">CF32</f>
        <v>0</v>
      </c>
      <c r="CH32" s="5"/>
      <c r="CI32" s="918">
        <v>0</v>
      </c>
      <c r="CJ32" s="882">
        <v>0</v>
      </c>
      <c r="CK32" s="882">
        <v>0</v>
      </c>
      <c r="CL32" s="882">
        <v>0</v>
      </c>
      <c r="CM32" s="141">
        <f t="shared" ref="CM32:CM33" si="98">CL32</f>
        <v>0</v>
      </c>
      <c r="CN32" s="5"/>
      <c r="CO32" s="918">
        <v>0</v>
      </c>
      <c r="CP32" s="882">
        <v>0</v>
      </c>
      <c r="CQ32" s="882">
        <v>0</v>
      </c>
      <c r="CR32" s="882">
        <v>0</v>
      </c>
      <c r="CS32" s="141">
        <f t="shared" ref="CS32:CS33" si="99">CR32</f>
        <v>0</v>
      </c>
    </row>
    <row r="33" spans="1:97">
      <c r="A33" s="145" t="s">
        <v>410</v>
      </c>
      <c r="B33" s="146"/>
      <c r="C33" s="146"/>
      <c r="D33" s="146"/>
      <c r="E33" s="146"/>
      <c r="F33" s="146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916"/>
      <c r="Z33" s="146"/>
      <c r="AA33" s="902">
        <v>135.09200000000001</v>
      </c>
      <c r="AB33" s="901">
        <v>155.36600000000001</v>
      </c>
      <c r="AC33" s="901">
        <v>155.36600000000001</v>
      </c>
      <c r="AD33" s="901">
        <v>155.36600000000001</v>
      </c>
      <c r="AE33" s="894">
        <f t="shared" si="79"/>
        <v>155.36600000000001</v>
      </c>
      <c r="AF33" s="147"/>
      <c r="AG33" s="902">
        <v>155.36600000000001</v>
      </c>
      <c r="AH33" s="901">
        <v>155.36600000000001</v>
      </c>
      <c r="AI33" s="901">
        <v>155.36600000000001</v>
      </c>
      <c r="AJ33" s="901">
        <v>155.36600000000001</v>
      </c>
      <c r="AK33" s="894">
        <f t="shared" si="80"/>
        <v>155.36600000000001</v>
      </c>
      <c r="AL33" s="147"/>
      <c r="AM33" s="902">
        <v>155.36600000000001</v>
      </c>
      <c r="AN33" s="901">
        <v>155.36600000000001</v>
      </c>
      <c r="AO33" s="901">
        <v>155.36600000000001</v>
      </c>
      <c r="AP33" s="901">
        <f>AO33</f>
        <v>155.36600000000001</v>
      </c>
      <c r="AQ33" s="894">
        <f t="shared" si="81"/>
        <v>155.36600000000001</v>
      </c>
      <c r="AR33" s="147"/>
      <c r="AS33" s="902">
        <v>155.36600000000001</v>
      </c>
      <c r="AT33" s="1384">
        <f>AS33</f>
        <v>155.36600000000001</v>
      </c>
      <c r="AU33" s="891">
        <f>IF(AU27=AT27,AT33,AU27/AT27*AT33)</f>
        <v>155.36600000000001</v>
      </c>
      <c r="AV33" s="891">
        <f>IF(AV27=AU27,AU33,AV27/AU27*AU33)</f>
        <v>155.36600000000001</v>
      </c>
      <c r="AW33" s="894">
        <f t="shared" si="82"/>
        <v>155.36600000000001</v>
      </c>
      <c r="AX33" s="147"/>
      <c r="AY33" s="890">
        <f>IF(AY27=AV27,AV33,AY27/AV27*AV33)</f>
        <v>155.36600000000001</v>
      </c>
      <c r="AZ33" s="891">
        <f>IF(AZ27=AY27,AY33,AZ27/AY27*AY33)</f>
        <v>151.28764250000003</v>
      </c>
      <c r="BA33" s="891">
        <f>IF(BA27=AZ27,AZ33,BA27/AZ27*AZ33)</f>
        <v>50.591053750000007</v>
      </c>
      <c r="BB33" s="891">
        <f>IF(BB27=BA27,BA33,BB27/BA27*BA33)</f>
        <v>36.656665625000009</v>
      </c>
      <c r="BC33" s="894">
        <f>BB33</f>
        <v>36.656665625000009</v>
      </c>
      <c r="BD33" s="147"/>
      <c r="BE33" s="2665">
        <f>IF(BE27=BB27,BB33,BE27/BB27*BB33)</f>
        <v>0</v>
      </c>
      <c r="BF33" s="2666">
        <v>0</v>
      </c>
      <c r="BG33" s="2666">
        <v>0</v>
      </c>
      <c r="BH33" s="2666">
        <v>0</v>
      </c>
      <c r="BI33" s="2667">
        <f t="shared" si="83"/>
        <v>0</v>
      </c>
      <c r="BJ33" s="2668"/>
      <c r="BK33" s="2669">
        <v>0</v>
      </c>
      <c r="BL33" s="2666">
        <v>0</v>
      </c>
      <c r="BM33" s="2666">
        <v>0</v>
      </c>
      <c r="BN33" s="3024">
        <v>0</v>
      </c>
      <c r="BO33" s="894">
        <f t="shared" si="84"/>
        <v>0</v>
      </c>
      <c r="BP33" s="147"/>
      <c r="BQ33" s="919">
        <v>0</v>
      </c>
      <c r="BR33" s="903">
        <v>0</v>
      </c>
      <c r="BS33" s="903">
        <v>0</v>
      </c>
      <c r="BT33" s="903">
        <v>0</v>
      </c>
      <c r="BU33" s="894">
        <f t="shared" si="85"/>
        <v>0</v>
      </c>
      <c r="BV33" s="147"/>
      <c r="BW33" s="919">
        <v>0</v>
      </c>
      <c r="BX33" s="903">
        <v>0</v>
      </c>
      <c r="BY33" s="903">
        <v>0</v>
      </c>
      <c r="BZ33" s="903">
        <v>0</v>
      </c>
      <c r="CA33" s="894">
        <f t="shared" si="96"/>
        <v>0</v>
      </c>
      <c r="CB33" s="147"/>
      <c r="CC33" s="919">
        <v>0</v>
      </c>
      <c r="CD33" s="903">
        <v>0</v>
      </c>
      <c r="CE33" s="903">
        <v>0</v>
      </c>
      <c r="CF33" s="903">
        <v>0</v>
      </c>
      <c r="CG33" s="894">
        <f t="shared" si="97"/>
        <v>0</v>
      </c>
      <c r="CH33" s="147"/>
      <c r="CI33" s="919">
        <v>0</v>
      </c>
      <c r="CJ33" s="903">
        <v>0</v>
      </c>
      <c r="CK33" s="903">
        <v>0</v>
      </c>
      <c r="CL33" s="903">
        <v>0</v>
      </c>
      <c r="CM33" s="894">
        <f t="shared" si="98"/>
        <v>0</v>
      </c>
      <c r="CN33" s="147"/>
      <c r="CO33" s="919">
        <v>0</v>
      </c>
      <c r="CP33" s="903">
        <v>0</v>
      </c>
      <c r="CQ33" s="903">
        <v>0</v>
      </c>
      <c r="CR33" s="903">
        <v>0</v>
      </c>
      <c r="CS33" s="894">
        <f t="shared" si="99"/>
        <v>0</v>
      </c>
    </row>
    <row r="34" spans="1:97">
      <c r="A34" s="895" t="s">
        <v>481</v>
      </c>
      <c r="B34" s="896"/>
      <c r="C34" s="897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34"/>
      <c r="S34" s="134"/>
      <c r="T34" s="134"/>
      <c r="U34" s="134"/>
      <c r="V34" s="134"/>
      <c r="W34" s="134"/>
      <c r="X34" s="134"/>
      <c r="Y34" s="899"/>
      <c r="Z34" s="134"/>
      <c r="AA34" s="898"/>
      <c r="AB34" s="135"/>
      <c r="AC34" s="135"/>
      <c r="AD34" s="135"/>
      <c r="AE34" s="899"/>
      <c r="AF34" s="135"/>
      <c r="AG34" s="898"/>
      <c r="AH34" s="135"/>
      <c r="AI34" s="135"/>
      <c r="AJ34" s="135"/>
      <c r="AK34" s="899"/>
      <c r="AL34" s="135"/>
      <c r="AM34" s="898"/>
      <c r="AN34" s="135"/>
      <c r="AO34" s="135"/>
      <c r="AP34" s="135"/>
      <c r="AQ34" s="899"/>
      <c r="AR34" s="135"/>
      <c r="AS34" s="898"/>
      <c r="AT34" s="135"/>
      <c r="AU34" s="135"/>
      <c r="AV34" s="135"/>
      <c r="AW34" s="899"/>
      <c r="AX34" s="135"/>
      <c r="AY34" s="898"/>
      <c r="AZ34" s="135"/>
      <c r="BA34" s="135"/>
      <c r="BB34" s="135"/>
      <c r="BC34" s="899"/>
      <c r="BD34" s="135"/>
      <c r="BE34" s="2670"/>
      <c r="BF34" s="2671"/>
      <c r="BG34" s="2671"/>
      <c r="BH34" s="2671"/>
      <c r="BI34" s="2672"/>
      <c r="BJ34" s="2671"/>
      <c r="BK34" s="2670"/>
      <c r="BL34" s="2671"/>
      <c r="BM34" s="2671"/>
      <c r="BN34" s="3025"/>
      <c r="BO34" s="899"/>
      <c r="BP34" s="135"/>
      <c r="BQ34" s="898"/>
      <c r="BR34" s="135"/>
      <c r="BS34" s="135"/>
      <c r="BT34" s="135"/>
      <c r="BU34" s="899"/>
      <c r="BV34" s="135"/>
      <c r="BW34" s="898"/>
      <c r="BX34" s="135"/>
      <c r="BY34" s="135"/>
      <c r="BZ34" s="135"/>
      <c r="CA34" s="899"/>
      <c r="CB34" s="135"/>
      <c r="CC34" s="898"/>
      <c r="CD34" s="135"/>
      <c r="CE34" s="135"/>
      <c r="CF34" s="135"/>
      <c r="CG34" s="899"/>
      <c r="CH34" s="135"/>
      <c r="CI34" s="898"/>
      <c r="CJ34" s="135"/>
      <c r="CK34" s="135"/>
      <c r="CL34" s="135"/>
      <c r="CM34" s="899"/>
      <c r="CN34" s="135"/>
      <c r="CO34" s="898"/>
      <c r="CP34" s="135"/>
      <c r="CQ34" s="135"/>
      <c r="CR34" s="135"/>
      <c r="CS34" s="899"/>
    </row>
    <row r="35" spans="1:97">
      <c r="A35" s="140" t="s">
        <v>404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892"/>
      <c r="Z35" s="4"/>
      <c r="AA35" s="886">
        <v>136.864</v>
      </c>
      <c r="AB35" s="887">
        <v>49.09</v>
      </c>
      <c r="AC35" s="887">
        <v>40.125</v>
      </c>
      <c r="AD35" s="887">
        <v>40.125</v>
      </c>
      <c r="AE35" s="141">
        <f>AD35</f>
        <v>40.125</v>
      </c>
      <c r="AF35" s="5"/>
      <c r="AG35" s="886">
        <v>40.125</v>
      </c>
      <c r="AH35" s="887">
        <v>40.125</v>
      </c>
      <c r="AI35" s="887">
        <v>40.125</v>
      </c>
      <c r="AJ35" s="887">
        <v>40.125</v>
      </c>
      <c r="AK35" s="141">
        <f>AJ35</f>
        <v>40.125</v>
      </c>
      <c r="AL35" s="5"/>
      <c r="AM35" s="886">
        <v>40.125</v>
      </c>
      <c r="AN35" s="887">
        <v>31.125</v>
      </c>
      <c r="AO35" s="887">
        <v>29.62</v>
      </c>
      <c r="AP35" s="887">
        <f>949.57-AP27</f>
        <v>29.57000000000005</v>
      </c>
      <c r="AQ35" s="141">
        <f>AP35</f>
        <v>29.57000000000005</v>
      </c>
      <c r="AR35" s="5"/>
      <c r="AS35" s="886">
        <v>0</v>
      </c>
      <c r="AT35" s="7">
        <v>0</v>
      </c>
      <c r="AU35" s="7">
        <v>0</v>
      </c>
      <c r="AV35" s="7">
        <v>0</v>
      </c>
      <c r="AW35" s="141">
        <f>AV35</f>
        <v>0</v>
      </c>
      <c r="AX35" s="5"/>
      <c r="AY35" s="304">
        <v>0</v>
      </c>
      <c r="AZ35" s="7">
        <v>0</v>
      </c>
      <c r="BA35" s="7">
        <v>0</v>
      </c>
      <c r="BB35" s="7">
        <v>0</v>
      </c>
      <c r="BC35" s="141">
        <f>BB35</f>
        <v>0</v>
      </c>
      <c r="BD35" s="5"/>
      <c r="BE35" s="2673">
        <v>0</v>
      </c>
      <c r="BF35" s="2661">
        <v>0</v>
      </c>
      <c r="BG35" s="2661">
        <v>0</v>
      </c>
      <c r="BH35" s="2661">
        <v>0</v>
      </c>
      <c r="BI35" s="2662">
        <f>BH35</f>
        <v>0</v>
      </c>
      <c r="BJ35" s="2663"/>
      <c r="BK35" s="2664">
        <v>0</v>
      </c>
      <c r="BL35" s="2661">
        <v>0</v>
      </c>
      <c r="BM35" s="2661">
        <v>0</v>
      </c>
      <c r="BN35" s="2661">
        <v>0</v>
      </c>
      <c r="BO35" s="141">
        <f>BN35</f>
        <v>0</v>
      </c>
      <c r="BP35" s="5"/>
      <c r="BQ35" s="918">
        <v>0</v>
      </c>
      <c r="BR35" s="882">
        <v>0</v>
      </c>
      <c r="BS35" s="882">
        <v>0</v>
      </c>
      <c r="BT35" s="882">
        <v>0</v>
      </c>
      <c r="BU35" s="141">
        <f>BT35</f>
        <v>0</v>
      </c>
      <c r="BV35" s="5"/>
      <c r="BW35" s="918">
        <v>0</v>
      </c>
      <c r="BX35" s="882">
        <v>0</v>
      </c>
      <c r="BY35" s="882">
        <v>0</v>
      </c>
      <c r="BZ35" s="882">
        <v>0</v>
      </c>
      <c r="CA35" s="141">
        <f>BZ35</f>
        <v>0</v>
      </c>
      <c r="CB35" s="5"/>
      <c r="CC35" s="918">
        <v>0</v>
      </c>
      <c r="CD35" s="882">
        <v>0</v>
      </c>
      <c r="CE35" s="882">
        <v>0</v>
      </c>
      <c r="CF35" s="882">
        <v>0</v>
      </c>
      <c r="CG35" s="141">
        <f t="shared" ref="CG35:CG36" si="100">CF35</f>
        <v>0</v>
      </c>
      <c r="CH35" s="5"/>
      <c r="CI35" s="918">
        <v>0</v>
      </c>
      <c r="CJ35" s="882">
        <v>0</v>
      </c>
      <c r="CK35" s="882">
        <v>0</v>
      </c>
      <c r="CL35" s="882">
        <v>0</v>
      </c>
      <c r="CM35" s="141">
        <f t="shared" ref="CM35:CM36" si="101">CL35</f>
        <v>0</v>
      </c>
      <c r="CN35" s="5"/>
      <c r="CO35" s="918">
        <v>0</v>
      </c>
      <c r="CP35" s="882">
        <v>0</v>
      </c>
      <c r="CQ35" s="882">
        <v>0</v>
      </c>
      <c r="CR35" s="882">
        <v>0</v>
      </c>
      <c r="CS35" s="141">
        <f t="shared" ref="CS35:CS36" si="102">CR35</f>
        <v>0</v>
      </c>
    </row>
    <row r="36" spans="1:97">
      <c r="A36" s="900" t="s">
        <v>405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892"/>
      <c r="Z36" s="4"/>
      <c r="AA36" s="886">
        <v>-25.541</v>
      </c>
      <c r="AB36" s="887">
        <v>-8.4410000000000007</v>
      </c>
      <c r="AC36" s="887">
        <v>-6.3319999999999999</v>
      </c>
      <c r="AD36" s="887">
        <v>-5.7220000000000004</v>
      </c>
      <c r="AE36" s="141">
        <f t="shared" ref="AE36:AE41" si="103">AD36</f>
        <v>-5.7220000000000004</v>
      </c>
      <c r="AF36" s="5"/>
      <c r="AG36" s="886">
        <v>-5.0999999999999996</v>
      </c>
      <c r="AH36" s="887">
        <v>-4.4649999999999999</v>
      </c>
      <c r="AI36" s="887">
        <v>-3.8180000000000001</v>
      </c>
      <c r="AJ36" s="887">
        <v>-3.1579999999999999</v>
      </c>
      <c r="AK36" s="141">
        <f t="shared" ref="AK36:AK41" si="104">AJ36</f>
        <v>-3.1579999999999999</v>
      </c>
      <c r="AL36" s="5"/>
      <c r="AM36" s="886">
        <v>-2.484</v>
      </c>
      <c r="AN36" s="887">
        <v>-1.3939999999999999</v>
      </c>
      <c r="AO36" s="887">
        <v>-0.81</v>
      </c>
      <c r="AP36" s="887">
        <f>AO36</f>
        <v>-0.81</v>
      </c>
      <c r="AQ36" s="141">
        <f t="shared" ref="AQ36:AQ41" si="105">AP36</f>
        <v>-0.81</v>
      </c>
      <c r="AR36" s="5"/>
      <c r="AS36" s="886">
        <v>0</v>
      </c>
      <c r="AT36" s="7">
        <v>0</v>
      </c>
      <c r="AU36" s="7">
        <v>0</v>
      </c>
      <c r="AV36" s="7">
        <v>0</v>
      </c>
      <c r="AW36" s="141">
        <f t="shared" ref="AW36:AW41" si="106">AV36</f>
        <v>0</v>
      </c>
      <c r="AX36" s="5"/>
      <c r="AY36" s="304">
        <v>0</v>
      </c>
      <c r="AZ36" s="7">
        <v>0</v>
      </c>
      <c r="BA36" s="7">
        <v>0</v>
      </c>
      <c r="BB36" s="7">
        <v>0</v>
      </c>
      <c r="BC36" s="141">
        <f>BB36</f>
        <v>0</v>
      </c>
      <c r="BD36" s="5"/>
      <c r="BE36" s="2673">
        <v>0</v>
      </c>
      <c r="BF36" s="2661">
        <v>0</v>
      </c>
      <c r="BG36" s="2661">
        <v>0</v>
      </c>
      <c r="BH36" s="2661">
        <v>0</v>
      </c>
      <c r="BI36" s="2662">
        <f t="shared" ref="BI36:BI41" si="107">BH36</f>
        <v>0</v>
      </c>
      <c r="BJ36" s="2663"/>
      <c r="BK36" s="2664">
        <v>0</v>
      </c>
      <c r="BL36" s="2661">
        <v>0</v>
      </c>
      <c r="BM36" s="2661">
        <v>0</v>
      </c>
      <c r="BN36" s="2661">
        <v>0</v>
      </c>
      <c r="BO36" s="141">
        <f t="shared" ref="BO36:BO41" si="108">BN36</f>
        <v>0</v>
      </c>
      <c r="BP36" s="5"/>
      <c r="BQ36" s="918">
        <v>0</v>
      </c>
      <c r="BR36" s="882">
        <v>0</v>
      </c>
      <c r="BS36" s="882">
        <v>0</v>
      </c>
      <c r="BT36" s="882">
        <v>0</v>
      </c>
      <c r="BU36" s="141">
        <f t="shared" ref="BU36:BU41" si="109">BT36</f>
        <v>0</v>
      </c>
      <c r="BV36" s="5"/>
      <c r="BW36" s="918">
        <v>0</v>
      </c>
      <c r="BX36" s="882">
        <v>0</v>
      </c>
      <c r="BY36" s="882">
        <v>0</v>
      </c>
      <c r="BZ36" s="882">
        <v>0</v>
      </c>
      <c r="CA36" s="141">
        <f t="shared" ref="CA36" si="110">BZ36</f>
        <v>0</v>
      </c>
      <c r="CB36" s="5"/>
      <c r="CC36" s="918">
        <v>0</v>
      </c>
      <c r="CD36" s="882">
        <v>0</v>
      </c>
      <c r="CE36" s="882">
        <v>0</v>
      </c>
      <c r="CF36" s="882">
        <v>0</v>
      </c>
      <c r="CG36" s="141">
        <f t="shared" si="100"/>
        <v>0</v>
      </c>
      <c r="CH36" s="5"/>
      <c r="CI36" s="918">
        <v>0</v>
      </c>
      <c r="CJ36" s="882">
        <v>0</v>
      </c>
      <c r="CK36" s="882">
        <v>0</v>
      </c>
      <c r="CL36" s="882">
        <v>0</v>
      </c>
      <c r="CM36" s="141">
        <f t="shared" si="101"/>
        <v>0</v>
      </c>
      <c r="CN36" s="5"/>
      <c r="CO36" s="918">
        <v>0</v>
      </c>
      <c r="CP36" s="882">
        <v>0</v>
      </c>
      <c r="CQ36" s="882">
        <v>0</v>
      </c>
      <c r="CR36" s="882">
        <v>0</v>
      </c>
      <c r="CS36" s="141">
        <f t="shared" si="102"/>
        <v>0</v>
      </c>
    </row>
    <row r="37" spans="1:97">
      <c r="A37" s="900" t="s">
        <v>406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892"/>
      <c r="Z37" s="4"/>
      <c r="AA37" s="143">
        <f>SUM(AA35:AA36)</f>
        <v>111.32300000000001</v>
      </c>
      <c r="AB37" s="144">
        <f>SUM(AB35:AB36)</f>
        <v>40.649000000000001</v>
      </c>
      <c r="AC37" s="144">
        <f>SUM(AC35:AC36)</f>
        <v>33.792999999999999</v>
      </c>
      <c r="AD37" s="144">
        <f>SUM(AD35:AD36)</f>
        <v>34.402999999999999</v>
      </c>
      <c r="AE37" s="141">
        <f>SUM(AE35:AE36)</f>
        <v>34.402999999999999</v>
      </c>
      <c r="AF37" s="5"/>
      <c r="AG37" s="143">
        <f>SUM(AG35:AG36)</f>
        <v>35.024999999999999</v>
      </c>
      <c r="AH37" s="144">
        <f>SUM(AH35:AH36)</f>
        <v>35.659999999999997</v>
      </c>
      <c r="AI37" s="144">
        <f>SUM(AI35:AI36)</f>
        <v>36.307000000000002</v>
      </c>
      <c r="AJ37" s="144">
        <f>SUM(AJ35:AJ36)</f>
        <v>36.966999999999999</v>
      </c>
      <c r="AK37" s="141">
        <f>SUM(AK35:AK36)</f>
        <v>36.966999999999999</v>
      </c>
      <c r="AL37" s="5"/>
      <c r="AM37" s="143">
        <f>SUM(AM35:AM36)</f>
        <v>37.640999999999998</v>
      </c>
      <c r="AN37" s="144">
        <f>SUM(AN35:AN36)</f>
        <v>29.731000000000002</v>
      </c>
      <c r="AO37" s="144">
        <f>SUM(AO35:AO36)</f>
        <v>28.810000000000002</v>
      </c>
      <c r="AP37" s="144">
        <f>SUM(AP35:AP36)</f>
        <v>28.760000000000051</v>
      </c>
      <c r="AQ37" s="141">
        <f>SUM(AQ35:AQ36)</f>
        <v>28.760000000000051</v>
      </c>
      <c r="AR37" s="5"/>
      <c r="AS37" s="143">
        <f>SUM(AS35:AS36)</f>
        <v>0</v>
      </c>
      <c r="AT37" s="9">
        <f>SUM(AT35:AT36)</f>
        <v>0</v>
      </c>
      <c r="AU37" s="9">
        <f>SUM(AU35:AU36)</f>
        <v>0</v>
      </c>
      <c r="AV37" s="9">
        <f>SUM(AV35:AV36)</f>
        <v>0</v>
      </c>
      <c r="AW37" s="141">
        <f>SUM(AW35:AW36)</f>
        <v>0</v>
      </c>
      <c r="AX37" s="5"/>
      <c r="AY37" s="89">
        <f>SUM(AY35:AY36)</f>
        <v>0</v>
      </c>
      <c r="AZ37" s="9">
        <f>SUM(AZ35:AZ36)</f>
        <v>0</v>
      </c>
      <c r="BA37" s="9">
        <f>SUM(BA35:BA36)</f>
        <v>0</v>
      </c>
      <c r="BB37" s="9">
        <f>SUM(BB35:BB36)</f>
        <v>0</v>
      </c>
      <c r="BC37" s="141">
        <f>SUM(BC35:BC36)</f>
        <v>0</v>
      </c>
      <c r="BD37" s="5"/>
      <c r="BE37" s="2642">
        <f>SUM(BE35:BE36)</f>
        <v>0</v>
      </c>
      <c r="BF37" s="2661">
        <v>0</v>
      </c>
      <c r="BG37" s="2661">
        <v>0</v>
      </c>
      <c r="BH37" s="2661">
        <v>0</v>
      </c>
      <c r="BI37" s="2662">
        <f>SUM(BI35:BI36)</f>
        <v>0</v>
      </c>
      <c r="BJ37" s="2663"/>
      <c r="BK37" s="2664">
        <v>0</v>
      </c>
      <c r="BL37" s="2661">
        <v>0</v>
      </c>
      <c r="BM37" s="2661">
        <v>0</v>
      </c>
      <c r="BN37" s="2661">
        <v>0</v>
      </c>
      <c r="BO37" s="141">
        <f>SUM(BO35:BO36)</f>
        <v>0</v>
      </c>
      <c r="BP37" s="5"/>
      <c r="BQ37" s="918">
        <v>0</v>
      </c>
      <c r="BR37" s="882">
        <v>0</v>
      </c>
      <c r="BS37" s="882">
        <v>0</v>
      </c>
      <c r="BT37" s="882">
        <v>0</v>
      </c>
      <c r="BU37" s="141">
        <f>SUM(BU35:BU36)</f>
        <v>0</v>
      </c>
      <c r="BV37" s="5"/>
      <c r="BW37" s="918">
        <v>0</v>
      </c>
      <c r="BX37" s="882">
        <v>0</v>
      </c>
      <c r="BY37" s="882">
        <v>0</v>
      </c>
      <c r="BZ37" s="882">
        <v>0</v>
      </c>
      <c r="CA37" s="141">
        <f>SUM(CA35:CA36)</f>
        <v>0</v>
      </c>
      <c r="CB37" s="5"/>
      <c r="CC37" s="918">
        <v>0</v>
      </c>
      <c r="CD37" s="882">
        <v>0</v>
      </c>
      <c r="CE37" s="882">
        <v>0</v>
      </c>
      <c r="CF37" s="882">
        <v>0</v>
      </c>
      <c r="CG37" s="141">
        <f t="shared" ref="CG37" si="111">SUM(CG35:CG36)</f>
        <v>0</v>
      </c>
      <c r="CH37" s="5"/>
      <c r="CI37" s="918">
        <v>0</v>
      </c>
      <c r="CJ37" s="882">
        <v>0</v>
      </c>
      <c r="CK37" s="882">
        <v>0</v>
      </c>
      <c r="CL37" s="882">
        <v>0</v>
      </c>
      <c r="CM37" s="141">
        <f t="shared" ref="CM37" si="112">SUM(CM35:CM36)</f>
        <v>0</v>
      </c>
      <c r="CN37" s="5"/>
      <c r="CO37" s="918">
        <v>0</v>
      </c>
      <c r="CP37" s="882">
        <v>0</v>
      </c>
      <c r="CQ37" s="882">
        <v>0</v>
      </c>
      <c r="CR37" s="882">
        <v>0</v>
      </c>
      <c r="CS37" s="141">
        <f t="shared" ref="CS37" si="113">SUM(CS35:CS36)</f>
        <v>0</v>
      </c>
    </row>
    <row r="38" spans="1:97">
      <c r="A38" s="140" t="s">
        <v>408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892"/>
      <c r="Z38" s="4"/>
      <c r="AA38" s="886">
        <v>-111.32299999999999</v>
      </c>
      <c r="AB38" s="887">
        <v>-40.649000000000001</v>
      </c>
      <c r="AC38" s="887">
        <v>-33.792999999999999</v>
      </c>
      <c r="AD38" s="887">
        <v>0</v>
      </c>
      <c r="AE38" s="141">
        <v>0</v>
      </c>
      <c r="AF38" s="5"/>
      <c r="AG38" s="886">
        <v>-35.024999999999999</v>
      </c>
      <c r="AH38" s="887">
        <v>-35.659999999999997</v>
      </c>
      <c r="AI38" s="887">
        <v>-36.307000000000002</v>
      </c>
      <c r="AJ38" s="887">
        <v>0</v>
      </c>
      <c r="AK38" s="141">
        <f t="shared" si="104"/>
        <v>0</v>
      </c>
      <c r="AL38" s="888"/>
      <c r="AM38" s="886">
        <v>-37.640999999999998</v>
      </c>
      <c r="AN38" s="887">
        <v>-29.731000000000002</v>
      </c>
      <c r="AO38" s="887">
        <v>-28.81</v>
      </c>
      <c r="AP38" s="887">
        <f>IF(AP43&gt;21.8313,-AP37,0)</f>
        <v>-28.760000000000051</v>
      </c>
      <c r="AQ38" s="141">
        <f t="shared" si="105"/>
        <v>-28.760000000000051</v>
      </c>
      <c r="AR38" s="5"/>
      <c r="AS38" s="886">
        <v>0</v>
      </c>
      <c r="AT38" s="7">
        <v>0</v>
      </c>
      <c r="AU38" s="7">
        <v>0</v>
      </c>
      <c r="AV38" s="7">
        <v>0</v>
      </c>
      <c r="AW38" s="141">
        <f t="shared" si="106"/>
        <v>0</v>
      </c>
      <c r="AX38" s="5"/>
      <c r="AY38" s="304">
        <v>0</v>
      </c>
      <c r="AZ38" s="7">
        <v>0</v>
      </c>
      <c r="BA38" s="7">
        <v>0</v>
      </c>
      <c r="BB38" s="7">
        <v>0</v>
      </c>
      <c r="BC38" s="141">
        <f>BB38</f>
        <v>0</v>
      </c>
      <c r="BD38" s="5"/>
      <c r="BE38" s="2673">
        <v>0</v>
      </c>
      <c r="BF38" s="2661">
        <v>0</v>
      </c>
      <c r="BG38" s="2661">
        <v>0</v>
      </c>
      <c r="BH38" s="2661">
        <v>0</v>
      </c>
      <c r="BI38" s="2662">
        <f>BH38</f>
        <v>0</v>
      </c>
      <c r="BJ38" s="2663"/>
      <c r="BK38" s="2664">
        <v>0</v>
      </c>
      <c r="BL38" s="2661">
        <v>0</v>
      </c>
      <c r="BM38" s="2661">
        <v>0</v>
      </c>
      <c r="BN38" s="2661">
        <v>0</v>
      </c>
      <c r="BO38" s="141">
        <f>BN38</f>
        <v>0</v>
      </c>
      <c r="BP38" s="5"/>
      <c r="BQ38" s="918">
        <v>0</v>
      </c>
      <c r="BR38" s="882">
        <v>0</v>
      </c>
      <c r="BS38" s="882">
        <v>0</v>
      </c>
      <c r="BT38" s="882">
        <v>0</v>
      </c>
      <c r="BU38" s="141">
        <f>BT38</f>
        <v>0</v>
      </c>
      <c r="BV38" s="5"/>
      <c r="BW38" s="918">
        <v>0</v>
      </c>
      <c r="BX38" s="882">
        <v>0</v>
      </c>
      <c r="BY38" s="882">
        <v>0</v>
      </c>
      <c r="BZ38" s="882">
        <v>0</v>
      </c>
      <c r="CA38" s="141">
        <f>BZ38</f>
        <v>0</v>
      </c>
      <c r="CB38" s="5"/>
      <c r="CC38" s="918">
        <v>0</v>
      </c>
      <c r="CD38" s="882">
        <v>0</v>
      </c>
      <c r="CE38" s="882">
        <v>0</v>
      </c>
      <c r="CF38" s="882">
        <v>0</v>
      </c>
      <c r="CG38" s="141">
        <f t="shared" ref="CG38" si="114">CF38</f>
        <v>0</v>
      </c>
      <c r="CH38" s="5"/>
      <c r="CI38" s="918">
        <v>0</v>
      </c>
      <c r="CJ38" s="882">
        <v>0</v>
      </c>
      <c r="CK38" s="882">
        <v>0</v>
      </c>
      <c r="CL38" s="882">
        <v>0</v>
      </c>
      <c r="CM38" s="141">
        <f t="shared" ref="CM38" si="115">CL38</f>
        <v>0</v>
      </c>
      <c r="CN38" s="5"/>
      <c r="CO38" s="918">
        <v>0</v>
      </c>
      <c r="CP38" s="882">
        <v>0</v>
      </c>
      <c r="CQ38" s="882">
        <v>0</v>
      </c>
      <c r="CR38" s="882">
        <v>0</v>
      </c>
      <c r="CS38" s="141">
        <f t="shared" ref="CS38" si="116">CR38</f>
        <v>0</v>
      </c>
    </row>
    <row r="39" spans="1:97">
      <c r="A39" s="140" t="s">
        <v>407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892"/>
      <c r="Z39" s="4"/>
      <c r="AA39" s="143">
        <f>AA37+AA38</f>
        <v>0</v>
      </c>
      <c r="AB39" s="144">
        <f>AB37+AB38</f>
        <v>0</v>
      </c>
      <c r="AC39" s="144">
        <f>AC37+AC38</f>
        <v>0</v>
      </c>
      <c r="AD39" s="144">
        <f>AD37+AD38</f>
        <v>34.402999999999999</v>
      </c>
      <c r="AE39" s="141">
        <f>AE37+AE38</f>
        <v>34.402999999999999</v>
      </c>
      <c r="AF39" s="5"/>
      <c r="AG39" s="143">
        <f>AG37+AG38</f>
        <v>0</v>
      </c>
      <c r="AH39" s="144">
        <f>AH37+AH38</f>
        <v>0</v>
      </c>
      <c r="AI39" s="144">
        <f>AI37+AI38</f>
        <v>0</v>
      </c>
      <c r="AJ39" s="144">
        <f>AJ37+AJ38</f>
        <v>36.966999999999999</v>
      </c>
      <c r="AK39" s="141">
        <f>AK37+AK38</f>
        <v>36.966999999999999</v>
      </c>
      <c r="AL39" s="5"/>
      <c r="AM39" s="143">
        <f>AM37+AM38</f>
        <v>0</v>
      </c>
      <c r="AN39" s="144">
        <f>AN37+AN38</f>
        <v>0</v>
      </c>
      <c r="AO39" s="144">
        <f>AO37+AO38</f>
        <v>0</v>
      </c>
      <c r="AP39" s="144">
        <f>AP37+AP38</f>
        <v>0</v>
      </c>
      <c r="AQ39" s="141">
        <f>AQ37+AQ38</f>
        <v>0</v>
      </c>
      <c r="AR39" s="5"/>
      <c r="AS39" s="143">
        <f>AS37+AS38</f>
        <v>0</v>
      </c>
      <c r="AT39" s="9">
        <f>AT37+AT38</f>
        <v>0</v>
      </c>
      <c r="AU39" s="9">
        <f>AU37+AU38</f>
        <v>0</v>
      </c>
      <c r="AV39" s="9">
        <f>AV37+AV38</f>
        <v>0</v>
      </c>
      <c r="AW39" s="141">
        <f>AW37+AW38</f>
        <v>0</v>
      </c>
      <c r="AX39" s="5"/>
      <c r="AY39" s="89">
        <f>AY37+AY38</f>
        <v>0</v>
      </c>
      <c r="AZ39" s="9">
        <f>AZ37+AZ38</f>
        <v>0</v>
      </c>
      <c r="BA39" s="9">
        <f>BA37+BA38</f>
        <v>0</v>
      </c>
      <c r="BB39" s="9">
        <f>BB37+BB38</f>
        <v>0</v>
      </c>
      <c r="BC39" s="141">
        <f>BC37+BC38</f>
        <v>0</v>
      </c>
      <c r="BD39" s="5"/>
      <c r="BE39" s="2642">
        <f>BE37+BE38</f>
        <v>0</v>
      </c>
      <c r="BF39" s="2661">
        <v>0</v>
      </c>
      <c r="BG39" s="2661">
        <v>0</v>
      </c>
      <c r="BH39" s="2661">
        <v>0</v>
      </c>
      <c r="BI39" s="2662">
        <f>BI37+BI38</f>
        <v>0</v>
      </c>
      <c r="BJ39" s="2663"/>
      <c r="BK39" s="2664">
        <v>0</v>
      </c>
      <c r="BL39" s="2661">
        <v>0</v>
      </c>
      <c r="BM39" s="2661">
        <v>0</v>
      </c>
      <c r="BN39" s="2661">
        <v>0</v>
      </c>
      <c r="BO39" s="141">
        <f>BO37+BO38</f>
        <v>0</v>
      </c>
      <c r="BP39" s="5"/>
      <c r="BQ39" s="918">
        <v>0</v>
      </c>
      <c r="BR39" s="882">
        <v>0</v>
      </c>
      <c r="BS39" s="882">
        <v>0</v>
      </c>
      <c r="BT39" s="882">
        <v>0</v>
      </c>
      <c r="BU39" s="141">
        <f>BU37+BU38</f>
        <v>0</v>
      </c>
      <c r="BV39" s="5"/>
      <c r="BW39" s="918">
        <v>0</v>
      </c>
      <c r="BX39" s="882">
        <v>0</v>
      </c>
      <c r="BY39" s="882">
        <v>0</v>
      </c>
      <c r="BZ39" s="882">
        <v>0</v>
      </c>
      <c r="CA39" s="141">
        <f>CA37+CA38</f>
        <v>0</v>
      </c>
      <c r="CB39" s="5"/>
      <c r="CC39" s="918">
        <v>0</v>
      </c>
      <c r="CD39" s="882">
        <v>0</v>
      </c>
      <c r="CE39" s="882">
        <v>0</v>
      </c>
      <c r="CF39" s="882">
        <v>0</v>
      </c>
      <c r="CG39" s="141">
        <f t="shared" ref="CG39" si="117">CG37+CG38</f>
        <v>0</v>
      </c>
      <c r="CH39" s="5"/>
      <c r="CI39" s="918">
        <v>0</v>
      </c>
      <c r="CJ39" s="882">
        <v>0</v>
      </c>
      <c r="CK39" s="882">
        <v>0</v>
      </c>
      <c r="CL39" s="882">
        <v>0</v>
      </c>
      <c r="CM39" s="141">
        <f t="shared" ref="CM39" si="118">CM37+CM38</f>
        <v>0</v>
      </c>
      <c r="CN39" s="5"/>
      <c r="CO39" s="918">
        <v>0</v>
      </c>
      <c r="CP39" s="882">
        <v>0</v>
      </c>
      <c r="CQ39" s="882">
        <v>0</v>
      </c>
      <c r="CR39" s="882">
        <v>0</v>
      </c>
      <c r="CS39" s="141">
        <f t="shared" ref="CS39" si="119">CS37+CS38</f>
        <v>0</v>
      </c>
    </row>
    <row r="40" spans="1:97">
      <c r="A40" s="140" t="s">
        <v>409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892"/>
      <c r="Z40" s="4"/>
      <c r="AA40" s="886">
        <v>25.541</v>
      </c>
      <c r="AB40" s="887">
        <v>8.4410000000000007</v>
      </c>
      <c r="AC40" s="887">
        <v>6.3319999999999999</v>
      </c>
      <c r="AD40" s="887">
        <v>5.7220000000000004</v>
      </c>
      <c r="AE40" s="141">
        <f t="shared" si="103"/>
        <v>5.7220000000000004</v>
      </c>
      <c r="AF40" s="5"/>
      <c r="AG40" s="886">
        <v>5.0999999999999996</v>
      </c>
      <c r="AH40" s="887">
        <v>4.4649999999999999</v>
      </c>
      <c r="AI40" s="887">
        <v>3.8180000000000001</v>
      </c>
      <c r="AJ40" s="887">
        <v>3.1579999999999999</v>
      </c>
      <c r="AK40" s="141">
        <f t="shared" si="104"/>
        <v>3.1579999999999999</v>
      </c>
      <c r="AL40" s="5"/>
      <c r="AM40" s="886">
        <v>2.484</v>
      </c>
      <c r="AN40" s="887">
        <v>1.3939999999999999</v>
      </c>
      <c r="AO40" s="887">
        <v>0.81</v>
      </c>
      <c r="AP40" s="887">
        <v>0.28199999999999997</v>
      </c>
      <c r="AQ40" s="141">
        <f t="shared" si="105"/>
        <v>0.28199999999999997</v>
      </c>
      <c r="AR40" s="5"/>
      <c r="AS40" s="886">
        <v>0</v>
      </c>
      <c r="AT40" s="7">
        <v>0</v>
      </c>
      <c r="AU40" s="7">
        <v>0</v>
      </c>
      <c r="AV40" s="7">
        <v>0</v>
      </c>
      <c r="AW40" s="141">
        <f t="shared" si="106"/>
        <v>0</v>
      </c>
      <c r="AX40" s="5"/>
      <c r="AY40" s="304">
        <v>0</v>
      </c>
      <c r="AZ40" s="7">
        <v>0</v>
      </c>
      <c r="BA40" s="7">
        <v>0</v>
      </c>
      <c r="BB40" s="7">
        <v>0</v>
      </c>
      <c r="BC40" s="141">
        <f>BB40</f>
        <v>0</v>
      </c>
      <c r="BD40" s="5"/>
      <c r="BE40" s="2673">
        <v>0</v>
      </c>
      <c r="BF40" s="2661">
        <v>0</v>
      </c>
      <c r="BG40" s="2661">
        <v>0</v>
      </c>
      <c r="BH40" s="2661">
        <v>0</v>
      </c>
      <c r="BI40" s="2662">
        <f t="shared" si="107"/>
        <v>0</v>
      </c>
      <c r="BJ40" s="2663"/>
      <c r="BK40" s="2664">
        <v>0</v>
      </c>
      <c r="BL40" s="2661">
        <v>0</v>
      </c>
      <c r="BM40" s="2661">
        <v>0</v>
      </c>
      <c r="BN40" s="2661">
        <v>0</v>
      </c>
      <c r="BO40" s="141">
        <f t="shared" si="108"/>
        <v>0</v>
      </c>
      <c r="BP40" s="5"/>
      <c r="BQ40" s="918">
        <v>0</v>
      </c>
      <c r="BR40" s="882">
        <v>0</v>
      </c>
      <c r="BS40" s="882">
        <v>0</v>
      </c>
      <c r="BT40" s="882">
        <v>0</v>
      </c>
      <c r="BU40" s="141">
        <f t="shared" si="109"/>
        <v>0</v>
      </c>
      <c r="BV40" s="5"/>
      <c r="BW40" s="918">
        <v>0</v>
      </c>
      <c r="BX40" s="882">
        <v>0</v>
      </c>
      <c r="BY40" s="882">
        <v>0</v>
      </c>
      <c r="BZ40" s="882">
        <v>0</v>
      </c>
      <c r="CA40" s="141">
        <f t="shared" ref="CA40:CA41" si="120">BZ40</f>
        <v>0</v>
      </c>
      <c r="CB40" s="5"/>
      <c r="CC40" s="918">
        <v>0</v>
      </c>
      <c r="CD40" s="882">
        <v>0</v>
      </c>
      <c r="CE40" s="882">
        <v>0</v>
      </c>
      <c r="CF40" s="882">
        <v>0</v>
      </c>
      <c r="CG40" s="141">
        <f t="shared" ref="CG40:CG41" si="121">CF40</f>
        <v>0</v>
      </c>
      <c r="CH40" s="5"/>
      <c r="CI40" s="918">
        <v>0</v>
      </c>
      <c r="CJ40" s="882">
        <v>0</v>
      </c>
      <c r="CK40" s="882">
        <v>0</v>
      </c>
      <c r="CL40" s="882">
        <v>0</v>
      </c>
      <c r="CM40" s="141">
        <f t="shared" ref="CM40:CM41" si="122">CL40</f>
        <v>0</v>
      </c>
      <c r="CN40" s="5"/>
      <c r="CO40" s="918">
        <v>0</v>
      </c>
      <c r="CP40" s="882">
        <v>0</v>
      </c>
      <c r="CQ40" s="882">
        <v>0</v>
      </c>
      <c r="CR40" s="882">
        <v>0</v>
      </c>
      <c r="CS40" s="141">
        <f t="shared" ref="CS40:CS41" si="123">CR40</f>
        <v>0</v>
      </c>
    </row>
    <row r="41" spans="1:97">
      <c r="A41" s="145" t="s">
        <v>410</v>
      </c>
      <c r="B41" s="146"/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916"/>
      <c r="Z41" s="146"/>
      <c r="AA41" s="902">
        <v>101.857</v>
      </c>
      <c r="AB41" s="901">
        <v>112.039</v>
      </c>
      <c r="AC41" s="901">
        <v>113.429</v>
      </c>
      <c r="AD41" s="901">
        <v>114.035</v>
      </c>
      <c r="AE41" s="894">
        <f t="shared" si="103"/>
        <v>114.035</v>
      </c>
      <c r="AF41" s="147"/>
      <c r="AG41" s="902">
        <v>113.413</v>
      </c>
      <c r="AH41" s="901">
        <v>112.77800000000001</v>
      </c>
      <c r="AI41" s="901">
        <v>112.131</v>
      </c>
      <c r="AJ41" s="901">
        <v>114.035</v>
      </c>
      <c r="AK41" s="894">
        <f t="shared" si="104"/>
        <v>114.035</v>
      </c>
      <c r="AL41" s="147"/>
      <c r="AM41" s="902">
        <v>112.143</v>
      </c>
      <c r="AN41" s="901">
        <v>118.364</v>
      </c>
      <c r="AO41" s="901">
        <v>118.94799999999999</v>
      </c>
      <c r="AP41" s="901">
        <f>274.304-AP33</f>
        <v>118.93799999999996</v>
      </c>
      <c r="AQ41" s="894">
        <f t="shared" si="105"/>
        <v>118.93799999999996</v>
      </c>
      <c r="AR41" s="147"/>
      <c r="AS41" s="902">
        <v>0</v>
      </c>
      <c r="AT41" s="1536">
        <v>0</v>
      </c>
      <c r="AU41" s="1536">
        <v>0</v>
      </c>
      <c r="AV41" s="1536">
        <v>0</v>
      </c>
      <c r="AW41" s="894">
        <f t="shared" si="106"/>
        <v>0</v>
      </c>
      <c r="AX41" s="147"/>
      <c r="AY41" s="1861">
        <v>0</v>
      </c>
      <c r="AZ41" s="1536">
        <v>0</v>
      </c>
      <c r="BA41" s="1536">
        <v>0</v>
      </c>
      <c r="BB41" s="1536">
        <v>0</v>
      </c>
      <c r="BC41" s="894">
        <f>BB41</f>
        <v>0</v>
      </c>
      <c r="BD41" s="147"/>
      <c r="BE41" s="2674">
        <v>0</v>
      </c>
      <c r="BF41" s="2666">
        <v>0</v>
      </c>
      <c r="BG41" s="2666">
        <v>0</v>
      </c>
      <c r="BH41" s="2666">
        <v>0</v>
      </c>
      <c r="BI41" s="2667">
        <f t="shared" si="107"/>
        <v>0</v>
      </c>
      <c r="BJ41" s="2668"/>
      <c r="BK41" s="2669">
        <v>0</v>
      </c>
      <c r="BL41" s="2666">
        <v>0</v>
      </c>
      <c r="BM41" s="2666">
        <v>0</v>
      </c>
      <c r="BN41" s="3024">
        <v>0</v>
      </c>
      <c r="BO41" s="894">
        <f t="shared" si="108"/>
        <v>0</v>
      </c>
      <c r="BP41" s="147"/>
      <c r="BQ41" s="919">
        <v>0</v>
      </c>
      <c r="BR41" s="903">
        <v>0</v>
      </c>
      <c r="BS41" s="903">
        <v>0</v>
      </c>
      <c r="BT41" s="903">
        <v>0</v>
      </c>
      <c r="BU41" s="894">
        <f t="shared" si="109"/>
        <v>0</v>
      </c>
      <c r="BV41" s="147"/>
      <c r="BW41" s="919">
        <v>0</v>
      </c>
      <c r="BX41" s="903">
        <v>0</v>
      </c>
      <c r="BY41" s="903">
        <v>0</v>
      </c>
      <c r="BZ41" s="903">
        <v>0</v>
      </c>
      <c r="CA41" s="894">
        <f t="shared" si="120"/>
        <v>0</v>
      </c>
      <c r="CB41" s="147"/>
      <c r="CC41" s="919">
        <v>0</v>
      </c>
      <c r="CD41" s="903">
        <v>0</v>
      </c>
      <c r="CE41" s="903">
        <v>0</v>
      </c>
      <c r="CF41" s="903">
        <v>0</v>
      </c>
      <c r="CG41" s="894">
        <f t="shared" si="121"/>
        <v>0</v>
      </c>
      <c r="CH41" s="147"/>
      <c r="CI41" s="919">
        <v>0</v>
      </c>
      <c r="CJ41" s="903">
        <v>0</v>
      </c>
      <c r="CK41" s="903">
        <v>0</v>
      </c>
      <c r="CL41" s="903">
        <v>0</v>
      </c>
      <c r="CM41" s="894">
        <f t="shared" si="122"/>
        <v>0</v>
      </c>
      <c r="CN41" s="147"/>
      <c r="CO41" s="919">
        <v>0</v>
      </c>
      <c r="CP41" s="903">
        <v>0</v>
      </c>
      <c r="CQ41" s="903">
        <v>0</v>
      </c>
      <c r="CR41" s="903">
        <v>0</v>
      </c>
      <c r="CS41" s="894">
        <f t="shared" si="123"/>
        <v>0</v>
      </c>
    </row>
    <row r="42" spans="1:97">
      <c r="A42" s="4"/>
      <c r="B42" s="1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892"/>
      <c r="Z42" s="4"/>
      <c r="AA42" s="143"/>
      <c r="AB42" s="5"/>
      <c r="AC42" s="5"/>
      <c r="AD42" s="5"/>
      <c r="AE42" s="892"/>
      <c r="AF42" s="6"/>
      <c r="AG42" s="1316"/>
      <c r="AH42" s="1317"/>
      <c r="AI42" s="1317"/>
      <c r="AJ42" s="5"/>
      <c r="AK42" s="892"/>
      <c r="AL42" s="6"/>
      <c r="AM42" s="885"/>
      <c r="AN42" s="5"/>
      <c r="AO42" s="5"/>
      <c r="AP42" s="5"/>
      <c r="AQ42" s="892"/>
      <c r="AR42" s="6"/>
      <c r="AS42" s="885"/>
      <c r="AT42" s="5"/>
      <c r="AU42" s="5"/>
      <c r="AV42" s="5"/>
      <c r="AW42" s="892"/>
      <c r="AX42" s="6"/>
      <c r="AY42" s="885"/>
      <c r="AZ42" s="5"/>
      <c r="BA42" s="5"/>
      <c r="BB42" s="5"/>
      <c r="BC42" s="892"/>
      <c r="BD42" s="6"/>
      <c r="BE42" s="885"/>
      <c r="BF42" s="5"/>
      <c r="BG42" s="5"/>
      <c r="BH42" s="5"/>
      <c r="BI42" s="892"/>
      <c r="BJ42" s="6"/>
      <c r="BK42" s="885"/>
      <c r="BL42" s="5"/>
      <c r="BM42" s="5"/>
      <c r="BN42" s="5"/>
      <c r="BO42" s="892"/>
      <c r="BP42" s="6"/>
      <c r="BQ42" s="885"/>
      <c r="BR42" s="5"/>
      <c r="BS42" s="5"/>
      <c r="BT42" s="5"/>
      <c r="BU42" s="892"/>
      <c r="BV42" s="6"/>
      <c r="BW42" s="885"/>
      <c r="BX42" s="5"/>
      <c r="BY42" s="5"/>
      <c r="BZ42" s="5"/>
      <c r="CA42" s="892"/>
      <c r="CB42" s="6"/>
      <c r="CC42" s="885"/>
      <c r="CD42" s="5"/>
      <c r="CE42" s="5"/>
      <c r="CF42" s="5"/>
      <c r="CG42" s="892"/>
      <c r="CH42" s="6"/>
      <c r="CI42" s="885"/>
      <c r="CJ42" s="5"/>
      <c r="CK42" s="5"/>
      <c r="CL42" s="5"/>
      <c r="CM42" s="892"/>
      <c r="CN42" s="6"/>
      <c r="CO42" s="885"/>
      <c r="CP42" s="5"/>
      <c r="CQ42" s="5"/>
      <c r="CR42" s="5"/>
      <c r="CS42" s="892"/>
    </row>
    <row r="43" spans="1:97">
      <c r="A43" s="909" t="s">
        <v>411</v>
      </c>
      <c r="B43" s="869"/>
      <c r="C43" s="869"/>
      <c r="D43" s="869"/>
      <c r="E43" s="869"/>
      <c r="F43" s="869"/>
      <c r="G43" s="869"/>
      <c r="H43" s="869"/>
      <c r="I43" s="869"/>
      <c r="J43" s="869"/>
      <c r="K43" s="869"/>
      <c r="L43" s="869"/>
      <c r="M43" s="869"/>
      <c r="N43" s="869"/>
      <c r="O43" s="869"/>
      <c r="P43" s="869"/>
      <c r="Q43" s="869"/>
      <c r="R43" s="869"/>
      <c r="S43" s="869"/>
      <c r="T43" s="869"/>
      <c r="U43" s="869"/>
      <c r="V43" s="869"/>
      <c r="W43" s="869"/>
      <c r="X43" s="869"/>
      <c r="Y43" s="913"/>
      <c r="Z43" s="869"/>
      <c r="AA43" s="912">
        <f>CFS!AA57</f>
        <v>68.090961290322625</v>
      </c>
      <c r="AB43" s="910">
        <f>CFS!AB57</f>
        <v>71.658484761904802</v>
      </c>
      <c r="AC43" s="910">
        <f>CFS!AC57</f>
        <v>56.358586734375045</v>
      </c>
      <c r="AD43" s="910">
        <f>CFS!AD57</f>
        <v>29.532056301587314</v>
      </c>
      <c r="AE43" s="913">
        <f>CFS!AE57</f>
        <v>56.363465230158667</v>
      </c>
      <c r="AF43" s="911"/>
      <c r="AG43" s="912">
        <f>CFS!AG57</f>
        <v>47.378460451612916</v>
      </c>
      <c r="AH43" s="910">
        <f>CFS!AH57</f>
        <v>43.941978333333353</v>
      </c>
      <c r="AI43" s="910">
        <f>CFS!AI57</f>
        <v>43.078802634920656</v>
      </c>
      <c r="AJ43" s="910">
        <f>CFS!AJ57</f>
        <v>50.72506217741936</v>
      </c>
      <c r="AK43" s="913">
        <f>CFS!AK57</f>
        <v>46.258910415999964</v>
      </c>
      <c r="AL43" s="911"/>
      <c r="AM43" s="912">
        <f>CFS!AM57</f>
        <v>51.671780866666651</v>
      </c>
      <c r="AN43" s="910">
        <f>CFS!AN57</f>
        <v>65.798118406249998</v>
      </c>
      <c r="AO43" s="910">
        <f>CFS!AO57</f>
        <v>78.639586953125033</v>
      </c>
      <c r="AP43" s="910">
        <f>CFS!AP57</f>
        <v>94.156337859375043</v>
      </c>
      <c r="AQ43" s="913">
        <f>CFS!AQ57</f>
        <v>72.566456021354185</v>
      </c>
      <c r="AR43" s="911"/>
      <c r="AS43" s="912">
        <f>CFS!AS57</f>
        <v>124.28411588235292</v>
      </c>
      <c r="AT43" s="910">
        <f>CFS!AT57</f>
        <v>153.36983809523812</v>
      </c>
      <c r="AU43" s="910">
        <f>CFS!AU57</f>
        <v>171.85541859374996</v>
      </c>
      <c r="AV43" s="910">
        <f>CFS!AV57</f>
        <v>181.16156343750001</v>
      </c>
      <c r="AW43" s="913">
        <f>CFS!AW57</f>
        <v>157.66773400221027</v>
      </c>
      <c r="AX43" s="911"/>
      <c r="AY43" s="912">
        <f>CFS!AY57</f>
        <v>151.06778377049179</v>
      </c>
      <c r="AZ43" s="910">
        <f>CFS!AZ57</f>
        <v>200.78460761904765</v>
      </c>
      <c r="BA43" s="910">
        <f>CFS!BA57</f>
        <v>207.79672390625012</v>
      </c>
      <c r="BB43" s="910">
        <f>CFS!BB57</f>
        <v>165.91008249999999</v>
      </c>
      <c r="BC43" s="913">
        <f>CFS!BC57</f>
        <v>181.38979944894737</v>
      </c>
      <c r="BD43" s="911"/>
      <c r="BE43" s="912">
        <f>CFS!BE57</f>
        <v>157.14820147540991</v>
      </c>
      <c r="BF43" s="910">
        <f>CFS!BF57</f>
        <v>146.28046630769228</v>
      </c>
      <c r="BG43" s="910">
        <f>CFS!BG57</f>
        <v>164.46796874999995</v>
      </c>
      <c r="BH43" s="910">
        <f>CFS!BH57</f>
        <v>138.55413111111099</v>
      </c>
      <c r="BI43" s="913">
        <f>CFS!BI57</f>
        <v>151.61269191105328</v>
      </c>
      <c r="BJ43" s="911"/>
      <c r="BK43" s="912">
        <f>CFS!BK57</f>
        <v>161.97258580645155</v>
      </c>
      <c r="BL43" s="2747" t="str">
        <f>CFS!BL57</f>
        <v xml:space="preserve">$177.76 </v>
      </c>
      <c r="BM43" s="910">
        <f>CFS!BM57</f>
        <v>191.38016428571433</v>
      </c>
      <c r="BN43" s="3026">
        <f>CFS!BN57</f>
        <v>211.53603730158744</v>
      </c>
      <c r="BO43" s="913">
        <f>CFS!BO57</f>
        <v>188.29626246458443</v>
      </c>
      <c r="BP43" s="911"/>
      <c r="BQ43" s="912">
        <f>CFS!BQ57</f>
        <v>216.14290738133087</v>
      </c>
      <c r="BR43" s="910">
        <f>CFS!BR57</f>
        <v>220.85010671089086</v>
      </c>
      <c r="BS43" s="910">
        <f>CFS!BS57</f>
        <v>225.65982027881591</v>
      </c>
      <c r="BT43" s="910">
        <f>CFS!BT57</f>
        <v>230.57428065873037</v>
      </c>
      <c r="BU43" s="913">
        <f>CFS!BU57</f>
        <v>223.306778757442</v>
      </c>
      <c r="BV43" s="911"/>
      <c r="BW43" s="912">
        <f>CFS!BW57</f>
        <v>235.59576904565071</v>
      </c>
      <c r="BX43" s="910">
        <f>CFS!BX57</f>
        <v>240.72661631487111</v>
      </c>
      <c r="BY43" s="910">
        <f>CFS!BY57</f>
        <v>245.96920410390945</v>
      </c>
      <c r="BZ43" s="910">
        <f>CFS!BZ57</f>
        <v>251.32596591801621</v>
      </c>
      <c r="CA43" s="913">
        <f>CFS!CA57</f>
        <v>243.40438884561186</v>
      </c>
      <c r="CB43" s="911"/>
      <c r="CC43" s="912">
        <f>CFS!CC57</f>
        <v>256.79938825975938</v>
      </c>
      <c r="CD43" s="910">
        <f>CFS!CD57</f>
        <v>262.39201178320963</v>
      </c>
      <c r="CE43" s="910">
        <f>CFS!CE57</f>
        <v>268.10643247326141</v>
      </c>
      <c r="CF43" s="910">
        <f>CFS!CF57</f>
        <v>273.9453028506378</v>
      </c>
      <c r="CG43" s="913">
        <f>CFS!CG57</f>
        <v>265.31078384171707</v>
      </c>
      <c r="CH43" s="911"/>
      <c r="CI43" s="912">
        <f>CFS!CI57</f>
        <v>279.91133320313787</v>
      </c>
      <c r="CJ43" s="910">
        <f>CFS!CJ57</f>
        <v>286.00729284369862</v>
      </c>
      <c r="CK43" s="910">
        <f>CFS!CK57</f>
        <v>292.23601139585509</v>
      </c>
      <c r="CL43" s="910">
        <f>CFS!CL57</f>
        <v>298.60038010719535</v>
      </c>
      <c r="CM43" s="913">
        <f>CFS!CM57</f>
        <v>289.18875438747176</v>
      </c>
      <c r="CN43" s="911"/>
      <c r="CO43" s="912">
        <f>CFS!CO57</f>
        <v>305.10335319142041</v>
      </c>
      <c r="CP43" s="910">
        <f>CFS!CP57</f>
        <v>311.74794919963165</v>
      </c>
      <c r="CQ43" s="910">
        <f>CFS!CQ57</f>
        <v>318.53725242148215</v>
      </c>
      <c r="CR43" s="910">
        <f>CFS!CR57</f>
        <v>325.47441431684302</v>
      </c>
      <c r="CS43" s="913">
        <f>CFS!CS57</f>
        <v>315.21574228234431</v>
      </c>
    </row>
    <row r="44" spans="1:97">
      <c r="A44" s="4"/>
      <c r="B44" s="1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892"/>
      <c r="Z44" s="4"/>
      <c r="AA44" s="885"/>
      <c r="AB44" s="5"/>
      <c r="AC44" s="5"/>
      <c r="AD44" s="5"/>
      <c r="AE44" s="892"/>
      <c r="AF44" s="6"/>
      <c r="AG44" s="885"/>
      <c r="AH44" s="5"/>
      <c r="AI44" s="5"/>
      <c r="AJ44" s="5"/>
      <c r="AK44" s="892"/>
      <c r="AL44" s="6"/>
      <c r="AM44" s="885"/>
      <c r="AN44" s="5"/>
      <c r="AO44" s="5"/>
      <c r="AP44" s="5"/>
      <c r="AQ44" s="892"/>
      <c r="AR44" s="6"/>
      <c r="AS44" s="885"/>
      <c r="AT44" s="5"/>
      <c r="AU44" s="5"/>
      <c r="AV44" s="5"/>
      <c r="AW44" s="892"/>
      <c r="AX44" s="6"/>
      <c r="AY44" s="885"/>
      <c r="AZ44" s="5"/>
      <c r="BA44" s="5"/>
      <c r="BB44" s="5"/>
      <c r="BC44" s="892"/>
      <c r="BD44" s="6"/>
      <c r="BE44" s="885"/>
      <c r="BF44" s="5"/>
      <c r="BG44" s="5"/>
      <c r="BH44" s="5"/>
      <c r="BI44" s="892"/>
      <c r="BJ44" s="6"/>
      <c r="BK44" s="885"/>
      <c r="BL44" s="5"/>
      <c r="BM44" s="5"/>
      <c r="BN44" s="5"/>
      <c r="BO44" s="892"/>
      <c r="BP44" s="6"/>
      <c r="BQ44" s="885"/>
      <c r="BR44" s="5"/>
      <c r="BS44" s="5"/>
      <c r="BT44" s="5"/>
      <c r="BU44" s="892"/>
      <c r="BV44" s="6"/>
      <c r="BW44" s="885"/>
      <c r="BX44" s="5"/>
      <c r="BY44" s="5"/>
      <c r="BZ44" s="5"/>
      <c r="CA44" s="892"/>
      <c r="CB44" s="6"/>
      <c r="CC44" s="885"/>
      <c r="CD44" s="5"/>
      <c r="CE44" s="5"/>
      <c r="CF44" s="5"/>
      <c r="CG44" s="892"/>
      <c r="CH44" s="6"/>
      <c r="CI44" s="885"/>
      <c r="CJ44" s="5"/>
      <c r="CK44" s="5"/>
      <c r="CL44" s="5"/>
      <c r="CM44" s="892"/>
      <c r="CN44" s="6"/>
      <c r="CO44" s="885"/>
      <c r="CP44" s="5"/>
      <c r="CQ44" s="5"/>
      <c r="CR44" s="5"/>
      <c r="CS44" s="892"/>
    </row>
    <row r="45" spans="1:97">
      <c r="A45" s="895" t="s">
        <v>412</v>
      </c>
      <c r="B45" s="134"/>
      <c r="C45" s="134"/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899"/>
      <c r="Z45" s="134"/>
      <c r="AA45" s="898"/>
      <c r="AB45" s="135"/>
      <c r="AC45" s="135"/>
      <c r="AD45" s="135"/>
      <c r="AE45" s="899"/>
      <c r="AF45" s="135"/>
      <c r="AG45" s="898"/>
      <c r="AH45" s="135"/>
      <c r="AI45" s="135"/>
      <c r="AJ45" s="135"/>
      <c r="AK45" s="899"/>
      <c r="AL45" s="135"/>
      <c r="AM45" s="898"/>
      <c r="AN45" s="135"/>
      <c r="AO45" s="135"/>
      <c r="AP45" s="135"/>
      <c r="AQ45" s="899"/>
      <c r="AR45" s="135"/>
      <c r="AS45" s="898"/>
      <c r="AT45" s="135"/>
      <c r="AU45" s="135"/>
      <c r="AV45" s="135"/>
      <c r="AW45" s="899"/>
      <c r="AX45" s="135"/>
      <c r="AY45" s="898"/>
      <c r="AZ45" s="135"/>
      <c r="BA45" s="135"/>
      <c r="BB45" s="135"/>
      <c r="BC45" s="899"/>
      <c r="BD45" s="135"/>
      <c r="BE45" s="898"/>
      <c r="BF45" s="135"/>
      <c r="BG45" s="135"/>
      <c r="BH45" s="135"/>
      <c r="BI45" s="899"/>
      <c r="BJ45" s="135"/>
      <c r="BK45" s="898"/>
      <c r="BL45" s="135"/>
      <c r="BM45" s="135"/>
      <c r="BN45" s="3023"/>
      <c r="BO45" s="899"/>
      <c r="BP45" s="135"/>
      <c r="BQ45" s="898"/>
      <c r="BR45" s="135"/>
      <c r="BS45" s="135"/>
      <c r="BT45" s="135"/>
      <c r="BU45" s="899"/>
      <c r="BV45" s="135"/>
      <c r="BW45" s="898"/>
      <c r="BX45" s="135"/>
      <c r="BY45" s="135"/>
      <c r="BZ45" s="135"/>
      <c r="CA45" s="899"/>
      <c r="CB45" s="135"/>
      <c r="CC45" s="898"/>
      <c r="CD45" s="135"/>
      <c r="CE45" s="135"/>
      <c r="CF45" s="135"/>
      <c r="CG45" s="899"/>
      <c r="CH45" s="135"/>
      <c r="CI45" s="898"/>
      <c r="CJ45" s="135"/>
      <c r="CK45" s="135"/>
      <c r="CL45" s="135"/>
      <c r="CM45" s="899"/>
      <c r="CN45" s="135"/>
      <c r="CO45" s="898"/>
      <c r="CP45" s="135"/>
      <c r="CQ45" s="135"/>
      <c r="CR45" s="135"/>
      <c r="CS45" s="899"/>
    </row>
    <row r="46" spans="1:97">
      <c r="A46" s="140" t="str">
        <f>A10</f>
        <v>0.5% Convertible Senior Notes due 2021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892"/>
      <c r="Z46" s="4"/>
      <c r="AA46" s="885"/>
      <c r="AB46" s="5"/>
      <c r="AC46" s="5"/>
      <c r="AD46" s="5"/>
      <c r="AE46" s="892"/>
      <c r="AF46" s="5"/>
      <c r="AG46" s="885"/>
      <c r="AH46" s="5"/>
      <c r="AI46" s="5"/>
      <c r="AJ46" s="5"/>
      <c r="AK46" s="892"/>
      <c r="AL46" s="5"/>
      <c r="AM46" s="885"/>
      <c r="AN46" s="5"/>
      <c r="AO46" s="5"/>
      <c r="AP46" s="5"/>
      <c r="AQ46" s="892"/>
      <c r="AR46" s="5"/>
      <c r="AS46" s="885"/>
      <c r="AT46" s="144">
        <f>AT11-AS11</f>
        <v>517.5</v>
      </c>
      <c r="AU46" s="144">
        <f>AU11-AT11</f>
        <v>0</v>
      </c>
      <c r="AV46" s="144">
        <f>AV11-AU11</f>
        <v>0</v>
      </c>
      <c r="AW46" s="141">
        <f>SUM(AS46:AV46)</f>
        <v>517.5</v>
      </c>
      <c r="AX46" s="5"/>
      <c r="AY46" s="143">
        <f>AY11-AW11</f>
        <v>0</v>
      </c>
      <c r="AZ46" s="144">
        <f>AZ11-AY11</f>
        <v>0</v>
      </c>
      <c r="BA46" s="144">
        <f>BA11-AZ11</f>
        <v>0</v>
      </c>
      <c r="BB46" s="144">
        <f>BB11-BA11</f>
        <v>0</v>
      </c>
      <c r="BC46" s="141">
        <f>SUM(AY46:BB46)</f>
        <v>0</v>
      </c>
      <c r="BD46" s="5"/>
      <c r="BE46" s="143">
        <f>BE11-BC11</f>
        <v>0</v>
      </c>
      <c r="BF46" s="144">
        <f>BF11-BE11</f>
        <v>0</v>
      </c>
      <c r="BG46" s="144">
        <f>BG11-BF11</f>
        <v>0</v>
      </c>
      <c r="BH46" s="144">
        <f>BH11-BG11</f>
        <v>0</v>
      </c>
      <c r="BI46" s="141">
        <f>SUM(BE46:BH46)</f>
        <v>0</v>
      </c>
      <c r="BJ46" s="5"/>
      <c r="BK46" s="143">
        <f>BK11-BI11</f>
        <v>-0.5</v>
      </c>
      <c r="BL46" s="144">
        <f>BL11-BK11</f>
        <v>0</v>
      </c>
      <c r="BM46" s="144">
        <f>BM11-BL11</f>
        <v>0</v>
      </c>
      <c r="BN46" s="144">
        <f>BN11-BM11</f>
        <v>0</v>
      </c>
      <c r="BO46" s="141">
        <f>SUM(BK46:BN46)</f>
        <v>-0.5</v>
      </c>
      <c r="BP46" s="5"/>
      <c r="BQ46" s="886">
        <v>0</v>
      </c>
      <c r="BR46" s="887">
        <v>0</v>
      </c>
      <c r="BS46" s="887">
        <v>0</v>
      </c>
      <c r="BT46" s="887">
        <v>0</v>
      </c>
      <c r="BU46" s="141">
        <f>SUM(BQ46:BT46)</f>
        <v>0</v>
      </c>
      <c r="BV46" s="5"/>
      <c r="BW46" s="886">
        <v>0</v>
      </c>
      <c r="BX46" s="887">
        <v>0</v>
      </c>
      <c r="BY46" s="887">
        <v>0</v>
      </c>
      <c r="BZ46" s="887">
        <v>0</v>
      </c>
      <c r="CA46" s="141">
        <f>SUM(BW46:BZ46)</f>
        <v>0</v>
      </c>
      <c r="CB46" s="5"/>
      <c r="CC46" s="886">
        <v>0</v>
      </c>
      <c r="CD46" s="887">
        <v>0</v>
      </c>
      <c r="CE46" s="887">
        <v>0</v>
      </c>
      <c r="CF46" s="887">
        <v>0</v>
      </c>
      <c r="CG46" s="141">
        <f t="shared" ref="CG46:CG49" si="124">SUM(CC46:CF46)</f>
        <v>0</v>
      </c>
      <c r="CH46" s="5"/>
      <c r="CI46" s="886">
        <v>0</v>
      </c>
      <c r="CJ46" s="887">
        <v>0</v>
      </c>
      <c r="CK46" s="887">
        <v>0</v>
      </c>
      <c r="CL46" s="887">
        <v>0</v>
      </c>
      <c r="CM46" s="141">
        <f t="shared" ref="CM46:CM49" si="125">SUM(CI46:CL46)</f>
        <v>0</v>
      </c>
      <c r="CN46" s="5"/>
      <c r="CO46" s="886">
        <v>0</v>
      </c>
      <c r="CP46" s="887">
        <v>0</v>
      </c>
      <c r="CQ46" s="887">
        <v>0</v>
      </c>
      <c r="CR46" s="887">
        <v>0</v>
      </c>
      <c r="CS46" s="141">
        <f t="shared" ref="CS46:CS49" si="126">SUM(CO46:CR46)</f>
        <v>0</v>
      </c>
    </row>
    <row r="47" spans="1:97">
      <c r="A47" s="140" t="str">
        <f>A18</f>
        <v>0% Convertible Senior Notes due 2019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892"/>
      <c r="Z47" s="4"/>
      <c r="AA47" s="885"/>
      <c r="AB47" s="5"/>
      <c r="AC47" s="5"/>
      <c r="AD47" s="5"/>
      <c r="AE47" s="892"/>
      <c r="AF47" s="5"/>
      <c r="AG47" s="885"/>
      <c r="AH47" s="5"/>
      <c r="AI47" s="5"/>
      <c r="AJ47" s="5"/>
      <c r="AK47" s="892"/>
      <c r="AL47" s="5"/>
      <c r="AM47" s="885"/>
      <c r="AN47" s="5"/>
      <c r="AO47" s="5"/>
      <c r="AP47" s="5"/>
      <c r="AQ47" s="892"/>
      <c r="AR47" s="5"/>
      <c r="AS47" s="885"/>
      <c r="AT47" s="144">
        <f>AT19-AS19</f>
        <v>632.5</v>
      </c>
      <c r="AU47" s="144">
        <f>AU19-AT19</f>
        <v>0</v>
      </c>
      <c r="AV47" s="144">
        <f>AV19-AU19</f>
        <v>0</v>
      </c>
      <c r="AW47" s="141">
        <f>SUM(AS47:AV47)</f>
        <v>632.5</v>
      </c>
      <c r="AX47" s="5"/>
      <c r="AY47" s="143">
        <f>AY19-AW19</f>
        <v>0</v>
      </c>
      <c r="AZ47" s="144">
        <f>AZ19-AY19</f>
        <v>0</v>
      </c>
      <c r="BA47" s="144">
        <f>BA19-AZ19</f>
        <v>0</v>
      </c>
      <c r="BB47" s="144">
        <f>BB19-BA19</f>
        <v>0</v>
      </c>
      <c r="BC47" s="141">
        <f>SUM(AY47:BB47)</f>
        <v>0</v>
      </c>
      <c r="BD47" s="5"/>
      <c r="BE47" s="143">
        <f>BE19-BC19</f>
        <v>0</v>
      </c>
      <c r="BF47" s="144">
        <f>BF19-BE19</f>
        <v>0</v>
      </c>
      <c r="BG47" s="144">
        <f>BG19-BF19</f>
        <v>0</v>
      </c>
      <c r="BH47" s="144">
        <f>BH19-BG19</f>
        <v>0</v>
      </c>
      <c r="BI47" s="141">
        <f>SUM(BE47:BH47)</f>
        <v>0</v>
      </c>
      <c r="BJ47" s="5"/>
      <c r="BK47" s="143">
        <f>BK19-BI19</f>
        <v>0.5</v>
      </c>
      <c r="BL47" s="144">
        <f>BL19-BK19</f>
        <v>0</v>
      </c>
      <c r="BM47" s="144">
        <f>BM19-BL19</f>
        <v>0</v>
      </c>
      <c r="BN47" s="144">
        <f>BN19-BM19</f>
        <v>0</v>
      </c>
      <c r="BO47" s="141">
        <f>SUM(BK47:BN47)</f>
        <v>0.5</v>
      </c>
      <c r="BP47" s="5"/>
      <c r="BQ47" s="886">
        <v>0</v>
      </c>
      <c r="BR47" s="887">
        <v>0</v>
      </c>
      <c r="BS47" s="887">
        <v>0</v>
      </c>
      <c r="BT47" s="887">
        <v>0</v>
      </c>
      <c r="BU47" s="141">
        <f>SUM(BQ47:BT47)</f>
        <v>0</v>
      </c>
      <c r="BV47" s="5"/>
      <c r="BW47" s="886">
        <v>0</v>
      </c>
      <c r="BX47" s="887">
        <v>0</v>
      </c>
      <c r="BY47" s="887">
        <v>0</v>
      </c>
      <c r="BZ47" s="887">
        <v>0</v>
      </c>
      <c r="CA47" s="141">
        <f>SUM(BW47:BZ47)</f>
        <v>0</v>
      </c>
      <c r="CB47" s="5"/>
      <c r="CC47" s="886">
        <v>0</v>
      </c>
      <c r="CD47" s="887">
        <v>0</v>
      </c>
      <c r="CE47" s="887">
        <v>0</v>
      </c>
      <c r="CF47" s="887">
        <v>0</v>
      </c>
      <c r="CG47" s="141">
        <f t="shared" si="124"/>
        <v>0</v>
      </c>
      <c r="CH47" s="5"/>
      <c r="CI47" s="886">
        <v>0</v>
      </c>
      <c r="CJ47" s="887">
        <v>0</v>
      </c>
      <c r="CK47" s="887">
        <v>0</v>
      </c>
      <c r="CL47" s="887">
        <v>0</v>
      </c>
      <c r="CM47" s="141">
        <f t="shared" si="125"/>
        <v>0</v>
      </c>
      <c r="CN47" s="5"/>
      <c r="CO47" s="886">
        <v>0</v>
      </c>
      <c r="CP47" s="887">
        <v>0</v>
      </c>
      <c r="CQ47" s="887">
        <v>0</v>
      </c>
      <c r="CR47" s="887">
        <v>0</v>
      </c>
      <c r="CS47" s="141">
        <f t="shared" si="126"/>
        <v>0</v>
      </c>
    </row>
    <row r="48" spans="1:97">
      <c r="A48" s="140" t="str">
        <f>A26</f>
        <v>0.25% Convertible Senior Notes due 2016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892"/>
      <c r="Z48" s="4"/>
      <c r="AA48" s="143">
        <f>AA27-Y27</f>
        <v>800</v>
      </c>
      <c r="AB48" s="144">
        <f>AB27-AA27</f>
        <v>120</v>
      </c>
      <c r="AC48" s="144">
        <f>AC27-AB27</f>
        <v>0</v>
      </c>
      <c r="AD48" s="144">
        <f>AD27-AC27</f>
        <v>0</v>
      </c>
      <c r="AE48" s="141">
        <f>SUM(AA48:AD48)</f>
        <v>920</v>
      </c>
      <c r="AF48" s="144"/>
      <c r="AG48" s="143">
        <f>AG27-AE27</f>
        <v>0</v>
      </c>
      <c r="AH48" s="144">
        <f>AH27-AG27</f>
        <v>0</v>
      </c>
      <c r="AI48" s="144">
        <f>AI27-AH27</f>
        <v>0</v>
      </c>
      <c r="AJ48" s="144">
        <f>AJ27-AI27</f>
        <v>0</v>
      </c>
      <c r="AK48" s="141">
        <f>SUM(AG48:AJ48)</f>
        <v>0</v>
      </c>
      <c r="AL48" s="144"/>
      <c r="AM48" s="143">
        <f>AM27-AK27</f>
        <v>0</v>
      </c>
      <c r="AN48" s="144">
        <f>AN27-AM27</f>
        <v>0</v>
      </c>
      <c r="AO48" s="144">
        <f>AO27-AN27</f>
        <v>0</v>
      </c>
      <c r="AP48" s="144">
        <f>AP27-AO27</f>
        <v>0</v>
      </c>
      <c r="AQ48" s="141">
        <f>SUM(AM48:AP48)</f>
        <v>0</v>
      </c>
      <c r="AR48" s="144"/>
      <c r="AS48" s="143">
        <f>AS27-AQ27</f>
        <v>0</v>
      </c>
      <c r="AT48" s="144">
        <f>AT27-AS27</f>
        <v>-600</v>
      </c>
      <c r="AU48" s="144">
        <f>AU27-AT27</f>
        <v>0</v>
      </c>
      <c r="AV48" s="144">
        <f>AV27-AU27</f>
        <v>0</v>
      </c>
      <c r="AW48" s="141">
        <f>SUM(AS48:AV48)</f>
        <v>-600</v>
      </c>
      <c r="AX48" s="144"/>
      <c r="AY48" s="143">
        <f>AY27-AW27</f>
        <v>0</v>
      </c>
      <c r="AZ48" s="144">
        <f>AZ27-AY27</f>
        <v>-8.3999999999999773</v>
      </c>
      <c r="BA48" s="144">
        <f>BA27-AZ27</f>
        <v>-207.40000000000003</v>
      </c>
      <c r="BB48" s="144">
        <f>BB27-BA27</f>
        <v>-28.700000000000003</v>
      </c>
      <c r="BC48" s="141">
        <f>SUM(AY48:BB48)</f>
        <v>-244.5</v>
      </c>
      <c r="BD48" s="144"/>
      <c r="BE48" s="143">
        <f>BE27-BC27</f>
        <v>-75.5</v>
      </c>
      <c r="BF48" s="144">
        <f>BF27-BE27</f>
        <v>0</v>
      </c>
      <c r="BG48" s="144">
        <f>BG27-BF27</f>
        <v>0</v>
      </c>
      <c r="BH48" s="144">
        <f>BH27-BG27</f>
        <v>0</v>
      </c>
      <c r="BI48" s="141">
        <f>SUM(BE48:BH48)</f>
        <v>-75.5</v>
      </c>
      <c r="BJ48" s="5"/>
      <c r="BK48" s="143">
        <f>BK27-BI27</f>
        <v>0</v>
      </c>
      <c r="BL48" s="144">
        <f>BL27-BK27</f>
        <v>0</v>
      </c>
      <c r="BM48" s="144">
        <f>BM27-BL27</f>
        <v>0</v>
      </c>
      <c r="BN48" s="144">
        <f>BN27-BM27</f>
        <v>0</v>
      </c>
      <c r="BO48" s="141">
        <f>SUM(BK48:BN48)</f>
        <v>0</v>
      </c>
      <c r="BP48" s="5"/>
      <c r="BQ48" s="886">
        <v>0</v>
      </c>
      <c r="BR48" s="887">
        <v>0</v>
      </c>
      <c r="BS48" s="887">
        <v>0</v>
      </c>
      <c r="BT48" s="887">
        <v>0</v>
      </c>
      <c r="BU48" s="141">
        <f>SUM(BQ48:BT48)</f>
        <v>0</v>
      </c>
      <c r="BV48" s="5"/>
      <c r="BW48" s="886">
        <v>0</v>
      </c>
      <c r="BX48" s="887">
        <v>0</v>
      </c>
      <c r="BY48" s="887">
        <v>0</v>
      </c>
      <c r="BZ48" s="887">
        <v>0</v>
      </c>
      <c r="CA48" s="141">
        <f>SUM(BW48:BZ48)</f>
        <v>0</v>
      </c>
      <c r="CB48" s="5"/>
      <c r="CC48" s="886">
        <v>0</v>
      </c>
      <c r="CD48" s="887">
        <v>0</v>
      </c>
      <c r="CE48" s="887">
        <v>0</v>
      </c>
      <c r="CF48" s="887">
        <v>0</v>
      </c>
      <c r="CG48" s="141">
        <f t="shared" si="124"/>
        <v>0</v>
      </c>
      <c r="CH48" s="5"/>
      <c r="CI48" s="886">
        <v>0</v>
      </c>
      <c r="CJ48" s="887">
        <v>0</v>
      </c>
      <c r="CK48" s="887">
        <v>0</v>
      </c>
      <c r="CL48" s="887">
        <v>0</v>
      </c>
      <c r="CM48" s="141">
        <f t="shared" si="125"/>
        <v>0</v>
      </c>
      <c r="CN48" s="5"/>
      <c r="CO48" s="886">
        <v>0</v>
      </c>
      <c r="CP48" s="887">
        <v>0</v>
      </c>
      <c r="CQ48" s="887">
        <v>0</v>
      </c>
      <c r="CR48" s="887">
        <v>0</v>
      </c>
      <c r="CS48" s="141">
        <f t="shared" si="126"/>
        <v>0</v>
      </c>
    </row>
    <row r="49" spans="1:97">
      <c r="A49" s="145" t="str">
        <f>A34</f>
        <v>0.625% Convertible Senior Notes due 2014</v>
      </c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916"/>
      <c r="Z49" s="146"/>
      <c r="AA49" s="890"/>
      <c r="AB49" s="891">
        <f>AB35-AA35</f>
        <v>-87.774000000000001</v>
      </c>
      <c r="AC49" s="891">
        <f>AC35-AB35</f>
        <v>-8.9650000000000034</v>
      </c>
      <c r="AD49" s="891">
        <f>AD35-AC35</f>
        <v>0</v>
      </c>
      <c r="AE49" s="916"/>
      <c r="AF49" s="147"/>
      <c r="AG49" s="890">
        <f>AG35-AE35</f>
        <v>0</v>
      </c>
      <c r="AH49" s="891">
        <f>AH35-AG35</f>
        <v>0</v>
      </c>
      <c r="AI49" s="891">
        <f>AI35-AH35</f>
        <v>0</v>
      </c>
      <c r="AJ49" s="891">
        <f>AJ35-AI35</f>
        <v>0</v>
      </c>
      <c r="AK49" s="894">
        <f>SUM(AG49:AJ49)</f>
        <v>0</v>
      </c>
      <c r="AL49" s="147"/>
      <c r="AM49" s="890">
        <f>AM35-AK35</f>
        <v>0</v>
      </c>
      <c r="AN49" s="891">
        <f>AN35-AM35</f>
        <v>-9</v>
      </c>
      <c r="AO49" s="891">
        <f>AO35-AN35</f>
        <v>-1.504999999999999</v>
      </c>
      <c r="AP49" s="891">
        <f>AP35-AO35</f>
        <v>-4.9999999999950973E-2</v>
      </c>
      <c r="AQ49" s="894">
        <f>SUM(AM49:AP49)</f>
        <v>-10.55499999999995</v>
      </c>
      <c r="AR49" s="147"/>
      <c r="AS49" s="890">
        <f>AS35-AQ35</f>
        <v>-29.57000000000005</v>
      </c>
      <c r="AT49" s="891">
        <f>AT35-AS35</f>
        <v>0</v>
      </c>
      <c r="AU49" s="891">
        <f>AU35-AT35</f>
        <v>0</v>
      </c>
      <c r="AV49" s="891">
        <f>AV35-AU35</f>
        <v>0</v>
      </c>
      <c r="AW49" s="894">
        <f>SUM(AS49:AV49)</f>
        <v>-29.57000000000005</v>
      </c>
      <c r="AX49" s="147"/>
      <c r="AY49" s="890">
        <f>AY35-AW35</f>
        <v>0</v>
      </c>
      <c r="AZ49" s="891">
        <f>AZ35-AY35</f>
        <v>0</v>
      </c>
      <c r="BA49" s="891">
        <f>BA35-AZ35</f>
        <v>0</v>
      </c>
      <c r="BB49" s="891">
        <f>BB35-BA35</f>
        <v>0</v>
      </c>
      <c r="BC49" s="894">
        <f>SUM(AY49:BB49)</f>
        <v>0</v>
      </c>
      <c r="BD49" s="147"/>
      <c r="BE49" s="890">
        <f>BE35-BC35</f>
        <v>0</v>
      </c>
      <c r="BF49" s="891">
        <f>BF35-BE35</f>
        <v>0</v>
      </c>
      <c r="BG49" s="891">
        <f>BG35-BF35</f>
        <v>0</v>
      </c>
      <c r="BH49" s="891">
        <f>BH35-BG35</f>
        <v>0</v>
      </c>
      <c r="BI49" s="894">
        <f>SUM(BE49:BH49)</f>
        <v>0</v>
      </c>
      <c r="BJ49" s="147"/>
      <c r="BK49" s="890">
        <f>BK35-BI35</f>
        <v>0</v>
      </c>
      <c r="BL49" s="891">
        <f>BL35-BK35</f>
        <v>0</v>
      </c>
      <c r="BM49" s="891">
        <f>BM35-BL35</f>
        <v>0</v>
      </c>
      <c r="BN49" s="3027">
        <f>BN35-BM35</f>
        <v>0</v>
      </c>
      <c r="BO49" s="894">
        <f>SUM(BK49:BN49)</f>
        <v>0</v>
      </c>
      <c r="BP49" s="147"/>
      <c r="BQ49" s="902">
        <v>0</v>
      </c>
      <c r="BR49" s="901">
        <v>0</v>
      </c>
      <c r="BS49" s="901">
        <v>0</v>
      </c>
      <c r="BT49" s="901">
        <v>0</v>
      </c>
      <c r="BU49" s="894">
        <f>SUM(BQ49:BT49)</f>
        <v>0</v>
      </c>
      <c r="BV49" s="147"/>
      <c r="BW49" s="902">
        <v>0</v>
      </c>
      <c r="BX49" s="901">
        <v>0</v>
      </c>
      <c r="BY49" s="901">
        <v>0</v>
      </c>
      <c r="BZ49" s="901">
        <v>0</v>
      </c>
      <c r="CA49" s="894">
        <f>SUM(BW49:BZ49)</f>
        <v>0</v>
      </c>
      <c r="CB49" s="147"/>
      <c r="CC49" s="902">
        <v>0</v>
      </c>
      <c r="CD49" s="901">
        <v>0</v>
      </c>
      <c r="CE49" s="901">
        <v>0</v>
      </c>
      <c r="CF49" s="901">
        <v>0</v>
      </c>
      <c r="CG49" s="894">
        <f t="shared" si="124"/>
        <v>0</v>
      </c>
      <c r="CH49" s="147"/>
      <c r="CI49" s="902">
        <v>0</v>
      </c>
      <c r="CJ49" s="901">
        <v>0</v>
      </c>
      <c r="CK49" s="901">
        <v>0</v>
      </c>
      <c r="CL49" s="901">
        <v>0</v>
      </c>
      <c r="CM49" s="894">
        <f t="shared" si="125"/>
        <v>0</v>
      </c>
      <c r="CN49" s="147"/>
      <c r="CO49" s="902">
        <v>0</v>
      </c>
      <c r="CP49" s="901">
        <v>0</v>
      </c>
      <c r="CQ49" s="901">
        <v>0</v>
      </c>
      <c r="CR49" s="901">
        <v>0</v>
      </c>
      <c r="CS49" s="894">
        <f t="shared" si="126"/>
        <v>0</v>
      </c>
    </row>
    <row r="50" spans="1:97">
      <c r="A50" s="4"/>
      <c r="B50" s="1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892"/>
      <c r="Z50" s="4"/>
      <c r="AA50" s="885"/>
      <c r="AB50" s="5"/>
      <c r="AC50" s="5"/>
      <c r="AD50" s="5"/>
      <c r="AE50" s="892"/>
      <c r="AF50" s="6"/>
      <c r="AG50" s="885"/>
      <c r="AH50" s="5"/>
      <c r="AI50" s="5"/>
      <c r="AJ50" s="5"/>
      <c r="AK50" s="892"/>
      <c r="AL50" s="6"/>
      <c r="AM50" s="885"/>
      <c r="AN50" s="5"/>
      <c r="AO50" s="5"/>
      <c r="AP50" s="5"/>
      <c r="AQ50" s="892"/>
      <c r="AR50" s="6"/>
      <c r="AS50" s="885"/>
      <c r="AT50" s="5"/>
      <c r="AU50" s="5"/>
      <c r="AV50" s="5"/>
      <c r="AW50" s="892"/>
      <c r="AX50" s="6"/>
      <c r="AY50" s="885"/>
      <c r="AZ50" s="5"/>
      <c r="BA50" s="5"/>
      <c r="BB50" s="5"/>
      <c r="BC50" s="892"/>
      <c r="BD50" s="6"/>
      <c r="BE50" s="885"/>
      <c r="BF50" s="5"/>
      <c r="BG50" s="5"/>
      <c r="BH50" s="5"/>
      <c r="BI50" s="892"/>
      <c r="BJ50" s="6"/>
      <c r="BK50" s="885"/>
      <c r="BL50" s="5"/>
      <c r="BM50" s="5"/>
      <c r="BN50" s="5"/>
      <c r="BO50" s="892"/>
      <c r="BP50" s="6"/>
      <c r="BQ50" s="885"/>
      <c r="BR50" s="5"/>
      <c r="BS50" s="5"/>
      <c r="BT50" s="5"/>
      <c r="BU50" s="892"/>
      <c r="BV50" s="6"/>
      <c r="BW50" s="885"/>
      <c r="BX50" s="5"/>
      <c r="BY50" s="5"/>
      <c r="BZ50" s="5"/>
      <c r="CA50" s="892"/>
      <c r="CB50" s="6"/>
      <c r="CC50" s="885"/>
      <c r="CD50" s="5"/>
      <c r="CE50" s="5"/>
      <c r="CF50" s="5"/>
      <c r="CG50" s="892"/>
      <c r="CH50" s="6"/>
      <c r="CI50" s="885"/>
      <c r="CJ50" s="5"/>
      <c r="CK50" s="5"/>
      <c r="CL50" s="5"/>
      <c r="CM50" s="892"/>
      <c r="CN50" s="6"/>
      <c r="CO50" s="885"/>
      <c r="CP50" s="5"/>
      <c r="CQ50" s="5"/>
      <c r="CR50" s="5"/>
      <c r="CS50" s="892"/>
    </row>
    <row r="51" spans="1:97">
      <c r="A51" s="895" t="s">
        <v>207</v>
      </c>
      <c r="B51" s="134"/>
      <c r="C51" s="134"/>
      <c r="D51" s="134"/>
      <c r="E51" s="134"/>
      <c r="F51" s="134"/>
      <c r="G51" s="134"/>
      <c r="H51" s="134"/>
      <c r="I51" s="134"/>
      <c r="J51" s="134"/>
      <c r="K51" s="134"/>
      <c r="L51" s="134"/>
      <c r="M51" s="134"/>
      <c r="N51" s="134"/>
      <c r="O51" s="134"/>
      <c r="P51" s="134"/>
      <c r="Q51" s="134"/>
      <c r="R51" s="134"/>
      <c r="S51" s="134"/>
      <c r="T51" s="134"/>
      <c r="U51" s="134"/>
      <c r="V51" s="134"/>
      <c r="W51" s="134"/>
      <c r="X51" s="134"/>
      <c r="Y51" s="899"/>
      <c r="Z51" s="134"/>
      <c r="AA51" s="898"/>
      <c r="AB51" s="135"/>
      <c r="AC51" s="135"/>
      <c r="AD51" s="135"/>
      <c r="AE51" s="899"/>
      <c r="AF51" s="135"/>
      <c r="AG51" s="898"/>
      <c r="AH51" s="135"/>
      <c r="AI51" s="135"/>
      <c r="AJ51" s="135"/>
      <c r="AK51" s="899"/>
      <c r="AL51" s="135"/>
      <c r="AM51" s="898"/>
      <c r="AN51" s="135"/>
      <c r="AO51" s="135"/>
      <c r="AP51" s="135"/>
      <c r="AQ51" s="899"/>
      <c r="AR51" s="135"/>
      <c r="AS51" s="898"/>
      <c r="AT51" s="135"/>
      <c r="AU51" s="135"/>
      <c r="AV51" s="135"/>
      <c r="AW51" s="899"/>
      <c r="AX51" s="135"/>
      <c r="AY51" s="898"/>
      <c r="AZ51" s="135"/>
      <c r="BA51" s="135"/>
      <c r="BB51" s="135"/>
      <c r="BC51" s="899"/>
      <c r="BD51" s="135"/>
      <c r="BE51" s="898"/>
      <c r="BF51" s="135"/>
      <c r="BG51" s="135"/>
      <c r="BH51" s="135"/>
      <c r="BI51" s="899"/>
      <c r="BJ51" s="135"/>
      <c r="BK51" s="898"/>
      <c r="BL51" s="135"/>
      <c r="BM51" s="135"/>
      <c r="BN51" s="3023"/>
      <c r="BO51" s="899"/>
      <c r="BP51" s="135"/>
      <c r="BQ51" s="898"/>
      <c r="BR51" s="135"/>
      <c r="BS51" s="135"/>
      <c r="BT51" s="135"/>
      <c r="BU51" s="899"/>
      <c r="BV51" s="135"/>
      <c r="BW51" s="898"/>
      <c r="BX51" s="135"/>
      <c r="BY51" s="135"/>
      <c r="BZ51" s="135"/>
      <c r="CA51" s="899"/>
      <c r="CB51" s="135"/>
      <c r="CC51" s="898"/>
      <c r="CD51" s="135"/>
      <c r="CE51" s="135"/>
      <c r="CF51" s="135"/>
      <c r="CG51" s="899"/>
      <c r="CH51" s="135"/>
      <c r="CI51" s="898"/>
      <c r="CJ51" s="135"/>
      <c r="CK51" s="135"/>
      <c r="CL51" s="135"/>
      <c r="CM51" s="899"/>
      <c r="CN51" s="135"/>
      <c r="CO51" s="898"/>
      <c r="CP51" s="135"/>
      <c r="CQ51" s="135"/>
      <c r="CR51" s="135"/>
      <c r="CS51" s="899"/>
    </row>
    <row r="52" spans="1:97">
      <c r="A52" s="140" t="s">
        <v>478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892"/>
      <c r="Z52" s="4"/>
      <c r="AA52" s="143">
        <f>-(AA30+AA38)</f>
        <v>111.32299999999999</v>
      </c>
      <c r="AB52" s="144">
        <f>-(AB30+AB38)</f>
        <v>40.649000000000001</v>
      </c>
      <c r="AC52" s="144">
        <f>-(AC30+AC38)</f>
        <v>33.792999999999999</v>
      </c>
      <c r="AD52" s="144">
        <f>-(AD30+AD38)</f>
        <v>0</v>
      </c>
      <c r="AE52" s="141">
        <f>-(AE30+AE38)</f>
        <v>0</v>
      </c>
      <c r="AF52" s="5"/>
      <c r="AG52" s="143">
        <f>-(AG30+AG38)</f>
        <v>35.024999999999999</v>
      </c>
      <c r="AH52" s="144">
        <f>-(AH30+AH38)</f>
        <v>35.659999999999997</v>
      </c>
      <c r="AI52" s="144">
        <f>-(AI30+AI38)</f>
        <v>36.307000000000002</v>
      </c>
      <c r="AJ52" s="144">
        <f>-(AJ30+AJ38)</f>
        <v>0</v>
      </c>
      <c r="AK52" s="141">
        <f>-(AK30+AK38)</f>
        <v>0</v>
      </c>
      <c r="AL52" s="5"/>
      <c r="AM52" s="143">
        <f>-(AM30+AM38)</f>
        <v>37.640999999999998</v>
      </c>
      <c r="AN52" s="144">
        <f>-(AN30+AN38)</f>
        <v>29.731000000000002</v>
      </c>
      <c r="AO52" s="144">
        <f>-(AO30+AO38)</f>
        <v>28.81</v>
      </c>
      <c r="AP52" s="144">
        <f>-(AP30+AP38)</f>
        <v>28.760000000000051</v>
      </c>
      <c r="AQ52" s="141">
        <f>-(AQ30+AQ38)</f>
        <v>28.760000000000051</v>
      </c>
      <c r="AR52" s="5"/>
      <c r="AS52" s="143">
        <f>-(AS30+AS38)</f>
        <v>848.01599999999996</v>
      </c>
      <c r="AT52" s="144">
        <f>-(AT14+AT22+AT30+AT38)</f>
        <v>298.01799999999997</v>
      </c>
      <c r="AU52" s="144">
        <f>-(AU14+AU22+AU30+AU38)</f>
        <v>-301.11900000000003</v>
      </c>
      <c r="AV52" s="144">
        <f>-(AV14+AV22+AV30+AV38)</f>
        <v>304.25599999999997</v>
      </c>
      <c r="AW52" s="141">
        <f>-(AW14+AW22+AW30+AW38)</f>
        <v>304.25599999999997</v>
      </c>
      <c r="AX52" s="5"/>
      <c r="AY52" s="143">
        <f>-(AY14+AY22+AY30+AY38)</f>
        <v>307.42700000000002</v>
      </c>
      <c r="AZ52" s="144">
        <f>-(AZ14+AZ22+AZ30+AZ38)</f>
        <v>302.447</v>
      </c>
      <c r="BA52" s="144">
        <f>-(BA14+BA22+BA30+BA38)</f>
        <v>102.166</v>
      </c>
      <c r="BB52" s="144">
        <f>-(BB14+BB22+BB30+BB38)</f>
        <v>74.929000000000002</v>
      </c>
      <c r="BC52" s="141">
        <f>-(BC14+BC22+BC30+BC38)</f>
        <v>74.929000000000002</v>
      </c>
      <c r="BD52" s="5"/>
      <c r="BE52" s="143">
        <f>-(BE14+BE22+BE30+BE38)</f>
        <v>0</v>
      </c>
      <c r="BF52" s="144">
        <f>-(BF14+BF22+BF30+BF38)</f>
        <v>0</v>
      </c>
      <c r="BG52" s="144">
        <f>-(BG14+BG22+BG30+BG38)</f>
        <v>0</v>
      </c>
      <c r="BH52" s="144">
        <f>-(BH14+BH22+BH30+BH38)</f>
        <v>0</v>
      </c>
      <c r="BI52" s="141">
        <f>-(BI14+BI22+BI30+BI38)</f>
        <v>0</v>
      </c>
      <c r="BJ52" s="5"/>
      <c r="BK52" s="143">
        <f>-(BK14+BK22+BK30+BK38)</f>
        <v>0</v>
      </c>
      <c r="BL52" s="144">
        <f>-(BL14+BL22+BL30+BL38)</f>
        <v>1058.0226014462273</v>
      </c>
      <c r="BM52" s="144">
        <f>-(BM14+BM22+BM30+BM38)</f>
        <v>0</v>
      </c>
      <c r="BN52" s="144">
        <f>-(BN14+BN22+BN30+BN38)</f>
        <v>0</v>
      </c>
      <c r="BO52" s="141">
        <f>-(BO14+BO22+BO30+BO38)</f>
        <v>0</v>
      </c>
      <c r="BP52" s="5"/>
      <c r="BQ52" s="143">
        <f>-(BQ14+BQ22+BQ30+BQ38)</f>
        <v>0</v>
      </c>
      <c r="BR52" s="144">
        <f>-(BR14+BR22+BR30+BR38)</f>
        <v>615.70165700748942</v>
      </c>
      <c r="BS52" s="144">
        <f>-(BS14+BS22+BS30+BS38)</f>
        <v>620.20231686291822</v>
      </c>
      <c r="BT52" s="144">
        <f>-(BT14+BT22+BT30+BT38)</f>
        <v>624.73587567014238</v>
      </c>
      <c r="BU52" s="141">
        <f>-(BU14+BU22+BU30+BU38)</f>
        <v>624.73587567014238</v>
      </c>
      <c r="BV52" s="5"/>
      <c r="BW52" s="143">
        <f>-(BW14+BW22+BW30+BW38)</f>
        <v>629.20294378936092</v>
      </c>
      <c r="BX52" s="144">
        <f>-(BX14+BX22+BX30+BX38)</f>
        <v>633.75212219358787</v>
      </c>
      <c r="BY52" s="144">
        <f>-(BY14+BY22+BY30+BY38)</f>
        <v>638.38472745327272</v>
      </c>
      <c r="BZ52" s="144">
        <f>-(BZ14+BZ22+BZ30+BZ38)</f>
        <v>643.05119616010109</v>
      </c>
      <c r="CA52" s="141">
        <f>-(CA14+CA22+CA30+CA38)</f>
        <v>643.05119616010109</v>
      </c>
      <c r="CB52" s="5"/>
      <c r="CC52" s="143">
        <f t="shared" ref="CC52:CG52" si="127">-(CC14+CC22+CC30+CC38)</f>
        <v>647.64922487793433</v>
      </c>
      <c r="CD52" s="144">
        <f t="shared" si="127"/>
        <v>1154.727618141452</v>
      </c>
      <c r="CE52" s="144">
        <f t="shared" si="127"/>
        <v>1163.2767058141358</v>
      </c>
      <c r="CF52" s="144">
        <f t="shared" si="127"/>
        <v>1171.8940036504232</v>
      </c>
      <c r="CG52" s="141">
        <f t="shared" si="127"/>
        <v>1171.8940036504232</v>
      </c>
      <c r="CH52" s="5"/>
      <c r="CI52" s="143">
        <f t="shared" ref="CI52:CM52" si="128">-(CI14+CI22+CI30+CI38)</f>
        <v>1180.3904983633502</v>
      </c>
      <c r="CJ52" s="144">
        <f t="shared" si="128"/>
        <v>1189.0488302709182</v>
      </c>
      <c r="CK52" s="144">
        <f t="shared" si="128"/>
        <v>1197.8717835185155</v>
      </c>
      <c r="CL52" s="144">
        <f t="shared" si="128"/>
        <v>1206.7651516056812</v>
      </c>
      <c r="CM52" s="141">
        <f t="shared" si="128"/>
        <v>1206.7651516056812</v>
      </c>
      <c r="CN52" s="5"/>
      <c r="CO52" s="143">
        <f t="shared" ref="CO52:CS52" si="129">-(CO14+CO22+CO30+CO38)</f>
        <v>1215.533865546334</v>
      </c>
      <c r="CP52" s="144">
        <f t="shared" si="129"/>
        <v>1224.4696211621451</v>
      </c>
      <c r="CQ52" s="144">
        <f t="shared" si="129"/>
        <v>1233.5752927581691</v>
      </c>
      <c r="CR52" s="144">
        <f t="shared" si="129"/>
        <v>1242.7536557724875</v>
      </c>
      <c r="CS52" s="141">
        <f t="shared" si="129"/>
        <v>1242.7536557724875</v>
      </c>
    </row>
    <row r="53" spans="1:97">
      <c r="A53" s="140" t="s">
        <v>421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892"/>
      <c r="Z53" s="4"/>
      <c r="AA53" s="143">
        <f>AA31+AA39+AA32+AA40</f>
        <v>677.62400000000002</v>
      </c>
      <c r="AB53" s="144">
        <f>AB31+AB39+AB32+AB40</f>
        <v>765.71500000000003</v>
      </c>
      <c r="AC53" s="144">
        <f>AC31+AC39+AC32+AC40</f>
        <v>771.40899999999999</v>
      </c>
      <c r="AD53" s="144">
        <f>AD31+AD39+AD32+AD40</f>
        <v>813.09100000000001</v>
      </c>
      <c r="AE53" s="141">
        <f>AE31+AE39+AE32+AE40</f>
        <v>813.09100000000001</v>
      </c>
      <c r="AF53" s="5"/>
      <c r="AG53" s="143">
        <f>AG31+AG39+AG32+AG40</f>
        <v>786.04300000000001</v>
      </c>
      <c r="AH53" s="144">
        <f>AH31+AH39+AH32+AH40</f>
        <v>793.47300000000007</v>
      </c>
      <c r="AI53" s="144">
        <f>AI31+AI39+AI32+AI40</f>
        <v>800.98</v>
      </c>
      <c r="AJ53" s="144">
        <f>AJ31+AJ39+AJ32+AJ40</f>
        <v>845.53099999999995</v>
      </c>
      <c r="AK53" s="141">
        <f>AK31+AK39+AK32+AK40</f>
        <v>845.53099999999995</v>
      </c>
      <c r="AL53" s="5"/>
      <c r="AM53" s="143">
        <f>AM31+AM39+AM32+AM40</f>
        <v>816.22500000000002</v>
      </c>
      <c r="AN53" s="144">
        <f>AN31+AN39+AN32+AN40</f>
        <v>823.56299999999999</v>
      </c>
      <c r="AO53" s="144">
        <f>AO31+AO39+AO32+AO40</f>
        <v>831.5</v>
      </c>
      <c r="AP53" s="144">
        <f>AP31+AP39+AP32+AP40</f>
        <v>840.11500000000001</v>
      </c>
      <c r="AQ53" s="141">
        <f>AQ31+AQ39+AQ32+AQ40</f>
        <v>840.11500000000001</v>
      </c>
      <c r="AR53" s="5"/>
      <c r="AS53" s="143">
        <f>AS31+AS39+AS32+AS40</f>
        <v>0</v>
      </c>
      <c r="AT53" s="144">
        <f>AT15+AT16+AT23+AT24+AT31+AT39+AT32+AT40</f>
        <v>969.65933614209405</v>
      </c>
      <c r="AU53" s="144">
        <f>AU15+AU16+AU23+AU24+AU31+AU39+AU32+AU40</f>
        <v>1579.0479070361646</v>
      </c>
      <c r="AV53" s="144">
        <f>AV15+AV16+AV23+AV24+AV31+AV39+AV32+AV40</f>
        <v>984.01686599948607</v>
      </c>
      <c r="AW53" s="141">
        <f>AW15+AW16+AW23+AW24+AW31+AW39+AW32+AW40</f>
        <v>984.01686599948607</v>
      </c>
      <c r="AX53" s="5"/>
      <c r="AY53" s="143">
        <f>AY15+AY16+AY23+AY24+AY31+AY39+AY32+AY40</f>
        <v>991.05518114120036</v>
      </c>
      <c r="AZ53" s="144">
        <f>AZ15+AZ16+AZ23+AZ24+AZ31+AZ39+AZ32+AZ40</f>
        <v>998.29744779293401</v>
      </c>
      <c r="BA53" s="144">
        <f>BA15+BA16+BA23+BA24+BA31+BA39+BA32+BA40</f>
        <v>1005.6841298660974</v>
      </c>
      <c r="BB53" s="144">
        <f>BB15+BB16+BB23+BB24+BB31+BB39+BB32+BB40</f>
        <v>1012.9233158218973</v>
      </c>
      <c r="BC53" s="141">
        <f>BC15+BC16+BC23+BC24+BC31+BC39+BC32+BC40</f>
        <v>1012.9233158218973</v>
      </c>
      <c r="BD53" s="5"/>
      <c r="BE53" s="143">
        <f>BE15+BE16+BE23+BE24+BE31+BE39+BE32+BE40</f>
        <v>1020.3430964331974</v>
      </c>
      <c r="BF53" s="144">
        <f>BF15+BF16+BF23+BF24+BF31+BF39+BF32+BF40</f>
        <v>1027.7390729424606</v>
      </c>
      <c r="BG53" s="144">
        <f>BG15+BG16+BG23+BG24+BG31+BG39+BG32+BG40</f>
        <v>1035.2755919556409</v>
      </c>
      <c r="BH53" s="144">
        <f>BH15+BH16+BH23+BH24+BH31+BH39+BH32+BH40</f>
        <v>1042.8721802819841</v>
      </c>
      <c r="BI53" s="141">
        <f>BI15+BI16+BI23+BI24+BI31+BI39+BI32+BI40</f>
        <v>1042.8721802819841</v>
      </c>
      <c r="BJ53" s="5"/>
      <c r="BK53" s="143">
        <f>BK15+BK16+BK23+BK24+BK31+BK39+BK32+BK40</f>
        <v>1050.3897999652381</v>
      </c>
      <c r="BL53" s="144">
        <f>BL15+BL16+BL23+BL24+BL31+BL39+BL32+BL40</f>
        <v>0</v>
      </c>
      <c r="BM53" s="144">
        <f>BM15+BM16+BM23+BM24+BM31+BM39+BM32+BM40</f>
        <v>1065.8004576933261</v>
      </c>
      <c r="BN53" s="144">
        <f>BN15+BN16+BN23+BN24+BN31+BN39+BN32+BN40</f>
        <v>1073.6403189601597</v>
      </c>
      <c r="BO53" s="141">
        <f>BO15+BO16+BO23+BO24+BO31+BO39+BO32+BO40</f>
        <v>1073.6403189601597</v>
      </c>
      <c r="BP53" s="5"/>
      <c r="BQ53" s="143">
        <f>BQ15+BQ16+BQ23+BQ24+BQ31+BQ39+BQ32+BQ40</f>
        <v>1081.3702252500977</v>
      </c>
      <c r="BR53" s="144">
        <f>BR15+BR16+BR23+BR24+BR31+BR39+BR32+BR40</f>
        <v>473.54565893883068</v>
      </c>
      <c r="BS53" s="144">
        <f>BS15+BS16+BS23+BS24+BS31+BS39+BS32+BS40</f>
        <v>477.07180460320001</v>
      </c>
      <c r="BT53" s="144">
        <f>BT15+BT16+BT23+BT24+BT31+BT39+BT32+BT40</f>
        <v>480.6290587501652</v>
      </c>
      <c r="BU53" s="141">
        <f>BU15+BU16+BU23+BU24+BU31+BU39+BU32+BU40</f>
        <v>480.6290587501652</v>
      </c>
      <c r="BV53" s="5"/>
      <c r="BW53" s="143">
        <f>BW15+BW16+BW23+BW24+BW31+BW39+BW32+BW40</f>
        <v>484.13934633642191</v>
      </c>
      <c r="BX53" s="144">
        <f>BX15+BX16+BX23+BX24+BX31+BX39+BX32+BX40</f>
        <v>487.71943729698609</v>
      </c>
      <c r="BY53" s="144">
        <f>BY15+BY16+BY23+BY24+BY31+BY39+BY32+BY40</f>
        <v>491.37062735241079</v>
      </c>
      <c r="BZ53" s="144">
        <f>BZ15+BZ16+BZ23+BZ24+BZ31+BZ39+BZ32+BZ40</f>
        <v>495.05402906132508</v>
      </c>
      <c r="CA53" s="141">
        <f>CA15+CA16+CA23+CA24+CA31+CA39+CA32+CA40</f>
        <v>495.05402906132508</v>
      </c>
      <c r="CB53" s="5"/>
      <c r="CC53" s="143">
        <f t="shared" ref="CC53:CG53" si="130">CC15+CC16+CC23+CC24+CC31+CC39+CC32+CC40</f>
        <v>498.68879867851115</v>
      </c>
      <c r="CD53" s="144">
        <f t="shared" si="130"/>
        <v>0</v>
      </c>
      <c r="CE53" s="144">
        <f t="shared" si="130"/>
        <v>0</v>
      </c>
      <c r="CF53" s="144">
        <f t="shared" si="130"/>
        <v>0</v>
      </c>
      <c r="CG53" s="141">
        <f t="shared" si="130"/>
        <v>0</v>
      </c>
      <c r="CH53" s="5"/>
      <c r="CI53" s="143">
        <f t="shared" ref="CI53:CM53" si="131">CI15+CI16+CI23+CI24+CI31+CI39+CI32+CI40</f>
        <v>0</v>
      </c>
      <c r="CJ53" s="144">
        <f t="shared" si="131"/>
        <v>0</v>
      </c>
      <c r="CK53" s="144">
        <f t="shared" si="131"/>
        <v>0</v>
      </c>
      <c r="CL53" s="144">
        <f t="shared" si="131"/>
        <v>0</v>
      </c>
      <c r="CM53" s="141">
        <f t="shared" si="131"/>
        <v>0</v>
      </c>
      <c r="CN53" s="5"/>
      <c r="CO53" s="143">
        <f t="shared" ref="CO53:CS53" si="132">CO15+CO16+CO23+CO24+CO31+CO39+CO32+CO40</f>
        <v>0</v>
      </c>
      <c r="CP53" s="144">
        <f t="shared" si="132"/>
        <v>0</v>
      </c>
      <c r="CQ53" s="144">
        <f t="shared" si="132"/>
        <v>0</v>
      </c>
      <c r="CR53" s="144">
        <f t="shared" si="132"/>
        <v>0</v>
      </c>
      <c r="CS53" s="141">
        <f t="shared" si="132"/>
        <v>0</v>
      </c>
    </row>
    <row r="54" spans="1:97">
      <c r="A54" s="145" t="s">
        <v>422</v>
      </c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916"/>
      <c r="Z54" s="146"/>
      <c r="AA54" s="890">
        <f>Y52-AA52+Y53-AA53</f>
        <v>-788.947</v>
      </c>
      <c r="AB54" s="891">
        <f>AA52-AB52+AA53-AB53</f>
        <v>-17.41700000000003</v>
      </c>
      <c r="AC54" s="891">
        <f>AB52-AC52+AB53-AC53</f>
        <v>1.1620000000000346</v>
      </c>
      <c r="AD54" s="891">
        <f>AC52-AD52+AC53-AD53</f>
        <v>-7.88900000000001</v>
      </c>
      <c r="AE54" s="894"/>
      <c r="AF54" s="147"/>
      <c r="AG54" s="890">
        <f>AE52-AG52+AE53-AG53</f>
        <v>-7.9769999999999754</v>
      </c>
      <c r="AH54" s="891">
        <f>AG52-AH52+AG53-AH53</f>
        <v>-8.0650000000000546</v>
      </c>
      <c r="AI54" s="891">
        <f>AH52-AI52+AH53-AI53</f>
        <v>-8.1539999999999964</v>
      </c>
      <c r="AJ54" s="891">
        <f>AI52-AJ52+AI53-AJ53</f>
        <v>-8.2439999999999145</v>
      </c>
      <c r="AK54" s="894">
        <f>SUM(AG54:AJ54)</f>
        <v>-32.439999999999941</v>
      </c>
      <c r="AL54" s="147"/>
      <c r="AM54" s="890">
        <f>AK52-AM52+AK53-AM53</f>
        <v>-8.3350000000000364</v>
      </c>
      <c r="AN54" s="891">
        <f>AM52-AN52+AM53-AN53</f>
        <v>0.57200000000000273</v>
      </c>
      <c r="AO54" s="891">
        <f>AN52-AO52+AN53-AO53</f>
        <v>-7.0159999999999627</v>
      </c>
      <c r="AP54" s="891">
        <f>AO52-AP52+AO53-AP53</f>
        <v>-8.5650000000000546</v>
      </c>
      <c r="AQ54" s="894">
        <f>SUM(AM54:AP54)</f>
        <v>-23.344000000000051</v>
      </c>
      <c r="AR54" s="147"/>
      <c r="AS54" s="890">
        <f>AQ52-AS52+AQ53-AS53</f>
        <v>20.859000000000151</v>
      </c>
      <c r="AT54" s="891">
        <f>AS52-AT52+AS53-AT53</f>
        <v>-419.661336142094</v>
      </c>
      <c r="AU54" s="891">
        <f>AT52-AU52+AT53-AU53</f>
        <v>-10.25157089407071</v>
      </c>
      <c r="AV54" s="891">
        <f>AU52-AV52+AU53-AV53</f>
        <v>-10.343958963321484</v>
      </c>
      <c r="AW54" s="894">
        <f>SUM(AS54:AV54)</f>
        <v>-419.39786599948604</v>
      </c>
      <c r="AX54" s="147"/>
      <c r="AY54" s="890">
        <f>AW52-AY52+AW53-AY53</f>
        <v>-10.209315141714342</v>
      </c>
      <c r="AZ54" s="891">
        <f>AY52-AZ52+AY53-AZ53</f>
        <v>-2.2622666517336256</v>
      </c>
      <c r="BA54" s="891">
        <f>AZ52-BA52+AZ53-BA53</f>
        <v>192.89431792683661</v>
      </c>
      <c r="BB54" s="891">
        <f>BA52-BB52+BA53-BB53</f>
        <v>19.997814044200027</v>
      </c>
      <c r="BC54" s="894">
        <f>SUM(AY54:BB54)</f>
        <v>200.42055017758867</v>
      </c>
      <c r="BD54" s="147"/>
      <c r="BE54" s="890">
        <f>BC52-BE52+BC53-BE53</f>
        <v>67.509219388699876</v>
      </c>
      <c r="BF54" s="891">
        <f>BE52-BF52+BE53-BF53</f>
        <v>-7.3959765092631642</v>
      </c>
      <c r="BG54" s="891">
        <f>BF52-BG52+BF53-BG53</f>
        <v>-7.5365190131803956</v>
      </c>
      <c r="BH54" s="891">
        <f>BG52-BH52+BG53-BH53</f>
        <v>-7.5965883263431806</v>
      </c>
      <c r="BI54" s="894">
        <f>SUM(BE54:BH54)</f>
        <v>44.980135539913135</v>
      </c>
      <c r="BJ54" s="147"/>
      <c r="BK54" s="890">
        <f>BI52-BK52+BI53-BK53</f>
        <v>-7.5176196832539972</v>
      </c>
      <c r="BL54" s="891">
        <f>BK52-BL52+BK53-BL53</f>
        <v>-7.6328014809892011</v>
      </c>
      <c r="BM54" s="891">
        <f>BL52-BM52+BL53-BM53</f>
        <v>-7.7778562470987254</v>
      </c>
      <c r="BN54" s="3027">
        <f>BM52-BN52+BM53-BN53</f>
        <v>-7.8398612668336227</v>
      </c>
      <c r="BO54" s="894">
        <f>SUM(BK54:BN54)</f>
        <v>-30.768138678175546</v>
      </c>
      <c r="BP54" s="147"/>
      <c r="BQ54" s="890">
        <f>BO52-BQ52+BO53-BQ53</f>
        <v>-7.7299062899380715</v>
      </c>
      <c r="BR54" s="891">
        <f>BQ52-BR52+BQ53-BR53</f>
        <v>-7.8770906962223535</v>
      </c>
      <c r="BS54" s="891">
        <f>BR52-BS52+BR53-BS53</f>
        <v>-8.0268055197981312</v>
      </c>
      <c r="BT54" s="891">
        <f>BS52-BT52+BS53-BT53</f>
        <v>-8.0908129541893459</v>
      </c>
      <c r="BU54" s="894">
        <f>SUM(BQ54:BT54)</f>
        <v>-31.724615460147902</v>
      </c>
      <c r="BV54" s="147"/>
      <c r="BW54" s="890">
        <f>BU52-BW52+BU53-BW53</f>
        <v>-7.9773557054752473</v>
      </c>
      <c r="BX54" s="891">
        <f>BW52-BX52+BW53-BX53</f>
        <v>-8.1292693647911278</v>
      </c>
      <c r="BY54" s="891">
        <f>BX52-BY52+BX53-BY53</f>
        <v>-8.2837953151095576</v>
      </c>
      <c r="BZ54" s="891">
        <f>BY52-BZ52+BY53-BZ53</f>
        <v>-8.3498704157426573</v>
      </c>
      <c r="CA54" s="894">
        <f>SUM(BW54:BZ54)</f>
        <v>-32.74029080111859</v>
      </c>
      <c r="CB54" s="147"/>
      <c r="CC54" s="890">
        <f t="shared" ref="CC54" si="133">CA52-CC52+CA53-CC53</f>
        <v>-8.2327983350193108</v>
      </c>
      <c r="CD54" s="891">
        <f t="shared" ref="CD54:CF54" si="134">CC52-CD52+CC53-CD53</f>
        <v>-8.3895945850065345</v>
      </c>
      <c r="CE54" s="891">
        <f t="shared" si="134"/>
        <v>-8.5490876726837541</v>
      </c>
      <c r="CF54" s="891">
        <f t="shared" si="134"/>
        <v>-8.6172978362874346</v>
      </c>
      <c r="CG54" s="894">
        <f t="shared" ref="CG54" si="135">SUM(CC54:CF54)</f>
        <v>-33.788778428997034</v>
      </c>
      <c r="CH54" s="147"/>
      <c r="CI54" s="890">
        <f t="shared" ref="CI54" si="136">CG52-CI52+CG53-CI53</f>
        <v>-8.4964947129269603</v>
      </c>
      <c r="CJ54" s="891">
        <f t="shared" ref="CJ54:CL54" si="137">CI52-CJ52+CI53-CJ53</f>
        <v>-8.6583319075680265</v>
      </c>
      <c r="CK54" s="891">
        <f t="shared" si="137"/>
        <v>-8.8229532475972974</v>
      </c>
      <c r="CL54" s="891">
        <f t="shared" si="137"/>
        <v>-8.8933680871657543</v>
      </c>
      <c r="CM54" s="894">
        <f t="shared" ref="CM54" si="138">SUM(CI54:CL54)</f>
        <v>-34.871147955258039</v>
      </c>
      <c r="CN54" s="147"/>
      <c r="CO54" s="890">
        <f t="shared" ref="CO54" si="139">CM52-CO52+CM53-CO53</f>
        <v>-8.7687139406527876</v>
      </c>
      <c r="CP54" s="891">
        <f t="shared" ref="CP54:CR54" si="140">CO52-CP52+CO53-CP53</f>
        <v>-8.9357556158111038</v>
      </c>
      <c r="CQ54" s="891">
        <f t="shared" si="140"/>
        <v>-9.1056715960239671</v>
      </c>
      <c r="CR54" s="891">
        <f t="shared" si="140"/>
        <v>-9.1783630143183927</v>
      </c>
      <c r="CS54" s="894">
        <f t="shared" ref="CS54" si="141">SUM(CO54:CR54)</f>
        <v>-35.988504166806251</v>
      </c>
    </row>
    <row r="55" spans="1:97">
      <c r="A55" s="4"/>
      <c r="B55" s="1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892"/>
      <c r="Z55" s="4"/>
      <c r="AA55" s="885"/>
      <c r="AB55" s="5"/>
      <c r="AC55" s="5"/>
      <c r="AD55" s="5"/>
      <c r="AE55" s="892"/>
      <c r="AF55" s="6"/>
      <c r="AG55" s="885"/>
      <c r="AH55" s="5"/>
      <c r="AI55" s="5"/>
      <c r="AJ55" s="5"/>
      <c r="AK55" s="892"/>
      <c r="AL55" s="6"/>
      <c r="AM55" s="885"/>
      <c r="AN55" s="5"/>
      <c r="AO55" s="5"/>
      <c r="AP55" s="5"/>
      <c r="AQ55" s="892"/>
      <c r="AR55" s="6"/>
      <c r="AS55" s="885"/>
      <c r="AT55" s="5"/>
      <c r="AU55" s="5"/>
      <c r="AV55" s="5"/>
      <c r="AW55" s="892"/>
      <c r="AX55" s="6"/>
      <c r="AY55" s="885"/>
      <c r="AZ55" s="5"/>
      <c r="BA55" s="5"/>
      <c r="BB55" s="5"/>
      <c r="BC55" s="892"/>
      <c r="BD55" s="6"/>
      <c r="BE55" s="885"/>
      <c r="BF55" s="5"/>
      <c r="BG55" s="5"/>
      <c r="BH55" s="5"/>
      <c r="BI55" s="892"/>
      <c r="BJ55" s="6"/>
      <c r="BK55" s="885"/>
      <c r="BL55" s="5"/>
      <c r="BM55" s="5"/>
      <c r="BN55" s="5"/>
      <c r="BO55" s="892"/>
      <c r="BP55" s="6"/>
      <c r="BQ55" s="885"/>
      <c r="BR55" s="5"/>
      <c r="BS55" s="5"/>
      <c r="BT55" s="5"/>
      <c r="BU55" s="892"/>
      <c r="BV55" s="6"/>
      <c r="BW55" s="885"/>
      <c r="BX55" s="5"/>
      <c r="BY55" s="5"/>
      <c r="BZ55" s="5"/>
      <c r="CA55" s="892"/>
      <c r="CB55" s="6"/>
      <c r="CC55" s="885"/>
      <c r="CD55" s="5"/>
      <c r="CE55" s="5"/>
      <c r="CF55" s="5"/>
      <c r="CG55" s="892"/>
      <c r="CH55" s="6"/>
      <c r="CI55" s="885"/>
      <c r="CJ55" s="5"/>
      <c r="CK55" s="5"/>
      <c r="CL55" s="5"/>
      <c r="CM55" s="892"/>
      <c r="CN55" s="6"/>
      <c r="CO55" s="885"/>
      <c r="CP55" s="5"/>
      <c r="CQ55" s="5"/>
      <c r="CR55" s="5"/>
      <c r="CS55" s="892"/>
    </row>
    <row r="56" spans="1:97">
      <c r="A56" s="133" t="s">
        <v>417</v>
      </c>
      <c r="B56" s="134"/>
      <c r="C56" s="134"/>
      <c r="D56" s="134"/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899"/>
      <c r="Z56" s="134"/>
      <c r="AA56" s="898"/>
      <c r="AB56" s="135"/>
      <c r="AC56" s="135"/>
      <c r="AD56" s="138">
        <f>AVERAGE(AC27:AD27)*0.25%/4+AVERAGE(AC35:AD35)*0.625%/4</f>
        <v>0.63769531250000011</v>
      </c>
      <c r="AE56" s="899"/>
      <c r="AF56" s="135"/>
      <c r="AG56" s="137">
        <f>AVERAGE(AE27,AG27)*-0.25%/4+AVERAGE(AE35,AG35)*-0.625%/4</f>
        <v>-0.63769531250000011</v>
      </c>
      <c r="AH56" s="138">
        <f>AVERAGE(AG27:AH27)*-0.25%/4+AVERAGE(AG35:AH35)*-0.625%/4</f>
        <v>-0.63769531250000011</v>
      </c>
      <c r="AI56" s="138">
        <f>AVERAGE(AH27:AI27)*-0.25%/4+AVERAGE(AH35:AI35)*-0.625%/4</f>
        <v>-0.63769531250000011</v>
      </c>
      <c r="AJ56" s="138">
        <f>AVERAGE(AI27:AJ27)*0.25%/4+AVERAGE(AI35:AJ35)*0.625%/4</f>
        <v>0.63769531250000011</v>
      </c>
      <c r="AK56" s="914">
        <f>SUM(AG56:AJ56)</f>
        <v>-1.2753906250000004</v>
      </c>
      <c r="AL56" s="135"/>
      <c r="AM56" s="137">
        <f>AVERAGE(AK27,AM27)*-0.25%/4+AVERAGE(AK35,AM35)*-0.625%/4</f>
        <v>-0.63769531250000011</v>
      </c>
      <c r="AN56" s="138">
        <f>AVERAGE(AM27:AN27)*-0.25%/4+AVERAGE(AM35:AN35)*-0.625%/4</f>
        <v>-0.63066406250000007</v>
      </c>
      <c r="AO56" s="138">
        <f>AVERAGE(AN27:AO27)*-0.25%/4+AVERAGE(AN35:AO35)*-0.625%/4</f>
        <v>-0.62245703125000007</v>
      </c>
      <c r="AP56" s="138">
        <f>AVERAGE(AO27:AP27)*-0.25%/4+AVERAGE(AO35:AP35)*-0.625%/4</f>
        <v>-0.62124218750000015</v>
      </c>
      <c r="AQ56" s="914">
        <f>SUM(AM56:AP56)</f>
        <v>-2.5120585937500004</v>
      </c>
      <c r="AR56" s="135"/>
      <c r="AS56" s="137">
        <f>AVERAGE(AQ27,AS27)*-0.25%/4+AVERAGE(AQ35,AS35)*-0.625%/4</f>
        <v>-0.59810156250000013</v>
      </c>
      <c r="AT56" s="138">
        <f>AVERAGE(AS27:AT27)*-0.25%/4+AVERAGE(AS35:AT35)*-0.625%/4</f>
        <v>-0.38750000000000001</v>
      </c>
      <c r="AU56" s="138">
        <f>AVERAGE(AT27:AU27)*-0.25%/4+AVERAGE(AT35:AU35)*-0.625%/4</f>
        <v>-0.2</v>
      </c>
      <c r="AV56" s="138">
        <f>AVERAGE(AU11:AV11)*-0.5%/4+AVERAGE(AU19:AV19)*0%/4+AVERAGE(AU27:AV27)*-0.25%/4</f>
        <v>-0.84687500000000004</v>
      </c>
      <c r="AW56" s="914">
        <f>SUM(AS56:AV56)</f>
        <v>-2.0324765625000003</v>
      </c>
      <c r="AX56" s="135"/>
      <c r="AY56" s="137">
        <f>AVERAGE(AW11,AY11)*-0.5%/4+AVERAGE(AW19,AY19)*0%/4+AVERAGE(AW27,AY27)*-0.25%/4</f>
        <v>-0.84687500000000004</v>
      </c>
      <c r="AZ56" s="138">
        <f>AVERAGE(AY27:AZ27)*-0.25%/4+AVERAGE(AY35:AZ35)*-0.625%/4</f>
        <v>-0.19737500000000002</v>
      </c>
      <c r="BA56" s="138">
        <f>AVERAGE(AZ27:BA27)*-0.25%/4+AVERAGE(AZ35:BA35)*-0.625%/4</f>
        <v>-0.12993750000000001</v>
      </c>
      <c r="BB56" s="138">
        <f>AVERAGE(BA11:BB11)*-0.5%/4+AVERAGE(BA19:BB19)*0%/4+AVERAGE(BA27:BB27)*-0.25%/4</f>
        <v>-0.70303125</v>
      </c>
      <c r="BC56" s="914">
        <f>SUM(AY56:BB56)</f>
        <v>-1.8772187500000002</v>
      </c>
      <c r="BD56" s="135"/>
      <c r="BE56" s="137">
        <f>AVERAGE(BC11,BE11)*-0.5%/4+AVERAGE(BC19,BE19)*0%/4+AVERAGE(BC27,BE27)*-0.25%/4</f>
        <v>-0.67046874999999995</v>
      </c>
      <c r="BF56" s="138">
        <f>AVERAGE(BE11:BF11)*-0.5%/4+AVERAGE(BE19:BF19)*0%/4+AVERAGE(BE27:BF27)*-0.25%/4</f>
        <v>-0.64687499999999998</v>
      </c>
      <c r="BG56" s="138">
        <f>AVERAGE(BF11:BG11)*-0.5%/4+AVERAGE(BF19:BG19)*0%/4+AVERAGE(BF27:BG27)*-0.25%/4</f>
        <v>-0.64687499999999998</v>
      </c>
      <c r="BH56" s="138">
        <f>AVERAGE(BG11:BH11)*-0.5%/4+AVERAGE(BG19:BH19)*0%/4+AVERAGE(BG27:BH27)*-0.25%/4</f>
        <v>-0.64687499999999998</v>
      </c>
      <c r="BI56" s="914">
        <f>SUM(BE56:BH56)</f>
        <v>-2.6110937500000002</v>
      </c>
      <c r="BJ56" s="135"/>
      <c r="BK56" s="137">
        <f>AVERAGE(BI11,BK11)*-0.5%/4+AVERAGE(BI19,BK19)*0%/4+AVERAGE(BI27,BK27)*-0.25%/4</f>
        <v>-0.64656250000000004</v>
      </c>
      <c r="BL56" s="138">
        <f>AVERAGE(BK11:BL11)*-0.5%/4+AVERAGE(BK19:BL19)*0%/4+AVERAGE(BK27:BL27)*-0.25%/4</f>
        <v>-0.64624999999999999</v>
      </c>
      <c r="BM56" s="138">
        <f>AVERAGE(BL11:BM11)*-0.5%/4+AVERAGE(BL19:BM19)*0%/4+AVERAGE(BL27:BM27)*-0.25%/4</f>
        <v>-0.64624999999999999</v>
      </c>
      <c r="BN56" s="3028">
        <f>AVERAGE(BM11:BN11)*-0.5%/4+AVERAGE(BM19:BN19)*0%/4+AVERAGE(BM27:BN27)*-0.25%/4</f>
        <v>-0.64624999999999999</v>
      </c>
      <c r="BO56" s="914">
        <f>SUM(BK56:BN56)</f>
        <v>-2.5853125000000001</v>
      </c>
      <c r="BP56" s="135"/>
      <c r="BQ56" s="137">
        <f>AVERAGE(BO11,BQ11)*-0.5%/4+AVERAGE(BO19,BQ19)*0%/4+AVERAGE(BO27,BQ27)*-0.25%/4</f>
        <v>-0.64624999999999999</v>
      </c>
      <c r="BR56" s="138">
        <f>AVERAGE(BQ11:BR11)*-0.5%/4+AVERAGE(BQ19:BR19)*0%/4+AVERAGE(BQ27:BR27)*-0.25%/4</f>
        <v>-0.64624999999999999</v>
      </c>
      <c r="BS56" s="138">
        <f>AVERAGE(BR11:BS11)*-0.5%/4+AVERAGE(BR19:BS19)*0%/4+AVERAGE(BR27:BS27)*-0.25%/4</f>
        <v>-0.64624999999999999</v>
      </c>
      <c r="BT56" s="138">
        <f>AVERAGE(BS11:BT11)*-0.5%/4+AVERAGE(BS19:BT19)*0%/4+AVERAGE(BS27:BT27)*-0.25%/4</f>
        <v>-0.64624999999999999</v>
      </c>
      <c r="BU56" s="914">
        <f>SUM(BQ56:BT56)</f>
        <v>-2.585</v>
      </c>
      <c r="BV56" s="135"/>
      <c r="BW56" s="137">
        <f>AVERAGE(BU11,BW11)*-0.5%/4+AVERAGE(BU19,BW19)*0%/4+AVERAGE(BU27,BW27)*-0.25%/4</f>
        <v>-0.64624999999999999</v>
      </c>
      <c r="BX56" s="138">
        <f>AVERAGE(BW11:BX11)*-0.5%/4+AVERAGE(BW19:BX19)*0%/4+AVERAGE(BW27:BX27)*-0.25%/4</f>
        <v>-0.64624999999999999</v>
      </c>
      <c r="BY56" s="138">
        <f>AVERAGE(BX11:BY11)*-0.5%/4+AVERAGE(BX19:BY19)*0%/4+AVERAGE(BX27:BY27)*-0.25%/4</f>
        <v>-0.64624999999999999</v>
      </c>
      <c r="BZ56" s="138">
        <f>AVERAGE(BY11:BZ11)*-0.5%/4+AVERAGE(BY19:BZ19)*0%/4+AVERAGE(BY27:BZ27)*-0.25%/4</f>
        <v>-0.64624999999999999</v>
      </c>
      <c r="CA56" s="914">
        <f>SUM(BW56:BZ56)</f>
        <v>-2.585</v>
      </c>
      <c r="CB56" s="135"/>
      <c r="CC56" s="137">
        <f t="shared" ref="CC56" si="142">AVERAGE(CA11,CC11)*-0.5%/4+AVERAGE(CA19,CC19)*0%/4+AVERAGE(CA27,CC27)*-0.25%/4</f>
        <v>-0.64624999999999999</v>
      </c>
      <c r="CD56" s="138">
        <f t="shared" ref="CD56:CF56" si="143">AVERAGE(CC11:CD11)*-0.5%/4+AVERAGE(CC19:CD19)*0%/4+AVERAGE(CC27:CD27)*-0.25%/4</f>
        <v>-0.64624999999999999</v>
      </c>
      <c r="CE56" s="138">
        <f t="shared" si="143"/>
        <v>-0.64624999999999999</v>
      </c>
      <c r="CF56" s="138">
        <f t="shared" si="143"/>
        <v>-0.64624999999999999</v>
      </c>
      <c r="CG56" s="914">
        <f t="shared" ref="CG56:CG57" si="144">SUM(CC56:CF56)</f>
        <v>-2.585</v>
      </c>
      <c r="CH56" s="135"/>
      <c r="CI56" s="137">
        <f t="shared" ref="CI56" si="145">AVERAGE(CG11,CI11)*-0.5%/4+AVERAGE(CG19,CI19)*0%/4+AVERAGE(CG27,CI27)*-0.25%/4</f>
        <v>-0.64624999999999999</v>
      </c>
      <c r="CJ56" s="138">
        <f t="shared" ref="CJ56:CL56" si="146">AVERAGE(CI11:CJ11)*-0.5%/4+AVERAGE(CI19:CJ19)*0%/4+AVERAGE(CI27:CJ27)*-0.25%/4</f>
        <v>-0.64624999999999999</v>
      </c>
      <c r="CK56" s="138">
        <f t="shared" si="146"/>
        <v>-0.64624999999999999</v>
      </c>
      <c r="CL56" s="138">
        <f t="shared" si="146"/>
        <v>-0.64624999999999999</v>
      </c>
      <c r="CM56" s="914">
        <f t="shared" ref="CM56:CM57" si="147">SUM(CI56:CL56)</f>
        <v>-2.585</v>
      </c>
      <c r="CN56" s="135"/>
      <c r="CO56" s="137">
        <f t="shared" ref="CO56" si="148">AVERAGE(CM11,CO11)*-0.5%/4+AVERAGE(CM19,CO19)*0%/4+AVERAGE(CM27,CO27)*-0.25%/4</f>
        <v>-0.64624999999999999</v>
      </c>
      <c r="CP56" s="138">
        <f t="shared" ref="CP56:CR56" si="149">AVERAGE(CO11:CP11)*-0.5%/4+AVERAGE(CO19:CP19)*0%/4+AVERAGE(CO27:CP27)*-0.25%/4</f>
        <v>-0.64624999999999999</v>
      </c>
      <c r="CQ56" s="138">
        <f t="shared" si="149"/>
        <v>-0.64624999999999999</v>
      </c>
      <c r="CR56" s="138">
        <f t="shared" si="149"/>
        <v>-0.64624999999999999</v>
      </c>
      <c r="CS56" s="914">
        <f t="shared" ref="CS56:CS57" si="150">SUM(CO56:CR56)</f>
        <v>-2.585</v>
      </c>
    </row>
    <row r="57" spans="1:97">
      <c r="A57" s="140" t="s">
        <v>416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892"/>
      <c r="Z57" s="4"/>
      <c r="AA57" s="143"/>
      <c r="AB57" s="144"/>
      <c r="AC57" s="144"/>
      <c r="AD57" s="144">
        <f>AD28-AC28+AD36-AC36</f>
        <v>8.4990000000000094</v>
      </c>
      <c r="AE57" s="892"/>
      <c r="AF57" s="5"/>
      <c r="AG57" s="889">
        <f>-(AG28-AE28+AG36-AE36)</f>
        <v>-8.5990000000000038</v>
      </c>
      <c r="AH57" s="888">
        <f>-(AH28-AG28+AH36-AG36)</f>
        <v>-8.6999999999999975</v>
      </c>
      <c r="AI57" s="888">
        <f>-(AI28-AH28+AI36-AH36)</f>
        <v>-8.8009999999999966</v>
      </c>
      <c r="AJ57" s="144">
        <f>AJ28-AI28+AJ36-AI36</f>
        <v>8.9039999999999999</v>
      </c>
      <c r="AK57" s="893">
        <f>SUM(AG57:AJ57)</f>
        <v>-17.195999999999994</v>
      </c>
      <c r="AL57" s="888"/>
      <c r="AM57" s="889">
        <f>-(AM28-AK28+AM36-AK36)</f>
        <v>-9.0089999999999932</v>
      </c>
      <c r="AN57" s="888">
        <f>-(AN28-AM28+AN36-AM36)</f>
        <v>-9.5179999999999971</v>
      </c>
      <c r="AO57" s="888">
        <f>-(AO28-AN28+AO36-AN36)</f>
        <v>-9.1050000000000004</v>
      </c>
      <c r="AP57" s="888">
        <f>-(AP28-AO28+AP36-AO36)</f>
        <v>-9.1430000000000007</v>
      </c>
      <c r="AQ57" s="893">
        <f>SUM(AM57:AP57)</f>
        <v>-36.774999999999991</v>
      </c>
      <c r="AR57" s="888"/>
      <c r="AS57" s="889">
        <f>-(AS28-AQ28+AS36-AQ36)</f>
        <v>-8.9930000000000074</v>
      </c>
      <c r="AT57" s="888">
        <f>-(AT28-AS28+AT36-AS36)</f>
        <v>-49.725658218636127</v>
      </c>
      <c r="AU57" s="888">
        <f>-(AU28-AT28+AU36-AT36)</f>
        <v>-3.1756269947250644</v>
      </c>
      <c r="AV57" s="888">
        <f>-(AV12-AU12+AV20-AU20+AV28-AU28+AV36-AU36)</f>
        <v>-10.343958963321484</v>
      </c>
      <c r="AW57" s="893">
        <f>SUM(AS57:AV57)</f>
        <v>-72.238244176682684</v>
      </c>
      <c r="AX57" s="888"/>
      <c r="AY57" s="889">
        <f>-(AY12-AW12+AY20-AW20+AY28-AW28+AY36-AW36)</f>
        <v>-10.209315141714285</v>
      </c>
      <c r="AZ57" s="888">
        <f>-(AZ28-AY28+AZ36-AY36)</f>
        <v>-3.4961704092412447</v>
      </c>
      <c r="BA57" s="888">
        <f>-(BA28-AZ28+BA36-AZ36)</f>
        <v>-7.2034276327306657</v>
      </c>
      <c r="BB57" s="888">
        <f>-(BB12-BA12+BB20-BA20+BB28-BA28+BB36-BA36)</f>
        <v>-8.7021859557999477</v>
      </c>
      <c r="BC57" s="893">
        <f>SUM(AY57:BB57)</f>
        <v>-29.611099139486143</v>
      </c>
      <c r="BD57" s="888"/>
      <c r="BE57" s="889">
        <f>-(BE12-BC12+BE20-BC20+BE28-BC28+BE36-BC36)</f>
        <v>-7.9907806113000817</v>
      </c>
      <c r="BF57" s="888">
        <f>-(BF12-BE12+BF20-BE20+BF28-BE28+BF36-BE36)</f>
        <v>-7.3959765092631642</v>
      </c>
      <c r="BG57" s="888">
        <f>-(BG12-BF12+BG20-BF20+BG28-BF28+BG36-BF36)</f>
        <v>-7.5365190131804525</v>
      </c>
      <c r="BH57" s="888">
        <f>-(BH12-BG12+BH20-BG20+BH28-BG28+BH36-BG36)</f>
        <v>-7.5965883263431806</v>
      </c>
      <c r="BI57" s="893">
        <f>SUM(BE57:BH57)</f>
        <v>-30.519864460086879</v>
      </c>
      <c r="BJ57" s="5"/>
      <c r="BK57" s="889">
        <f>-(BK12-BI12+BK20-BI20+BK28-BI28+BK36-BI36)</f>
        <v>-7.5176196832539404</v>
      </c>
      <c r="BL57" s="888">
        <f>-(BL12-BK12+BL20-BK20+BL28-BK28+BL36-BK36)</f>
        <v>-7.6328014809891442</v>
      </c>
      <c r="BM57" s="888">
        <f>-(BM12-BL12+BM20-BL20+BM28-BL28+BM36-BL36)</f>
        <v>-7.777856247098839</v>
      </c>
      <c r="BN57" s="888">
        <f>-(BN12-BM12+BN20-BM20+BN28-BM28+BN36-BM36)</f>
        <v>-7.8398612668337364</v>
      </c>
      <c r="BO57" s="893">
        <f>SUM(BK57:BN57)</f>
        <v>-30.76813867817566</v>
      </c>
      <c r="BP57" s="5"/>
      <c r="BQ57" s="889">
        <f>-(BQ12-BO12+BQ20-BO20+BQ28-BO28+BQ36-BO36)</f>
        <v>-7.7299062899380147</v>
      </c>
      <c r="BR57" s="888">
        <f>-(BR12-BQ12+BR20-BQ20+BR28-BQ28+BR36-BQ36)</f>
        <v>-7.8770906962222966</v>
      </c>
      <c r="BS57" s="888">
        <f>-(BS12-BR12+BS20-BR20+BS28-BR28+BS36-BR36)</f>
        <v>-8.0268055197981312</v>
      </c>
      <c r="BT57" s="888">
        <f>-(BT12-BS12+BT20-BS20+BT28-BS28+BT36-BS36)</f>
        <v>-8.0908129541893459</v>
      </c>
      <c r="BU57" s="893">
        <f>SUM(BQ57:BT57)</f>
        <v>-31.724615460147788</v>
      </c>
      <c r="BV57" s="5"/>
      <c r="BW57" s="889">
        <f>-(BW12-BU12+BW20-BU20+BW28-BU28+BW36-BU36)</f>
        <v>-7.9773557054752473</v>
      </c>
      <c r="BX57" s="888">
        <f>-(BX12-BW12+BX20-BW20+BX28-BW28+BX36-BW36)</f>
        <v>-8.1292693647911278</v>
      </c>
      <c r="BY57" s="888">
        <f>-(BY12-BX12+BY20-BX20+BY28-BX28+BY36-BX36)</f>
        <v>-8.2837953151095576</v>
      </c>
      <c r="BZ57" s="888">
        <f>-(BZ12-BY12+BZ20-BY20+BZ28-BY28+BZ36-BY36)</f>
        <v>-8.3498704157426573</v>
      </c>
      <c r="CA57" s="893">
        <f>SUM(BW57:BZ57)</f>
        <v>-32.74029080111859</v>
      </c>
      <c r="CB57" s="5"/>
      <c r="CC57" s="889">
        <f t="shared" ref="CC57" si="151">-(CC12-CA12+CC20-CA20+CC28-CA28+CC36-CA36)</f>
        <v>-8.2327983350193108</v>
      </c>
      <c r="CD57" s="888">
        <f t="shared" ref="CD57:CF57" si="152">-(CD12-CC12+CD20-CC20+CD28-CC28+CD36-CC36)</f>
        <v>-8.3895945850065914</v>
      </c>
      <c r="CE57" s="888">
        <f t="shared" si="152"/>
        <v>-8.549087672683811</v>
      </c>
      <c r="CF57" s="888">
        <f t="shared" si="152"/>
        <v>-8.6172978362872641</v>
      </c>
      <c r="CG57" s="893">
        <f t="shared" si="144"/>
        <v>-33.788778428996977</v>
      </c>
      <c r="CH57" s="5"/>
      <c r="CI57" s="889">
        <f t="shared" ref="CI57" si="153">-(CI12-CG12+CI20-CG20+CI28-CG28+CI36-CG36)</f>
        <v>-8.4964947129271309</v>
      </c>
      <c r="CJ57" s="888">
        <f t="shared" ref="CJ57:CL57" si="154">-(CJ12-CI12+CJ20-CI20+CJ28-CI28+CJ36-CI36)</f>
        <v>-8.6583319075680265</v>
      </c>
      <c r="CK57" s="888">
        <f t="shared" si="154"/>
        <v>-8.8229532475971837</v>
      </c>
      <c r="CL57" s="888">
        <f t="shared" si="154"/>
        <v>-8.893368087165868</v>
      </c>
      <c r="CM57" s="893">
        <f t="shared" si="147"/>
        <v>-34.871147955258209</v>
      </c>
      <c r="CN57" s="5"/>
      <c r="CO57" s="889">
        <f t="shared" ref="CO57" si="155">-(CO12-CM12+CO20-CM20+CO28-CM28+CO36-CM36)</f>
        <v>-8.768713940652674</v>
      </c>
      <c r="CP57" s="888">
        <f t="shared" ref="CP57:CR57" si="156">-(CP12-CO12+CP20-CO20+CP28-CO28+CP36-CO36)</f>
        <v>-8.9357556158111038</v>
      </c>
      <c r="CQ57" s="888">
        <f t="shared" si="156"/>
        <v>-9.1056715960239671</v>
      </c>
      <c r="CR57" s="888">
        <f t="shared" si="156"/>
        <v>-9.1783630143182791</v>
      </c>
      <c r="CS57" s="893">
        <f t="shared" si="150"/>
        <v>-35.988504166806024</v>
      </c>
    </row>
    <row r="58" spans="1:97">
      <c r="A58" s="145" t="s">
        <v>418</v>
      </c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916"/>
      <c r="Z58" s="146"/>
      <c r="AA58" s="890"/>
      <c r="AB58" s="891"/>
      <c r="AC58" s="891"/>
      <c r="AD58" s="891">
        <f>SUM(AD56:AD57)</f>
        <v>9.1366953125000094</v>
      </c>
      <c r="AE58" s="916"/>
      <c r="AF58" s="147"/>
      <c r="AG58" s="890">
        <f>SUM(AG56:AG57)</f>
        <v>-9.2366953125000038</v>
      </c>
      <c r="AH58" s="891">
        <f>SUM(AH56:AH57)</f>
        <v>-9.3376953124999975</v>
      </c>
      <c r="AI58" s="891">
        <f>SUM(AI56:AI57)</f>
        <v>-9.4386953124999966</v>
      </c>
      <c r="AJ58" s="891">
        <f>SUM(AJ56:AJ57)</f>
        <v>9.5416953124999999</v>
      </c>
      <c r="AK58" s="894">
        <f>SUM(AK56:AK57)</f>
        <v>-18.471390624999994</v>
      </c>
      <c r="AL58" s="915"/>
      <c r="AM58" s="890">
        <f>SUM(AM56:AM57)</f>
        <v>-9.6466953124999932</v>
      </c>
      <c r="AN58" s="891">
        <f>SUM(AN56:AN57)</f>
        <v>-10.148664062499996</v>
      </c>
      <c r="AO58" s="891">
        <f>SUM(AO56:AO57)</f>
        <v>-9.7274570312500011</v>
      </c>
      <c r="AP58" s="891">
        <f>SUM(AP56:AP57)</f>
        <v>-9.7642421875000007</v>
      </c>
      <c r="AQ58" s="894">
        <f>SUM(AQ56:AQ57)</f>
        <v>-39.28705859374999</v>
      </c>
      <c r="AR58" s="915"/>
      <c r="AS58" s="890">
        <f>SUM(AS56:AS57)</f>
        <v>-9.5911015625000076</v>
      </c>
      <c r="AT58" s="891">
        <f>SUM(AT56:AT57)</f>
        <v>-50.11315821863613</v>
      </c>
      <c r="AU58" s="891">
        <f>SUM(AU56:AU57)</f>
        <v>-3.3756269947250646</v>
      </c>
      <c r="AV58" s="891">
        <f>SUM(AV56:AV57)</f>
        <v>-11.190833963321484</v>
      </c>
      <c r="AW58" s="894">
        <f>SUM(AW56:AW57)</f>
        <v>-74.270720739182678</v>
      </c>
      <c r="AX58" s="915"/>
      <c r="AY58" s="890">
        <f>SUM(AY56:AY57)</f>
        <v>-11.056190141714286</v>
      </c>
      <c r="AZ58" s="891">
        <f>SUM(AZ56:AZ57)</f>
        <v>-3.6935454092412447</v>
      </c>
      <c r="BA58" s="891">
        <f>SUM(BA56:BA57)</f>
        <v>-7.3333651327306653</v>
      </c>
      <c r="BB58" s="891">
        <f>SUM(BB56:BB57)</f>
        <v>-9.4052172057999481</v>
      </c>
      <c r="BC58" s="894">
        <f>SUM(BC56:BC57)</f>
        <v>-31.488317889486144</v>
      </c>
      <c r="BD58" s="915"/>
      <c r="BE58" s="890">
        <f>SUM(BE56:BE57)</f>
        <v>-8.6612493613000812</v>
      </c>
      <c r="BF58" s="891">
        <f>SUM(BF56:BF57)</f>
        <v>-8.0428515092631638</v>
      </c>
      <c r="BG58" s="891">
        <f>SUM(BG56:BG57)</f>
        <v>-8.1833940131804521</v>
      </c>
      <c r="BH58" s="891">
        <f>SUM(BH56:BH57)</f>
        <v>-8.2434633263431802</v>
      </c>
      <c r="BI58" s="894">
        <f>SUM(BI56:BI57)</f>
        <v>-33.130958210086881</v>
      </c>
      <c r="BJ58" s="147"/>
      <c r="BK58" s="890">
        <f>SUM(BK56:BK57)</f>
        <v>-8.1641821832539403</v>
      </c>
      <c r="BL58" s="891">
        <f>SUM(BL56:BL57)</f>
        <v>-8.2790514809891445</v>
      </c>
      <c r="BM58" s="891">
        <f>SUM(BM56:BM57)</f>
        <v>-8.4241062470988393</v>
      </c>
      <c r="BN58" s="3027">
        <f>SUM(BN56:BN57)</f>
        <v>-8.4861112668337366</v>
      </c>
      <c r="BO58" s="894">
        <f>SUM(BO56:BO57)</f>
        <v>-33.353451178175661</v>
      </c>
      <c r="BP58" s="147"/>
      <c r="BQ58" s="890">
        <f>SUM(BQ56:BQ57)</f>
        <v>-8.3761562899380149</v>
      </c>
      <c r="BR58" s="891">
        <f>SUM(BR56:BR57)</f>
        <v>-8.5233406962222968</v>
      </c>
      <c r="BS58" s="891">
        <f>SUM(BS56:BS57)</f>
        <v>-8.6730555197981314</v>
      </c>
      <c r="BT58" s="891">
        <f>SUM(BT56:BT57)</f>
        <v>-8.7370629541893461</v>
      </c>
      <c r="BU58" s="894">
        <f>SUM(BU56:BU57)</f>
        <v>-34.309615460147789</v>
      </c>
      <c r="BV58" s="147"/>
      <c r="BW58" s="890">
        <f>SUM(BW56:BW57)</f>
        <v>-8.6236057054752475</v>
      </c>
      <c r="BX58" s="891">
        <f>SUM(BX56:BX57)</f>
        <v>-8.775519364791128</v>
      </c>
      <c r="BY58" s="891">
        <f>SUM(BY56:BY57)</f>
        <v>-8.9300453151095578</v>
      </c>
      <c r="BZ58" s="891">
        <f>SUM(BZ56:BZ57)</f>
        <v>-8.9961204157426575</v>
      </c>
      <c r="CA58" s="894">
        <f>SUM(CA56:CA57)</f>
        <v>-35.325290801118591</v>
      </c>
      <c r="CB58" s="147"/>
      <c r="CC58" s="890">
        <f t="shared" ref="CC58:CG58" si="157">SUM(CC56:CC57)</f>
        <v>-8.879048335019311</v>
      </c>
      <c r="CD58" s="891">
        <f t="shared" si="157"/>
        <v>-9.0358445850065916</v>
      </c>
      <c r="CE58" s="891">
        <f t="shared" si="157"/>
        <v>-9.1953376726838112</v>
      </c>
      <c r="CF58" s="891">
        <f t="shared" si="157"/>
        <v>-9.2635478362872643</v>
      </c>
      <c r="CG58" s="894">
        <f t="shared" si="157"/>
        <v>-36.373778428996978</v>
      </c>
      <c r="CH58" s="147"/>
      <c r="CI58" s="890">
        <f t="shared" ref="CI58:CM58" si="158">SUM(CI56:CI57)</f>
        <v>-9.1427447129271311</v>
      </c>
      <c r="CJ58" s="891">
        <f t="shared" si="158"/>
        <v>-9.3045819075680267</v>
      </c>
      <c r="CK58" s="891">
        <f t="shared" si="158"/>
        <v>-9.4692032475971839</v>
      </c>
      <c r="CL58" s="891">
        <f t="shared" si="158"/>
        <v>-9.5396180871658682</v>
      </c>
      <c r="CM58" s="894">
        <f t="shared" si="158"/>
        <v>-37.45614795525821</v>
      </c>
      <c r="CN58" s="147"/>
      <c r="CO58" s="890">
        <f t="shared" ref="CO58:CS58" si="159">SUM(CO56:CO57)</f>
        <v>-9.4149639406526742</v>
      </c>
      <c r="CP58" s="891">
        <f t="shared" si="159"/>
        <v>-9.582005615811104</v>
      </c>
      <c r="CQ58" s="891">
        <f t="shared" si="159"/>
        <v>-9.7519215960239674</v>
      </c>
      <c r="CR58" s="891">
        <f t="shared" si="159"/>
        <v>-9.8246130143182793</v>
      </c>
      <c r="CS58" s="894">
        <f t="shared" si="159"/>
        <v>-38.573504166806025</v>
      </c>
    </row>
    <row r="59" spans="1:97">
      <c r="A59" s="4"/>
      <c r="B59" s="1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6"/>
      <c r="Z59" s="4"/>
      <c r="AA59" s="873"/>
      <c r="AB59" s="873"/>
      <c r="AC59" s="873"/>
      <c r="AD59" s="873"/>
      <c r="AE59" s="6"/>
      <c r="AF59" s="6"/>
      <c r="AG59" s="874"/>
      <c r="AH59" s="874"/>
      <c r="AI59" s="874"/>
      <c r="AJ59" s="873"/>
      <c r="AK59" s="874"/>
      <c r="AL59" s="874"/>
      <c r="AM59" s="874"/>
      <c r="AN59" s="874"/>
      <c r="AO59" s="874"/>
      <c r="AP59" s="874"/>
      <c r="AQ59" s="874"/>
      <c r="AR59" s="874"/>
      <c r="AS59" s="874"/>
      <c r="AT59" s="874"/>
      <c r="AU59" s="874"/>
      <c r="AV59" s="874"/>
      <c r="AW59" s="874"/>
      <c r="AX59" s="874"/>
      <c r="AY59" s="874"/>
      <c r="AZ59" s="874"/>
      <c r="BA59" s="874"/>
      <c r="BB59" s="874"/>
      <c r="BC59" s="874"/>
      <c r="BD59" s="874"/>
      <c r="BE59" s="874"/>
      <c r="BF59" s="873"/>
      <c r="BG59" s="873"/>
      <c r="BH59" s="873"/>
      <c r="BI59" s="6"/>
      <c r="BJ59" s="6"/>
      <c r="BK59" s="6"/>
      <c r="BL59" s="873"/>
      <c r="BM59" s="6"/>
      <c r="BN59" s="873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</row>
    <row r="60" spans="1:97" ht="12.75" customHeight="1">
      <c r="A60" s="133" t="s">
        <v>479</v>
      </c>
      <c r="B60" s="134"/>
      <c r="C60" s="4"/>
      <c r="D60" s="4"/>
      <c r="E60" s="4"/>
      <c r="F60" s="4"/>
      <c r="G60" s="136"/>
      <c r="H60" s="4"/>
      <c r="I60" s="4"/>
      <c r="J60" s="4"/>
      <c r="K60" s="4"/>
      <c r="L60" s="4"/>
      <c r="M60" s="136"/>
      <c r="N60" s="4"/>
      <c r="O60" s="9"/>
      <c r="P60" s="9"/>
      <c r="Q60" s="9"/>
      <c r="R60" s="9"/>
      <c r="S60" s="136"/>
      <c r="T60" s="4"/>
      <c r="U60" s="9"/>
      <c r="V60" s="9"/>
      <c r="W60" s="9"/>
      <c r="X60" s="9"/>
      <c r="Y60" s="136"/>
      <c r="Z60" s="4"/>
      <c r="AA60" s="137">
        <f>BS!Y10</f>
        <v>894.28899999999999</v>
      </c>
      <c r="AB60" s="138">
        <f>BS!AA10</f>
        <v>1134.6379999999999</v>
      </c>
      <c r="AC60" s="138">
        <f>BS!AB10</f>
        <v>1233.914</v>
      </c>
      <c r="AD60" s="139">
        <f>BS!AC10</f>
        <v>1132.19</v>
      </c>
      <c r="AE60" s="136">
        <f>AA60</f>
        <v>894.28899999999999</v>
      </c>
      <c r="AF60" s="135"/>
      <c r="AG60" s="137">
        <f>BS!AE10</f>
        <v>1189.568</v>
      </c>
      <c r="AH60" s="138">
        <f>BS!AG10</f>
        <v>1266.3630000000001</v>
      </c>
      <c r="AI60" s="138">
        <f>BS!AH10</f>
        <v>1301.6859999999999</v>
      </c>
      <c r="AJ60" s="139">
        <f>BS!AI10</f>
        <v>1233.066</v>
      </c>
      <c r="AK60" s="136">
        <f>AG60</f>
        <v>1189.568</v>
      </c>
      <c r="AL60" s="135"/>
      <c r="AM60" s="137">
        <f>BS!AK10</f>
        <v>1350.204</v>
      </c>
      <c r="AN60" s="138">
        <f>BS!AM10</f>
        <v>1067.47</v>
      </c>
      <c r="AO60" s="138">
        <f>BS!AN10</f>
        <v>1129.463</v>
      </c>
      <c r="AP60" s="139">
        <f>BS!AO10</f>
        <v>1027.991</v>
      </c>
      <c r="AQ60" s="136">
        <f>AM60</f>
        <v>1350.204</v>
      </c>
      <c r="AR60" s="135"/>
      <c r="AS60" s="137">
        <f>BS!AQ10</f>
        <v>1165.6030000000001</v>
      </c>
      <c r="AT60" s="138">
        <f>BS!AS10</f>
        <v>1091.8020000000001</v>
      </c>
      <c r="AU60" s="138">
        <f>BS!AT10</f>
        <v>1103.056</v>
      </c>
      <c r="AV60" s="139">
        <f>BS!AU10</f>
        <v>1271.4269999999999</v>
      </c>
      <c r="AW60" s="136">
        <f>AS60</f>
        <v>1165.6030000000001</v>
      </c>
      <c r="AX60" s="135"/>
      <c r="AY60" s="137">
        <f>BS!AW10</f>
        <v>1338.3710000000001</v>
      </c>
      <c r="AZ60" s="138">
        <f>BS!AY10</f>
        <v>1366.489</v>
      </c>
      <c r="BA60" s="138">
        <f>BS!AZ10</f>
        <v>1510.3820000000001</v>
      </c>
      <c r="BB60" s="139">
        <f>BS!BA10</f>
        <v>1439.4059999999999</v>
      </c>
      <c r="BC60" s="136">
        <f>AY60</f>
        <v>1338.3710000000001</v>
      </c>
      <c r="BD60" s="135"/>
      <c r="BE60" s="137">
        <f>BS!BC10</f>
        <v>1386.22</v>
      </c>
      <c r="BF60" s="138">
        <f>BS!BE10</f>
        <v>1343.0920000000001</v>
      </c>
      <c r="BG60" s="138">
        <f>BS!BF10</f>
        <v>1425.2560000000001</v>
      </c>
      <c r="BH60" s="139">
        <f>BS!BG10</f>
        <v>1536.2660000000001</v>
      </c>
      <c r="BI60" s="136">
        <f>BE60</f>
        <v>1386.22</v>
      </c>
      <c r="BJ60" s="135"/>
      <c r="BK60" s="137">
        <f>BS!BI10</f>
        <v>1558.7239999999999</v>
      </c>
      <c r="BL60" s="138">
        <f>BS!BK10</f>
        <v>1778</v>
      </c>
      <c r="BM60" s="138">
        <f>BS!BL10</f>
        <v>1893</v>
      </c>
      <c r="BN60" s="139">
        <f>BS!BM10</f>
        <v>2041</v>
      </c>
      <c r="BO60" s="136">
        <f>BK60</f>
        <v>1558.7239999999999</v>
      </c>
      <c r="BP60" s="135"/>
      <c r="BQ60" s="137">
        <f>BS!BO10</f>
        <v>2145</v>
      </c>
      <c r="BR60" s="138">
        <f>BS!BQ10</f>
        <v>1946.2227193947672</v>
      </c>
      <c r="BS60" s="138">
        <f>BS!BR10</f>
        <v>2076.6519050524512</v>
      </c>
      <c r="BT60" s="139">
        <f>BS!BS10</f>
        <v>2120.5180326729032</v>
      </c>
      <c r="BU60" s="136">
        <f>BQ60</f>
        <v>2145</v>
      </c>
      <c r="BV60" s="135"/>
      <c r="BW60" s="137">
        <f>BS!BU10</f>
        <v>2166.9440344054251</v>
      </c>
      <c r="BX60" s="138">
        <f>BS!BW10</f>
        <v>2109.5601337108769</v>
      </c>
      <c r="BY60" s="138">
        <f>BS!BX10</f>
        <v>2271.4985009974434</v>
      </c>
      <c r="BZ60" s="139">
        <f>BS!BY10</f>
        <v>2338.4322642603856</v>
      </c>
      <c r="CA60" s="136">
        <f>BW60</f>
        <v>2166.9440344054251</v>
      </c>
      <c r="CB60" s="135"/>
      <c r="CC60" s="137">
        <f>BS!CA10</f>
        <v>2404.855060962338</v>
      </c>
      <c r="CD60" s="138">
        <f>BS!CC10</f>
        <v>2390.4031734247496</v>
      </c>
      <c r="CE60" s="138">
        <f>BS!CD10</f>
        <v>2652.061601798287</v>
      </c>
      <c r="CF60" s="139">
        <f>BS!CE10</f>
        <v>2820.282895141755</v>
      </c>
      <c r="CG60" s="136">
        <f t="shared" ref="CG60" si="160">CC60</f>
        <v>2404.855060962338</v>
      </c>
      <c r="CH60" s="135"/>
      <c r="CI60" s="137">
        <f>BS!CG10</f>
        <v>2991.2987921003728</v>
      </c>
      <c r="CJ60" s="138">
        <f>BS!CI10</f>
        <v>3080.6067973896538</v>
      </c>
      <c r="CK60" s="138">
        <f>BS!CJ10</f>
        <v>3339.3178673697116</v>
      </c>
      <c r="CL60" s="139">
        <f>BS!CK10</f>
        <v>3492.2944046275666</v>
      </c>
      <c r="CM60" s="136">
        <f t="shared" ref="CM60" si="161">CI60</f>
        <v>2991.2987921003728</v>
      </c>
      <c r="CN60" s="135"/>
      <c r="CO60" s="137">
        <f>BS!CM10</f>
        <v>3642.9725390583094</v>
      </c>
      <c r="CP60" s="138">
        <f>BS!CO10</f>
        <v>3715.4191116706584</v>
      </c>
      <c r="CQ60" s="138">
        <f>BS!CP10</f>
        <v>4034.7043676207782</v>
      </c>
      <c r="CR60" s="139">
        <f>BS!CQ10</f>
        <v>4242.859037412718</v>
      </c>
      <c r="CS60" s="136">
        <f t="shared" ref="CS60" si="162">CO60</f>
        <v>3642.9725390583094</v>
      </c>
    </row>
    <row r="61" spans="1:97" ht="12.75" customHeight="1">
      <c r="A61" s="140" t="s">
        <v>35</v>
      </c>
      <c r="B61" s="4"/>
      <c r="C61" s="4"/>
      <c r="D61" s="4"/>
      <c r="E61" s="4"/>
      <c r="F61" s="4"/>
      <c r="G61" s="141"/>
      <c r="H61" s="4"/>
      <c r="I61" s="4"/>
      <c r="J61" s="4"/>
      <c r="K61" s="4"/>
      <c r="L61" s="4"/>
      <c r="M61" s="141"/>
      <c r="N61" s="4"/>
      <c r="O61" s="7"/>
      <c r="P61" s="7"/>
      <c r="Q61" s="7"/>
      <c r="R61" s="7"/>
      <c r="S61" s="141"/>
      <c r="T61" s="4"/>
      <c r="U61" s="7"/>
      <c r="V61" s="7"/>
      <c r="W61" s="7"/>
      <c r="X61" s="7"/>
      <c r="Y61" s="141"/>
      <c r="Z61" s="4"/>
      <c r="AA61" s="143">
        <f>AA60*AA62/4</f>
        <v>2.2357225000000001</v>
      </c>
      <c r="AB61" s="144">
        <f>AB60*AB62/4</f>
        <v>2.836595</v>
      </c>
      <c r="AC61" s="144">
        <f>AC60*AC62/4</f>
        <v>3.0847850000000001</v>
      </c>
      <c r="AD61" s="142">
        <f>AD60*AD62/4</f>
        <v>2.8304750000000003</v>
      </c>
      <c r="AE61" s="141">
        <f>SUM(AA61:AD61)</f>
        <v>10.9875775</v>
      </c>
      <c r="AF61" s="5"/>
      <c r="AG61" s="143">
        <f>AG60*AG62/4</f>
        <v>2.9739200000000001</v>
      </c>
      <c r="AH61" s="144">
        <f>AH60*AH62/4</f>
        <v>3.1659075000000003</v>
      </c>
      <c r="AI61" s="144">
        <f>AI60*AI62/4</f>
        <v>3.2542149999999999</v>
      </c>
      <c r="AJ61" s="142">
        <f>AJ60*AJ62/4</f>
        <v>3.082665</v>
      </c>
      <c r="AK61" s="141">
        <f>SUM(AG61:AJ61)</f>
        <v>12.476707500000002</v>
      </c>
      <c r="AL61" s="5"/>
      <c r="AM61" s="886">
        <v>1.9330000000000001</v>
      </c>
      <c r="AN61" s="887">
        <v>0.72199999999999998</v>
      </c>
      <c r="AO61" s="887">
        <v>1.2669999999999999</v>
      </c>
      <c r="AP61" s="887">
        <f>4.887-SUM(AM61:AO61)</f>
        <v>0.96499999999999941</v>
      </c>
      <c r="AQ61" s="141">
        <f>SUM(AM61:AP61)</f>
        <v>4.8869999999999996</v>
      </c>
      <c r="AR61" s="5"/>
      <c r="AS61" s="886">
        <v>0.95599999999999996</v>
      </c>
      <c r="AT61" s="7">
        <v>1.464</v>
      </c>
      <c r="AU61" s="7">
        <v>0.53400000000000003</v>
      </c>
      <c r="AV61" s="7">
        <f>3.901-SUM(AS61:AU61)</f>
        <v>0.94700000000000006</v>
      </c>
      <c r="AW61" s="141">
        <f>SUM(AS61:AV61)</f>
        <v>3.9009999999999998</v>
      </c>
      <c r="AX61" s="5"/>
      <c r="AY61" s="886">
        <v>1.6930000000000001</v>
      </c>
      <c r="AZ61" s="7">
        <v>1.3440000000000001</v>
      </c>
      <c r="BA61" s="2026">
        <v>2.7669999999999999</v>
      </c>
      <c r="BB61" s="7">
        <f>5.024-SUM(AY61:BA61)</f>
        <v>-0.78000000000000025</v>
      </c>
      <c r="BC61" s="141">
        <f>SUM(AY61:BB61)</f>
        <v>5.024</v>
      </c>
      <c r="BD61" s="5"/>
      <c r="BE61" s="2676">
        <v>1.224</v>
      </c>
      <c r="BF61" s="2643">
        <v>3.403</v>
      </c>
      <c r="BG61" s="2643">
        <v>2.056</v>
      </c>
      <c r="BH61" s="2643">
        <f>9.799-SUM(BE61:BG61)</f>
        <v>3.1159999999999997</v>
      </c>
      <c r="BI61" s="141">
        <f>SUM(BE61:BH61)</f>
        <v>9.7989999999999995</v>
      </c>
      <c r="BJ61" s="5"/>
      <c r="BK61" s="2676">
        <v>4</v>
      </c>
      <c r="BL61" s="2643">
        <v>5</v>
      </c>
      <c r="BM61" s="2643">
        <v>4</v>
      </c>
      <c r="BN61" s="2643">
        <f>19-SUM(BK61:BM61)</f>
        <v>6</v>
      </c>
      <c r="BO61" s="141">
        <f>SUM(BK61:BN61)</f>
        <v>19</v>
      </c>
      <c r="BP61" s="5"/>
      <c r="BQ61" s="143">
        <f>BQ60*BQ62/4</f>
        <v>5.3624999999999998</v>
      </c>
      <c r="BR61" s="144">
        <f>BR60*BR62/4</f>
        <v>4.8655567984869181</v>
      </c>
      <c r="BS61" s="144">
        <f>BS60*BS62/4</f>
        <v>5.1916297626311279</v>
      </c>
      <c r="BT61" s="144">
        <f>BT60*BT62/4</f>
        <v>5.3012950816822579</v>
      </c>
      <c r="BU61" s="141">
        <f>SUM(BQ61:BT61)</f>
        <v>20.720981642800304</v>
      </c>
      <c r="BV61" s="5"/>
      <c r="BW61" s="143">
        <f>BW60*BW62/4</f>
        <v>5.4173600860135629</v>
      </c>
      <c r="BX61" s="144">
        <f>BX60*BX62/4</f>
        <v>5.2739003342771928</v>
      </c>
      <c r="BY61" s="144">
        <f>BY60*BY62/4</f>
        <v>5.6787462524936085</v>
      </c>
      <c r="BZ61" s="144">
        <f>BZ60*BZ62/4</f>
        <v>5.8460806606509639</v>
      </c>
      <c r="CA61" s="141">
        <f>SUM(BW61:BZ61)</f>
        <v>22.216087333435325</v>
      </c>
      <c r="CB61" s="5"/>
      <c r="CC61" s="143">
        <f t="shared" ref="CC61:CF61" si="163">CC60*CC62/4</f>
        <v>6.012137652405845</v>
      </c>
      <c r="CD61" s="144">
        <f t="shared" si="163"/>
        <v>77.688103136304363</v>
      </c>
      <c r="CE61" s="144">
        <f t="shared" si="163"/>
        <v>86.192002058444331</v>
      </c>
      <c r="CF61" s="144">
        <f t="shared" si="163"/>
        <v>91.659194092107043</v>
      </c>
      <c r="CG61" s="141">
        <f t="shared" ref="CG61" si="164">SUM(CC61:CF61)</f>
        <v>261.55143693926158</v>
      </c>
      <c r="CH61" s="5"/>
      <c r="CI61" s="143">
        <f t="shared" ref="CI61:CL61" si="165">CI60*CI62/4</f>
        <v>97.217210743262115</v>
      </c>
      <c r="CJ61" s="144">
        <f t="shared" si="165"/>
        <v>15.40303398694827</v>
      </c>
      <c r="CK61" s="144">
        <f t="shared" si="165"/>
        <v>16.696589336848557</v>
      </c>
      <c r="CL61" s="144">
        <f t="shared" si="165"/>
        <v>17.461472023137834</v>
      </c>
      <c r="CM61" s="141">
        <f t="shared" ref="CM61" si="166">SUM(CI61:CL61)</f>
        <v>146.77830609019679</v>
      </c>
      <c r="CN61" s="5"/>
      <c r="CO61" s="143">
        <f t="shared" ref="CO61:CR61" si="167">CO60*CO62/4</f>
        <v>18.214862695291547</v>
      </c>
      <c r="CP61" s="144">
        <f t="shared" si="167"/>
        <v>18.577095558353292</v>
      </c>
      <c r="CQ61" s="144">
        <f t="shared" si="167"/>
        <v>20.173521838103891</v>
      </c>
      <c r="CR61" s="144">
        <f t="shared" si="167"/>
        <v>21.214295187063591</v>
      </c>
      <c r="CS61" s="141">
        <f t="shared" ref="CS61" si="168">SUM(CO61:CR61)</f>
        <v>78.179775278812315</v>
      </c>
    </row>
    <row r="62" spans="1:97" ht="12.75" customHeight="1">
      <c r="A62" s="145" t="s">
        <v>480</v>
      </c>
      <c r="B62" s="146"/>
      <c r="C62" s="4"/>
      <c r="D62" s="4"/>
      <c r="E62" s="4"/>
      <c r="F62" s="4"/>
      <c r="G62" s="149"/>
      <c r="H62" s="4"/>
      <c r="I62" s="4"/>
      <c r="J62" s="4"/>
      <c r="K62" s="4"/>
      <c r="L62" s="4"/>
      <c r="M62" s="149"/>
      <c r="N62" s="4"/>
      <c r="O62" s="153"/>
      <c r="P62" s="154"/>
      <c r="Q62" s="154"/>
      <c r="R62" s="155"/>
      <c r="S62" s="149"/>
      <c r="T62" s="4"/>
      <c r="U62" s="153"/>
      <c r="V62" s="154"/>
      <c r="W62" s="154"/>
      <c r="X62" s="153"/>
      <c r="Y62" s="149"/>
      <c r="Z62" s="4"/>
      <c r="AA62" s="917">
        <v>0.01</v>
      </c>
      <c r="AB62" s="160">
        <v>0.01</v>
      </c>
      <c r="AC62" s="160">
        <v>0.01</v>
      </c>
      <c r="AD62" s="161">
        <v>0.01</v>
      </c>
      <c r="AE62" s="149">
        <f>AE61/AE60</f>
        <v>1.2286383372712848E-2</v>
      </c>
      <c r="AF62" s="147"/>
      <c r="AG62" s="917">
        <v>0.01</v>
      </c>
      <c r="AH62" s="160">
        <v>0.01</v>
      </c>
      <c r="AI62" s="160">
        <v>0.01</v>
      </c>
      <c r="AJ62" s="161">
        <v>0.01</v>
      </c>
      <c r="AK62" s="149">
        <f>AK61/AK60</f>
        <v>1.0488435717840427E-2</v>
      </c>
      <c r="AL62" s="147"/>
      <c r="AM62" s="1581">
        <f>AM61/AM60/4</f>
        <v>3.5790887895458765E-4</v>
      </c>
      <c r="AN62" s="1582">
        <f>AN61/AN60/4</f>
        <v>1.6909140303708768E-4</v>
      </c>
      <c r="AO62" s="1582">
        <f>AO61/AO60/4</f>
        <v>2.8044300698650595E-4</v>
      </c>
      <c r="AP62" s="1582">
        <f>AP61/AP60/4</f>
        <v>2.3468104292741849E-4</v>
      </c>
      <c r="AQ62" s="149">
        <f>AQ61/AQ60</f>
        <v>3.6194530604264242E-3</v>
      </c>
      <c r="AR62" s="147"/>
      <c r="AS62" s="1581">
        <f>AS61/AS60/4</f>
        <v>2.0504408447816278E-4</v>
      </c>
      <c r="AT62" s="1582">
        <f>AT61/AT60/4</f>
        <v>3.3522561783180463E-4</v>
      </c>
      <c r="AU62" s="1582">
        <f>AU61/AU60/4</f>
        <v>1.210274002407856E-4</v>
      </c>
      <c r="AV62" s="1777">
        <f>AV61/AV60/4</f>
        <v>1.8620809531337627E-4</v>
      </c>
      <c r="AW62" s="149">
        <f>AW61/AW60</f>
        <v>3.3467655797042384E-3</v>
      </c>
      <c r="AX62" s="147"/>
      <c r="AY62" s="162">
        <f>AY61/AY60/4</f>
        <v>3.1624265618427174E-4</v>
      </c>
      <c r="AZ62" s="2346">
        <f>AZ61/AZ60/4</f>
        <v>2.4588562366766216E-4</v>
      </c>
      <c r="BA62" s="2346">
        <f>BA61/BA60/4</f>
        <v>4.579967187108956E-4</v>
      </c>
      <c r="BB62" s="2347">
        <f>BB61/BB60/4</f>
        <v>-1.3547254909316764E-4</v>
      </c>
      <c r="BC62" s="149">
        <f>BC61/BC60</f>
        <v>3.7538171403893239E-3</v>
      </c>
      <c r="BD62" s="147"/>
      <c r="BE62" s="162">
        <f>BE61/BE60/4</f>
        <v>2.2074418202016995E-4</v>
      </c>
      <c r="BF62" s="1582">
        <f>BF61/BF60/4</f>
        <v>6.3342645179928101E-4</v>
      </c>
      <c r="BG62" s="1582">
        <f>BG61/BG60/4</f>
        <v>3.6063696627132246E-4</v>
      </c>
      <c r="BH62" s="2473">
        <f>BH61/BH60/4</f>
        <v>5.0707364479849186E-4</v>
      </c>
      <c r="BI62" s="149">
        <f>BI61/BI60</f>
        <v>7.0688635281557031E-3</v>
      </c>
      <c r="BJ62" s="147"/>
      <c r="BK62" s="1581">
        <f>BK61/BK60/4</f>
        <v>6.4155039634983485E-4</v>
      </c>
      <c r="BL62" s="1582">
        <f>BL61/BL60/4</f>
        <v>7.0303712035995496E-4</v>
      </c>
      <c r="BM62" s="1582">
        <f>BM61/BM60/4</f>
        <v>5.2826201796090863E-4</v>
      </c>
      <c r="BN62" s="3029">
        <f>BN61/BN60/4</f>
        <v>7.3493385595296422E-4</v>
      </c>
      <c r="BO62" s="149">
        <f>BO61/BO60</f>
        <v>1.2189457530646862E-2</v>
      </c>
      <c r="BP62" s="147"/>
      <c r="BQ62" s="2732">
        <v>0.01</v>
      </c>
      <c r="BR62" s="148">
        <f>BQ62</f>
        <v>0.01</v>
      </c>
      <c r="BS62" s="148">
        <f>BR62</f>
        <v>0.01</v>
      </c>
      <c r="BT62" s="148">
        <f>BS62</f>
        <v>0.01</v>
      </c>
      <c r="BU62" s="149">
        <f>BU61/BU60</f>
        <v>9.6601313020048037E-3</v>
      </c>
      <c r="BV62" s="147"/>
      <c r="BW62" s="2732">
        <v>0.01</v>
      </c>
      <c r="BX62" s="148">
        <f t="shared" ref="BX62:BZ62" si="169">BW62</f>
        <v>0.01</v>
      </c>
      <c r="BY62" s="148">
        <f t="shared" si="169"/>
        <v>0.01</v>
      </c>
      <c r="BZ62" s="148">
        <f t="shared" si="169"/>
        <v>0.01</v>
      </c>
      <c r="CA62" s="149">
        <f t="shared" ref="CA62" si="170">CA61/CA60</f>
        <v>1.025226631638923E-2</v>
      </c>
      <c r="CB62" s="147"/>
      <c r="CC62" s="2732">
        <v>0.01</v>
      </c>
      <c r="CD62" s="148">
        <v>0.13</v>
      </c>
      <c r="CE62" s="148">
        <f t="shared" ref="CE62" si="171">CD62</f>
        <v>0.13</v>
      </c>
      <c r="CF62" s="148">
        <f t="shared" ref="CF62" si="172">CE62</f>
        <v>0.13</v>
      </c>
      <c r="CG62" s="149">
        <f t="shared" ref="CG62:CS62" si="173">CG61/CG60</f>
        <v>0.10875975071636872</v>
      </c>
      <c r="CH62" s="147"/>
      <c r="CI62" s="2732">
        <v>0.13</v>
      </c>
      <c r="CJ62" s="148">
        <v>0.02</v>
      </c>
      <c r="CK62" s="148">
        <f t="shared" ref="CK62" si="174">CJ62</f>
        <v>0.02</v>
      </c>
      <c r="CL62" s="148">
        <f t="shared" ref="CL62" si="175">CK62</f>
        <v>0.02</v>
      </c>
      <c r="CM62" s="149">
        <f t="shared" si="173"/>
        <v>4.9068420205236274E-2</v>
      </c>
      <c r="CN62" s="147"/>
      <c r="CO62" s="2732">
        <v>0.02</v>
      </c>
      <c r="CP62" s="148">
        <f t="shared" ref="CP62" si="176">CO62</f>
        <v>0.02</v>
      </c>
      <c r="CQ62" s="148">
        <f t="shared" ref="CQ62" si="177">CP62</f>
        <v>0.02</v>
      </c>
      <c r="CR62" s="148">
        <f t="shared" ref="CR62" si="178">CQ62</f>
        <v>0.02</v>
      </c>
      <c r="CS62" s="149">
        <f t="shared" si="173"/>
        <v>2.1460434971881891E-2</v>
      </c>
    </row>
  </sheetData>
  <phoneticPr fontId="6" type="noConversion"/>
  <pageMargins left="0.25" right="0.25" top="0.75" bottom="0.75" header="0.3" footer="0.3"/>
  <pageSetup scale="66" orientation="landscape" r:id="rId1"/>
  <headerFooter alignWithMargins="0"/>
  <ignoredErrors>
    <ignoredError sqref="AQ63:BC64 AR57:BC61 AR62:AX62 BI18:BK18 AZ62:BC62 BI75:BU119 BI62:BJ62 BI63:BU74 BI53:BJ55 BI52:BJ52 BI59:BK59 BI13:BJ17 BM13:BM17 BI26:BK45 BI19:BJ25 BM20:BM25 BI50:BK51 BI46:BJ49 BO46:BU49 BM53:BM55 BM52 BI56:BJ58 BI61:BJ61 BI60:BJ60 BM18 BM26:BM45 BM50:BM51 BO19:BU19 BO13:BU17 BO20:BU25 BO53:BU55 BO52:BP52 BO18:BU18 BO26:BU45 BO50:BU51" formula="1"/>
    <ignoredError sqref="AH57:AM61 AN57:AN61 AO58:AO61 AP59:AP61 AN56 AH56:AM56 A1:BH10 A43:AP54 A29:AJ42 AM40:AP42 A56:AG56 A55:AN55 AP55 AM29:AP39 BD29:BE29 A13:AP28 BD18:BH18 BD44:BH45 BD42:BH42 BD55 BD56 AP56 BD28:BE28 BD27 BG27:BH27 BD31:BE31 BD30 BG30:BH30 BD34:BH35 BD32 BG32:BH32 BD43 BF43:BH43 BD46:BD54 BF51:BH51 BF55:BH55 BF56:BH56 A12:BD12 BG12:BH12 BD13:BD16 BG13:BH16 BD26:BH26 BD20:BD24 BG20:BH24 A11:BE11 BD17 BG17:BH17 BD19:BE19 BD25 BG25:BH25 BG28:BH28 BG29:BH29 BG31:BH31 BD33:BE33 BG33:BH33 BD39:BE39 BD36:BE36 BG36:BH36 BD37:BE37 BG37:BH37 BD38:BE38 BG38:BH38 BG39:BH39 BD40:BE40 BG40:BH40 BD41:BE41 BG41:BH41 BF54:BH54 BG52:BH53 BF50 BH50" formulaRange="1"/>
    <ignoredError sqref="AO57 AQ62 AQ57:AQ61 AR56:BC56 AR29:BC39 AQ40:BC55 AQ13:BC28 AQ29:AQ39 AO55 AK29:AL42 AQ56 AO56 BM56:BM59 BO62 BO60:BU61 BO56:BU59" formula="1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rgb="FF0070C0"/>
    <pageSetUpPr fitToPage="1"/>
  </sheetPr>
  <dimension ref="A1:DX326"/>
  <sheetViews>
    <sheetView showGridLines="0" zoomScaleNormal="100" zoomScaleSheetLayoutView="100" workbookViewId="0">
      <pane xSplit="1" ySplit="7" topLeftCell="BI98" activePane="bottomRight" state="frozenSplit"/>
      <selection activeCell="B9" sqref="B9"/>
      <selection pane="topRight" activeCell="B9" sqref="B9"/>
      <selection pane="bottomLeft" activeCell="B9" sqref="B9"/>
      <selection pane="bottomRight" sqref="A1:XFD1048576"/>
    </sheetView>
  </sheetViews>
  <sheetFormatPr defaultColWidth="8.85546875" defaultRowHeight="12.75" outlineLevelRow="1" outlineLevelCol="1"/>
  <cols>
    <col min="1" max="1" width="34.28515625" customWidth="1"/>
    <col min="2" max="2" width="0.85546875" hidden="1" customWidth="1" outlineLevel="1"/>
    <col min="3" max="7" width="7.28515625" hidden="1" customWidth="1" outlineLevel="1"/>
    <col min="8" max="8" width="0.85546875" hidden="1" customWidth="1" outlineLevel="1"/>
    <col min="9" max="13" width="7.28515625" hidden="1" customWidth="1" outlineLevel="1"/>
    <col min="14" max="14" width="0.85546875" hidden="1" customWidth="1" outlineLevel="1"/>
    <col min="15" max="19" width="7.28515625" hidden="1" customWidth="1" outlineLevel="1"/>
    <col min="20" max="20" width="0.85546875" hidden="1" customWidth="1" outlineLevel="1"/>
    <col min="21" max="25" width="7.28515625" hidden="1" customWidth="1" outlineLevel="1"/>
    <col min="26" max="26" width="0.85546875" hidden="1" customWidth="1" outlineLevel="1"/>
    <col min="27" max="30" width="7.28515625" hidden="1" customWidth="1" outlineLevel="1"/>
    <col min="31" max="31" width="7.28515625" hidden="1" customWidth="1" outlineLevel="1" collapsed="1"/>
    <col min="32" max="32" width="0.85546875" hidden="1" customWidth="1" outlineLevel="1"/>
    <col min="33" max="36" width="7.28515625" hidden="1" customWidth="1" outlineLevel="1"/>
    <col min="37" max="37" width="7.28515625" customWidth="1" collapsed="1"/>
    <col min="38" max="38" width="0.85546875" customWidth="1"/>
    <col min="39" max="42" width="7.28515625" hidden="1" customWidth="1" outlineLevel="1"/>
    <col min="43" max="43" width="7.28515625" customWidth="1" collapsed="1"/>
    <col min="44" max="44" width="0.85546875" customWidth="1"/>
    <col min="45" max="48" width="7.28515625" hidden="1" customWidth="1" outlineLevel="1"/>
    <col min="49" max="49" width="7.28515625" customWidth="1" collapsed="1"/>
    <col min="50" max="50" width="0.85546875" customWidth="1"/>
    <col min="51" max="54" width="7.28515625" hidden="1" customWidth="1" outlineLevel="1"/>
    <col min="55" max="55" width="7.28515625" customWidth="1" collapsed="1"/>
    <col min="56" max="56" width="0.85546875" customWidth="1"/>
    <col min="57" max="60" width="7.28515625" customWidth="1" outlineLevel="1"/>
    <col min="61" max="61" width="7.28515625" customWidth="1"/>
    <col min="62" max="62" width="0.85546875" customWidth="1"/>
    <col min="63" max="66" width="7.28515625" customWidth="1" outlineLevel="1"/>
    <col min="67" max="67" width="7.28515625" customWidth="1"/>
    <col min="68" max="68" width="0.85546875" customWidth="1"/>
    <col min="69" max="72" width="7.28515625" customWidth="1" outlineLevel="1"/>
    <col min="73" max="73" width="7.28515625" customWidth="1"/>
    <col min="74" max="74" width="0.85546875" customWidth="1"/>
    <col min="75" max="78" width="7.28515625" customWidth="1" outlineLevel="1"/>
    <col min="79" max="79" width="7.28515625" customWidth="1"/>
    <col min="80" max="80" width="0.85546875" customWidth="1"/>
    <col min="81" max="84" width="7.28515625" hidden="1" customWidth="1" outlineLevel="1"/>
    <col min="85" max="85" width="7.28515625" customWidth="1" collapsed="1"/>
    <col min="86" max="86" width="0.85546875" customWidth="1"/>
    <col min="87" max="90" width="7.28515625" hidden="1" customWidth="1" outlineLevel="1"/>
    <col min="91" max="91" width="7.28515625" customWidth="1" collapsed="1"/>
    <col min="92" max="92" width="0.85546875" customWidth="1"/>
    <col min="93" max="96" width="7.28515625" hidden="1" customWidth="1" outlineLevel="1"/>
    <col min="97" max="97" width="7.28515625" customWidth="1" collapsed="1"/>
    <col min="98" max="101" width="7.28515625" customWidth="1"/>
    <col min="102" max="102" width="6.85546875" customWidth="1"/>
    <col min="103" max="105" width="7.28515625" customWidth="1"/>
    <col min="106" max="106" width="17.42578125" customWidth="1"/>
    <col min="107" max="107" width="7.28515625" customWidth="1"/>
    <col min="108" max="108" width="5.42578125" customWidth="1"/>
    <col min="109" max="110" width="7.28515625" customWidth="1"/>
    <col min="111" max="111" width="7.28515625" customWidth="1" collapsed="1"/>
    <col min="112" max="113" width="7.28515625" customWidth="1"/>
    <col min="114" max="129" width="6.7109375" customWidth="1"/>
  </cols>
  <sheetData>
    <row r="1" spans="1:128">
      <c r="A1" s="922" t="str">
        <f>IS!A2</f>
        <v>Illumina</v>
      </c>
      <c r="B1" s="23"/>
      <c r="C1" s="23"/>
      <c r="D1" s="23"/>
      <c r="E1" s="23"/>
      <c r="F1" s="23"/>
      <c r="G1" s="23"/>
      <c r="H1" s="23"/>
      <c r="I1" s="23"/>
      <c r="J1" s="23"/>
      <c r="K1" s="1969"/>
      <c r="L1" s="23"/>
      <c r="M1" s="23"/>
      <c r="N1" s="23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195"/>
      <c r="AX1" s="9"/>
      <c r="AY1" s="9"/>
      <c r="BI1" s="195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23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</row>
    <row r="2" spans="1:128">
      <c r="A2" s="2079" t="s">
        <v>618</v>
      </c>
      <c r="B2" s="186"/>
      <c r="C2" s="186"/>
      <c r="D2" s="23"/>
      <c r="E2" s="23"/>
      <c r="F2" s="23"/>
      <c r="G2" s="23"/>
      <c r="H2" s="23"/>
      <c r="I2" s="23"/>
      <c r="J2" s="23"/>
      <c r="K2" s="1969"/>
      <c r="L2" s="1970"/>
      <c r="M2" s="164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R2" s="23"/>
      <c r="AX2" s="23"/>
      <c r="BB2" s="1356"/>
      <c r="BF2" s="1356"/>
      <c r="BJ2" s="23"/>
      <c r="BP2" s="23"/>
      <c r="CX2" s="23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</row>
    <row r="3" spans="1:128">
      <c r="A3" s="1596" t="s">
        <v>129</v>
      </c>
      <c r="B3" s="60"/>
      <c r="C3" s="60"/>
      <c r="D3" s="946"/>
      <c r="E3" s="946"/>
      <c r="F3" s="946"/>
      <c r="G3" s="946"/>
      <c r="H3" s="946"/>
      <c r="I3" s="947"/>
      <c r="J3" s="947"/>
      <c r="K3" s="947"/>
      <c r="L3" s="947"/>
      <c r="M3" s="948"/>
      <c r="N3" s="946"/>
      <c r="O3" s="949"/>
      <c r="P3" s="949"/>
      <c r="Q3" s="949"/>
      <c r="R3" s="949"/>
      <c r="S3" s="949"/>
      <c r="T3" s="949"/>
      <c r="U3" s="949"/>
      <c r="V3" s="949"/>
      <c r="W3" s="949"/>
      <c r="X3" s="949"/>
      <c r="Y3" s="949"/>
      <c r="Z3" s="949"/>
      <c r="AA3" s="949"/>
      <c r="AB3" s="949"/>
      <c r="AC3" s="949"/>
      <c r="AD3" s="949"/>
      <c r="AE3" s="949"/>
      <c r="AF3" s="949"/>
      <c r="AG3" s="949"/>
      <c r="AH3" s="949"/>
      <c r="AI3" s="949"/>
      <c r="AJ3" s="949"/>
      <c r="AK3" s="949"/>
      <c r="AL3" s="949"/>
      <c r="AM3" s="949"/>
      <c r="AN3" s="949"/>
      <c r="AO3" s="949"/>
      <c r="AP3" s="949"/>
      <c r="AQ3" s="949"/>
      <c r="AR3" s="949"/>
      <c r="AS3" s="949"/>
      <c r="AT3" s="949"/>
      <c r="AU3" s="949"/>
      <c r="AV3" s="949"/>
      <c r="AW3" s="949"/>
      <c r="AX3" s="949"/>
      <c r="AY3" s="2041"/>
      <c r="AZ3" s="2041"/>
      <c r="BA3" s="2041"/>
      <c r="BB3" s="2041"/>
      <c r="BC3" s="949"/>
      <c r="BD3" s="949"/>
      <c r="BE3" s="949"/>
      <c r="BF3" s="949"/>
      <c r="BG3" s="949"/>
      <c r="BH3" s="949"/>
      <c r="BI3" s="2041"/>
      <c r="BJ3" s="949"/>
      <c r="BK3" s="949"/>
      <c r="BL3" s="949"/>
      <c r="BM3" s="949"/>
      <c r="BN3" s="949"/>
      <c r="BO3" s="949"/>
      <c r="BP3" s="949"/>
      <c r="BQ3" s="949"/>
      <c r="BR3" s="949"/>
      <c r="BS3" s="949"/>
      <c r="BT3" s="949"/>
      <c r="BU3" s="949"/>
      <c r="BV3" s="949"/>
      <c r="BW3" s="949"/>
      <c r="BX3" s="949"/>
      <c r="BY3" s="949"/>
      <c r="BZ3" s="949"/>
      <c r="CA3" s="949"/>
      <c r="CB3" s="949"/>
      <c r="CC3" s="949"/>
      <c r="CD3" s="949"/>
      <c r="CE3" s="949"/>
      <c r="CF3" s="949"/>
      <c r="CG3" s="949"/>
      <c r="CH3" s="949"/>
      <c r="CI3" s="949"/>
      <c r="CJ3" s="949"/>
      <c r="CK3" s="949"/>
      <c r="CL3" s="949"/>
      <c r="CM3" s="949"/>
      <c r="CN3" s="949"/>
      <c r="CO3" s="949"/>
      <c r="CP3" s="949"/>
      <c r="CQ3" s="949"/>
      <c r="CR3" s="949"/>
      <c r="CS3" s="949"/>
      <c r="CT3" s="952"/>
      <c r="CU3" s="952"/>
      <c r="CV3" s="952"/>
      <c r="CW3" s="952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</row>
    <row r="4" spans="1:128">
      <c r="A4" s="184" t="s">
        <v>130</v>
      </c>
      <c r="B4" s="60"/>
      <c r="C4" s="60"/>
      <c r="D4" s="60"/>
      <c r="E4" s="60"/>
      <c r="F4" s="60"/>
      <c r="G4" s="60"/>
      <c r="H4" s="60"/>
      <c r="I4" s="950"/>
      <c r="J4" s="950"/>
      <c r="K4" s="950"/>
      <c r="L4" s="950"/>
      <c r="M4" s="951"/>
      <c r="N4" s="60"/>
      <c r="O4" s="950"/>
      <c r="P4" s="950"/>
      <c r="Q4" s="950"/>
      <c r="R4" s="950"/>
      <c r="S4" s="952"/>
      <c r="T4" s="60"/>
      <c r="U4" s="950"/>
      <c r="V4" s="950"/>
      <c r="W4" s="950"/>
      <c r="X4" s="950"/>
      <c r="Y4" s="950"/>
      <c r="Z4" s="60"/>
      <c r="AA4" s="950"/>
      <c r="AB4" s="950"/>
      <c r="AC4" s="950"/>
      <c r="AD4" s="950"/>
      <c r="AE4" s="952"/>
      <c r="AF4" s="60"/>
      <c r="AG4" s="950"/>
      <c r="AH4" s="950"/>
      <c r="AI4" s="950"/>
      <c r="AJ4" s="950"/>
      <c r="AK4" s="952"/>
      <c r="AL4" s="60"/>
      <c r="AM4" s="60"/>
      <c r="AN4" s="60"/>
      <c r="AO4" s="60"/>
      <c r="AP4" s="60"/>
      <c r="AQ4" s="60"/>
      <c r="AR4" s="60"/>
      <c r="AS4" s="1703"/>
      <c r="AT4" s="1703"/>
      <c r="AU4" s="1703"/>
      <c r="AV4" s="1703"/>
      <c r="AW4" s="1703"/>
      <c r="AX4" s="4"/>
      <c r="AY4" s="1703"/>
      <c r="AZ4" s="1703"/>
      <c r="BA4" s="1703"/>
      <c r="BB4" s="1703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</row>
    <row r="5" spans="1:128" hidden="1" outlineLevel="1">
      <c r="A5" s="185"/>
      <c r="B5" s="953"/>
      <c r="C5" s="166" t="s">
        <v>131</v>
      </c>
      <c r="D5" s="166" t="s">
        <v>132</v>
      </c>
      <c r="E5" s="166" t="s">
        <v>133</v>
      </c>
      <c r="F5" s="166" t="s">
        <v>134</v>
      </c>
      <c r="G5" s="167" t="s">
        <v>135</v>
      </c>
      <c r="H5" s="61"/>
      <c r="I5" s="168" t="s">
        <v>136</v>
      </c>
      <c r="J5" s="168" t="s">
        <v>137</v>
      </c>
      <c r="K5" s="168" t="s">
        <v>138</v>
      </c>
      <c r="L5" s="168" t="s">
        <v>139</v>
      </c>
      <c r="M5" s="167" t="s">
        <v>140</v>
      </c>
      <c r="N5" s="61"/>
      <c r="O5" s="167" t="s">
        <v>141</v>
      </c>
      <c r="P5" s="167" t="s">
        <v>142</v>
      </c>
      <c r="Q5" s="167" t="s">
        <v>143</v>
      </c>
      <c r="R5" s="167" t="s">
        <v>144</v>
      </c>
      <c r="S5" s="167" t="s">
        <v>145</v>
      </c>
      <c r="T5" s="61"/>
      <c r="U5" s="167" t="s">
        <v>146</v>
      </c>
      <c r="V5" s="167" t="s">
        <v>147</v>
      </c>
      <c r="W5" s="167" t="s">
        <v>148</v>
      </c>
      <c r="X5" s="167" t="s">
        <v>149</v>
      </c>
      <c r="Y5" s="167" t="s">
        <v>150</v>
      </c>
      <c r="Z5" s="61"/>
      <c r="AA5" s="167" t="s">
        <v>151</v>
      </c>
      <c r="AB5" s="167" t="s">
        <v>152</v>
      </c>
      <c r="AC5" s="167" t="s">
        <v>153</v>
      </c>
      <c r="AD5" s="167" t="s">
        <v>154</v>
      </c>
      <c r="AE5" s="167" t="s">
        <v>155</v>
      </c>
      <c r="AF5" s="61"/>
      <c r="AG5" s="167" t="s">
        <v>156</v>
      </c>
      <c r="AH5" s="167" t="s">
        <v>157</v>
      </c>
      <c r="AI5" s="167" t="s">
        <v>158</v>
      </c>
      <c r="AJ5" s="167" t="s">
        <v>159</v>
      </c>
      <c r="AK5" s="167" t="s">
        <v>160</v>
      </c>
      <c r="AL5" s="61"/>
      <c r="AM5" s="167" t="s">
        <v>161</v>
      </c>
      <c r="AN5" s="167" t="s">
        <v>162</v>
      </c>
      <c r="AO5" s="167" t="s">
        <v>163</v>
      </c>
      <c r="AP5" s="167" t="s">
        <v>164</v>
      </c>
      <c r="AQ5" s="167" t="s">
        <v>165</v>
      </c>
      <c r="AR5" s="61"/>
      <c r="AS5" s="167" t="s">
        <v>166</v>
      </c>
      <c r="AT5" s="167" t="s">
        <v>167</v>
      </c>
      <c r="AU5" s="167" t="s">
        <v>168</v>
      </c>
      <c r="AV5" s="1675" t="s">
        <v>169</v>
      </c>
      <c r="AW5" s="1675" t="s">
        <v>170</v>
      </c>
      <c r="AX5" s="1391"/>
      <c r="AY5" s="1675" t="s">
        <v>30</v>
      </c>
      <c r="AZ5" s="1675" t="s">
        <v>31</v>
      </c>
      <c r="BA5" s="1675" t="s">
        <v>32</v>
      </c>
      <c r="BB5" s="1675" t="s">
        <v>33</v>
      </c>
      <c r="BC5" s="1675" t="s">
        <v>34</v>
      </c>
      <c r="BD5" s="1391"/>
      <c r="BE5" s="1675" t="s">
        <v>467</v>
      </c>
      <c r="BF5" s="1675" t="s">
        <v>468</v>
      </c>
      <c r="BG5" s="1675" t="s">
        <v>469</v>
      </c>
      <c r="BH5" s="1675" t="s">
        <v>470</v>
      </c>
      <c r="BI5" s="1675" t="s">
        <v>471</v>
      </c>
      <c r="BJ5" s="1391"/>
      <c r="BK5" s="1675" t="s">
        <v>472</v>
      </c>
      <c r="BL5" s="1675" t="s">
        <v>473</v>
      </c>
      <c r="BM5" s="1675" t="s">
        <v>474</v>
      </c>
      <c r="BN5" s="1675" t="s">
        <v>475</v>
      </c>
      <c r="BO5" s="1675" t="s">
        <v>476</v>
      </c>
      <c r="BP5" s="1391"/>
      <c r="BQ5" s="1675" t="s">
        <v>455</v>
      </c>
      <c r="BR5" s="1675" t="s">
        <v>456</v>
      </c>
      <c r="BS5" s="1675" t="s">
        <v>457</v>
      </c>
      <c r="BT5" s="1675" t="s">
        <v>458</v>
      </c>
      <c r="BU5" s="1675" t="s">
        <v>459</v>
      </c>
      <c r="BV5" s="1391"/>
      <c r="BW5" s="71" t="s">
        <v>737</v>
      </c>
      <c r="BX5" s="71" t="s">
        <v>738</v>
      </c>
      <c r="BY5" s="71" t="s">
        <v>739</v>
      </c>
      <c r="BZ5" s="71" t="s">
        <v>740</v>
      </c>
      <c r="CA5" s="71" t="s">
        <v>741</v>
      </c>
      <c r="CB5" s="123"/>
      <c r="CC5" s="71" t="s">
        <v>742</v>
      </c>
      <c r="CD5" s="71" t="s">
        <v>743</v>
      </c>
      <c r="CE5" s="71" t="s">
        <v>744</v>
      </c>
      <c r="CF5" s="71" t="s">
        <v>745</v>
      </c>
      <c r="CG5" s="71" t="s">
        <v>746</v>
      </c>
      <c r="CH5" s="123"/>
      <c r="CI5" s="71" t="s">
        <v>742</v>
      </c>
      <c r="CJ5" s="71" t="s">
        <v>743</v>
      </c>
      <c r="CK5" s="71" t="s">
        <v>744</v>
      </c>
      <c r="CL5" s="71" t="s">
        <v>745</v>
      </c>
      <c r="CM5" s="71" t="s">
        <v>746</v>
      </c>
      <c r="CN5" s="123"/>
      <c r="CO5" s="71" t="s">
        <v>742</v>
      </c>
      <c r="CP5" s="71" t="s">
        <v>743</v>
      </c>
      <c r="CQ5" s="71" t="s">
        <v>744</v>
      </c>
      <c r="CR5" s="71" t="s">
        <v>745</v>
      </c>
      <c r="CS5" s="71" t="s">
        <v>746</v>
      </c>
      <c r="CT5" s="1675"/>
      <c r="CU5" s="1675"/>
      <c r="CV5" s="1675"/>
      <c r="CW5" s="1675"/>
      <c r="CX5" s="181"/>
      <c r="CY5" s="68"/>
      <c r="CZ5" s="68"/>
      <c r="DA5" s="68"/>
      <c r="DB5" s="68"/>
      <c r="DC5" s="68"/>
      <c r="DD5" s="68"/>
      <c r="DE5" s="68"/>
      <c r="DF5" s="68"/>
      <c r="DG5" s="68"/>
      <c r="DH5" s="68"/>
      <c r="DI5" s="68"/>
      <c r="DJ5" s="68"/>
      <c r="DK5" s="68"/>
      <c r="DL5" s="68"/>
      <c r="DM5" s="68"/>
      <c r="DN5" s="68"/>
      <c r="DO5" s="68"/>
      <c r="DP5" s="68"/>
      <c r="DQ5" s="68"/>
      <c r="DR5" s="68"/>
      <c r="DS5" s="68"/>
      <c r="DT5" s="68"/>
      <c r="DU5" s="68"/>
      <c r="DV5" s="68"/>
      <c r="DW5" s="68"/>
      <c r="DX5" s="68"/>
    </row>
    <row r="6" spans="1:128" collapsed="1">
      <c r="A6" s="165"/>
      <c r="B6" s="954"/>
      <c r="C6" s="955">
        <v>2007</v>
      </c>
      <c r="D6" s="956"/>
      <c r="E6" s="956"/>
      <c r="F6" s="956"/>
      <c r="G6" s="957">
        <v>2007</v>
      </c>
      <c r="H6" s="169"/>
      <c r="I6" s="955">
        <f>C6+1</f>
        <v>2008</v>
      </c>
      <c r="J6" s="956"/>
      <c r="K6" s="956"/>
      <c r="L6" s="958"/>
      <c r="M6" s="957">
        <f>G6+1</f>
        <v>2008</v>
      </c>
      <c r="N6" s="959"/>
      <c r="O6" s="955">
        <f>I6+1</f>
        <v>2009</v>
      </c>
      <c r="P6" s="956"/>
      <c r="Q6" s="956"/>
      <c r="R6" s="958"/>
      <c r="S6" s="957">
        <f>M6+1</f>
        <v>2009</v>
      </c>
      <c r="T6" s="959"/>
      <c r="U6" s="955">
        <f>O6+1</f>
        <v>2010</v>
      </c>
      <c r="V6" s="956"/>
      <c r="W6" s="956"/>
      <c r="X6" s="956"/>
      <c r="Y6" s="957">
        <f>S6+1</f>
        <v>2010</v>
      </c>
      <c r="Z6" s="959"/>
      <c r="AA6" s="955">
        <f>U6+1</f>
        <v>2011</v>
      </c>
      <c r="AB6" s="956"/>
      <c r="AC6" s="956"/>
      <c r="AD6" s="958"/>
      <c r="AE6" s="957">
        <f>Y6+1</f>
        <v>2011</v>
      </c>
      <c r="AF6" s="959"/>
      <c r="AG6" s="955">
        <f>AA6+1</f>
        <v>2012</v>
      </c>
      <c r="AH6" s="956"/>
      <c r="AI6" s="956"/>
      <c r="AJ6" s="956"/>
      <c r="AK6" s="957">
        <f>AE6+1</f>
        <v>2012</v>
      </c>
      <c r="AL6" s="959"/>
      <c r="AM6" s="955">
        <f>AG6+1</f>
        <v>2013</v>
      </c>
      <c r="AN6" s="956"/>
      <c r="AO6" s="956"/>
      <c r="AP6" s="956"/>
      <c r="AQ6" s="957">
        <f>AK6+1</f>
        <v>2013</v>
      </c>
      <c r="AR6" s="959"/>
      <c r="AS6" s="955">
        <f>AM6+1</f>
        <v>2014</v>
      </c>
      <c r="AT6" s="956"/>
      <c r="AU6" s="956"/>
      <c r="AV6" s="956"/>
      <c r="AW6" s="957">
        <f>AQ6+1</f>
        <v>2014</v>
      </c>
      <c r="AX6" s="170"/>
      <c r="AY6" s="955">
        <f>AS6+1</f>
        <v>2015</v>
      </c>
      <c r="AZ6" s="956"/>
      <c r="BA6" s="956"/>
      <c r="BB6" s="956"/>
      <c r="BC6" s="957">
        <f>AW6+1</f>
        <v>2015</v>
      </c>
      <c r="BD6" s="170"/>
      <c r="BE6" s="955">
        <f>AY6+1</f>
        <v>2016</v>
      </c>
      <c r="BF6" s="956"/>
      <c r="BG6" s="956"/>
      <c r="BH6" s="956"/>
      <c r="BI6" s="957">
        <f>BC6+1</f>
        <v>2016</v>
      </c>
      <c r="BJ6" s="170"/>
      <c r="BK6" s="171">
        <f>BE6+1</f>
        <v>2017</v>
      </c>
      <c r="BL6" s="159"/>
      <c r="BM6" s="159"/>
      <c r="BN6" s="159"/>
      <c r="BO6" s="130">
        <f>BI6+1</f>
        <v>2017</v>
      </c>
      <c r="BP6" s="170"/>
      <c r="BQ6" s="171">
        <f>BK6+1</f>
        <v>2018</v>
      </c>
      <c r="BR6" s="159"/>
      <c r="BS6" s="159"/>
      <c r="BT6" s="159"/>
      <c r="BU6" s="130">
        <f>BO6+1</f>
        <v>2018</v>
      </c>
      <c r="BV6" s="170"/>
      <c r="BW6" s="171">
        <f>BQ6+1</f>
        <v>2019</v>
      </c>
      <c r="BX6" s="159"/>
      <c r="BY6" s="159"/>
      <c r="BZ6" s="159"/>
      <c r="CA6" s="130">
        <f>BU6+1</f>
        <v>2019</v>
      </c>
      <c r="CB6" s="170"/>
      <c r="CC6" s="171">
        <f>BW6+1</f>
        <v>2020</v>
      </c>
      <c r="CD6" s="159"/>
      <c r="CE6" s="159"/>
      <c r="CF6" s="159"/>
      <c r="CG6" s="130">
        <f>CA6+1</f>
        <v>2020</v>
      </c>
      <c r="CH6" s="170"/>
      <c r="CI6" s="171">
        <f>CC6+1</f>
        <v>2021</v>
      </c>
      <c r="CJ6" s="159"/>
      <c r="CK6" s="159"/>
      <c r="CL6" s="159"/>
      <c r="CM6" s="130">
        <f>CG6+1</f>
        <v>2021</v>
      </c>
      <c r="CN6" s="170"/>
      <c r="CO6" s="171">
        <f>CI6+1</f>
        <v>2022</v>
      </c>
      <c r="CP6" s="159"/>
      <c r="CQ6" s="159"/>
      <c r="CR6" s="159"/>
      <c r="CS6" s="130">
        <f>CM6+1</f>
        <v>2022</v>
      </c>
      <c r="CT6" s="2385"/>
      <c r="CU6" s="2385"/>
      <c r="CV6" s="2385"/>
      <c r="CW6" s="2385"/>
      <c r="CX6" s="181"/>
      <c r="CY6" s="68"/>
      <c r="CZ6" s="68"/>
      <c r="DA6" s="68"/>
      <c r="DB6" s="68"/>
      <c r="DC6" s="68"/>
      <c r="DD6" s="68"/>
      <c r="DE6" s="68"/>
      <c r="DF6" s="68"/>
      <c r="DG6" s="68"/>
      <c r="DH6" s="68"/>
      <c r="DI6" s="68"/>
      <c r="DJ6" s="68"/>
      <c r="DK6" s="68"/>
      <c r="DL6" s="68"/>
      <c r="DM6" s="68"/>
      <c r="DN6" s="68"/>
      <c r="DO6" s="68"/>
      <c r="DP6" s="68"/>
      <c r="DQ6" s="68"/>
      <c r="DR6" s="68"/>
      <c r="DS6" s="68"/>
      <c r="DT6" s="68"/>
      <c r="DU6" s="68"/>
      <c r="DV6" s="68"/>
      <c r="DW6" s="68"/>
      <c r="DX6" s="68"/>
    </row>
    <row r="7" spans="1:128" ht="13.5" thickBot="1">
      <c r="A7" s="180"/>
      <c r="B7" s="962"/>
      <c r="C7" s="963">
        <v>39172</v>
      </c>
      <c r="D7" s="964">
        <f>C7+FLOOR(365/4,1)</f>
        <v>39263</v>
      </c>
      <c r="E7" s="964">
        <f>D7+FLOOR(365/4,1)+1</f>
        <v>39355</v>
      </c>
      <c r="F7" s="964">
        <f>E7+FLOOR(365/4,1)+1</f>
        <v>39447</v>
      </c>
      <c r="G7" s="965"/>
      <c r="H7" s="175"/>
      <c r="I7" s="963">
        <f>C7+366</f>
        <v>39538</v>
      </c>
      <c r="J7" s="964">
        <f>I7+FLOOR(365/4,1)</f>
        <v>39629</v>
      </c>
      <c r="K7" s="964">
        <f>J7+FLOOR(365/4,1)+1</f>
        <v>39721</v>
      </c>
      <c r="L7" s="966">
        <f>K7+FLOOR(365/4,1)+1</f>
        <v>39813</v>
      </c>
      <c r="M7" s="965"/>
      <c r="N7" s="967"/>
      <c r="O7" s="963">
        <f>I7+365</f>
        <v>39903</v>
      </c>
      <c r="P7" s="964">
        <f>O7+FLOOR(365/4,1)</f>
        <v>39994</v>
      </c>
      <c r="Q7" s="964">
        <f>P7+FLOOR(365/4,1)+1</f>
        <v>40086</v>
      </c>
      <c r="R7" s="966">
        <f>Q7+FLOOR(365/4,1)+1</f>
        <v>40178</v>
      </c>
      <c r="S7" s="965"/>
      <c r="T7" s="967"/>
      <c r="U7" s="963">
        <f>O7+365</f>
        <v>40268</v>
      </c>
      <c r="V7" s="964">
        <f>U7+FLOOR(365/4,1)</f>
        <v>40359</v>
      </c>
      <c r="W7" s="964">
        <f>V7+FLOOR(365/4,1)+1</f>
        <v>40451</v>
      </c>
      <c r="X7" s="964">
        <f>W7+FLOOR(365/4,1)+1</f>
        <v>40543</v>
      </c>
      <c r="Y7" s="965"/>
      <c r="Z7" s="967"/>
      <c r="AA7" s="963">
        <f>U7+365</f>
        <v>40633</v>
      </c>
      <c r="AB7" s="964">
        <f>AA7+FLOOR(365/4,1)</f>
        <v>40724</v>
      </c>
      <c r="AC7" s="964">
        <f>AB7+FLOOR(365/4,1)+1</f>
        <v>40816</v>
      </c>
      <c r="AD7" s="966">
        <f>AC7+FLOOR(365/4,1)+1</f>
        <v>40908</v>
      </c>
      <c r="AE7" s="965"/>
      <c r="AF7" s="967"/>
      <c r="AG7" s="963">
        <f>AA7+366</f>
        <v>40999</v>
      </c>
      <c r="AH7" s="964">
        <f>AG7+FLOOR(365/4,1)</f>
        <v>41090</v>
      </c>
      <c r="AI7" s="964">
        <f>AH7+FLOOR(365/4,1)+1</f>
        <v>41182</v>
      </c>
      <c r="AJ7" s="964">
        <f>AI7+FLOOR(365/4,1)+1</f>
        <v>41274</v>
      </c>
      <c r="AK7" s="965"/>
      <c r="AL7" s="967"/>
      <c r="AM7" s="963">
        <f>AG7+365</f>
        <v>41364</v>
      </c>
      <c r="AN7" s="964">
        <f>AM7+FLOOR(365/4,1)</f>
        <v>41455</v>
      </c>
      <c r="AO7" s="964">
        <f>AN7+FLOOR(365/4,1)+1</f>
        <v>41547</v>
      </c>
      <c r="AP7" s="964">
        <f>AO7+FLOOR(365/4,1)+1</f>
        <v>41639</v>
      </c>
      <c r="AQ7" s="965"/>
      <c r="AR7" s="967"/>
      <c r="AS7" s="963">
        <f>AM7+365</f>
        <v>41729</v>
      </c>
      <c r="AT7" s="964">
        <f>AS7+FLOOR(365/4,1)</f>
        <v>41820</v>
      </c>
      <c r="AU7" s="964">
        <f>AT7+FLOOR(365/4,1)+1</f>
        <v>41912</v>
      </c>
      <c r="AV7" s="964">
        <f>AU7+FLOOR(365/4,1)+1</f>
        <v>42004</v>
      </c>
      <c r="AW7" s="965"/>
      <c r="AX7" s="176"/>
      <c r="AY7" s="963">
        <f>AS7+365</f>
        <v>42094</v>
      </c>
      <c r="AZ7" s="964">
        <f>AY7+FLOOR(365/4,1)</f>
        <v>42185</v>
      </c>
      <c r="BA7" s="964">
        <f>AZ7+FLOOR(365/4,1)+1</f>
        <v>42277</v>
      </c>
      <c r="BB7" s="964">
        <f>BA7+FLOOR(365/4,1)+1</f>
        <v>42369</v>
      </c>
      <c r="BC7" s="174"/>
      <c r="BD7" s="176"/>
      <c r="BE7" s="963">
        <f>AY7+365+1</f>
        <v>42460</v>
      </c>
      <c r="BF7" s="964">
        <f>BE7+FLOOR(365/4,1)</f>
        <v>42551</v>
      </c>
      <c r="BG7" s="964">
        <f>BF7+FLOOR(365/4,1)+1</f>
        <v>42643</v>
      </c>
      <c r="BH7" s="964">
        <f>BG7+FLOOR(365/4,1)+1</f>
        <v>42735</v>
      </c>
      <c r="BI7" s="174"/>
      <c r="BJ7" s="176"/>
      <c r="BK7" s="963">
        <f>BE7+365</f>
        <v>42825</v>
      </c>
      <c r="BL7" s="964">
        <f>BK7+FLOOR(365/4,1)</f>
        <v>42916</v>
      </c>
      <c r="BM7" s="964">
        <f>BL7+FLOOR(365/4,1)+1</f>
        <v>43008</v>
      </c>
      <c r="BN7" s="177">
        <f>BM7+FLOOR(365/4,1)+1</f>
        <v>43100</v>
      </c>
      <c r="BO7" s="174"/>
      <c r="BP7" s="176"/>
      <c r="BQ7" s="178">
        <f>BK7+365</f>
        <v>43190</v>
      </c>
      <c r="BR7" s="177">
        <f>BQ7+FLOOR(365/4,1)</f>
        <v>43281</v>
      </c>
      <c r="BS7" s="177">
        <f>BR7+FLOOR(365/4,1)+1</f>
        <v>43373</v>
      </c>
      <c r="BT7" s="177">
        <f>BS7+FLOOR(365/4,1)+1</f>
        <v>43465</v>
      </c>
      <c r="BU7" s="174"/>
      <c r="BV7" s="176"/>
      <c r="BW7" s="178">
        <f>BQ7+365</f>
        <v>43555</v>
      </c>
      <c r="BX7" s="177">
        <f>BW7+FLOOR(365/4,1)</f>
        <v>43646</v>
      </c>
      <c r="BY7" s="177">
        <f>BX7+FLOOR(365/4,1)+1</f>
        <v>43738</v>
      </c>
      <c r="BZ7" s="177">
        <f>BY7+FLOOR(365/4,1)+1</f>
        <v>43830</v>
      </c>
      <c r="CA7" s="174"/>
      <c r="CB7" s="176"/>
      <c r="CC7" s="178">
        <f>BW7+365</f>
        <v>43920</v>
      </c>
      <c r="CD7" s="177">
        <f>CC7+FLOOR(365/4,1)</f>
        <v>44011</v>
      </c>
      <c r="CE7" s="177">
        <f>CD7+FLOOR(365/4,1)+1</f>
        <v>44103</v>
      </c>
      <c r="CF7" s="177">
        <f>CE7+FLOOR(365/4,1)+1</f>
        <v>44195</v>
      </c>
      <c r="CG7" s="174"/>
      <c r="CH7" s="176"/>
      <c r="CI7" s="178">
        <f>CC7+365</f>
        <v>44285</v>
      </c>
      <c r="CJ7" s="177">
        <f>CI7+FLOOR(365/4,1)</f>
        <v>44376</v>
      </c>
      <c r="CK7" s="177">
        <f>CJ7+FLOOR(365/4,1)+1</f>
        <v>44468</v>
      </c>
      <c r="CL7" s="177">
        <f>CK7+FLOOR(365/4,1)+1</f>
        <v>44560</v>
      </c>
      <c r="CM7" s="174"/>
      <c r="CN7" s="176"/>
      <c r="CO7" s="178">
        <f>CI7+365</f>
        <v>44650</v>
      </c>
      <c r="CP7" s="177">
        <f>CO7+FLOOR(365/4,1)</f>
        <v>44741</v>
      </c>
      <c r="CQ7" s="177">
        <f>CP7+FLOOR(365/4,1)+1</f>
        <v>44833</v>
      </c>
      <c r="CR7" s="177">
        <f>CQ7+FLOOR(365/4,1)+1</f>
        <v>44925</v>
      </c>
      <c r="CS7" s="174"/>
      <c r="CT7" s="2386"/>
      <c r="CU7" s="2386"/>
      <c r="CV7" s="2386"/>
      <c r="CW7" s="2386"/>
      <c r="CX7" s="181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</row>
    <row r="8" spans="1:128" ht="13.5" customHeight="1">
      <c r="A8" s="1958" t="s">
        <v>568</v>
      </c>
      <c r="B8" s="972"/>
      <c r="C8" s="973"/>
      <c r="D8" s="972"/>
      <c r="E8" s="972"/>
      <c r="F8" s="972"/>
      <c r="G8" s="974"/>
      <c r="H8" s="972"/>
      <c r="I8" s="973"/>
      <c r="J8" s="972"/>
      <c r="K8" s="972"/>
      <c r="L8" s="972"/>
      <c r="M8" s="974"/>
      <c r="N8" s="972"/>
      <c r="O8" s="973"/>
      <c r="P8" s="972"/>
      <c r="Q8" s="972"/>
      <c r="R8" s="972"/>
      <c r="S8" s="974"/>
      <c r="T8" s="972"/>
      <c r="U8" s="973"/>
      <c r="V8" s="972"/>
      <c r="W8" s="972"/>
      <c r="X8" s="972"/>
      <c r="Y8" s="974"/>
      <c r="Z8" s="972"/>
      <c r="AA8" s="973"/>
      <c r="AB8" s="972"/>
      <c r="AC8" s="972"/>
      <c r="AD8" s="972"/>
      <c r="AE8" s="974"/>
      <c r="AF8" s="972"/>
      <c r="AG8" s="973"/>
      <c r="AH8" s="972"/>
      <c r="AI8" s="972"/>
      <c r="AJ8" s="975"/>
      <c r="AK8" s="1026"/>
      <c r="AL8" s="972"/>
      <c r="AM8" s="973"/>
      <c r="AN8" s="1352"/>
      <c r="AO8" s="1352"/>
      <c r="AP8" s="1349"/>
      <c r="AQ8" s="974"/>
      <c r="AR8" s="972"/>
      <c r="AS8" s="1539"/>
      <c r="AT8" s="1540"/>
      <c r="AU8" s="1540"/>
      <c r="AV8" s="1415"/>
      <c r="AW8" s="1417"/>
      <c r="AX8" s="1415"/>
      <c r="AY8" s="1416"/>
      <c r="AZ8" s="1415"/>
      <c r="BA8" s="1415"/>
      <c r="BB8" s="1415"/>
      <c r="BC8" s="1417"/>
      <c r="BD8" s="1415"/>
      <c r="BE8" s="1416"/>
      <c r="BF8" s="1415"/>
      <c r="BG8" s="1415"/>
      <c r="BH8" s="1415"/>
      <c r="BI8" s="1417"/>
      <c r="BJ8" s="1415"/>
      <c r="BK8" s="1416"/>
      <c r="BL8" s="1415"/>
      <c r="BM8" s="1415"/>
      <c r="BN8" s="1415"/>
      <c r="BO8" s="1417"/>
      <c r="BP8" s="1415"/>
      <c r="BQ8" s="1416"/>
      <c r="BR8" s="1415"/>
      <c r="BS8" s="1415"/>
      <c r="BT8" s="1415"/>
      <c r="BU8" s="1417"/>
      <c r="BV8" s="1415"/>
      <c r="BW8" s="1416"/>
      <c r="BX8" s="1415"/>
      <c r="BY8" s="1415"/>
      <c r="BZ8" s="1415"/>
      <c r="CA8" s="1417"/>
      <c r="CB8" s="1415"/>
      <c r="CC8" s="1416"/>
      <c r="CD8" s="1415"/>
      <c r="CE8" s="1415"/>
      <c r="CF8" s="1415"/>
      <c r="CG8" s="1417"/>
      <c r="CH8" s="1415"/>
      <c r="CI8" s="1416"/>
      <c r="CJ8" s="1415"/>
      <c r="CK8" s="1415"/>
      <c r="CL8" s="1415"/>
      <c r="CM8" s="1417"/>
      <c r="CN8" s="1415"/>
      <c r="CO8" s="1416"/>
      <c r="CP8" s="1415"/>
      <c r="CQ8" s="1415"/>
      <c r="CR8" s="1415"/>
      <c r="CS8" s="1417"/>
      <c r="CT8" s="2387"/>
      <c r="CU8" s="2387"/>
      <c r="CV8" s="2387"/>
      <c r="CW8" s="2387"/>
      <c r="CX8" s="815"/>
      <c r="CY8" s="68"/>
      <c r="CZ8" s="68"/>
      <c r="DA8" s="68"/>
      <c r="DB8" s="68"/>
      <c r="DC8" s="68"/>
      <c r="DD8" s="68"/>
      <c r="DE8" s="68"/>
      <c r="DF8" s="68"/>
      <c r="DG8" s="68"/>
      <c r="DH8" s="68"/>
      <c r="DI8" s="68"/>
      <c r="DJ8" s="68"/>
      <c r="DK8" s="68"/>
      <c r="DL8" s="68"/>
      <c r="DM8" s="68"/>
      <c r="DN8" s="68"/>
      <c r="DO8" s="68"/>
      <c r="DP8" s="68"/>
      <c r="DQ8" s="68"/>
      <c r="DR8" s="68"/>
      <c r="DS8" s="68"/>
      <c r="DT8" s="68"/>
      <c r="DU8" s="68"/>
      <c r="DV8" s="68"/>
      <c r="DW8" s="68"/>
      <c r="DX8" s="68"/>
    </row>
    <row r="9" spans="1:128" ht="13.5" customHeight="1">
      <c r="A9" s="1" t="s">
        <v>621</v>
      </c>
      <c r="B9" s="1"/>
      <c r="C9" s="1432"/>
      <c r="D9" s="1611"/>
      <c r="E9" s="1611"/>
      <c r="F9" s="1611"/>
      <c r="G9" s="1610"/>
      <c r="H9" s="9"/>
      <c r="I9" s="2047">
        <f>+RevBuild!C16*(1+RevBuild!I17-I11)</f>
        <v>121.861</v>
      </c>
      <c r="J9" s="2048">
        <f>+RevBuild!D16*(1+RevBuild!J17-J11)</f>
        <v>140.17699999999999</v>
      </c>
      <c r="K9" s="2048">
        <f>+RevBuild!E16*(1+RevBuild!K17-K11)</f>
        <v>150.26</v>
      </c>
      <c r="L9" s="2048">
        <f>+RevBuild!F16*(1+RevBuild!L17-L11)</f>
        <v>160.92700000000002</v>
      </c>
      <c r="M9" s="2049">
        <f>+RevBuild!G16*(1+RevBuild!M17-M11)</f>
        <v>573.22500000000002</v>
      </c>
      <c r="N9" s="2046"/>
      <c r="O9" s="2043">
        <f>+RevBuild!I16*(1+RevBuild!O17-O11)</f>
        <v>165.75700000000001</v>
      </c>
      <c r="P9" s="2044">
        <f>+RevBuild!J16*(1+RevBuild!P17-P11)</f>
        <v>161.643</v>
      </c>
      <c r="Q9" s="2044">
        <f>+RevBuild!K16*(1+RevBuild!Q17-Q11)</f>
        <v>158.36000000000001</v>
      </c>
      <c r="R9" s="2044">
        <f>+RevBuild!L16*(1+RevBuild!R17-R11)</f>
        <v>180.56399999999996</v>
      </c>
      <c r="S9" s="188">
        <f>+SUM(O9:R9)</f>
        <v>666.32399999999996</v>
      </c>
      <c r="T9" s="2046"/>
      <c r="U9" s="2043">
        <f>+RevBuild!O16*(1+RevBuild!U17-U11)</f>
        <v>186.05487421529887</v>
      </c>
      <c r="V9" s="2044">
        <f>+RevBuild!P16*(1+RevBuild!V17-V11)</f>
        <v>212.49453522558741</v>
      </c>
      <c r="W9" s="2044">
        <f>+RevBuild!Q16*(1+RevBuild!W17-W11)</f>
        <v>238.04585274230661</v>
      </c>
      <c r="X9" s="2044">
        <f>+RevBuild!R16*(1+RevBuild!X17-X11)</f>
        <v>261.72332363829338</v>
      </c>
      <c r="Y9" s="188">
        <f>+SUM(U9:X9)</f>
        <v>898.31858582148629</v>
      </c>
      <c r="Z9" s="2046"/>
      <c r="AA9" s="2043">
        <f>+RevBuild!U16*(1+RevBuild!AA17-AA11)</f>
        <v>274.36944413410782</v>
      </c>
      <c r="AB9" s="2044">
        <f>+RevBuild!V16*(1+RevBuild!AB17-AB11)</f>
        <v>272.5453456766258</v>
      </c>
      <c r="AC9" s="2044">
        <f>+RevBuild!W16*(1+RevBuild!AC17-AC11)</f>
        <v>223.7933920026764</v>
      </c>
      <c r="AD9" s="2044">
        <f>+RevBuild!X16*(1+RevBuild!AD17-AD11)</f>
        <v>247.2568741928595</v>
      </c>
      <c r="AE9" s="188">
        <f>+SUM(AA9:AD9)</f>
        <v>1017.9650560062695</v>
      </c>
      <c r="AF9" s="2046"/>
      <c r="AG9" s="2043">
        <f>+RevBuild!AA16*(1+RevBuild!AG17-AG11)</f>
        <v>273.64344589843381</v>
      </c>
      <c r="AH9" s="2044">
        <f>+RevBuild!AB16*(1+RevBuild!AH17-AH11)</f>
        <v>288.79666544666264</v>
      </c>
      <c r="AI9" s="2044">
        <f>+RevBuild!AC16*(1+RevBuild!AI17-AI11)</f>
        <v>292.90545582053483</v>
      </c>
      <c r="AJ9" s="2044">
        <f>+RevBuild!AD16*(1+RevBuild!AJ17-AJ11)</f>
        <v>312.12488126007457</v>
      </c>
      <c r="AK9" s="188">
        <f>+SUM(AG9:AJ9)</f>
        <v>1167.4704484257059</v>
      </c>
      <c r="AL9" s="2046"/>
      <c r="AM9" s="2043">
        <f>+RevBuild!AG16*(1+RevBuild!AM17-AM11)</f>
        <v>344.83443671245345</v>
      </c>
      <c r="AN9" s="2044">
        <f>+RevBuild!AH16*(1+RevBuild!AN17-AN11)</f>
        <v>356.05539365642073</v>
      </c>
      <c r="AO9" s="2044">
        <f>+RevBuild!AI16*(1+RevBuild!AO17-AO11)</f>
        <v>350.71714076566332</v>
      </c>
      <c r="AP9" s="2044">
        <f>+RevBuild!AJ16*(1+RevBuild!AP17-AP11)</f>
        <v>395.89075790656079</v>
      </c>
      <c r="AQ9" s="188">
        <f>+SUM(AM9:AP9)</f>
        <v>1447.4977290410984</v>
      </c>
      <c r="AR9" s="2046"/>
      <c r="AS9" s="2043">
        <f>+RevBuild!AM16*(1+RevBuild!AS17-AS11)</f>
        <v>419.0033634880437</v>
      </c>
      <c r="AT9" s="2044">
        <f>+RevBuild!AN16*(1+RevBuild!AT17-AT11)</f>
        <v>444.3432713368714</v>
      </c>
      <c r="AU9" s="2044">
        <f>+RevBuild!AO16*(1+RevBuild!AU17-AU11)</f>
        <v>480.38467164918239</v>
      </c>
      <c r="AV9" s="2044">
        <f>+RevBuild!AP16*(1+RevBuild!AV17-AV11)</f>
        <v>518.62823467552505</v>
      </c>
      <c r="AW9" s="188">
        <f>+SUM(AS9:AV9)</f>
        <v>1862.3595411496226</v>
      </c>
      <c r="AX9" s="2046"/>
      <c r="AY9" s="2043">
        <f>+RevBuild!AS16*(1+RevBuild!AY17-AY11)</f>
        <v>559.60405000000003</v>
      </c>
      <c r="AZ9" s="2044">
        <f>+RevBuild!AT16*(1+RevBuild!AZ17-AZ11)</f>
        <v>558.13052600000003</v>
      </c>
      <c r="BA9" s="2044">
        <f>+RevBuild!AU16*(1+RevBuild!BA17-BA11)</f>
        <v>568.71320000000003</v>
      </c>
      <c r="BB9" s="2044">
        <f>+RevBuild!AV16*(1+RevBuild!BB17-BB11)</f>
        <v>605.89461199999994</v>
      </c>
      <c r="BC9" s="188">
        <f>+SUM(AY9:BB9)</f>
        <v>2292.342388</v>
      </c>
      <c r="BD9" s="2046"/>
      <c r="BE9" s="2043">
        <f>+RevBuild!AY16*(1+RevBuild!BE17-BE11)</f>
        <v>577.14865000000009</v>
      </c>
      <c r="BF9" s="2044">
        <f>+RevBuild!AZ16*(1+RevBuild!BF17-BF11)</f>
        <v>598.0842912053995</v>
      </c>
      <c r="BG9" s="2044">
        <f>+RevBuild!BA16*(1+RevBuild!BG17-BG11)</f>
        <v>606.11890920319865</v>
      </c>
      <c r="BH9" s="2044">
        <f>+RevBuild!BB16*(1+RevBuild!BH17-BH11)</f>
        <v>623.81104373195626</v>
      </c>
      <c r="BI9" s="188">
        <f>+SUM(BE9:BH9)</f>
        <v>2405.1628941405543</v>
      </c>
      <c r="BJ9" s="2044"/>
      <c r="BK9" s="2043">
        <f>+RevBuild!BE16*(1+RevBuild!BK17-BK11)</f>
        <v>600.85881499999994</v>
      </c>
      <c r="BL9" s="2044">
        <f>+RevBuild!BF16*(1+RevBuild!BL17-BL11)</f>
        <v>665.40037611270577</v>
      </c>
      <c r="BM9" s="2044">
        <f>+RevBuild!BG16*(1+RevBuild!BM17-BM11)</f>
        <v>711.07105305430355</v>
      </c>
      <c r="BN9" s="2044">
        <f>+RevBuild!BH16*(1+RevBuild!BN17-BN11)</f>
        <v>767.62724464315659</v>
      </c>
      <c r="BO9" s="188">
        <f>+SUM(BK9:BN9)</f>
        <v>2744.9574888101656</v>
      </c>
      <c r="BP9" s="2044"/>
      <c r="BQ9" s="2043">
        <f>+RevBuild!BK16*(1+RevBuild!BQ17-BQ11)</f>
        <v>764.06</v>
      </c>
      <c r="BR9" s="2044">
        <f>+RevBuild!BL16*(1+RevBuild!BR17-BR11)</f>
        <v>774.53456979006489</v>
      </c>
      <c r="BS9" s="2044">
        <f>+RevBuild!BM16*(1+RevBuild!BS17-BS11)</f>
        <v>798.5356063007672</v>
      </c>
      <c r="BT9" s="2044">
        <f>+RevBuild!BN16*(1+RevBuild!BT17-BT11)</f>
        <v>832.54276572962567</v>
      </c>
      <c r="BU9" s="188">
        <f>+SUM(BQ9:BT9)</f>
        <v>3169.6729418204577</v>
      </c>
      <c r="BV9" s="2044"/>
      <c r="BW9" s="2043">
        <f>+RevBuild!BQ16*(1+RevBuild!BW17-BW11)</f>
        <v>872.6631195023823</v>
      </c>
      <c r="BX9" s="2044">
        <f>+RevBuild!BR16*(1+RevBuild!BX17-BX11)</f>
        <v>870.22373106422003</v>
      </c>
      <c r="BY9" s="2044">
        <f>+RevBuild!BS16*(1+RevBuild!BY17-BY11)</f>
        <v>882.06875801067326</v>
      </c>
      <c r="BZ9" s="2044">
        <f>+RevBuild!BT16*(1+RevBuild!BZ17-BZ11)</f>
        <v>917.82797726481908</v>
      </c>
      <c r="CA9" s="188">
        <f>+SUM(BW9:BZ9)</f>
        <v>3542.7835858420949</v>
      </c>
      <c r="CB9" s="2044"/>
      <c r="CC9" s="2043">
        <f>+RevBuild!BW16*(1+RevBuild!CC17-CC11)</f>
        <v>961.28431101600609</v>
      </c>
      <c r="CD9" s="2044">
        <f>+RevBuild!BX16*(1+RevBuild!CD17-CD11)</f>
        <v>959.45288335890905</v>
      </c>
      <c r="CE9" s="2044">
        <f>+RevBuild!BY16*(1+RevBuild!CE17-CE11)</f>
        <v>972.24722094441574</v>
      </c>
      <c r="CF9" s="2044">
        <f>+RevBuild!BZ16*(1+RevBuild!CF17-CF11)</f>
        <v>1013.0584482932361</v>
      </c>
      <c r="CG9" s="188">
        <f>+SUM(CC9:CF9)</f>
        <v>3906.0428636125671</v>
      </c>
      <c r="CH9" s="2044"/>
      <c r="CI9" s="2043">
        <f>+RevBuild!CC16*(1+RevBuild!CI17-CI11)</f>
        <v>1061.5747363625551</v>
      </c>
      <c r="CJ9" s="2044">
        <f>+RevBuild!CD16*(1+RevBuild!CJ17-CJ11)</f>
        <v>1059.36255204085</v>
      </c>
      <c r="CK9" s="2044">
        <f>+RevBuild!CE16*(1+RevBuild!CK17-CK11)</f>
        <v>1072.8875263874513</v>
      </c>
      <c r="CL9" s="2044">
        <f>+RevBuild!CF16*(1+RevBuild!CL17-CL11)</f>
        <v>1120.6718618303846</v>
      </c>
      <c r="CM9" s="188">
        <f>+SUM(CI9:CL9)</f>
        <v>4314.496676621241</v>
      </c>
      <c r="CN9" s="2044"/>
      <c r="CO9" s="2043">
        <f>+RevBuild!CI16*(1+RevBuild!CO17-CO11)</f>
        <v>1167.3216847679541</v>
      </c>
      <c r="CP9" s="2044">
        <f>+RevBuild!CJ16*(1+RevBuild!CP17-CP11)</f>
        <v>1169.9955643677147</v>
      </c>
      <c r="CQ9" s="2044">
        <f>+RevBuild!CK16*(1+RevBuild!CQ17-CQ11)</f>
        <v>1189.2413465931577</v>
      </c>
      <c r="CR9" s="2044">
        <f>+RevBuild!CL16*(1+RevBuild!CR17-CR11)</f>
        <v>1243.6616641844496</v>
      </c>
      <c r="CS9" s="188">
        <f>+SUM(CO9:CR9)</f>
        <v>4770.2202599132761</v>
      </c>
      <c r="CT9" s="9"/>
      <c r="CU9" s="9"/>
      <c r="CV9" s="9"/>
      <c r="CW9" s="9"/>
      <c r="CX9" s="815"/>
      <c r="CY9" s="68"/>
      <c r="CZ9" s="68"/>
      <c r="DA9" s="68"/>
      <c r="DB9" s="68"/>
      <c r="DC9" s="68"/>
      <c r="DD9" s="68"/>
      <c r="DE9" s="68"/>
      <c r="DF9" s="68"/>
      <c r="DG9" s="68"/>
      <c r="DH9" s="68"/>
      <c r="DI9" s="68"/>
      <c r="DJ9" s="68"/>
      <c r="DK9" s="68"/>
      <c r="DL9" s="68"/>
      <c r="DM9" s="68"/>
      <c r="DN9" s="68"/>
      <c r="DO9" s="68"/>
      <c r="DP9" s="68"/>
      <c r="DQ9" s="68"/>
      <c r="DR9" s="68"/>
      <c r="DS9" s="68"/>
      <c r="DT9" s="68"/>
      <c r="DU9" s="68"/>
      <c r="DV9" s="68"/>
      <c r="DW9" s="68"/>
      <c r="DX9" s="68"/>
    </row>
    <row r="10" spans="1:128" ht="13.5" customHeight="1">
      <c r="A10" s="1985" t="s">
        <v>593</v>
      </c>
      <c r="B10" s="1302"/>
      <c r="C10" s="761"/>
      <c r="D10" s="762"/>
      <c r="E10" s="762"/>
      <c r="F10" s="762"/>
      <c r="G10" s="1986"/>
      <c r="H10" s="1992"/>
      <c r="I10" s="2054"/>
      <c r="J10" s="2055"/>
      <c r="K10" s="2055"/>
      <c r="L10" s="2056"/>
      <c r="M10" s="2057"/>
      <c r="N10" s="2058"/>
      <c r="O10" s="2054">
        <f>+O9/I9-1+O11</f>
        <v>0.36021368608496562</v>
      </c>
      <c r="P10" s="2055">
        <f>+P9/J9-1+P11</f>
        <v>0.15313496507986346</v>
      </c>
      <c r="Q10" s="2055">
        <f>+Q9/K9-1+Q11</f>
        <v>5.3906561959270682E-2</v>
      </c>
      <c r="R10" s="2056">
        <f>+R9/L9-1+R11</f>
        <v>0.12202427187482479</v>
      </c>
      <c r="S10" s="2057">
        <f>+S9/M9-1+S11</f>
        <v>0.16241266518382824</v>
      </c>
      <c r="T10" s="2058"/>
      <c r="U10" s="2054">
        <f>+U9/RevBuild!O16-1</f>
        <v>0.12245560800025856</v>
      </c>
      <c r="V10" s="2055">
        <f>+V9/RevBuild!P16-1</f>
        <v>0.31459163233537746</v>
      </c>
      <c r="W10" s="2055">
        <f>+W9/RevBuild!Q16-1</f>
        <v>0.50319432143411591</v>
      </c>
      <c r="X10" s="2056">
        <f>+X9/RevBuild!R16-1</f>
        <v>0.44947677077542281</v>
      </c>
      <c r="Y10" s="2057">
        <f>+Y9/RevBuild!S16-1</f>
        <v>0.34817083854324049</v>
      </c>
      <c r="Z10" s="2058"/>
      <c r="AA10" s="2054">
        <f>+AA9/RevBuild!U16-1</f>
        <v>0.428033186389015</v>
      </c>
      <c r="AB10" s="2055">
        <f>+AB9/RevBuild!V16-1</f>
        <v>0.28557306112001135</v>
      </c>
      <c r="AC10" s="2055">
        <f>+AC9/RevBuild!W16-1</f>
        <v>-5.6953625852047773E-2</v>
      </c>
      <c r="AD10" s="2056">
        <f>+AD9/RevBuild!X16-1</f>
        <v>-5.3736063066462392E-2</v>
      </c>
      <c r="AE10" s="2057">
        <f>+AE9/RevBuild!Y16-1</f>
        <v>0.12763800027501748</v>
      </c>
      <c r="AF10" s="2058"/>
      <c r="AG10" s="2054">
        <f>+AG9/RevBuild!AA16-1</f>
        <v>-3.1402063966749272E-2</v>
      </c>
      <c r="AH10" s="2055">
        <f>+AH9/RevBuild!AB16-1</f>
        <v>4.6848684872591306E-3</v>
      </c>
      <c r="AI10" s="2055">
        <f>+AI9/RevBuild!AC16-1</f>
        <v>0.24376517870791314</v>
      </c>
      <c r="AJ10" s="2056">
        <f>+AJ9/RevBuild!AD16-1</f>
        <v>0.24814505184557434</v>
      </c>
      <c r="AK10" s="2057">
        <f>+AK9/RevBuild!AE16-1</f>
        <v>0.10604617414458639</v>
      </c>
      <c r="AL10" s="2058"/>
      <c r="AM10" s="2054">
        <f>+AM9/RevBuild!AG16-1</f>
        <v>0.26419487741486769</v>
      </c>
      <c r="AN10" s="2055">
        <f>+AN9/RevBuild!AH16-1</f>
        <v>0.26887566474257873</v>
      </c>
      <c r="AO10" s="2055">
        <f>+AO9/RevBuild!AI16-1</f>
        <v>0.22682419795316577</v>
      </c>
      <c r="AP10" s="2056">
        <f>+AP9/RevBuild!AJ16-1</f>
        <v>0.28010204163601049</v>
      </c>
      <c r="AQ10" s="2057">
        <f>+AQ9/RevBuild!AK16-1</f>
        <v>0.26032003824160777</v>
      </c>
      <c r="AR10" s="2058"/>
      <c r="AS10" s="2054">
        <f>+AS9/RevBuild!AM16-1</f>
        <v>0.26603183330828584</v>
      </c>
      <c r="AT10" s="2055">
        <f>+AT9/RevBuild!AN16-1</f>
        <v>0.28388030805755493</v>
      </c>
      <c r="AU10" s="2055">
        <f>+AU9/RevBuild!AO16-1</f>
        <v>0.34636959542932289</v>
      </c>
      <c r="AV10" s="2056">
        <f>+AV9/RevBuild!AP16-1</f>
        <v>0.33899669703434587</v>
      </c>
      <c r="AW10" s="2057">
        <f>+AW9/RevBuild!AQ16-1</f>
        <v>0.31043369736206339</v>
      </c>
      <c r="AX10" s="2058"/>
      <c r="AY10" s="2054">
        <f>+AY9/RevBuild!AS16-1</f>
        <v>0.32991758182997821</v>
      </c>
      <c r="AZ10" s="2055">
        <f>+AZ9/RevBuild!AT16-1</f>
        <v>0.24702955975404861</v>
      </c>
      <c r="BA10" s="2055">
        <f>+BA9/RevBuild!AU16-1</f>
        <v>0.18326612987121083</v>
      </c>
      <c r="BB10" s="2056">
        <f>+BB9/RevBuild!AV16-1</f>
        <v>0.18251257760368778</v>
      </c>
      <c r="BC10" s="2057">
        <f>+BC9/RevBuild!AW16-1</f>
        <v>0.23154298528278816</v>
      </c>
      <c r="BD10" s="2053"/>
      <c r="BE10" s="2054">
        <f>+BE9/RevBuild!AY16-1</f>
        <v>7.1641584581248363E-2</v>
      </c>
      <c r="BF10" s="2055">
        <f>+BF9/RevBuild!AZ16-1</f>
        <v>0.10893391866174085</v>
      </c>
      <c r="BG10" s="2055">
        <f>+BG9/RevBuild!BA16-1</f>
        <v>0.10306123009637802</v>
      </c>
      <c r="BH10" s="2056">
        <f>+BH9/RevBuild!BB16-1</f>
        <v>5.4540026729794189E-2</v>
      </c>
      <c r="BI10" s="2057">
        <f>+BI9/RevBuild!BC16-1</f>
        <v>8.3927350627184039E-2</v>
      </c>
      <c r="BJ10" s="2053"/>
      <c r="BK10" s="2054">
        <f>+BK9/RevBuild!BE16-1</f>
        <v>5.0887894109971965E-2</v>
      </c>
      <c r="BL10" s="2055">
        <f>+BL9/RevBuild!BF16-1</f>
        <v>0.10886160787461385</v>
      </c>
      <c r="BM10" s="2055">
        <f>+BM9/RevBuild!BG16-1</f>
        <v>0.17216021485198651</v>
      </c>
      <c r="BN10" s="2056">
        <f>+BN9/RevBuild!BH16-1</f>
        <v>0.23949545381578541</v>
      </c>
      <c r="BO10" s="2057">
        <f>+BO9/RevBuild!BI16-1</f>
        <v>0.14479244567538418</v>
      </c>
      <c r="BP10" s="2053"/>
      <c r="BQ10" s="2054">
        <f>+BQ9/RevBuild!BK16-1</f>
        <v>0.27769230769230768</v>
      </c>
      <c r="BR10" s="2055">
        <f>+BR9/RevBuild!BL16-1</f>
        <v>0.16928528048017055</v>
      </c>
      <c r="BS10" s="2055">
        <f>+BS9/RevBuild!BM16-1</f>
        <v>0.1182339862744004</v>
      </c>
      <c r="BT10" s="2056">
        <f>+BT9/RevBuild!BN16-1</f>
        <v>7.0744777555880933E-2</v>
      </c>
      <c r="BU10" s="2057">
        <f>+BU9/RevBuild!BO16-1</f>
        <v>0.15175379889108509</v>
      </c>
      <c r="BV10" s="2053"/>
      <c r="BW10" s="2054">
        <f>+BW9/RevBuild!BQ16-1</f>
        <v>0.11593749296979827</v>
      </c>
      <c r="BX10" s="2055">
        <f>+BX9/RevBuild!BR16-1</f>
        <v>0.10094675333792047</v>
      </c>
      <c r="BY10" s="2055">
        <f>+BY9/RevBuild!BS16-1</f>
        <v>9.4817331089390722E-2</v>
      </c>
      <c r="BZ10" s="2056">
        <f>+BZ9/RevBuild!BT16-1</f>
        <v>9.2238698163539912E-2</v>
      </c>
      <c r="CA10" s="2057">
        <f>+CA9/RevBuild!BU16-1</f>
        <v>0.10078111011945801</v>
      </c>
      <c r="CB10" s="2053"/>
      <c r="CC10" s="2054">
        <f>+CC9/RevBuild!BW16-1</f>
        <v>0.10155258029485448</v>
      </c>
      <c r="CD10" s="2055">
        <f>+CD9/RevBuild!BX16-1</f>
        <v>0.10253587567138434</v>
      </c>
      <c r="CE10" s="2055">
        <f>+CE9/RevBuild!BY16-1</f>
        <v>0.10223518531267528</v>
      </c>
      <c r="CF10" s="2056">
        <f>+CF9/RevBuild!BZ16-1</f>
        <v>0.10375633930032224</v>
      </c>
      <c r="CG10" s="2057">
        <f>+CG9/RevBuild!CA16-1</f>
        <v>0.10253498949869622</v>
      </c>
      <c r="CH10" s="2053"/>
      <c r="CI10" s="2054">
        <f>+CI9/RevBuild!CC16-1</f>
        <v>0.10432961840451704</v>
      </c>
      <c r="CJ10" s="2055">
        <f>+CJ9/RevBuild!CD16-1</f>
        <v>0.10413191769477126</v>
      </c>
      <c r="CK10" s="2055">
        <f>+CK9/RevBuild!CE16-1</f>
        <v>0.103513081112514</v>
      </c>
      <c r="CL10" s="2056">
        <f>+CL9/RevBuild!CF16-1</f>
        <v>0.10622626336955343</v>
      </c>
      <c r="CM10" s="2057">
        <f>+CM9/RevBuild!CG16-1</f>
        <v>0.10456972113995411</v>
      </c>
      <c r="CN10" s="2053"/>
      <c r="CO10" s="2054">
        <f>+CO9/RevBuild!CI16-1</f>
        <v>9.9613286547998392E-2</v>
      </c>
      <c r="CP10" s="2055">
        <f>+CP9/RevBuild!CJ16-1</f>
        <v>0.10443356914375679</v>
      </c>
      <c r="CQ10" s="2055">
        <f>+CQ9/RevBuild!CK16-1</f>
        <v>0.10844922449372163</v>
      </c>
      <c r="CR10" s="2056">
        <f>+CR9/RevBuild!CL16-1</f>
        <v>0.10974648917586527</v>
      </c>
      <c r="CS10" s="2057">
        <f>+CS9/RevBuild!CM16-1</f>
        <v>0.10562612917549385</v>
      </c>
      <c r="CT10" s="2399"/>
      <c r="CU10" s="2399"/>
      <c r="CV10" s="2399"/>
      <c r="CW10" s="2399"/>
      <c r="CX10" s="815"/>
      <c r="CY10" s="68"/>
      <c r="CZ10" s="68"/>
      <c r="DA10" s="68"/>
      <c r="DB10" s="68"/>
      <c r="DC10" s="68"/>
      <c r="DD10" s="68"/>
      <c r="DE10" s="68"/>
      <c r="DF10" s="68"/>
      <c r="DG10" s="68"/>
      <c r="DH10" s="68"/>
      <c r="DI10" s="68"/>
      <c r="DJ10" s="68"/>
      <c r="DK10" s="68"/>
      <c r="DL10" s="68"/>
      <c r="DM10" s="68"/>
      <c r="DN10" s="68"/>
      <c r="DO10" s="68"/>
      <c r="DP10" s="68"/>
      <c r="DQ10" s="68"/>
      <c r="DR10" s="68"/>
      <c r="DS10" s="68"/>
      <c r="DT10" s="68"/>
      <c r="DU10" s="68"/>
      <c r="DV10" s="68"/>
      <c r="DW10" s="68"/>
      <c r="DX10" s="68"/>
    </row>
    <row r="11" spans="1:128" ht="13.5" customHeight="1">
      <c r="A11" s="1985" t="s">
        <v>600</v>
      </c>
      <c r="B11" s="1302"/>
      <c r="C11" s="761"/>
      <c r="D11" s="762"/>
      <c r="E11" s="762"/>
      <c r="F11" s="762"/>
      <c r="G11" s="1986"/>
      <c r="H11" s="1992"/>
      <c r="I11" s="2054"/>
      <c r="J11" s="2055"/>
      <c r="K11" s="2055"/>
      <c r="L11" s="2056"/>
      <c r="M11" s="2057"/>
      <c r="N11" s="2058"/>
      <c r="O11" s="2054">
        <f>+RevBuild!O19</f>
        <v>0</v>
      </c>
      <c r="P11" s="2055">
        <f>+RevBuild!P19</f>
        <v>0</v>
      </c>
      <c r="Q11" s="2055">
        <f>+RevBuild!Q19</f>
        <v>0</v>
      </c>
      <c r="R11" s="2056">
        <f>+RevBuild!R19</f>
        <v>0</v>
      </c>
      <c r="S11" s="2057">
        <f>+RevBuild!S19</f>
        <v>0</v>
      </c>
      <c r="T11" s="2058"/>
      <c r="U11" s="2054">
        <f>+RevBuild!U19</f>
        <v>3.6656827673649535E-2</v>
      </c>
      <c r="V11" s="2055">
        <f>+RevBuild!V19</f>
        <v>-3.0408692339748923E-3</v>
      </c>
      <c r="W11" s="2055">
        <f>+RevBuild!W19</f>
        <v>-4.65302312646243E-3</v>
      </c>
      <c r="X11" s="2056">
        <f>+RevBuild!X19</f>
        <v>-2.3555284458327565E-3</v>
      </c>
      <c r="Y11" s="2057">
        <f>-((Y9/RevBuild!S16)-1-RevBuild!Y17)</f>
        <v>6.6370327025797593E-3</v>
      </c>
      <c r="Z11" s="2058"/>
      <c r="AA11" s="2054">
        <f>+RevBuild!AA19</f>
        <v>4.2395843803926449E-2</v>
      </c>
      <c r="AB11" s="2055">
        <f>+RevBuild!AB19</f>
        <v>7.0303978355845079E-2</v>
      </c>
      <c r="AC11" s="2055">
        <f>+RevBuild!AC19</f>
        <v>4.9326439356803128E-2</v>
      </c>
      <c r="AD11" s="2056">
        <f>+RevBuild!AD19</f>
        <v>1.0769794667928781E-2</v>
      </c>
      <c r="AE11" s="2057">
        <f>-((AE9/RevBuild!Y16)-1-RevBuild!AE17)</f>
        <v>4.1617633400643506E-2</v>
      </c>
      <c r="AF11" s="2058"/>
      <c r="AG11" s="2054">
        <f>+RevBuild!AG19</f>
        <v>-3.0916797282757461E-3</v>
      </c>
      <c r="AH11" s="2055">
        <f>+RevBuild!AH19</f>
        <v>-2.8490747770612782E-2</v>
      </c>
      <c r="AI11" s="2055">
        <f>+RevBuild!AI19</f>
        <v>-2.9857688654876733E-2</v>
      </c>
      <c r="AJ11" s="2056">
        <f>+RevBuild!AJ19</f>
        <v>-1.1436277137591265E-2</v>
      </c>
      <c r="AK11" s="2057">
        <f>-((AK9/RevBuild!AE16)-1-RevBuild!AK17)</f>
        <v>-1.7957195569740181E-2</v>
      </c>
      <c r="AL11" s="2058"/>
      <c r="AM11" s="2054">
        <f>+RevBuild!AM19</f>
        <v>-5.0872297952316639E-2</v>
      </c>
      <c r="AN11" s="2055">
        <f>+RevBuild!AN19</f>
        <v>-3.5499448183476598E-2</v>
      </c>
      <c r="AO11" s="2055">
        <f>+RevBuild!AO19</f>
        <v>2.1278112855092367E-2</v>
      </c>
      <c r="AP11" s="2056">
        <f>+RevBuild!AP19</f>
        <v>-2.7693912685110657E-2</v>
      </c>
      <c r="AQ11" s="2057">
        <f>-((AQ9/RevBuild!AK16)-1-RevBuild!AQ17)</f>
        <v>-2.2916292886732359E-2</v>
      </c>
      <c r="AR11" s="2058"/>
      <c r="AS11" s="2054">
        <f>+RevBuild!AS19</f>
        <v>5.3711845973093775E-3</v>
      </c>
      <c r="AT11" s="2055">
        <f>+RevBuild!AT19</f>
        <v>9.3174936957258914E-3</v>
      </c>
      <c r="AU11" s="2055">
        <f>+RevBuild!AU19</f>
        <v>6.8757945856944046E-4</v>
      </c>
      <c r="AV11" s="2056">
        <f>+RevBuild!AV19</f>
        <v>-1.6134302049242929E-2</v>
      </c>
      <c r="AW11" s="2057">
        <f>-((AW9/RevBuild!AQ16)-1-RevBuild!AW17)</f>
        <v>-7.0472604390348081E-4</v>
      </c>
      <c r="AX11" s="2058"/>
      <c r="AY11" s="2054">
        <f>+RevBuild!AY19</f>
        <v>-0.05</v>
      </c>
      <c r="AZ11" s="2055">
        <f>+RevBuild!AZ19</f>
        <v>-4.2000000000000003E-2</v>
      </c>
      <c r="BA11" s="2055">
        <f>+RevBuild!BA19</f>
        <v>-0.04</v>
      </c>
      <c r="BB11" s="2056">
        <f>+RevBuild!BB19</f>
        <v>-2.8000000000000001E-2</v>
      </c>
      <c r="BC11" s="2057">
        <f>-((BC9/RevBuild!AW16)-1-RevBuild!BC17)</f>
        <v>-3.9438258518780467E-2</v>
      </c>
      <c r="BD11" s="2053"/>
      <c r="BE11" s="2054">
        <f>+RevBuild!BE19</f>
        <v>-0.01</v>
      </c>
      <c r="BF11" s="2055">
        <f>+RevBuild!BF19</f>
        <v>3.6914717881988183E-3</v>
      </c>
      <c r="BG11" s="2055">
        <f>+RevBuild!BG19</f>
        <v>9.3555887222945919E-4</v>
      </c>
      <c r="BH11" s="2056">
        <f>+RevBuild!BH19</f>
        <v>-7.6153133513495383E-3</v>
      </c>
      <c r="BI11" s="2057">
        <f>-((BI9/RevBuild!BC16)-1-RevBuild!BI17)</f>
        <v>-3.3283841571618566E-3</v>
      </c>
      <c r="BJ11" s="2053"/>
      <c r="BK11" s="2054">
        <f>+RevBuild!BK19</f>
        <v>-5.0000000000000001E-3</v>
      </c>
      <c r="BL11" s="2055">
        <f>+RevBuild!BL19</f>
        <v>-5.0000000000000001E-3</v>
      </c>
      <c r="BM11" s="2055">
        <f>+RevBuild!BM19</f>
        <v>5.0000000000000001E-3</v>
      </c>
      <c r="BN11" s="2056">
        <f>+RevBuild!BN19</f>
        <v>1.6E-2</v>
      </c>
      <c r="BO11" s="2057">
        <f>-((BO9/RevBuild!BI16)-1-RevBuild!BO17)</f>
        <v>2.9539327799039672E-3</v>
      </c>
      <c r="BP11" s="2053"/>
      <c r="BQ11" s="2054">
        <f>+RevBuild!BQ19</f>
        <v>0.03</v>
      </c>
      <c r="BR11" s="2055">
        <f>+RevBuild!BR19</f>
        <v>2.4E-2</v>
      </c>
      <c r="BS11" s="2055">
        <f>+RevBuild!BS19</f>
        <v>0.01</v>
      </c>
      <c r="BT11" s="2056">
        <f>+RevBuild!BT19</f>
        <v>0.01</v>
      </c>
      <c r="BU11" s="2057">
        <f>-((BU9/RevBuild!BO16)-1-RevBuild!BU17)</f>
        <v>1.7715584513930294E-2</v>
      </c>
      <c r="BV11" s="2053"/>
      <c r="BW11" s="2054">
        <f>+RevBuild!BW19</f>
        <v>0</v>
      </c>
      <c r="BX11" s="2055">
        <f>+RevBuild!BX19</f>
        <v>0</v>
      </c>
      <c r="BY11" s="2055">
        <f>+RevBuild!BY19</f>
        <v>0</v>
      </c>
      <c r="BZ11" s="2056">
        <f>+RevBuild!BZ19</f>
        <v>0</v>
      </c>
      <c r="CA11" s="2057">
        <f>-((CA9/RevBuild!BU16)-1-RevBuild!CA17)</f>
        <v>0</v>
      </c>
      <c r="CB11" s="2053"/>
      <c r="CC11" s="2054">
        <f>+RevBuild!CC19</f>
        <v>0</v>
      </c>
      <c r="CD11" s="2055">
        <f>+RevBuild!CD19</f>
        <v>0</v>
      </c>
      <c r="CE11" s="2055">
        <f>+RevBuild!CE19</f>
        <v>0</v>
      </c>
      <c r="CF11" s="2056">
        <f>+RevBuild!CF19</f>
        <v>0</v>
      </c>
      <c r="CG11" s="2057">
        <f>-((CG9/RevBuild!CA16)-1-RevBuild!CG17)</f>
        <v>0</v>
      </c>
      <c r="CH11" s="2053"/>
      <c r="CI11" s="2054">
        <f>+RevBuild!CI19</f>
        <v>0</v>
      </c>
      <c r="CJ11" s="2055">
        <f>+RevBuild!CJ19</f>
        <v>0</v>
      </c>
      <c r="CK11" s="2055">
        <f>+RevBuild!CK19</f>
        <v>0</v>
      </c>
      <c r="CL11" s="2056">
        <f>+RevBuild!CL19</f>
        <v>0</v>
      </c>
      <c r="CM11" s="2057">
        <f>-((CM9/RevBuild!CG16)-1-RevBuild!CM17)</f>
        <v>2.2204460492503131E-16</v>
      </c>
      <c r="CN11" s="2053"/>
      <c r="CO11" s="2054">
        <f>+RevBuild!CO19</f>
        <v>0</v>
      </c>
      <c r="CP11" s="2055">
        <f>+RevBuild!CP19</f>
        <v>0</v>
      </c>
      <c r="CQ11" s="2055">
        <f>+RevBuild!CQ19</f>
        <v>0</v>
      </c>
      <c r="CR11" s="2056">
        <f>+RevBuild!CR19</f>
        <v>0</v>
      </c>
      <c r="CS11" s="2057">
        <f>-((CS9/RevBuild!CM16)-1-RevBuild!CS17)</f>
        <v>-2.2204460492503131E-16</v>
      </c>
      <c r="CT11" s="2399"/>
      <c r="CU11" s="2399"/>
      <c r="CV11" s="2399"/>
      <c r="CW11" s="2399"/>
      <c r="CX11" s="815"/>
      <c r="CY11" s="68"/>
      <c r="CZ11" s="68"/>
      <c r="DA11" s="68"/>
      <c r="DB11" s="68"/>
      <c r="DC11" s="68"/>
      <c r="DD11" s="68"/>
      <c r="DE11" s="68"/>
      <c r="DF11" s="68"/>
      <c r="DG11" s="68"/>
      <c r="DH11" s="68"/>
      <c r="DI11" s="68"/>
      <c r="DJ11" s="68"/>
      <c r="DK11" s="68"/>
      <c r="DL11" s="68"/>
      <c r="DM11" s="68"/>
      <c r="DN11" s="68"/>
      <c r="DO11" s="68"/>
      <c r="DP11" s="68"/>
      <c r="DQ11" s="68"/>
      <c r="DR11" s="68"/>
      <c r="DS11" s="68"/>
      <c r="DT11" s="68"/>
      <c r="DU11" s="68"/>
      <c r="DV11" s="68"/>
      <c r="DW11" s="68"/>
      <c r="DX11" s="68"/>
    </row>
    <row r="12" spans="1:128" ht="13.5" customHeight="1">
      <c r="A12" s="1971" t="s">
        <v>622</v>
      </c>
      <c r="B12" s="1"/>
      <c r="C12" s="2043">
        <f>+IS!C9</f>
        <v>72.150000000000006</v>
      </c>
      <c r="D12" s="2044">
        <f>+IS!D9</f>
        <v>84.534999999999997</v>
      </c>
      <c r="E12" s="2044">
        <f>+IS!E9</f>
        <v>97.51</v>
      </c>
      <c r="F12" s="2044">
        <f>+IS!F9</f>
        <v>112.60400000000001</v>
      </c>
      <c r="G12" s="188">
        <f>+SUM(C12:F12)</f>
        <v>366.79899999999998</v>
      </c>
      <c r="H12" s="9"/>
      <c r="I12" s="2043">
        <f>+IS!I9</f>
        <v>121.861</v>
      </c>
      <c r="J12" s="2044">
        <f>+IS!J9</f>
        <v>140.17699999999999</v>
      </c>
      <c r="K12" s="2044">
        <f>+IS!K9</f>
        <v>150.26</v>
      </c>
      <c r="L12" s="2044">
        <f>+IS!L9</f>
        <v>160.92700000000002</v>
      </c>
      <c r="M12" s="188">
        <f>+SUM(I12:L12)</f>
        <v>573.22500000000002</v>
      </c>
      <c r="N12" s="2046"/>
      <c r="O12" s="2043">
        <f>+IS!O9</f>
        <v>165.75700000000001</v>
      </c>
      <c r="P12" s="2044">
        <f>+IS!P9</f>
        <v>161.643</v>
      </c>
      <c r="Q12" s="2044">
        <f>+IS!Q9</f>
        <v>158.36000000000001</v>
      </c>
      <c r="R12" s="2044">
        <f>+IS!R9</f>
        <v>180.56399999999996</v>
      </c>
      <c r="S12" s="188">
        <f>+SUM(O12:R12)</f>
        <v>666.32399999999996</v>
      </c>
      <c r="T12" s="2046"/>
      <c r="U12" s="2043">
        <f>+IS!U9</f>
        <v>192.131</v>
      </c>
      <c r="V12" s="2044">
        <f>+IS!V9</f>
        <v>212.00300000000001</v>
      </c>
      <c r="W12" s="2044">
        <f>+IS!W9</f>
        <v>237.309</v>
      </c>
      <c r="X12" s="2044">
        <f>+IS!X9</f>
        <v>261.298</v>
      </c>
      <c r="Y12" s="188">
        <f>+SUM(U12:X12)</f>
        <v>902.74099999999999</v>
      </c>
      <c r="Z12" s="2046"/>
      <c r="AA12" s="2043">
        <f>+IS!AA9</f>
        <v>282.51499999999999</v>
      </c>
      <c r="AB12" s="2044">
        <f>+IS!AB9</f>
        <v>287.45</v>
      </c>
      <c r="AC12" s="2044">
        <f>+IS!AC9</f>
        <v>235.499</v>
      </c>
      <c r="AD12" s="2044">
        <f>+IS!AD9</f>
        <v>250.07099999999997</v>
      </c>
      <c r="AE12" s="188">
        <f>+SUM(AA12:AD12)</f>
        <v>1055.5349999999999</v>
      </c>
      <c r="AF12" s="2046"/>
      <c r="AG12" s="2043">
        <f>+IS!AG9</f>
        <v>272.77</v>
      </c>
      <c r="AH12" s="2044">
        <f>+IS!AH9</f>
        <v>280.60699999999997</v>
      </c>
      <c r="AI12" s="2044">
        <f>+IS!AI9</f>
        <v>285.87400000000002</v>
      </c>
      <c r="AJ12" s="2044">
        <f>+IS!AJ9</f>
        <v>309.26499999999999</v>
      </c>
      <c r="AK12" s="188">
        <f>+SUM(AG12:AJ12)</f>
        <v>1148.5160000000001</v>
      </c>
      <c r="AL12" s="2046"/>
      <c r="AM12" s="2043">
        <f>+IS!AM9</f>
        <v>330.95800000000003</v>
      </c>
      <c r="AN12" s="2044">
        <f>+IS!AN9</f>
        <v>346.09399999999999</v>
      </c>
      <c r="AO12" s="2044">
        <f>+IS!AO9</f>
        <v>356.8</v>
      </c>
      <c r="AP12" s="2044">
        <f>+IS!AP9</f>
        <v>387.32600000000002</v>
      </c>
      <c r="AQ12" s="188">
        <f>+SUM(AM12:AP12)</f>
        <v>1421.1780000000001</v>
      </c>
      <c r="AR12" s="2046"/>
      <c r="AS12" s="2043">
        <f>+IS!AS9</f>
        <v>420.78100000000001</v>
      </c>
      <c r="AT12" s="2044">
        <f>+IS!AT9</f>
        <v>447.56799999999998</v>
      </c>
      <c r="AU12" s="2044">
        <f>+IS!AU9</f>
        <v>480.63</v>
      </c>
      <c r="AV12" s="2044">
        <f>+IS!AV9</f>
        <v>512.37900000000002</v>
      </c>
      <c r="AW12" s="188">
        <f>+SUM(AS12:AV12)</f>
        <v>1861.3579999999997</v>
      </c>
      <c r="AX12" s="2046"/>
      <c r="AY12" s="2043">
        <f>+IS!AY9</f>
        <v>538.56500000000005</v>
      </c>
      <c r="AZ12" s="2044">
        <f>+IS!AZ9</f>
        <v>539.37799999999993</v>
      </c>
      <c r="BA12" s="2044">
        <f>+IS!BA9</f>
        <v>550.27099999999996</v>
      </c>
      <c r="BB12" s="2044">
        <f>+IS!BB9</f>
        <v>591.548</v>
      </c>
      <c r="BC12" s="188">
        <f>+SUM(AY12:BB12)</f>
        <v>2219.7619999999997</v>
      </c>
      <c r="BD12" s="2046"/>
      <c r="BE12" s="2043">
        <f>+IS!BE9</f>
        <v>571.76300000000003</v>
      </c>
      <c r="BF12" s="2044">
        <f>+IS!BF9</f>
        <v>600.12400000000002</v>
      </c>
      <c r="BG12" s="2044">
        <f>+IS!BG9</f>
        <v>607.13900000000001</v>
      </c>
      <c r="BH12" s="2044">
        <f>+IS!BH9</f>
        <v>619.34699999999998</v>
      </c>
      <c r="BI12" s="188">
        <f>+SUM(BE12:BH12)</f>
        <v>2398.3730000000005</v>
      </c>
      <c r="BJ12" s="2044"/>
      <c r="BK12" s="2043">
        <f>+IS!BK9</f>
        <v>598</v>
      </c>
      <c r="BL12" s="2044">
        <f>+IS!BL9</f>
        <v>662.4</v>
      </c>
      <c r="BM12" s="2044">
        <f>+IS!BM9</f>
        <v>714</v>
      </c>
      <c r="BN12" s="2044">
        <f>+IS!BN9</f>
        <v>777.7</v>
      </c>
      <c r="BO12" s="188">
        <f>+SUM(BK12:BN12)</f>
        <v>2752.1000000000004</v>
      </c>
      <c r="BP12" s="2044"/>
      <c r="BQ12" s="2043">
        <f>+IS!BQ9</f>
        <v>782</v>
      </c>
      <c r="BR12" s="2044">
        <f>+IS!BR9</f>
        <v>790.43216979006502</v>
      </c>
      <c r="BS12" s="2044">
        <f>+IS!BS9</f>
        <v>805.6766484806891</v>
      </c>
      <c r="BT12" s="2044">
        <f>+IS!BT9</f>
        <v>840.31812717131322</v>
      </c>
      <c r="BU12" s="188">
        <f>+SUM(BQ12:BT12)</f>
        <v>3218.4269454420673</v>
      </c>
      <c r="BV12" s="2044"/>
      <c r="BW12" s="2043">
        <f>+IS!BW9</f>
        <v>872.66311950238219</v>
      </c>
      <c r="BX12" s="2044">
        <f>+IS!BX9</f>
        <v>870.22373106422003</v>
      </c>
      <c r="BY12" s="2044">
        <f>+IS!BY9</f>
        <v>882.06875801067326</v>
      </c>
      <c r="BZ12" s="2044">
        <f>+IS!BZ9</f>
        <v>917.82797726481908</v>
      </c>
      <c r="CA12" s="188">
        <f>+SUM(BW12:BZ12)</f>
        <v>3542.7835858420949</v>
      </c>
      <c r="CB12" s="2044"/>
      <c r="CC12" s="2043">
        <f>+IS!CC9</f>
        <v>961.28431101600609</v>
      </c>
      <c r="CD12" s="2044">
        <f>+IS!CD9</f>
        <v>959.45288335890916</v>
      </c>
      <c r="CE12" s="2044">
        <f>+IS!CE9</f>
        <v>972.24722094441574</v>
      </c>
      <c r="CF12" s="2044">
        <f>+IS!CF9</f>
        <v>1013.0584482932361</v>
      </c>
      <c r="CG12" s="188">
        <f>+SUM(CC12:CF12)</f>
        <v>3906.0428636125671</v>
      </c>
      <c r="CH12" s="2044"/>
      <c r="CI12" s="2043">
        <f>+IS!CU9</f>
        <v>0</v>
      </c>
      <c r="CJ12" s="2044">
        <f>+IS!CV9</f>
        <v>0</v>
      </c>
      <c r="CK12" s="2044">
        <f>+IS!CW9</f>
        <v>0</v>
      </c>
      <c r="CL12" s="2044">
        <f>+IS!CX9</f>
        <v>0</v>
      </c>
      <c r="CM12" s="188">
        <f>+SUM(CI12:CL12)</f>
        <v>0</v>
      </c>
      <c r="CN12" s="2044"/>
      <c r="CO12" s="2043">
        <f>+IS!DA9</f>
        <v>0</v>
      </c>
      <c r="CP12" s="2044">
        <f>+IS!DB9</f>
        <v>0</v>
      </c>
      <c r="CQ12" s="2044">
        <f>+IS!DC9</f>
        <v>0</v>
      </c>
      <c r="CR12" s="2044">
        <f>+IS!DD9</f>
        <v>0</v>
      </c>
      <c r="CS12" s="188">
        <f>+SUM(CO12:CR12)</f>
        <v>0</v>
      </c>
      <c r="CT12" s="9"/>
      <c r="CU12" s="9"/>
      <c r="CV12" s="9"/>
      <c r="CW12" s="9"/>
      <c r="CX12" s="815"/>
      <c r="CY12" s="2367"/>
      <c r="CZ12" s="68"/>
      <c r="DA12" s="68"/>
      <c r="DB12" s="68"/>
      <c r="DC12" s="68"/>
      <c r="DD12" s="68"/>
      <c r="DE12" s="68"/>
      <c r="DF12" s="68"/>
      <c r="DG12" s="68"/>
      <c r="DH12" s="68"/>
      <c r="DI12" s="68"/>
      <c r="DJ12" s="68"/>
      <c r="DK12" s="68"/>
      <c r="DL12" s="68"/>
      <c r="DM12" s="68"/>
      <c r="DN12" s="68"/>
      <c r="DO12" s="68"/>
      <c r="DP12" s="68"/>
      <c r="DQ12" s="68"/>
      <c r="DR12" s="68"/>
      <c r="DS12" s="68"/>
      <c r="DT12" s="68"/>
      <c r="DU12" s="68"/>
      <c r="DV12" s="68"/>
      <c r="DW12" s="68"/>
      <c r="DX12" s="68"/>
    </row>
    <row r="13" spans="1:128">
      <c r="A13" s="1972" t="s">
        <v>585</v>
      </c>
      <c r="B13" s="63"/>
      <c r="C13" s="2043">
        <f>+RevBuild!C43+RevBuild!C24</f>
        <v>19.605119999999999</v>
      </c>
      <c r="D13" s="2044">
        <f>+RevBuild!D43+RevBuild!D24</f>
        <v>25.4</v>
      </c>
      <c r="E13" s="2044">
        <f>+RevBuild!E43+RevBuild!E24</f>
        <v>34.1</v>
      </c>
      <c r="F13" s="2044">
        <f>+RevBuild!F43+RevBuild!F24</f>
        <v>41.8</v>
      </c>
      <c r="G13" s="2045">
        <f>+RevBuild!G43+RevBuild!G24</f>
        <v>120.90512000000001</v>
      </c>
      <c r="H13" s="2044"/>
      <c r="I13" s="2043">
        <f>+(RevBuild!C9*((RevBuild!I9/RevBuild!C9)-I11))</f>
        <v>44.273200000000003</v>
      </c>
      <c r="J13" s="2044">
        <f>+(RevBuild!D9*((RevBuild!J9/RevBuild!D9)-J11))</f>
        <v>43.2</v>
      </c>
      <c r="K13" s="2044">
        <f>+(RevBuild!E9*((RevBuild!K9/RevBuild!E9)-K11))</f>
        <v>46.8</v>
      </c>
      <c r="L13" s="2044">
        <f>+(RevBuild!F9*((RevBuild!L9/RevBuild!F9)-L11))</f>
        <v>51.426799999999986</v>
      </c>
      <c r="M13" s="2045">
        <f>+(RevBuild!G9*((RevBuild!M9/RevBuild!G9)-M11))</f>
        <v>185.7</v>
      </c>
      <c r="N13" s="2046"/>
      <c r="O13" s="2043">
        <f>+(RevBuild!I9*((RevBuild!O9/RevBuild!I9)-O11))</f>
        <v>50.4</v>
      </c>
      <c r="P13" s="2044">
        <f>+(RevBuild!J9*((RevBuild!P9/RevBuild!J9)-P11))</f>
        <v>53.8</v>
      </c>
      <c r="Q13" s="2044">
        <f>+(RevBuild!K9*((RevBuild!Q9/RevBuild!K9)-Q11))</f>
        <v>60.699999999999996</v>
      </c>
      <c r="R13" s="2044">
        <f>+(RevBuild!L9*((RevBuild!R9/RevBuild!L9)-R11))</f>
        <v>60.800000000000011</v>
      </c>
      <c r="S13" s="2045">
        <f>+(RevBuild!M9*((RevBuild!S9/RevBuild!M9)-S11))</f>
        <v>225.69999999999996</v>
      </c>
      <c r="T13" s="2046"/>
      <c r="U13" s="2043">
        <f>+(RevBuild!O9*((RevBuild!U9/RevBuild!O9)-U11))</f>
        <v>55.352495885248068</v>
      </c>
      <c r="V13" s="2044">
        <f>+(RevBuild!P9*((RevBuild!V9/RevBuild!P9)-V11))</f>
        <v>70.063598764787855</v>
      </c>
      <c r="W13" s="2044">
        <f>+(RevBuild!Q9*((RevBuild!W9/RevBuild!Q9)-W11))</f>
        <v>88.082438503776274</v>
      </c>
      <c r="X13" s="2044">
        <f>+(RevBuild!R9*((RevBuild!X9/RevBuild!R9)-X11))</f>
        <v>109.84321612950666</v>
      </c>
      <c r="Y13" s="2045">
        <f>+(RevBuild!S9*((RevBuild!Y9/RevBuild!S9)-Y11))</f>
        <v>323.10202171902773</v>
      </c>
      <c r="Z13" s="2046"/>
      <c r="AA13" s="2043">
        <f>+(RevBuild!U9*((RevBuild!AA9/RevBuild!U9)-AA11))</f>
        <v>111.8749577344154</v>
      </c>
      <c r="AB13" s="2044">
        <f>+(RevBuild!V9*((RevBuild!AB9/RevBuild!V9)-AB11))</f>
        <v>101.78575191292643</v>
      </c>
      <c r="AC13" s="2044">
        <f>+(RevBuild!W9*((RevBuild!AC9/RevBuild!W9)-AC11))</f>
        <v>67.469138624472677</v>
      </c>
      <c r="AD13" s="2044">
        <f>+(RevBuild!X9*((RevBuild!AD9/RevBuild!X9)-AD11))</f>
        <v>79.118553524928217</v>
      </c>
      <c r="AE13" s="2045">
        <f>+(RevBuild!Y9*((RevBuild!AE9/RevBuild!Y9)-AE11))</f>
        <v>359.59091619815115</v>
      </c>
      <c r="AF13" s="2046"/>
      <c r="AG13" s="2043">
        <f>+(RevBuild!AA9*((RevBuild!AG9/RevBuild!AA9)-AG11))</f>
        <v>79.953378992941907</v>
      </c>
      <c r="AH13" s="2044">
        <f>+(RevBuild!AB9*((RevBuild!AH9/RevBuild!AB9)-AH11))</f>
        <v>75.239962787124384</v>
      </c>
      <c r="AI13" s="2044">
        <f>+(RevBuild!AC9*((RevBuild!AI9/RevBuild!AC9)-AI11))</f>
        <v>84.543782045420159</v>
      </c>
      <c r="AJ13" s="2044">
        <f>+(RevBuild!AD9*((RevBuild!AJ9/RevBuild!AD9)-AJ11))</f>
        <v>80.918333054148576</v>
      </c>
      <c r="AK13" s="2045">
        <f>+(RevBuild!AE9*((RevBuild!AK9/RevBuild!AE9)-AK11))</f>
        <v>320.89982966707009</v>
      </c>
      <c r="AL13" s="2046"/>
      <c r="AM13" s="2043">
        <f>+(RevBuild!AG9*((RevBuild!AM9/RevBuild!AG9)-AM11))</f>
        <v>92.149434917004399</v>
      </c>
      <c r="AN13" s="2044">
        <f>+(RevBuild!AH9*((RevBuild!AN9/RevBuild!AH9)-AN11))</f>
        <v>97.363060158847006</v>
      </c>
      <c r="AO13" s="2044">
        <f>+(RevBuild!AI9*((RevBuild!AO9/RevBuild!AI9)-AO11))</f>
        <v>97.950683500740396</v>
      </c>
      <c r="AP13" s="2044">
        <f>+(RevBuild!AJ9*((RevBuild!AP9/RevBuild!AJ9)-AP11))</f>
        <v>91.215513014808849</v>
      </c>
      <c r="AQ13" s="2045">
        <f>+(RevBuild!AK9*((RevBuild!AQ9/RevBuild!AK9)-AQ11))</f>
        <v>378.80429922501133</v>
      </c>
      <c r="AR13" s="2046"/>
      <c r="AS13" s="2043">
        <f>+(RevBuild!AM9*((RevBuild!AS9/RevBuild!AM9)-AS11))</f>
        <v>115.32679863697705</v>
      </c>
      <c r="AT13" s="2044">
        <f>+(RevBuild!AN9*((RevBuild!AT9/RevBuild!AN9)-AT11))</f>
        <v>139.31670159764516</v>
      </c>
      <c r="AU13" s="2044">
        <f>+(RevBuild!AO9*((RevBuild!AU9/RevBuild!AO9)-AU11))</f>
        <v>149.9314455776628</v>
      </c>
      <c r="AV13" s="2044">
        <f>+(RevBuild!AP9*((RevBuild!AV9/RevBuild!AP9)-AV11))</f>
        <v>157.43595288238262</v>
      </c>
      <c r="AW13" s="2045">
        <f>+(RevBuild!AQ9*((RevBuild!AW9/RevBuild!AQ9)-AW11))</f>
        <v>562.26187901681874</v>
      </c>
      <c r="AX13" s="2046"/>
      <c r="AY13" s="2043">
        <f>+(RevBuild!AS9*((RevBuild!AY9/RevBuild!AS9)-AY11))</f>
        <v>151.79000000000002</v>
      </c>
      <c r="AZ13" s="2044">
        <f>+(RevBuild!AT9*((RevBuild!AZ9/RevBuild!AT9)-AZ11))</f>
        <v>160.88840000000002</v>
      </c>
      <c r="BA13" s="2044">
        <f>+(RevBuild!AU9*((RevBuild!BA9/RevBuild!AU9)-BA11))</f>
        <v>151</v>
      </c>
      <c r="BB13" s="2044">
        <f>+(RevBuild!AV9*((RevBuild!BB9/RevBuild!AV9)-BB11))</f>
        <v>152.36799999999999</v>
      </c>
      <c r="BC13" s="2045">
        <f>+(RevBuild!AW9*((RevBuild!BC9/RevBuild!AW9)-BC11))</f>
        <v>616.16430128755462</v>
      </c>
      <c r="BD13" s="2046"/>
      <c r="BE13" s="2043">
        <f>+(RevBuild!AY9*((RevBuild!BE9/RevBuild!AY9)-BE11))</f>
        <v>119.46000000000001</v>
      </c>
      <c r="BF13" s="2044">
        <f>+(RevBuild!AZ9*((RevBuild!BF9/RevBuild!AZ9)-BF11))</f>
        <v>125.42782187282917</v>
      </c>
      <c r="BG13" s="2044">
        <f>+(RevBuild!BA9*((RevBuild!BG9/RevBuild!BA9)-BG11))</f>
        <v>111.86434396352672</v>
      </c>
      <c r="BH13" s="2044">
        <f>+(RevBuild!BB9*((RevBuild!BH9/RevBuild!BB9)-BH11))</f>
        <v>115.12706637599973</v>
      </c>
      <c r="BI13" s="2045">
        <f>+(RevBuild!BC9*((RevBuild!BI9/RevBuild!BC9)-BI11))</f>
        <v>471.97706018935412</v>
      </c>
      <c r="BJ13" s="2044"/>
      <c r="BK13" s="2043">
        <f>+(RevBuild!BE9*((RevBuild!BK9/RevBuild!BE9)-BK11))</f>
        <v>100.58999999999999</v>
      </c>
      <c r="BL13" s="2044">
        <f>+(RevBuild!BF9*((RevBuild!BL9/RevBuild!BF9)-BL11))</f>
        <v>136.62999999999997</v>
      </c>
      <c r="BM13" s="2044">
        <f>+(RevBuild!BG9*((RevBuild!BM9/RevBuild!BG9)-BM11))</f>
        <v>139.44</v>
      </c>
      <c r="BN13" s="2044">
        <f>+(RevBuild!BH9*((RevBuild!BN9/RevBuild!BH9)-BN11))</f>
        <v>137.17599999999999</v>
      </c>
      <c r="BO13" s="2045">
        <f>+(RevBuild!BI9*((RevBuild!BO9/RevBuild!BI9)-BO11))</f>
        <v>513.61165159344512</v>
      </c>
      <c r="BP13" s="2044"/>
      <c r="BQ13" s="2043">
        <f>+(RevBuild!BK9*((RevBuild!BQ9/RevBuild!BK9)-BQ11))</f>
        <v>114.99999999999999</v>
      </c>
      <c r="BR13" s="2044">
        <f>+(RevBuild!BL9*((RevBuild!BR9/RevBuild!BL9)-BR11))</f>
        <v>123.91999999999999</v>
      </c>
      <c r="BS13" s="2044">
        <f>+(RevBuild!BM9*((RevBuild!BS9/RevBuild!BM9)-BS11))</f>
        <v>129.28074999999998</v>
      </c>
      <c r="BT13" s="2044">
        <f>+(RevBuild!BN9*((RevBuild!BT9/RevBuild!BN9)-BT11))</f>
        <v>129.29074999999997</v>
      </c>
      <c r="BU13" s="2045">
        <f>+(RevBuild!BO9*((RevBuild!BU9/RevBuild!BO9)-BU11))</f>
        <v>497.42197397532584</v>
      </c>
      <c r="BV13" s="2044"/>
      <c r="BW13" s="2043">
        <f>+(RevBuild!BQ9*((RevBuild!BW9/RevBuild!BQ9)-BW11))</f>
        <v>113.77675000000001</v>
      </c>
      <c r="BX13" s="2044">
        <f>+(RevBuild!BR9*((RevBuild!BX9/RevBuild!BR9)-BX11))</f>
        <v>113.77675000000001</v>
      </c>
      <c r="BY13" s="2044">
        <f>+(RevBuild!BS9*((RevBuild!BY9/RevBuild!BS9)-BY11))</f>
        <v>113.77675000000001</v>
      </c>
      <c r="BZ13" s="2044">
        <f>+(RevBuild!BT9*((RevBuild!BZ9/RevBuild!BT9)-BZ11))</f>
        <v>113.77675000000001</v>
      </c>
      <c r="CA13" s="2045">
        <f>+(RevBuild!BU9*((RevBuild!CA9/RevBuild!BU9)-CA11))</f>
        <v>455.10700000000003</v>
      </c>
      <c r="CB13" s="2044"/>
      <c r="CC13" s="2043">
        <f>+(RevBuild!BW9*((RevBuild!CC9/RevBuild!BW9)-CC11))</f>
        <v>107.2205</v>
      </c>
      <c r="CD13" s="2044">
        <f>+(RevBuild!BX9*((RevBuild!CD9/RevBuild!BX9)-CD11))</f>
        <v>107.2205</v>
      </c>
      <c r="CE13" s="2044">
        <f>+(RevBuild!BY9*((RevBuild!CE9/RevBuild!BY9)-CE11))</f>
        <v>107.2205</v>
      </c>
      <c r="CF13" s="2044">
        <f>+(RevBuild!BZ9*((RevBuild!CF9/RevBuild!BZ9)-CF11))</f>
        <v>107.2205</v>
      </c>
      <c r="CG13" s="2045">
        <f>+(RevBuild!CA9*((RevBuild!CG9/RevBuild!CA9)-CG11))</f>
        <v>428.88200000000001</v>
      </c>
      <c r="CH13" s="2044"/>
      <c r="CI13" s="2043">
        <f>+(RevBuild!CC9*((RevBuild!CI9/RevBuild!CC9)-CI11))</f>
        <v>106.82050000000001</v>
      </c>
      <c r="CJ13" s="2044">
        <f>+(RevBuild!CD9*((RevBuild!CJ9/RevBuild!CD9)-CJ11))</f>
        <v>106.82050000000001</v>
      </c>
      <c r="CK13" s="2044">
        <f>+(RevBuild!CE9*((RevBuild!CK9/RevBuild!CE9)-CK11))</f>
        <v>106.82050000000001</v>
      </c>
      <c r="CL13" s="2044">
        <f>+(RevBuild!CF9*((RevBuild!CL9/RevBuild!CF9)-CL11))</f>
        <v>106.82050000000001</v>
      </c>
      <c r="CM13" s="2045">
        <f>+(RevBuild!CG9*((RevBuild!CM9/RevBuild!CG9)-CM11))</f>
        <v>427.28199999999993</v>
      </c>
      <c r="CN13" s="2044"/>
      <c r="CO13" s="2043">
        <f>+(RevBuild!CI9*((RevBuild!CO9/RevBuild!CI9)-CO11))</f>
        <v>106.4205</v>
      </c>
      <c r="CP13" s="2044">
        <f>+(RevBuild!CJ9*((RevBuild!CP9/RevBuild!CJ9)-CP11))</f>
        <v>106.4205</v>
      </c>
      <c r="CQ13" s="2044">
        <f>+(RevBuild!CK9*((RevBuild!CQ9/RevBuild!CK9)-CQ11))</f>
        <v>106.4205</v>
      </c>
      <c r="CR13" s="2044">
        <f>+(RevBuild!CL9*((RevBuild!CR9/RevBuild!CL9)-CR11))</f>
        <v>106.4205</v>
      </c>
      <c r="CS13" s="2045">
        <f>+(RevBuild!CM9*((RevBuild!CS9/RevBuild!CM9)-CS11))</f>
        <v>425.68200000000013</v>
      </c>
      <c r="CT13" s="2044"/>
      <c r="CU13" s="2044"/>
      <c r="CV13" s="2044"/>
      <c r="CW13" s="2044"/>
      <c r="CX13" s="60"/>
      <c r="CY13" s="2368"/>
      <c r="CZ13" s="60"/>
      <c r="DA13" s="60"/>
      <c r="DB13" s="60"/>
      <c r="DC13" s="60"/>
      <c r="DD13" s="60"/>
      <c r="DE13" s="60"/>
      <c r="DF13" s="60"/>
      <c r="DG13" s="60"/>
      <c r="DH13" s="60"/>
      <c r="DI13" s="60"/>
      <c r="DJ13" s="60"/>
      <c r="DK13" s="60"/>
      <c r="DL13" s="60"/>
      <c r="DM13" s="68"/>
      <c r="DN13" s="68"/>
      <c r="DO13" s="68"/>
      <c r="DP13" s="68"/>
      <c r="DQ13" s="68"/>
      <c r="DR13" s="68"/>
      <c r="DS13" s="68"/>
      <c r="DT13" s="68"/>
      <c r="DU13" s="68"/>
      <c r="DV13" s="68"/>
      <c r="DW13" s="68"/>
      <c r="DX13" s="68"/>
    </row>
    <row r="14" spans="1:128">
      <c r="A14" s="1972" t="s">
        <v>562</v>
      </c>
      <c r="B14" s="63"/>
      <c r="C14" s="2047">
        <f>+RevBuild!C109+RevBuild!C140+RevBuild!C103+RevBuild!C91+RevBuild!C81+RevBuild!C72+RevBuild!C64+RevBuild!C55+RevBuild!C52+RevBuild!C46+RevBuild!C58+RevBuild!C27+RevBuild!C49</f>
        <v>45</v>
      </c>
      <c r="D14" s="2048">
        <f>+RevBuild!D109+RevBuild!D140+RevBuild!D103+RevBuild!D91+RevBuild!D81+RevBuild!D72+RevBuild!D64+RevBuild!D55+RevBuild!D52+RevBuild!D46+RevBuild!D58+RevBuild!D27+RevBuild!D49</f>
        <v>55</v>
      </c>
      <c r="E14" s="2048">
        <f>+RevBuild!E109+RevBuild!E140+RevBuild!E103+RevBuild!E91+RevBuild!E81+RevBuild!E72+RevBuild!E64+RevBuild!E55+RevBuild!E52+RevBuild!E46+RevBuild!E58+RevBuild!E27+RevBuild!E49</f>
        <v>68</v>
      </c>
      <c r="F14" s="2048">
        <f>+RevBuild!F109+RevBuild!F140+RevBuild!F103+RevBuild!F91+RevBuild!F81+RevBuild!F72+RevBuild!F64+RevBuild!F55+RevBuild!F52+RevBuild!F46+RevBuild!F58+RevBuild!F27+RevBuild!F49</f>
        <v>80</v>
      </c>
      <c r="G14" s="2049">
        <f>+RevBuild!G109+RevBuild!G140+RevBuild!G103+RevBuild!G91+RevBuild!G81+RevBuild!G72+RevBuild!G64+RevBuild!G55+RevBuild!G52+RevBuild!G46+RevBuild!G58+RevBuild!G27+RevBuild!G49</f>
        <v>248</v>
      </c>
      <c r="H14" s="2044"/>
      <c r="I14" s="2047">
        <f>+RevBuild!I109+RevBuild!I140+RevBuild!I103+RevBuild!I91+RevBuild!I81+RevBuild!I72+RevBuild!I64+RevBuild!I55+RevBuild!I52+RevBuild!I46+RevBuild!I58+RevBuild!I27+RevBuild!I49</f>
        <v>94</v>
      </c>
      <c r="J14" s="2048">
        <f>+RevBuild!J109+RevBuild!J140+RevBuild!J103+RevBuild!J91+RevBuild!J81+RevBuild!J72+RevBuild!J64+RevBuild!J55+RevBuild!J52+RevBuild!J46+RevBuild!J58+RevBuild!J27+RevBuild!J49</f>
        <v>93</v>
      </c>
      <c r="K14" s="2048">
        <f>+RevBuild!K109+RevBuild!K140+RevBuild!K103+RevBuild!K91+RevBuild!K81+RevBuild!K72+RevBuild!K64+RevBuild!K55+RevBuild!K52+RevBuild!K46+RevBuild!K58+RevBuild!K27+RevBuild!K49</f>
        <v>103</v>
      </c>
      <c r="L14" s="2048">
        <f>+RevBuild!L109+RevBuild!L140+RevBuild!L103+RevBuild!L91+RevBuild!L81+RevBuild!L72+RevBuild!L64+RevBuild!L55+RevBuild!L52+RevBuild!L46+RevBuild!L58+RevBuild!L27+RevBuild!L49</f>
        <v>116</v>
      </c>
      <c r="M14" s="2049">
        <f>+RevBuild!M109+RevBuild!M140+RevBuild!M103+RevBuild!M91+RevBuild!M81+RevBuild!M72+RevBuild!M64+RevBuild!M55+RevBuild!M52+RevBuild!M46+RevBuild!M58+RevBuild!M27+RevBuild!M49</f>
        <v>406</v>
      </c>
      <c r="N14" s="2046"/>
      <c r="O14" s="2047">
        <f>+RevBuild!O109+RevBuild!O140+RevBuild!O103+RevBuild!O91+RevBuild!O81+RevBuild!O72+RevBuild!O64+RevBuild!O55+RevBuild!O52+RevBuild!O46+RevBuild!O58+RevBuild!O27+RevBuild!O49</f>
        <v>133</v>
      </c>
      <c r="P14" s="2048">
        <f>+RevBuild!P109+RevBuild!P140+RevBuild!P103+RevBuild!P91+RevBuild!P81+RevBuild!P72+RevBuild!P64+RevBuild!P55+RevBuild!P52+RevBuild!P46+RevBuild!P58+RevBuild!P27+RevBuild!P49</f>
        <v>139</v>
      </c>
      <c r="Q14" s="2048">
        <f>+RevBuild!Q109+RevBuild!Q140+RevBuild!Q103+RevBuild!Q91+RevBuild!Q81+RevBuild!Q72+RevBuild!Q64+RevBuild!Q55+RevBuild!Q52+RevBuild!Q46+RevBuild!Q58+RevBuild!Q27+RevBuild!Q49</f>
        <v>150</v>
      </c>
      <c r="R14" s="2048">
        <f>+RevBuild!R109+RevBuild!R140+RevBuild!R103+RevBuild!R91+RevBuild!R81+RevBuild!R72+RevBuild!R64+RevBuild!R55+RevBuild!R52+RevBuild!R46+RevBuild!R58+RevBuild!R27+RevBuild!R49</f>
        <v>152</v>
      </c>
      <c r="S14" s="2049">
        <f>+RevBuild!S109+RevBuild!S140+RevBuild!S103+RevBuild!S91+RevBuild!S81+RevBuild!S72+RevBuild!S64+RevBuild!S55+RevBuild!S52+RevBuild!S46+RevBuild!S58+RevBuild!S27+RevBuild!S49</f>
        <v>574</v>
      </c>
      <c r="T14" s="2046"/>
      <c r="U14" s="2047">
        <f>+RevBuild!U109+RevBuild!U140+RevBuild!U103+RevBuild!U91+RevBuild!U81+RevBuild!U72+RevBuild!U64+RevBuild!U55+RevBuild!U52+RevBuild!U46+RevBuild!U58+RevBuild!U27+RevBuild!U49</f>
        <v>173</v>
      </c>
      <c r="V14" s="2048">
        <f>+RevBuild!V109+RevBuild!V140+RevBuild!V103+RevBuild!V91+RevBuild!V81+RevBuild!V72+RevBuild!V64+RevBuild!V55+RevBuild!V52+RevBuild!V46+RevBuild!V58+RevBuild!V27+RevBuild!V49</f>
        <v>177</v>
      </c>
      <c r="W14" s="2048">
        <f>+RevBuild!W109+RevBuild!W140+RevBuild!W103+RevBuild!W91+RevBuild!W81+RevBuild!W72+RevBuild!W64+RevBuild!W55+RevBuild!W52+RevBuild!W46+RevBuild!W58+RevBuild!W27+RevBuild!W49</f>
        <v>162</v>
      </c>
      <c r="X14" s="2048">
        <f>+RevBuild!X109+RevBuild!X140+RevBuild!X103+RevBuild!X91+RevBuild!X81+RevBuild!X72+RevBuild!X64+RevBuild!X55+RevBuild!X52+RevBuild!X46+RevBuild!X58+RevBuild!X27+RevBuild!X49</f>
        <v>224</v>
      </c>
      <c r="Y14" s="2049">
        <f>+RevBuild!Y109+RevBuild!Y140+RevBuild!Y103+RevBuild!Y91+RevBuild!Y81+RevBuild!Y72+RevBuild!Y64+RevBuild!Y55+RevBuild!Y52+RevBuild!Y46+RevBuild!Y58+RevBuild!Y27+RevBuild!Y49</f>
        <v>736</v>
      </c>
      <c r="Z14" s="2046"/>
      <c r="AA14" s="2047">
        <f>+RevBuild!AA109+RevBuild!AA140+RevBuild!AA103+RevBuild!AA91+RevBuild!AA81+RevBuild!AA72+RevBuild!AA64+RevBuild!AA55+RevBuild!AA52+RevBuild!AA46+RevBuild!AA58+RevBuild!AA27+RevBuild!AA49</f>
        <v>172</v>
      </c>
      <c r="AB14" s="2048">
        <f>+RevBuild!AB109+RevBuild!AB140+RevBuild!AB103+RevBuild!AB91+RevBuild!AB81+RevBuild!AB72+RevBuild!AB64+RevBuild!AB55+RevBuild!AB52+RevBuild!AB46+RevBuild!AB58+RevBuild!AB27+RevBuild!AB49</f>
        <v>177</v>
      </c>
      <c r="AC14" s="2048">
        <f>+RevBuild!AC109+RevBuild!AC140+RevBuild!AC103+RevBuild!AC91+RevBuild!AC81+RevBuild!AC72+RevBuild!AC64+RevBuild!AC55+RevBuild!AC52+RevBuild!AC46+RevBuild!AC58+RevBuild!AC27+RevBuild!AC49</f>
        <v>190</v>
      </c>
      <c r="AD14" s="2048">
        <f>+RevBuild!AD109+RevBuild!AD140+RevBuild!AD103+RevBuild!AD91+RevBuild!AD81+RevBuild!AD72+RevBuild!AD64+RevBuild!AD55+RevBuild!AD52+RevBuild!AD46+RevBuild!AD58+RevBuild!AD27+RevBuild!AD49</f>
        <v>286</v>
      </c>
      <c r="AE14" s="2049">
        <f>+RevBuild!AE109+RevBuild!AE140+RevBuild!AE103+RevBuild!AE91+RevBuild!AE81+RevBuild!AE72+RevBuild!AE64+RevBuild!AE55+RevBuild!AE52+RevBuild!AE46+RevBuild!AE58+RevBuild!AE27+RevBuild!AE49</f>
        <v>825</v>
      </c>
      <c r="AF14" s="2046"/>
      <c r="AG14" s="2047">
        <f>+RevBuild!AG109+RevBuild!AG140+RevBuild!AG103+RevBuild!AG91+RevBuild!AG81+RevBuild!AG72+RevBuild!AG64+RevBuild!AG55+RevBuild!AG52+RevBuild!AG46+RevBuild!AG58+RevBuild!AG27+RevBuild!AG49</f>
        <v>370</v>
      </c>
      <c r="AH14" s="2048">
        <f>+RevBuild!AH109+RevBuild!AH140+RevBuild!AH103+RevBuild!AH91+RevBuild!AH81+RevBuild!AH72+RevBuild!AH64+RevBuild!AH55+RevBuild!AH52+RevBuild!AH46+RevBuild!AH58+RevBuild!AH27+RevBuild!AH49</f>
        <v>352</v>
      </c>
      <c r="AI14" s="2048">
        <f>+RevBuild!AI109+RevBuild!AI140+RevBuild!AI103+RevBuild!AI91+RevBuild!AI81+RevBuild!AI72+RevBuild!AI64+RevBuild!AI55+RevBuild!AI52+RevBuild!AI46+RevBuild!AI58+RevBuild!AI27+RevBuild!AI49</f>
        <v>411</v>
      </c>
      <c r="AJ14" s="2048">
        <f>+RevBuild!AJ109+RevBuild!AJ140+RevBuild!AJ103+RevBuild!AJ91+RevBuild!AJ81+RevBuild!AJ72+RevBuild!AJ64+RevBuild!AJ55+RevBuild!AJ52+RevBuild!AJ46+RevBuild!AJ58+RevBuild!AJ27+RevBuild!AJ49</f>
        <v>409</v>
      </c>
      <c r="AK14" s="2049">
        <f>+RevBuild!AK109+RevBuild!AK140+RevBuild!AK103+RevBuild!AK91+RevBuild!AK81+RevBuild!AK72+RevBuild!AK64+RevBuild!AK55+RevBuild!AK52+RevBuild!AK46+RevBuild!AK58+RevBuild!AK27+RevBuild!AK49</f>
        <v>1542</v>
      </c>
      <c r="AL14" s="2046"/>
      <c r="AM14" s="2047">
        <f>+RevBuild!AM109+RevBuild!AM140+RevBuild!AM103+RevBuild!AM91+RevBuild!AM81+RevBuild!AM72+RevBuild!AM64+RevBuild!AM55+RevBuild!AM52+RevBuild!AM46+RevBuild!AM58+RevBuild!AM27+RevBuild!AM49</f>
        <v>411</v>
      </c>
      <c r="AN14" s="2048">
        <f>+RevBuild!AN109+RevBuild!AN140+RevBuild!AN103+RevBuild!AN91+RevBuild!AN81+RevBuild!AN72+RevBuild!AN64+RevBuild!AN55+RevBuild!AN52+RevBuild!AN46+RevBuild!AN58+RevBuild!AN27+RevBuild!AN49</f>
        <v>393</v>
      </c>
      <c r="AO14" s="2048">
        <f>+RevBuild!AO109+RevBuild!AO140+RevBuild!AO103+RevBuild!AO91+RevBuild!AO81+RevBuild!AO72+RevBuild!AO64+RevBuild!AO55+RevBuild!AO52+RevBuild!AO46+RevBuild!AO58+RevBuild!AO27+RevBuild!AO49</f>
        <v>420</v>
      </c>
      <c r="AP14" s="2048">
        <f>+RevBuild!AP109+RevBuild!AP140+RevBuild!AP103+RevBuild!AP91+RevBuild!AP81+RevBuild!AP72+RevBuild!AP64+RevBuild!AP55+RevBuild!AP52+RevBuild!AP46+RevBuild!AP58+RevBuild!AP27+RevBuild!AP49</f>
        <v>414</v>
      </c>
      <c r="AQ14" s="2049">
        <f>+RevBuild!AQ109+RevBuild!AQ140+RevBuild!AQ103+RevBuild!AQ91+RevBuild!AQ81+RevBuild!AQ72+RevBuild!AQ64+RevBuild!AQ55+RevBuild!AQ52+RevBuild!AQ46+RevBuild!AQ58+RevBuild!AQ27+RevBuild!AQ49</f>
        <v>1638</v>
      </c>
      <c r="AR14" s="2046"/>
      <c r="AS14" s="2047">
        <f>+RevBuild!AS109+RevBuild!AS140+RevBuild!AS103+RevBuild!AS91+RevBuild!AS81+RevBuild!AS72+RevBuild!AS64+RevBuild!AS55+RevBuild!AS52+RevBuild!AS46+RevBuild!AS58+RevBuild!AS27+RevBuild!AS49</f>
        <v>537</v>
      </c>
      <c r="AT14" s="2048">
        <f>+RevBuild!AT109+RevBuild!AT140+RevBuild!AT103+RevBuild!AT91+RevBuild!AT81+RevBuild!AT72+RevBuild!AT64+RevBuild!AT55+RevBuild!AT52+RevBuild!AT46+RevBuild!AT58+RevBuild!AT27+RevBuild!AT49</f>
        <v>564</v>
      </c>
      <c r="AU14" s="2048">
        <f>+RevBuild!AU109+RevBuild!AU140+RevBuild!AU103+RevBuild!AU91+RevBuild!AU81+RevBuild!AU72+RevBuild!AU64+RevBuild!AU55+RevBuild!AU52+RevBuild!AU46+RevBuild!AU58+RevBuild!AU27+RevBuild!AU49</f>
        <v>570</v>
      </c>
      <c r="AV14" s="2048">
        <f>+RevBuild!AV109+RevBuild!AV140+RevBuild!AV103+RevBuild!AV91+RevBuild!AV81+RevBuild!AV72+RevBuild!AV64+RevBuild!AV55+RevBuild!AV52+RevBuild!AV46+RevBuild!AV58+RevBuild!AV27+RevBuild!AV49</f>
        <v>619</v>
      </c>
      <c r="AW14" s="2049">
        <f>+RevBuild!AW109+RevBuild!AW140+RevBuild!AW103+RevBuild!AW91+RevBuild!AW81+RevBuild!AW72+RevBuild!AW64+RevBuild!AW55+RevBuild!AW52+RevBuild!AW46+RevBuild!AW58+RevBuild!AW27+RevBuild!AW49</f>
        <v>2290</v>
      </c>
      <c r="AX14" s="2046"/>
      <c r="AY14" s="2047">
        <f>+RevBuild!AY109+RevBuild!AY140+RevBuild!AY103+RevBuild!AY91+RevBuild!AY81+RevBuild!AY72+RevBuild!AY64+RevBuild!AY55+RevBuild!AY52+RevBuild!AY46+RevBuild!AY58+RevBuild!AY27+RevBuild!AY49</f>
        <v>576.19100000000003</v>
      </c>
      <c r="AZ14" s="2048">
        <f>+RevBuild!AZ109+RevBuild!AZ140+RevBuild!AZ103+RevBuild!AZ91+RevBuild!AZ81+RevBuild!AZ72+RevBuild!AZ64+RevBuild!AZ55+RevBuild!AZ52+RevBuild!AZ46+RevBuild!AZ58+RevBuild!AZ27+RevBuild!AZ49</f>
        <v>603.90588721804511</v>
      </c>
      <c r="BA14" s="2048">
        <f>+RevBuild!BA109+RevBuild!BA140+RevBuild!BA103+RevBuild!BA91+RevBuild!BA81+RevBuild!BA72+RevBuild!BA64+RevBuild!BA55+RevBuild!BA52+RevBuild!BA46+RevBuild!BA58+RevBuild!BA27+RevBuild!BA49</f>
        <v>560.7572481203008</v>
      </c>
      <c r="BB14" s="2048">
        <f>+RevBuild!BB109+RevBuild!BB140+RevBuild!BB103+RevBuild!BB91+RevBuild!BB81+RevBuild!BB72+RevBuild!BB64+RevBuild!BB55+RevBuild!BB52+RevBuild!BB46+RevBuild!BB58+RevBuild!BB27+RevBuild!BB49</f>
        <v>767.14440000000002</v>
      </c>
      <c r="BC14" s="2049">
        <f>+RevBuild!BC109+RevBuild!BC140+RevBuild!BC103+RevBuild!BC91+RevBuild!BC81+RevBuild!BC72+RevBuild!BC64+RevBuild!BC55+RevBuild!BC52+RevBuild!BC46+RevBuild!BC58+RevBuild!BC27+RevBuild!BC49</f>
        <v>2507.9985353383458</v>
      </c>
      <c r="BD14" s="2046"/>
      <c r="BE14" s="2047">
        <f>+RevBuild!BE109+RevBuild!BE140+RevBuild!BE103+RevBuild!BE91+RevBuild!BE81+RevBuild!BE72+RevBuild!BE64+RevBuild!BE55+RevBuild!BE52+RevBuild!BE46+RevBuild!BE58+RevBuild!BE27+RevBuild!BE49</f>
        <v>708.63426015037589</v>
      </c>
      <c r="BF14" s="2048">
        <f>+RevBuild!BF109+RevBuild!BF140+RevBuild!BF103+RevBuild!BF91+RevBuild!BF81+RevBuild!BF72+RevBuild!BF64+RevBuild!BF55+RevBuild!BF52+RevBuild!BF46+RevBuild!BF58+RevBuild!BF27+RevBuild!BF49</f>
        <v>713.99651215037591</v>
      </c>
      <c r="BG14" s="2048">
        <f>+RevBuild!BG109+RevBuild!BG140+RevBuild!BG103+RevBuild!BG91+RevBuild!BG81+RevBuild!BG72+RevBuild!BG64+RevBuild!BG55+RevBuild!BG52+RevBuild!BG46+RevBuild!BG58+RevBuild!BG27+RevBuild!BG49</f>
        <v>737.65648943999997</v>
      </c>
      <c r="BH14" s="2048">
        <f>+RevBuild!BH109+RevBuild!BH140+RevBuild!BH103+RevBuild!BH91+RevBuild!BH81+RevBuild!BH72+RevBuild!BH64+RevBuild!BH55+RevBuild!BH52+RevBuild!BH46+RevBuild!BH58+RevBuild!BH27+RevBuild!BH49</f>
        <v>686.29938982399995</v>
      </c>
      <c r="BI14" s="2049">
        <f>+RevBuild!BI109+RevBuild!BI140+RevBuild!BI103+RevBuild!BI91+RevBuild!BI81+RevBuild!BI72+RevBuild!BI64+RevBuild!BI55+RevBuild!BI52+RevBuild!BI46+RevBuild!BI58+RevBuild!BI27+RevBuild!BI49</f>
        <v>2846.5866515647517</v>
      </c>
      <c r="BJ14" s="2044"/>
      <c r="BK14" s="2043">
        <f>+RevBuild!BK109+RevBuild!BK140+RevBuild!BK103+RevBuild!BK91+RevBuild!BK81+RevBuild!BK72+RevBuild!BK64+RevBuild!BK55+RevBuild!BK52+RevBuild!BK46+RevBuild!BK58+RevBuild!BK27</f>
        <v>499.91326687360004</v>
      </c>
      <c r="BL14" s="2044">
        <f>+RevBuild!BL109+RevBuild!BL140+RevBuild!BL103+RevBuild!BL91+RevBuild!BL81+RevBuild!BL72+RevBuild!BL64+RevBuild!BL55+RevBuild!BL52+RevBuild!BL46+RevBuild!BL58+RevBuild!BL27</f>
        <v>420.04615052224</v>
      </c>
      <c r="BM14" s="2044">
        <f>+RevBuild!BM109+RevBuild!BM140+RevBuild!BM103+RevBuild!BM91+RevBuild!BM81+RevBuild!BM72+RevBuild!BM64+RevBuild!BM55+RevBuild!BM52+RevBuild!BM46+RevBuild!BM58+RevBuild!BM27</f>
        <v>495</v>
      </c>
      <c r="BN14" s="2044">
        <f>+RevBuild!BN109+RevBuild!BN140+RevBuild!BN103+RevBuild!BN91+RevBuild!BN81+RevBuild!BN72+RevBuild!BN64+RevBuild!BN55+RevBuild!BN52+RevBuild!BN46+RevBuild!BN58+RevBuild!BN27</f>
        <v>448</v>
      </c>
      <c r="BO14" s="2045">
        <f>+RevBuild!BO109+RevBuild!BO140+RevBuild!BO103+RevBuild!BO91+RevBuild!BO81+RevBuild!BO72+RevBuild!BO64+RevBuild!BO55+RevBuild!BO52+RevBuild!BO46+RevBuild!BO58+RevBuild!BO27</f>
        <v>1862.9594173958399</v>
      </c>
      <c r="BP14" s="2044"/>
      <c r="BQ14" s="2043">
        <f>+RevBuild!BQ109+RevBuild!BQ140+RevBuild!BQ103+RevBuild!BQ91+RevBuild!BQ81+RevBuild!BQ72+RevBuild!BQ64+RevBuild!BQ55+RevBuild!BQ52+RevBuild!BQ46+RevBuild!BQ58+RevBuild!BQ27</f>
        <v>415</v>
      </c>
      <c r="BR14" s="2044">
        <f>+RevBuild!BR109+RevBuild!BR140+RevBuild!BR103+RevBuild!BR91+RevBuild!BR81+RevBuild!BR72+RevBuild!BR64+RevBuild!BR55+RevBuild!BR52+RevBuild!BR46+RevBuild!BR58+RevBuild!BR27</f>
        <v>425</v>
      </c>
      <c r="BS14" s="2044">
        <f>+RevBuild!BS109+RevBuild!BS140+RevBuild!BS103+RevBuild!BS91+RevBuild!BS81+RevBuild!BS72+RevBuild!BS64+RevBuild!BS55+RevBuild!BS52+RevBuild!BS46+RevBuild!BS58+RevBuild!BS27</f>
        <v>425</v>
      </c>
      <c r="BT14" s="2044">
        <f>+RevBuild!BT109+RevBuild!BT140+RevBuild!BT103+RevBuild!BT91+RevBuild!BT81+RevBuild!BT72+RevBuild!BT64+RevBuild!BT55+RevBuild!BT52+RevBuild!BT46+RevBuild!BT58+RevBuild!BT27</f>
        <v>425</v>
      </c>
      <c r="BU14" s="2045">
        <f>+RevBuild!BU109+RevBuild!BU140+RevBuild!BU103+RevBuild!BU91+RevBuild!BU81+RevBuild!BU72+RevBuild!BU64+RevBuild!BU55+RevBuild!BU52+RevBuild!BU46+RevBuild!BU58+RevBuild!BU27</f>
        <v>1690</v>
      </c>
      <c r="BV14" s="2044"/>
      <c r="BW14" s="2043">
        <f>+RevBuild!BW109+RevBuild!BW140+RevBuild!BW103+RevBuild!BW91+RevBuild!BW81+RevBuild!BW72+RevBuild!BW64+RevBuild!BW55+RevBuild!BW52+RevBuild!BW46+RevBuild!BW58+RevBuild!BW27</f>
        <v>420</v>
      </c>
      <c r="BX14" s="2044">
        <f>+RevBuild!BX109+RevBuild!BX140+RevBuild!BX103+RevBuild!BX91+RevBuild!BX81+RevBuild!BX72+RevBuild!BX64+RevBuild!BX55+RevBuild!BX52+RevBuild!BX46+RevBuild!BX58+RevBuild!BX27</f>
        <v>420</v>
      </c>
      <c r="BY14" s="2044">
        <f>+RevBuild!BY109+RevBuild!BY140+RevBuild!BY103+RevBuild!BY91+RevBuild!BY81+RevBuild!BY72+RevBuild!BY64+RevBuild!BY55+RevBuild!BY52+RevBuild!BY46+RevBuild!BY58+RevBuild!BY27</f>
        <v>420</v>
      </c>
      <c r="BZ14" s="2044">
        <f>+RevBuild!BZ109+RevBuild!BZ140+RevBuild!BZ103+RevBuild!BZ91+RevBuild!BZ81+RevBuild!BZ72+RevBuild!BZ64+RevBuild!BZ55+RevBuild!BZ52+RevBuild!BZ46+RevBuild!BZ58+RevBuild!BZ27</f>
        <v>420</v>
      </c>
      <c r="CA14" s="2045">
        <f>+RevBuild!CA109+RevBuild!CA140+RevBuild!CA103+RevBuild!CA91+RevBuild!CA81+RevBuild!CA72+RevBuild!CA64+RevBuild!CA55+RevBuild!CA52+RevBuild!CA46+RevBuild!CA58+RevBuild!CA27</f>
        <v>1680</v>
      </c>
      <c r="CB14" s="2044"/>
      <c r="CC14" s="2043">
        <f>+RevBuild!CC109+RevBuild!CC140+RevBuild!CC103+RevBuild!CC91+RevBuild!CC81+RevBuild!CC72+RevBuild!CC64+RevBuild!CC55+RevBuild!CC52+RevBuild!CC46+RevBuild!CC58+RevBuild!CC27</f>
        <v>420</v>
      </c>
      <c r="CD14" s="2044">
        <f>+RevBuild!CD109+RevBuild!CD140+RevBuild!CD103+RevBuild!CD91+RevBuild!CD81+RevBuild!CD72+RevBuild!CD64+RevBuild!CD55+RevBuild!CD52+RevBuild!CD46+RevBuild!CD58+RevBuild!CD27</f>
        <v>420</v>
      </c>
      <c r="CE14" s="2044">
        <f>+RevBuild!CE109+RevBuild!CE140+RevBuild!CE103+RevBuild!CE91+RevBuild!CE81+RevBuild!CE72+RevBuild!CE64+RevBuild!CE55+RevBuild!CE52+RevBuild!CE46+RevBuild!CE58+RevBuild!CE27</f>
        <v>420</v>
      </c>
      <c r="CF14" s="2044">
        <f>+RevBuild!CF109+RevBuild!CF140+RevBuild!CF103+RevBuild!CF91+RevBuild!CF81+RevBuild!CF72+RevBuild!CF64+RevBuild!CF55+RevBuild!CF52+RevBuild!CF46+RevBuild!CF58+RevBuild!CF27</f>
        <v>420</v>
      </c>
      <c r="CG14" s="2045">
        <f>+RevBuild!CG109+RevBuild!CG140+RevBuild!CG103+RevBuild!CG91+RevBuild!CG81+RevBuild!CG72+RevBuild!CG64+RevBuild!CG55+RevBuild!CG52+RevBuild!CG46+RevBuild!CG58+RevBuild!CG27</f>
        <v>1680</v>
      </c>
      <c r="CH14" s="2044"/>
      <c r="CI14" s="2043">
        <f>+RevBuild!CI109+RevBuild!CI140+RevBuild!CI103+RevBuild!CI91+RevBuild!CI81+RevBuild!CI72+RevBuild!CI64+RevBuild!CI55+RevBuild!CI52+RevBuild!CI46+RevBuild!CI58+RevBuild!CI27</f>
        <v>420</v>
      </c>
      <c r="CJ14" s="2044">
        <f>+RevBuild!CJ109+RevBuild!CJ140+RevBuild!CJ103+RevBuild!CJ91+RevBuild!CJ81+RevBuild!CJ72+RevBuild!CJ64+RevBuild!CJ55+RevBuild!CJ52+RevBuild!CJ46+RevBuild!CJ58+RevBuild!CJ27</f>
        <v>420</v>
      </c>
      <c r="CK14" s="2044">
        <f>+RevBuild!CK109+RevBuild!CK140+RevBuild!CK103+RevBuild!CK91+RevBuild!CK81+RevBuild!CK72+RevBuild!CK64+RevBuild!CK55+RevBuild!CK52+RevBuild!CK46+RevBuild!CK58+RevBuild!CK27</f>
        <v>420</v>
      </c>
      <c r="CL14" s="2044">
        <f>+RevBuild!CL109+RevBuild!CL140+RevBuild!CL103+RevBuild!CL91+RevBuild!CL81+RevBuild!CL72+RevBuild!CL64+RevBuild!CL55+RevBuild!CL52+RevBuild!CL46+RevBuild!CL58+RevBuild!CL27</f>
        <v>420</v>
      </c>
      <c r="CM14" s="2045">
        <f>+RevBuild!CM109+RevBuild!CM140+RevBuild!CM103+RevBuild!CM91+RevBuild!CM81+RevBuild!CM72+RevBuild!CM64+RevBuild!CM55+RevBuild!CM52+RevBuild!CM46+RevBuild!CM58+RevBuild!CM27</f>
        <v>1680</v>
      </c>
      <c r="CN14" s="2044"/>
      <c r="CO14" s="2043">
        <f>+RevBuild!CO109+RevBuild!CO140+RevBuild!CO103+RevBuild!CO91+RevBuild!CO81+RevBuild!CO72+RevBuild!CO64+RevBuild!CO55+RevBuild!CO52+RevBuild!CO46+RevBuild!CO58+RevBuild!CO27</f>
        <v>420</v>
      </c>
      <c r="CP14" s="2044">
        <f>+RevBuild!CP109+RevBuild!CP140+RevBuild!CP103+RevBuild!CP91+RevBuild!CP81+RevBuild!CP72+RevBuild!CP64+RevBuild!CP55+RevBuild!CP52+RevBuild!CP46+RevBuild!CP58+RevBuild!CP27</f>
        <v>420</v>
      </c>
      <c r="CQ14" s="2044">
        <f>+RevBuild!CQ109+RevBuild!CQ140+RevBuild!CQ103+RevBuild!CQ91+RevBuild!CQ81+RevBuild!CQ72+RevBuild!CQ64+RevBuild!CQ55+RevBuild!CQ52+RevBuild!CQ46+RevBuild!CQ58+RevBuild!CQ27</f>
        <v>420</v>
      </c>
      <c r="CR14" s="2044">
        <f>+RevBuild!CR109+RevBuild!CR140+RevBuild!CR103+RevBuild!CR91+RevBuild!CR81+RevBuild!CR72+RevBuild!CR64+RevBuild!CR55+RevBuild!CR52+RevBuild!CR46+RevBuild!CR58+RevBuild!CR27</f>
        <v>420</v>
      </c>
      <c r="CS14" s="2045">
        <f>+RevBuild!CS109+RevBuild!CS140+RevBuild!CS103+RevBuild!CS91+RevBuild!CS81+RevBuild!CS72+RevBuild!CS64+RevBuild!CS55+RevBuild!CS52+RevBuild!CS46+RevBuild!CS58+RevBuild!CS27</f>
        <v>1680</v>
      </c>
      <c r="CT14" s="2044"/>
      <c r="CU14" s="2044"/>
      <c r="CV14" s="2044"/>
      <c r="CW14" s="2044"/>
      <c r="CX14" s="60"/>
      <c r="CY14" s="2368"/>
      <c r="CZ14" s="60"/>
      <c r="DA14" s="60"/>
      <c r="DB14" s="60"/>
      <c r="DC14" s="60"/>
      <c r="DD14" s="60"/>
      <c r="DE14" s="60"/>
      <c r="DF14" s="60"/>
      <c r="DG14" s="60"/>
      <c r="DH14" s="60"/>
      <c r="DI14" s="60"/>
      <c r="DJ14" s="60"/>
      <c r="DK14" s="60"/>
      <c r="DL14" s="60"/>
      <c r="DM14" s="68"/>
      <c r="DN14" s="68"/>
      <c r="DO14" s="68"/>
      <c r="DP14" s="68"/>
      <c r="DQ14" s="68"/>
      <c r="DR14" s="68"/>
      <c r="DS14" s="68"/>
      <c r="DT14" s="68"/>
      <c r="DU14" s="68"/>
      <c r="DV14" s="68"/>
      <c r="DW14" s="68"/>
      <c r="DX14" s="68"/>
    </row>
    <row r="15" spans="1:128">
      <c r="A15" s="2034" t="s">
        <v>565</v>
      </c>
      <c r="B15" s="63"/>
      <c r="C15" s="760"/>
      <c r="D15" s="740"/>
      <c r="E15" s="740"/>
      <c r="F15" s="740"/>
      <c r="G15" s="739">
        <f>+RevBuild!G144+RevBuild!G28</f>
        <v>282</v>
      </c>
      <c r="H15" s="205"/>
      <c r="I15" s="760">
        <f>+G15+I14</f>
        <v>376</v>
      </c>
      <c r="J15" s="740">
        <f>+I15+J14</f>
        <v>469</v>
      </c>
      <c r="K15" s="740">
        <f>+J15+K14</f>
        <v>572</v>
      </c>
      <c r="L15" s="740">
        <f>+K15+L14</f>
        <v>688</v>
      </c>
      <c r="M15" s="739">
        <f>+L15</f>
        <v>688</v>
      </c>
      <c r="N15" s="205"/>
      <c r="O15" s="760">
        <f>+M15+O14</f>
        <v>821</v>
      </c>
      <c r="P15" s="740">
        <f>+O15+P14</f>
        <v>960</v>
      </c>
      <c r="Q15" s="740">
        <f>+P15+Q14</f>
        <v>1110</v>
      </c>
      <c r="R15" s="740">
        <f>+Q15+R14</f>
        <v>1262</v>
      </c>
      <c r="S15" s="739">
        <f>+R15</f>
        <v>1262</v>
      </c>
      <c r="T15" s="205"/>
      <c r="U15" s="760">
        <f>+S15+U14</f>
        <v>1435</v>
      </c>
      <c r="V15" s="740">
        <f>+U15+V14</f>
        <v>1612</v>
      </c>
      <c r="W15" s="740">
        <f>+V15+W14</f>
        <v>1774</v>
      </c>
      <c r="X15" s="740">
        <f>+W15+X14</f>
        <v>1998</v>
      </c>
      <c r="Y15" s="739">
        <f>+X15</f>
        <v>1998</v>
      </c>
      <c r="Z15" s="205"/>
      <c r="AA15" s="760">
        <f>+Y15+AA14</f>
        <v>2170</v>
      </c>
      <c r="AB15" s="740">
        <f>+AA15+AB14</f>
        <v>2347</v>
      </c>
      <c r="AC15" s="740">
        <f>+AB15+AC14</f>
        <v>2537</v>
      </c>
      <c r="AD15" s="740">
        <f>+AC15+AD14</f>
        <v>2823</v>
      </c>
      <c r="AE15" s="739">
        <f>+AD15</f>
        <v>2823</v>
      </c>
      <c r="AF15" s="205"/>
      <c r="AG15" s="760">
        <f>+AE15+AG14</f>
        <v>3193</v>
      </c>
      <c r="AH15" s="740">
        <f>+AG15+AH14</f>
        <v>3545</v>
      </c>
      <c r="AI15" s="740">
        <f>+AH15+AI14</f>
        <v>3956</v>
      </c>
      <c r="AJ15" s="740">
        <f>+AI15+AJ14</f>
        <v>4365</v>
      </c>
      <c r="AK15" s="739">
        <f>+AJ15</f>
        <v>4365</v>
      </c>
      <c r="AL15" s="205"/>
      <c r="AM15" s="760">
        <f>+AK15+AM14</f>
        <v>4776</v>
      </c>
      <c r="AN15" s="740">
        <f>+AM15+AN14</f>
        <v>5169</v>
      </c>
      <c r="AO15" s="740">
        <f>+AN15+AO14</f>
        <v>5589</v>
      </c>
      <c r="AP15" s="740">
        <f>+AO15+AP14</f>
        <v>6003</v>
      </c>
      <c r="AQ15" s="739">
        <f>+AP15</f>
        <v>6003</v>
      </c>
      <c r="AR15" s="205"/>
      <c r="AS15" s="760">
        <f>+AQ15+AS14</f>
        <v>6540</v>
      </c>
      <c r="AT15" s="740">
        <f>+AS15+AT14</f>
        <v>7104</v>
      </c>
      <c r="AU15" s="740">
        <f>+AT15+AU14</f>
        <v>7674</v>
      </c>
      <c r="AV15" s="740">
        <f>+AU15+AV14</f>
        <v>8293</v>
      </c>
      <c r="AW15" s="739">
        <f>+AV15</f>
        <v>8293</v>
      </c>
      <c r="AX15" s="9"/>
      <c r="AY15" s="760">
        <f>+AW15+AY14</f>
        <v>8869.1910000000007</v>
      </c>
      <c r="AZ15" s="740">
        <f>+AY15+AZ14</f>
        <v>9473.0968872180456</v>
      </c>
      <c r="BA15" s="740">
        <f>+AZ15+BA14</f>
        <v>10033.854135338346</v>
      </c>
      <c r="BB15" s="740">
        <f>+BA15+BB14</f>
        <v>10800.998535338345</v>
      </c>
      <c r="BC15" s="739">
        <f>+BB15</f>
        <v>10800.998535338345</v>
      </c>
      <c r="BD15" s="9"/>
      <c r="BE15" s="760">
        <f>+BC15+BE14</f>
        <v>11509.632795488722</v>
      </c>
      <c r="BF15" s="740">
        <f>+BE15+BF14</f>
        <v>12223.629307639098</v>
      </c>
      <c r="BG15" s="740">
        <f>+BF15+BG14</f>
        <v>12961.285797079097</v>
      </c>
      <c r="BH15" s="740">
        <f>+BG15+BH14</f>
        <v>13647.585186903098</v>
      </c>
      <c r="BI15" s="739">
        <f>+BH15</f>
        <v>13647.585186903098</v>
      </c>
      <c r="BJ15" s="9"/>
      <c r="BK15" s="760">
        <f>+BI15+BK14</f>
        <v>14147.498453776698</v>
      </c>
      <c r="BL15" s="740">
        <f>+BK15+BL14</f>
        <v>14567.544604298937</v>
      </c>
      <c r="BM15" s="740">
        <f>+BL15+BM14</f>
        <v>15062.544604298937</v>
      </c>
      <c r="BN15" s="740">
        <f>+BM15+BN14</f>
        <v>15510.544604298937</v>
      </c>
      <c r="BO15" s="739">
        <f>+BN15</f>
        <v>15510.544604298937</v>
      </c>
      <c r="BP15" s="9"/>
      <c r="BQ15" s="760">
        <f>+BO15+BQ14</f>
        <v>15925.544604298937</v>
      </c>
      <c r="BR15" s="740">
        <f>+BQ15+BR14</f>
        <v>16350.544604298937</v>
      </c>
      <c r="BS15" s="740">
        <f>+BR15+BS14</f>
        <v>16775.544604298935</v>
      </c>
      <c r="BT15" s="740">
        <f>+BS15+BT14</f>
        <v>17200.544604298935</v>
      </c>
      <c r="BU15" s="739">
        <f>+BT15</f>
        <v>17200.544604298935</v>
      </c>
      <c r="BV15" s="9"/>
      <c r="BW15" s="760">
        <f>+BU15+BW14</f>
        <v>17620.544604298935</v>
      </c>
      <c r="BX15" s="740">
        <f>+BW15+BX14</f>
        <v>18040.544604298935</v>
      </c>
      <c r="BY15" s="740">
        <f>+BX15+BY14</f>
        <v>18460.544604298935</v>
      </c>
      <c r="BZ15" s="740">
        <f>+BY15+BZ14</f>
        <v>18880.544604298935</v>
      </c>
      <c r="CA15" s="739">
        <f>+BZ15</f>
        <v>18880.544604298935</v>
      </c>
      <c r="CB15" s="9"/>
      <c r="CC15" s="760">
        <f>+CA15+CC14</f>
        <v>19300.544604298935</v>
      </c>
      <c r="CD15" s="740">
        <f>+CC15+CD14</f>
        <v>19720.544604298935</v>
      </c>
      <c r="CE15" s="740">
        <f>+CD15+CE14</f>
        <v>20140.544604298935</v>
      </c>
      <c r="CF15" s="740">
        <f>+CE15+CF14</f>
        <v>20560.544604298935</v>
      </c>
      <c r="CG15" s="739">
        <f>+CF15</f>
        <v>20560.544604298935</v>
      </c>
      <c r="CH15" s="9"/>
      <c r="CI15" s="760">
        <f>+CG15+CI14</f>
        <v>20980.544604298935</v>
      </c>
      <c r="CJ15" s="740">
        <f>+CI15+CJ14</f>
        <v>21400.544604298935</v>
      </c>
      <c r="CK15" s="740">
        <f>+CJ15+CK14</f>
        <v>21820.544604298935</v>
      </c>
      <c r="CL15" s="740">
        <f>+CK15+CL14</f>
        <v>22240.544604298935</v>
      </c>
      <c r="CM15" s="739">
        <f>+CL15</f>
        <v>22240.544604298935</v>
      </c>
      <c r="CN15" s="9"/>
      <c r="CO15" s="760">
        <f>+CM15+CO14</f>
        <v>22660.544604298935</v>
      </c>
      <c r="CP15" s="740">
        <f>+CO15+CP14</f>
        <v>23080.544604298935</v>
      </c>
      <c r="CQ15" s="740">
        <f>+CP15+CQ14</f>
        <v>23500.544604298935</v>
      </c>
      <c r="CR15" s="740">
        <f>+CQ15+CR14</f>
        <v>23920.544604298935</v>
      </c>
      <c r="CS15" s="739">
        <f>+CR15</f>
        <v>23920.544604298935</v>
      </c>
      <c r="CT15" s="740"/>
      <c r="CU15" s="740"/>
      <c r="CV15" s="740"/>
      <c r="CW15" s="740"/>
      <c r="CX15" s="60"/>
      <c r="CY15" s="2368"/>
      <c r="CZ15" s="60"/>
      <c r="DA15" s="60"/>
      <c r="DB15" s="60"/>
      <c r="DC15" s="60"/>
      <c r="DD15" s="60"/>
      <c r="DE15" s="60"/>
      <c r="DF15" s="60"/>
      <c r="DG15" s="60"/>
      <c r="DH15" s="60"/>
      <c r="DI15" s="60"/>
      <c r="DJ15" s="60"/>
      <c r="DK15" s="60"/>
      <c r="DL15" s="60"/>
      <c r="DM15" s="68"/>
      <c r="DN15" s="68"/>
      <c r="DO15" s="68"/>
      <c r="DP15" s="68"/>
      <c r="DQ15" s="68"/>
      <c r="DR15" s="68"/>
      <c r="DS15" s="68"/>
      <c r="DT15" s="68"/>
      <c r="DU15" s="68"/>
      <c r="DV15" s="68"/>
      <c r="DW15" s="68"/>
      <c r="DX15" s="68"/>
    </row>
    <row r="16" spans="1:128">
      <c r="A16" s="1971" t="s">
        <v>591</v>
      </c>
      <c r="B16" s="63"/>
      <c r="C16" s="1963">
        <f>+(C13*1000)/C14</f>
        <v>435.66933333333333</v>
      </c>
      <c r="D16" s="1964">
        <f>+(D13*1000)/D14</f>
        <v>461.81818181818181</v>
      </c>
      <c r="E16" s="1964">
        <f>+(E13*1000)/E14</f>
        <v>501.47058823529414</v>
      </c>
      <c r="F16" s="1964">
        <f>+(F13*1000)/F14</f>
        <v>522.5</v>
      </c>
      <c r="G16" s="1965">
        <f>+(G13*1000)/G14</f>
        <v>487.52064516129036</v>
      </c>
      <c r="H16" s="1966"/>
      <c r="I16" s="1963">
        <f>+(I13*1000)/I14</f>
        <v>470.99148936170218</v>
      </c>
      <c r="J16" s="1964">
        <f>+(J13*1000)/J14</f>
        <v>464.51612903225805</v>
      </c>
      <c r="K16" s="1964">
        <f>+(K13*1000)/K14</f>
        <v>454.36893203883494</v>
      </c>
      <c r="L16" s="1964">
        <f>+(L13*1000)/L14</f>
        <v>443.3344827586206</v>
      </c>
      <c r="M16" s="1965">
        <f>+(M13*1000)/M14</f>
        <v>457.38916256157637</v>
      </c>
      <c r="N16" s="1966"/>
      <c r="O16" s="1963">
        <f>+(O13*1000)/O14</f>
        <v>378.94736842105266</v>
      </c>
      <c r="P16" s="1964">
        <f>+(P13*1000)/P14</f>
        <v>387.0503597122302</v>
      </c>
      <c r="Q16" s="1964">
        <f>+(Q13*1000)/Q14</f>
        <v>404.66666666666663</v>
      </c>
      <c r="R16" s="1964">
        <f>+(R13*1000)/R14</f>
        <v>400.00000000000011</v>
      </c>
      <c r="S16" s="1965">
        <f>+(S13*1000)/S14</f>
        <v>393.20557491289196</v>
      </c>
      <c r="T16" s="1966"/>
      <c r="U16" s="1963">
        <f>+(U13*1000)/U14</f>
        <v>319.95662361415071</v>
      </c>
      <c r="V16" s="1964">
        <f>+(V13*1000)/V14</f>
        <v>395.83954104399913</v>
      </c>
      <c r="W16" s="1964">
        <f>+(W13*1000)/W14</f>
        <v>543.7187561961498</v>
      </c>
      <c r="X16" s="1964">
        <f>+(X13*1000)/X14</f>
        <v>490.37150057815472</v>
      </c>
      <c r="Y16" s="1965">
        <f>+(Y13*1000)/Y14</f>
        <v>438.99731211824417</v>
      </c>
      <c r="Z16" s="1966"/>
      <c r="AA16" s="1963">
        <f>+(AA13*1000)/AA14</f>
        <v>650.43580078148489</v>
      </c>
      <c r="AB16" s="1964">
        <f>+(AB13*1000)/AB14</f>
        <v>575.06074527077078</v>
      </c>
      <c r="AC16" s="1964">
        <f>+(AC13*1000)/AC14</f>
        <v>355.10072960248777</v>
      </c>
      <c r="AD16" s="1964">
        <f>+(AD13*1000)/AD14</f>
        <v>276.6382990382105</v>
      </c>
      <c r="AE16" s="1965">
        <f>+(AE13*1000)/AE14</f>
        <v>435.86777720988016</v>
      </c>
      <c r="AF16" s="1966"/>
      <c r="AG16" s="1963">
        <f>+(AG13*1000)/AG14</f>
        <v>216.09021349443756</v>
      </c>
      <c r="AH16" s="1964">
        <f>+(AH13*1000)/AH14</f>
        <v>213.74989428160336</v>
      </c>
      <c r="AI16" s="1964">
        <f>+(AI13*1000)/AI14</f>
        <v>205.70263271391767</v>
      </c>
      <c r="AJ16" s="1964">
        <f>+(AJ13*1000)/AJ14</f>
        <v>197.84433509571778</v>
      </c>
      <c r="AK16" s="1965">
        <f>+(AK13*1000)/AK14</f>
        <v>208.1062449202789</v>
      </c>
      <c r="AL16" s="1966"/>
      <c r="AM16" s="1963">
        <f>+(AM13*1000)/AM14</f>
        <v>224.20787084429296</v>
      </c>
      <c r="AN16" s="1964">
        <f>+(AN13*1000)/AN14</f>
        <v>247.74315562047582</v>
      </c>
      <c r="AO16" s="1964">
        <f>+(AO13*1000)/AO14</f>
        <v>233.21591309700096</v>
      </c>
      <c r="AP16" s="1964">
        <f>+(AP13*1000)/AP14</f>
        <v>220.3273261227267</v>
      </c>
      <c r="AQ16" s="1965">
        <f>+(AQ13*1000)/AQ14</f>
        <v>231.26025593712535</v>
      </c>
      <c r="AR16" s="1966"/>
      <c r="AS16" s="1963">
        <f>+(AS13*1000)/AS14</f>
        <v>214.76126375600941</v>
      </c>
      <c r="AT16" s="1964">
        <f>+(AT13*1000)/AT14</f>
        <v>247.01542836461905</v>
      </c>
      <c r="AU16" s="1964">
        <f>+(AU13*1000)/AU14</f>
        <v>263.03762382046102</v>
      </c>
      <c r="AV16" s="1964">
        <f>+(AV13*1000)/AV14</f>
        <v>254.3391807469832</v>
      </c>
      <c r="AW16" s="1965">
        <f>+(AW13*1000)/AW14</f>
        <v>245.52920481083785</v>
      </c>
      <c r="AX16" s="1967"/>
      <c r="AY16" s="1963">
        <f>+(AY13*1000)/AY14</f>
        <v>263.43695059450778</v>
      </c>
      <c r="AZ16" s="1964">
        <f>+(AZ13*1000)/AZ14</f>
        <v>266.41303455601184</v>
      </c>
      <c r="BA16" s="1964">
        <f>+(BA13*1000)/BA14</f>
        <v>269.27873069169061</v>
      </c>
      <c r="BB16" s="1964">
        <f>+(BB13*1000)/BB14</f>
        <v>198.61710520209755</v>
      </c>
      <c r="BC16" s="1965">
        <f>+(BC13*1000)/BC14</f>
        <v>245.6796894438497</v>
      </c>
      <c r="BD16" s="1967"/>
      <c r="BE16" s="1963">
        <f>+(BE13*1000)/BE14</f>
        <v>168.57779353576552</v>
      </c>
      <c r="BF16" s="1964">
        <f>+(BF13*1000)/BF14</f>
        <v>175.67007644767406</v>
      </c>
      <c r="BG16" s="1964">
        <f>+(BG13*1000)/BG14</f>
        <v>151.64828828178517</v>
      </c>
      <c r="BH16" s="1964">
        <f>+(BH13*1000)/BH14</f>
        <v>167.75050084996261</v>
      </c>
      <c r="BI16" s="1965">
        <f>+(BI13*1000)/BI14</f>
        <v>165.80456454045097</v>
      </c>
      <c r="BJ16" s="1967"/>
      <c r="BK16" s="1963">
        <f>+(BK13*1000)/BK14</f>
        <v>201.21490399540355</v>
      </c>
      <c r="BL16" s="1964">
        <f>+(BL13*1000)/BL14</f>
        <v>325.27378201211701</v>
      </c>
      <c r="BM16" s="1964">
        <f>+(BM13*1000)/BM14</f>
        <v>281.69696969696969</v>
      </c>
      <c r="BN16" s="1964">
        <f>+(BN13*1000)/BN14</f>
        <v>306.19642857142856</v>
      </c>
      <c r="BO16" s="1965">
        <f>+(BO13*1000)/BO14</f>
        <v>275.69663987173874</v>
      </c>
      <c r="BP16" s="1967"/>
      <c r="BQ16" s="1963">
        <f>+(BQ13*1000)/BQ14</f>
        <v>277.10843373493975</v>
      </c>
      <c r="BR16" s="1964">
        <f>+(BR13*1000)/BR14</f>
        <v>291.57647058823528</v>
      </c>
      <c r="BS16" s="1964">
        <f>+(BS13*1000)/BS14</f>
        <v>304.18999999999994</v>
      </c>
      <c r="BT16" s="1964">
        <f>+(BT13*1000)/BT14</f>
        <v>304.21352941176463</v>
      </c>
      <c r="BU16" s="1965">
        <f>+(BU13*1000)/BU14</f>
        <v>294.33252897948273</v>
      </c>
      <c r="BV16" s="1967"/>
      <c r="BW16" s="1963">
        <f>+(BW13*1000)/BW14</f>
        <v>270.89702380952383</v>
      </c>
      <c r="BX16" s="1964">
        <f>+(BX13*1000)/BX14</f>
        <v>270.89702380952383</v>
      </c>
      <c r="BY16" s="1964">
        <f>+(BY13*1000)/BY14</f>
        <v>270.89702380952383</v>
      </c>
      <c r="BZ16" s="1964">
        <f>+(BZ13*1000)/BZ14</f>
        <v>270.89702380952383</v>
      </c>
      <c r="CA16" s="1965">
        <f>+(CA13*1000)/CA14</f>
        <v>270.89702380952383</v>
      </c>
      <c r="CB16" s="1967"/>
      <c r="CC16" s="1963">
        <f>+(CC13*1000)/CC14</f>
        <v>255.28690476190476</v>
      </c>
      <c r="CD16" s="1964">
        <f>+(CD13*1000)/CD14</f>
        <v>255.28690476190476</v>
      </c>
      <c r="CE16" s="1964">
        <f>+(CE13*1000)/CE14</f>
        <v>255.28690476190476</v>
      </c>
      <c r="CF16" s="1964">
        <f>+(CF13*1000)/CF14</f>
        <v>255.28690476190476</v>
      </c>
      <c r="CG16" s="1965">
        <f>+(CG13*1000)/CG14</f>
        <v>255.28690476190476</v>
      </c>
      <c r="CH16" s="1967"/>
      <c r="CI16" s="1963">
        <f>+(CI13*1000)/CI14</f>
        <v>254.33452380952383</v>
      </c>
      <c r="CJ16" s="1964">
        <f>+(CJ13*1000)/CJ14</f>
        <v>254.33452380952383</v>
      </c>
      <c r="CK16" s="1964">
        <f>+(CK13*1000)/CK14</f>
        <v>254.33452380952383</v>
      </c>
      <c r="CL16" s="1964">
        <f>+(CL13*1000)/CL14</f>
        <v>254.33452380952383</v>
      </c>
      <c r="CM16" s="1965">
        <f>+(CM13*1000)/CM14</f>
        <v>254.33452380952377</v>
      </c>
      <c r="CN16" s="1967"/>
      <c r="CO16" s="1963">
        <f>+(CO13*1000)/CO14</f>
        <v>253.38214285714287</v>
      </c>
      <c r="CP16" s="1964">
        <f>+(CP13*1000)/CP14</f>
        <v>253.38214285714287</v>
      </c>
      <c r="CQ16" s="1964">
        <f>+(CQ13*1000)/CQ14</f>
        <v>253.38214285714287</v>
      </c>
      <c r="CR16" s="1964">
        <f>+(CR13*1000)/CR14</f>
        <v>253.38214285714287</v>
      </c>
      <c r="CS16" s="1965">
        <f>+(CS13*1000)/CS14</f>
        <v>253.38214285714292</v>
      </c>
      <c r="CT16" s="1964"/>
      <c r="CU16" s="1964"/>
      <c r="CV16" s="1964"/>
      <c r="CW16" s="1964"/>
      <c r="CX16" s="60"/>
      <c r="CY16" s="60"/>
      <c r="CZ16" s="60"/>
      <c r="DA16" s="60"/>
      <c r="DB16" s="60"/>
      <c r="DC16" s="60"/>
      <c r="DD16" s="60"/>
      <c r="DE16" s="60"/>
      <c r="DF16" s="60"/>
      <c r="DG16" s="60"/>
      <c r="DH16" s="60"/>
      <c r="DI16" s="60"/>
      <c r="DJ16" s="60"/>
      <c r="DK16" s="60"/>
      <c r="DL16" s="60"/>
      <c r="DM16" s="68"/>
      <c r="DN16" s="68"/>
      <c r="DO16" s="68"/>
      <c r="DP16" s="68"/>
      <c r="DQ16" s="68"/>
      <c r="DR16" s="68"/>
      <c r="DS16" s="68"/>
      <c r="DT16" s="68"/>
      <c r="DU16" s="68"/>
      <c r="DV16" s="68"/>
      <c r="DW16" s="68"/>
      <c r="DX16" s="68"/>
    </row>
    <row r="17" spans="1:128">
      <c r="A17" s="1985" t="s">
        <v>593</v>
      </c>
      <c r="B17" s="1302"/>
      <c r="C17" s="761"/>
      <c r="D17" s="762"/>
      <c r="E17" s="762"/>
      <c r="F17" s="762"/>
      <c r="G17" s="1986"/>
      <c r="H17" s="86"/>
      <c r="I17" s="1988">
        <f>+I16/C18-1</f>
        <v>8.1075607865527033E-2</v>
      </c>
      <c r="J17" s="196">
        <f>+J16/D18-1</f>
        <v>5.8420116840234293E-3</v>
      </c>
      <c r="K17" s="196">
        <f>+K16/E18-1</f>
        <v>-9.3927056344845217E-2</v>
      </c>
      <c r="L17" s="1989">
        <f>+L16/F18-1</f>
        <v>-0.15151295165814238</v>
      </c>
      <c r="M17" s="1990">
        <f>+M16/G18-1</f>
        <v>-6.1805552028971644E-2</v>
      </c>
      <c r="N17" s="1302"/>
      <c r="O17" s="1988">
        <f>+O16/I18-1</f>
        <v>-0.19542629329754913</v>
      </c>
      <c r="P17" s="196">
        <f>+P16/J18-1</f>
        <v>-0.16676658673061562</v>
      </c>
      <c r="Q17" s="196">
        <f>+Q16/K18-1</f>
        <v>-0.10938746438746449</v>
      </c>
      <c r="R17" s="1989">
        <f>+R16/L18-1</f>
        <v>-9.7746700164116351E-2</v>
      </c>
      <c r="S17" s="1990">
        <f>+S16/M18-1</f>
        <v>-0.14032599130514722</v>
      </c>
      <c r="T17" s="1302"/>
      <c r="U17" s="1988">
        <f>+U16/O18-1</f>
        <v>-0.15567002101821348</v>
      </c>
      <c r="V17" s="196">
        <f>+V16/P18-1</f>
        <v>2.2708107901782348E-2</v>
      </c>
      <c r="W17" s="196">
        <f>+W16/Q18-1</f>
        <v>0.34362130855720707</v>
      </c>
      <c r="X17" s="1989">
        <f>+X16/R18-1</f>
        <v>0.22592875144538671</v>
      </c>
      <c r="Y17" s="1990">
        <f>+Y16/S18-1</f>
        <v>0.11645749736762157</v>
      </c>
      <c r="Z17" s="1987"/>
      <c r="AA17" s="1988">
        <f>+AA16/U18-1</f>
        <v>0.96722715970623918</v>
      </c>
      <c r="AB17" s="196">
        <f>+AB16/V18-1</f>
        <v>0.45616240218778836</v>
      </c>
      <c r="AC17" s="196">
        <f>+AC16/W18-1</f>
        <v>-0.34480275403641203</v>
      </c>
      <c r="AD17" s="1989">
        <f>+AD16/X18-1</f>
        <v>-0.43512325447074618</v>
      </c>
      <c r="AE17" s="1990">
        <f>+AE16/Y18-1</f>
        <v>-1.1710770097129397E-2</v>
      </c>
      <c r="AF17" s="1302"/>
      <c r="AG17" s="1988">
        <f>+AG16/AA18-1</f>
        <v>-0.67482487558142379</v>
      </c>
      <c r="AH17" s="196">
        <f>+AH16/AB18-1</f>
        <v>-0.64541957555910223</v>
      </c>
      <c r="AI17" s="196">
        <f>+AI16/AC18-1</f>
        <v>-0.45566155688517596</v>
      </c>
      <c r="AJ17" s="1989">
        <f>+AJ16/AD18-1</f>
        <v>-0.29534894349470397</v>
      </c>
      <c r="AK17" s="1990">
        <f>+AK16/AE18-1</f>
        <v>-0.53983475727893304</v>
      </c>
      <c r="AL17" s="1992"/>
      <c r="AM17" s="1988">
        <f>+AM16/AG18-1</f>
        <v>4.2172263974728619E-2</v>
      </c>
      <c r="AN17" s="196">
        <f>+AN16/AH18-1</f>
        <v>0.20783366729096264</v>
      </c>
      <c r="AO17" s="196">
        <f>+AO16/AI18-1</f>
        <v>0.16324927527751698</v>
      </c>
      <c r="AP17" s="1989">
        <f>+AP16/AJ18-1</f>
        <v>0.12642345480244011</v>
      </c>
      <c r="AQ17" s="1990">
        <f>+AQ16/AK18-1</f>
        <v>0.13495644384165262</v>
      </c>
      <c r="AR17" s="1992"/>
      <c r="AS17" s="1988">
        <f>+AS16/AM18-1</f>
        <v>1.8942043555036925E-3</v>
      </c>
      <c r="AT17" s="196">
        <f>+AT16/AN18-1</f>
        <v>2.4019655562186548E-2</v>
      </c>
      <c r="AU17" s="196">
        <f>+AU16/AO18-1</f>
        <v>0.10803781196936546</v>
      </c>
      <c r="AV17" s="1989">
        <f>+AV16/AP18-1</f>
        <v>0.18310585201405649</v>
      </c>
      <c r="AW17" s="1990">
        <f>+AW16/AQ18-1</f>
        <v>8.2272627528639175E-2</v>
      </c>
      <c r="AX17" s="1992"/>
      <c r="AY17" s="1988">
        <f>+AY16/AS18-1</f>
        <v>0.22163767244603338</v>
      </c>
      <c r="AZ17" s="196">
        <f>+AZ16/AT18-1</f>
        <v>7.1732892222472922E-2</v>
      </c>
      <c r="BA17" s="196">
        <f>+BA16/AU18-1</f>
        <v>2.3259176628424472E-2</v>
      </c>
      <c r="BB17" s="1989">
        <f>+BB16/AV18-1</f>
        <v>-0.21189751205065144</v>
      </c>
      <c r="BC17" s="1990">
        <f>+BC16/AW18-1</f>
        <v>1.0791616128396075E-3</v>
      </c>
      <c r="BD17" s="1967"/>
      <c r="BE17" s="1988">
        <f>+BE16/AY18-1</f>
        <v>-0.3347054285262584</v>
      </c>
      <c r="BF17" s="196">
        <f>+BF16/AZ18-1</f>
        <v>-0.31556004274326188</v>
      </c>
      <c r="BG17" s="196">
        <f>+BG16/BA18-1</f>
        <v>-0.41353188400656615</v>
      </c>
      <c r="BH17" s="1989">
        <f>+BH16/BB18-1</f>
        <v>-0.13048069375510774</v>
      </c>
      <c r="BI17" s="1990">
        <f>+BI16/BC18-1</f>
        <v>-0.29993669188575212</v>
      </c>
      <c r="BJ17" s="1967"/>
      <c r="BK17" s="1988">
        <f>+BK16/BE18-1</f>
        <v>0.20837097138992955</v>
      </c>
      <c r="BL17" s="196">
        <f>+BL16/BF18-1</f>
        <v>0.84320909405248612</v>
      </c>
      <c r="BM17" s="196">
        <f>+BM16/BG18-1</f>
        <v>0.85531783707636344</v>
      </c>
      <c r="BN17" s="1989">
        <f>+BN16/BH18-1</f>
        <v>0.84335457977946837</v>
      </c>
      <c r="BO17" s="1990">
        <f>+BO16/BI18-1</f>
        <v>0.66977526583009772</v>
      </c>
      <c r="BP17" s="1967"/>
      <c r="BQ17" s="1988">
        <f>+BQ16/BK18-1</f>
        <v>0.38530182386660239</v>
      </c>
      <c r="BR17" s="196">
        <f>+BR16/BL18-1</f>
        <v>-9.9444308430519324E-2</v>
      </c>
      <c r="BS17" s="196">
        <f>+BS16/BM18-1</f>
        <v>7.5528928571428455E-2</v>
      </c>
      <c r="BT17" s="1989">
        <f>+BT16/BN18-1</f>
        <v>-1.9513228946255068E-2</v>
      </c>
      <c r="BU17" s="1990">
        <f>+BU16/BO18-1</f>
        <v>6.4717585841284286E-2</v>
      </c>
      <c r="BV17" s="1967"/>
      <c r="BW17" s="1988">
        <f>+BW16/BQ18-1</f>
        <v>-4.7268941686844146E-2</v>
      </c>
      <c r="BX17" s="196">
        <f>+BX16/BR18-1</f>
        <v>-9.4766361184994707E-2</v>
      </c>
      <c r="BY17" s="196">
        <f>+BY16/BS18-1</f>
        <v>-0.11898856473468633</v>
      </c>
      <c r="BZ17" s="1989">
        <f>+BZ16/BT18-1</f>
        <v>-0.11898856473468633</v>
      </c>
      <c r="CA17" s="1990">
        <f>+CA16/BU18-1</f>
        <v>-9.6199709131567945E-2</v>
      </c>
      <c r="CB17" s="1967"/>
      <c r="CC17" s="1988">
        <f>+CC16/BW18-1</f>
        <v>-5.7623811543219605E-2</v>
      </c>
      <c r="CD17" s="196">
        <f>+CD16/BX18-1</f>
        <v>-5.7623811543219605E-2</v>
      </c>
      <c r="CE17" s="196">
        <f>+CE16/BY18-1</f>
        <v>-5.7623811543219605E-2</v>
      </c>
      <c r="CF17" s="1989">
        <f>+CF16/BZ18-1</f>
        <v>-5.7623811543219605E-2</v>
      </c>
      <c r="CG17" s="1990">
        <f>+CG16/CA18-1</f>
        <v>-5.7623811543219605E-2</v>
      </c>
      <c r="CH17" s="1967"/>
      <c r="CI17" s="1988">
        <f>+CI16/CC18-1</f>
        <v>-3.7306298702205476E-3</v>
      </c>
      <c r="CJ17" s="196">
        <f>+CJ16/CD18-1</f>
        <v>-3.7306298702205476E-3</v>
      </c>
      <c r="CK17" s="196">
        <f>+CK16/CE18-1</f>
        <v>-3.7306298702205476E-3</v>
      </c>
      <c r="CL17" s="1989">
        <f>+CL16/CF18-1</f>
        <v>-3.7306298702205476E-3</v>
      </c>
      <c r="CM17" s="1990">
        <f>+CM16/CG18-1</f>
        <v>-3.7306298702207696E-3</v>
      </c>
      <c r="CN17" s="1967"/>
      <c r="CO17" s="1988">
        <f>+CO16/CI18-1</f>
        <v>-3.7445995852856129E-3</v>
      </c>
      <c r="CP17" s="196">
        <f>+CP16/CJ18-1</f>
        <v>-3.7445995852856129E-3</v>
      </c>
      <c r="CQ17" s="196">
        <f>+CQ16/CK18-1</f>
        <v>-3.7445995852856129E-3</v>
      </c>
      <c r="CR17" s="1989">
        <f>+CR16/CL18-1</f>
        <v>-3.7445995852856129E-3</v>
      </c>
      <c r="CS17" s="1990">
        <f>+CS16/CM18-1</f>
        <v>-3.7445995852853908E-3</v>
      </c>
      <c r="CT17" s="2005"/>
      <c r="CU17" s="2005"/>
      <c r="CV17" s="2005"/>
      <c r="CW17" s="2005"/>
      <c r="CX17" s="60"/>
      <c r="CY17" s="60"/>
      <c r="CZ17" s="60"/>
      <c r="DA17" s="60"/>
      <c r="DB17" s="60"/>
      <c r="DC17" s="60"/>
      <c r="DD17" s="60"/>
      <c r="DE17" s="60"/>
      <c r="DF17" s="60"/>
      <c r="DG17" s="60"/>
      <c r="DH17" s="60"/>
      <c r="DI17" s="60"/>
      <c r="DJ17" s="60"/>
      <c r="DK17" s="60"/>
      <c r="DL17" s="60"/>
      <c r="DM17" s="68"/>
      <c r="DN17" s="68"/>
      <c r="DO17" s="68"/>
      <c r="DP17" s="68"/>
      <c r="DQ17" s="68"/>
      <c r="DR17" s="68"/>
      <c r="DS17" s="68"/>
      <c r="DT17" s="68"/>
      <c r="DU17" s="68"/>
      <c r="DV17" s="68"/>
      <c r="DW17" s="68"/>
      <c r="DX17" s="68"/>
    </row>
    <row r="18" spans="1:128">
      <c r="A18" s="1971" t="s">
        <v>592</v>
      </c>
      <c r="B18" s="63"/>
      <c r="C18" s="2050">
        <f>+(RevBuild!C9/C14)*1000</f>
        <v>435.66933333333327</v>
      </c>
      <c r="D18" s="2051">
        <f>+(RevBuild!D9/D14)*1000</f>
        <v>461.81818181818181</v>
      </c>
      <c r="E18" s="2051">
        <f>+(RevBuild!E9/E14)*1000</f>
        <v>501.47058823529409</v>
      </c>
      <c r="F18" s="2051">
        <f>+(RevBuild!F9/F14)*1000</f>
        <v>522.5</v>
      </c>
      <c r="G18" s="2052">
        <f>+(RevBuild!G9/G14)*1000</f>
        <v>487.5206451612903</v>
      </c>
      <c r="H18" s="2053"/>
      <c r="I18" s="2050">
        <f>+(RevBuild!I9/I14)*1000</f>
        <v>470.99148936170218</v>
      </c>
      <c r="J18" s="2051">
        <f>+(RevBuild!J9/J14)*1000</f>
        <v>464.51612903225811</v>
      </c>
      <c r="K18" s="2051">
        <f>+(RevBuild!K9/K14)*1000</f>
        <v>454.36893203883494</v>
      </c>
      <c r="L18" s="2051">
        <f>+(RevBuild!L9/L14)*1000</f>
        <v>443.3344827586206</v>
      </c>
      <c r="M18" s="2052">
        <f>+(RevBuild!M9/M14)*1000</f>
        <v>457.38916256157631</v>
      </c>
      <c r="N18" s="2053"/>
      <c r="O18" s="2050">
        <f>+(RevBuild!O9/O14)*1000</f>
        <v>378.94736842105266</v>
      </c>
      <c r="P18" s="2051">
        <f>+(RevBuild!P9/P14)*1000</f>
        <v>387.05035971223015</v>
      </c>
      <c r="Q18" s="2051">
        <f>+(RevBuild!Q9/Q14)*1000</f>
        <v>404.66666666666669</v>
      </c>
      <c r="R18" s="2051">
        <f>+(RevBuild!R9/R14)*1000</f>
        <v>400.00000000000006</v>
      </c>
      <c r="S18" s="2052">
        <f>+(RevBuild!S9/S14)*1000</f>
        <v>393.20557491289196</v>
      </c>
      <c r="T18" s="2053"/>
      <c r="U18" s="2050">
        <f>+(RevBuild!U9/U14)*1000</f>
        <v>330.63583815028903</v>
      </c>
      <c r="V18" s="2051">
        <f>+(RevBuild!V9/V14)*1000</f>
        <v>394.9152542372882</v>
      </c>
      <c r="W18" s="2051">
        <f>+(RevBuild!W9/W14)*1000</f>
        <v>541.97530864197529</v>
      </c>
      <c r="X18" s="2051">
        <f>+(RevBuild!X9/X14)*1000</f>
        <v>489.73214285714295</v>
      </c>
      <c r="Y18" s="2052">
        <f>+(RevBuild!Y9/Y14)*1000</f>
        <v>441.03260869565219</v>
      </c>
      <c r="Z18" s="2053"/>
      <c r="AA18" s="2050">
        <f>+(RevBuild!AA9/AA14)*1000</f>
        <v>664.53488372093022</v>
      </c>
      <c r="AB18" s="2051">
        <f>+(RevBuild!AB9/AB14)*1000</f>
        <v>602.8248587570622</v>
      </c>
      <c r="AC18" s="2051">
        <f>+(RevBuild!AC9/AC14)*1000</f>
        <v>377.8947368421052</v>
      </c>
      <c r="AD18" s="2051">
        <f>+(RevBuild!AD9/AD14)*1000</f>
        <v>280.76923076923083</v>
      </c>
      <c r="AE18" s="2052">
        <f>+(RevBuild!AE9/AE14)*1000</f>
        <v>452.24242424242431</v>
      </c>
      <c r="AF18" s="2053"/>
      <c r="AG18" s="2050">
        <f>+(RevBuild!AG9/AG14)*1000</f>
        <v>215.13513513513513</v>
      </c>
      <c r="AH18" s="2051">
        <f>+(RevBuild!AH9/AH14)*1000</f>
        <v>205.11363636363635</v>
      </c>
      <c r="AI18" s="2051">
        <f>+(RevBuild!AI9/AI14)*1000</f>
        <v>200.48661800486619</v>
      </c>
      <c r="AJ18" s="2051">
        <f>+(RevBuild!AJ9/AJ14)*1000</f>
        <v>195.59902200489</v>
      </c>
      <c r="AK18" s="2052">
        <f>+(RevBuild!AK9/AK14)*1000</f>
        <v>203.7613488975357</v>
      </c>
      <c r="AL18" s="2053"/>
      <c r="AM18" s="2050">
        <f>+(RevBuild!AM9/AM14)*1000</f>
        <v>214.35523114355229</v>
      </c>
      <c r="AN18" s="2051">
        <f>+(RevBuild!AN9/AN14)*1000</f>
        <v>241.22137404580153</v>
      </c>
      <c r="AO18" s="2051">
        <f>+(RevBuild!AO9/AO14)*1000</f>
        <v>237.39047619047622</v>
      </c>
      <c r="AP18" s="2051">
        <f>+(RevBuild!AP9/AP14)*1000</f>
        <v>214.97584541062804</v>
      </c>
      <c r="AQ18" s="2052">
        <f>+(RevBuild!AQ9/AQ14)*1000</f>
        <v>226.86446886446885</v>
      </c>
      <c r="AR18" s="2053"/>
      <c r="AS18" s="2050">
        <f>+(RevBuild!AS9/AS14)*1000</f>
        <v>215.64245810055866</v>
      </c>
      <c r="AT18" s="2051">
        <f>+(RevBuild!AT9/AT14)*1000</f>
        <v>248.58156028368791</v>
      </c>
      <c r="AU18" s="2051">
        <f>+(RevBuild!AU9/AU14)*1000</f>
        <v>263.15789473684208</v>
      </c>
      <c r="AV18" s="2051">
        <f>+(RevBuild!AV9/AV14)*1000</f>
        <v>252.01938610662361</v>
      </c>
      <c r="AW18" s="2052">
        <f>+(RevBuild!AW9/AW14)*1000</f>
        <v>245.41484716157206</v>
      </c>
      <c r="AX18" s="2053"/>
      <c r="AY18" s="2050">
        <f>+(RevBuild!AY9/AY14)*1000</f>
        <v>253.38819939915757</v>
      </c>
      <c r="AZ18" s="2051">
        <f>+(RevBuild!AZ9/AZ14)*1000</f>
        <v>256.66250864687464</v>
      </c>
      <c r="BA18" s="2051">
        <f>+(RevBuild!BA9/BA14)*1000</f>
        <v>258.57891357811349</v>
      </c>
      <c r="BB18" s="2051">
        <f>+(RevBuild!BB9/BB14)*1000</f>
        <v>192.92326190479915</v>
      </c>
      <c r="BC18" s="2052">
        <f>+(RevBuild!BC9/BC14)*1000</f>
        <v>236.84224357805115</v>
      </c>
      <c r="BD18" s="2053"/>
      <c r="BE18" s="2050">
        <f>+(RevBuild!BE9/BE14)*1000</f>
        <v>166.51749235911879</v>
      </c>
      <c r="BF18" s="2051">
        <f>+(RevBuild!BF9/BF14)*1000</f>
        <v>176.4714502883495</v>
      </c>
      <c r="BG18" s="2051">
        <f>+(RevBuild!BG9/BG14)*1000</f>
        <v>151.83218964836334</v>
      </c>
      <c r="BH18" s="2051">
        <f>+(RevBuild!BH9/BH14)*1000</f>
        <v>166.10826366789436</v>
      </c>
      <c r="BI18" s="2052">
        <f>+(RevBuild!BI9/BI14)*1000</f>
        <v>165.11002738723721</v>
      </c>
      <c r="BJ18" s="2053"/>
      <c r="BK18" s="2050">
        <f>+(RevBuild!BK9/BK14)*1000</f>
        <v>200.03469926971229</v>
      </c>
      <c r="BL18" s="2051">
        <f>+(RevBuild!BL9/BL14)*1000</f>
        <v>323.77394681730158</v>
      </c>
      <c r="BM18" s="2051">
        <f>+(RevBuild!BM9/BM14)*1000</f>
        <v>282.82828282828279</v>
      </c>
      <c r="BN18" s="2051">
        <f>+(RevBuild!BN9/BN14)*1000</f>
        <v>310.26785714285717</v>
      </c>
      <c r="BO18" s="2052">
        <f>+(RevBuild!BO9/BO14)*1000</f>
        <v>276.44187800929063</v>
      </c>
      <c r="BP18" s="2053"/>
      <c r="BQ18" s="2050">
        <f>+(RevBuild!BQ9/BQ14)*1000</f>
        <v>284.33734939759034</v>
      </c>
      <c r="BR18" s="2051">
        <f>+(RevBuild!BR9/BR14)*1000</f>
        <v>299.25647058823529</v>
      </c>
      <c r="BS18" s="2051">
        <f>+(RevBuild!BS9/BS14)*1000</f>
        <v>307.48411764705878</v>
      </c>
      <c r="BT18" s="2051">
        <f>+(RevBuild!BT9/BT14)*1000</f>
        <v>307.48411764705878</v>
      </c>
      <c r="BU18" s="2052">
        <f>+(RevBuild!BU9/BU14)*1000</f>
        <v>299.73106508875736</v>
      </c>
      <c r="BV18" s="2053"/>
      <c r="BW18" s="2050">
        <f>+(RevBuild!BW9/BW14)*1000</f>
        <v>270.89702380952383</v>
      </c>
      <c r="BX18" s="2051">
        <f>+(RevBuild!BX9/BX14)*1000</f>
        <v>270.89702380952383</v>
      </c>
      <c r="BY18" s="2051">
        <f>+(RevBuild!BY9/BY14)*1000</f>
        <v>270.89702380952383</v>
      </c>
      <c r="BZ18" s="2051">
        <f>+(RevBuild!BZ9/BZ14)*1000</f>
        <v>270.89702380952383</v>
      </c>
      <c r="CA18" s="2052">
        <f>+(RevBuild!CA9/CA14)*1000</f>
        <v>270.89702380952383</v>
      </c>
      <c r="CB18" s="2053"/>
      <c r="CC18" s="2050">
        <f>+(RevBuild!CC9/CC14)*1000</f>
        <v>255.28690476190474</v>
      </c>
      <c r="CD18" s="2051">
        <f>+(RevBuild!CD9/CD14)*1000</f>
        <v>255.28690476190474</v>
      </c>
      <c r="CE18" s="2051">
        <f>+(RevBuild!CE9/CE14)*1000</f>
        <v>255.28690476190474</v>
      </c>
      <c r="CF18" s="2051">
        <f>+(RevBuild!CF9/CF14)*1000</f>
        <v>255.28690476190474</v>
      </c>
      <c r="CG18" s="2052">
        <f>+(RevBuild!CG9/CG14)*1000</f>
        <v>255.28690476190474</v>
      </c>
      <c r="CH18" s="2053"/>
      <c r="CI18" s="2050">
        <f>+(RevBuild!CI9/CI14)*1000</f>
        <v>254.33452380952383</v>
      </c>
      <c r="CJ18" s="2051">
        <f>+(RevBuild!CJ9/CJ14)*1000</f>
        <v>254.33452380952383</v>
      </c>
      <c r="CK18" s="2051">
        <f>+(RevBuild!CK9/CK14)*1000</f>
        <v>254.33452380952383</v>
      </c>
      <c r="CL18" s="2051">
        <f>+(RevBuild!CL9/CL14)*1000</f>
        <v>254.33452380952383</v>
      </c>
      <c r="CM18" s="2052">
        <f>+(RevBuild!CM9/CM14)*1000</f>
        <v>254.33452380952383</v>
      </c>
      <c r="CN18" s="2053"/>
      <c r="CO18" s="2050">
        <f>+(RevBuild!CO9/CO14)*1000</f>
        <v>253.3821428571429</v>
      </c>
      <c r="CP18" s="2051">
        <f>+(RevBuild!CP9/CP14)*1000</f>
        <v>253.3821428571429</v>
      </c>
      <c r="CQ18" s="2051">
        <f>+(RevBuild!CQ9/CQ14)*1000</f>
        <v>253.3821428571429</v>
      </c>
      <c r="CR18" s="2051">
        <f>+(RevBuild!CR9/CR14)*1000</f>
        <v>253.3821428571429</v>
      </c>
      <c r="CS18" s="2052">
        <f>+(RevBuild!CS9/CS14)*1000</f>
        <v>253.3821428571429</v>
      </c>
      <c r="CT18" s="2051"/>
      <c r="CU18" s="2051"/>
      <c r="CV18" s="2051"/>
      <c r="CW18" s="2051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8"/>
      <c r="DN18" s="68"/>
      <c r="DO18" s="68"/>
      <c r="DP18" s="68"/>
      <c r="DQ18" s="68"/>
      <c r="DR18" s="68"/>
      <c r="DS18" s="68"/>
      <c r="DT18" s="68"/>
      <c r="DU18" s="68"/>
      <c r="DV18" s="68"/>
      <c r="DW18" s="68"/>
      <c r="DX18" s="68"/>
    </row>
    <row r="19" spans="1:128">
      <c r="A19" s="1972" t="s">
        <v>647</v>
      </c>
      <c r="B19" s="63"/>
      <c r="C19" s="2047">
        <f>+RevBuild!C11+RevBuild!C220</f>
        <v>38.597580000000001</v>
      </c>
      <c r="D19" s="2048">
        <f>+RevBuild!D11+RevBuild!D220</f>
        <v>45.8</v>
      </c>
      <c r="E19" s="2048">
        <f>+RevBuild!E11+RevBuild!E220</f>
        <v>52.7</v>
      </c>
      <c r="F19" s="2048">
        <f>+RevBuild!F11+RevBuild!F220</f>
        <v>56.2</v>
      </c>
      <c r="G19" s="2049">
        <f>+RevBuild!G11+RevBuild!G220</f>
        <v>193.29757999999998</v>
      </c>
      <c r="H19" s="2044"/>
      <c r="I19" s="2043">
        <f>+((RevBuild!I11/RevBuild!C11)-I11)*RevBuild!C11+I68</f>
        <v>63.089309999999998</v>
      </c>
      <c r="J19" s="2044">
        <f>+((RevBuild!J11/RevBuild!D11)-J11)*RevBuild!D11+J68</f>
        <v>81.7</v>
      </c>
      <c r="K19" s="2044">
        <f>+((RevBuild!K11/RevBuild!E11)-K11)*RevBuild!E11+K68</f>
        <v>90.2</v>
      </c>
      <c r="L19" s="2044">
        <f>+((RevBuild!L11/RevBuild!F11)-L11)*RevBuild!F11+L68</f>
        <v>98.71069</v>
      </c>
      <c r="M19" s="2045">
        <f>+((RevBuild!M11/RevBuild!G11)-M11)*RevBuild!G11+M68</f>
        <v>333.7</v>
      </c>
      <c r="N19" s="2046"/>
      <c r="O19" s="2043">
        <f>+((RevBuild!O11/RevBuild!I11)-O11)*RevBuild!I11+O68</f>
        <v>103.1</v>
      </c>
      <c r="P19" s="2044">
        <f>+((RevBuild!P11/RevBuild!J11)-P11)*RevBuild!J11+P68</f>
        <v>96.499999999999986</v>
      </c>
      <c r="Q19" s="2044">
        <f>+((RevBuild!Q11/RevBuild!K11)-Q11)*RevBuild!K11+Q68</f>
        <v>87</v>
      </c>
      <c r="R19" s="2044">
        <f>+((RevBuild!R11/RevBuild!L11)-R11)*RevBuild!L11+R68</f>
        <v>104.7</v>
      </c>
      <c r="S19" s="2045">
        <f>+((RevBuild!S11/RevBuild!M11)-S11)*RevBuild!M11+S68</f>
        <v>391.3</v>
      </c>
      <c r="T19" s="2046"/>
      <c r="U19" s="2043">
        <f>+((RevBuild!U11/RevBuild!O11)-U11)*RevBuild!O11+U68</f>
        <v>110.22068106684672</v>
      </c>
      <c r="V19" s="2044">
        <f>+((RevBuild!V11/RevBuild!P11)-V11)*RevBuild!P11+V68</f>
        <v>125.99344388107859</v>
      </c>
      <c r="W19" s="2044">
        <f>+((RevBuild!W11/RevBuild!Q11)-W11)*RevBuild!Q11+W68</f>
        <v>133.40481301200222</v>
      </c>
      <c r="X19" s="2044">
        <f>+((RevBuild!X11/RevBuild!R11)-X11)*RevBuild!R11+X68</f>
        <v>132.54662382827868</v>
      </c>
      <c r="Y19" s="2045">
        <f>+((RevBuild!Y11/RevBuild!S11)-Y11)*RevBuild!S11+Y68</f>
        <v>502.40292910348057</v>
      </c>
      <c r="Z19" s="2046"/>
      <c r="AA19" s="2043">
        <f>+((RevBuild!AA11/RevBuild!U11)-AA11)*RevBuild!U11+AA68</f>
        <v>143.26687380635238</v>
      </c>
      <c r="AB19" s="2044">
        <f>+((RevBuild!AB11/RevBuild!V11)-AB11)*RevBuild!V11+AB68</f>
        <v>150.16278992067029</v>
      </c>
      <c r="AC19" s="2044">
        <f>+((RevBuild!AC11/RevBuild!W11)-AC11)*RevBuild!W11+AC68</f>
        <v>138.33958356554518</v>
      </c>
      <c r="AD19" s="2044">
        <f>+((RevBuild!AD11/RevBuild!X11)-AD11)*RevBuild!X11+AD68</f>
        <v>142.37515616543297</v>
      </c>
      <c r="AE19" s="2045">
        <f>+((RevBuild!AE11/RevBuild!Y11)-AE11)*RevBuild!Y11+AE68</f>
        <v>574.78309513267504</v>
      </c>
      <c r="AF19" s="2046"/>
      <c r="AG19" s="2043">
        <f>+((RevBuild!AG11/RevBuild!AA11)-AG11)*RevBuild!AA11+AG68</f>
        <v>173.35787776775766</v>
      </c>
      <c r="AH19" s="2044">
        <f>+((RevBuild!AH11/RevBuild!AB11)-AH11)*RevBuild!AB11+AH68</f>
        <v>188.23002889552743</v>
      </c>
      <c r="AI19" s="2044">
        <f>+((RevBuild!AI11/RevBuild!AC11)-AI11)*RevBuild!AC11+AI68</f>
        <v>181.02637908609162</v>
      </c>
      <c r="AJ19" s="2044">
        <f>+((RevBuild!AJ11/RevBuild!AD11)-AJ11)*RevBuild!AD11+AJ68</f>
        <v>197.57753665238556</v>
      </c>
      <c r="AK19" s="2045">
        <f>+((RevBuild!AK11/RevBuild!AE11)-AK11)*RevBuild!AE11+AK68</f>
        <v>739.93189712045125</v>
      </c>
      <c r="AL19" s="2046"/>
      <c r="AM19" s="2043">
        <f>+((RevBuild!AM11/RevBuild!AG11)-AM11)*RevBuild!AG11+AM68</f>
        <v>214.05582031595554</v>
      </c>
      <c r="AN19" s="2044">
        <f>+((RevBuild!AN11/RevBuild!AH11)-AN11)*RevBuild!AH11+AN68</f>
        <v>224.72124863130466</v>
      </c>
      <c r="AO19" s="2044">
        <f>+((RevBuild!AO11/RevBuild!AI11)-AO11)*RevBuild!AI11+AO68</f>
        <v>215.73915745850519</v>
      </c>
      <c r="AP19" s="2044">
        <f>+((RevBuild!AP11/RevBuild!AJ11)-AP11)*RevBuild!AJ11+AP68</f>
        <v>253.82615139413178</v>
      </c>
      <c r="AQ19" s="2045">
        <f>+((RevBuild!AQ11/RevBuild!AK11)-AQ11)*RevBuild!AK11+AQ68</f>
        <v>908.07031701067046</v>
      </c>
      <c r="AR19" s="2046"/>
      <c r="AS19" s="2043">
        <f>+((RevBuild!AS11/RevBuild!AM11)-AS11)*RevBuild!AM11+AS68</f>
        <v>251.39944427601131</v>
      </c>
      <c r="AT19" s="2044">
        <f>+((RevBuild!AT11/RevBuild!AN11)-AT11)*RevBuild!AN11+AT68</f>
        <v>256.29301185794066</v>
      </c>
      <c r="AU19" s="2044">
        <f>+((RevBuild!AU11/RevBuild!AO11)-AU11)*RevBuild!AO11+AU68</f>
        <v>274.19396208506112</v>
      </c>
      <c r="AV19" s="2044">
        <f>+((RevBuild!AV11/RevBuild!AP11)-AV11)*RevBuild!AP11+AV68</f>
        <v>311.2819024433781</v>
      </c>
      <c r="AW19" s="2045">
        <f>+((RevBuild!AW11/RevBuild!AQ11)-AW11)*RevBuild!AQ11+AW68</f>
        <v>1093.1078417050676</v>
      </c>
      <c r="AX19" s="2046"/>
      <c r="AY19" s="2043">
        <f>+((RevBuild!AY11/RevBuild!AS11)-AY11)*RevBuild!AS11+AY68</f>
        <v>338.27499999999998</v>
      </c>
      <c r="AZ19" s="2044">
        <f>+((RevBuild!AZ11/RevBuild!AT11)-AZ11)*RevBuild!AT11+AZ68</f>
        <v>332.22640000000001</v>
      </c>
      <c r="BA19" s="2044">
        <f>+((RevBuild!BA11/RevBuild!AU11)-BA11)*RevBuild!AU11+BA68</f>
        <v>348.62</v>
      </c>
      <c r="BB19" s="2044">
        <f>+((RevBuild!BB11/RevBuild!AV11)-BB11)*RevBuild!AV11+BB68</f>
        <v>369.87</v>
      </c>
      <c r="BC19" s="2045">
        <f>+((RevBuild!BC11/RevBuild!AW11)-BC11)*RevBuild!AW11+BC68</f>
        <v>1388.9686765112356</v>
      </c>
      <c r="BD19" s="2046"/>
      <c r="BE19" s="2043">
        <f>+((RevBuild!BE11/RevBuild!AY11)-BE11)*RevBuild!AY11+BE68</f>
        <v>376.99937499999999</v>
      </c>
      <c r="BF19" s="2044">
        <f>+((RevBuild!BF11/RevBuild!AZ11)-BF11)*RevBuild!AZ11+BF68</f>
        <v>385.98479004817568</v>
      </c>
      <c r="BG19" s="2044">
        <f>+((RevBuild!BG11/RevBuild!BA11)-BG11)*RevBuild!BA11+BG68</f>
        <v>402.09965753524813</v>
      </c>
      <c r="BH19" s="2044">
        <f>+((RevBuild!BH11/RevBuild!BB11)-BH11)*RevBuild!BB11+BH68</f>
        <v>415.61989841956688</v>
      </c>
      <c r="BI19" s="2045">
        <f>+((RevBuild!BI11/RevBuild!BC11)-BI11)*RevBuild!BC11+BI68</f>
        <v>1580.6547841885344</v>
      </c>
      <c r="BJ19" s="2044"/>
      <c r="BK19" s="2043">
        <f>+((RevBuild!BK11/RevBuild!BE11)-BK11)*RevBuild!BE11+BK68</f>
        <v>394.26512499999995</v>
      </c>
      <c r="BL19" s="2044">
        <f>+((RevBuild!BL11/RevBuild!BF11)-BL11)*RevBuild!BF11+BL68</f>
        <v>409.03914152999999</v>
      </c>
      <c r="BM19" s="2044">
        <f>+((RevBuild!BM11/RevBuild!BG11)-BM11)*RevBuild!BG11+BM68</f>
        <v>453.70341093750005</v>
      </c>
      <c r="BN19" s="2044">
        <f>+((RevBuild!BN11/RevBuild!BH11)-BN11)*RevBuild!BH11+BN68</f>
        <v>511.74379515624992</v>
      </c>
      <c r="BO19" s="2045">
        <f>+((RevBuild!BO11/RevBuild!BI11)-BO11)*RevBuild!BI11+BO68</f>
        <v>1768.9857268969758</v>
      </c>
      <c r="BP19" s="2044"/>
      <c r="BQ19" s="2043">
        <f>+((RevBuild!BQ11/RevBuild!BK11)-BQ11)*RevBuild!BK11+BQ68</f>
        <v>496.24923242578132</v>
      </c>
      <c r="BR19" s="2044">
        <f>+((RevBuild!BR11/RevBuild!BL11)-BR11)*RevBuild!BL11+BR68</f>
        <v>499.35185627053369</v>
      </c>
      <c r="BS19" s="2044">
        <f>+((RevBuild!BS11/RevBuild!BM11)-BS11)*RevBuild!BM11+BS68</f>
        <v>515.13714552931219</v>
      </c>
      <c r="BT19" s="2044">
        <f>+((RevBuild!BT11/RevBuild!BN11)-BT11)*RevBuild!BN11+BT68</f>
        <v>537.72349951507397</v>
      </c>
      <c r="BU19" s="2045">
        <f>+((RevBuild!BU11/RevBuild!BO11)-BU11)*RevBuild!BO11+BU68</f>
        <v>2048.296598503267</v>
      </c>
      <c r="BV19" s="2044"/>
      <c r="BW19" s="2043">
        <f>+((RevBuild!BW11/RevBuild!BQ11)-BW11)*RevBuild!BQ11+BW68</f>
        <v>558.61225792667278</v>
      </c>
      <c r="BX19" s="2044">
        <f>+((RevBuild!BX11/RevBuild!BR11)-BX11)*RevBuild!BR11+BX68</f>
        <v>557.87962756170896</v>
      </c>
      <c r="BY19" s="2044">
        <f>+((RevBuild!BY11/RevBuild!BS11)-BY11)*RevBuild!BS11+BY68</f>
        <v>569.80319454252651</v>
      </c>
      <c r="BZ19" s="2044">
        <f>+((RevBuild!BZ11/RevBuild!BT11)-BZ11)*RevBuild!BT11+BZ68</f>
        <v>591.92907860370383</v>
      </c>
      <c r="CA19" s="2045">
        <f>+((RevBuild!CA11/RevBuild!BU11)-CA11)*RevBuild!BU11+CA68</f>
        <v>2278.2241586346122</v>
      </c>
      <c r="CB19" s="2044"/>
      <c r="CC19" s="2043">
        <f>+((RevBuild!CC11/RevBuild!BW11)-CC11)*RevBuild!BW11+CC68</f>
        <v>606.17671145327631</v>
      </c>
      <c r="CD19" s="2044">
        <f>+((RevBuild!CD11/RevBuild!BX11)-CD11)*RevBuild!BX11+CD68</f>
        <v>606.39086797008395</v>
      </c>
      <c r="CE19" s="2044">
        <f>+((RevBuild!CE11/RevBuild!BY11)-CE11)*RevBuild!BY11+CE68</f>
        <v>619.82945052084995</v>
      </c>
      <c r="CF19" s="2044">
        <f>+((RevBuild!CF11/RevBuild!BZ11)-CF11)*RevBuild!BZ11+CF68</f>
        <v>643.91717670897049</v>
      </c>
      <c r="CG19" s="2045">
        <f>+((RevBuild!CG11/RevBuild!CA11)-CG11)*RevBuild!CA11+CG68</f>
        <v>2476.3142066531809</v>
      </c>
      <c r="CH19" s="2044"/>
      <c r="CI19" s="2043">
        <f>+((RevBuild!CI11/RevBuild!CC11)-CI11)*RevBuild!CC11+CI68</f>
        <v>659.38687117261679</v>
      </c>
      <c r="CJ19" s="2044">
        <f>+((RevBuild!CJ11/RevBuild!CD11)-CJ11)*RevBuild!CD11+CJ68</f>
        <v>659.7523604374619</v>
      </c>
      <c r="CK19" s="2044">
        <f>+((RevBuild!CK11/RevBuild!CE11)-CK11)*RevBuild!CE11+CK68</f>
        <v>674.17805127215934</v>
      </c>
      <c r="CL19" s="2044">
        <f>+((RevBuild!CL11/RevBuild!CF11)-CL11)*RevBuild!CF11+CL68</f>
        <v>702.03035874299917</v>
      </c>
      <c r="CM19" s="2045">
        <f>+((RevBuild!CM11/RevBuild!CG11)-CM11)*RevBuild!CG11+CM68</f>
        <v>2695.347641625237</v>
      </c>
      <c r="CN19" s="2044"/>
      <c r="CO19" s="2043">
        <f>+((RevBuild!CO11/RevBuild!CI11)-CO11)*RevBuild!CI11+CO68</f>
        <v>723.46646055570079</v>
      </c>
      <c r="CP19" s="2044">
        <f>+((RevBuild!CP11/RevBuild!CJ11)-CP11)*RevBuild!CJ11+CP68</f>
        <v>729.55113453683748</v>
      </c>
      <c r="CQ19" s="2044">
        <f>+((RevBuild!CQ11/RevBuild!CK11)-CQ11)*RevBuild!CK11+CQ68</f>
        <v>749.33704102825254</v>
      </c>
      <c r="CR19" s="2044">
        <f>+((RevBuild!CR11/RevBuild!CL11)-CR11)*RevBuild!CL11+CR68</f>
        <v>780.73968646847447</v>
      </c>
      <c r="CS19" s="2045">
        <f>+((RevBuild!CS11/RevBuild!CM11)-CS11)*RevBuild!CM11+CS68</f>
        <v>2983.0943225892656</v>
      </c>
      <c r="CT19" s="2044"/>
      <c r="CU19" s="2044"/>
      <c r="CV19" s="2044"/>
      <c r="CW19" s="2044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60"/>
      <c r="DI19" s="60"/>
      <c r="DJ19" s="60"/>
      <c r="DK19" s="60"/>
      <c r="DL19" s="60"/>
      <c r="DM19" s="68"/>
      <c r="DN19" s="68"/>
      <c r="DO19" s="68"/>
      <c r="DP19" s="68"/>
      <c r="DQ19" s="68"/>
      <c r="DR19" s="68"/>
      <c r="DS19" s="68"/>
      <c r="DT19" s="68"/>
      <c r="DU19" s="68"/>
      <c r="DV19" s="68"/>
      <c r="DW19" s="68"/>
      <c r="DX19" s="68"/>
    </row>
    <row r="20" spans="1:128">
      <c r="A20" s="1971" t="s">
        <v>595</v>
      </c>
      <c r="B20" s="63"/>
      <c r="C20" s="1963"/>
      <c r="D20" s="1964"/>
      <c r="E20" s="1964"/>
      <c r="F20" s="1964"/>
      <c r="G20" s="1965"/>
      <c r="H20" s="1"/>
      <c r="I20" s="1963">
        <f>+(I19)/(AVERAGE(G15,I15)/1000)</f>
        <v>191.76082066869299</v>
      </c>
      <c r="J20" s="1964">
        <f>+(J19)/(AVERAGE(I15,J15)/1000)</f>
        <v>193.37278106508876</v>
      </c>
      <c r="K20" s="1964">
        <f>+(K19)/(AVERAGE(J15,K15)/1000)</f>
        <v>173.29490874159464</v>
      </c>
      <c r="L20" s="1964">
        <f>+(L19)/(AVERAGE(K15,L15)/1000)</f>
        <v>156.68363492063492</v>
      </c>
      <c r="M20" s="1965">
        <f>+((M19))/(AVERAGE(G15,M15)/1000)</f>
        <v>688.04123711340208</v>
      </c>
      <c r="N20" s="1"/>
      <c r="O20" s="1963">
        <f>+(O19)/(AVERAGE(M15,O15)/1000)</f>
        <v>136.64678595096089</v>
      </c>
      <c r="P20" s="1964">
        <f>+(P19)/(AVERAGE(O15,P15)/1000)</f>
        <v>108.36608646827624</v>
      </c>
      <c r="Q20" s="1964">
        <f>+(Q19)/(AVERAGE(P15,Q15)/1000)</f>
        <v>84.057971014492765</v>
      </c>
      <c r="R20" s="1964">
        <f>+(R19)/(AVERAGE(Q15,R15)/1000)</f>
        <v>88.279932546374368</v>
      </c>
      <c r="S20" s="1965">
        <f>+((S19))/(AVERAGE(M15,S15)/1000)</f>
        <v>401.33333333333337</v>
      </c>
      <c r="T20" s="1"/>
      <c r="U20" s="1963">
        <f>+(U19)/(AVERAGE(S15,U15)/1000)</f>
        <v>81.735766456690186</v>
      </c>
      <c r="V20" s="1964">
        <f>+(V19)/(AVERAGE(U15,V15)/1000)</f>
        <v>82.699995983641998</v>
      </c>
      <c r="W20" s="1964">
        <f>+(W19)/(AVERAGE(V15,W15)/1000)</f>
        <v>78.797881282931016</v>
      </c>
      <c r="X20" s="1964">
        <f>+(X19)/(AVERAGE(W15,X15)/1000)</f>
        <v>70.279227904707682</v>
      </c>
      <c r="Y20" s="1965">
        <f>+((Y19))/(AVERAGE(S15,Y15)/1000)</f>
        <v>308.22265589170587</v>
      </c>
      <c r="Z20" s="1"/>
      <c r="AA20" s="1963">
        <f>+(AA19)/(AVERAGE(Y15,AA15)/1000)</f>
        <v>68.746100674833187</v>
      </c>
      <c r="AB20" s="1964">
        <f>+(AB19)/(AVERAGE(AA15,AB15)/1000)</f>
        <v>66.487841452588128</v>
      </c>
      <c r="AC20" s="1964">
        <f>+(AC19)/(AVERAGE(AB15,AC15)/1000)</f>
        <v>56.650116120206867</v>
      </c>
      <c r="AD20" s="1964">
        <f>+(AD19)/(AVERAGE(AC15,AD15)/1000)</f>
        <v>53.125058270683944</v>
      </c>
      <c r="AE20" s="1965">
        <f>+((AE19))/(AVERAGE(Y15,AE15)/1000)</f>
        <v>238.44973869847544</v>
      </c>
      <c r="AF20" s="1"/>
      <c r="AG20" s="1963">
        <f>+(AG19)/(AVERAGE(AE15,AG15)/1000)</f>
        <v>57.632273194068368</v>
      </c>
      <c r="AH20" s="1964">
        <f>+(AH19)/(AVERAGE(AG15,AH15)/1000)</f>
        <v>55.871186968099558</v>
      </c>
      <c r="AI20" s="1964">
        <f>+(AI19)/(AVERAGE(AH15,AI15)/1000)</f>
        <v>48.267265454230532</v>
      </c>
      <c r="AJ20" s="1964">
        <f>+(AJ19)/(AVERAGE(AI15,AJ15)/1000)</f>
        <v>47.488892357261285</v>
      </c>
      <c r="AK20" s="1965">
        <f>+((AK19))/(AVERAGE(AE15,AK15)/1000)</f>
        <v>205.87977104074884</v>
      </c>
      <c r="AL20" s="1"/>
      <c r="AM20" s="1963">
        <f>+(AM19)/(AVERAGE(AK15,AM15)/1000)</f>
        <v>46.834223895844119</v>
      </c>
      <c r="AN20" s="1964">
        <f>+(AN19)/(AVERAGE(AM15,AN15)/1000)</f>
        <v>45.192810182263379</v>
      </c>
      <c r="AO20" s="1964">
        <f>+(AO19)/(AVERAGE(AN15,AO15)/1000)</f>
        <v>40.107670098253429</v>
      </c>
      <c r="AP20" s="1964">
        <f>+(AP19)/(AVERAGE(AO15,AP15)/1000)</f>
        <v>43.793331848538955</v>
      </c>
      <c r="AQ20" s="1965">
        <f>+((AQ19))/(AVERAGE(AK15,AQ15)/1000)</f>
        <v>175.16788522582377</v>
      </c>
      <c r="AR20" s="1"/>
      <c r="AS20" s="1963">
        <f>+(AS19)/(AVERAGE(AQ15,AS15)/1000)</f>
        <v>40.086015191901673</v>
      </c>
      <c r="AT20" s="1964">
        <f>+(AT19)/(AVERAGE(AS15,AT15)/1000)</f>
        <v>37.5686033213047</v>
      </c>
      <c r="AU20" s="1964">
        <f>+(AU19)/(AVERAGE(AT15,AU15)/1000)</f>
        <v>37.108399253628519</v>
      </c>
      <c r="AV20" s="1964">
        <f>+(AV19)/(AVERAGE(AU15,AV15)/1000)</f>
        <v>38.990656033491334</v>
      </c>
      <c r="AW20" s="1965">
        <f>+((AW19))/(AVERAGE(AQ15,AW15)/1000)</f>
        <v>152.92499184458137</v>
      </c>
      <c r="AX20" s="1"/>
      <c r="AY20" s="1963">
        <f>+(AY19)/(AVERAGE(AW15,AY15)/1000)</f>
        <v>39.420957382422792</v>
      </c>
      <c r="AZ20" s="1964">
        <f>+(AZ19)/(AVERAGE(AY15,AZ15)/1000)</f>
        <v>36.225186524469976</v>
      </c>
      <c r="BA20" s="1964">
        <f>+(BA19)/(AVERAGE(AZ15,BA15)/1000)</f>
        <v>35.743156334055655</v>
      </c>
      <c r="BB20" s="1964">
        <f>+(BB19)/(AVERAGE(BA15,BB15)/1000)</f>
        <v>35.50493068958064</v>
      </c>
      <c r="BC20" s="1965">
        <f>+((BC19))/(AVERAGE(AW15,BC15)/1000)</f>
        <v>145.48746025517835</v>
      </c>
      <c r="BD20" s="1"/>
      <c r="BE20" s="1963">
        <f>+(BE19)/(AVERAGE(BC15,BE15)/1000)</f>
        <v>33.79549143274059</v>
      </c>
      <c r="BF20" s="1964">
        <f>+(BF19)/(AVERAGE(BE15,BF15)/1000)</f>
        <v>32.526905772241612</v>
      </c>
      <c r="BG20" s="1964">
        <f>+(BG19)/(AVERAGE(BF15,BG15)/1000)</f>
        <v>31.931785822054881</v>
      </c>
      <c r="BH20" s="1964">
        <f>+(BH19)/(AVERAGE(BG15,BH15)/1000)</f>
        <v>31.239198286147396</v>
      </c>
      <c r="BI20" s="1965">
        <f>+((BI19))/(AVERAGE(BC15,BI15)/1000)</f>
        <v>129.30440488056379</v>
      </c>
      <c r="BJ20" s="1"/>
      <c r="BK20" s="1963">
        <f>+(BK19)/(AVERAGE(BI15,BK15)/1000)</f>
        <v>28.369414540848439</v>
      </c>
      <c r="BL20" s="1964">
        <f>+(BL19)/(AVERAGE(BK15,BL15)/1000)</f>
        <v>28.489537048767506</v>
      </c>
      <c r="BM20" s="1964">
        <f>+(BM19)/(AVERAGE(BL15,BM15)/1000)</f>
        <v>30.624505228006349</v>
      </c>
      <c r="BN20" s="1964">
        <f>+(BN19)/(AVERAGE(BM15,BN15)/1000)</f>
        <v>33.476747584430264</v>
      </c>
      <c r="BO20" s="1965">
        <f>+((BO19))/(AVERAGE(BI15,BO15)/1000)</f>
        <v>121.33739300596274</v>
      </c>
      <c r="BP20" s="1"/>
      <c r="BQ20" s="1963">
        <f>+(BQ19)/(AVERAGE(BO15,BQ15)/1000)</f>
        <v>31.571944533740254</v>
      </c>
      <c r="BR20" s="1964">
        <f>+(BR19)/(AVERAGE(BQ15,BR15)/1000)</f>
        <v>30.942525474090814</v>
      </c>
      <c r="BS20" s="1964">
        <f>+(BS19)/(AVERAGE(BR15,BS15)/1000)</f>
        <v>31.101597431888123</v>
      </c>
      <c r="BT20" s="1964">
        <f>+(BT19)/(AVERAGE(BS15,BT15)/1000)</f>
        <v>31.65305437089561</v>
      </c>
      <c r="BU20" s="1965">
        <f>+((BU19))/(AVERAGE(BO15,BU15)/1000)</f>
        <v>125.23560957822751</v>
      </c>
      <c r="BV20" s="1"/>
      <c r="BW20" s="1963">
        <f>+(BW19)/(AVERAGE(BU15,BW15)/1000)</f>
        <v>32.084709044009038</v>
      </c>
      <c r="BX20" s="1964">
        <f>+(BX19)/(AVERAGE(BW15,BX15)/1000)</f>
        <v>31.287862482181527</v>
      </c>
      <c r="BY20" s="1964">
        <f>+(BY19)/(AVERAGE(BX15,BY15)/1000)</f>
        <v>31.221161170626591</v>
      </c>
      <c r="BZ20" s="1964">
        <f>+(BZ19)/(AVERAGE(BY15,BZ15)/1000)</f>
        <v>31.703899974476951</v>
      </c>
      <c r="CA20" s="1965">
        <f>+((CA19))/(AVERAGE(BU15,CA15)/1000)</f>
        <v>126.28355787506145</v>
      </c>
      <c r="CB20" s="1"/>
      <c r="CC20" s="1963">
        <f>+(CC19)/(AVERAGE(CA15,CC15)/1000)</f>
        <v>31.752719684946729</v>
      </c>
      <c r="CD20" s="1964">
        <f>+(CD19)/(AVERAGE(CC15,CD15)/1000)</f>
        <v>31.080161024130117</v>
      </c>
      <c r="CE20" s="1964">
        <f>+(CE19)/(AVERAGE(CD15,CE15)/1000)</f>
        <v>31.099473839122055</v>
      </c>
      <c r="CF20" s="1964">
        <f>+(CF19)/(AVERAGE(CE15,CF15)/1000)</f>
        <v>31.641274925534262</v>
      </c>
      <c r="CG20" s="1965">
        <f>+((CG19))/(AVERAGE(CA15,CG15)/1000)</f>
        <v>125.57027487533799</v>
      </c>
      <c r="CH20" s="1"/>
      <c r="CI20" s="1963">
        <f>+(CI19)/(AVERAGE(CG15,CI15)/1000)</f>
        <v>31.746248532941298</v>
      </c>
      <c r="CJ20" s="1964">
        <f>+(CJ19)/(AVERAGE(CI15,CJ15)/1000)</f>
        <v>31.134280536783262</v>
      </c>
      <c r="CK20" s="1964">
        <f>+(CK19)/(AVERAGE(CJ15,CK15)/1000)</f>
        <v>31.196717325580344</v>
      </c>
      <c r="CL20" s="1964">
        <f>+(CL19)/(AVERAGE(CK15,CL15)/1000)</f>
        <v>31.866228064376052</v>
      </c>
      <c r="CM20" s="1965">
        <f>+((CM19))/(AVERAGE(CG15,CM15)/1000)</f>
        <v>125.94761915936458</v>
      </c>
      <c r="CN20" s="1"/>
      <c r="CO20" s="1963">
        <f>+(CO19)/(AVERAGE(CM15,CO15)/1000)</f>
        <v>32.224895801287964</v>
      </c>
      <c r="CP20" s="1964">
        <f>+(CP19)/(AVERAGE(CO15,CP15)/1000)</f>
        <v>31.899158815820464</v>
      </c>
      <c r="CQ20" s="1964">
        <f>+(CQ19)/(AVERAGE(CP15,CQ15)/1000)</f>
        <v>32.173444363767302</v>
      </c>
      <c r="CR20" s="1964">
        <f>+(CR19)/(AVERAGE(CQ15,CR15)/1000)</f>
        <v>32.927952499535557</v>
      </c>
      <c r="CS20" s="1965">
        <f>+((CS19))/(AVERAGE(CM15,CS15)/1000)</f>
        <v>129.24713752350715</v>
      </c>
      <c r="CT20" s="1964"/>
      <c r="CU20" s="1964"/>
      <c r="CV20" s="1964"/>
      <c r="CW20" s="1964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60"/>
      <c r="DI20" s="60"/>
      <c r="DJ20" s="60"/>
      <c r="DK20" s="60"/>
      <c r="DL20" s="60"/>
      <c r="DM20" s="68"/>
      <c r="DN20" s="68"/>
      <c r="DO20" s="68"/>
      <c r="DP20" s="68"/>
      <c r="DQ20" s="68"/>
      <c r="DR20" s="68"/>
      <c r="DS20" s="68"/>
      <c r="DT20" s="68"/>
      <c r="DU20" s="68"/>
      <c r="DV20" s="68"/>
      <c r="DW20" s="68"/>
      <c r="DX20" s="68"/>
    </row>
    <row r="21" spans="1:128">
      <c r="A21" s="1985" t="s">
        <v>593</v>
      </c>
      <c r="B21" s="1302"/>
      <c r="C21" s="761"/>
      <c r="D21" s="762"/>
      <c r="E21" s="762"/>
      <c r="F21" s="762"/>
      <c r="G21" s="1986"/>
      <c r="H21" s="1992"/>
      <c r="I21" s="1988"/>
      <c r="J21" s="196"/>
      <c r="K21" s="196"/>
      <c r="L21" s="1989"/>
      <c r="M21" s="1990"/>
      <c r="N21" s="1992"/>
      <c r="O21" s="1988">
        <f>+O20/I22-1</f>
        <v>-0.28741029854556754</v>
      </c>
      <c r="P21" s="196">
        <f>+P20/J22-1</f>
        <v>-0.4396001036371272</v>
      </c>
      <c r="Q21" s="196">
        <f>+Q20/K22-1</f>
        <v>-0.51494263954497255</v>
      </c>
      <c r="R21" s="1989">
        <f>+R20/L22-1</f>
        <v>-0.43657209260500707</v>
      </c>
      <c r="S21" s="1990">
        <f>+S20/M22-1</f>
        <v>-0.41670162820897005</v>
      </c>
      <c r="T21" s="1992"/>
      <c r="U21" s="1988">
        <f>+U20/O22-1</f>
        <v>-0.40184640357349422</v>
      </c>
      <c r="V21" s="196">
        <f>+V20/P22-1</f>
        <v>-0.23684615105250573</v>
      </c>
      <c r="W21" s="196">
        <f>+W20/Q22-1</f>
        <v>-6.2576929565131167E-2</v>
      </c>
      <c r="X21" s="1989">
        <f>+X20/R22-1</f>
        <v>-0.20390483003836379</v>
      </c>
      <c r="Y21" s="1990">
        <f>+Y20/S22-1</f>
        <v>-0.23200334910704523</v>
      </c>
      <c r="Z21" s="1992"/>
      <c r="AA21" s="1988">
        <f>+AA20/U22-1</f>
        <v>-0.18680599333322323</v>
      </c>
      <c r="AB21" s="196">
        <f>+AB20/V22-1</f>
        <v>-0.19415889854400936</v>
      </c>
      <c r="AC21" s="196">
        <f>+AC20/W22-1</f>
        <v>-0.27888235645481041</v>
      </c>
      <c r="AD21" s="1989">
        <f>+AD20/X22-1</f>
        <v>-0.24267679592963032</v>
      </c>
      <c r="AE21" s="1990">
        <f>+AE20/Y22-1</f>
        <v>-0.2303503483593764</v>
      </c>
      <c r="AF21" s="1992"/>
      <c r="AG21" s="1988">
        <f>+AG20/AA22-1</f>
        <v>-0.18902324553383876</v>
      </c>
      <c r="AH21" s="196">
        <f>+AH20/AB22-1</f>
        <v>-0.20638317127388139</v>
      </c>
      <c r="AI21" s="196">
        <f>+AI20/AC22-1</f>
        <v>-0.18655167536762618</v>
      </c>
      <c r="AJ21" s="1989">
        <f>+AJ20/AD22-1</f>
        <v>-0.11494971128330822</v>
      </c>
      <c r="AK21" s="1990">
        <f>+AK20/AE22-1</f>
        <v>-0.16704735130291193</v>
      </c>
      <c r="AL21" s="1992"/>
      <c r="AM21" s="1988">
        <f>+AM20/AG22-1</f>
        <v>-0.18520910654309364</v>
      </c>
      <c r="AN21" s="196">
        <f>+AN20/AH22-1</f>
        <v>-0.17117813008140803</v>
      </c>
      <c r="AO21" s="196">
        <f>+AO20/AI22-1</f>
        <v>-0.14870505544142887</v>
      </c>
      <c r="AP21" s="1989">
        <f>+AP20/AJ22-1</f>
        <v>-7.0079276304418459E-2</v>
      </c>
      <c r="AQ21" s="1990">
        <f>+AQ20/AK22-1</f>
        <v>-0.13669104456105163</v>
      </c>
      <c r="AR21" s="1992"/>
      <c r="AS21" s="1988">
        <f>+AS20/AM22-1</f>
        <v>-0.10584122774725913</v>
      </c>
      <c r="AT21" s="196">
        <f>+AT20/AN22-1</f>
        <v>-0.13273036204648281</v>
      </c>
      <c r="AU21" s="196">
        <f>+AU20/AO22-1</f>
        <v>-7.5465474201975025E-2</v>
      </c>
      <c r="AV21" s="1989">
        <f>+AV20/AP22-1</f>
        <v>-7.3812121433951772E-2</v>
      </c>
      <c r="AW21" s="1990">
        <f>+AW20/AQ22-1</f>
        <v>-9.9336448096044361E-2</v>
      </c>
      <c r="AX21" s="1992"/>
      <c r="AY21" s="1988">
        <f>+AY20/AS22-1</f>
        <v>1.9499110201503189E-2</v>
      </c>
      <c r="AZ21" s="196">
        <f>+AZ20/AT22-1</f>
        <v>1.7358024723721499E-3</v>
      </c>
      <c r="BA21" s="196">
        <f>+BA20/AU22-1</f>
        <v>1.1901081043437678E-2</v>
      </c>
      <c r="BB21" s="1989">
        <f>+BB20/AV22-1</f>
        <v>-2.2573744274941188E-2</v>
      </c>
      <c r="BC21" s="1990">
        <f>+BC20/AW22-1</f>
        <v>-2.4575475484056586E-4</v>
      </c>
      <c r="BD21" s="1967"/>
      <c r="BE21" s="1988">
        <f>+BE20/AY22-1</f>
        <v>-6.148110209133073E-2</v>
      </c>
      <c r="BF21" s="196">
        <f>+BF20/AZ22-1</f>
        <v>-1.548206311077549E-2</v>
      </c>
      <c r="BG21" s="196">
        <f>+BG20/BA22-1</f>
        <v>-2.9854247120852717E-2</v>
      </c>
      <c r="BH21" s="1989">
        <f>+BH20/BB22-1</f>
        <v>-5.9444951095466991E-2</v>
      </c>
      <c r="BI21" s="1990">
        <f>+BI20/BC22-1</f>
        <v>-3.4839637302376825E-2</v>
      </c>
      <c r="BJ21" s="1967"/>
      <c r="BK21" s="1988">
        <f>+BK20/BE22-1</f>
        <v>-0.12335242535696089</v>
      </c>
      <c r="BL21" s="196">
        <f>+BL20/BF22-1</f>
        <v>-0.10793092998947307</v>
      </c>
      <c r="BM21" s="196">
        <f>+BM20/BG22-1</f>
        <v>-2.6167216803865689E-2</v>
      </c>
      <c r="BN21" s="1989">
        <f>+BN20/BH22-1</f>
        <v>9.4322429284327436E-2</v>
      </c>
      <c r="BO21" s="1990">
        <f>+BO20/BI22-1</f>
        <v>-3.8700868311238201E-2</v>
      </c>
      <c r="BP21" s="1967"/>
      <c r="BQ21" s="1988">
        <f>+BQ20/BK22-1</f>
        <v>0.13377886177546983</v>
      </c>
      <c r="BR21" s="196">
        <f>+BR20/BL22-1</f>
        <v>0.10511934243049748</v>
      </c>
      <c r="BS21" s="196">
        <f>+BS20/BM22-1</f>
        <v>2.1666415118340998E-2</v>
      </c>
      <c r="BT21" s="1989">
        <f>+BT20/BN22-1</f>
        <v>-5.862679474125454E-2</v>
      </c>
      <c r="BU21" s="1990">
        <f>+BU20/BO22-1</f>
        <v>4.0945313159139962E-2</v>
      </c>
      <c r="BV21" s="1967"/>
      <c r="BW21" s="1988">
        <f>+BW20/BQ22-1</f>
        <v>6.1287275731669588E-4</v>
      </c>
      <c r="BX21" s="196">
        <f>+BX20/BR22-1</f>
        <v>-1.1537884337070592E-3</v>
      </c>
      <c r="BY21" s="196">
        <f>+BY20/BS22-1</f>
        <v>1.2034685817128299E-3</v>
      </c>
      <c r="BZ21" s="1989">
        <f>+BZ20/BT22-1</f>
        <v>-2.6667356796062913E-3</v>
      </c>
      <c r="CA21" s="1990">
        <f>+CA20/BU22-1</f>
        <v>-2.8803135027133386E-4</v>
      </c>
      <c r="CB21" s="1967"/>
      <c r="CC21" s="1988">
        <f>+CC20/BW22-1</f>
        <v>-4.7892291149721489E-3</v>
      </c>
      <c r="CD21" s="196">
        <f>+CD20/BX22-1</f>
        <v>-4.9007682533208641E-4</v>
      </c>
      <c r="CE21" s="196">
        <f>+CE20/BY22-1</f>
        <v>2.7454788480216763E-3</v>
      </c>
      <c r="CF21" s="1989">
        <f>+CF20/BZ22-1</f>
        <v>5.0752656469268409E-3</v>
      </c>
      <c r="CG21" s="1990">
        <f>+CG20/CA22-1</f>
        <v>7.1150861532509602E-4</v>
      </c>
      <c r="CH21" s="1967"/>
      <c r="CI21" s="1988">
        <f>+CI20/CC22-1</f>
        <v>7.3869652575555556E-3</v>
      </c>
      <c r="CJ21" s="196">
        <f>+CJ20/CD22-1</f>
        <v>1.0110747536155928E-2</v>
      </c>
      <c r="CK21" s="196">
        <f>+CK20/CE22-1</f>
        <v>1.2151853403705948E-2</v>
      </c>
      <c r="CL21" s="1989">
        <f>+CL20/CF22-1</f>
        <v>1.6708637734560217E-2</v>
      </c>
      <c r="CM21" s="1990">
        <f>+CM20/CG22-1</f>
        <v>1.1665307309032702E-2</v>
      </c>
      <c r="CN21" s="1967"/>
      <c r="CO21" s="1988">
        <f>+CO20/CI22-1</f>
        <v>2.5477565127546953E-2</v>
      </c>
      <c r="CP21" s="196">
        <f>+CP20/CJ22-1</f>
        <v>3.6119705500091692E-2</v>
      </c>
      <c r="CQ21" s="196">
        <f>+CQ20/CK22-1</f>
        <v>4.3837251834035973E-2</v>
      </c>
      <c r="CR21" s="1989">
        <f>+CR20/CL22-1</f>
        <v>4.6587743568735407E-2</v>
      </c>
      <c r="CS21" s="1990">
        <f>+CS20/CM22-1</f>
        <v>3.8151639545689786E-2</v>
      </c>
      <c r="CT21" s="2005"/>
      <c r="CU21" s="2005"/>
      <c r="CV21" s="2005"/>
      <c r="CW21" s="2005"/>
      <c r="CX21" s="60"/>
      <c r="CY21" s="60"/>
      <c r="CZ21" s="60"/>
      <c r="DA21" s="60"/>
      <c r="DB21" s="60"/>
      <c r="DC21" s="60"/>
      <c r="DD21" s="60"/>
      <c r="DE21" s="60"/>
      <c r="DF21" s="60"/>
      <c r="DG21" s="60"/>
      <c r="DH21" s="60"/>
      <c r="DI21" s="60"/>
      <c r="DJ21" s="60"/>
      <c r="DK21" s="60"/>
      <c r="DL21" s="60"/>
      <c r="DM21" s="68"/>
      <c r="DN21" s="68"/>
      <c r="DO21" s="68"/>
      <c r="DP21" s="68"/>
      <c r="DQ21" s="68"/>
      <c r="DR21" s="68"/>
      <c r="DS21" s="68"/>
      <c r="DT21" s="68"/>
      <c r="DU21" s="68"/>
      <c r="DV21" s="68"/>
      <c r="DW21" s="68"/>
      <c r="DX21" s="68"/>
    </row>
    <row r="22" spans="1:128">
      <c r="A22" s="2111" t="s">
        <v>594</v>
      </c>
      <c r="B22" s="800"/>
      <c r="C22" s="2103"/>
      <c r="D22" s="2104"/>
      <c r="E22" s="2104"/>
      <c r="F22" s="2104"/>
      <c r="G22" s="2105"/>
      <c r="H22" s="2112"/>
      <c r="I22" s="2113">
        <f>+(RevBuild!I11)/(AVERAGE(G15,I15)/1000)</f>
        <v>191.76082066869299</v>
      </c>
      <c r="J22" s="2114">
        <f>+(RevBuild!J11)/(AVERAGE(I15,J15)/1000)</f>
        <v>193.37278106508876</v>
      </c>
      <c r="K22" s="2114">
        <f>+(RevBuild!K11)/(AVERAGE(J15,K15)/1000)</f>
        <v>173.29490874159464</v>
      </c>
      <c r="L22" s="2114">
        <f>+(RevBuild!L11)/(AVERAGE(K15,L15)/1000)</f>
        <v>156.68363492063492</v>
      </c>
      <c r="M22" s="2115">
        <f>+((RevBuild!M11))/(AVERAGE(G15,M15)/1000)</f>
        <v>688.04123711340208</v>
      </c>
      <c r="N22" s="2116"/>
      <c r="O22" s="2113">
        <f>+(RevBuild!O11)/(AVERAGE(M15,O15)/1000)</f>
        <v>136.64678595096089</v>
      </c>
      <c r="P22" s="2114">
        <f>+(RevBuild!P11)/(AVERAGE(O15,P15)/1000)</f>
        <v>108.36608646827625</v>
      </c>
      <c r="Q22" s="2114">
        <f>+(RevBuild!Q11)/(AVERAGE(P15,Q15)/1000)</f>
        <v>84.057971014492765</v>
      </c>
      <c r="R22" s="2114">
        <f>+(RevBuild!R11)/(AVERAGE(Q15,R15)/1000)</f>
        <v>88.279932546374368</v>
      </c>
      <c r="S22" s="2115">
        <f>+((RevBuild!S11))/(AVERAGE(M15,S15)/1000)</f>
        <v>401.33333333333337</v>
      </c>
      <c r="T22" s="2116"/>
      <c r="U22" s="2113">
        <f>+(RevBuild!U11)/(AVERAGE(S15,U15)/1000)</f>
        <v>84.538375973303673</v>
      </c>
      <c r="V22" s="2114">
        <f>+(RevBuild!V11)/(AVERAGE(U15,V15)/1000)</f>
        <v>82.507384312438461</v>
      </c>
      <c r="W22" s="2114">
        <f>+(RevBuild!W11)/(AVERAGE(V15,W15)/1000)</f>
        <v>78.558771411695218</v>
      </c>
      <c r="X22" s="2114">
        <f>+(RevBuild!X11)/(AVERAGE(W15,X15)/1000)</f>
        <v>70.148462354188766</v>
      </c>
      <c r="Y22" s="2115">
        <f>+((RevBuild!Y11))/(AVERAGE(S15,Y15)/1000)</f>
        <v>309.81595092024543</v>
      </c>
      <c r="Z22" s="2116"/>
      <c r="AA22" s="2113">
        <f>+(RevBuild!AA11)/(AVERAGE(Y15,AA15)/1000)</f>
        <v>71.065259117082533</v>
      </c>
      <c r="AB22" s="2114">
        <f>+(RevBuild!AB11)/(AVERAGE(AA15,AB15)/1000)</f>
        <v>70.400708434801857</v>
      </c>
      <c r="AC22" s="2114">
        <f>+(RevBuild!AC11)/(AVERAGE(AB15,AC15)/1000)</f>
        <v>59.336609336609335</v>
      </c>
      <c r="AD22" s="2114">
        <f>+(RevBuild!AD11)/(AVERAGE(AC15,AD15)/1000)</f>
        <v>53.656716417910431</v>
      </c>
      <c r="AE22" s="2115">
        <f>+((RevBuild!AE11))/(AVERAGE(Y15,AE15)/1000)</f>
        <v>247.16863721219664</v>
      </c>
      <c r="AF22" s="2116"/>
      <c r="AG22" s="2113">
        <f>+(RevBuild!AG11)/(AVERAGE(AE15,AG15)/1000)</f>
        <v>57.480053191489361</v>
      </c>
      <c r="AH22" s="2114">
        <f>+(RevBuild!AH11)/(AVERAGE(AG15,AH15)/1000)</f>
        <v>54.526565746512311</v>
      </c>
      <c r="AI22" s="2114">
        <f>+(RevBuild!AI11)/(AVERAGE(AH15,AI15)/1000)</f>
        <v>47.113718170910538</v>
      </c>
      <c r="AJ22" s="2114">
        <f>+(RevBuild!AJ11)/(AVERAGE(AI15,AJ15)/1000)</f>
        <v>47.093618555462072</v>
      </c>
      <c r="AK22" s="2115">
        <f>+((RevBuild!AK11))/(AVERAGE(AE15,AK15)/1000)</f>
        <v>202.9028937117418</v>
      </c>
      <c r="AL22" s="2116"/>
      <c r="AM22" s="2113">
        <f>+(RevBuild!AM11)/(AVERAGE(AK15,AM15)/1000)</f>
        <v>44.830981293075155</v>
      </c>
      <c r="AN22" s="2114">
        <f>+(RevBuild!AN11)/(AVERAGE(AM15,AN15)/1000)</f>
        <v>43.318250377073909</v>
      </c>
      <c r="AO22" s="2114">
        <f>+(RevBuild!AO11)/(AVERAGE(AN15,AO15)/1000)</f>
        <v>40.137386131251162</v>
      </c>
      <c r="AP22" s="2114">
        <f>+(RevBuild!AP11)/(AVERAGE(AO15,AP15)/1000)</f>
        <v>42.097998619737751</v>
      </c>
      <c r="AQ22" s="2115">
        <f>+((RevBuild!AQ11))/(AVERAGE(AK15,AQ15)/1000)</f>
        <v>169.7914737654321</v>
      </c>
      <c r="AR22" s="2116"/>
      <c r="AS22" s="2113">
        <f>+(RevBuild!AS11)/(AVERAGE(AQ15,AS15)/1000)</f>
        <v>38.666985569640438</v>
      </c>
      <c r="AT22" s="2114">
        <f>+(RevBuild!AT11)/(AVERAGE(AS15,AT15)/1000)</f>
        <v>36.162415713866899</v>
      </c>
      <c r="AU22" s="2114">
        <f>+(RevBuild!AU11)/(AVERAGE(AT15,AU15)/1000)</f>
        <v>35.322777101096221</v>
      </c>
      <c r="AV22" s="2114">
        <f>+(RevBuild!AV11)/(AVERAGE(AU15,AV15)/1000)</f>
        <v>36.324920147804846</v>
      </c>
      <c r="AW22" s="2115">
        <f>+((RevBuild!AW11))/(AVERAGE(AQ15,AW15)/1000)</f>
        <v>145.52322327923895</v>
      </c>
      <c r="AX22" s="2116"/>
      <c r="AY22" s="2113">
        <f>+(RevBuild!AY11)/(AVERAGE(AW15,AY15)/1000)</f>
        <v>36.009388311783738</v>
      </c>
      <c r="AZ22" s="2114">
        <f>+(RevBuild!AZ11)/(AVERAGE(AY15,AZ15)/1000)</f>
        <v>33.038408497682312</v>
      </c>
      <c r="BA22" s="2114">
        <f>+(RevBuild!BA11)/(AVERAGE(AZ15,BA15)/1000)</f>
        <v>32.914421082903694</v>
      </c>
      <c r="BB22" s="2114">
        <f>+(RevBuild!BB11)/(AVERAGE(BA15,BB15)/1000)</f>
        <v>33.213577793805662</v>
      </c>
      <c r="BC22" s="2115">
        <f>+((RevBuild!BC11))/(AVERAGE(AW15,BC15)/1000)</f>
        <v>133.97193863117005</v>
      </c>
      <c r="BD22" s="2116"/>
      <c r="BE22" s="2113">
        <f>+(RevBuild!BE11)/(AVERAGE(BC15,BE15)/1000)</f>
        <v>32.361253668442693</v>
      </c>
      <c r="BF22" s="2114">
        <f>+(RevBuild!BF11)/(AVERAGE(BE15,BF15)/1000)</f>
        <v>31.936469951179131</v>
      </c>
      <c r="BG22" s="2114">
        <f>+(RevBuild!BG11)/(AVERAGE(BF15,BG15)/1000)</f>
        <v>31.447396058588463</v>
      </c>
      <c r="BH22" s="2114">
        <f>+(RevBuild!BH11)/(AVERAGE(BG15,BH15)/1000)</f>
        <v>30.591301693709795</v>
      </c>
      <c r="BI22" s="2115">
        <f>+((RevBuild!BI11))/(AVERAGE(BC15,BI15)/1000)</f>
        <v>126.22230584230668</v>
      </c>
      <c r="BJ22" s="2116"/>
      <c r="BK22" s="2113">
        <f>+(RevBuild!BK11)/(AVERAGE(BI15,BK15)/1000)</f>
        <v>27.846651228176334</v>
      </c>
      <c r="BL22" s="2114">
        <f>+(RevBuild!BL11)/(AVERAGE(BK15,BL15)/1000)</f>
        <v>27.999261515085493</v>
      </c>
      <c r="BM22" s="2114">
        <f>+(RevBuild!BM11)/(AVERAGE(BL15,BM15)/1000)</f>
        <v>30.442027820093884</v>
      </c>
      <c r="BN22" s="2114">
        <f>+(RevBuild!BN11)/(AVERAGE(BM15,BN15)/1000)</f>
        <v>33.624341753168409</v>
      </c>
      <c r="BO22" s="2115">
        <f>+((RevBuild!BO11))/(AVERAGE(BI15,BO15)/1000)</f>
        <v>120.30949944733693</v>
      </c>
      <c r="BP22" s="2116"/>
      <c r="BQ22" s="2113">
        <f>+(RevBuild!BQ11)/(AVERAGE(BO15,BQ15)/1000)</f>
        <v>32.065057243962414</v>
      </c>
      <c r="BR22" s="2114">
        <f>+(RevBuild!BR11)/(AVERAGE(BQ15,BR15)/1000)</f>
        <v>31.324003755411919</v>
      </c>
      <c r="BS22" s="2114">
        <f>+(RevBuild!BS11)/(AVERAGE(BR15,BS15)/1000)</f>
        <v>31.183632648470482</v>
      </c>
      <c r="BT22" s="2114">
        <f>+(RevBuild!BT11)/(AVERAGE(BS15,BT15)/1000)</f>
        <v>31.788671960200517</v>
      </c>
      <c r="BU22" s="2115">
        <f>+((RevBuild!BU11))/(AVERAGE(BO15,BU15)/1000)</f>
        <v>126.31994197851571</v>
      </c>
      <c r="BV22" s="2116"/>
      <c r="BW22" s="2113">
        <f>+(RevBuild!BW11)/(AVERAGE(BU15,BW15)/1000)</f>
        <v>31.90552254243536</v>
      </c>
      <c r="BX22" s="2114">
        <f>+(RevBuild!BX11)/(AVERAGE(BW15,BX15)/1000)</f>
        <v>31.09540015912253</v>
      </c>
      <c r="BY22" s="2114">
        <f>+(RevBuild!BY11)/(AVERAGE(BX15,BY15)/1000)</f>
        <v>31.014324666763777</v>
      </c>
      <c r="BZ22" s="2114">
        <f>+(RevBuild!BZ11)/(AVERAGE(BY15,BZ15)/1000)</f>
        <v>31.481497960421937</v>
      </c>
      <c r="CA22" s="2115">
        <f>+((RevBuild!CA11))/(AVERAGE(BU15,CA15)/1000)</f>
        <v>125.48099406699976</v>
      </c>
      <c r="CB22" s="2116"/>
      <c r="CC22" s="2113">
        <f>+(RevBuild!CC11)/(AVERAGE(CA15,CC15)/1000)</f>
        <v>31.513459700984743</v>
      </c>
      <c r="CD22" s="2114">
        <f>+(RevBuild!CD11)/(AVERAGE(CC15,CD15)/1000)</f>
        <v>30.822640599286206</v>
      </c>
      <c r="CE22" s="2114">
        <f>+(RevBuild!CE11)/(AVERAGE(CD15,CE15)/1000)</f>
        <v>30.822170824141399</v>
      </c>
      <c r="CF22" s="2114">
        <f>+(RevBuild!CF11)/(AVERAGE(CE15,CF15)/1000)</f>
        <v>31.342536968487536</v>
      </c>
      <c r="CG22" s="2115">
        <f>+((RevBuild!CG11))/(AVERAGE(CA15,CG15)/1000)</f>
        <v>124.49534272790027</v>
      </c>
      <c r="CH22" s="2116"/>
      <c r="CI22" s="2113">
        <f>+(RevBuild!CI11)/(AVERAGE(CG15,CI15)/1000)</f>
        <v>31.424281619734792</v>
      </c>
      <c r="CJ22" s="2114">
        <f>+(RevBuild!CJ11)/(AVERAGE(CI15,CJ15)/1000)</f>
        <v>30.787136511822322</v>
      </c>
      <c r="CK22" s="2114">
        <f>+(RevBuild!CK11)/(AVERAGE(CJ15,CK15)/1000)</f>
        <v>30.822280300150364</v>
      </c>
      <c r="CL22" s="2114">
        <f>+(RevBuild!CL11)/(AVERAGE(CK15,CL15)/1000)</f>
        <v>31.462199611907639</v>
      </c>
      <c r="CM22" s="2115">
        <f>+((RevBuild!CM11))/(AVERAGE(CG15,CM15)/1000)</f>
        <v>124.4973591527222</v>
      </c>
      <c r="CN22" s="2116"/>
      <c r="CO22" s="2113">
        <f>+(RevBuild!CO11)/(AVERAGE(CM15,CO15)/1000)</f>
        <v>31.788778829498</v>
      </c>
      <c r="CP22" s="2114">
        <f>+(RevBuild!CP11)/(AVERAGE(CO15,CP15)/1000)</f>
        <v>31.428239995696519</v>
      </c>
      <c r="CQ22" s="2114">
        <f>+(RevBuild!CQ11)/(AVERAGE(CP15,CQ15)/1000)</f>
        <v>31.664774984412098</v>
      </c>
      <c r="CR22" s="2114">
        <f>+(RevBuild!CR11)/(AVERAGE(CQ15,CR15)/1000)</f>
        <v>32.378327605925058</v>
      </c>
      <c r="CS22" s="2115">
        <f>+((RevBuild!CS11))/(AVERAGE(CM15,CS15)/1000)</f>
        <v>127.27836570239744</v>
      </c>
      <c r="CT22" s="2051"/>
      <c r="CU22" s="2051"/>
      <c r="CV22" s="2051"/>
      <c r="CW22" s="2051"/>
      <c r="CX22" s="60"/>
      <c r="CY22" s="60"/>
      <c r="CZ22" s="60"/>
      <c r="DA22" s="60"/>
      <c r="DB22" s="60"/>
      <c r="DC22" s="60"/>
      <c r="DD22" s="60"/>
      <c r="DE22" s="60"/>
      <c r="DF22" s="60"/>
      <c r="DG22" s="60"/>
      <c r="DH22" s="60"/>
      <c r="DI22" s="60"/>
      <c r="DJ22" s="60"/>
      <c r="DK22" s="60"/>
      <c r="DL22" s="60"/>
      <c r="DM22" s="68"/>
      <c r="DN22" s="68"/>
      <c r="DO22" s="68"/>
      <c r="DP22" s="68"/>
      <c r="DQ22" s="68"/>
      <c r="DR22" s="68"/>
      <c r="DS22" s="68"/>
      <c r="DT22" s="68"/>
      <c r="DU22" s="68"/>
      <c r="DV22" s="68"/>
      <c r="DW22" s="68"/>
      <c r="DX22" s="68"/>
    </row>
    <row r="23" spans="1:128">
      <c r="CX23" s="60"/>
      <c r="CY23" s="60"/>
      <c r="CZ23" s="60"/>
      <c r="DA23" s="60"/>
      <c r="DB23" s="60"/>
      <c r="DC23" s="60"/>
      <c r="DD23" s="60"/>
      <c r="DE23" s="60"/>
      <c r="DF23" s="60"/>
      <c r="DG23" s="60"/>
      <c r="DH23" s="60"/>
      <c r="DI23" s="60"/>
      <c r="DJ23" s="60"/>
      <c r="DK23" s="60"/>
      <c r="DL23" s="60"/>
      <c r="DM23" s="68"/>
      <c r="DN23" s="68"/>
      <c r="DO23" s="68"/>
      <c r="DP23" s="68"/>
      <c r="DQ23" s="68"/>
      <c r="DR23" s="68"/>
      <c r="DS23" s="68"/>
      <c r="DT23" s="68"/>
      <c r="DU23" s="68"/>
      <c r="DV23" s="68"/>
      <c r="DW23" s="68"/>
      <c r="DX23" s="68"/>
    </row>
    <row r="24" spans="1:128">
      <c r="A24" s="1958" t="s">
        <v>870</v>
      </c>
      <c r="B24" s="972"/>
      <c r="C24" s="973"/>
      <c r="D24" s="972"/>
      <c r="E24" s="972"/>
      <c r="F24" s="972"/>
      <c r="G24" s="974"/>
      <c r="H24" s="972"/>
      <c r="I24" s="973"/>
      <c r="J24" s="972"/>
      <c r="K24" s="972"/>
      <c r="L24" s="972"/>
      <c r="M24" s="974"/>
      <c r="N24" s="972"/>
      <c r="O24" s="973"/>
      <c r="P24" s="972"/>
      <c r="Q24" s="972"/>
      <c r="R24" s="972"/>
      <c r="S24" s="974"/>
      <c r="T24" s="972"/>
      <c r="U24" s="973"/>
      <c r="V24" s="972"/>
      <c r="W24" s="972"/>
      <c r="X24" s="972"/>
      <c r="Y24" s="974"/>
      <c r="Z24" s="972"/>
      <c r="AA24" s="973"/>
      <c r="AB24" s="972"/>
      <c r="AC24" s="972"/>
      <c r="AD24" s="972"/>
      <c r="AE24" s="974"/>
      <c r="AF24" s="972"/>
      <c r="AG24" s="973"/>
      <c r="AH24" s="972"/>
      <c r="AI24" s="972"/>
      <c r="AJ24" s="975"/>
      <c r="AK24" s="1026"/>
      <c r="AL24" s="972"/>
      <c r="AM24" s="973"/>
      <c r="AN24" s="1352"/>
      <c r="AO24" s="1352"/>
      <c r="AP24" s="1349"/>
      <c r="AQ24" s="974"/>
      <c r="AR24" s="972"/>
      <c r="AS24" s="1539"/>
      <c r="AT24" s="1540"/>
      <c r="AU24" s="1540"/>
      <c r="AV24" s="1415"/>
      <c r="AW24" s="1417"/>
      <c r="AX24" s="1415"/>
      <c r="AY24" s="1416"/>
      <c r="AZ24" s="1415"/>
      <c r="BA24" s="1415"/>
      <c r="BB24" s="1415"/>
      <c r="BC24" s="1417"/>
      <c r="BD24" s="1415"/>
      <c r="BE24" s="1416"/>
      <c r="BF24" s="1415"/>
      <c r="BG24" s="1415"/>
      <c r="BH24" s="1415"/>
      <c r="BI24" s="1417"/>
      <c r="BJ24" s="1415"/>
      <c r="BK24" s="1416"/>
      <c r="BL24" s="1415"/>
      <c r="BM24" s="1415"/>
      <c r="BN24" s="1415"/>
      <c r="BO24" s="1417"/>
      <c r="BP24" s="1415"/>
      <c r="BQ24" s="1416"/>
      <c r="BR24" s="1415"/>
      <c r="BS24" s="1415"/>
      <c r="BT24" s="1415"/>
      <c r="BU24" s="1417"/>
      <c r="BV24" s="1415"/>
      <c r="BW24" s="1416"/>
      <c r="BX24" s="1415"/>
      <c r="BY24" s="1415"/>
      <c r="BZ24" s="1415"/>
      <c r="CA24" s="1417"/>
      <c r="CB24" s="1415"/>
      <c r="CC24" s="1416"/>
      <c r="CD24" s="1415"/>
      <c r="CE24" s="1415"/>
      <c r="CF24" s="1415"/>
      <c r="CG24" s="1417"/>
      <c r="CH24" s="1415"/>
      <c r="CI24" s="1416"/>
      <c r="CJ24" s="1415"/>
      <c r="CK24" s="1415"/>
      <c r="CL24" s="1415"/>
      <c r="CM24" s="1417"/>
      <c r="CN24" s="1415"/>
      <c r="CO24" s="1416"/>
      <c r="CP24" s="1415"/>
      <c r="CQ24" s="1415"/>
      <c r="CR24" s="1415"/>
      <c r="CS24" s="1417"/>
      <c r="CT24" s="2387"/>
      <c r="CU24" s="2387"/>
      <c r="CV24" s="2387"/>
      <c r="CW24" s="2387"/>
      <c r="CX24" s="60"/>
      <c r="CY24" s="60"/>
      <c r="CZ24" s="60"/>
      <c r="DA24" s="60"/>
      <c r="DB24" s="60"/>
      <c r="DC24" s="60"/>
      <c r="DD24" s="60"/>
      <c r="DE24" s="60"/>
      <c r="DF24" s="60"/>
      <c r="DG24" s="60"/>
      <c r="DH24" s="60"/>
      <c r="DI24" s="60"/>
      <c r="DJ24" s="60"/>
      <c r="DK24" s="60"/>
      <c r="DL24" s="60"/>
      <c r="DM24" s="68"/>
      <c r="DN24" s="68"/>
      <c r="DO24" s="68"/>
      <c r="DP24" s="68"/>
      <c r="DQ24" s="68"/>
      <c r="DR24" s="68"/>
      <c r="DS24" s="68"/>
      <c r="DT24" s="68"/>
      <c r="DU24" s="68"/>
      <c r="DV24" s="68"/>
      <c r="DW24" s="68"/>
      <c r="DX24" s="68"/>
    </row>
    <row r="25" spans="1:128">
      <c r="A25" s="2098" t="s">
        <v>619</v>
      </c>
      <c r="B25" s="2098"/>
      <c r="C25" s="2094"/>
      <c r="D25" s="2095"/>
      <c r="E25" s="2095"/>
      <c r="F25" s="2095"/>
      <c r="G25" s="2096"/>
      <c r="H25" s="2097"/>
      <c r="I25" s="2094"/>
      <c r="J25" s="2095"/>
      <c r="K25" s="2095"/>
      <c r="L25" s="2095"/>
      <c r="M25" s="2096"/>
      <c r="N25" s="2098"/>
      <c r="O25" s="2099"/>
      <c r="P25" s="2097"/>
      <c r="Q25" s="2097"/>
      <c r="R25" s="2097"/>
      <c r="S25" s="2100"/>
      <c r="T25" s="2098"/>
      <c r="U25" s="2099"/>
      <c r="V25" s="2097"/>
      <c r="W25" s="2097"/>
      <c r="X25" s="2097"/>
      <c r="Y25" s="2100"/>
      <c r="Z25" s="2101"/>
      <c r="AA25" s="2099"/>
      <c r="AB25" s="2097"/>
      <c r="AC25" s="2097"/>
      <c r="AD25" s="2097"/>
      <c r="AE25" s="2100"/>
      <c r="AF25" s="2098"/>
      <c r="AG25" s="2099">
        <f>+AG29+AG34</f>
        <v>193.58747045517518</v>
      </c>
      <c r="AH25" s="2097">
        <f>+AH29+AH34</f>
        <v>200.20143025895075</v>
      </c>
      <c r="AI25" s="2097">
        <f>+AI29+AI34</f>
        <v>199.52496182978751</v>
      </c>
      <c r="AJ25" s="2097">
        <f>+AJ29+AJ34</f>
        <v>208.35322310702878</v>
      </c>
      <c r="AK25" s="2100">
        <f>+SUM(AG25:AJ25)</f>
        <v>801.66708565094223</v>
      </c>
      <c r="AL25" s="2098"/>
      <c r="AM25" s="2099">
        <f>+AM29+AM34</f>
        <v>217.38759327610873</v>
      </c>
      <c r="AN25" s="2097">
        <f>+AN29+AN34</f>
        <v>225.73517723310192</v>
      </c>
      <c r="AO25" s="2097">
        <f>+AO29+AO34</f>
        <v>211.72463313110325</v>
      </c>
      <c r="AP25" s="2097">
        <f>+AP29+AP34</f>
        <v>232.56994897390203</v>
      </c>
      <c r="AQ25" s="2100">
        <f>+SUM(AM25:AP25)</f>
        <v>887.41735261421593</v>
      </c>
      <c r="AR25" s="2098"/>
      <c r="AS25" s="2099">
        <f>+AS29+AS34</f>
        <v>229.52540151398932</v>
      </c>
      <c r="AT25" s="2097">
        <f>+AT29+AT34</f>
        <v>244.98801701108596</v>
      </c>
      <c r="AU25" s="2097">
        <f>+AU29+AU34</f>
        <v>250.64251765373177</v>
      </c>
      <c r="AV25" s="2097">
        <f>+AV29+AV34</f>
        <v>273.74166064527094</v>
      </c>
      <c r="AW25" s="2100">
        <f>+SUM(AS25:AV25)</f>
        <v>998.89759682407794</v>
      </c>
      <c r="AX25" s="2098"/>
      <c r="AY25" s="2099">
        <f>+AY29+AY34</f>
        <v>279.14673284514203</v>
      </c>
      <c r="AZ25" s="2097">
        <f>+AZ29+AZ34</f>
        <v>271.04726863464998</v>
      </c>
      <c r="BA25" s="2098">
        <f>+BA29+BA34</f>
        <v>272.6673115066655</v>
      </c>
      <c r="BB25" s="2098">
        <f>+BB29+BB34</f>
        <v>281.22917587341101</v>
      </c>
      <c r="BC25" s="2100">
        <f>+SUM(AY25:BB25)</f>
        <v>1104.0904888598684</v>
      </c>
      <c r="BD25" s="2097"/>
      <c r="BE25" s="2099">
        <f>+BE29+BE34</f>
        <v>256.92035011707105</v>
      </c>
      <c r="BF25" s="2097">
        <f>+BF29+BF34</f>
        <v>258.02474485663737</v>
      </c>
      <c r="BG25" s="2098">
        <f>+BG29+BG34</f>
        <v>254.64169037844323</v>
      </c>
      <c r="BH25" s="2098">
        <f>+BH29+BH34</f>
        <v>253.72240180573687</v>
      </c>
      <c r="BI25" s="2100">
        <f>+SUM(BE25:BH25)</f>
        <v>1023.3091871578883</v>
      </c>
      <c r="BJ25" s="2097"/>
      <c r="BK25" s="2099">
        <f>+BK29+BK34</f>
        <v>242.50231376474778</v>
      </c>
      <c r="BL25" s="2097">
        <f>+BL29+BL34</f>
        <v>260.58066418790679</v>
      </c>
      <c r="BM25" s="2098">
        <f>+BM29+BM34</f>
        <v>283.8823210290841</v>
      </c>
      <c r="BN25" s="2098">
        <f>+BN29+BN34</f>
        <v>310.51399791025182</v>
      </c>
      <c r="BO25" s="2100">
        <f>+SUM(BK25:BN25)</f>
        <v>1097.4792968919905</v>
      </c>
      <c r="BP25" s="2097"/>
      <c r="BQ25" s="2099">
        <f>+BQ29+BQ34</f>
        <v>287.71482966350663</v>
      </c>
      <c r="BR25" s="2097">
        <f>+BR29+BR34</f>
        <v>289.72566089633767</v>
      </c>
      <c r="BS25" s="2098">
        <f>+BS29+BS34</f>
        <v>296.95650568235601</v>
      </c>
      <c r="BT25" s="2098">
        <f>+BT29+BT34</f>
        <v>305.79628317091493</v>
      </c>
      <c r="BU25" s="2100">
        <f>+SUM(BQ25:BT25)</f>
        <v>1180.1932794131153</v>
      </c>
      <c r="BV25" s="2097"/>
      <c r="BW25" s="2099">
        <f>+BW29+BW34</f>
        <v>303.9550305072932</v>
      </c>
      <c r="BX25" s="2097">
        <f>+BX29+BX34</f>
        <v>300.8767472511804</v>
      </c>
      <c r="BY25" s="2098">
        <f>+BY29+BY34</f>
        <v>303.97484467725116</v>
      </c>
      <c r="BZ25" s="2098">
        <f>+BZ29+BZ34</f>
        <v>311.91067753371061</v>
      </c>
      <c r="CA25" s="2100">
        <f>+SUM(BW25:BZ25)</f>
        <v>1220.7172999694355</v>
      </c>
      <c r="CB25" s="2097"/>
      <c r="CC25" s="2099">
        <f>+CC29+CC34</f>
        <v>309.68474848832494</v>
      </c>
      <c r="CD25" s="2097">
        <f>+CD29+CD34</f>
        <v>306.80320654094072</v>
      </c>
      <c r="CE25" s="2098">
        <f>+CE29+CE34</f>
        <v>310.11268698913244</v>
      </c>
      <c r="CF25" s="2098">
        <f>+CF29+CF34</f>
        <v>318.25646426968234</v>
      </c>
      <c r="CG25" s="2100">
        <f>+SUM(CC25:CF25)</f>
        <v>1244.8571062880803</v>
      </c>
      <c r="CH25" s="2097"/>
      <c r="CI25" s="2099">
        <f>+CI29+CI34</f>
        <v>317.79147849388124</v>
      </c>
      <c r="CJ25" s="2097">
        <f>+CJ29+CJ34</f>
        <v>314.69256891202201</v>
      </c>
      <c r="CK25" s="2098">
        <f>+CK29+CK34</f>
        <v>317.90133504564363</v>
      </c>
      <c r="CL25" s="2098">
        <f>+CL29+CL34</f>
        <v>326.9420646820837</v>
      </c>
      <c r="CM25" s="2100">
        <f>+SUM(CI25:CL25)</f>
        <v>1277.3274471336308</v>
      </c>
      <c r="CN25" s="2097"/>
      <c r="CO25" s="2099">
        <f>+CO29+CO34</f>
        <v>328.48085472019022</v>
      </c>
      <c r="CP25" s="2097">
        <f>+CP29+CP34</f>
        <v>327.47623066473847</v>
      </c>
      <c r="CQ25" s="2098">
        <f>+CQ29+CQ34</f>
        <v>332.30768756801695</v>
      </c>
      <c r="CR25" s="2098">
        <f>+CR29+CR34</f>
        <v>341.9141719901732</v>
      </c>
      <c r="CS25" s="2100">
        <f>+SUM(CO25:CR25)</f>
        <v>1330.1789449431187</v>
      </c>
      <c r="CT25" s="2097"/>
      <c r="CU25" s="2097"/>
      <c r="CV25" s="2097"/>
      <c r="CW25" s="2097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60"/>
      <c r="DI25" s="60"/>
      <c r="DJ25" s="60"/>
      <c r="DK25" s="60"/>
      <c r="DL25" s="60"/>
      <c r="DM25" s="68"/>
      <c r="DN25" s="68"/>
      <c r="DO25" s="68"/>
      <c r="DP25" s="68"/>
      <c r="DQ25" s="68"/>
      <c r="DR25" s="68"/>
      <c r="DS25" s="68"/>
      <c r="DT25" s="68"/>
      <c r="DU25" s="68"/>
      <c r="DV25" s="68"/>
      <c r="DW25" s="68"/>
      <c r="DX25" s="68"/>
    </row>
    <row r="26" spans="1:128">
      <c r="A26" s="2187" t="s">
        <v>593</v>
      </c>
      <c r="B26" s="2117"/>
      <c r="C26" s="2118"/>
      <c r="D26" s="2119"/>
      <c r="E26" s="2119"/>
      <c r="F26" s="2119"/>
      <c r="G26" s="2120"/>
      <c r="H26" s="2119"/>
      <c r="I26" s="2118"/>
      <c r="J26" s="2119"/>
      <c r="K26" s="2119"/>
      <c r="L26" s="2119"/>
      <c r="M26" s="2120"/>
      <c r="N26" s="2117"/>
      <c r="O26" s="2121"/>
      <c r="P26" s="2122"/>
      <c r="Q26" s="2122"/>
      <c r="R26" s="2131"/>
      <c r="S26" s="2123"/>
      <c r="T26" s="2124"/>
      <c r="U26" s="2121"/>
      <c r="V26" s="2122"/>
      <c r="W26" s="2122"/>
      <c r="X26" s="2131"/>
      <c r="Y26" s="2123"/>
      <c r="Z26" s="2124"/>
      <c r="AA26" s="2121"/>
      <c r="AB26" s="2122"/>
      <c r="AC26" s="2122"/>
      <c r="AD26" s="2131"/>
      <c r="AE26" s="2123"/>
      <c r="AF26" s="2124"/>
      <c r="AG26" s="2121"/>
      <c r="AH26" s="2122"/>
      <c r="AI26" s="2122"/>
      <c r="AJ26" s="2131"/>
      <c r="AK26" s="2123"/>
      <c r="AL26" s="2124"/>
      <c r="AM26" s="2121">
        <f>+AM25/AG28-1</f>
        <v>0.12294247538321157</v>
      </c>
      <c r="AN26" s="2122">
        <f>+AN25/AH28-1</f>
        <v>0.12754028251009264</v>
      </c>
      <c r="AO26" s="2122">
        <f>+AO25/AI28-1</f>
        <v>6.1143584188343869E-2</v>
      </c>
      <c r="AP26" s="2122">
        <f>+AP25/AJ28-1</f>
        <v>0.11622918765424317</v>
      </c>
      <c r="AQ26" s="2123">
        <f>+AQ25/AK28-1</f>
        <v>0.1069649340706631</v>
      </c>
      <c r="AR26" s="2124"/>
      <c r="AS26" s="2121">
        <f>+AS25/AM28-1</f>
        <v>0.11242656680394325</v>
      </c>
      <c r="AT26" s="2122">
        <f>+AT25/AN28-1</f>
        <v>0.12523470847847062</v>
      </c>
      <c r="AU26" s="2122">
        <f>+AU25/AO28-1</f>
        <v>0.15914917566986531</v>
      </c>
      <c r="AV26" s="2131">
        <f>+AV25/AP28-1</f>
        <v>0.21055435720028148</v>
      </c>
      <c r="AW26" s="2123">
        <f>+AW25/AQ28-1</f>
        <v>0.1529166541181235</v>
      </c>
      <c r="AY26" s="2121">
        <f>+AY25/AS28-1</f>
        <v>0.20969353559805493</v>
      </c>
      <c r="AZ26" s="2122">
        <f>+AZ25/AT28-1</f>
        <v>9.6156067640198462E-2</v>
      </c>
      <c r="BA26" s="2122">
        <f>+BA25/AU28-1</f>
        <v>8.7125849333411942E-2</v>
      </c>
      <c r="BB26" s="2131">
        <f>+BB25/AV28-1</f>
        <v>4.4199924025094317E-2</v>
      </c>
      <c r="BC26" s="2123">
        <f>+BC25/AW28-1</f>
        <v>0.10611600800739329</v>
      </c>
      <c r="BD26" s="2098"/>
      <c r="BE26" s="2121">
        <f>+BE25/AY28-1</f>
        <v>-3.1181661877187405E-2</v>
      </c>
      <c r="BF26" s="2122">
        <f>+BF25/AZ28-1</f>
        <v>-6.3102433051195339E-3</v>
      </c>
      <c r="BG26" s="2122">
        <f>+BG25/BA28-1</f>
        <v>-2.7196331877155866E-2</v>
      </c>
      <c r="BH26" s="2131">
        <f>+BH25/BB28-1</f>
        <v>-7.1820067149021782E-2</v>
      </c>
      <c r="BI26" s="2123">
        <f>+BI25/BC28-1</f>
        <v>-3.4584882186988408E-2</v>
      </c>
      <c r="BJ26" s="2097"/>
      <c r="BK26" s="2121">
        <f>+BK25/BE28-1</f>
        <v>-4.6584546634836577E-2</v>
      </c>
      <c r="BL26" s="2122">
        <f>+BL25/BF28-1</f>
        <v>6.1913868964571517E-3</v>
      </c>
      <c r="BM26" s="2122">
        <f>+BM25/BG28-1</f>
        <v>0.11378847754670329</v>
      </c>
      <c r="BN26" s="2131">
        <f>+BN25/BH28-1</f>
        <v>0.23322498486951648</v>
      </c>
      <c r="BO26" s="2123">
        <f>+BO25/BI28-1</f>
        <v>7.5961644143074158E-2</v>
      </c>
      <c r="BP26" s="2097"/>
      <c r="BQ26" s="2121">
        <f>+BQ25/BK28-1</f>
        <v>0.19240360365452203</v>
      </c>
      <c r="BR26" s="2122">
        <f>+BR25/BL28-1</f>
        <v>0.11743351966462301</v>
      </c>
      <c r="BS26" s="2122">
        <f>+BS25/BM28-1</f>
        <v>4.0850691443463871E-2</v>
      </c>
      <c r="BT26" s="2131">
        <f>+BT25/BN28-1</f>
        <v>-3.0702011188709522E-2</v>
      </c>
      <c r="BU26" s="2123">
        <f>+BU25/BO28-1</f>
        <v>7.1586374178565393E-2</v>
      </c>
      <c r="BV26" s="2097"/>
      <c r="BW26" s="2121">
        <f>+BW25/BQ28-1</f>
        <v>2.5675220534989496E-2</v>
      </c>
      <c r="BX26" s="2122">
        <f>+BX25/BR28-1</f>
        <v>1.4148859229317301E-2</v>
      </c>
      <c r="BY26" s="2122">
        <f>+BY25/BS28-1</f>
        <v>1.3499239756294745E-2</v>
      </c>
      <c r="BZ26" s="2131">
        <f>+BZ25/BT28-1</f>
        <v>9.8960320948948688E-3</v>
      </c>
      <c r="CA26" s="2123">
        <f>+CA25/BU28-1</f>
        <v>1.5736014914131013E-2</v>
      </c>
      <c r="CB26" s="2097"/>
      <c r="CC26" s="2121">
        <f>+CC25/BW28-1</f>
        <v>1.8850545001571462E-2</v>
      </c>
      <c r="CD26" s="2122">
        <f>+CD25/BX28-1</f>
        <v>1.9697299122995116E-2</v>
      </c>
      <c r="CE26" s="2122">
        <f>+CE25/BY28-1</f>
        <v>2.019194160095128E-2</v>
      </c>
      <c r="CF26" s="2131">
        <f>+CF25/BZ28-1</f>
        <v>2.0344884587305989E-2</v>
      </c>
      <c r="CG26" s="2123">
        <f>+CG25/CA28-1</f>
        <v>1.9775099705107158E-2</v>
      </c>
      <c r="CH26" s="2097"/>
      <c r="CI26" s="2121">
        <f>+CI25/CC28-1</f>
        <v>2.6177362770133161E-2</v>
      </c>
      <c r="CJ26" s="2122">
        <f>+CJ25/CD28-1</f>
        <v>2.5714732450257127E-2</v>
      </c>
      <c r="CK26" s="2122">
        <f>+CK25/CE28-1</f>
        <v>2.511554148954942E-2</v>
      </c>
      <c r="CL26" s="2131">
        <f>+CL25/CF28-1</f>
        <v>2.7291198726576038E-2</v>
      </c>
      <c r="CM26" s="2123">
        <f>+CM25/CG28-1</f>
        <v>2.6083588776201427E-2</v>
      </c>
      <c r="CN26" s="2097"/>
      <c r="CO26" s="2121">
        <f>+CO25/CI28-1</f>
        <v>3.3636447009118831E-2</v>
      </c>
      <c r="CP26" s="2122">
        <f>+CP25/CJ28-1</f>
        <v>4.0622699788918082E-2</v>
      </c>
      <c r="CQ26" s="2122">
        <f>+CQ25/CK28-1</f>
        <v>4.5317055747201795E-2</v>
      </c>
      <c r="CR26" s="2131">
        <f>+CR25/CL28-1</f>
        <v>4.5794374372255531E-2</v>
      </c>
      <c r="CS26" s="2123">
        <f>+CS25/CM28-1</f>
        <v>4.1376624238435245E-2</v>
      </c>
      <c r="CT26" s="2122"/>
      <c r="CU26" s="2122"/>
      <c r="CV26" s="2122"/>
      <c r="CW26" s="2122"/>
      <c r="CX26" s="60"/>
      <c r="CY26" s="60"/>
      <c r="CZ26" s="60"/>
      <c r="DA26" s="60"/>
      <c r="DB26" s="60"/>
      <c r="DC26" s="60"/>
      <c r="DD26" s="60"/>
      <c r="DE26" s="60"/>
      <c r="DF26" s="60"/>
      <c r="DG26" s="60"/>
      <c r="DH26" s="60"/>
      <c r="DI26" s="60"/>
      <c r="DJ26" s="60"/>
      <c r="DK26" s="60"/>
      <c r="DL26" s="60"/>
      <c r="DM26" s="68"/>
      <c r="DN26" s="68"/>
      <c r="DO26" s="68"/>
      <c r="DP26" s="68"/>
      <c r="DQ26" s="68"/>
      <c r="DR26" s="68"/>
      <c r="DS26" s="68"/>
      <c r="DT26" s="68"/>
      <c r="DU26" s="68"/>
      <c r="DV26" s="68"/>
      <c r="DW26" s="68"/>
      <c r="DX26" s="68"/>
    </row>
    <row r="27" spans="1:128">
      <c r="A27" s="1991" t="s">
        <v>612</v>
      </c>
      <c r="B27" s="1302"/>
      <c r="C27" s="761"/>
      <c r="D27" s="762"/>
      <c r="E27" s="762"/>
      <c r="F27" s="762"/>
      <c r="G27" s="1986"/>
      <c r="H27" s="86"/>
      <c r="I27" s="761"/>
      <c r="J27" s="762"/>
      <c r="K27" s="762"/>
      <c r="L27" s="762"/>
      <c r="M27" s="1986"/>
      <c r="N27" s="1302"/>
      <c r="O27" s="757"/>
      <c r="P27" s="86"/>
      <c r="Q27" s="86"/>
      <c r="R27" s="86"/>
      <c r="S27" s="88"/>
      <c r="T27" s="1302"/>
      <c r="U27" s="757"/>
      <c r="V27" s="86"/>
      <c r="W27" s="86"/>
      <c r="X27" s="86"/>
      <c r="Y27" s="88"/>
      <c r="Z27" s="1987"/>
      <c r="AA27" s="757"/>
      <c r="AB27" s="86"/>
      <c r="AC27" s="86"/>
      <c r="AD27" s="86"/>
      <c r="AE27" s="88"/>
      <c r="AF27" s="1302"/>
      <c r="AG27" s="1988">
        <f>+AG25/AG$9</f>
        <v>0.70744420652789031</v>
      </c>
      <c r="AH27" s="196">
        <f>+AH25/AH$9</f>
        <v>0.69322625297391327</v>
      </c>
      <c r="AI27" s="196">
        <f>+AI25/AI$9</f>
        <v>0.68119237066051042</v>
      </c>
      <c r="AJ27" s="1989">
        <f>+AJ25/AJ$9</f>
        <v>0.66753160550959345</v>
      </c>
      <c r="AK27" s="1990">
        <f>+AK25/AK$9</f>
        <v>0.68667013090735018</v>
      </c>
      <c r="AL27" s="1992"/>
      <c r="AM27" s="1988">
        <f>+AM25/AM$9</f>
        <v>0.6304114964520825</v>
      </c>
      <c r="AN27" s="196">
        <f>+AN25/AN$9</f>
        <v>0.63398892771984627</v>
      </c>
      <c r="AO27" s="196">
        <f>+AO25/AO$9</f>
        <v>0.60369057716677177</v>
      </c>
      <c r="AP27" s="1989">
        <f>+AP25/AP$9</f>
        <v>0.58745990990977826</v>
      </c>
      <c r="AQ27" s="1990">
        <f>+AQ25/AQ$9</f>
        <v>0.61306994464308395</v>
      </c>
      <c r="AR27" s="1992"/>
      <c r="AS27" s="1988">
        <f>+AS25/AS$9</f>
        <v>0.54778892370523624</v>
      </c>
      <c r="AT27" s="196">
        <f>+AT25/AT$9</f>
        <v>0.5513485469781142</v>
      </c>
      <c r="AU27" s="196">
        <f>+AU25/AU$9</f>
        <v>0.52175377868170658</v>
      </c>
      <c r="AV27" s="1989">
        <f>+AV25/AV$9</f>
        <v>0.52781866150525891</v>
      </c>
      <c r="AW27" s="1990">
        <f>+AW25/AW$9</f>
        <v>0.53636130658608749</v>
      </c>
      <c r="AX27" s="1992"/>
      <c r="AY27" s="1988">
        <f>+AY25/AY$9</f>
        <v>0.49882900748331255</v>
      </c>
      <c r="AZ27" s="196">
        <f>+AZ25/AZ$9</f>
        <v>0.48563419488481796</v>
      </c>
      <c r="BA27" s="196">
        <f>+BA25/BA$9</f>
        <v>0.47944607494017283</v>
      </c>
      <c r="BB27" s="1989">
        <f>+BB25/BB$9</f>
        <v>0.46415526777024885</v>
      </c>
      <c r="BC27" s="1990">
        <f>+BC25/BC$9</f>
        <v>0.48164292325596014</v>
      </c>
      <c r="BD27" s="86"/>
      <c r="BE27" s="1988">
        <f>+BE25/BE$9</f>
        <v>0.44515455440651386</v>
      </c>
      <c r="BF27" s="196">
        <f>+BF25/BF$9</f>
        <v>0.4314186957437145</v>
      </c>
      <c r="BG27" s="196">
        <f>+BG25/BG$9</f>
        <v>0.42011837365904675</v>
      </c>
      <c r="BH27" s="1989">
        <f>+BH25/BH$9</f>
        <v>0.4067295767767109</v>
      </c>
      <c r="BI27" s="1990">
        <f>+BI25/BI$9</f>
        <v>0.42546356824765136</v>
      </c>
      <c r="BJ27" s="86"/>
      <c r="BK27" s="1988">
        <f>+BK25/BK$9</f>
        <v>0.40359283697077458</v>
      </c>
      <c r="BL27" s="196">
        <f>+BL25/BL$9</f>
        <v>0.39161484354762305</v>
      </c>
      <c r="BM27" s="196">
        <f>+BM25/BM$9</f>
        <v>0.39923200334159065</v>
      </c>
      <c r="BN27" s="1989">
        <f>+BN25/BN$9</f>
        <v>0.40451143452392579</v>
      </c>
      <c r="BO27" s="1990">
        <f>+BO25/BO$9</f>
        <v>0.39981650038875682</v>
      </c>
      <c r="BP27" s="86"/>
      <c r="BQ27" s="1988">
        <f>+BQ25/BQ$9</f>
        <v>0.37656051836702176</v>
      </c>
      <c r="BR27" s="196">
        <f>+BR25/BR$9</f>
        <v>0.37406420861868939</v>
      </c>
      <c r="BS27" s="196">
        <f>+BS25/BS$9</f>
        <v>0.37187634883059656</v>
      </c>
      <c r="BT27" s="1989">
        <f>+BT25/BT$9</f>
        <v>0.36730399417130305</v>
      </c>
      <c r="BU27" s="1990">
        <f>+BU25/BU$9</f>
        <v>0.37233913437620719</v>
      </c>
      <c r="BV27" s="86"/>
      <c r="BW27" s="1988">
        <f>+BW25/BW$9</f>
        <v>0.34830740948536604</v>
      </c>
      <c r="BX27" s="196">
        <f>+BX25/BX$9</f>
        <v>0.34574642877554046</v>
      </c>
      <c r="BY27" s="196">
        <f>+BY25/BY$9</f>
        <v>0.3446158158495542</v>
      </c>
      <c r="BZ27" s="1989">
        <f>+BZ25/BZ$9</f>
        <v>0.33983566121314218</v>
      </c>
      <c r="CA27" s="1990">
        <f>+CA25/CA$9</f>
        <v>0.34456445627888377</v>
      </c>
      <c r="CB27" s="86"/>
      <c r="CC27" s="1988">
        <f>+CC25/CC$9</f>
        <v>0.32215728992914822</v>
      </c>
      <c r="CD27" s="196">
        <f>+CD25/CD$9</f>
        <v>0.31976891399488638</v>
      </c>
      <c r="CE27" s="196">
        <f>+CE25/CE$9</f>
        <v>0.31896484794052382</v>
      </c>
      <c r="CF27" s="1989">
        <f>+CF25/CF$9</f>
        <v>0.31415409920905274</v>
      </c>
      <c r="CG27" s="1990">
        <f>+CG25/CG$9</f>
        <v>0.31870031890452788</v>
      </c>
      <c r="CH27" s="86"/>
      <c r="CI27" s="1988">
        <f>+CI25/CI$9</f>
        <v>0.29935855442715364</v>
      </c>
      <c r="CJ27" s="196">
        <f>+CJ25/CJ$9</f>
        <v>0.29705842282773759</v>
      </c>
      <c r="CK27" s="196">
        <f>+CK25/CK$9</f>
        <v>0.29630443753601821</v>
      </c>
      <c r="CL27" s="1989">
        <f>+CL25/CL$9</f>
        <v>0.29173755121154893</v>
      </c>
      <c r="CM27" s="1990">
        <f>+CM25/CM$9</f>
        <v>0.29605479917391631</v>
      </c>
      <c r="CN27" s="86"/>
      <c r="CO27" s="1988">
        <f>+CO25/CO$9</f>
        <v>0.28139702963325591</v>
      </c>
      <c r="CP27" s="196">
        <f>+CP25/CP$9</f>
        <v>0.27989527536517811</v>
      </c>
      <c r="CQ27" s="196">
        <f>+CQ25/CQ$9</f>
        <v>0.27942829983164064</v>
      </c>
      <c r="CR27" s="1989">
        <f>+CR25/CR$9</f>
        <v>0.27492539316502024</v>
      </c>
      <c r="CS27" s="1990">
        <f>+CS25/CS$9</f>
        <v>0.2788506342403782</v>
      </c>
      <c r="CT27" s="2005"/>
      <c r="CU27" s="2005"/>
      <c r="CV27" s="2005"/>
      <c r="CW27" s="2005"/>
      <c r="CX27" s="194"/>
      <c r="CY27" s="194"/>
      <c r="CZ27" s="194"/>
      <c r="DA27" s="194"/>
      <c r="DB27" s="194"/>
      <c r="DC27" s="194"/>
      <c r="DD27" s="194"/>
      <c r="DE27" s="194"/>
      <c r="DF27" s="194"/>
      <c r="DG27" s="194"/>
      <c r="DH27" s="194"/>
      <c r="DI27" s="194"/>
      <c r="DJ27" s="194"/>
      <c r="DK27" s="194"/>
      <c r="DL27" s="194"/>
      <c r="DM27" s="1987"/>
      <c r="DN27" s="1987"/>
      <c r="DO27" s="1987"/>
      <c r="DP27" s="1987"/>
      <c r="DQ27" s="1987"/>
      <c r="DR27" s="1987"/>
      <c r="DS27" s="1987"/>
      <c r="DT27" s="1987"/>
      <c r="DU27" s="1987"/>
      <c r="DV27" s="1987"/>
      <c r="DW27" s="1987"/>
      <c r="DX27" s="1987"/>
    </row>
    <row r="28" spans="1:128">
      <c r="A28" s="2092" t="s">
        <v>620</v>
      </c>
      <c r="B28" s="2093"/>
      <c r="C28" s="2094"/>
      <c r="D28" s="2095"/>
      <c r="E28" s="2095"/>
      <c r="F28" s="2095"/>
      <c r="G28" s="2096"/>
      <c r="H28" s="2097"/>
      <c r="I28" s="2094"/>
      <c r="J28" s="2095"/>
      <c r="K28" s="2095"/>
      <c r="L28" s="2095"/>
      <c r="M28" s="2096"/>
      <c r="N28" s="2098"/>
      <c r="O28" s="2099"/>
      <c r="P28" s="2097"/>
      <c r="Q28" s="2097"/>
      <c r="R28" s="2097"/>
      <c r="S28" s="2100"/>
      <c r="T28" s="2098"/>
      <c r="U28" s="2099"/>
      <c r="V28" s="2097"/>
      <c r="W28" s="2097"/>
      <c r="X28" s="2097"/>
      <c r="Y28" s="2100"/>
      <c r="Z28" s="2101"/>
      <c r="AA28" s="2099"/>
      <c r="AB28" s="2097"/>
      <c r="AC28" s="2097"/>
      <c r="AD28" s="2097"/>
      <c r="AE28" s="2100"/>
      <c r="AF28" s="2098"/>
      <c r="AG28" s="2099">
        <f>+AG25</f>
        <v>193.58747045517518</v>
      </c>
      <c r="AH28" s="2097">
        <f>+AH25</f>
        <v>200.20143025895075</v>
      </c>
      <c r="AI28" s="2097">
        <f>+AI25</f>
        <v>199.52496182978751</v>
      </c>
      <c r="AJ28" s="2097">
        <f>+AJ25</f>
        <v>208.35322310702878</v>
      </c>
      <c r="AK28" s="2100">
        <f>+SUM(AG28:AJ28)</f>
        <v>801.66708565094223</v>
      </c>
      <c r="AL28" s="2098"/>
      <c r="AM28" s="2099">
        <f>+AM25*(1+AM$11)</f>
        <v>206.3285868598295</v>
      </c>
      <c r="AN28" s="2097">
        <f>+AN25*(1+AN$11)</f>
        <v>217.72170300572751</v>
      </c>
      <c r="AO28" s="2097">
        <f>+AO25*(1+AO$11)</f>
        <v>216.22973376906987</v>
      </c>
      <c r="AP28" s="2097">
        <f>+AP25*(1+AP$11)</f>
        <v>226.12917711383815</v>
      </c>
      <c r="AQ28" s="2100">
        <f>+SUM(AM28:AP28)</f>
        <v>866.40920074846508</v>
      </c>
      <c r="AR28" s="2098"/>
      <c r="AS28" s="2099">
        <f>+AS25*(1+AS$11)</f>
        <v>230.75822481529252</v>
      </c>
      <c r="AT28" s="2097">
        <f>+AT25*(1+AT$11)</f>
        <v>247.27069131511513</v>
      </c>
      <c r="AU28" s="2097">
        <f>+AU25*(1+AU$11)</f>
        <v>250.81485430031461</v>
      </c>
      <c r="AV28" s="2097">
        <f>+AV25*(1+AV$11)</f>
        <v>269.32503000895878</v>
      </c>
      <c r="AW28" s="2100">
        <f>+SUM(AS28:AV28)</f>
        <v>998.16880043968104</v>
      </c>
      <c r="AX28" s="2098"/>
      <c r="AY28" s="2099">
        <f>+AY25*(1+AY$11)</f>
        <v>265.18939620288489</v>
      </c>
      <c r="AZ28" s="2097">
        <f>+AZ25*(1+AZ$11)</f>
        <v>259.66328335199466</v>
      </c>
      <c r="BA28" s="2097">
        <f>+BA25*(1+BA$11)</f>
        <v>261.76061904639886</v>
      </c>
      <c r="BB28" s="2097">
        <f>+BB25*(1+BB$11)</f>
        <v>273.35475894895552</v>
      </c>
      <c r="BC28" s="2100">
        <f>+SUM(AY28:BB28)</f>
        <v>1059.9680575502341</v>
      </c>
      <c r="BD28" s="2097"/>
      <c r="BE28" s="2099">
        <f>+BE25*(1+BE$11)</f>
        <v>254.35114661590035</v>
      </c>
      <c r="BF28" s="2097">
        <f>+BF25*(1+BF$11)</f>
        <v>258.97723592293283</v>
      </c>
      <c r="BG28" s="2097">
        <f>+BG25*(1+BG$11)</f>
        <v>254.8799226711163</v>
      </c>
      <c r="BH28" s="2097">
        <f>+BH25*(1+BH$11)</f>
        <v>251.79022621172916</v>
      </c>
      <c r="BI28" s="2100">
        <f>+SUM(BE28:BH28)</f>
        <v>1019.9985314216788</v>
      </c>
      <c r="BJ28" s="2097"/>
      <c r="BK28" s="2099">
        <f>+BK25*(1+BK$11)</f>
        <v>241.28980219592404</v>
      </c>
      <c r="BL28" s="2097">
        <f>+BL25*(1+BL$11)</f>
        <v>259.27776086696724</v>
      </c>
      <c r="BM28" s="2097">
        <f>+BM25*(1+BM$11)</f>
        <v>285.3017326342295</v>
      </c>
      <c r="BN28" s="2097">
        <f>+BN25*(1+BN$11)</f>
        <v>315.48222187681586</v>
      </c>
      <c r="BO28" s="2100">
        <f>+SUM(BK28:BN28)</f>
        <v>1101.3515175739367</v>
      </c>
      <c r="BP28" s="2097"/>
      <c r="BQ28" s="2099">
        <f>+BQ25*(1+BQ$11)</f>
        <v>296.34627455341183</v>
      </c>
      <c r="BR28" s="2097">
        <f>+BR25*(1+BR$11)</f>
        <v>296.67907675784977</v>
      </c>
      <c r="BS28" s="2097">
        <f>+BS25*(1+BS$11)</f>
        <v>299.92607073917958</v>
      </c>
      <c r="BT28" s="2097">
        <f>+BT25*(1+BT$11)</f>
        <v>308.85424600262411</v>
      </c>
      <c r="BU28" s="2100">
        <f>+SUM(BQ28:BT28)</f>
        <v>1201.8056680530653</v>
      </c>
      <c r="BV28" s="2097"/>
      <c r="BW28" s="2099">
        <f>+BW25*(1+BW$11)</f>
        <v>303.9550305072932</v>
      </c>
      <c r="BX28" s="2097">
        <f>+BX25*(1+BX$11)</f>
        <v>300.8767472511804</v>
      </c>
      <c r="BY28" s="2097">
        <f>+BY25*(1+BY$11)</f>
        <v>303.97484467725116</v>
      </c>
      <c r="BZ28" s="2097">
        <f>+BZ25*(1+BZ$11)</f>
        <v>311.91067753371061</v>
      </c>
      <c r="CA28" s="2100">
        <f>+SUM(BW28:BZ28)</f>
        <v>1220.7172999694355</v>
      </c>
      <c r="CB28" s="2097"/>
      <c r="CC28" s="2099">
        <f>+CC25*(1+CC$11)</f>
        <v>309.68474848832494</v>
      </c>
      <c r="CD28" s="2097">
        <f>+CD25*(1+CD$11)</f>
        <v>306.80320654094072</v>
      </c>
      <c r="CE28" s="2097">
        <f>+CE25*(1+CE$11)</f>
        <v>310.11268698913244</v>
      </c>
      <c r="CF28" s="2097">
        <f>+CF25*(1+CF$11)</f>
        <v>318.25646426968234</v>
      </c>
      <c r="CG28" s="2100">
        <f>+SUM(CC28:CF28)</f>
        <v>1244.8571062880803</v>
      </c>
      <c r="CH28" s="2097"/>
      <c r="CI28" s="2099">
        <f>+CI25*(1+CI$11)</f>
        <v>317.79147849388124</v>
      </c>
      <c r="CJ28" s="2097">
        <f>+CJ25*(1+CJ$11)</f>
        <v>314.69256891202201</v>
      </c>
      <c r="CK28" s="2097">
        <f>+CK25*(1+CK$11)</f>
        <v>317.90133504564363</v>
      </c>
      <c r="CL28" s="2097">
        <f>+CL25*(1+CL$11)</f>
        <v>326.9420646820837</v>
      </c>
      <c r="CM28" s="2100">
        <f>+SUM(CI28:CL28)</f>
        <v>1277.3274471336308</v>
      </c>
      <c r="CN28" s="2097"/>
      <c r="CO28" s="2099">
        <f>+CO25*(1+CO$11)</f>
        <v>328.48085472019022</v>
      </c>
      <c r="CP28" s="2097">
        <f>+CP25*(1+CP$11)</f>
        <v>327.47623066473847</v>
      </c>
      <c r="CQ28" s="2097">
        <f>+CQ25*(1+CQ$11)</f>
        <v>332.30768756801695</v>
      </c>
      <c r="CR28" s="2097">
        <f>+CR25*(1+CR$11)</f>
        <v>341.9141719901732</v>
      </c>
      <c r="CS28" s="2100">
        <f>+SUM(CO28:CR28)</f>
        <v>1330.1789449431187</v>
      </c>
      <c r="CT28" s="2097"/>
      <c r="CU28" s="2097"/>
      <c r="CV28" s="2097"/>
      <c r="CW28" s="2097"/>
    </row>
    <row r="29" spans="1:128">
      <c r="A29" s="1972" t="s">
        <v>596</v>
      </c>
      <c r="B29" s="63"/>
      <c r="C29" s="760"/>
      <c r="D29" s="740"/>
      <c r="E29" s="740"/>
      <c r="F29" s="740"/>
      <c r="G29" s="739"/>
      <c r="H29" s="205"/>
      <c r="I29" s="760"/>
      <c r="J29" s="740"/>
      <c r="K29" s="740"/>
      <c r="L29" s="740"/>
      <c r="M29" s="739"/>
      <c r="N29" s="63"/>
      <c r="O29" s="750"/>
      <c r="P29" s="205"/>
      <c r="Q29" s="205"/>
      <c r="R29" s="205"/>
      <c r="S29" s="191"/>
      <c r="T29" s="1"/>
      <c r="U29" s="750"/>
      <c r="V29" s="205"/>
      <c r="W29" s="205"/>
      <c r="X29" s="205"/>
      <c r="Y29" s="191"/>
      <c r="Z29" s="68"/>
      <c r="AA29" s="750"/>
      <c r="AB29" s="205"/>
      <c r="AC29" s="205"/>
      <c r="AD29" s="205"/>
      <c r="AE29" s="191"/>
      <c r="AF29" s="63"/>
      <c r="AG29" s="750">
        <f>+(AG31*AG$16)/1000</f>
        <v>55.967365295059331</v>
      </c>
      <c r="AH29" s="63">
        <f>+(AH31*AH$16)/1000</f>
        <v>52.667973950987061</v>
      </c>
      <c r="AI29" s="63">
        <f>+(AI31*AI$16)/1000</f>
        <v>59.180647431794107</v>
      </c>
      <c r="AJ29" s="1">
        <f>+(AJ31*AJ$16)/1000</f>
        <v>56.642833137903992</v>
      </c>
      <c r="AK29" s="191">
        <f>+SUM(AG29:AJ29)</f>
        <v>224.4588198157445</v>
      </c>
      <c r="AL29" s="63"/>
      <c r="AM29" s="750">
        <f>+(AM31*AM$16)/1000</f>
        <v>55.289660950202638</v>
      </c>
      <c r="AN29" s="63">
        <f>+(AN31*AN$16)/1000</f>
        <v>58.417836095308196</v>
      </c>
      <c r="AO29" s="63">
        <f>+(AO31*AO$16)/1000</f>
        <v>53.872875925407229</v>
      </c>
      <c r="AP29" s="1">
        <f>+(AP31*AP$16)/1000</f>
        <v>50.16853215814487</v>
      </c>
      <c r="AQ29" s="191">
        <f>+SUM(AM29:AP29)</f>
        <v>217.74890512906293</v>
      </c>
      <c r="AR29" s="63"/>
      <c r="AS29" s="750">
        <f>+(AS31*AS$16)/1000</f>
        <v>53.050327373009445</v>
      </c>
      <c r="AT29" s="63">
        <f>+(AT31*AT$16)/1000</f>
        <v>69.658350798822582</v>
      </c>
      <c r="AU29" s="63">
        <f>+(AU31*AU$16)/1000</f>
        <v>67.46915050994825</v>
      </c>
      <c r="AV29" s="1">
        <f>+(AV31*AV$16)/1000</f>
        <v>70.846178797072184</v>
      </c>
      <c r="AW29" s="191">
        <f>+SUM(AS29:AV29)</f>
        <v>261.02400747885247</v>
      </c>
      <c r="AX29" s="1"/>
      <c r="AY29" s="750">
        <f>+(AY31*AY$16)/1000</f>
        <v>63.75180000000001</v>
      </c>
      <c r="AZ29" s="63">
        <f>+(AZ31*AZ$16)/1000</f>
        <v>64.355360000000019</v>
      </c>
      <c r="BA29" s="63">
        <f>+(BA31*BA$16)/1000</f>
        <v>60.400000000000006</v>
      </c>
      <c r="BB29" s="1">
        <f>+(BB31*BB$16)/1000</f>
        <v>60.947200000000009</v>
      </c>
      <c r="BC29" s="191">
        <f>+SUM(AY29:BB29)</f>
        <v>249.45436000000004</v>
      </c>
      <c r="BD29" s="9"/>
      <c r="BE29" s="750">
        <f>+(BE31*BE$16)/1000</f>
        <v>38.227200000000003</v>
      </c>
      <c r="BF29" s="63">
        <f>+(BF31*BF$16)/1000</f>
        <v>40.136902999305342</v>
      </c>
      <c r="BG29" s="63">
        <f>+(BG31*BG$16)/1000</f>
        <v>33.559303189058014</v>
      </c>
      <c r="BH29" s="1">
        <f>+(BH31*BH$16)/1000</f>
        <v>31.08430792151993</v>
      </c>
      <c r="BI29" s="191">
        <f>+SUM(BE29:BH29)</f>
        <v>143.0077141098833</v>
      </c>
      <c r="BJ29" s="9"/>
      <c r="BK29" s="750">
        <f>+(BK31*BK$16)/1000</f>
        <v>35.206499999999991</v>
      </c>
      <c r="BL29" s="63">
        <f>+(BL31*BL$16)/1000</f>
        <v>47.820499999999996</v>
      </c>
      <c r="BM29" s="63">
        <f>+(BM31*BM$16)/1000</f>
        <v>50.198399999999992</v>
      </c>
      <c r="BN29" s="1">
        <f>+(BN31*BN$16)/1000</f>
        <v>49.383360000000003</v>
      </c>
      <c r="BO29" s="191">
        <f>+SUM(BK29:BN29)</f>
        <v>182.60875999999999</v>
      </c>
      <c r="BP29" s="9"/>
      <c r="BQ29" s="750">
        <f>+(BQ31*BQ$16)/1000</f>
        <v>36.799999999999997</v>
      </c>
      <c r="BR29" s="63">
        <f>+(BR31*BR$16)/1000</f>
        <v>39.654400000000003</v>
      </c>
      <c r="BS29" s="63">
        <f>+(BS31*BS$16)/1000</f>
        <v>41.369839999999989</v>
      </c>
      <c r="BT29" s="1">
        <f>+(BT31*BT$16)/1000</f>
        <v>41.373039999999989</v>
      </c>
      <c r="BU29" s="191">
        <f>+SUM(BQ29:BT29)</f>
        <v>159.19727999999998</v>
      </c>
      <c r="BV29" s="9"/>
      <c r="BW29" s="750">
        <f>+(BW31*BW$16)/1000</f>
        <v>31.857490000000006</v>
      </c>
      <c r="BX29" s="63">
        <f>+(BX31*BX$16)/1000</f>
        <v>31.857490000000006</v>
      </c>
      <c r="BY29" s="63">
        <f>+(BY31*BY$16)/1000</f>
        <v>31.857490000000006</v>
      </c>
      <c r="BZ29" s="1">
        <f>+(BZ31*BZ$16)/1000</f>
        <v>31.857490000000006</v>
      </c>
      <c r="CA29" s="191">
        <f>+SUM(BW29:BZ29)</f>
        <v>127.42996000000002</v>
      </c>
      <c r="CB29" s="9"/>
      <c r="CC29" s="750">
        <f>+(CC31*CC$16)/1000</f>
        <v>25.732920000000004</v>
      </c>
      <c r="CD29" s="63">
        <f>+(CD31*CD$16)/1000</f>
        <v>25.732920000000004</v>
      </c>
      <c r="CE29" s="63">
        <f>+(CE31*CE$16)/1000</f>
        <v>25.732920000000004</v>
      </c>
      <c r="CF29" s="1">
        <f>+(CF31*CF$16)/1000</f>
        <v>25.732920000000004</v>
      </c>
      <c r="CG29" s="191">
        <f>+SUM(CC29:CF29)</f>
        <v>102.93168000000001</v>
      </c>
      <c r="CH29" s="9"/>
      <c r="CI29" s="750">
        <f>+(CI31*CI$16)/1000</f>
        <v>21.364100000000001</v>
      </c>
      <c r="CJ29" s="63">
        <f>+(CJ31*CJ$16)/1000</f>
        <v>21.364100000000001</v>
      </c>
      <c r="CK29" s="63">
        <f>+(CK31*CK$16)/1000</f>
        <v>21.364100000000001</v>
      </c>
      <c r="CL29" s="1">
        <f>+(CL31*CL$16)/1000</f>
        <v>21.364100000000001</v>
      </c>
      <c r="CM29" s="191">
        <f>+SUM(CI29:CL29)</f>
        <v>85.456400000000002</v>
      </c>
      <c r="CN29" s="9"/>
      <c r="CO29" s="750">
        <f>+(CO31*CO$16)/1000</f>
        <v>17.027280000000001</v>
      </c>
      <c r="CP29" s="63">
        <f>+(CP31*CP$16)/1000</f>
        <v>17.027280000000001</v>
      </c>
      <c r="CQ29" s="63">
        <f>+(CQ31*CQ$16)/1000</f>
        <v>17.027280000000001</v>
      </c>
      <c r="CR29" s="1">
        <f>+(CR31*CR$16)/1000</f>
        <v>17.027280000000001</v>
      </c>
      <c r="CS29" s="191">
        <f>+SUM(CO29:CR29)</f>
        <v>68.109120000000004</v>
      </c>
      <c r="CT29" s="205"/>
      <c r="CU29" s="205"/>
      <c r="CV29" s="205"/>
      <c r="CW29" s="205"/>
      <c r="CX29" s="60"/>
      <c r="CY29" s="60"/>
      <c r="CZ29" s="60"/>
      <c r="DA29" s="60"/>
      <c r="DB29" s="60"/>
      <c r="DC29" s="60"/>
      <c r="DD29" s="60"/>
      <c r="DE29" s="60"/>
      <c r="DF29" s="60"/>
      <c r="DG29" s="60"/>
      <c r="DH29" s="60"/>
      <c r="DI29" s="60"/>
      <c r="DJ29" s="60"/>
      <c r="DK29" s="60"/>
      <c r="DL29" s="60"/>
      <c r="DM29" s="68"/>
      <c r="DN29" s="68"/>
      <c r="DO29" s="68"/>
      <c r="DP29" s="68"/>
      <c r="DQ29" s="68"/>
      <c r="DR29" s="68"/>
      <c r="DS29" s="68"/>
      <c r="DT29" s="68"/>
      <c r="DU29" s="68"/>
      <c r="DV29" s="68"/>
      <c r="DW29" s="68"/>
      <c r="DX29" s="68"/>
    </row>
    <row r="30" spans="1:128">
      <c r="A30" s="1985" t="s">
        <v>601</v>
      </c>
      <c r="B30" s="1302"/>
      <c r="C30" s="761"/>
      <c r="D30" s="762"/>
      <c r="E30" s="762"/>
      <c r="F30" s="762"/>
      <c r="G30" s="1986"/>
      <c r="H30" s="86"/>
      <c r="I30" s="761"/>
      <c r="J30" s="762"/>
      <c r="K30" s="762"/>
      <c r="L30" s="762"/>
      <c r="M30" s="1986"/>
      <c r="N30" s="1302"/>
      <c r="O30" s="757"/>
      <c r="P30" s="86"/>
      <c r="Q30" s="86"/>
      <c r="R30" s="86"/>
      <c r="S30" s="88"/>
      <c r="T30" s="1302"/>
      <c r="U30" s="757"/>
      <c r="V30" s="86"/>
      <c r="W30" s="86"/>
      <c r="X30" s="86"/>
      <c r="Y30" s="88"/>
      <c r="Z30" s="1987"/>
      <c r="AA30" s="757"/>
      <c r="AB30" s="86"/>
      <c r="AC30" s="86"/>
      <c r="AD30" s="86"/>
      <c r="AE30" s="88"/>
      <c r="AF30" s="1302"/>
      <c r="AG30" s="1988">
        <f>+AG29/AG$13</f>
        <v>0.7</v>
      </c>
      <c r="AH30" s="196">
        <f>+AH29/AH$13</f>
        <v>0.7</v>
      </c>
      <c r="AI30" s="196">
        <f>+AI29/AI$13</f>
        <v>0.7</v>
      </c>
      <c r="AJ30" s="1989">
        <f>+AJ29/AJ$13</f>
        <v>0.69999999999999984</v>
      </c>
      <c r="AK30" s="1990">
        <f>+AK29/AK$13</f>
        <v>0.6994669334932897</v>
      </c>
      <c r="AL30" s="1302"/>
      <c r="AM30" s="1988">
        <f>+AM29/AM$13</f>
        <v>0.6</v>
      </c>
      <c r="AN30" s="196">
        <f>+AN29/AN$13</f>
        <v>0.6</v>
      </c>
      <c r="AO30" s="196">
        <f>+AO29/AO$13</f>
        <v>0.55000000000000016</v>
      </c>
      <c r="AP30" s="1989">
        <f>+AP29/AP$13</f>
        <v>0.55000000000000004</v>
      </c>
      <c r="AQ30" s="1990">
        <f>+AQ29/AQ$13</f>
        <v>0.57483219059168911</v>
      </c>
      <c r="AR30" s="1302"/>
      <c r="AS30" s="1988">
        <f>+AS29/AS$13</f>
        <v>0.46</v>
      </c>
      <c r="AT30" s="196">
        <f>+AT29/AT$13</f>
        <v>0.5</v>
      </c>
      <c r="AU30" s="196">
        <f>+AU29/AU$13</f>
        <v>0.44999999999999996</v>
      </c>
      <c r="AV30" s="1989">
        <f>+AV29/AV$13</f>
        <v>0.45</v>
      </c>
      <c r="AW30" s="1990">
        <f>+AW29/AW$13</f>
        <v>0.46423920457720474</v>
      </c>
      <c r="AX30" s="1302"/>
      <c r="AY30" s="1988">
        <f>+AY29/AY$13</f>
        <v>0.42</v>
      </c>
      <c r="AZ30" s="196">
        <f>+AZ29/AZ$13</f>
        <v>0.40000000000000008</v>
      </c>
      <c r="BA30" s="196">
        <f>+BA29/BA$13</f>
        <v>0.4</v>
      </c>
      <c r="BB30" s="1989">
        <f>+BB29/BB$13</f>
        <v>0.40000000000000008</v>
      </c>
      <c r="BC30" s="1990">
        <f>+BC29/BC$13</f>
        <v>0.4048503937646713</v>
      </c>
      <c r="BD30" s="86"/>
      <c r="BE30" s="1988">
        <f>+BE29/BE$13</f>
        <v>0.32</v>
      </c>
      <c r="BF30" s="196">
        <f>+BF29/BF$13</f>
        <v>0.32000000000000006</v>
      </c>
      <c r="BG30" s="196">
        <f>+BG29/BG$13</f>
        <v>0.3</v>
      </c>
      <c r="BH30" s="1989">
        <f>+BH29/BH$13</f>
        <v>0.27</v>
      </c>
      <c r="BI30" s="1990">
        <f>+BI29/BI$13</f>
        <v>0.30299717120257824</v>
      </c>
      <c r="BJ30" s="86"/>
      <c r="BK30" s="1988">
        <f>+BK29/BK$13</f>
        <v>0.35</v>
      </c>
      <c r="BL30" s="196">
        <f>+BL29/BL$13</f>
        <v>0.35000000000000003</v>
      </c>
      <c r="BM30" s="196">
        <f>+BM29/BM$13</f>
        <v>0.35999999999999993</v>
      </c>
      <c r="BN30" s="1989">
        <f>+BN29/BN$13</f>
        <v>0.36000000000000004</v>
      </c>
      <c r="BO30" s="1990">
        <f>+BO29/BO$13</f>
        <v>0.35553858529779991</v>
      </c>
      <c r="BP30" s="86"/>
      <c r="BQ30" s="1988">
        <f>+BQ29/BQ$13</f>
        <v>0.32</v>
      </c>
      <c r="BR30" s="196">
        <f>+BR29/BR$13</f>
        <v>0.32000000000000006</v>
      </c>
      <c r="BS30" s="196">
        <f>+BS29/BS$13</f>
        <v>0.31999999999999995</v>
      </c>
      <c r="BT30" s="1989">
        <f>+BT29/BT$13</f>
        <v>0.31999999999999995</v>
      </c>
      <c r="BU30" s="1990">
        <f>+BU29/BU$13</f>
        <v>0.3200447272719335</v>
      </c>
      <c r="BV30" s="86"/>
      <c r="BW30" s="1988">
        <f>+BW29/BW$13</f>
        <v>0.28000000000000003</v>
      </c>
      <c r="BX30" s="196">
        <f>+BX29/BX$13</f>
        <v>0.28000000000000003</v>
      </c>
      <c r="BY30" s="196">
        <f>+BY29/BY$13</f>
        <v>0.28000000000000003</v>
      </c>
      <c r="BZ30" s="1989">
        <f>+BZ29/BZ$13</f>
        <v>0.28000000000000003</v>
      </c>
      <c r="CA30" s="1990">
        <f>+CA29/CA$13</f>
        <v>0.28000000000000003</v>
      </c>
      <c r="CB30" s="86"/>
      <c r="CC30" s="1988">
        <f>+CC29/CC$13</f>
        <v>0.24000000000000002</v>
      </c>
      <c r="CD30" s="196">
        <f>+CD29/CD$13</f>
        <v>0.24000000000000002</v>
      </c>
      <c r="CE30" s="196">
        <f>+CE29/CE$13</f>
        <v>0.24000000000000002</v>
      </c>
      <c r="CF30" s="1989">
        <f>+CF29/CF$13</f>
        <v>0.24000000000000002</v>
      </c>
      <c r="CG30" s="1990">
        <f>+CG29/CG$13</f>
        <v>0.24000000000000002</v>
      </c>
      <c r="CH30" s="86"/>
      <c r="CI30" s="1988">
        <f>+CI29/CI$13</f>
        <v>0.19999999999999998</v>
      </c>
      <c r="CJ30" s="196">
        <f>+CJ29/CJ$13</f>
        <v>0.19999999999999998</v>
      </c>
      <c r="CK30" s="196">
        <f>+CK29/CK$13</f>
        <v>0.19999999999999998</v>
      </c>
      <c r="CL30" s="1989">
        <f>+CL29/CL$13</f>
        <v>0.19999999999999998</v>
      </c>
      <c r="CM30" s="1990">
        <f>+CM29/CM$13</f>
        <v>0.20000000000000004</v>
      </c>
      <c r="CN30" s="86"/>
      <c r="CO30" s="1988">
        <f>+CO29/CO$13</f>
        <v>0.16</v>
      </c>
      <c r="CP30" s="196">
        <f>+CP29/CP$13</f>
        <v>0.16</v>
      </c>
      <c r="CQ30" s="196">
        <f>+CQ29/CQ$13</f>
        <v>0.16</v>
      </c>
      <c r="CR30" s="1989">
        <f>+CR29/CR$13</f>
        <v>0.16</v>
      </c>
      <c r="CS30" s="1990">
        <f>+CS29/CS$13</f>
        <v>0.15999999999999995</v>
      </c>
      <c r="CT30" s="2005"/>
      <c r="CU30" s="2005"/>
      <c r="CV30" s="2005"/>
      <c r="CW30" s="2005"/>
      <c r="CX30" s="194"/>
      <c r="CY30" s="194"/>
      <c r="CZ30" s="194"/>
      <c r="DA30" s="194"/>
      <c r="DB30" s="194"/>
      <c r="DC30" s="194"/>
      <c r="DD30" s="194"/>
      <c r="DE30" s="194"/>
      <c r="DF30" s="194"/>
      <c r="DG30" s="194"/>
      <c r="DH30" s="194"/>
      <c r="DI30" s="194"/>
      <c r="DJ30" s="194"/>
      <c r="DK30" s="194"/>
      <c r="DL30" s="194"/>
      <c r="DM30" s="1987"/>
      <c r="DN30" s="1987"/>
      <c r="DO30" s="1987"/>
      <c r="DP30" s="1987"/>
      <c r="DQ30" s="1987"/>
      <c r="DR30" s="1987"/>
      <c r="DS30" s="1987"/>
      <c r="DT30" s="1987"/>
      <c r="DU30" s="1987"/>
      <c r="DV30" s="1987"/>
      <c r="DW30" s="1987"/>
      <c r="DX30" s="1987"/>
    </row>
    <row r="31" spans="1:128">
      <c r="A31" s="1971" t="s">
        <v>626</v>
      </c>
      <c r="B31" s="63"/>
      <c r="C31" s="760"/>
      <c r="D31" s="740"/>
      <c r="E31" s="740"/>
      <c r="F31" s="740"/>
      <c r="G31" s="739"/>
      <c r="H31" s="205"/>
      <c r="I31" s="760"/>
      <c r="J31" s="740"/>
      <c r="K31" s="740"/>
      <c r="L31" s="740"/>
      <c r="M31" s="739"/>
      <c r="N31" s="63"/>
      <c r="O31" s="750"/>
      <c r="P31" s="205"/>
      <c r="Q31" s="205"/>
      <c r="R31" s="205"/>
      <c r="S31" s="191"/>
      <c r="T31" s="1"/>
      <c r="U31" s="750"/>
      <c r="V31" s="205"/>
      <c r="W31" s="205"/>
      <c r="X31" s="205"/>
      <c r="Y31" s="191"/>
      <c r="Z31" s="68"/>
      <c r="AA31" s="750"/>
      <c r="AB31" s="205"/>
      <c r="AC31" s="205"/>
      <c r="AD31" s="205"/>
      <c r="AE31" s="191"/>
      <c r="AF31" s="63"/>
      <c r="AG31" s="760">
        <f>+AG32*AG$14</f>
        <v>259</v>
      </c>
      <c r="AH31" s="375">
        <f>+AH32*AH$14</f>
        <v>246.39999999999998</v>
      </c>
      <c r="AI31" s="375">
        <f>+AI32*AI$14</f>
        <v>287.7</v>
      </c>
      <c r="AJ31" s="1363">
        <f>+AJ32*AJ$14</f>
        <v>286.29999999999995</v>
      </c>
      <c r="AK31" s="739">
        <f>+SUM(AG31:AJ31)</f>
        <v>1079.3999999999999</v>
      </c>
      <c r="AL31" s="375"/>
      <c r="AM31" s="760">
        <f>+AM32*AM$14</f>
        <v>246.6</v>
      </c>
      <c r="AN31" s="375">
        <f>+AN32*AN$14</f>
        <v>235.79999999999998</v>
      </c>
      <c r="AO31" s="375">
        <f>+AO32*AO$14</f>
        <v>231.00000000000003</v>
      </c>
      <c r="AP31" s="1363">
        <f>+AP32*AP$14</f>
        <v>227.70000000000002</v>
      </c>
      <c r="AQ31" s="739">
        <f>+SUM(AM31:AP31)</f>
        <v>941.1</v>
      </c>
      <c r="AR31" s="375"/>
      <c r="AS31" s="760">
        <f>+AS32*AS$14</f>
        <v>247.02</v>
      </c>
      <c r="AT31" s="375">
        <f>+AT32*AT$14</f>
        <v>282</v>
      </c>
      <c r="AU31" s="375">
        <f>+AU32*AU$14</f>
        <v>256.5</v>
      </c>
      <c r="AV31" s="1363">
        <f>+AV32*AV$14</f>
        <v>278.55</v>
      </c>
      <c r="AW31" s="739">
        <f>+SUM(AS31:AV31)</f>
        <v>1064.07</v>
      </c>
      <c r="AX31" s="1363"/>
      <c r="AY31" s="760">
        <f>+AY32*AY$14</f>
        <v>242.00021999999998</v>
      </c>
      <c r="AZ31" s="375">
        <f>+AZ32*AZ$14</f>
        <v>241.56235488721805</v>
      </c>
      <c r="BA31" s="1363">
        <f>+BA32*BA$14</f>
        <v>224.30289924812033</v>
      </c>
      <c r="BB31" s="1363">
        <f>+BB32*BB$14</f>
        <v>306.85776000000004</v>
      </c>
      <c r="BC31" s="739">
        <f>+SUM(AY31:BB31)</f>
        <v>1014.7232341353383</v>
      </c>
      <c r="BD31" s="1611"/>
      <c r="BE31" s="760">
        <f>+BE32*BE$14</f>
        <v>226.76296324812029</v>
      </c>
      <c r="BF31" s="375">
        <f>+BF32*BF$14</f>
        <v>228.47888388812029</v>
      </c>
      <c r="BG31" s="1363">
        <f>+BG32*BG$14</f>
        <v>221.29694683199997</v>
      </c>
      <c r="BH31" s="1363">
        <f>+BH32*BH$14</f>
        <v>185.30083525248</v>
      </c>
      <c r="BI31" s="739">
        <f>+SUM(BE31:BH31)</f>
        <v>861.83962922072055</v>
      </c>
      <c r="BJ31" s="1611"/>
      <c r="BK31" s="760">
        <f>+BK32*BK$14</f>
        <v>174.96964340576</v>
      </c>
      <c r="BL31" s="375">
        <f>+BL32*BL$14</f>
        <v>147.016152682784</v>
      </c>
      <c r="BM31" s="1363">
        <f>+BM32*BM$14</f>
        <v>178.2</v>
      </c>
      <c r="BN31" s="1363">
        <f>+BN32*BN$14</f>
        <v>161.28</v>
      </c>
      <c r="BO31" s="739">
        <f>+SUM(BK31:BN31)</f>
        <v>661.46579608854404</v>
      </c>
      <c r="BP31" s="1611"/>
      <c r="BQ31" s="760">
        <f>+BQ32*BQ$14</f>
        <v>132.80000000000001</v>
      </c>
      <c r="BR31" s="375">
        <f>+BR32*BR$14</f>
        <v>136</v>
      </c>
      <c r="BS31" s="1363">
        <f>+BS32*BS$14</f>
        <v>136</v>
      </c>
      <c r="BT31" s="1363">
        <f>+BT32*BT$14</f>
        <v>136</v>
      </c>
      <c r="BU31" s="739">
        <f>+SUM(BQ31:BT31)</f>
        <v>540.79999999999995</v>
      </c>
      <c r="BV31" s="1611"/>
      <c r="BW31" s="760">
        <f>+BW32*BW$14</f>
        <v>117.60000000000001</v>
      </c>
      <c r="BX31" s="375">
        <f>+BX32*BX$14</f>
        <v>117.60000000000001</v>
      </c>
      <c r="BY31" s="1363">
        <f>+BY32*BY$14</f>
        <v>117.60000000000001</v>
      </c>
      <c r="BZ31" s="1363">
        <f>+BZ32*BZ$14</f>
        <v>117.60000000000001</v>
      </c>
      <c r="CA31" s="739">
        <f>+SUM(BW31:BZ31)</f>
        <v>470.40000000000003</v>
      </c>
      <c r="CB31" s="1611"/>
      <c r="CC31" s="760">
        <f>+CC32*CC$14</f>
        <v>100.80000000000001</v>
      </c>
      <c r="CD31" s="375">
        <f>+CD32*CD$14</f>
        <v>100.80000000000001</v>
      </c>
      <c r="CE31" s="1363">
        <f>+CE32*CE$14</f>
        <v>100.80000000000001</v>
      </c>
      <c r="CF31" s="1363">
        <f>+CF32*CF$14</f>
        <v>100.80000000000001</v>
      </c>
      <c r="CG31" s="739">
        <f>+SUM(CC31:CF31)</f>
        <v>403.20000000000005</v>
      </c>
      <c r="CH31" s="1611"/>
      <c r="CI31" s="760">
        <f>+CI32*CI$14</f>
        <v>84</v>
      </c>
      <c r="CJ31" s="375">
        <f>+CJ32*CJ$14</f>
        <v>84</v>
      </c>
      <c r="CK31" s="1363">
        <f>+CK32*CK$14</f>
        <v>84</v>
      </c>
      <c r="CL31" s="1363">
        <f>+CL32*CL$14</f>
        <v>84</v>
      </c>
      <c r="CM31" s="739">
        <f>+SUM(CI31:CL31)</f>
        <v>336</v>
      </c>
      <c r="CN31" s="1611"/>
      <c r="CO31" s="760">
        <f>+CO32*CO$14</f>
        <v>67.2</v>
      </c>
      <c r="CP31" s="375">
        <f>+CP32*CP$14</f>
        <v>67.2</v>
      </c>
      <c r="CQ31" s="1363">
        <f>+CQ32*CQ$14</f>
        <v>67.2</v>
      </c>
      <c r="CR31" s="1363">
        <f>+CR32*CR$14</f>
        <v>67.2</v>
      </c>
      <c r="CS31" s="739">
        <f>+SUM(CO31:CR31)</f>
        <v>268.8</v>
      </c>
      <c r="CT31" s="740"/>
      <c r="CU31" s="740"/>
      <c r="CV31" s="740"/>
      <c r="CW31" s="740"/>
      <c r="CX31" s="60"/>
      <c r="CY31" s="60"/>
      <c r="CZ31" s="60"/>
      <c r="DA31" s="60"/>
      <c r="DB31" s="60"/>
      <c r="DC31" s="60"/>
      <c r="DD31" s="60"/>
      <c r="DE31" s="60"/>
      <c r="DF31" s="60"/>
      <c r="DG31" s="60"/>
      <c r="DH31" s="60"/>
      <c r="DI31" s="60"/>
      <c r="DJ31" s="60"/>
      <c r="DK31" s="60"/>
      <c r="DL31" s="60"/>
      <c r="DM31" s="68"/>
      <c r="DN31" s="68"/>
      <c r="DO31" s="68"/>
      <c r="DP31" s="68"/>
      <c r="DQ31" s="68"/>
      <c r="DR31" s="68"/>
      <c r="DS31" s="68"/>
      <c r="DT31" s="68"/>
      <c r="DU31" s="68"/>
      <c r="DV31" s="68"/>
      <c r="DW31" s="68"/>
      <c r="DX31" s="68"/>
    </row>
    <row r="32" spans="1:128">
      <c r="A32" s="1985" t="s">
        <v>599</v>
      </c>
      <c r="B32" s="1302"/>
      <c r="C32" s="761"/>
      <c r="D32" s="762"/>
      <c r="E32" s="762"/>
      <c r="F32" s="762"/>
      <c r="G32" s="1986"/>
      <c r="H32" s="86"/>
      <c r="I32" s="761"/>
      <c r="J32" s="762"/>
      <c r="K32" s="762"/>
      <c r="L32" s="762"/>
      <c r="M32" s="1986"/>
      <c r="N32" s="1302"/>
      <c r="O32" s="1988"/>
      <c r="P32" s="196"/>
      <c r="Q32" s="196"/>
      <c r="R32" s="196"/>
      <c r="S32" s="1996"/>
      <c r="T32" s="1992"/>
      <c r="U32" s="1988"/>
      <c r="V32" s="196"/>
      <c r="W32" s="196"/>
      <c r="X32" s="196"/>
      <c r="Y32" s="1996"/>
      <c r="Z32" s="1997"/>
      <c r="AA32" s="1988"/>
      <c r="AB32" s="196"/>
      <c r="AC32" s="196"/>
      <c r="AD32" s="196"/>
      <c r="AE32" s="1996"/>
      <c r="AF32" s="1992"/>
      <c r="AG32" s="1988">
        <f>1-AG96</f>
        <v>0.7</v>
      </c>
      <c r="AH32" s="196">
        <f>1-AH96</f>
        <v>0.7</v>
      </c>
      <c r="AI32" s="196">
        <f>1-AI96</f>
        <v>0.7</v>
      </c>
      <c r="AJ32" s="1989">
        <f>1-AJ96</f>
        <v>0.7</v>
      </c>
      <c r="AK32" s="1990">
        <f>+AK31/AK14</f>
        <v>0.7</v>
      </c>
      <c r="AL32" s="1992"/>
      <c r="AM32" s="1988">
        <f>1-AM96</f>
        <v>0.6</v>
      </c>
      <c r="AN32" s="196">
        <f>1-AN96</f>
        <v>0.6</v>
      </c>
      <c r="AO32" s="196">
        <f>1-AO96</f>
        <v>0.55000000000000004</v>
      </c>
      <c r="AP32" s="1989">
        <f>1-AP96</f>
        <v>0.55000000000000004</v>
      </c>
      <c r="AQ32" s="1990">
        <f>+AQ31/AQ14</f>
        <v>0.57454212454212461</v>
      </c>
      <c r="AR32" s="1992"/>
      <c r="AS32" s="1993">
        <v>0.46</v>
      </c>
      <c r="AT32" s="1994">
        <v>0.5</v>
      </c>
      <c r="AU32" s="1994">
        <v>0.45</v>
      </c>
      <c r="AV32" s="1998">
        <v>0.45</v>
      </c>
      <c r="AW32" s="1990">
        <f>+AW31/AW14</f>
        <v>0.4646593886462882</v>
      </c>
      <c r="AX32" s="1992"/>
      <c r="AY32" s="2077">
        <v>0.41999999999999993</v>
      </c>
      <c r="AZ32" s="2078">
        <v>0.4</v>
      </c>
      <c r="BA32" s="2078">
        <v>0.4</v>
      </c>
      <c r="BB32" s="2088">
        <v>0.4</v>
      </c>
      <c r="BC32" s="1990">
        <f>+BC31/BC14</f>
        <v>0.40459482724476364</v>
      </c>
      <c r="BD32" s="86"/>
      <c r="BE32" s="2066">
        <v>0.32</v>
      </c>
      <c r="BF32" s="2067">
        <v>0.32</v>
      </c>
      <c r="BG32" s="2067">
        <v>0.3</v>
      </c>
      <c r="BH32" s="2068">
        <v>0.27</v>
      </c>
      <c r="BI32" s="1990">
        <f>+BI31/BI14</f>
        <v>0.30276247826391389</v>
      </c>
      <c r="BJ32" s="86"/>
      <c r="BK32" s="2066">
        <v>0.35</v>
      </c>
      <c r="BL32" s="2067">
        <v>0.35</v>
      </c>
      <c r="BM32" s="2067">
        <v>0.36</v>
      </c>
      <c r="BN32" s="2067">
        <f>+BM32</f>
        <v>0.36</v>
      </c>
      <c r="BO32" s="1990">
        <f>+BO31/BO14</f>
        <v>0.35506183865947116</v>
      </c>
      <c r="BP32" s="86"/>
      <c r="BQ32" s="2066">
        <f>+BN32-0.04</f>
        <v>0.32</v>
      </c>
      <c r="BR32" s="2067">
        <f>+BQ32</f>
        <v>0.32</v>
      </c>
      <c r="BS32" s="2067">
        <f>+BR32</f>
        <v>0.32</v>
      </c>
      <c r="BT32" s="2067">
        <f>+BS32</f>
        <v>0.32</v>
      </c>
      <c r="BU32" s="1990">
        <f>+BU31/BU14</f>
        <v>0.31999999999999995</v>
      </c>
      <c r="BV32" s="86"/>
      <c r="BW32" s="2066">
        <f>+BT32-0.04</f>
        <v>0.28000000000000003</v>
      </c>
      <c r="BX32" s="2067">
        <f>+BW32</f>
        <v>0.28000000000000003</v>
      </c>
      <c r="BY32" s="2067">
        <f>+BX32</f>
        <v>0.28000000000000003</v>
      </c>
      <c r="BZ32" s="2067">
        <f>+BY32</f>
        <v>0.28000000000000003</v>
      </c>
      <c r="CA32" s="1990">
        <f>+CA31/CA14</f>
        <v>0.28000000000000003</v>
      </c>
      <c r="CB32" s="86"/>
      <c r="CC32" s="2066">
        <f>+BZ32-0.04</f>
        <v>0.24000000000000002</v>
      </c>
      <c r="CD32" s="2067">
        <f>+CC32</f>
        <v>0.24000000000000002</v>
      </c>
      <c r="CE32" s="2067">
        <f>+CD32</f>
        <v>0.24000000000000002</v>
      </c>
      <c r="CF32" s="2067">
        <f>+CE32</f>
        <v>0.24000000000000002</v>
      </c>
      <c r="CG32" s="1990">
        <f>+CG31/CG14</f>
        <v>0.24000000000000002</v>
      </c>
      <c r="CH32" s="86"/>
      <c r="CI32" s="2066">
        <f>+CF32-0.04</f>
        <v>0.2</v>
      </c>
      <c r="CJ32" s="2067">
        <f>+CI32</f>
        <v>0.2</v>
      </c>
      <c r="CK32" s="2067">
        <f>+CJ32</f>
        <v>0.2</v>
      </c>
      <c r="CL32" s="2067">
        <f>+CK32</f>
        <v>0.2</v>
      </c>
      <c r="CM32" s="1990">
        <f>+CM31/CM14</f>
        <v>0.2</v>
      </c>
      <c r="CN32" s="86"/>
      <c r="CO32" s="2066">
        <f>+CL32-0.04</f>
        <v>0.16</v>
      </c>
      <c r="CP32" s="2067">
        <f>+CO32</f>
        <v>0.16</v>
      </c>
      <c r="CQ32" s="2067">
        <f>+CP32</f>
        <v>0.16</v>
      </c>
      <c r="CR32" s="2067">
        <f>+CQ32</f>
        <v>0.16</v>
      </c>
      <c r="CS32" s="1990">
        <f>+CS31/CS14</f>
        <v>0.16</v>
      </c>
      <c r="CT32" s="2005"/>
      <c r="CU32" s="2005"/>
      <c r="CV32" s="2005"/>
      <c r="CW32" s="2005"/>
      <c r="CX32" s="194"/>
      <c r="CY32" s="194"/>
      <c r="CZ32" s="194"/>
      <c r="DA32" s="194"/>
      <c r="DB32" s="194"/>
      <c r="DC32" s="194"/>
      <c r="DD32" s="194"/>
      <c r="DE32" s="194"/>
      <c r="DF32" s="194"/>
      <c r="DG32" s="194"/>
      <c r="DH32" s="194"/>
      <c r="DI32" s="194"/>
      <c r="DJ32" s="194"/>
      <c r="DK32" s="194"/>
      <c r="DL32" s="194"/>
      <c r="DM32" s="1987"/>
      <c r="DN32" s="1987"/>
      <c r="DO32" s="1987"/>
      <c r="DP32" s="1987"/>
      <c r="DQ32" s="1987"/>
      <c r="DR32" s="1987"/>
      <c r="DS32" s="1987"/>
      <c r="DT32" s="1987"/>
      <c r="DU32" s="1987"/>
      <c r="DV32" s="1987"/>
      <c r="DW32" s="1987"/>
      <c r="DX32" s="1987"/>
    </row>
    <row r="33" spans="1:128">
      <c r="A33" s="1971" t="s">
        <v>565</v>
      </c>
      <c r="B33" s="63"/>
      <c r="C33" s="760"/>
      <c r="D33" s="740"/>
      <c r="E33" s="740"/>
      <c r="F33" s="740"/>
      <c r="G33" s="739"/>
      <c r="H33" s="205"/>
      <c r="I33" s="760"/>
      <c r="J33" s="740"/>
      <c r="K33" s="740"/>
      <c r="L33" s="740"/>
      <c r="M33" s="739"/>
      <c r="N33" s="63"/>
      <c r="O33" s="750"/>
      <c r="P33" s="205"/>
      <c r="Q33" s="205"/>
      <c r="R33" s="205"/>
      <c r="S33" s="191"/>
      <c r="T33" s="1"/>
      <c r="U33" s="750"/>
      <c r="V33" s="205"/>
      <c r="W33" s="205"/>
      <c r="X33" s="205"/>
      <c r="Y33" s="191"/>
      <c r="Z33" s="68"/>
      <c r="AA33" s="750"/>
      <c r="AB33" s="205"/>
      <c r="AC33" s="205"/>
      <c r="AD33" s="205"/>
      <c r="AE33" s="191">
        <f>+AE15*(1-AE96)</f>
        <v>2258.4</v>
      </c>
      <c r="AF33" s="63"/>
      <c r="AG33" s="750">
        <f>+AE33+AG31</f>
        <v>2517.4</v>
      </c>
      <c r="AH33" s="63">
        <f>+AG33+AH31</f>
        <v>2763.8</v>
      </c>
      <c r="AI33" s="63">
        <f>+AH33+AI31</f>
        <v>3051.5</v>
      </c>
      <c r="AJ33" s="1">
        <f>+AI33+AJ31</f>
        <v>3337.8</v>
      </c>
      <c r="AK33" s="191">
        <f>+AJ33</f>
        <v>3337.8</v>
      </c>
      <c r="AL33" s="63"/>
      <c r="AM33" s="750">
        <f>+AK33+AM31</f>
        <v>3584.4</v>
      </c>
      <c r="AN33" s="63">
        <f>+AM33+AN31</f>
        <v>3820.2000000000003</v>
      </c>
      <c r="AO33" s="63">
        <f>+AN33+AO31</f>
        <v>4051.2000000000003</v>
      </c>
      <c r="AP33" s="1">
        <f>+AO33+AP31</f>
        <v>4278.9000000000005</v>
      </c>
      <c r="AQ33" s="191">
        <f>+AP33</f>
        <v>4278.9000000000005</v>
      </c>
      <c r="AR33" s="63"/>
      <c r="AS33" s="750">
        <f>+AQ33+AS31</f>
        <v>4525.920000000001</v>
      </c>
      <c r="AT33" s="63">
        <f>+AS33+AT31</f>
        <v>4807.920000000001</v>
      </c>
      <c r="AU33" s="63">
        <f>+AT33+AU31</f>
        <v>5064.420000000001</v>
      </c>
      <c r="AV33" s="1">
        <f>+AU33+AV31</f>
        <v>5342.9700000000012</v>
      </c>
      <c r="AW33" s="191">
        <f>+AV33</f>
        <v>5342.9700000000012</v>
      </c>
      <c r="AX33" s="1"/>
      <c r="AY33" s="750">
        <f>+AW33+AY31</f>
        <v>5584.9702200000011</v>
      </c>
      <c r="AZ33" s="63">
        <f>+AY33+AZ31</f>
        <v>5826.5325748872192</v>
      </c>
      <c r="BA33" s="1">
        <f>+AZ33+BA31</f>
        <v>6050.8354741353396</v>
      </c>
      <c r="BB33" s="1">
        <f>+BA33+BB31</f>
        <v>6357.6932341353395</v>
      </c>
      <c r="BC33" s="191">
        <f>+BB33</f>
        <v>6357.6932341353395</v>
      </c>
      <c r="BD33" s="9"/>
      <c r="BE33" s="750">
        <f>+BC33+BE31</f>
        <v>6584.4561973834598</v>
      </c>
      <c r="BF33" s="63">
        <f>+BE33+BF31</f>
        <v>6812.9350812715802</v>
      </c>
      <c r="BG33" s="1">
        <f>+BF33+BG31</f>
        <v>7034.23202810358</v>
      </c>
      <c r="BH33" s="1">
        <f>+BG33+BH31</f>
        <v>7219.5328633560603</v>
      </c>
      <c r="BI33" s="191">
        <f>+BH33</f>
        <v>7219.5328633560603</v>
      </c>
      <c r="BJ33" s="9"/>
      <c r="BK33" s="750">
        <f>+BI33+BK31</f>
        <v>7394.5025067618199</v>
      </c>
      <c r="BL33" s="63">
        <f>+BK33+BL31</f>
        <v>7541.5186594446041</v>
      </c>
      <c r="BM33" s="1">
        <f>+BL33+BM31</f>
        <v>7719.7186594446039</v>
      </c>
      <c r="BN33" s="1">
        <f>+BM33+BN31</f>
        <v>7880.9986594446036</v>
      </c>
      <c r="BO33" s="191">
        <f>+BN33</f>
        <v>7880.9986594446036</v>
      </c>
      <c r="BP33" s="9"/>
      <c r="BQ33" s="750">
        <f>+BO33+BQ31</f>
        <v>8013.7986594446038</v>
      </c>
      <c r="BR33" s="63">
        <f>+BQ33+BR31</f>
        <v>8149.7986594446038</v>
      </c>
      <c r="BS33" s="1">
        <f>+BR33+BS31</f>
        <v>8285.7986594446047</v>
      </c>
      <c r="BT33" s="1">
        <f>+BS33+BT31</f>
        <v>8421.7986594446047</v>
      </c>
      <c r="BU33" s="191">
        <f>+BT33</f>
        <v>8421.7986594446047</v>
      </c>
      <c r="BV33" s="9"/>
      <c r="BW33" s="750">
        <f>+BU33+BW31</f>
        <v>8539.3986594446051</v>
      </c>
      <c r="BX33" s="63">
        <f>+BW33+BX31</f>
        <v>8656.9986594446054</v>
      </c>
      <c r="BY33" s="1">
        <f>+BX33+BY31</f>
        <v>8774.5986594446058</v>
      </c>
      <c r="BZ33" s="1">
        <f>+BY33+BZ31</f>
        <v>8892.1986594446062</v>
      </c>
      <c r="CA33" s="191">
        <f>+BZ33</f>
        <v>8892.1986594446062</v>
      </c>
      <c r="CB33" s="9"/>
      <c r="CC33" s="750">
        <f>+CA33+CC31</f>
        <v>8992.9986594446054</v>
      </c>
      <c r="CD33" s="63">
        <f>+CC33+CD31</f>
        <v>9093.7986594446047</v>
      </c>
      <c r="CE33" s="1">
        <f>+CD33+CE31</f>
        <v>9194.598659444604</v>
      </c>
      <c r="CF33" s="1">
        <f>+CE33+CF31</f>
        <v>9295.3986594446033</v>
      </c>
      <c r="CG33" s="191">
        <f>+CF33</f>
        <v>9295.3986594446033</v>
      </c>
      <c r="CH33" s="9"/>
      <c r="CI33" s="750">
        <f>+CG33+CI31</f>
        <v>9379.3986594446033</v>
      </c>
      <c r="CJ33" s="63">
        <f>+CI33+CJ31</f>
        <v>9463.3986594446033</v>
      </c>
      <c r="CK33" s="1">
        <f>+CJ33+CK31</f>
        <v>9547.3986594446033</v>
      </c>
      <c r="CL33" s="1">
        <f>+CK33+CL31</f>
        <v>9631.3986594446033</v>
      </c>
      <c r="CM33" s="191">
        <f>+CL33</f>
        <v>9631.3986594446033</v>
      </c>
      <c r="CN33" s="9"/>
      <c r="CO33" s="750">
        <f>+CM33+CO31</f>
        <v>9698.598659444604</v>
      </c>
      <c r="CP33" s="63">
        <f>+CO33+CP31</f>
        <v>9765.7986594446047</v>
      </c>
      <c r="CQ33" s="1">
        <f>+CP33+CQ31</f>
        <v>9832.9986594446054</v>
      </c>
      <c r="CR33" s="1">
        <f>+CQ33+CR31</f>
        <v>9900.1986594446062</v>
      </c>
      <c r="CS33" s="191">
        <f>+CR33</f>
        <v>9900.1986594446062</v>
      </c>
      <c r="CT33" s="205"/>
      <c r="CU33" s="205"/>
      <c r="CV33" s="205"/>
      <c r="CW33" s="205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8"/>
      <c r="DN33" s="68"/>
      <c r="DO33" s="68"/>
      <c r="DP33" s="68"/>
      <c r="DQ33" s="68"/>
      <c r="DR33" s="68"/>
      <c r="DS33" s="68"/>
      <c r="DT33" s="68"/>
      <c r="DU33" s="68"/>
      <c r="DV33" s="68"/>
      <c r="DW33" s="68"/>
      <c r="DX33" s="68"/>
    </row>
    <row r="34" spans="1:128">
      <c r="A34" s="1972" t="s">
        <v>597</v>
      </c>
      <c r="B34" s="63"/>
      <c r="C34" s="760"/>
      <c r="D34" s="740"/>
      <c r="E34" s="740"/>
      <c r="F34" s="740"/>
      <c r="G34" s="739"/>
      <c r="H34" s="205"/>
      <c r="I34" s="760"/>
      <c r="J34" s="740"/>
      <c r="K34" s="740"/>
      <c r="L34" s="740"/>
      <c r="M34" s="739"/>
      <c r="N34" s="63"/>
      <c r="O34" s="1959"/>
      <c r="P34" s="1960"/>
      <c r="Q34" s="1960"/>
      <c r="R34" s="1960"/>
      <c r="S34" s="1962"/>
      <c r="T34" s="63"/>
      <c r="U34" s="1959"/>
      <c r="V34" s="1960"/>
      <c r="W34" s="1960"/>
      <c r="X34" s="1960"/>
      <c r="Y34" s="1962"/>
      <c r="Z34" s="63"/>
      <c r="AA34" s="1959"/>
      <c r="AB34" s="1960"/>
      <c r="AC34" s="1960"/>
      <c r="AD34" s="1960"/>
      <c r="AE34" s="191"/>
      <c r="AF34" s="63"/>
      <c r="AG34" s="750">
        <f>+(AVERAGE(AG33,AE33)*AG20)/1000</f>
        <v>137.62010516011586</v>
      </c>
      <c r="AH34" s="63">
        <f>+(AVERAGE(AH33,AG33)*AH20)/1000</f>
        <v>147.53345630796369</v>
      </c>
      <c r="AI34" s="63">
        <f>+(AVERAGE(AI33,AH33)*AI20)/1000</f>
        <v>140.3443143979934</v>
      </c>
      <c r="AJ34" s="1">
        <f>+(AVERAGE(AJ33,AI33)*AJ20)/1000</f>
        <v>151.71038996912478</v>
      </c>
      <c r="AK34" s="191">
        <f>+SUM(AG34:AJ34)</f>
        <v>577.20826583519772</v>
      </c>
      <c r="AL34" s="63"/>
      <c r="AM34" s="750">
        <f>+(AVERAGE(AM33,AK33)*AM20)/1000</f>
        <v>162.0979323259061</v>
      </c>
      <c r="AN34" s="63">
        <f>+(AVERAGE(AN33,AM33)*AN20)/1000</f>
        <v>167.31734113779373</v>
      </c>
      <c r="AO34" s="63">
        <f>+(AVERAGE(AO33,AN33)*AO20)/1000</f>
        <v>157.85175720569603</v>
      </c>
      <c r="AP34" s="1">
        <f>+(AVERAGE(AP33,AO33)*AP20)/1000</f>
        <v>182.40141681575716</v>
      </c>
      <c r="AQ34" s="191">
        <f>+SUM(AM34:AP34)</f>
        <v>669.66844748515291</v>
      </c>
      <c r="AR34" s="63"/>
      <c r="AS34" s="750">
        <f>+(AVERAGE(AS33,AQ33)*AS20)/1000</f>
        <v>176.47507414097987</v>
      </c>
      <c r="AT34" s="63">
        <f>+(AVERAGE(AT33,AS33)*AT20)/1000</f>
        <v>175.32966621226336</v>
      </c>
      <c r="AU34" s="63">
        <f>+(AVERAGE(AU33,AT33)*AU20)/1000</f>
        <v>183.17336714378351</v>
      </c>
      <c r="AV34" s="1">
        <f>+(AVERAGE(AV33,AU33)*AV20)/1000</f>
        <v>202.89548184819876</v>
      </c>
      <c r="AW34" s="191">
        <f>+SUM(AS34:AV34)</f>
        <v>737.87358934522547</v>
      </c>
      <c r="AX34" s="1"/>
      <c r="AY34" s="750">
        <f>+(AVERAGE(AY33,AW33)*AY20)/1000</f>
        <v>215.39493284514202</v>
      </c>
      <c r="AZ34" s="63">
        <f>+(AVERAGE(AZ33,AY33)*AZ20)/1000</f>
        <v>206.69190863464996</v>
      </c>
      <c r="BA34" s="63">
        <f>+(AVERAGE(BA33,AZ33)*BA20)/1000</f>
        <v>212.26731150666549</v>
      </c>
      <c r="BB34" s="1">
        <f>+(AVERAGE(BB33,BA33)*BB20)/1000</f>
        <v>220.281975873411</v>
      </c>
      <c r="BC34" s="191">
        <f>+SUM(AY34:BB34)</f>
        <v>854.63612885986845</v>
      </c>
      <c r="BD34" s="9"/>
      <c r="BE34" s="750">
        <f>+(AVERAGE(BE33,BC33)*BE20)/1000</f>
        <v>218.69315011707104</v>
      </c>
      <c r="BF34" s="63">
        <f>+(AVERAGE(BF33,BE33)*BF20)/1000</f>
        <v>217.88784185733201</v>
      </c>
      <c r="BG34" s="63">
        <f>+(AVERAGE(BG33,BF33)*BG20)/1000</f>
        <v>221.08238718938523</v>
      </c>
      <c r="BH34" s="1">
        <f>+(AVERAGE(BH33,BG33)*BH20)/1000</f>
        <v>222.63809388421694</v>
      </c>
      <c r="BI34" s="191">
        <f>+SUM(BE34:BH34)</f>
        <v>880.30147304800516</v>
      </c>
      <c r="BJ34" s="9"/>
      <c r="BK34" s="750">
        <f>+(AVERAGE(BK33,BI33)*BK20)/1000</f>
        <v>207.29581376474778</v>
      </c>
      <c r="BL34" s="63">
        <f>+(AVERAGE(BL33,BK33)*BL20)/1000</f>
        <v>212.76016418790681</v>
      </c>
      <c r="BM34" s="63">
        <f>+(AVERAGE(BM33,BL33)*BM20)/1000</f>
        <v>233.6839210290841</v>
      </c>
      <c r="BN34" s="1">
        <f>+(AVERAGE(BN33,BM33)*BN20)/1000</f>
        <v>261.13063791025183</v>
      </c>
      <c r="BO34" s="191">
        <f>+SUM(BK34:BN34)</f>
        <v>914.87053689199047</v>
      </c>
      <c r="BP34" s="9"/>
      <c r="BQ34" s="750">
        <f>+(AVERAGE(BQ33,BO33)*BQ20)/1000</f>
        <v>250.91482966350665</v>
      </c>
      <c r="BR34" s="63">
        <f>+(AVERAGE(BR33,BQ33)*BR20)/1000</f>
        <v>250.07126089633766</v>
      </c>
      <c r="BS34" s="63">
        <f>+(AVERAGE(BS33,BR33)*BS20)/1000</f>
        <v>255.586665682356</v>
      </c>
      <c r="BT34" s="1">
        <f>+(AVERAGE(BT33,BS33)*BT20)/1000</f>
        <v>264.42324317091493</v>
      </c>
      <c r="BU34" s="191">
        <f>+SUM(BQ34:BT34)</f>
        <v>1020.9959994131152</v>
      </c>
      <c r="BV34" s="9"/>
      <c r="BW34" s="750">
        <f>+(AVERAGE(BW33,BU33)*BW20)/1000</f>
        <v>272.09754050729322</v>
      </c>
      <c r="BX34" s="63">
        <f>+(AVERAGE(BX33,BW33)*BX20)/1000</f>
        <v>269.01925725118042</v>
      </c>
      <c r="BY34" s="63">
        <f>+(AVERAGE(BY33,BX33)*BY20)/1000</f>
        <v>272.11735467725117</v>
      </c>
      <c r="BZ34" s="1">
        <f>+(AVERAGE(BZ33,BY33)*BZ20)/1000</f>
        <v>280.05318753371063</v>
      </c>
      <c r="CA34" s="191">
        <f>+SUM(BW34:BZ34)</f>
        <v>1093.2873399694354</v>
      </c>
      <c r="CB34" s="9"/>
      <c r="CC34" s="750">
        <f>+(AVERAGE(CC33,CA33)*CC20)/1000</f>
        <v>283.95182848832496</v>
      </c>
      <c r="CD34" s="63">
        <f>+(AVERAGE(CD33,CC33)*CD20)/1000</f>
        <v>281.07028654094074</v>
      </c>
      <c r="CE34" s="63">
        <f>+(AVERAGE(CE33,CD33)*CE20)/1000</f>
        <v>284.37976698913246</v>
      </c>
      <c r="CF34" s="1">
        <f>+(AVERAGE(CF33,CE33)*CF20)/1000</f>
        <v>292.52354426968236</v>
      </c>
      <c r="CG34" s="191">
        <f>+SUM(CC34:CF34)</f>
        <v>1141.9254262880804</v>
      </c>
      <c r="CH34" s="9"/>
      <c r="CI34" s="750">
        <f>+(AVERAGE(CI33,CG33)*CI20)/1000</f>
        <v>296.42737849388124</v>
      </c>
      <c r="CJ34" s="63">
        <f>+(AVERAGE(CJ33,CI33)*CJ20)/1000</f>
        <v>293.328468912022</v>
      </c>
      <c r="CK34" s="63">
        <f>+(AVERAGE(CK33,CJ33)*CK20)/1000</f>
        <v>296.53723504564363</v>
      </c>
      <c r="CL34" s="1">
        <f>+(AVERAGE(CL33,CK33)*CL20)/1000</f>
        <v>305.57796468208369</v>
      </c>
      <c r="CM34" s="191">
        <f>+SUM(CI34:CL34)</f>
        <v>1191.8710471336308</v>
      </c>
      <c r="CN34" s="9"/>
      <c r="CO34" s="750">
        <f>+(AVERAGE(CO33,CM33)*CO20)/1000</f>
        <v>311.4535747201902</v>
      </c>
      <c r="CP34" s="63">
        <f>+(AVERAGE(CP33,CO33)*CP20)/1000</f>
        <v>310.44895066473845</v>
      </c>
      <c r="CQ34" s="63">
        <f>+(AVERAGE(CQ33,CP33)*CQ20)/1000</f>
        <v>315.28040756801693</v>
      </c>
      <c r="CR34" s="1">
        <f>+(AVERAGE(CR33,CQ33)*CR20)/1000</f>
        <v>324.88689199017318</v>
      </c>
      <c r="CS34" s="191">
        <f>+SUM(CO34:CR34)</f>
        <v>1262.0698249431186</v>
      </c>
      <c r="CT34" s="205"/>
      <c r="CU34" s="205"/>
      <c r="CV34" s="205"/>
      <c r="CW34" s="205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8"/>
      <c r="DN34" s="68"/>
      <c r="DO34" s="68"/>
      <c r="DP34" s="68"/>
      <c r="DQ34" s="68"/>
      <c r="DR34" s="68"/>
      <c r="DS34" s="68"/>
      <c r="DT34" s="68"/>
      <c r="DU34" s="68"/>
      <c r="DV34" s="68"/>
      <c r="DW34" s="68"/>
      <c r="DX34" s="68"/>
    </row>
    <row r="35" spans="1:128">
      <c r="A35" s="2102" t="s">
        <v>598</v>
      </c>
      <c r="B35" s="800"/>
      <c r="C35" s="2103"/>
      <c r="D35" s="2104"/>
      <c r="E35" s="2104"/>
      <c r="F35" s="2104"/>
      <c r="G35" s="2105"/>
      <c r="H35" s="800"/>
      <c r="I35" s="2103"/>
      <c r="J35" s="2104"/>
      <c r="K35" s="2104"/>
      <c r="L35" s="2104"/>
      <c r="M35" s="2105"/>
      <c r="N35" s="800"/>
      <c r="O35" s="2103"/>
      <c r="P35" s="2104"/>
      <c r="Q35" s="2104"/>
      <c r="R35" s="2104"/>
      <c r="S35" s="2105"/>
      <c r="T35" s="800"/>
      <c r="U35" s="2103"/>
      <c r="V35" s="2104"/>
      <c r="W35" s="2104"/>
      <c r="X35" s="2104"/>
      <c r="Y35" s="2105"/>
      <c r="Z35" s="800"/>
      <c r="AA35" s="2103"/>
      <c r="AB35" s="2104"/>
      <c r="AC35" s="2104"/>
      <c r="AD35" s="2104"/>
      <c r="AE35" s="2105"/>
      <c r="AF35" s="800"/>
      <c r="AG35" s="2106">
        <f>+AG34/AG$19</f>
        <v>0.79384973404255321</v>
      </c>
      <c r="AH35" s="2107">
        <f>+AH34/AH$19</f>
        <v>0.7837934105075689</v>
      </c>
      <c r="AI35" s="2107">
        <f>+AI34/AI$19</f>
        <v>0.77526996400479931</v>
      </c>
      <c r="AJ35" s="2108">
        <f>+AJ34/AJ$19</f>
        <v>0.7678524215839444</v>
      </c>
      <c r="AK35" s="2109">
        <f>+AK34/AK$19</f>
        <v>0.78008296179889614</v>
      </c>
      <c r="AL35" s="2110"/>
      <c r="AM35" s="2106">
        <f>+AM34/AM$19</f>
        <v>0.75726944535608809</v>
      </c>
      <c r="AN35" s="2107">
        <f>+AN34/AN$19</f>
        <v>0.74455505279034695</v>
      </c>
      <c r="AO35" s="2107">
        <f>+AO34/AO$19</f>
        <v>0.73167875069715571</v>
      </c>
      <c r="AP35" s="2108">
        <f>+AP34/AP$19</f>
        <v>0.71860766045548652</v>
      </c>
      <c r="AQ35" s="2109">
        <f>+AQ34/AQ$19</f>
        <v>0.7374632062522134</v>
      </c>
      <c r="AR35" s="2110"/>
      <c r="AS35" s="2106">
        <f>+AS34/AS$19</f>
        <v>0.70197082037790026</v>
      </c>
      <c r="AT35" s="2107">
        <f>+AT34/AT$19</f>
        <v>0.68409850483729129</v>
      </c>
      <c r="AU35" s="2107">
        <f>+AU34/AU$19</f>
        <v>0.66804303694681288</v>
      </c>
      <c r="AV35" s="2108">
        <f>+AV34/AV$19</f>
        <v>0.6518062253397634</v>
      </c>
      <c r="AW35" s="2109">
        <f>+AW34/AW$19</f>
        <v>0.67502359894725905</v>
      </c>
      <c r="AX35" s="2110"/>
      <c r="AY35" s="2106">
        <f>+AY34/AY$19</f>
        <v>0.63674505312287943</v>
      </c>
      <c r="AZ35" s="2107">
        <f>+AZ34/AZ$19</f>
        <v>0.62214173417479757</v>
      </c>
      <c r="BA35" s="2107">
        <f>+BA34/BA$19</f>
        <v>0.60887875482377796</v>
      </c>
      <c r="BB35" s="2108">
        <f>+BB34/BB$19</f>
        <v>0.59556594444916056</v>
      </c>
      <c r="BC35" s="2109">
        <f>+BC34/BC$19</f>
        <v>0.61530266543268242</v>
      </c>
      <c r="BD35" s="146"/>
      <c r="BE35" s="2106">
        <f>+BE34/BE$19</f>
        <v>0.58008889303084665</v>
      </c>
      <c r="BF35" s="2107">
        <f>+BF34/BF$19</f>
        <v>0.56449851775282878</v>
      </c>
      <c r="BG35" s="2107">
        <f>+BG34/BG$19</f>
        <v>0.54981988431563167</v>
      </c>
      <c r="BH35" s="2108">
        <f>+BH34/BH$19</f>
        <v>0.53567717698507433</v>
      </c>
      <c r="BI35" s="2109">
        <f>+BI34/BI$19</f>
        <v>0.55692203120742034</v>
      </c>
      <c r="BJ35" s="146"/>
      <c r="BK35" s="2106">
        <f>+BK34/BK$19</f>
        <v>0.52577770799470991</v>
      </c>
      <c r="BL35" s="2107">
        <f>+BL34/BL$19</f>
        <v>0.52014622217346507</v>
      </c>
      <c r="BM35" s="2107">
        <f>+BM34/BM$19</f>
        <v>0.51505877054399141</v>
      </c>
      <c r="BN35" s="2108">
        <f>+BN34/BN$19</f>
        <v>0.5102761193822023</v>
      </c>
      <c r="BO35" s="2109">
        <f>+BO34/BO$19</f>
        <v>0.51717236774814956</v>
      </c>
      <c r="BP35" s="146"/>
      <c r="BQ35" s="2106">
        <f>+BQ34/BQ$19</f>
        <v>0.50562260507079637</v>
      </c>
      <c r="BR35" s="2107">
        <f>+BR34/BR$19</f>
        <v>0.50079169178227034</v>
      </c>
      <c r="BS35" s="2107">
        <f>+BS34/BS$19</f>
        <v>0.49615266128738655</v>
      </c>
      <c r="BT35" s="2108">
        <f>+BT34/BT$19</f>
        <v>0.49174574555394218</v>
      </c>
      <c r="BU35" s="2109">
        <f>+BU34/BU$19</f>
        <v>0.4984610139757974</v>
      </c>
      <c r="BV35" s="146"/>
      <c r="BW35" s="2106">
        <f>+BW34/BW$19</f>
        <v>0.48709554193673027</v>
      </c>
      <c r="BX35" s="2107">
        <f>+BX34/BX$19</f>
        <v>0.48221738877070447</v>
      </c>
      <c r="BY35" s="2107">
        <f>+BY34/BY$19</f>
        <v>0.47756375759831238</v>
      </c>
      <c r="BZ35" s="2108">
        <f>+BZ34/BZ$19</f>
        <v>0.47311949633277955</v>
      </c>
      <c r="CA35" s="2109">
        <f>+CA34/CA$19</f>
        <v>0.47988576357853457</v>
      </c>
      <c r="CB35" s="146"/>
      <c r="CC35" s="2106">
        <f>+CC34/CC$19</f>
        <v>0.46843077789571563</v>
      </c>
      <c r="CD35" s="2107">
        <f>+CD34/CD$19</f>
        <v>0.46351338944439252</v>
      </c>
      <c r="CE35" s="2107">
        <f>+CE34/CE$19</f>
        <v>0.45880325103972525</v>
      </c>
      <c r="CF35" s="2108">
        <f>+CF34/CF$19</f>
        <v>0.45428753083549661</v>
      </c>
      <c r="CG35" s="2109">
        <f>+CG34/CG$19</f>
        <v>0.46113914915160531</v>
      </c>
      <c r="CH35" s="146"/>
      <c r="CI35" s="2106">
        <f>+CI34/CI$19</f>
        <v>0.4495500160121953</v>
      </c>
      <c r="CJ35" s="2107">
        <f>+CJ34/CJ$19</f>
        <v>0.44460389458481775</v>
      </c>
      <c r="CK35" s="2107">
        <f>+CK34/CK$19</f>
        <v>0.43985002846960725</v>
      </c>
      <c r="CL35" s="2108">
        <f>+CL34/CL$19</f>
        <v>0.43527742194686248</v>
      </c>
      <c r="CM35" s="2109">
        <f>+CM34/CM$19</f>
        <v>0.44219566660980253</v>
      </c>
      <c r="CN35" s="146"/>
      <c r="CO35" s="2106">
        <f>+CO34/CO$19</f>
        <v>0.43050174638498107</v>
      </c>
      <c r="CP35" s="2107">
        <f>+CP34/CP$19</f>
        <v>0.42553418940514698</v>
      </c>
      <c r="CQ35" s="2107">
        <f>+CQ34/CQ$19</f>
        <v>0.42074579302176762</v>
      </c>
      <c r="CR35" s="2108">
        <f>+CR34/CR$19</f>
        <v>0.41612703647708293</v>
      </c>
      <c r="CS35" s="2109">
        <f>+CS34/CS$19</f>
        <v>0.42307405950465138</v>
      </c>
      <c r="CT35" s="2005"/>
      <c r="CU35" s="2005"/>
      <c r="CV35" s="2005"/>
      <c r="CW35" s="2005"/>
      <c r="CX35" s="60"/>
      <c r="CY35" s="60"/>
      <c r="CZ35" s="60"/>
      <c r="DA35" s="60"/>
      <c r="DB35" s="60"/>
      <c r="DC35" s="60"/>
      <c r="DD35" s="60"/>
      <c r="DE35" s="60"/>
      <c r="DF35" s="60"/>
      <c r="DG35" s="60"/>
      <c r="DH35" s="60"/>
      <c r="DI35" s="60"/>
      <c r="DJ35" s="60"/>
      <c r="DK35" s="60"/>
      <c r="DL35" s="60"/>
      <c r="DM35" s="68"/>
      <c r="DN35" s="68"/>
      <c r="DO35" s="68"/>
      <c r="DP35" s="68"/>
      <c r="DQ35" s="68"/>
      <c r="DR35" s="68"/>
      <c r="DS35" s="68"/>
      <c r="DT35" s="68"/>
      <c r="DU35" s="68"/>
      <c r="DV35" s="68"/>
      <c r="DW35" s="68"/>
      <c r="DX35" s="68"/>
    </row>
    <row r="36" spans="1:128">
      <c r="BE36" s="1356"/>
      <c r="BF36" s="1356"/>
      <c r="BG36" s="1356"/>
      <c r="BH36" s="1356"/>
      <c r="BI36" s="1356"/>
      <c r="BK36" s="1356"/>
      <c r="BL36" s="1356"/>
      <c r="BM36" s="1356"/>
      <c r="BN36" s="1356"/>
      <c r="BO36" s="1356"/>
      <c r="BQ36" s="1356"/>
      <c r="BR36" s="1356"/>
      <c r="BS36" s="1356"/>
      <c r="BT36" s="1356"/>
      <c r="BU36" s="1356"/>
      <c r="BW36" s="1356"/>
      <c r="BX36" s="1356"/>
      <c r="BY36" s="1356"/>
      <c r="BZ36" s="1356"/>
      <c r="CA36" s="1356"/>
      <c r="CC36" s="1356"/>
      <c r="CD36" s="1356"/>
      <c r="CE36" s="1356"/>
      <c r="CF36" s="1356"/>
      <c r="CG36" s="1356"/>
      <c r="CI36" s="1356"/>
      <c r="CJ36" s="1356"/>
      <c r="CK36" s="1356"/>
      <c r="CL36" s="1356"/>
      <c r="CM36" s="1356"/>
      <c r="CO36" s="1356"/>
      <c r="CP36" s="1356"/>
      <c r="CQ36" s="1356"/>
      <c r="CR36" s="1356"/>
      <c r="CS36" s="1356"/>
      <c r="CT36" s="1356"/>
      <c r="CU36" s="1356"/>
      <c r="CV36" s="1356"/>
      <c r="CW36" s="1356"/>
    </row>
    <row r="37" spans="1:128">
      <c r="A37" s="1958" t="s">
        <v>871</v>
      </c>
      <c r="B37" s="972"/>
      <c r="C37" s="973"/>
      <c r="D37" s="972"/>
      <c r="E37" s="972"/>
      <c r="F37" s="972"/>
      <c r="G37" s="974"/>
      <c r="H37" s="972"/>
      <c r="I37" s="973"/>
      <c r="J37" s="972"/>
      <c r="K37" s="972"/>
      <c r="L37" s="972"/>
      <c r="M37" s="974"/>
      <c r="N37" s="972"/>
      <c r="O37" s="973"/>
      <c r="P37" s="972"/>
      <c r="Q37" s="972"/>
      <c r="R37" s="972"/>
      <c r="S37" s="974"/>
      <c r="T37" s="972"/>
      <c r="U37" s="973"/>
      <c r="V37" s="972"/>
      <c r="W37" s="972"/>
      <c r="X37" s="972"/>
      <c r="Y37" s="974"/>
      <c r="Z37" s="972"/>
      <c r="AA37" s="973"/>
      <c r="AB37" s="972"/>
      <c r="AC37" s="972"/>
      <c r="AD37" s="972"/>
      <c r="AE37" s="974"/>
      <c r="AF37" s="972"/>
      <c r="AG37" s="973"/>
      <c r="AH37" s="972"/>
      <c r="AI37" s="972"/>
      <c r="AJ37" s="975"/>
      <c r="AK37" s="1026"/>
      <c r="AL37" s="972"/>
      <c r="AM37" s="973"/>
      <c r="AN37" s="1352"/>
      <c r="AO37" s="1352"/>
      <c r="AP37" s="1349"/>
      <c r="AQ37" s="974"/>
      <c r="AR37" s="972"/>
      <c r="AS37" s="1539"/>
      <c r="AT37" s="1540"/>
      <c r="AU37" s="1540"/>
      <c r="AV37" s="1415"/>
      <c r="AW37" s="1417"/>
      <c r="AX37" s="1415"/>
      <c r="AY37" s="1416"/>
      <c r="AZ37" s="1415"/>
      <c r="BA37" s="1415"/>
      <c r="BB37" s="1415"/>
      <c r="BC37" s="1417"/>
      <c r="BD37" s="1415"/>
      <c r="BE37" s="1416"/>
      <c r="BF37" s="1415"/>
      <c r="BG37" s="1415"/>
      <c r="BH37" s="1415"/>
      <c r="BI37" s="1417"/>
      <c r="BJ37" s="1415"/>
      <c r="BK37" s="1416"/>
      <c r="BL37" s="1415"/>
      <c r="BM37" s="1415"/>
      <c r="BN37" s="1415"/>
      <c r="BO37" s="1417"/>
      <c r="BP37" s="1415"/>
      <c r="BQ37" s="1416"/>
      <c r="BR37" s="1415"/>
      <c r="BS37" s="1415"/>
      <c r="BT37" s="1415"/>
      <c r="BU37" s="1417"/>
      <c r="BV37" s="1415"/>
      <c r="BW37" s="1416"/>
      <c r="BX37" s="1415"/>
      <c r="BY37" s="1415"/>
      <c r="BZ37" s="1415"/>
      <c r="CA37" s="1417"/>
      <c r="CB37" s="1415"/>
      <c r="CC37" s="1416"/>
      <c r="CD37" s="1415"/>
      <c r="CE37" s="1415"/>
      <c r="CF37" s="1415"/>
      <c r="CG37" s="1417"/>
      <c r="CH37" s="1415"/>
      <c r="CI37" s="1416"/>
      <c r="CJ37" s="1415"/>
      <c r="CK37" s="1415"/>
      <c r="CL37" s="1415"/>
      <c r="CM37" s="1417"/>
      <c r="CN37" s="1415"/>
      <c r="CO37" s="1416"/>
      <c r="CP37" s="1415"/>
      <c r="CQ37" s="1415"/>
      <c r="CR37" s="1415"/>
      <c r="CS37" s="1417"/>
      <c r="CT37" s="2387"/>
      <c r="CU37" s="2387"/>
      <c r="CV37" s="2387"/>
      <c r="CW37" s="2387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60"/>
      <c r="DI37" s="60"/>
      <c r="DJ37" s="60"/>
      <c r="DK37" s="60"/>
      <c r="DL37" s="60"/>
      <c r="DM37" s="68"/>
      <c r="DN37" s="68"/>
      <c r="DO37" s="68"/>
      <c r="DP37" s="68"/>
      <c r="DQ37" s="68"/>
      <c r="DR37" s="68"/>
      <c r="DS37" s="68"/>
      <c r="DT37" s="68"/>
      <c r="DU37" s="68"/>
      <c r="DV37" s="68"/>
      <c r="DW37" s="68"/>
      <c r="DX37" s="68"/>
    </row>
    <row r="38" spans="1:128">
      <c r="A38" s="1984" t="s">
        <v>632</v>
      </c>
      <c r="B38" s="1973"/>
      <c r="C38" s="1974"/>
      <c r="D38" s="1973"/>
      <c r="E38" s="1973"/>
      <c r="F38" s="1973"/>
      <c r="G38" s="1975"/>
      <c r="H38" s="1973"/>
      <c r="I38" s="1974"/>
      <c r="J38" s="1973"/>
      <c r="K38" s="1973"/>
      <c r="L38" s="1973"/>
      <c r="M38" s="1975"/>
      <c r="N38" s="1973"/>
      <c r="O38" s="1974"/>
      <c r="P38" s="1973"/>
      <c r="Q38" s="1973"/>
      <c r="R38" s="1973"/>
      <c r="S38" s="1975"/>
      <c r="T38" s="1973"/>
      <c r="U38" s="1974"/>
      <c r="V38" s="1973"/>
      <c r="W38" s="1973"/>
      <c r="X38" s="1973"/>
      <c r="Y38" s="1975"/>
      <c r="Z38" s="1973"/>
      <c r="AA38" s="1974"/>
      <c r="AB38" s="1973"/>
      <c r="AC38" s="1973"/>
      <c r="AD38" s="1973"/>
      <c r="AE38" s="1975"/>
      <c r="AF38" s="1973"/>
      <c r="AG38" s="1974"/>
      <c r="AH38" s="1973"/>
      <c r="AI38" s="1973"/>
      <c r="AJ38" s="1973"/>
      <c r="AK38" s="1976"/>
      <c r="AL38" s="1973"/>
      <c r="AM38" s="1974"/>
      <c r="AN38" s="1977"/>
      <c r="AO38" s="1977"/>
      <c r="AP38" s="1978"/>
      <c r="AQ38" s="1975"/>
      <c r="AR38" s="1973"/>
      <c r="AS38" s="1979"/>
      <c r="AT38" s="1980"/>
      <c r="AU38" s="1980"/>
      <c r="AV38" s="1981"/>
      <c r="AW38" s="1982"/>
      <c r="AX38" s="1981"/>
      <c r="AY38" s="1983"/>
      <c r="AZ38" s="1981"/>
      <c r="BA38" s="1981"/>
      <c r="BB38" s="1981"/>
      <c r="BC38" s="1982"/>
      <c r="BD38" s="1981"/>
      <c r="BE38" s="2259"/>
      <c r="BF38" s="2261"/>
      <c r="BG38" s="1981"/>
      <c r="BH38" s="1981"/>
      <c r="BI38" s="1982"/>
      <c r="BJ38" s="1981"/>
      <c r="BK38" s="1983"/>
      <c r="BL38" s="1981"/>
      <c r="BM38" s="1981"/>
      <c r="BN38" s="1981"/>
      <c r="BO38" s="1982"/>
      <c r="BP38" s="1981"/>
      <c r="BQ38" s="1983"/>
      <c r="BR38" s="1981"/>
      <c r="BS38" s="1981"/>
      <c r="BT38" s="1981"/>
      <c r="BU38" s="1982"/>
      <c r="BV38" s="1981"/>
      <c r="BW38" s="1983"/>
      <c r="BX38" s="1981"/>
      <c r="BY38" s="1981"/>
      <c r="BZ38" s="1981"/>
      <c r="CA38" s="1982"/>
      <c r="CB38" s="1981"/>
      <c r="CC38" s="1983"/>
      <c r="CD38" s="1981"/>
      <c r="CE38" s="1981"/>
      <c r="CF38" s="1981"/>
      <c r="CG38" s="1982"/>
      <c r="CH38" s="1981"/>
      <c r="CI38" s="1983"/>
      <c r="CJ38" s="1981"/>
      <c r="CK38" s="1981"/>
      <c r="CL38" s="1981"/>
      <c r="CM38" s="1982"/>
      <c r="CN38" s="1981"/>
      <c r="CO38" s="1983"/>
      <c r="CP38" s="1981"/>
      <c r="CQ38" s="1981"/>
      <c r="CR38" s="1981"/>
      <c r="CS38" s="1982"/>
      <c r="CT38" s="2400"/>
      <c r="CU38" s="2400"/>
      <c r="CV38" s="2400"/>
      <c r="CW38" s="240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8"/>
      <c r="DN38" s="68"/>
      <c r="DO38" s="68"/>
      <c r="DP38" s="68"/>
      <c r="DQ38" s="68"/>
      <c r="DR38" s="68"/>
      <c r="DS38" s="68"/>
      <c r="DT38" s="68"/>
      <c r="DU38" s="68"/>
      <c r="DV38" s="68"/>
      <c r="DW38" s="68"/>
      <c r="DX38" s="68"/>
    </row>
    <row r="39" spans="1:128">
      <c r="A39" s="2098" t="s">
        <v>623</v>
      </c>
      <c r="B39" s="2098"/>
      <c r="C39" s="2094"/>
      <c r="D39" s="2095"/>
      <c r="E39" s="2095"/>
      <c r="F39" s="2095"/>
      <c r="G39" s="2096"/>
      <c r="H39" s="2097"/>
      <c r="I39" s="2094"/>
      <c r="J39" s="2095"/>
      <c r="K39" s="2095"/>
      <c r="L39" s="2095"/>
      <c r="M39" s="2096"/>
      <c r="N39" s="2098"/>
      <c r="O39" s="2099">
        <f>+O43+O49</f>
        <v>0</v>
      </c>
      <c r="P39" s="2097">
        <f>+P43+P49</f>
        <v>0</v>
      </c>
      <c r="Q39" s="2097">
        <f>+Q43+Q49</f>
        <v>0</v>
      </c>
      <c r="R39" s="2097">
        <f>+R43+R49</f>
        <v>0</v>
      </c>
      <c r="S39" s="2100">
        <f>+SUM(O39:R39)</f>
        <v>0</v>
      </c>
      <c r="T39" s="2098"/>
      <c r="U39" s="2099">
        <f>+U43+U49</f>
        <v>3.1211319841875884</v>
      </c>
      <c r="V39" s="2097">
        <f>+V43+V49</f>
        <v>4.5844823857255115</v>
      </c>
      <c r="W39" s="2097">
        <f>+W43+W49</f>
        <v>6.1022162668359767</v>
      </c>
      <c r="X39" s="2097">
        <f>+X43+X49</f>
        <v>7.6848727171022135</v>
      </c>
      <c r="Y39" s="2100">
        <f>+SUM(U39:X39)</f>
        <v>21.49270335385129</v>
      </c>
      <c r="Z39" s="2098"/>
      <c r="AA39" s="2099">
        <f>+AA43+AA49</f>
        <v>18.725585833795886</v>
      </c>
      <c r="AB39" s="2097">
        <f>+AB43+AB49</f>
        <v>18.823804824512521</v>
      </c>
      <c r="AC39" s="2097">
        <f>+AC43+AC49</f>
        <v>14.820220423227239</v>
      </c>
      <c r="AD39" s="2097">
        <f>+AD43+AD49</f>
        <v>17.81560559337219</v>
      </c>
      <c r="AE39" s="2100">
        <f>+SUM(AA39:AD39)</f>
        <v>70.185216674907849</v>
      </c>
      <c r="AF39" s="2098"/>
      <c r="AG39" s="2099">
        <f>+AG43+AG49</f>
        <v>27.347944485349284</v>
      </c>
      <c r="AH39" s="2097">
        <f>+AH43+AH49</f>
        <v>30.203983819409377</v>
      </c>
      <c r="AI39" s="2097">
        <f>+AI43+AI49</f>
        <v>33.922085386737628</v>
      </c>
      <c r="AJ39" s="2097">
        <f>+AJ43+AJ49</f>
        <v>36.924274823058568</v>
      </c>
      <c r="AK39" s="2100">
        <f>+SUM(AG39:AJ39)</f>
        <v>128.39828851455485</v>
      </c>
      <c r="AL39" s="2098"/>
      <c r="AM39" s="2099">
        <f>+AM43+AM49</f>
        <v>49.919109874916515</v>
      </c>
      <c r="AN39" s="2097">
        <f>+AN43+AN49</f>
        <v>55.487528582856697</v>
      </c>
      <c r="AO39" s="2097">
        <f>+AO43+AO49</f>
        <v>60.558462973720935</v>
      </c>
      <c r="AP39" s="2097">
        <f>+AP43+AP49</f>
        <v>66.90477588152541</v>
      </c>
      <c r="AQ39" s="2100">
        <f>+SUM(AM39:AP39)</f>
        <v>232.86987731301954</v>
      </c>
      <c r="AR39" s="2098"/>
      <c r="AS39" s="2099">
        <f>+AS43+AS49</f>
        <v>74.543309432853476</v>
      </c>
      <c r="AT39" s="2097">
        <f>+AT43+AT49</f>
        <v>85.666577659664753</v>
      </c>
      <c r="AU39" s="2097">
        <f>+AU43+AU49</f>
        <v>94.458917121637953</v>
      </c>
      <c r="AV39" s="2097">
        <f>+AV43+AV49</f>
        <v>106.9061311389334</v>
      </c>
      <c r="AW39" s="2100">
        <f>+SUM(AS39:AV39)</f>
        <v>361.57493535308959</v>
      </c>
      <c r="AX39" s="2098"/>
      <c r="AY39" s="2099">
        <f>+AY43+AY49</f>
        <v>117.83266913644361</v>
      </c>
      <c r="AZ39" s="2097">
        <f>+AZ43+AZ49</f>
        <v>118.96053664521911</v>
      </c>
      <c r="BA39" s="2097">
        <f>+BA43+BA49</f>
        <v>121.42830597327072</v>
      </c>
      <c r="BB39" s="2097">
        <f>+BB43+BB49</f>
        <v>131.98258793161443</v>
      </c>
      <c r="BC39" s="2100">
        <f>+SUM(AY39:BB39)</f>
        <v>490.20409968654786</v>
      </c>
      <c r="BD39" s="2098"/>
      <c r="BE39" s="2099">
        <f>+BE43+BE49</f>
        <v>129.51962597224804</v>
      </c>
      <c r="BF39" s="2097">
        <f>+BF43+BF49</f>
        <v>142.01438086028486</v>
      </c>
      <c r="BG39" s="2097">
        <f>+BG43+BG49</f>
        <v>145.50108954658725</v>
      </c>
      <c r="BH39" s="2097">
        <f>+BH43+BH49</f>
        <v>149.04483018171973</v>
      </c>
      <c r="BI39" s="2100">
        <f>+SUM(BE39:BH39)</f>
        <v>566.07992656083991</v>
      </c>
      <c r="BJ39" s="2097"/>
      <c r="BK39" s="2099">
        <f>+BK43+BK49</f>
        <v>140.10599869946932</v>
      </c>
      <c r="BL39" s="2097">
        <f>+BL43+BL49</f>
        <v>161.86645188337377</v>
      </c>
      <c r="BM39" s="2097">
        <f>+BM43+BM49</f>
        <v>178.27044872415036</v>
      </c>
      <c r="BN39" s="2097">
        <f>+BN43+BN49</f>
        <v>196.94839093909297</v>
      </c>
      <c r="BO39" s="2100">
        <f>+SUM(BK39:BN39)</f>
        <v>677.1912902460864</v>
      </c>
      <c r="BP39" s="2097"/>
      <c r="BQ39" s="2099">
        <f>+BQ43+BQ49</f>
        <v>193.44125373991213</v>
      </c>
      <c r="BR39" s="2097">
        <f>+BR43+BR49</f>
        <v>202.26549402273247</v>
      </c>
      <c r="BS39" s="2097">
        <f>+BS43+BS49</f>
        <v>213.73328328172806</v>
      </c>
      <c r="BT39" s="2097">
        <f>+BT43+BT49</f>
        <v>225.20529213862807</v>
      </c>
      <c r="BU39" s="2100">
        <f>+SUM(BQ39:BT39)</f>
        <v>834.64532318300076</v>
      </c>
      <c r="BV39" s="2097"/>
      <c r="BW39" s="2099">
        <f>+BW43+BW49</f>
        <v>231.41793532328052</v>
      </c>
      <c r="BX39" s="2097">
        <f>+BX43+BX49</f>
        <v>236.12592952634603</v>
      </c>
      <c r="BY39" s="2097">
        <f>+BY43+BY49</f>
        <v>244.99074212132049</v>
      </c>
      <c r="BZ39" s="2097">
        <f>+BZ43+BZ49</f>
        <v>257.42591014438193</v>
      </c>
      <c r="CA39" s="2100">
        <f>+SUM(BW39:BZ39)</f>
        <v>969.96051711532891</v>
      </c>
      <c r="CB39" s="2097"/>
      <c r="CC39" s="2099">
        <f>+CC43+CC49</f>
        <v>258.13924954385561</v>
      </c>
      <c r="CD39" s="2097">
        <f>+CD43+CD49</f>
        <v>262.86891139153261</v>
      </c>
      <c r="CE39" s="2097">
        <f>+CE43+CE49</f>
        <v>272.25652097062061</v>
      </c>
      <c r="CF39" s="2097">
        <f>+CF43+CF49</f>
        <v>285.6027701371209</v>
      </c>
      <c r="CG39" s="2100">
        <f>+SUM(CC39:CF39)</f>
        <v>1078.8674520431298</v>
      </c>
      <c r="CH39" s="2097"/>
      <c r="CI39" s="2099">
        <f>+CI43+CI49</f>
        <v>290.27553754946365</v>
      </c>
      <c r="CJ39" s="2097">
        <f>+CJ43+CJ49</f>
        <v>294.94058912054032</v>
      </c>
      <c r="CK39" s="2097">
        <f>+CK43+CK49</f>
        <v>304.83875396912003</v>
      </c>
      <c r="CL39" s="2097">
        <f>+CL43+CL49</f>
        <v>319.92995401766115</v>
      </c>
      <c r="CM39" s="2100">
        <f>+SUM(CI39:CL39)</f>
        <v>1209.9848346567851</v>
      </c>
      <c r="CN39" s="2097"/>
      <c r="CO39" s="2099">
        <f>+CO43+CO49</f>
        <v>327.05200351309583</v>
      </c>
      <c r="CP39" s="2097">
        <f>+CP43+CP49</f>
        <v>333.83388313839868</v>
      </c>
      <c r="CQ39" s="2097">
        <f>+CQ43+CQ49</f>
        <v>346.01439339407375</v>
      </c>
      <c r="CR39" s="2097">
        <f>+CR43+CR49</f>
        <v>362.96080343724338</v>
      </c>
      <c r="CS39" s="2100">
        <f>+SUM(CO39:CR39)</f>
        <v>1369.8610834828116</v>
      </c>
      <c r="CT39" s="2097"/>
      <c r="CU39" s="2097"/>
      <c r="CV39" s="2097"/>
      <c r="CW39" s="2097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8"/>
      <c r="DN39" s="68"/>
      <c r="DO39" s="68"/>
      <c r="DP39" s="68"/>
      <c r="DQ39" s="68"/>
      <c r="DR39" s="68"/>
      <c r="DS39" s="68"/>
      <c r="DT39" s="68"/>
      <c r="DU39" s="68"/>
      <c r="DV39" s="68"/>
      <c r="DW39" s="68"/>
      <c r="DX39" s="68"/>
    </row>
    <row r="40" spans="1:128">
      <c r="A40" s="2187" t="s">
        <v>593</v>
      </c>
      <c r="B40" s="2117"/>
      <c r="C40" s="2118"/>
      <c r="D40" s="2119"/>
      <c r="E40" s="2119"/>
      <c r="F40" s="2119"/>
      <c r="G40" s="2120"/>
      <c r="H40" s="2119"/>
      <c r="I40" s="2118"/>
      <c r="J40" s="2119"/>
      <c r="K40" s="2119"/>
      <c r="L40" s="2119"/>
      <c r="M40" s="2120"/>
      <c r="N40" s="2117"/>
      <c r="O40" s="2121"/>
      <c r="P40" s="2122"/>
      <c r="Q40" s="2122"/>
      <c r="R40" s="2131"/>
      <c r="S40" s="2123"/>
      <c r="T40" s="2124"/>
      <c r="U40" s="2121"/>
      <c r="V40" s="2122"/>
      <c r="W40" s="2122"/>
      <c r="X40" s="2131"/>
      <c r="Y40" s="2123"/>
      <c r="Z40" s="2124"/>
      <c r="AA40" s="2121">
        <f>+AA39/U39-1</f>
        <v>4.9996135788759481</v>
      </c>
      <c r="AB40" s="2122">
        <f>+AB39/V39-1</f>
        <v>3.1059825822699905</v>
      </c>
      <c r="AC40" s="2122">
        <f>+AC39/W39-1</f>
        <v>1.4286619443121737</v>
      </c>
      <c r="AD40" s="2131">
        <f>+AD39/X39-1</f>
        <v>1.3182694429960629</v>
      </c>
      <c r="AE40" s="2123">
        <f>+AE39/Y39-1</f>
        <v>2.2655369368568201</v>
      </c>
      <c r="AF40" s="2124"/>
      <c r="AG40" s="2121">
        <f>+AG39/AA39-1</f>
        <v>0.46045868621059571</v>
      </c>
      <c r="AH40" s="2122">
        <f>+AH39/AB39-1</f>
        <v>0.6045631635575337</v>
      </c>
      <c r="AI40" s="2122">
        <f>+AI39/AC39-1</f>
        <v>1.288905591010824</v>
      </c>
      <c r="AJ40" s="2131">
        <f>+AJ39/AD39-1</f>
        <v>1.0725803919230921</v>
      </c>
      <c r="AK40" s="2123">
        <f>+AK39/AE39-1</f>
        <v>0.82942070421019221</v>
      </c>
      <c r="AL40" s="2124"/>
      <c r="AM40" s="2121">
        <f>+AM39/AG42-1</f>
        <v>0.82533315809745589</v>
      </c>
      <c r="AN40" s="2122">
        <f>+AN39/AH42-1</f>
        <v>0.83709304423610065</v>
      </c>
      <c r="AO40" s="2122">
        <f>+AO39/AI42-1</f>
        <v>0.78522229053161974</v>
      </c>
      <c r="AP40" s="2122">
        <f>+AP39/AJ42-1</f>
        <v>0.81194556161586529</v>
      </c>
      <c r="AQ40" s="2123">
        <f>+AQ39/AK42-1</f>
        <v>0.81365250274829104</v>
      </c>
      <c r="AR40" s="2124"/>
      <c r="AS40" s="2121">
        <f>+AS39/AM42-1</f>
        <v>0.57332045079878702</v>
      </c>
      <c r="AT40" s="2122">
        <f>+AT39/AN42-1</f>
        <v>0.60071330649966348</v>
      </c>
      <c r="AU40" s="2122">
        <f>+AU39/AO42-1</f>
        <v>0.52729909376163864</v>
      </c>
      <c r="AV40" s="2131">
        <f>+AV39/AP42-1</f>
        <v>0.64339699313313337</v>
      </c>
      <c r="AW40" s="2123">
        <f>+AW39/AQ42-1</f>
        <v>0.58727297393865663</v>
      </c>
      <c r="AY40" s="2121">
        <f>+AY39/AS42-1</f>
        <v>0.57228261365669919</v>
      </c>
      <c r="AZ40" s="2122">
        <f>+AZ39/AT42-1</f>
        <v>0.37582658390708423</v>
      </c>
      <c r="BA40" s="2122">
        <f>+BA39/AU42-1</f>
        <v>0.28463119660587566</v>
      </c>
      <c r="BB40" s="2131">
        <f>+BB39/AV42-1</f>
        <v>0.25481068298286091</v>
      </c>
      <c r="BC40" s="2123">
        <f>+BC39/AW42-1</f>
        <v>0.35747887769170172</v>
      </c>
      <c r="BD40" s="2098"/>
      <c r="BE40" s="2121">
        <f>+BE39/AY42-1</f>
        <v>0.15703437247924934</v>
      </c>
      <c r="BF40" s="2122">
        <f>+BF39/AZ42-1</f>
        <v>0.24613157644975314</v>
      </c>
      <c r="BG40" s="2122">
        <f>+BG39/BA42-1</f>
        <v>0.2481738399424307</v>
      </c>
      <c r="BH40" s="2131">
        <f>+BH39/BB42-1</f>
        <v>0.16180706151588042</v>
      </c>
      <c r="BI40" s="2123">
        <f>+BI39/BC42-1</f>
        <v>0.20247205194380236</v>
      </c>
      <c r="BJ40" s="2097"/>
      <c r="BK40" s="2121">
        <f>+BK39/BE42-1</f>
        <v>9.2662287627886419E-2</v>
      </c>
      <c r="BL40" s="2122">
        <f>+BL39/BF42-1</f>
        <v>0.13559713531580075</v>
      </c>
      <c r="BM40" s="2122">
        <f>+BM39/BG42-1</f>
        <v>0.22407208542701817</v>
      </c>
      <c r="BN40" s="2131">
        <f>+BN39/BH42-1</f>
        <v>0.33154382934605531</v>
      </c>
      <c r="BO40" s="2123">
        <f>+BO39/BI42-1</f>
        <v>0.20003402613040988</v>
      </c>
      <c r="BP40" s="2097"/>
      <c r="BQ40" s="2121">
        <f>+BQ39/BK42-1</f>
        <v>0.38761596324395353</v>
      </c>
      <c r="BR40" s="2122">
        <f>+BR39/BL42-1</f>
        <v>0.25586186127623933</v>
      </c>
      <c r="BS40" s="2122">
        <f>+BS39/BM42-1</f>
        <v>0.19296235094318992</v>
      </c>
      <c r="BT40" s="2131">
        <f>+BT39/BN42-1</f>
        <v>0.12546617440249963</v>
      </c>
      <c r="BU40" s="2123">
        <f>+BU39/BO42-1</f>
        <v>0.22791806536670633</v>
      </c>
      <c r="BV40" s="2097"/>
      <c r="BW40" s="2121">
        <f>+BW39/BQ42-1</f>
        <v>0.16147720698743617</v>
      </c>
      <c r="BX40" s="2122">
        <f>+BX39/BR42-1</f>
        <v>0.14004481667622581</v>
      </c>
      <c r="BY40" s="2122">
        <f>+BY39/BS42-1</f>
        <v>0.13489620093233712</v>
      </c>
      <c r="BZ40" s="2131">
        <f>+BZ39/BT42-1</f>
        <v>0.13175465965480426</v>
      </c>
      <c r="CA40" s="2123">
        <f>+CA39/BU42-1</f>
        <v>0.14154323406737301</v>
      </c>
      <c r="CB40" s="2097"/>
      <c r="CC40" s="2121">
        <f>+CC39/BW42-1</f>
        <v>0.11546777557775112</v>
      </c>
      <c r="CD40" s="2122">
        <f>+CD39/BX42-1</f>
        <v>0.11325728571542881</v>
      </c>
      <c r="CE40" s="2122">
        <f>+CE39/BY42-1</f>
        <v>0.11129309872369775</v>
      </c>
      <c r="CF40" s="2131">
        <f>+CF39/BZ42-1</f>
        <v>0.10945619256793337</v>
      </c>
      <c r="CG40" s="2123">
        <f>+CG39/CA42-1</f>
        <v>0.11227976088314517</v>
      </c>
      <c r="CH40" s="2097"/>
      <c r="CI40" s="2121">
        <f>+CI39/CC42-1</f>
        <v>0.12449206411808511</v>
      </c>
      <c r="CJ40" s="2122">
        <f>+CJ39/CD42-1</f>
        <v>0.1220063550278041</v>
      </c>
      <c r="CK40" s="2122">
        <f>+CK39/CE42-1</f>
        <v>0.11967475703553632</v>
      </c>
      <c r="CL40" s="2131">
        <f>+CL39/CF42-1</f>
        <v>0.12019205508426767</v>
      </c>
      <c r="CM40" s="2123">
        <f>+CM39/CG42-1</f>
        <v>0.12153242955411137</v>
      </c>
      <c r="CN40" s="2097"/>
      <c r="CO40" s="2121">
        <f>+CO39/CI42-1</f>
        <v>0.12669502319796888</v>
      </c>
      <c r="CP40" s="2122">
        <f>+CP39/CJ42-1</f>
        <v>0.1318682319508182</v>
      </c>
      <c r="CQ40" s="2122">
        <f>+CQ39/CK42-1</f>
        <v>0.13507350653035655</v>
      </c>
      <c r="CR40" s="2131">
        <f>+CR39/CL42-1</f>
        <v>0.13450084582329169</v>
      </c>
      <c r="CS40" s="2123">
        <f>+CS39/CM42-1</f>
        <v>0.13213078730145877</v>
      </c>
      <c r="CT40" s="2122"/>
      <c r="CU40" s="2122"/>
      <c r="CV40" s="2122"/>
      <c r="CW40" s="2122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60"/>
      <c r="DI40" s="60"/>
      <c r="DJ40" s="60"/>
      <c r="DK40" s="60"/>
      <c r="DL40" s="60"/>
      <c r="DM40" s="68"/>
      <c r="DN40" s="68"/>
      <c r="DO40" s="68"/>
      <c r="DP40" s="68"/>
      <c r="DQ40" s="68"/>
      <c r="DR40" s="68"/>
      <c r="DS40" s="68"/>
      <c r="DT40" s="68"/>
      <c r="DU40" s="68"/>
      <c r="DV40" s="68"/>
      <c r="DW40" s="68"/>
      <c r="DX40" s="68"/>
    </row>
    <row r="41" spans="1:128">
      <c r="A41" s="1991" t="s">
        <v>612</v>
      </c>
      <c r="B41" s="2000"/>
      <c r="C41" s="2001"/>
      <c r="D41" s="2002"/>
      <c r="E41" s="2002"/>
      <c r="F41" s="2002"/>
      <c r="G41" s="2003"/>
      <c r="H41" s="2002"/>
      <c r="I41" s="2001"/>
      <c r="J41" s="2002"/>
      <c r="K41" s="2002"/>
      <c r="L41" s="2002"/>
      <c r="M41" s="2003"/>
      <c r="N41" s="2000"/>
      <c r="O41" s="2004">
        <f>+O39/O$9</f>
        <v>0</v>
      </c>
      <c r="P41" s="2005">
        <f>+P39/P$9</f>
        <v>0</v>
      </c>
      <c r="Q41" s="2005">
        <f>+Q39/Q$9</f>
        <v>0</v>
      </c>
      <c r="R41" s="1999">
        <f>+R39/R$9</f>
        <v>0</v>
      </c>
      <c r="S41" s="1990">
        <f>+S39/S$9</f>
        <v>0</v>
      </c>
      <c r="T41" s="2006"/>
      <c r="U41" s="2004">
        <f>+U39/U$9</f>
        <v>1.6775330382239162E-2</v>
      </c>
      <c r="V41" s="2005">
        <f>+V39/V$9</f>
        <v>2.1574589581132314E-2</v>
      </c>
      <c r="W41" s="2005">
        <f>+W39/W$9</f>
        <v>2.5634625415809492E-2</v>
      </c>
      <c r="X41" s="1999">
        <f>+X39/X$9</f>
        <v>2.9362582632195416E-2</v>
      </c>
      <c r="Y41" s="1990">
        <f>+Y39/Y$9</f>
        <v>2.3925479994602178E-2</v>
      </c>
      <c r="Z41" s="2006"/>
      <c r="AA41" s="2004">
        <f>+AA39/AA$9</f>
        <v>6.8249530821089144E-2</v>
      </c>
      <c r="AB41" s="2005">
        <f>+AB39/AB$9</f>
        <v>6.9066689720127916E-2</v>
      </c>
      <c r="AC41" s="2005">
        <f>+AC39/AC$9</f>
        <v>6.6222779370759974E-2</v>
      </c>
      <c r="AD41" s="1999">
        <f>+AD39/AD$9</f>
        <v>7.2053024416526751E-2</v>
      </c>
      <c r="AE41" s="1990">
        <f>+AE39/AE$9</f>
        <v>6.8946587371340559E-2</v>
      </c>
      <c r="AF41" s="2006"/>
      <c r="AG41" s="2004">
        <f>+AG39/AG$9</f>
        <v>9.9940067614481862E-2</v>
      </c>
      <c r="AH41" s="2005">
        <f>+AH39/AH$9</f>
        <v>0.10458563907825902</v>
      </c>
      <c r="AI41" s="2005">
        <f>+AI39/AI$9</f>
        <v>0.11581240537739222</v>
      </c>
      <c r="AJ41" s="1999">
        <f>+AJ39/AJ$9</f>
        <v>0.11829968400465911</v>
      </c>
      <c r="AK41" s="1990">
        <f>+AK39/AK$9</f>
        <v>0.10997990457719557</v>
      </c>
      <c r="AL41" s="2006"/>
      <c r="AM41" s="2004">
        <f>+AM39/AM$9</f>
        <v>0.14476254271710828</v>
      </c>
      <c r="AN41" s="2005">
        <f>+AN39/AN$9</f>
        <v>0.15583959566808289</v>
      </c>
      <c r="AO41" s="2005">
        <f>+AO39/AO$9</f>
        <v>0.1726703828661284</v>
      </c>
      <c r="AP41" s="1999">
        <f>+AP39/AP$9</f>
        <v>0.1689980747095805</v>
      </c>
      <c r="AQ41" s="1990">
        <f>+AQ39/AQ$9</f>
        <v>0.16087754242439142</v>
      </c>
      <c r="AR41" s="2006"/>
      <c r="AS41" s="2004">
        <f>+AS39/AS$9</f>
        <v>0.17790623161663613</v>
      </c>
      <c r="AT41" s="2005">
        <f>+AT39/AT$9</f>
        <v>0.1927936871912663</v>
      </c>
      <c r="AU41" s="2005">
        <f>+AU39/AU$9</f>
        <v>0.19663183006517715</v>
      </c>
      <c r="AV41" s="1999">
        <f>+AV39/AV$9</f>
        <v>0.20613249335686137</v>
      </c>
      <c r="AW41" s="1990">
        <f>+AW39/AW$9</f>
        <v>0.19414883504712077</v>
      </c>
      <c r="AX41" s="2007"/>
      <c r="AY41" s="2004">
        <f>+AY39/AY$9</f>
        <v>0.21056436088417088</v>
      </c>
      <c r="AZ41" s="2005">
        <f>+AZ39/AZ$9</f>
        <v>0.21314106844824163</v>
      </c>
      <c r="BA41" s="2005">
        <f>+BA39/BA$9</f>
        <v>0.21351413326307658</v>
      </c>
      <c r="BB41" s="1999">
        <f>+BB39/BB$9</f>
        <v>0.21783093184465296</v>
      </c>
      <c r="BC41" s="1990">
        <f>+BC39/BC$9</f>
        <v>0.21384418935525432</v>
      </c>
      <c r="BD41" s="1"/>
      <c r="BE41" s="2004">
        <f>+BE39/BE$9</f>
        <v>0.22441294105469711</v>
      </c>
      <c r="BF41" s="2005">
        <f>+BF39/BF$9</f>
        <v>0.23744877260371483</v>
      </c>
      <c r="BG41" s="2005">
        <f>+BG39/BG$9</f>
        <v>0.24005370454101552</v>
      </c>
      <c r="BH41" s="1999">
        <f>+BH39/BH$9</f>
        <v>0.23892624486103586</v>
      </c>
      <c r="BI41" s="1990">
        <f>+BI39/BI$9</f>
        <v>0.23536032754368569</v>
      </c>
      <c r="BJ41" s="9"/>
      <c r="BK41" s="2004">
        <f>+BK39/BK$9</f>
        <v>0.23317623907950713</v>
      </c>
      <c r="BL41" s="2005">
        <f>+BL39/BL$9</f>
        <v>0.24326173788629896</v>
      </c>
      <c r="BM41" s="2005">
        <f>+BM39/BM$9</f>
        <v>0.25070694125209464</v>
      </c>
      <c r="BN41" s="1999">
        <f>+BN39/BN$9</f>
        <v>0.2565677447139692</v>
      </c>
      <c r="BO41" s="1990">
        <f>+BO39/BO$9</f>
        <v>0.24670374423161759</v>
      </c>
      <c r="BP41" s="9"/>
      <c r="BQ41" s="2004">
        <f>+BQ39/BQ$9</f>
        <v>0.25317547540757551</v>
      </c>
      <c r="BR41" s="2005">
        <f>+BR39/BR$9</f>
        <v>0.26114456592629026</v>
      </c>
      <c r="BS41" s="2005">
        <f>+BS39/BS$9</f>
        <v>0.26765654730394794</v>
      </c>
      <c r="BT41" s="1999">
        <f>+BT39/BT$9</f>
        <v>0.27050297162964615</v>
      </c>
      <c r="BU41" s="1990">
        <f>+BU39/BU$9</f>
        <v>0.26332222235636521</v>
      </c>
      <c r="BV41" s="9"/>
      <c r="BW41" s="2004">
        <f>+BW39/BW$9</f>
        <v>0.26518587774769453</v>
      </c>
      <c r="BX41" s="2005">
        <f>+BX39/BX$9</f>
        <v>0.27133933619298256</v>
      </c>
      <c r="BY41" s="2005">
        <f>+BY39/BY$9</f>
        <v>0.27774562912062239</v>
      </c>
      <c r="BZ41" s="1999">
        <f>+BZ39/BZ$9</f>
        <v>0.28047293885236113</v>
      </c>
      <c r="CA41" s="1990">
        <f>+CA39/CA$9</f>
        <v>0.27378486255597123</v>
      </c>
      <c r="CB41" s="9"/>
      <c r="CC41" s="2004">
        <f>+CC39/CC$9</f>
        <v>0.2685357979794985</v>
      </c>
      <c r="CD41" s="2005">
        <f>+CD39/CD$9</f>
        <v>0.27397792632741452</v>
      </c>
      <c r="CE41" s="2005">
        <f>+CE39/CE$9</f>
        <v>0.28002807835866855</v>
      </c>
      <c r="CF41" s="1999">
        <f>+CF39/CF$9</f>
        <v>0.28192131521956509</v>
      </c>
      <c r="CG41" s="1990">
        <f>+CG39/CG$9</f>
        <v>0.27620471400698399</v>
      </c>
      <c r="CH41" s="9"/>
      <c r="CI41" s="2004">
        <f>+CI39/CI$9</f>
        <v>0.27343862622812748</v>
      </c>
      <c r="CJ41" s="2005">
        <f>+CJ39/CJ$9</f>
        <v>0.2784132670655014</v>
      </c>
      <c r="CK41" s="2005">
        <f>+CK39/CK$9</f>
        <v>0.28412927401211463</v>
      </c>
      <c r="CL41" s="1999">
        <f>+CL39/CL$9</f>
        <v>0.28548049158218541</v>
      </c>
      <c r="CM41" s="1990">
        <f>+CM39/CM$9</f>
        <v>0.28044634759212417</v>
      </c>
      <c r="CN41" s="9"/>
      <c r="CO41" s="2004">
        <f>+CO39/CO$9</f>
        <v>0.28017298725852829</v>
      </c>
      <c r="CP41" s="2005">
        <f>+CP39/CP$9</f>
        <v>0.2853291869690191</v>
      </c>
      <c r="CQ41" s="2005">
        <f>+CQ39/CQ$9</f>
        <v>0.29095388785910259</v>
      </c>
      <c r="CR41" s="1999">
        <f>+CR39/CR$9</f>
        <v>0.29184850983990129</v>
      </c>
      <c r="CS41" s="1990">
        <f>+CS39/CS$9</f>
        <v>0.28716935672645777</v>
      </c>
      <c r="CT41" s="2005"/>
      <c r="CU41" s="2005"/>
      <c r="CV41" s="2005"/>
      <c r="CW41" s="2005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8"/>
      <c r="DN41" s="68"/>
      <c r="DO41" s="68"/>
      <c r="DP41" s="68"/>
      <c r="DQ41" s="68"/>
      <c r="DR41" s="68"/>
      <c r="DS41" s="68"/>
      <c r="DT41" s="68"/>
      <c r="DU41" s="68"/>
      <c r="DV41" s="68"/>
      <c r="DW41" s="68"/>
      <c r="DX41" s="68"/>
    </row>
    <row r="42" spans="1:128">
      <c r="A42" s="2092" t="s">
        <v>624</v>
      </c>
      <c r="B42" s="2117"/>
      <c r="C42" s="2118"/>
      <c r="D42" s="2119"/>
      <c r="E42" s="2119"/>
      <c r="F42" s="2119"/>
      <c r="G42" s="2120"/>
      <c r="H42" s="2119"/>
      <c r="I42" s="2118"/>
      <c r="J42" s="2119"/>
      <c r="K42" s="2119"/>
      <c r="L42" s="2119"/>
      <c r="M42" s="2120"/>
      <c r="N42" s="2117"/>
      <c r="O42" s="2099">
        <f>+O39</f>
        <v>0</v>
      </c>
      <c r="P42" s="2097">
        <f>+P39</f>
        <v>0</v>
      </c>
      <c r="Q42" s="2097">
        <f>+Q39</f>
        <v>0</v>
      </c>
      <c r="R42" s="2097">
        <f>+R39</f>
        <v>0</v>
      </c>
      <c r="S42" s="2100">
        <f>+SUM(O42:R42)</f>
        <v>0</v>
      </c>
      <c r="T42" s="2124"/>
      <c r="U42" s="2099">
        <f>+U39</f>
        <v>3.1211319841875884</v>
      </c>
      <c r="V42" s="2097">
        <f>+V39</f>
        <v>4.5844823857255115</v>
      </c>
      <c r="W42" s="2097">
        <f>+W39</f>
        <v>6.1022162668359767</v>
      </c>
      <c r="X42" s="2097">
        <f>+X39</f>
        <v>7.6848727171022135</v>
      </c>
      <c r="Y42" s="2100">
        <f>+SUM(U42:X42)</f>
        <v>21.49270335385129</v>
      </c>
      <c r="Z42" s="2124"/>
      <c r="AA42" s="2099">
        <f>+AA39</f>
        <v>18.725585833795886</v>
      </c>
      <c r="AB42" s="2097">
        <f>+AB39</f>
        <v>18.823804824512521</v>
      </c>
      <c r="AC42" s="2097">
        <f>+AC39</f>
        <v>14.820220423227239</v>
      </c>
      <c r="AD42" s="2097">
        <f>+AD39</f>
        <v>17.81560559337219</v>
      </c>
      <c r="AE42" s="2100">
        <f>+SUM(AA42:AD42)</f>
        <v>70.185216674907849</v>
      </c>
      <c r="AF42" s="2124"/>
      <c r="AG42" s="2099">
        <f>+AG39</f>
        <v>27.347944485349284</v>
      </c>
      <c r="AH42" s="2097">
        <f>+AH39</f>
        <v>30.203983819409377</v>
      </c>
      <c r="AI42" s="2097">
        <f>+AI39</f>
        <v>33.922085386737628</v>
      </c>
      <c r="AJ42" s="2097">
        <f>+AJ39</f>
        <v>36.924274823058568</v>
      </c>
      <c r="AK42" s="2100">
        <f>+SUM(AG42:AJ42)</f>
        <v>128.39828851455485</v>
      </c>
      <c r="AL42" s="2098"/>
      <c r="AM42" s="2099">
        <f>+AM39*(1+AM$11)</f>
        <v>47.379610043845332</v>
      </c>
      <c r="AN42" s="2097">
        <f>+AN39*(1+AN$11)</f>
        <v>53.5177519371004</v>
      </c>
      <c r="AO42" s="2097">
        <f>+AO39*(1+AO$11)</f>
        <v>61.8470327832067</v>
      </c>
      <c r="AP42" s="2097">
        <f>+AP39*(1+AP$11)</f>
        <v>65.051920860045541</v>
      </c>
      <c r="AQ42" s="2100">
        <f>+SUM(AM42:AP42)</f>
        <v>227.79631562419797</v>
      </c>
      <c r="AR42" s="2098"/>
      <c r="AS42" s="2099">
        <f>+AS39*(1+AS$11)</f>
        <v>74.943695308311689</v>
      </c>
      <c r="AT42" s="2097">
        <f>+AT39*(1+AT$11)</f>
        <v>86.464775456943087</v>
      </c>
      <c r="AU42" s="2097">
        <f>+AU39*(1+AU$11)</f>
        <v>94.523865132729512</v>
      </c>
      <c r="AV42" s="2097">
        <f>+AV39*(1+AV$11)</f>
        <v>105.18127532822187</v>
      </c>
      <c r="AW42" s="2100">
        <f>+SUM(AS42:AV42)</f>
        <v>361.11361122620616</v>
      </c>
      <c r="AX42" s="2098"/>
      <c r="AY42" s="2099">
        <f>+AY39*(1+AY$11)</f>
        <v>111.94103567962142</v>
      </c>
      <c r="AZ42" s="2097">
        <f>+AZ39*(1+AZ$11)</f>
        <v>113.9641941061199</v>
      </c>
      <c r="BA42" s="2097">
        <f>+BA39*(1+BA$11)</f>
        <v>116.57117373433989</v>
      </c>
      <c r="BB42" s="2097">
        <f>+BB39*(1+BB$11)</f>
        <v>128.28707546952921</v>
      </c>
      <c r="BC42" s="2100">
        <f>+SUM(AY42:BB42)</f>
        <v>470.76347898961041</v>
      </c>
      <c r="BD42" s="2097"/>
      <c r="BE42" s="2099">
        <f>+BE39*(1+BE$11)</f>
        <v>128.22442971252556</v>
      </c>
      <c r="BF42" s="2097">
        <f>+BF39*(1+BF$11)</f>
        <v>142.53862294074912</v>
      </c>
      <c r="BG42" s="2097">
        <f>+BG39*(1+BG$11)</f>
        <v>145.63721438183163</v>
      </c>
      <c r="BH42" s="2097">
        <f>+BH39*(1+BH$11)</f>
        <v>147.90980709648724</v>
      </c>
      <c r="BI42" s="2100">
        <f>+SUM(BE42:BH42)</f>
        <v>564.31007413159364</v>
      </c>
      <c r="BJ42" s="2097"/>
      <c r="BK42" s="2099">
        <f>+BK39*(1+BK$11)</f>
        <v>139.40546870597197</v>
      </c>
      <c r="BL42" s="2097">
        <f>+BL39*(1+BL$11)</f>
        <v>161.05711962395691</v>
      </c>
      <c r="BM42" s="2097">
        <f>+BM39*(1+BM$11)</f>
        <v>179.16180096777109</v>
      </c>
      <c r="BN42" s="2097">
        <f>+BN39*(1+BN$11)</f>
        <v>200.09956519411847</v>
      </c>
      <c r="BO42" s="2100">
        <f>+SUM(BK42:BN42)</f>
        <v>679.7239544918184</v>
      </c>
      <c r="BP42" s="2097"/>
      <c r="BQ42" s="2099">
        <f>+BQ39*(1+BQ$11)</f>
        <v>199.24449135210949</v>
      </c>
      <c r="BR42" s="2097">
        <f>+BR39*(1+BR$11)</f>
        <v>207.11986587927805</v>
      </c>
      <c r="BS42" s="2097">
        <f>+BS39*(1+BS$11)</f>
        <v>215.87061611454536</v>
      </c>
      <c r="BT42" s="2097">
        <f>+BT39*(1+BT$11)</f>
        <v>227.45734506001435</v>
      </c>
      <c r="BU42" s="2100">
        <f>+SUM(BQ42:BT42)</f>
        <v>849.69231840594716</v>
      </c>
      <c r="BV42" s="2097"/>
      <c r="BW42" s="2099">
        <f>+BW39*(1+BW$11)</f>
        <v>231.41793532328052</v>
      </c>
      <c r="BX42" s="2097">
        <f>+BX39*(1+BX$11)</f>
        <v>236.12592952634603</v>
      </c>
      <c r="BY42" s="2097">
        <f>+BY39*(1+BY$11)</f>
        <v>244.99074212132049</v>
      </c>
      <c r="BZ42" s="2097">
        <f>+BZ39*(1+BZ$11)</f>
        <v>257.42591014438193</v>
      </c>
      <c r="CA42" s="2100">
        <f>+SUM(BW42:BZ42)</f>
        <v>969.96051711532891</v>
      </c>
      <c r="CB42" s="2097"/>
      <c r="CC42" s="2099">
        <f>+CC39*(1+CC$11)</f>
        <v>258.13924954385561</v>
      </c>
      <c r="CD42" s="2097">
        <f>+CD39*(1+CD$11)</f>
        <v>262.86891139153261</v>
      </c>
      <c r="CE42" s="2097">
        <f>+CE39*(1+CE$11)</f>
        <v>272.25652097062061</v>
      </c>
      <c r="CF42" s="2097">
        <f>+CF39*(1+CF$11)</f>
        <v>285.6027701371209</v>
      </c>
      <c r="CG42" s="2100">
        <f>+SUM(CC42:CF42)</f>
        <v>1078.8674520431298</v>
      </c>
      <c r="CH42" s="2097"/>
      <c r="CI42" s="2099">
        <f>+CI39*(1+CI$11)</f>
        <v>290.27553754946365</v>
      </c>
      <c r="CJ42" s="2097">
        <f>+CJ39*(1+CJ$11)</f>
        <v>294.94058912054032</v>
      </c>
      <c r="CK42" s="2097">
        <f>+CK39*(1+CK$11)</f>
        <v>304.83875396912003</v>
      </c>
      <c r="CL42" s="2097">
        <f>+CL39*(1+CL$11)</f>
        <v>319.92995401766115</v>
      </c>
      <c r="CM42" s="2100">
        <f>+SUM(CI42:CL42)</f>
        <v>1209.9848346567851</v>
      </c>
      <c r="CN42" s="2097"/>
      <c r="CO42" s="2099">
        <f>+CO39*(1+CO$11)</f>
        <v>327.05200351309583</v>
      </c>
      <c r="CP42" s="2097">
        <f>+CP39*(1+CP$11)</f>
        <v>333.83388313839868</v>
      </c>
      <c r="CQ42" s="2097">
        <f>+CQ39*(1+CQ$11)</f>
        <v>346.01439339407375</v>
      </c>
      <c r="CR42" s="2097">
        <f>+CR39*(1+CR$11)</f>
        <v>362.96080343724338</v>
      </c>
      <c r="CS42" s="2100">
        <f>+SUM(CO42:CR42)</f>
        <v>1369.8610834828116</v>
      </c>
      <c r="CT42" s="2097"/>
      <c r="CU42" s="2097"/>
      <c r="CV42" s="2097"/>
      <c r="CW42" s="2097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8"/>
      <c r="DN42" s="68"/>
      <c r="DO42" s="68"/>
      <c r="DP42" s="68"/>
      <c r="DQ42" s="68"/>
      <c r="DR42" s="68"/>
      <c r="DS42" s="68"/>
      <c r="DT42" s="68"/>
      <c r="DU42" s="68"/>
      <c r="DV42" s="68"/>
      <c r="DW42" s="68"/>
      <c r="DX42" s="68"/>
    </row>
    <row r="43" spans="1:128">
      <c r="A43" s="1972" t="s">
        <v>561</v>
      </c>
      <c r="B43" s="63"/>
      <c r="C43" s="760"/>
      <c r="D43" s="740"/>
      <c r="E43" s="740"/>
      <c r="F43" s="740"/>
      <c r="G43" s="739"/>
      <c r="H43" s="205"/>
      <c r="I43" s="760"/>
      <c r="J43" s="740"/>
      <c r="K43" s="740"/>
      <c r="L43" s="740"/>
      <c r="M43" s="739"/>
      <c r="N43" s="63"/>
      <c r="O43" s="750">
        <f>+(O45*O$16)/1000</f>
        <v>0</v>
      </c>
      <c r="P43" s="63">
        <f>+(P45*P$16)/1000</f>
        <v>0</v>
      </c>
      <c r="Q43" s="63">
        <f>+(Q45*Q$16)/1000</f>
        <v>0</v>
      </c>
      <c r="R43" s="1">
        <f>+(R45*R$16)/1000</f>
        <v>0</v>
      </c>
      <c r="S43" s="191">
        <f>+SUM(O43:R43)</f>
        <v>0</v>
      </c>
      <c r="T43" s="1"/>
      <c r="U43" s="750">
        <f>+(U45*U$16)/1000</f>
        <v>2.7676247942624035</v>
      </c>
      <c r="V43" s="63">
        <f>+(V45*V$16)/1000</f>
        <v>3.5031799382393922</v>
      </c>
      <c r="W43" s="63">
        <f>+(W45*W$16)/1000</f>
        <v>4.4041219251888135</v>
      </c>
      <c r="X43" s="1">
        <f>+(X45*X$16)/1000</f>
        <v>5.4921608064753338</v>
      </c>
      <c r="Y43" s="191">
        <f>+SUM(U43:X43)</f>
        <v>16.167087464165942</v>
      </c>
      <c r="Z43" s="63"/>
      <c r="AA43" s="750">
        <f>+(AA45*AA$16)/1000</f>
        <v>15.382806688482122</v>
      </c>
      <c r="AB43" s="63">
        <f>+(AB45*AB$16)/1000</f>
        <v>13.995540888027387</v>
      </c>
      <c r="AC43" s="63">
        <f>+(AC45*AC$16)/1000</f>
        <v>9.2770065608649954</v>
      </c>
      <c r="AD43" s="1">
        <f>+(AD45*AD$16)/1000</f>
        <v>10.878801109677632</v>
      </c>
      <c r="AE43" s="191">
        <f>+SUM(AA43:AD43)</f>
        <v>49.534155247052134</v>
      </c>
      <c r="AF43" s="63"/>
      <c r="AG43" s="750">
        <f>+(AG45*AG$16)/1000</f>
        <v>16.490384417294266</v>
      </c>
      <c r="AH43" s="63">
        <f>+(AH45*AH$16)/1000</f>
        <v>15.518242324844406</v>
      </c>
      <c r="AI43" s="63">
        <f>+(AI45*AI$16)/1000</f>
        <v>17.437155046867908</v>
      </c>
      <c r="AJ43" s="1">
        <f>+(AJ45*AJ$16)/1000</f>
        <v>16.689406192418144</v>
      </c>
      <c r="AK43" s="191">
        <f>+SUM(AG43:AJ43)</f>
        <v>66.135187981424721</v>
      </c>
      <c r="AL43" s="63"/>
      <c r="AM43" s="750">
        <f>+(AM45*AM$16)/1000</f>
        <v>25.341094602176216</v>
      </c>
      <c r="AN43" s="63">
        <f>+(AN45*AN$16)/1000</f>
        <v>26.774841543682932</v>
      </c>
      <c r="AO43" s="63">
        <f>+(AO45*AO$16)/1000</f>
        <v>30.303492708041571</v>
      </c>
      <c r="AP43" s="1">
        <f>+(AP45*AP$16)/1000</f>
        <v>28.219799338956499</v>
      </c>
      <c r="AQ43" s="191">
        <f>+SUM(AM43:AP43)</f>
        <v>110.63922819285722</v>
      </c>
      <c r="AR43" s="63"/>
      <c r="AS43" s="750">
        <f>+(AS45*AS$16)/1000</f>
        <v>33.444771604723343</v>
      </c>
      <c r="AT43" s="63">
        <f>+(AT45*AT$16)/1000</f>
        <v>41.098426971305315</v>
      </c>
      <c r="AU43" s="63">
        <f>+(AU45*AU$16)/1000</f>
        <v>44.229776445410515</v>
      </c>
      <c r="AV43" s="1">
        <f>+(AV45*AV$16)/1000</f>
        <v>47.230785864714782</v>
      </c>
      <c r="AW43" s="191">
        <f>+SUM(AS43:AV43)</f>
        <v>166.00376088615397</v>
      </c>
      <c r="AX43" s="1"/>
      <c r="AY43" s="750">
        <f>+(AY45*AY16)/1000</f>
        <v>50.090700000000012</v>
      </c>
      <c r="AZ43" s="205">
        <f>+(AZ45*AZ16)/1000</f>
        <v>49.875404000000017</v>
      </c>
      <c r="BA43" s="205">
        <f>+(BA45*BA16)/1000</f>
        <v>46.81</v>
      </c>
      <c r="BB43" s="205">
        <f>+(BB45*BB16)/1000</f>
        <v>50.281440000000003</v>
      </c>
      <c r="BC43" s="191">
        <f>+SUM(AY43:BB43)</f>
        <v>197.05754400000004</v>
      </c>
      <c r="BD43" s="1"/>
      <c r="BE43" s="750">
        <f>+(BE45*BE16)/1000</f>
        <v>38.464670944325846</v>
      </c>
      <c r="BF43" s="205">
        <f>+(BF45*BF16)/1000</f>
        <v>42.645459436761918</v>
      </c>
      <c r="BG43" s="205">
        <f>+(BG45*BG16)/1000</f>
        <v>39.152520387234354</v>
      </c>
      <c r="BH43" s="205">
        <f>+(BH45*BH16)/1000</f>
        <v>41.445743895359897</v>
      </c>
      <c r="BI43" s="191">
        <f>+SUM(BE43:BH43)</f>
        <v>161.70839466368201</v>
      </c>
      <c r="BJ43" s="9"/>
      <c r="BK43" s="750">
        <f>+(BK45*BK16)/1000</f>
        <v>34.200600000000001</v>
      </c>
      <c r="BL43" s="205">
        <f>+(BL45*BL16)/1000</f>
        <v>50.553100000000001</v>
      </c>
      <c r="BM43" s="205">
        <f>+(BM45*BM16)/1000</f>
        <v>52.987199999999994</v>
      </c>
      <c r="BN43" s="205">
        <f>+(BN45*BN16)/1000</f>
        <v>53.498640000000002</v>
      </c>
      <c r="BO43" s="191">
        <f>+SUM(BK43:BN43)</f>
        <v>191.23954000000001</v>
      </c>
      <c r="BP43" s="9"/>
      <c r="BQ43" s="750">
        <f>+(BQ45*BQ16)/1000</f>
        <v>48.29999999999999</v>
      </c>
      <c r="BR43" s="205">
        <f>+(BR45*BR16)/1000</f>
        <v>53.905199999999994</v>
      </c>
      <c r="BS43" s="205">
        <f>+(BS45*BS16)/1000</f>
        <v>58.176337499999988</v>
      </c>
      <c r="BT43" s="205">
        <f>+(BT45*BT16)/1000</f>
        <v>60.120198749999979</v>
      </c>
      <c r="BU43" s="191">
        <f>+SUM(BQ43:BT43)</f>
        <v>220.50173624999996</v>
      </c>
      <c r="BV43" s="9"/>
      <c r="BW43" s="750">
        <f>+(BW45*BW16)/1000</f>
        <v>56.888375000000011</v>
      </c>
      <c r="BX43" s="205">
        <f>+(BX45*BX16)/1000</f>
        <v>58.595026250000011</v>
      </c>
      <c r="BY43" s="205">
        <f>+(BY45*BY16)/1000</f>
        <v>60.301677500000011</v>
      </c>
      <c r="BZ43" s="205">
        <f>+(BZ45*BZ16)/1000</f>
        <v>62.008328750000011</v>
      </c>
      <c r="CA43" s="191">
        <f>+SUM(BW43:BZ43)</f>
        <v>237.79340750000003</v>
      </c>
      <c r="CB43" s="9"/>
      <c r="CC43" s="750">
        <f>+(CC45*CC16)/1000</f>
        <v>54.682455000000004</v>
      </c>
      <c r="CD43" s="205">
        <f>+(CD45*CD16)/1000</f>
        <v>56.2907625</v>
      </c>
      <c r="CE43" s="205">
        <f>+(CE45*CE16)/1000</f>
        <v>57.899070000000009</v>
      </c>
      <c r="CF43" s="205">
        <f>+(CF45*CF16)/1000</f>
        <v>59.507377500000011</v>
      </c>
      <c r="CG43" s="191">
        <f>+SUM(CC43:CF43)</f>
        <v>228.37966500000005</v>
      </c>
      <c r="CH43" s="9"/>
      <c r="CI43" s="750">
        <f>+(CI45*CI16)/1000</f>
        <v>55.546660000000003</v>
      </c>
      <c r="CJ43" s="205">
        <f>+(CJ45*CJ16)/1000</f>
        <v>57.148967500000005</v>
      </c>
      <c r="CK43" s="205">
        <f>+(CK45*CK16)/1000</f>
        <v>58.751275000000007</v>
      </c>
      <c r="CL43" s="205">
        <f>+(CL45*CL16)/1000</f>
        <v>60.353582500000009</v>
      </c>
      <c r="CM43" s="191">
        <f>+SUM(CI43:CL43)</f>
        <v>231.80048500000004</v>
      </c>
      <c r="CN43" s="9"/>
      <c r="CO43" s="750">
        <f>+(CO45*CO16)/1000</f>
        <v>56.402865000000006</v>
      </c>
      <c r="CP43" s="205">
        <f>+(CP45*CP16)/1000</f>
        <v>57.9991725</v>
      </c>
      <c r="CQ43" s="205">
        <f>+(CQ45*CQ16)/1000</f>
        <v>59.595480000000002</v>
      </c>
      <c r="CR43" s="205">
        <f>+(CR45*CR16)/1000</f>
        <v>61.191787500000011</v>
      </c>
      <c r="CS43" s="191">
        <f>+SUM(CO43:CR43)</f>
        <v>235.18930500000002</v>
      </c>
      <c r="CT43" s="205"/>
      <c r="CU43" s="205"/>
      <c r="CV43" s="205"/>
      <c r="CW43" s="205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8"/>
      <c r="DN43" s="68"/>
      <c r="DO43" s="68"/>
      <c r="DP43" s="68"/>
      <c r="DQ43" s="68"/>
      <c r="DR43" s="68"/>
      <c r="DS43" s="68"/>
      <c r="DT43" s="68"/>
      <c r="DU43" s="68"/>
      <c r="DV43" s="68"/>
      <c r="DW43" s="68"/>
      <c r="DX43" s="68"/>
    </row>
    <row r="44" spans="1:128">
      <c r="A44" s="1985" t="s">
        <v>601</v>
      </c>
      <c r="B44" s="1302"/>
      <c r="C44" s="761"/>
      <c r="D44" s="762"/>
      <c r="E44" s="762"/>
      <c r="F44" s="762"/>
      <c r="G44" s="1986"/>
      <c r="H44" s="86"/>
      <c r="I44" s="761"/>
      <c r="J44" s="762"/>
      <c r="K44" s="762"/>
      <c r="L44" s="762"/>
      <c r="M44" s="1986"/>
      <c r="N44" s="1302"/>
      <c r="O44" s="1988">
        <f>+O43/O$13</f>
        <v>0</v>
      </c>
      <c r="P44" s="196">
        <f>+P43/P$13</f>
        <v>0</v>
      </c>
      <c r="Q44" s="196">
        <f>+Q43/Q$13</f>
        <v>0</v>
      </c>
      <c r="R44" s="1989">
        <f>+R43/R$13</f>
        <v>0</v>
      </c>
      <c r="S44" s="1990">
        <f>+S43/S$13</f>
        <v>0</v>
      </c>
      <c r="T44" s="1302"/>
      <c r="U44" s="1988">
        <f>+U43/U$13</f>
        <v>0.05</v>
      </c>
      <c r="V44" s="196">
        <f>+V43/V$13</f>
        <v>4.9999999999999996E-2</v>
      </c>
      <c r="W44" s="196">
        <f>+W43/W$13</f>
        <v>4.9999999999999996E-2</v>
      </c>
      <c r="X44" s="1989">
        <f>+X43/X$13</f>
        <v>5.000000000000001E-2</v>
      </c>
      <c r="Y44" s="1990">
        <f>+Y43/Y$13</f>
        <v>5.0037097812482827E-2</v>
      </c>
      <c r="Z44" s="1987"/>
      <c r="AA44" s="1988">
        <f>+AA43/AA$13</f>
        <v>0.13750000000000004</v>
      </c>
      <c r="AB44" s="196">
        <f>+AB43/AB$13</f>
        <v>0.13750000000000004</v>
      </c>
      <c r="AC44" s="196">
        <f>+AC43/AC$13</f>
        <v>0.13750000000000004</v>
      </c>
      <c r="AD44" s="1989">
        <f>+AD43/AD$13</f>
        <v>0.13750000000000001</v>
      </c>
      <c r="AE44" s="1990">
        <f>+AE43/AE$13</f>
        <v>0.13775140865837815</v>
      </c>
      <c r="AF44" s="1302"/>
      <c r="AG44" s="1988">
        <f>+AG43/AG$13</f>
        <v>0.20624999999999996</v>
      </c>
      <c r="AH44" s="196">
        <f>+AH43/AH$13</f>
        <v>0.20625000000000002</v>
      </c>
      <c r="AI44" s="196">
        <f>+AI43/AI$13</f>
        <v>0.20624999999999999</v>
      </c>
      <c r="AJ44" s="1989">
        <f>+AJ43/AJ$13</f>
        <v>0.20624999999999999</v>
      </c>
      <c r="AK44" s="1990">
        <f>+AK43/AK$13</f>
        <v>0.20609293576141571</v>
      </c>
      <c r="AL44" s="1302"/>
      <c r="AM44" s="1988">
        <f>+AM43/AM$13</f>
        <v>0.27500000000000008</v>
      </c>
      <c r="AN44" s="196">
        <f>+AN43/AN$13</f>
        <v>0.27500000000000008</v>
      </c>
      <c r="AO44" s="196">
        <f>+AO43/AO$13</f>
        <v>0.30937500000000012</v>
      </c>
      <c r="AP44" s="1989">
        <f>+AP43/AP$13</f>
        <v>0.30937500000000012</v>
      </c>
      <c r="AQ44" s="1990">
        <f>+AQ43/AQ$13</f>
        <v>0.29207490099561162</v>
      </c>
      <c r="AR44" s="1302"/>
      <c r="AS44" s="1988">
        <f>+AS43/AS$13</f>
        <v>0.28999999999999998</v>
      </c>
      <c r="AT44" s="196">
        <f>+AT43/AT$13</f>
        <v>0.29499999999999993</v>
      </c>
      <c r="AU44" s="196">
        <f>+AU43/AU$13</f>
        <v>0.29499999999999993</v>
      </c>
      <c r="AV44" s="1989">
        <f>+AV43/AV$13</f>
        <v>0.3</v>
      </c>
      <c r="AW44" s="1990">
        <f>+AW43/AW$13</f>
        <v>0.29524278113328817</v>
      </c>
      <c r="AX44" s="1302"/>
      <c r="AY44" s="1988">
        <f>+AY43/AY$13</f>
        <v>0.33</v>
      </c>
      <c r="AZ44" s="196">
        <f>+AZ43/AZ$13</f>
        <v>0.31000000000000005</v>
      </c>
      <c r="BA44" s="196">
        <f>+BA43/BA$13</f>
        <v>0.31</v>
      </c>
      <c r="BB44" s="1989">
        <f>+BB43/BB$13</f>
        <v>0.33</v>
      </c>
      <c r="BC44" s="1990">
        <f>+BC43/BC$13</f>
        <v>0.31981330886619513</v>
      </c>
      <c r="BD44" s="1"/>
      <c r="BE44" s="1988">
        <f>+BE43/BE$13</f>
        <v>0.3219878699508274</v>
      </c>
      <c r="BF44" s="196">
        <f>+BF43/BF$13</f>
        <v>0.34</v>
      </c>
      <c r="BG44" s="196">
        <f>+BG43/BG$13</f>
        <v>0.35000000000000003</v>
      </c>
      <c r="BH44" s="1989">
        <f>+BH43/BH$13</f>
        <v>0.35999999999999993</v>
      </c>
      <c r="BI44" s="1990">
        <f>+BI43/BI$13</f>
        <v>0.34261918280266768</v>
      </c>
      <c r="BJ44" s="9"/>
      <c r="BK44" s="1988">
        <f>+BK43/BK$13</f>
        <v>0.34</v>
      </c>
      <c r="BL44" s="196">
        <f>+BL43/BL$13</f>
        <v>0.37000000000000011</v>
      </c>
      <c r="BM44" s="196">
        <f>+BM43/BM$13</f>
        <v>0.37999999999999995</v>
      </c>
      <c r="BN44" s="1989">
        <f>+BN43/BN$13</f>
        <v>0.39000000000000007</v>
      </c>
      <c r="BO44" s="1990">
        <f>+BO43/BO$13</f>
        <v>0.37234268227111356</v>
      </c>
      <c r="BP44" s="9"/>
      <c r="BQ44" s="1988">
        <f>+BQ43/BQ$13</f>
        <v>0.42</v>
      </c>
      <c r="BR44" s="196">
        <f>+BR43/BR$13</f>
        <v>0.435</v>
      </c>
      <c r="BS44" s="196">
        <f>+BS43/BS$13</f>
        <v>0.44999999999999996</v>
      </c>
      <c r="BT44" s="1989">
        <f>+BT43/BT$13</f>
        <v>0.46499999999999991</v>
      </c>
      <c r="BU44" s="1990">
        <f>+BU43/BU$13</f>
        <v>0.44328909414230611</v>
      </c>
      <c r="BV44" s="9"/>
      <c r="BW44" s="1988">
        <f>+BW43/BW$13</f>
        <v>0.50000000000000011</v>
      </c>
      <c r="BX44" s="196">
        <f>+BX43/BX$13</f>
        <v>0.51500000000000001</v>
      </c>
      <c r="BY44" s="196">
        <f>+BY43/BY$13</f>
        <v>0.53</v>
      </c>
      <c r="BZ44" s="1989">
        <f>+BZ43/BZ$13</f>
        <v>0.54500000000000004</v>
      </c>
      <c r="CA44" s="1990">
        <f>+CA43/CA$13</f>
        <v>0.52250000000000008</v>
      </c>
      <c r="CB44" s="9"/>
      <c r="CC44" s="1988">
        <f>+CC43/CC$13</f>
        <v>0.51</v>
      </c>
      <c r="CD44" s="196">
        <f>+CD43/CD$13</f>
        <v>0.52500000000000002</v>
      </c>
      <c r="CE44" s="196">
        <f>+CE43/CE$13</f>
        <v>0.54</v>
      </c>
      <c r="CF44" s="1989">
        <f>+CF43/CF$13</f>
        <v>0.55500000000000005</v>
      </c>
      <c r="CG44" s="1990">
        <f>+CG43/CG$13</f>
        <v>0.53250000000000008</v>
      </c>
      <c r="CH44" s="9"/>
      <c r="CI44" s="1988">
        <f>+CI43/CI$13</f>
        <v>0.52</v>
      </c>
      <c r="CJ44" s="196">
        <f>+CJ43/CJ$13</f>
        <v>0.53500000000000003</v>
      </c>
      <c r="CK44" s="196">
        <f>+CK43/CK$13</f>
        <v>0.55000000000000004</v>
      </c>
      <c r="CL44" s="1989">
        <f>+CL43/CL$13</f>
        <v>0.56500000000000006</v>
      </c>
      <c r="CM44" s="1990">
        <f>+CM43/CM$13</f>
        <v>0.5425000000000002</v>
      </c>
      <c r="CN44" s="9"/>
      <c r="CO44" s="1988">
        <f>+CO43/CO$13</f>
        <v>0.53</v>
      </c>
      <c r="CP44" s="196">
        <f>+CP43/CP$13</f>
        <v>0.54499999999999993</v>
      </c>
      <c r="CQ44" s="196">
        <f>+CQ43/CQ$13</f>
        <v>0.55999999999999994</v>
      </c>
      <c r="CR44" s="1989">
        <f>+CR43/CR$13</f>
        <v>0.57500000000000007</v>
      </c>
      <c r="CS44" s="1990">
        <f>+CS43/CS$13</f>
        <v>0.55249999999999988</v>
      </c>
      <c r="CT44" s="2005"/>
      <c r="CU44" s="2005"/>
      <c r="CV44" s="2005"/>
      <c r="CW44" s="2005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8"/>
      <c r="DN44" s="68"/>
      <c r="DO44" s="68"/>
      <c r="DP44" s="68"/>
      <c r="DQ44" s="68"/>
      <c r="DR44" s="68"/>
      <c r="DS44" s="68"/>
      <c r="DT44" s="68"/>
      <c r="DU44" s="68"/>
      <c r="DV44" s="68"/>
      <c r="DW44" s="68"/>
      <c r="DX44" s="68"/>
    </row>
    <row r="45" spans="1:128">
      <c r="A45" s="1971" t="s">
        <v>566</v>
      </c>
      <c r="B45" s="63"/>
      <c r="C45" s="760"/>
      <c r="D45" s="740"/>
      <c r="E45" s="740"/>
      <c r="F45" s="740"/>
      <c r="G45" s="739"/>
      <c r="H45" s="205"/>
      <c r="I45" s="760"/>
      <c r="J45" s="740"/>
      <c r="K45" s="740"/>
      <c r="L45" s="740"/>
      <c r="M45" s="739"/>
      <c r="N45" s="63"/>
      <c r="O45" s="750">
        <f>+O46*O14</f>
        <v>0</v>
      </c>
      <c r="P45" s="205">
        <f>+P46*P14</f>
        <v>0</v>
      </c>
      <c r="Q45" s="205">
        <f>+Q46*Q14</f>
        <v>0</v>
      </c>
      <c r="R45" s="205">
        <f>+R46*R14</f>
        <v>0</v>
      </c>
      <c r="S45" s="191">
        <f>+S46*S14</f>
        <v>0</v>
      </c>
      <c r="T45" s="1"/>
      <c r="U45" s="750">
        <f>+U46*U14</f>
        <v>8.65</v>
      </c>
      <c r="V45" s="205">
        <f>+V46*V14</f>
        <v>8.85</v>
      </c>
      <c r="W45" s="205">
        <f>+W46*W14</f>
        <v>8.1</v>
      </c>
      <c r="X45" s="205">
        <f>+X46*X14</f>
        <v>11.200000000000001</v>
      </c>
      <c r="Y45" s="191">
        <f>+Y46*Y14</f>
        <v>0</v>
      </c>
      <c r="Z45" s="68"/>
      <c r="AA45" s="750">
        <f>+AA46*AA14</f>
        <v>23.650000000000006</v>
      </c>
      <c r="AB45" s="205">
        <f>+AB46*AB14</f>
        <v>24.337500000000006</v>
      </c>
      <c r="AC45" s="205">
        <f>+AC46*AC14</f>
        <v>26.125000000000007</v>
      </c>
      <c r="AD45" s="205">
        <f>+AD46*AD14</f>
        <v>39.32500000000001</v>
      </c>
      <c r="AE45" s="191">
        <f>+AE46*AE14</f>
        <v>113.43750000000003</v>
      </c>
      <c r="AF45" s="68"/>
      <c r="AG45" s="750">
        <f>+AG46*AG14</f>
        <v>76.3125</v>
      </c>
      <c r="AH45" s="205">
        <f>+AH46*AH14</f>
        <v>72.600000000000009</v>
      </c>
      <c r="AI45" s="205">
        <f>+AI46*AI14</f>
        <v>84.768750000000011</v>
      </c>
      <c r="AJ45" s="205">
        <f>+AJ46*AJ14</f>
        <v>84.356250000000003</v>
      </c>
      <c r="AK45" s="191">
        <f>+AK46*AK14</f>
        <v>318.03750000000014</v>
      </c>
      <c r="AL45" s="68"/>
      <c r="AM45" s="750">
        <f>+AM46*AM14</f>
        <v>113.02500000000003</v>
      </c>
      <c r="AN45" s="205">
        <f>+AN46*AN14</f>
        <v>108.07500000000003</v>
      </c>
      <c r="AO45" s="205">
        <f>+AO46*AO14</f>
        <v>129.93750000000003</v>
      </c>
      <c r="AP45" s="205">
        <f>+AP46*AP14</f>
        <v>128.08125000000004</v>
      </c>
      <c r="AQ45" s="191">
        <f>+SUM(AM45:AP45)</f>
        <v>479.1187500000002</v>
      </c>
      <c r="AR45" s="63"/>
      <c r="AS45" s="750">
        <f>+AS46*AS$14</f>
        <v>155.72999999999999</v>
      </c>
      <c r="AT45" s="63">
        <f>+AT46*AT$14</f>
        <v>166.38</v>
      </c>
      <c r="AU45" s="63">
        <f>+AU46*AU$14</f>
        <v>168.14999999999998</v>
      </c>
      <c r="AV45" s="1">
        <f>+AV46*AV$14</f>
        <v>185.7</v>
      </c>
      <c r="AW45" s="191">
        <f>+SUM(AS45:AV45)</f>
        <v>675.96</v>
      </c>
      <c r="AX45" s="1"/>
      <c r="AY45" s="750">
        <f>+AY46*AY14</f>
        <v>190.14303000000001</v>
      </c>
      <c r="AZ45" s="205">
        <f>+AZ46*AZ14</f>
        <v>187.21082503759399</v>
      </c>
      <c r="BA45" s="205">
        <f>+BA46*BA14</f>
        <v>173.83474691729324</v>
      </c>
      <c r="BB45" s="205">
        <f>+BB46*BB14</f>
        <v>253.15765200000001</v>
      </c>
      <c r="BC45" s="191">
        <f>+SUM(AY45:BB45)</f>
        <v>804.34625395488729</v>
      </c>
      <c r="BD45" s="1"/>
      <c r="BE45" s="750">
        <f>+AY45*1.2</f>
        <v>228.17163600000001</v>
      </c>
      <c r="BF45" s="205">
        <f>+BF46*BF14</f>
        <v>242.75881413112782</v>
      </c>
      <c r="BG45" s="205">
        <f>+BG46*BG14</f>
        <v>258.17977130399998</v>
      </c>
      <c r="BH45" s="205">
        <f>+BH46*BH14</f>
        <v>247.06778033663997</v>
      </c>
      <c r="BI45" s="191">
        <f>+SUM(BE45:BH45)</f>
        <v>976.17800177176787</v>
      </c>
      <c r="BJ45" s="9"/>
      <c r="BK45" s="750">
        <f>+BK46*BK14</f>
        <v>169.97051073702403</v>
      </c>
      <c r="BL45" s="205">
        <f>+BL46*BL14</f>
        <v>155.41707569322881</v>
      </c>
      <c r="BM45" s="205">
        <f>+BM46*BM14</f>
        <v>188.1</v>
      </c>
      <c r="BN45" s="205">
        <f>+BN46*BN14</f>
        <v>174.72</v>
      </c>
      <c r="BO45" s="191">
        <f>+SUM(BK45:BN45)</f>
        <v>688.20758643025283</v>
      </c>
      <c r="BP45" s="9"/>
      <c r="BQ45" s="750">
        <f>+BQ46*BQ14</f>
        <v>174.29999999999998</v>
      </c>
      <c r="BR45" s="205">
        <f>+BR46*BR14</f>
        <v>184.875</v>
      </c>
      <c r="BS45" s="205">
        <f>+BS46*BS14</f>
        <v>191.25</v>
      </c>
      <c r="BT45" s="205">
        <f>+BT46*BT14</f>
        <v>197.625</v>
      </c>
      <c r="BU45" s="191">
        <f>+SUM(BQ45:BT45)</f>
        <v>748.05</v>
      </c>
      <c r="BV45" s="9"/>
      <c r="BW45" s="750">
        <f>+BW46*BW14</f>
        <v>210</v>
      </c>
      <c r="BX45" s="205">
        <f>+BX46*BX14</f>
        <v>216.3</v>
      </c>
      <c r="BY45" s="205">
        <f>+BY46*BY14</f>
        <v>222.60000000000002</v>
      </c>
      <c r="BZ45" s="205">
        <f>+BZ46*BZ14</f>
        <v>228.9</v>
      </c>
      <c r="CA45" s="191">
        <f>+SUM(BW45:BZ45)</f>
        <v>877.80000000000007</v>
      </c>
      <c r="CB45" s="9"/>
      <c r="CC45" s="750">
        <f>+CC46*CC14</f>
        <v>214.20000000000002</v>
      </c>
      <c r="CD45" s="205">
        <f>+CD46*CD14</f>
        <v>220.5</v>
      </c>
      <c r="CE45" s="205">
        <f>+CE46*CE14</f>
        <v>226.8</v>
      </c>
      <c r="CF45" s="205">
        <f>+CF46*CF14</f>
        <v>233.10000000000002</v>
      </c>
      <c r="CG45" s="191">
        <f>+SUM(CC45:CF45)</f>
        <v>894.6</v>
      </c>
      <c r="CH45" s="9"/>
      <c r="CI45" s="750">
        <f>+CI46*CI14</f>
        <v>218.4</v>
      </c>
      <c r="CJ45" s="205">
        <f>+CJ46*CJ14</f>
        <v>224.70000000000002</v>
      </c>
      <c r="CK45" s="205">
        <f>+CK46*CK14</f>
        <v>231.00000000000003</v>
      </c>
      <c r="CL45" s="205">
        <f>+CL46*CL14</f>
        <v>237.3</v>
      </c>
      <c r="CM45" s="191">
        <f>+SUM(CI45:CL45)</f>
        <v>911.40000000000009</v>
      </c>
      <c r="CN45" s="9"/>
      <c r="CO45" s="750">
        <f>+CO46*CO14</f>
        <v>222.60000000000002</v>
      </c>
      <c r="CP45" s="205">
        <f>+CP46*CP14</f>
        <v>228.9</v>
      </c>
      <c r="CQ45" s="205">
        <f>+CQ46*CQ14</f>
        <v>235.20000000000002</v>
      </c>
      <c r="CR45" s="205">
        <f>+CR46*CR14</f>
        <v>241.50000000000003</v>
      </c>
      <c r="CS45" s="191">
        <f>+SUM(CO45:CR45)</f>
        <v>928.2</v>
      </c>
      <c r="CT45" s="205"/>
      <c r="CU45" s="205"/>
      <c r="CV45" s="205"/>
      <c r="CW45" s="205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8"/>
      <c r="DN45" s="68"/>
      <c r="DO45" s="68"/>
      <c r="DP45" s="68"/>
      <c r="DQ45" s="68"/>
      <c r="DR45" s="68"/>
      <c r="DS45" s="68"/>
      <c r="DT45" s="68"/>
      <c r="DU45" s="68"/>
      <c r="DV45" s="68"/>
      <c r="DW45" s="68"/>
      <c r="DX45" s="68"/>
    </row>
    <row r="46" spans="1:128">
      <c r="A46" s="1985" t="s">
        <v>563</v>
      </c>
      <c r="B46" s="63"/>
      <c r="C46" s="760"/>
      <c r="D46" s="740"/>
      <c r="E46" s="740"/>
      <c r="F46" s="740"/>
      <c r="G46" s="739"/>
      <c r="H46" s="205"/>
      <c r="I46" s="760"/>
      <c r="J46" s="740"/>
      <c r="K46" s="740"/>
      <c r="L46" s="740"/>
      <c r="M46" s="739"/>
      <c r="N46" s="63"/>
      <c r="O46" s="2004">
        <v>0</v>
      </c>
      <c r="P46" s="2005">
        <v>0</v>
      </c>
      <c r="Q46" s="2005">
        <v>0</v>
      </c>
      <c r="R46" s="1999">
        <v>0</v>
      </c>
      <c r="S46" s="1990">
        <v>0</v>
      </c>
      <c r="T46" s="63"/>
      <c r="U46" s="2004">
        <v>0.05</v>
      </c>
      <c r="V46" s="2005">
        <v>0.05</v>
      </c>
      <c r="W46" s="2005">
        <v>0.05</v>
      </c>
      <c r="X46" s="1999">
        <v>0.05</v>
      </c>
      <c r="Y46" s="1990">
        <v>0</v>
      </c>
      <c r="Z46" s="2006"/>
      <c r="AA46" s="2004">
        <f>+($AY$46/$AY$47)*AA96</f>
        <v>0.13750000000000004</v>
      </c>
      <c r="AB46" s="2005">
        <f>+($AY$46/$AY$47)*AB96</f>
        <v>0.13750000000000004</v>
      </c>
      <c r="AC46" s="2005">
        <f>+($AY$46/$AY$47)*AC96</f>
        <v>0.13750000000000004</v>
      </c>
      <c r="AD46" s="1999">
        <f>+($AY$46/$AY$47)*AD96</f>
        <v>0.13750000000000004</v>
      </c>
      <c r="AE46" s="1990">
        <f>+($AY$46/$AY$47)*AE96</f>
        <v>0.13750000000000004</v>
      </c>
      <c r="AF46" s="2006"/>
      <c r="AG46" s="2004">
        <f>+($AY$46/$AY$47)*AG96</f>
        <v>0.20625000000000002</v>
      </c>
      <c r="AH46" s="2005">
        <f>+($AY$46/$AY$47)*AH96</f>
        <v>0.20625000000000002</v>
      </c>
      <c r="AI46" s="2005">
        <f>+($AY$46/$AY$47)*AI96</f>
        <v>0.20625000000000002</v>
      </c>
      <c r="AJ46" s="1999">
        <f>+($AY$46/$AY$47)*AJ96</f>
        <v>0.20625000000000002</v>
      </c>
      <c r="AK46" s="1990">
        <f>+($AY$46/$AY$47)*AK96</f>
        <v>0.20625000000000007</v>
      </c>
      <c r="AL46" s="2006"/>
      <c r="AM46" s="2004">
        <f>+($AY$46/$AY$47)*AM96</f>
        <v>0.27500000000000008</v>
      </c>
      <c r="AN46" s="2005">
        <f>+($AY$46/$AY$47)*AN96</f>
        <v>0.27500000000000008</v>
      </c>
      <c r="AO46" s="2005">
        <f>+($AY$46/$AY$47)*AO96</f>
        <v>0.30937500000000007</v>
      </c>
      <c r="AP46" s="1999">
        <f>+($AY$46/$AY$47)*AP96</f>
        <v>0.30937500000000007</v>
      </c>
      <c r="AQ46" s="1990">
        <f>+AQ45/AQ14</f>
        <v>0.2925022893772895</v>
      </c>
      <c r="AR46" s="2006"/>
      <c r="AS46" s="2202">
        <v>0.28999999999999998</v>
      </c>
      <c r="AT46" s="2028">
        <v>0.29499999999999998</v>
      </c>
      <c r="AU46" s="2028">
        <v>0.29499999999999998</v>
      </c>
      <c r="AV46" s="2029">
        <v>0.3</v>
      </c>
      <c r="AW46" s="1990">
        <f>+AW45/AW14</f>
        <v>0.29517903930131006</v>
      </c>
      <c r="AX46" s="2007"/>
      <c r="AY46" s="2202">
        <v>0.33</v>
      </c>
      <c r="AZ46" s="2028">
        <v>0.31</v>
      </c>
      <c r="BA46" s="2028">
        <v>0.31</v>
      </c>
      <c r="BB46" s="2029">
        <v>0.33</v>
      </c>
      <c r="BC46" s="1990">
        <f>+BC45/BC14</f>
        <v>0.32071240976477505</v>
      </c>
      <c r="BD46" s="1"/>
      <c r="BE46" s="2004">
        <f>+BE45/BE14</f>
        <v>0.3219878699508274</v>
      </c>
      <c r="BF46" s="2090">
        <v>0.34</v>
      </c>
      <c r="BG46" s="2090">
        <v>0.35</v>
      </c>
      <c r="BH46" s="2091">
        <v>0.36</v>
      </c>
      <c r="BI46" s="1990">
        <f>+BI45/BI14</f>
        <v>0.34292931193054271</v>
      </c>
      <c r="BJ46" s="9"/>
      <c r="BK46" s="2089">
        <v>0.34</v>
      </c>
      <c r="BL46" s="2090">
        <v>0.37</v>
      </c>
      <c r="BM46" s="2090">
        <f>+BL46+0.01</f>
        <v>0.38</v>
      </c>
      <c r="BN46" s="2091">
        <f>+BM46+0.01</f>
        <v>0.39</v>
      </c>
      <c r="BO46" s="1990">
        <f>+BO45/BO14</f>
        <v>0.36941630612236959</v>
      </c>
      <c r="BP46" s="9"/>
      <c r="BQ46" s="2089">
        <v>0.42</v>
      </c>
      <c r="BR46" s="2090">
        <f>+BQ46+0.015</f>
        <v>0.435</v>
      </c>
      <c r="BS46" s="2090">
        <f>+BR46+0.015</f>
        <v>0.45</v>
      </c>
      <c r="BT46" s="2090">
        <f>+BS46+0.015</f>
        <v>0.46500000000000002</v>
      </c>
      <c r="BU46" s="1990">
        <f>+BU45/BU14</f>
        <v>0.44263313609467453</v>
      </c>
      <c r="BV46" s="9"/>
      <c r="BW46" s="3015">
        <v>0.5</v>
      </c>
      <c r="BX46" s="2090">
        <f>+BW46+0.015</f>
        <v>0.51500000000000001</v>
      </c>
      <c r="BY46" s="2090">
        <f>+BX46+0.015</f>
        <v>0.53</v>
      </c>
      <c r="BZ46" s="2090">
        <f>+BY46+0.015</f>
        <v>0.54500000000000004</v>
      </c>
      <c r="CA46" s="1990">
        <f>+CA45/CA14</f>
        <v>0.52250000000000008</v>
      </c>
      <c r="CB46" s="9"/>
      <c r="CC46" s="2089">
        <f>+BW46+1%</f>
        <v>0.51</v>
      </c>
      <c r="CD46" s="2090">
        <f>+CC46+0.015</f>
        <v>0.52500000000000002</v>
      </c>
      <c r="CE46" s="2090">
        <f>+CD46+0.015</f>
        <v>0.54</v>
      </c>
      <c r="CF46" s="2090">
        <f>+CE46+0.015</f>
        <v>0.55500000000000005</v>
      </c>
      <c r="CG46" s="1990">
        <f>+CG45/CG14</f>
        <v>0.53249999999999997</v>
      </c>
      <c r="CH46" s="9"/>
      <c r="CI46" s="2089">
        <f>+CC46+1%</f>
        <v>0.52</v>
      </c>
      <c r="CJ46" s="2090">
        <f>+CI46+0.015</f>
        <v>0.53500000000000003</v>
      </c>
      <c r="CK46" s="2090">
        <f>+CJ46+0.015</f>
        <v>0.55000000000000004</v>
      </c>
      <c r="CL46" s="2090">
        <f>+CK46+0.015</f>
        <v>0.56500000000000006</v>
      </c>
      <c r="CM46" s="1990">
        <f>+CM45/CM14</f>
        <v>0.54250000000000009</v>
      </c>
      <c r="CN46" s="9"/>
      <c r="CO46" s="2089">
        <f>+CI46+1%</f>
        <v>0.53</v>
      </c>
      <c r="CP46" s="2090">
        <f>+CO46+0.015</f>
        <v>0.54500000000000004</v>
      </c>
      <c r="CQ46" s="2090">
        <f>+CP46+0.015</f>
        <v>0.56000000000000005</v>
      </c>
      <c r="CR46" s="2090">
        <f>+CQ46+0.015</f>
        <v>0.57500000000000007</v>
      </c>
      <c r="CS46" s="1990">
        <f>+CS45/CS14</f>
        <v>0.55249999999999999</v>
      </c>
      <c r="CT46" s="2005"/>
      <c r="CU46" s="2005"/>
      <c r="CV46" s="2005"/>
      <c r="CW46" s="2005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60"/>
      <c r="DI46" s="60"/>
      <c r="DJ46" s="60"/>
      <c r="DK46" s="60"/>
      <c r="DL46" s="60"/>
      <c r="DM46" s="68"/>
      <c r="DN46" s="68"/>
      <c r="DO46" s="68"/>
      <c r="DP46" s="68"/>
      <c r="DQ46" s="68"/>
      <c r="DR46" s="68"/>
      <c r="DS46" s="68"/>
      <c r="DT46" s="68"/>
      <c r="DU46" s="68"/>
      <c r="DV46" s="68"/>
      <c r="DW46" s="68"/>
      <c r="DX46" s="68"/>
    </row>
    <row r="47" spans="1:128">
      <c r="A47" s="1985" t="s">
        <v>567</v>
      </c>
      <c r="B47" s="63"/>
      <c r="C47" s="760"/>
      <c r="D47" s="740"/>
      <c r="E47" s="740"/>
      <c r="F47" s="740"/>
      <c r="G47" s="739"/>
      <c r="H47" s="205"/>
      <c r="I47" s="760"/>
      <c r="J47" s="740"/>
      <c r="K47" s="740"/>
      <c r="L47" s="740"/>
      <c r="M47" s="739"/>
      <c r="N47" s="63"/>
      <c r="O47" s="1820"/>
      <c r="P47" s="1703"/>
      <c r="Q47" s="1703"/>
      <c r="R47" s="1968"/>
      <c r="S47" s="1961"/>
      <c r="T47" s="63"/>
      <c r="U47" s="2004"/>
      <c r="V47" s="2005"/>
      <c r="W47" s="2005"/>
      <c r="X47" s="1999"/>
      <c r="Y47" s="1990"/>
      <c r="Z47" s="2006"/>
      <c r="AA47" s="2004"/>
      <c r="AB47" s="2005"/>
      <c r="AC47" s="2005"/>
      <c r="AD47" s="1999"/>
      <c r="AE47" s="1990"/>
      <c r="AF47" s="2006"/>
      <c r="AG47" s="2004"/>
      <c r="AH47" s="2005"/>
      <c r="AI47" s="2005"/>
      <c r="AJ47" s="1999"/>
      <c r="AK47" s="1990"/>
      <c r="AL47" s="2006"/>
      <c r="AM47" s="2004"/>
      <c r="AN47" s="2005"/>
      <c r="AO47" s="2005"/>
      <c r="AP47" s="2005"/>
      <c r="AQ47" s="1990"/>
      <c r="AR47" s="2006"/>
      <c r="AS47" s="2004"/>
      <c r="AT47" s="2005"/>
      <c r="AU47" s="2005">
        <f>+((BA47*BA14)/(1.25))/AU14</f>
        <v>0.31481108666402852</v>
      </c>
      <c r="AV47" s="1999"/>
      <c r="AW47" s="1990"/>
      <c r="AX47" s="2007"/>
      <c r="AY47" s="2008">
        <v>0.48</v>
      </c>
      <c r="AZ47" s="2009">
        <v>0.4</v>
      </c>
      <c r="BA47" s="2009">
        <v>0.4</v>
      </c>
      <c r="BB47" s="2010">
        <f>+(0.3*(BB14-AV14))/BB14+(AV14*0.4)/BB14</f>
        <v>0.38068885075612885</v>
      </c>
      <c r="BC47" s="1990"/>
      <c r="BD47" s="1"/>
      <c r="BE47" s="2008"/>
      <c r="BF47" s="2009"/>
      <c r="BG47" s="2009"/>
      <c r="BH47" s="2010"/>
      <c r="BI47" s="3014">
        <v>0.39</v>
      </c>
      <c r="BJ47" s="9"/>
      <c r="BK47" s="2008"/>
      <c r="BL47" s="2009"/>
      <c r="BM47" s="2009"/>
      <c r="BN47" s="2010"/>
      <c r="BO47" s="3014">
        <v>0.45</v>
      </c>
      <c r="BP47" s="9"/>
      <c r="BQ47" s="2008"/>
      <c r="BR47" s="2009"/>
      <c r="BS47" s="2009"/>
      <c r="BT47" s="2010"/>
      <c r="BU47" s="1990">
        <f>BO47-BO46+BU46</f>
        <v>0.52321682997230501</v>
      </c>
      <c r="BV47" s="9"/>
      <c r="BW47" s="2008"/>
      <c r="BX47" s="2009"/>
      <c r="BY47" s="2009"/>
      <c r="BZ47" s="2010"/>
      <c r="CA47" s="1990">
        <f>BU47-BU46+CA46</f>
        <v>0.6030836938776305</v>
      </c>
      <c r="CB47" s="9"/>
      <c r="CC47" s="2008"/>
      <c r="CD47" s="2009"/>
      <c r="CE47" s="2009"/>
      <c r="CF47" s="2010"/>
      <c r="CG47" s="1990">
        <f>CA47-CA46+CG46</f>
        <v>0.6130836938776304</v>
      </c>
      <c r="CH47" s="9"/>
      <c r="CI47" s="2008"/>
      <c r="CJ47" s="2009"/>
      <c r="CK47" s="2009"/>
      <c r="CL47" s="2010"/>
      <c r="CM47" s="1990">
        <f>CG47-CG46+CM46</f>
        <v>0.62308369387763052</v>
      </c>
      <c r="CN47" s="9"/>
      <c r="CO47" s="2008"/>
      <c r="CP47" s="2009"/>
      <c r="CQ47" s="2009"/>
      <c r="CR47" s="2010"/>
      <c r="CS47" s="1990">
        <f>CM47-CM46+CS46</f>
        <v>0.63308369387763042</v>
      </c>
      <c r="CT47" s="2005"/>
      <c r="CU47" s="2005"/>
      <c r="CV47" s="2005"/>
      <c r="CW47" s="2005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60"/>
      <c r="DI47" s="60"/>
      <c r="DJ47" s="60"/>
      <c r="DK47" s="60"/>
      <c r="DL47" s="60"/>
      <c r="DM47" s="68"/>
      <c r="DN47" s="68"/>
      <c r="DO47" s="68"/>
      <c r="DP47" s="68"/>
      <c r="DQ47" s="68"/>
      <c r="DR47" s="68"/>
      <c r="DS47" s="68"/>
      <c r="DT47" s="68"/>
      <c r="DU47" s="68"/>
      <c r="DV47" s="68"/>
      <c r="DW47" s="68"/>
      <c r="DX47" s="68"/>
    </row>
    <row r="48" spans="1:128">
      <c r="A48" s="1971" t="s">
        <v>625</v>
      </c>
      <c r="B48" s="63"/>
      <c r="C48" s="760"/>
      <c r="D48" s="740"/>
      <c r="E48" s="740"/>
      <c r="F48" s="740"/>
      <c r="G48" s="739"/>
      <c r="H48" s="205"/>
      <c r="I48" s="760"/>
      <c r="J48" s="740"/>
      <c r="K48" s="740"/>
      <c r="L48" s="740"/>
      <c r="M48" s="739"/>
      <c r="N48" s="63"/>
      <c r="O48" s="750">
        <f>+M48+O45</f>
        <v>0</v>
      </c>
      <c r="P48" s="205">
        <f>+O48+P45</f>
        <v>0</v>
      </c>
      <c r="Q48" s="205">
        <f>+P48+Q45</f>
        <v>0</v>
      </c>
      <c r="R48" s="205">
        <f>+Q48+R45</f>
        <v>0</v>
      </c>
      <c r="S48" s="191">
        <f>+R48</f>
        <v>0</v>
      </c>
      <c r="T48" s="1"/>
      <c r="U48" s="750">
        <f>+S48+U45</f>
        <v>8.65</v>
      </c>
      <c r="V48" s="205">
        <f>+U48+V45</f>
        <v>17.5</v>
      </c>
      <c r="W48" s="205">
        <f>+V48+W45</f>
        <v>25.6</v>
      </c>
      <c r="X48" s="205">
        <f>+W48+X45</f>
        <v>36.800000000000004</v>
      </c>
      <c r="Y48" s="191">
        <f>+X48</f>
        <v>36.800000000000004</v>
      </c>
      <c r="Z48" s="68"/>
      <c r="AA48" s="750">
        <f>+Y48+AA45</f>
        <v>60.45000000000001</v>
      </c>
      <c r="AB48" s="205">
        <f>+AA48+AB45</f>
        <v>84.787500000000023</v>
      </c>
      <c r="AC48" s="205">
        <f>+AB48+AC45</f>
        <v>110.91250000000002</v>
      </c>
      <c r="AD48" s="205">
        <f>+AC48+AD45</f>
        <v>150.23750000000004</v>
      </c>
      <c r="AE48" s="191">
        <f>+AD48</f>
        <v>150.23750000000004</v>
      </c>
      <c r="AF48" s="68"/>
      <c r="AG48" s="750">
        <f>+AE48+AG45</f>
        <v>226.55000000000004</v>
      </c>
      <c r="AH48" s="205">
        <f>+AG48+AH45</f>
        <v>299.15000000000003</v>
      </c>
      <c r="AI48" s="205">
        <f>+AH48+AI45</f>
        <v>383.91875000000005</v>
      </c>
      <c r="AJ48" s="205">
        <f>+AI48+AJ45</f>
        <v>468.27500000000003</v>
      </c>
      <c r="AK48" s="191">
        <f>+AJ48</f>
        <v>468.27500000000003</v>
      </c>
      <c r="AL48" s="68"/>
      <c r="AM48" s="750">
        <f>+AK48+AM45</f>
        <v>581.30000000000007</v>
      </c>
      <c r="AN48" s="205">
        <f>+AM48+AN45</f>
        <v>689.37500000000011</v>
      </c>
      <c r="AO48" s="205">
        <f>+AN48+AO45</f>
        <v>819.31250000000011</v>
      </c>
      <c r="AP48" s="205">
        <f>+AO48+AP45</f>
        <v>947.39375000000018</v>
      </c>
      <c r="AQ48" s="191">
        <f>+AP48</f>
        <v>947.39375000000018</v>
      </c>
      <c r="AR48" s="63"/>
      <c r="AS48" s="750">
        <f>+AQ48+AS45</f>
        <v>1103.1237500000002</v>
      </c>
      <c r="AT48" s="205">
        <f>+AS48+AT45</f>
        <v>1269.5037500000003</v>
      </c>
      <c r="AU48" s="205">
        <f>+AT48+AU45</f>
        <v>1437.6537500000004</v>
      </c>
      <c r="AV48" s="205">
        <f>+AU48+AV45</f>
        <v>1623.3537500000004</v>
      </c>
      <c r="AW48" s="191">
        <f>+AV48</f>
        <v>1623.3537500000004</v>
      </c>
      <c r="AX48" s="1"/>
      <c r="AY48" s="750">
        <f>+AW48+AY45</f>
        <v>1813.4967800000004</v>
      </c>
      <c r="AZ48" s="205">
        <f>+AY48+AZ45</f>
        <v>2000.7076050375945</v>
      </c>
      <c r="BA48" s="205">
        <f>+AZ48+BA45</f>
        <v>2174.5423519548876</v>
      </c>
      <c r="BB48" s="205">
        <f>+BA48+BB45</f>
        <v>2427.7000039548875</v>
      </c>
      <c r="BC48" s="191">
        <f>+BB48</f>
        <v>2427.7000039548875</v>
      </c>
      <c r="BD48" s="1"/>
      <c r="BE48" s="750">
        <f>+BC48+BE45</f>
        <v>2655.8716399548875</v>
      </c>
      <c r="BF48" s="205">
        <f>+BE48+BF45</f>
        <v>2898.6304540860156</v>
      </c>
      <c r="BG48" s="205">
        <f>+BF48+BG45</f>
        <v>3156.8102253900156</v>
      </c>
      <c r="BH48" s="205">
        <f>+BG48+BH45</f>
        <v>3403.8780057266554</v>
      </c>
      <c r="BI48" s="191">
        <f>+BH48</f>
        <v>3403.8780057266554</v>
      </c>
      <c r="BJ48" s="9"/>
      <c r="BK48" s="750">
        <f>+BI48+BK45</f>
        <v>3573.8485164636795</v>
      </c>
      <c r="BL48" s="205">
        <f>+BK48+BL45</f>
        <v>3729.2655921569085</v>
      </c>
      <c r="BM48" s="205">
        <f>+BL48+BM45</f>
        <v>3917.3655921569084</v>
      </c>
      <c r="BN48" s="205">
        <f>+BM48+BN45</f>
        <v>4092.0855921569082</v>
      </c>
      <c r="BO48" s="191">
        <f>+BN48</f>
        <v>4092.0855921569082</v>
      </c>
      <c r="BP48" s="9"/>
      <c r="BQ48" s="750">
        <f>+BO48+BQ45</f>
        <v>4266.3855921569084</v>
      </c>
      <c r="BR48" s="205">
        <f>+BQ48+BR45</f>
        <v>4451.2605921569084</v>
      </c>
      <c r="BS48" s="205">
        <f>+BR48+BS45</f>
        <v>4642.5105921569084</v>
      </c>
      <c r="BT48" s="205">
        <f>+BS48+BT45</f>
        <v>4840.1355921569084</v>
      </c>
      <c r="BU48" s="191">
        <f>+BT48</f>
        <v>4840.1355921569084</v>
      </c>
      <c r="BV48" s="9"/>
      <c r="BW48" s="750">
        <f>+BU48+BW45</f>
        <v>5050.1355921569084</v>
      </c>
      <c r="BX48" s="205">
        <f>+BW48+BX45</f>
        <v>5266.4355921569086</v>
      </c>
      <c r="BY48" s="205">
        <f>+BX48+BY45</f>
        <v>5489.0355921569089</v>
      </c>
      <c r="BZ48" s="205">
        <f>+BY48+BZ45</f>
        <v>5717.9355921569086</v>
      </c>
      <c r="CA48" s="191">
        <f>+BZ48</f>
        <v>5717.9355921569086</v>
      </c>
      <c r="CB48" s="9"/>
      <c r="CC48" s="750">
        <f>+CA48+CC45</f>
        <v>5932.1355921569084</v>
      </c>
      <c r="CD48" s="205">
        <f>+CC48+CD45</f>
        <v>6152.6355921569084</v>
      </c>
      <c r="CE48" s="205">
        <f>+CD48+CE45</f>
        <v>6379.4355921569086</v>
      </c>
      <c r="CF48" s="205">
        <f>+CE48+CF45</f>
        <v>6612.5355921569089</v>
      </c>
      <c r="CG48" s="191">
        <f>+CF48</f>
        <v>6612.5355921569089</v>
      </c>
      <c r="CH48" s="9"/>
      <c r="CI48" s="750">
        <f>+CG48+CI45</f>
        <v>6830.9355921569086</v>
      </c>
      <c r="CJ48" s="205">
        <f>+CI48+CJ45</f>
        <v>7055.6355921569084</v>
      </c>
      <c r="CK48" s="205">
        <f>+CJ48+CK45</f>
        <v>7286.6355921569084</v>
      </c>
      <c r="CL48" s="205">
        <f>+CK48+CL45</f>
        <v>7523.9355921569086</v>
      </c>
      <c r="CM48" s="191">
        <f>+CL48</f>
        <v>7523.9355921569086</v>
      </c>
      <c r="CN48" s="9"/>
      <c r="CO48" s="750">
        <f>+CM48+CO45</f>
        <v>7746.5355921569089</v>
      </c>
      <c r="CP48" s="205">
        <f>+CO48+CP45</f>
        <v>7975.4355921569086</v>
      </c>
      <c r="CQ48" s="205">
        <f>+CP48+CQ45</f>
        <v>8210.6355921569084</v>
      </c>
      <c r="CR48" s="205">
        <f>+CQ48+CR45</f>
        <v>8452.1355921569084</v>
      </c>
      <c r="CS48" s="191">
        <f>+CR48</f>
        <v>8452.1355921569084</v>
      </c>
      <c r="CT48" s="205"/>
      <c r="CU48" s="205"/>
      <c r="CV48" s="205"/>
      <c r="CW48" s="205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60"/>
      <c r="DI48" s="60"/>
      <c r="DJ48" s="60"/>
      <c r="DK48" s="60"/>
      <c r="DL48" s="60"/>
      <c r="DM48" s="68"/>
      <c r="DN48" s="68"/>
      <c r="DO48" s="68"/>
      <c r="DP48" s="68"/>
      <c r="DQ48" s="68"/>
      <c r="DR48" s="68"/>
      <c r="DS48" s="68"/>
      <c r="DT48" s="68"/>
      <c r="DU48" s="68"/>
      <c r="DV48" s="68"/>
      <c r="DW48" s="68"/>
      <c r="DX48" s="68"/>
    </row>
    <row r="49" spans="1:128">
      <c r="A49" s="1972" t="s">
        <v>564</v>
      </c>
      <c r="B49" s="63"/>
      <c r="C49" s="760"/>
      <c r="D49" s="740"/>
      <c r="E49" s="740"/>
      <c r="F49" s="740"/>
      <c r="G49" s="739"/>
      <c r="H49" s="205"/>
      <c r="I49" s="760"/>
      <c r="J49" s="740"/>
      <c r="K49" s="740"/>
      <c r="L49" s="740"/>
      <c r="M49" s="739"/>
      <c r="N49" s="68"/>
      <c r="O49" s="750">
        <f>+(AVERAGE(O48,M48)*O20)/1000</f>
        <v>0</v>
      </c>
      <c r="P49" s="63">
        <f>+(AVERAGE(P48,O48)*P20)/1000</f>
        <v>0</v>
      </c>
      <c r="Q49" s="63">
        <f>+(AVERAGE(Q48,P48)*Q20)/1000</f>
        <v>0</v>
      </c>
      <c r="R49" s="1">
        <f>+(AVERAGE(R48,Q48)*R20)/1000</f>
        <v>0</v>
      </c>
      <c r="S49" s="191">
        <f>+SUM(O49:R49)</f>
        <v>0</v>
      </c>
      <c r="T49" s="68"/>
      <c r="U49" s="750">
        <f>+(AVERAGE(U48,S48)*U20)/1000</f>
        <v>0.35350718992518504</v>
      </c>
      <c r="V49" s="63">
        <f>+(AVERAGE(V48,U48)*V20)/1000</f>
        <v>1.081302447486119</v>
      </c>
      <c r="W49" s="63">
        <f>+(AVERAGE(W48,V48)*W20)/1000</f>
        <v>1.6980943416471634</v>
      </c>
      <c r="X49" s="1">
        <f>+(AVERAGE(X48,W48)*X20)/1000</f>
        <v>2.1927119106268798</v>
      </c>
      <c r="Y49" s="191">
        <f>+SUM(U49:X49)</f>
        <v>5.3256158896853476</v>
      </c>
      <c r="Z49" s="63"/>
      <c r="AA49" s="750">
        <f>+(AVERAGE(AA48,Y48)*AA20)/1000</f>
        <v>3.3427791453137643</v>
      </c>
      <c r="AB49" s="63">
        <f>+(AVERAGE(AB48,AA48)*AB20)/1000</f>
        <v>4.8282639364851354</v>
      </c>
      <c r="AC49" s="63">
        <f>+(AVERAGE(AC48,AB48)*AC20)/1000</f>
        <v>5.5432138623622436</v>
      </c>
      <c r="AD49" s="1">
        <f>+(AVERAGE(AD48,AC48)*AD20)/1000</f>
        <v>6.9368044836945586</v>
      </c>
      <c r="AE49" s="191">
        <f>+SUM(AA49:AD49)</f>
        <v>20.651061427855701</v>
      </c>
      <c r="AF49" s="63"/>
      <c r="AG49" s="750">
        <f>+(AVERAGE(AG48,AE48)*AG20)/1000</f>
        <v>10.857560068055019</v>
      </c>
      <c r="AH49" s="63">
        <f>+(AVERAGE(AH48,AG48)*AH20)/1000</f>
        <v>14.68574149456497</v>
      </c>
      <c r="AI49" s="63">
        <f>+(AVERAGE(AI48,AH48)*AI20)/1000</f>
        <v>16.48493033986972</v>
      </c>
      <c r="AJ49" s="1">
        <f>+(AVERAGE(AJ48,AI48)*AJ20)/1000</f>
        <v>20.23486863064042</v>
      </c>
      <c r="AK49" s="191">
        <f>+SUM(AG49:AJ49)</f>
        <v>62.263100533130128</v>
      </c>
      <c r="AL49" s="63"/>
      <c r="AM49" s="750">
        <f>+(AVERAGE(AM48,AK48)*AM20*AM51)/1000</f>
        <v>24.578015272740295</v>
      </c>
      <c r="AN49" s="63">
        <f>+(AVERAGE(AN48,AM48)*AN20*AN51)/1000</f>
        <v>28.712687039173765</v>
      </c>
      <c r="AO49" s="205">
        <f>+(AVERAGE(AO48,AN48)*AO20*AO51)/1000</f>
        <v>30.254970265679365</v>
      </c>
      <c r="AP49" s="205">
        <f>+(AVERAGE(AP48,AO48)*AP20*AP51)/1000</f>
        <v>38.684976542568918</v>
      </c>
      <c r="AQ49" s="191">
        <f>+SUM(AM49:AP49)</f>
        <v>122.23064912016234</v>
      </c>
      <c r="AR49" s="63"/>
      <c r="AS49" s="750">
        <f>+(AVERAGE(AS48,AQ48)*AS20*AS51)/1000</f>
        <v>41.098537828130127</v>
      </c>
      <c r="AT49" s="63">
        <f>+(AVERAGE(AT48,AS48)*AT20*AT51)/1000</f>
        <v>44.568150688359438</v>
      </c>
      <c r="AU49" s="205">
        <f>+(AVERAGE(AU48,AT48)*AU20*AU51)/1000</f>
        <v>50.229140676227438</v>
      </c>
      <c r="AV49" s="205">
        <f>+(AVERAGE(AV48,AU48)*AV20*AV51)/1000</f>
        <v>59.675345274218628</v>
      </c>
      <c r="AW49" s="191">
        <f>+SUM(AS49:AV49)</f>
        <v>195.57117446693564</v>
      </c>
      <c r="AX49" s="1"/>
      <c r="AY49" s="750">
        <f>+(AVERAGE(AY48,AW48)*AY20*AY51)/1000</f>
        <v>67.741969136443601</v>
      </c>
      <c r="AZ49" s="63">
        <f>+(AVERAGE(AZ48,AY48)*AZ20*AZ51)/1000</f>
        <v>69.08513264521909</v>
      </c>
      <c r="BA49" s="205">
        <f>+(AVERAGE(BA48,AZ48)*BA20*BA51)/1000</f>
        <v>74.618305973270722</v>
      </c>
      <c r="BB49" s="205">
        <f>+(AVERAGE(BB48,BA48)*BB20*BB51)/1000</f>
        <v>81.701147931614443</v>
      </c>
      <c r="BC49" s="191">
        <f>+SUM(AY49:BB49)</f>
        <v>293.14655568654786</v>
      </c>
      <c r="BD49" s="1"/>
      <c r="BE49" s="750">
        <f>+(AVERAGE(BE48,BC48)*BE20*BE51)/1000</f>
        <v>91.054955027922176</v>
      </c>
      <c r="BF49" s="63">
        <f>+(AVERAGE(BF48,BE48)*BF20*BF51)/1000</f>
        <v>99.368921423522949</v>
      </c>
      <c r="BG49" s="205">
        <f>+(AVERAGE(BG48,BF48)*BG20*BG51)/1000</f>
        <v>106.34856915935291</v>
      </c>
      <c r="BH49" s="205">
        <f>+(AVERAGE(BH48,BG48)*BH20*BH51)/1000</f>
        <v>107.59908628635984</v>
      </c>
      <c r="BI49" s="191">
        <f>+SUM(BE49:BH49)</f>
        <v>404.37153189715787</v>
      </c>
      <c r="BJ49" s="9"/>
      <c r="BK49" s="750">
        <f>+(AVERAGE(BK48,BI48)*BK20*BK51)/1000</f>
        <v>105.90539869946932</v>
      </c>
      <c r="BL49" s="63">
        <f>+(AVERAGE(BL48,BK48)*BL20*BL51)/1000</f>
        <v>111.31335188337377</v>
      </c>
      <c r="BM49" s="205">
        <f>+(AVERAGE(BM48,BL48)*BM20*BM51)/1000</f>
        <v>125.28324872415037</v>
      </c>
      <c r="BN49" s="205">
        <f>+(AVERAGE(BN48,BM48)*BN20*BN51)/1000</f>
        <v>143.44975093909298</v>
      </c>
      <c r="BO49" s="191">
        <f>+SUM(BK49:BN49)</f>
        <v>485.95175024608648</v>
      </c>
      <c r="BP49" s="9"/>
      <c r="BQ49" s="750">
        <f>+(AVERAGE(BQ48,BO48)*BQ20*BQ51)/1000</f>
        <v>145.14125373991214</v>
      </c>
      <c r="BR49" s="63">
        <f>+(AVERAGE(BR48,BQ48)*BR20*BR51)/1000</f>
        <v>148.36029402273249</v>
      </c>
      <c r="BS49" s="205">
        <f>+(AVERAGE(BS48,BR48)*BS20*BS51)/1000</f>
        <v>155.55694578172807</v>
      </c>
      <c r="BT49" s="205">
        <f>+(AVERAGE(BT48,BS48)*BT20*BT51)/1000</f>
        <v>165.08509338862808</v>
      </c>
      <c r="BU49" s="191">
        <f>+SUM(BQ49:BT49)</f>
        <v>614.14358693300073</v>
      </c>
      <c r="BV49" s="9"/>
      <c r="BW49" s="750">
        <f>+(AVERAGE(BW48,BU48)*BW20*BW51)/1000</f>
        <v>174.52956032328052</v>
      </c>
      <c r="BX49" s="63">
        <f>+(AVERAGE(BX48,BW48)*BX20*BX51)/1000</f>
        <v>177.53090327634601</v>
      </c>
      <c r="BY49" s="205">
        <f>+(AVERAGE(BY48,BX48)*BY20*BY51)/1000</f>
        <v>184.68906462132048</v>
      </c>
      <c r="BZ49" s="205">
        <f>+(AVERAGE(BZ48,BY48)*BZ20*BZ51)/1000</f>
        <v>195.41758139438193</v>
      </c>
      <c r="CA49" s="191">
        <f>+SUM(BW49:BZ49)</f>
        <v>732.16710961532897</v>
      </c>
      <c r="CB49" s="9"/>
      <c r="CC49" s="750">
        <f>+(AVERAGE(CC48,CA48)*CC20*CC51)/1000</f>
        <v>203.45679454385558</v>
      </c>
      <c r="CD49" s="63">
        <f>+(AVERAGE(CD48,CC48)*CD20*CD51)/1000</f>
        <v>206.57814889153258</v>
      </c>
      <c r="CE49" s="205">
        <f>+(AVERAGE(CE48,CD48)*CE20*CE51)/1000</f>
        <v>214.35745097062062</v>
      </c>
      <c r="CF49" s="205">
        <f>+(AVERAGE(CF48,CE48)*CF20*CF51)/1000</f>
        <v>226.09539263712088</v>
      </c>
      <c r="CG49" s="191">
        <f>+SUM(CC49:CF49)</f>
        <v>850.48778704312974</v>
      </c>
      <c r="CH49" s="9"/>
      <c r="CI49" s="750">
        <f>+(AVERAGE(CI48,CG48)*CI20*CI51)/1000</f>
        <v>234.72887754946365</v>
      </c>
      <c r="CJ49" s="63">
        <f>+(AVERAGE(CJ48,CI48)*CJ20*CJ51)/1000</f>
        <v>237.79162162054033</v>
      </c>
      <c r="CK49" s="205">
        <f>+(AVERAGE(CK48,CJ48)*CK20*CK51)/1000</f>
        <v>246.08747896912001</v>
      </c>
      <c r="CL49" s="205">
        <f>+(AVERAGE(CL48,CK48)*CL20*CL51)/1000</f>
        <v>259.57637151766113</v>
      </c>
      <c r="CM49" s="191">
        <f>+SUM(CI49:CL49)</f>
        <v>978.18434965678512</v>
      </c>
      <c r="CN49" s="9"/>
      <c r="CO49" s="750">
        <f>+(AVERAGE(CO48,CM48)*CO20*CO51)/1000</f>
        <v>270.64913851309581</v>
      </c>
      <c r="CP49" s="63">
        <f>+(AVERAGE(CP48,CO48)*CP20*CP51)/1000</f>
        <v>275.83471063839869</v>
      </c>
      <c r="CQ49" s="205">
        <f>+(AVERAGE(CQ48,CP48)*CQ20*CQ51)/1000</f>
        <v>286.41891339407374</v>
      </c>
      <c r="CR49" s="205">
        <f>+(AVERAGE(CR48,CQ48)*CR20*CR51)/1000</f>
        <v>301.76901593724335</v>
      </c>
      <c r="CS49" s="191">
        <f>+SUM(CO49:CR49)</f>
        <v>1134.6717784828115</v>
      </c>
      <c r="CT49" s="205"/>
      <c r="CU49" s="205"/>
      <c r="CV49" s="205"/>
      <c r="CW49" s="205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60"/>
      <c r="DI49" s="60"/>
      <c r="DJ49" s="60"/>
      <c r="DK49" s="60"/>
      <c r="DL49" s="60"/>
      <c r="DM49" s="68"/>
      <c r="DN49" s="68"/>
      <c r="DO49" s="68"/>
      <c r="DP49" s="68"/>
      <c r="DQ49" s="68"/>
      <c r="DR49" s="68"/>
      <c r="DS49" s="68"/>
      <c r="DT49" s="68"/>
      <c r="DU49" s="68"/>
      <c r="DV49" s="68"/>
      <c r="DW49" s="68"/>
      <c r="DX49" s="68"/>
    </row>
    <row r="50" spans="1:128">
      <c r="A50" s="1985" t="s">
        <v>627</v>
      </c>
      <c r="B50" s="63"/>
      <c r="C50" s="1963"/>
      <c r="D50" s="1964"/>
      <c r="E50" s="1964"/>
      <c r="F50" s="1964"/>
      <c r="G50" s="1965"/>
      <c r="H50" s="63"/>
      <c r="I50" s="1963"/>
      <c r="J50" s="1964"/>
      <c r="K50" s="1964"/>
      <c r="L50" s="1964"/>
      <c r="M50" s="1965"/>
      <c r="N50" s="63"/>
      <c r="O50" s="1988">
        <f>+O49/O$19</f>
        <v>0</v>
      </c>
      <c r="P50" s="196">
        <f>+P49/P$19</f>
        <v>0</v>
      </c>
      <c r="Q50" s="196">
        <f>+Q49/Q$19</f>
        <v>0</v>
      </c>
      <c r="R50" s="1989">
        <f>+R49/R$19</f>
        <v>0</v>
      </c>
      <c r="S50" s="1990">
        <f>+S49/S$19</f>
        <v>0</v>
      </c>
      <c r="T50" s="63"/>
      <c r="U50" s="1988">
        <f>+U49/U$19</f>
        <v>3.2072673340748977E-3</v>
      </c>
      <c r="V50" s="196">
        <f>+V49/V$19</f>
        <v>8.5822120118148985E-3</v>
      </c>
      <c r="W50" s="196">
        <f>+W49/W$19</f>
        <v>1.2728883638511518E-2</v>
      </c>
      <c r="X50" s="1989">
        <f>+X49/X$19</f>
        <v>1.6542948038176034E-2</v>
      </c>
      <c r="Y50" s="1990">
        <f>+Y49/Y$19</f>
        <v>1.0600288296863061E-2</v>
      </c>
      <c r="Z50" s="63"/>
      <c r="AA50" s="1988">
        <f>+AA49/AA$19</f>
        <v>2.3332533589251442E-2</v>
      </c>
      <c r="AB50" s="196">
        <f>+AB49/AB$19</f>
        <v>3.2153531104715527E-2</v>
      </c>
      <c r="AC50" s="196">
        <f>+AC49/AC$19</f>
        <v>4.006961506961508E-2</v>
      </c>
      <c r="AD50" s="1989">
        <f>+AD49/AD$19</f>
        <v>4.8722014925373154E-2</v>
      </c>
      <c r="AE50" s="1990">
        <f>+AE49/AE$19</f>
        <v>3.5928442577262812E-2</v>
      </c>
      <c r="AF50" s="63"/>
      <c r="AG50" s="1988">
        <f>+AG49/AG$19</f>
        <v>6.2630900930851066E-2</v>
      </c>
      <c r="AH50" s="196">
        <f>+AH49/AH$19</f>
        <v>7.8020184030869702E-2</v>
      </c>
      <c r="AI50" s="196">
        <f>+AI49/AI$19</f>
        <v>9.1063691507798972E-2</v>
      </c>
      <c r="AJ50" s="1989">
        <f>+AJ49/AJ$19</f>
        <v>0.10241482393943038</v>
      </c>
      <c r="AK50" s="1990">
        <f>+AK49/AK$19</f>
        <v>8.4147069176819814E-2</v>
      </c>
      <c r="AL50" s="1302"/>
      <c r="AM50" s="1988">
        <f>+AM49/AM$19</f>
        <v>0.11482058855705064</v>
      </c>
      <c r="AN50" s="196">
        <f>+AN49/AN$19</f>
        <v>0.12777023629964809</v>
      </c>
      <c r="AO50" s="196">
        <f>+AO49/AO$19</f>
        <v>0.14023865960215656</v>
      </c>
      <c r="AP50" s="1989">
        <f>+AP49/AP$19</f>
        <v>0.15240737146307801</v>
      </c>
      <c r="AQ50" s="1990">
        <f>+AQ49/AQ$19</f>
        <v>0.13460482831609399</v>
      </c>
      <c r="AR50" s="1302"/>
      <c r="AS50" s="1988">
        <f>+AS49/AS$19</f>
        <v>0.16347903212947465</v>
      </c>
      <c r="AT50" s="196">
        <f>+AT49/AT$19</f>
        <v>0.17389530196423339</v>
      </c>
      <c r="AU50" s="196">
        <f>+AU49/AU$19</f>
        <v>0.18318835431046154</v>
      </c>
      <c r="AV50" s="1989">
        <f>+AV49/AV$19</f>
        <v>0.19170836725746856</v>
      </c>
      <c r="AW50" s="1990">
        <f>+AW49/AW$19</f>
        <v>0.17891297363842615</v>
      </c>
      <c r="AX50" s="1302"/>
      <c r="AY50" s="1988">
        <f>+AY49/AY$19</f>
        <v>0.20025709596169863</v>
      </c>
      <c r="AZ50" s="196">
        <f>+AZ49/AZ$19</f>
        <v>0.20794594482924622</v>
      </c>
      <c r="BA50" s="196">
        <f>+BA49/BA$19</f>
        <v>0.21403908546058953</v>
      </c>
      <c r="BB50" s="1989">
        <f>+BB49/BB$19</f>
        <v>0.22089152386409938</v>
      </c>
      <c r="BC50" s="1990">
        <f>+BC49/BC$19</f>
        <v>0.21105339569130058</v>
      </c>
      <c r="BD50" s="1"/>
      <c r="BE50" s="1988">
        <f>+BE49/BE$19</f>
        <v>0.24152548005662391</v>
      </c>
      <c r="BF50" s="196">
        <f>+BF49/BF$19</f>
        <v>0.25744258319381053</v>
      </c>
      <c r="BG50" s="196">
        <f>+BG49/BG$19</f>
        <v>0.26448311299551497</v>
      </c>
      <c r="BH50" s="1989">
        <f>+BH49/BH$19</f>
        <v>0.25888819735415775</v>
      </c>
      <c r="BI50" s="1990">
        <f>+BI49/BI$19</f>
        <v>0.25582533007341718</v>
      </c>
      <c r="BJ50" s="1"/>
      <c r="BK50" s="1988">
        <f>+BK49/BK$19</f>
        <v>0.26861467571971864</v>
      </c>
      <c r="BL50" s="196">
        <f>+BL49/BL$19</f>
        <v>0.27213374120385925</v>
      </c>
      <c r="BM50" s="196">
        <f>+BM49/BM$19</f>
        <v>0.27613468557636384</v>
      </c>
      <c r="BN50" s="1989">
        <f>+BN49/BN$19</f>
        <v>0.28031556473546237</v>
      </c>
      <c r="BO50" s="1990">
        <f>+BO49/BO$19</f>
        <v>0.27470642801539569</v>
      </c>
      <c r="BP50" s="1"/>
      <c r="BQ50" s="1988">
        <f>+BQ49/BQ$19</f>
        <v>0.29247653045311134</v>
      </c>
      <c r="BR50" s="196">
        <f>+BR49/BR$19</f>
        <v>0.29710572246747669</v>
      </c>
      <c r="BS50" s="196">
        <f>+BS49/BS$19</f>
        <v>0.30197190618411074</v>
      </c>
      <c r="BT50" s="1989">
        <f>+BT49/BT$19</f>
        <v>0.30700739978353925</v>
      </c>
      <c r="BU50" s="1990">
        <f>+BU49/BU$19</f>
        <v>0.29983137568151425</v>
      </c>
      <c r="BV50" s="1"/>
      <c r="BW50" s="1988">
        <f>+BW49/BW$19</f>
        <v>0.31243417566785736</v>
      </c>
      <c r="BX50" s="196">
        <f>+BX49/BX$19</f>
        <v>0.31822438839050227</v>
      </c>
      <c r="BY50" s="196">
        <f>+BY49/BY$19</f>
        <v>0.32412781534087459</v>
      </c>
      <c r="BZ50" s="1989">
        <f>+BZ49/BZ$19</f>
        <v>0.33013681614586449</v>
      </c>
      <c r="CA50" s="1990">
        <f>+CA49/CA$19</f>
        <v>0.32137623808454924</v>
      </c>
      <c r="CB50" s="1"/>
      <c r="CC50" s="1988">
        <f>+CC49/CC$19</f>
        <v>0.33563941124705826</v>
      </c>
      <c r="CD50" s="196">
        <f>+CD49/CD$19</f>
        <v>0.34066830455917096</v>
      </c>
      <c r="CE50" s="196">
        <f>+CE49/CE$19</f>
        <v>0.34583295580823653</v>
      </c>
      <c r="CF50" s="1989">
        <f>+CF49/CF$19</f>
        <v>0.35112495956806661</v>
      </c>
      <c r="CG50" s="1990">
        <f>+CG49/CG$19</f>
        <v>0.34344906020330579</v>
      </c>
      <c r="CH50" s="1"/>
      <c r="CI50" s="1988">
        <f>+CI49/CI$19</f>
        <v>0.3559805143405948</v>
      </c>
      <c r="CJ50" s="196">
        <f>+CJ49/CJ$19</f>
        <v>0.36042557159305633</v>
      </c>
      <c r="CK50" s="196">
        <f>+CK49/CK$19</f>
        <v>0.36501852664108286</v>
      </c>
      <c r="CL50" s="1989">
        <f>+CL49/CL$19</f>
        <v>0.36975092071864007</v>
      </c>
      <c r="CM50" s="1990">
        <f>+CM49/CM$19</f>
        <v>0.36291583859177473</v>
      </c>
      <c r="CN50" s="1"/>
      <c r="CO50" s="1988">
        <f>+CO49/CO$19</f>
        <v>0.37410046390430857</v>
      </c>
      <c r="CP50" s="196">
        <f>+CP49/CP$19</f>
        <v>0.37808824848653688</v>
      </c>
      <c r="CQ50" s="196">
        <f>+CQ49/CQ$19</f>
        <v>0.38222975471897802</v>
      </c>
      <c r="CR50" s="1989">
        <f>+CR49/CR$19</f>
        <v>0.38651681369271407</v>
      </c>
      <c r="CS50" s="1990">
        <f>+CS49/CS$19</f>
        <v>0.38036738224822181</v>
      </c>
      <c r="CT50" s="2005"/>
      <c r="CU50" s="2005"/>
      <c r="CV50" s="2005"/>
      <c r="CW50" s="2005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60"/>
      <c r="DI50" s="60"/>
      <c r="DJ50" s="60"/>
      <c r="DK50" s="60"/>
      <c r="DL50" s="60"/>
      <c r="DM50" s="68"/>
      <c r="DN50" s="68"/>
      <c r="DO50" s="68"/>
      <c r="DP50" s="68"/>
      <c r="DQ50" s="68"/>
      <c r="DR50" s="68"/>
      <c r="DS50" s="68"/>
      <c r="DT50" s="68"/>
      <c r="DU50" s="68"/>
      <c r="DV50" s="68"/>
      <c r="DW50" s="68"/>
      <c r="DX50" s="68"/>
    </row>
    <row r="51" spans="1:128">
      <c r="A51" s="1985" t="s">
        <v>663</v>
      </c>
      <c r="B51" s="63"/>
      <c r="C51" s="1963"/>
      <c r="D51" s="1964"/>
      <c r="E51" s="1964"/>
      <c r="F51" s="1964"/>
      <c r="G51" s="1965"/>
      <c r="H51" s="63"/>
      <c r="I51" s="1963"/>
      <c r="J51" s="1964"/>
      <c r="K51" s="1964"/>
      <c r="L51" s="1964"/>
      <c r="M51" s="1965"/>
      <c r="N51" s="63"/>
      <c r="O51" s="1988"/>
      <c r="P51" s="196"/>
      <c r="Q51" s="196"/>
      <c r="R51" s="196"/>
      <c r="S51" s="1990"/>
      <c r="T51" s="63"/>
      <c r="U51" s="1988"/>
      <c r="V51" s="196"/>
      <c r="W51" s="196"/>
      <c r="X51" s="196"/>
      <c r="Y51" s="1990"/>
      <c r="Z51" s="63"/>
      <c r="AA51" s="1988"/>
      <c r="AB51" s="196"/>
      <c r="AC51" s="196"/>
      <c r="AD51" s="196"/>
      <c r="AE51" s="1990"/>
      <c r="AF51" s="63"/>
      <c r="AG51" s="2008"/>
      <c r="AH51" s="2009"/>
      <c r="AI51" s="2009"/>
      <c r="AJ51" s="2010"/>
      <c r="AK51" s="1990"/>
      <c r="AL51" s="1302"/>
      <c r="AM51" s="2008">
        <v>1</v>
      </c>
      <c r="AN51" s="2009">
        <v>1</v>
      </c>
      <c r="AO51" s="2009">
        <v>1</v>
      </c>
      <c r="AP51" s="2010">
        <v>1</v>
      </c>
      <c r="AQ51" s="1990"/>
      <c r="AR51" s="1302"/>
      <c r="AS51" s="2008">
        <v>1</v>
      </c>
      <c r="AT51" s="2009">
        <v>1</v>
      </c>
      <c r="AU51" s="2009">
        <v>1</v>
      </c>
      <c r="AV51" s="2010">
        <v>1</v>
      </c>
      <c r="AW51" s="1990"/>
      <c r="AX51" s="1302"/>
      <c r="AY51" s="2008">
        <v>1</v>
      </c>
      <c r="AZ51" s="2009">
        <v>1</v>
      </c>
      <c r="BA51" s="2009">
        <v>1</v>
      </c>
      <c r="BB51" s="2010">
        <v>1</v>
      </c>
      <c r="BC51" s="1990"/>
      <c r="BD51" s="1"/>
      <c r="BE51" s="2008">
        <v>1.06</v>
      </c>
      <c r="BF51" s="2267">
        <v>1.1000000000000001</v>
      </c>
      <c r="BG51" s="2267">
        <v>1.1000000000000001</v>
      </c>
      <c r="BH51" s="2268">
        <v>1.05</v>
      </c>
      <c r="BI51" s="1990"/>
      <c r="BJ51" s="1"/>
      <c r="BK51" s="2269">
        <v>1.07</v>
      </c>
      <c r="BL51" s="2267">
        <f>+BK51</f>
        <v>1.07</v>
      </c>
      <c r="BM51" s="2267">
        <f>+BK51</f>
        <v>1.07</v>
      </c>
      <c r="BN51" s="2268">
        <f>+BK51</f>
        <v>1.07</v>
      </c>
      <c r="BO51" s="1990"/>
      <c r="BP51" s="1"/>
      <c r="BQ51" s="2269">
        <v>1.1000000000000001</v>
      </c>
      <c r="BR51" s="2267">
        <f>+BQ51</f>
        <v>1.1000000000000001</v>
      </c>
      <c r="BS51" s="2267">
        <f>+BQ51</f>
        <v>1.1000000000000001</v>
      </c>
      <c r="BT51" s="2268">
        <f>+BQ51</f>
        <v>1.1000000000000001</v>
      </c>
      <c r="BU51" s="1990"/>
      <c r="BV51" s="1"/>
      <c r="BW51" s="2269">
        <v>1.1000000000000001</v>
      </c>
      <c r="BX51" s="2267">
        <f t="shared" ref="BX51" si="0">+BW51</f>
        <v>1.1000000000000001</v>
      </c>
      <c r="BY51" s="2267">
        <f t="shared" ref="BY51" si="1">+BW51</f>
        <v>1.1000000000000001</v>
      </c>
      <c r="BZ51" s="2268">
        <f t="shared" ref="BZ51" si="2">+BW51</f>
        <v>1.1000000000000001</v>
      </c>
      <c r="CA51" s="1990"/>
      <c r="CB51" s="1"/>
      <c r="CC51" s="2269">
        <v>1.1000000000000001</v>
      </c>
      <c r="CD51" s="2267">
        <f t="shared" ref="CD51" si="3">+CC51</f>
        <v>1.1000000000000001</v>
      </c>
      <c r="CE51" s="2267">
        <f t="shared" ref="CE51" si="4">+CC51</f>
        <v>1.1000000000000001</v>
      </c>
      <c r="CF51" s="2268">
        <f t="shared" ref="CF51" si="5">+CC51</f>
        <v>1.1000000000000001</v>
      </c>
      <c r="CG51" s="1990"/>
      <c r="CH51" s="1"/>
      <c r="CI51" s="2269">
        <v>1.1000000000000001</v>
      </c>
      <c r="CJ51" s="2267">
        <f t="shared" ref="CJ51" si="6">+CI51</f>
        <v>1.1000000000000001</v>
      </c>
      <c r="CK51" s="2267">
        <f t="shared" ref="CK51" si="7">+CI51</f>
        <v>1.1000000000000001</v>
      </c>
      <c r="CL51" s="2268">
        <f t="shared" ref="CL51" si="8">+CI51</f>
        <v>1.1000000000000001</v>
      </c>
      <c r="CM51" s="1990"/>
      <c r="CN51" s="1"/>
      <c r="CO51" s="2269">
        <v>1.1000000000000001</v>
      </c>
      <c r="CP51" s="2267">
        <f t="shared" ref="CP51" si="9">+CO51</f>
        <v>1.1000000000000001</v>
      </c>
      <c r="CQ51" s="2267">
        <f t="shared" ref="CQ51" si="10">+CO51</f>
        <v>1.1000000000000001</v>
      </c>
      <c r="CR51" s="2268">
        <f t="shared" ref="CR51" si="11">+CO51</f>
        <v>1.1000000000000001</v>
      </c>
      <c r="CS51" s="1990"/>
      <c r="CT51" s="2005"/>
      <c r="CU51" s="2005"/>
      <c r="CV51" s="2005"/>
      <c r="CW51" s="2005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60"/>
      <c r="DI51" s="60"/>
      <c r="DJ51" s="60"/>
      <c r="DK51" s="60"/>
      <c r="DL51" s="60"/>
      <c r="DM51" s="68"/>
      <c r="DN51" s="68"/>
      <c r="DO51" s="68"/>
      <c r="DP51" s="68"/>
      <c r="DQ51" s="68"/>
      <c r="DR51" s="68"/>
      <c r="DS51" s="68"/>
      <c r="DT51" s="68"/>
      <c r="DU51" s="68"/>
      <c r="DV51" s="68"/>
      <c r="DW51" s="68"/>
      <c r="DX51" s="68"/>
    </row>
    <row r="52" spans="1:128">
      <c r="A52" s="1984" t="s">
        <v>413</v>
      </c>
      <c r="B52" s="1973"/>
      <c r="C52" s="1974"/>
      <c r="D52" s="1973"/>
      <c r="E52" s="1973"/>
      <c r="F52" s="1973"/>
      <c r="G52" s="1975"/>
      <c r="H52" s="1973"/>
      <c r="I52" s="1974"/>
      <c r="J52" s="1973"/>
      <c r="K52" s="1973"/>
      <c r="L52" s="1973"/>
      <c r="M52" s="1975"/>
      <c r="N52" s="1973"/>
      <c r="O52" s="1974"/>
      <c r="P52" s="1973"/>
      <c r="Q52" s="1973"/>
      <c r="R52" s="1973"/>
      <c r="S52" s="1975"/>
      <c r="T52" s="1973"/>
      <c r="U52" s="1974"/>
      <c r="V52" s="1973"/>
      <c r="W52" s="1973"/>
      <c r="X52" s="1973"/>
      <c r="Y52" s="1975"/>
      <c r="Z52" s="1973"/>
      <c r="AA52" s="1974"/>
      <c r="AB52" s="1973"/>
      <c r="AC52" s="1973"/>
      <c r="AD52" s="1973"/>
      <c r="AE52" s="1975"/>
      <c r="AF52" s="1973"/>
      <c r="AG52" s="1974"/>
      <c r="AH52" s="1973"/>
      <c r="AI52" s="1973"/>
      <c r="AJ52" s="1973"/>
      <c r="AK52" s="1976"/>
      <c r="AL52" s="1973"/>
      <c r="AM52" s="1974"/>
      <c r="AN52" s="1977"/>
      <c r="AO52" s="1977"/>
      <c r="AP52" s="1978"/>
      <c r="AQ52" s="1975"/>
      <c r="AR52" s="1973"/>
      <c r="AS52" s="1979"/>
      <c r="AT52" s="1980"/>
      <c r="AU52" s="1980"/>
      <c r="AV52" s="1981"/>
      <c r="AW52" s="1982"/>
      <c r="AX52" s="1981"/>
      <c r="AY52" s="1983"/>
      <c r="AZ52" s="1981"/>
      <c r="BA52" s="1981"/>
      <c r="BB52" s="1981"/>
      <c r="BC52" s="1982"/>
      <c r="BD52" s="1981"/>
      <c r="BE52" s="1983"/>
      <c r="BF52" s="1981"/>
      <c r="BG52" s="1981"/>
      <c r="BH52" s="1981"/>
      <c r="BI52" s="1982"/>
      <c r="BJ52" s="1981"/>
      <c r="BK52" s="1983"/>
      <c r="BL52" s="1981"/>
      <c r="BM52" s="1981"/>
      <c r="BN52" s="1981"/>
      <c r="BO52" s="1982"/>
      <c r="BP52" s="1981"/>
      <c r="BQ52" s="1983"/>
      <c r="BR52" s="1981"/>
      <c r="BS52" s="1981"/>
      <c r="BT52" s="1981"/>
      <c r="BU52" s="1982"/>
      <c r="BV52" s="1981"/>
      <c r="BW52" s="1983"/>
      <c r="BX52" s="1981"/>
      <c r="BY52" s="1981"/>
      <c r="BZ52" s="1981"/>
      <c r="CA52" s="1982"/>
      <c r="CB52" s="1981"/>
      <c r="CC52" s="1983"/>
      <c r="CD52" s="1981"/>
      <c r="CE52" s="1981"/>
      <c r="CF52" s="1981"/>
      <c r="CG52" s="1982"/>
      <c r="CH52" s="1981"/>
      <c r="CI52" s="1983"/>
      <c r="CJ52" s="1981"/>
      <c r="CK52" s="1981"/>
      <c r="CL52" s="1981"/>
      <c r="CM52" s="1982"/>
      <c r="CN52" s="1981"/>
      <c r="CO52" s="1983"/>
      <c r="CP52" s="1981"/>
      <c r="CQ52" s="1981"/>
      <c r="CR52" s="1981"/>
      <c r="CS52" s="1982"/>
      <c r="CT52" s="2400"/>
      <c r="CU52" s="2400"/>
      <c r="CV52" s="2400"/>
      <c r="CW52" s="240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60"/>
      <c r="DI52" s="60"/>
      <c r="DJ52" s="60"/>
      <c r="DK52" s="60"/>
      <c r="DL52" s="60"/>
      <c r="DM52" s="68"/>
      <c r="DN52" s="68"/>
      <c r="DO52" s="68"/>
      <c r="DP52" s="68"/>
      <c r="DQ52" s="68"/>
      <c r="DR52" s="68"/>
      <c r="DS52" s="68"/>
      <c r="DT52" s="68"/>
      <c r="DU52" s="68"/>
      <c r="DV52" s="68"/>
      <c r="DW52" s="68"/>
      <c r="DX52" s="68"/>
    </row>
    <row r="53" spans="1:128">
      <c r="A53" s="2125" t="s">
        <v>628</v>
      </c>
      <c r="B53" s="2126"/>
      <c r="C53" s="2127"/>
      <c r="D53" s="2128"/>
      <c r="E53" s="2128"/>
      <c r="F53" s="2128"/>
      <c r="G53" s="2129"/>
      <c r="H53" s="2128"/>
      <c r="I53" s="2127"/>
      <c r="J53" s="2128"/>
      <c r="K53" s="2128"/>
      <c r="L53" s="2128"/>
      <c r="M53" s="2129"/>
      <c r="N53" s="2128"/>
      <c r="O53" s="2127"/>
      <c r="P53" s="2128"/>
      <c r="Q53" s="2128"/>
      <c r="R53" s="2128"/>
      <c r="S53" s="2129"/>
      <c r="T53" s="2128"/>
      <c r="U53" s="2127"/>
      <c r="V53" s="2128"/>
      <c r="W53" s="2128"/>
      <c r="X53" s="2128"/>
      <c r="Y53" s="2129"/>
      <c r="Z53" s="2128"/>
      <c r="AA53" s="2127"/>
      <c r="AB53" s="2128"/>
      <c r="AC53" s="2128"/>
      <c r="AD53" s="2128"/>
      <c r="AE53" s="2129"/>
      <c r="AF53" s="2097"/>
      <c r="AG53" s="2099"/>
      <c r="AH53" s="2097"/>
      <c r="AI53" s="2097"/>
      <c r="AJ53" s="2097"/>
      <c r="AK53" s="2100"/>
      <c r="AL53" s="2097"/>
      <c r="AM53" s="2099">
        <f>+AS53*(AM98/AS98)</f>
        <v>25.273395261301204</v>
      </c>
      <c r="AN53" s="2097">
        <f>+AT53*(AN98/AT98)</f>
        <v>29.044662684662669</v>
      </c>
      <c r="AO53" s="2097">
        <f>+AU53*(AO98/AU98)</f>
        <v>30.881871748876009</v>
      </c>
      <c r="AP53" s="2097">
        <f>+AV53*(AP98/AV98)</f>
        <v>34.95129450562785</v>
      </c>
      <c r="AQ53" s="2100">
        <f>+SUM(AM53:AP53)</f>
        <v>120.15122420046774</v>
      </c>
      <c r="AR53" s="2097"/>
      <c r="AS53" s="2099">
        <f>+(AS39/AT39)*AT53</f>
        <v>34.119083602756625</v>
      </c>
      <c r="AT53" s="2097">
        <f>+(AT39/AU39)*AU53</f>
        <v>39.210294624294612</v>
      </c>
      <c r="AU53" s="2130">
        <f>+AU9*0.09</f>
        <v>43.234620448426412</v>
      </c>
      <c r="AV53" s="2097">
        <f>+(AV39/AU39)*AU53</f>
        <v>48.931812307878992</v>
      </c>
      <c r="AW53" s="2100">
        <f>+SUM(AS53:AV53)</f>
        <v>165.49581098335665</v>
      </c>
      <c r="AX53" s="2097"/>
      <c r="AY53" s="2099">
        <f>+AS57*(1+AY54)</f>
        <v>49.738398073663191</v>
      </c>
      <c r="AZ53" s="2097">
        <f>+AT57*(1+AZ54)</f>
        <v>52.93389774279774</v>
      </c>
      <c r="BA53" s="2097">
        <f>+AU57*(1+BA54)</f>
        <v>51.062362255930971</v>
      </c>
      <c r="BB53" s="2097">
        <f>+AV57*(1+BB54)</f>
        <v>67.399264335601529</v>
      </c>
      <c r="BC53" s="2100">
        <f>+SUM(AY53:BB53)</f>
        <v>221.13392240799345</v>
      </c>
      <c r="BD53" s="2097"/>
      <c r="BE53" s="2099">
        <f>+AY57*(1+BE54)</f>
        <v>54.33919989547703</v>
      </c>
      <c r="BF53" s="2097">
        <f>+AZ57*(1+BF54)</f>
        <v>73.530477354520343</v>
      </c>
      <c r="BG53" s="2097">
        <f>+BA57*(1+BG54)</f>
        <v>60.784636029460231</v>
      </c>
      <c r="BH53" s="2097">
        <f>+BB57*(1+BH54)</f>
        <v>67.477447482230815</v>
      </c>
      <c r="BI53" s="2100">
        <f>+SUM(BE53:BH53)</f>
        <v>256.13176076168838</v>
      </c>
      <c r="BJ53" s="2097"/>
      <c r="BK53" s="2099">
        <f>+BE57*(1+BK54)</f>
        <v>64.554969475826709</v>
      </c>
      <c r="BL53" s="2097">
        <f>+BF57*(1+BL54)</f>
        <v>92.252391296559182</v>
      </c>
      <c r="BM53" s="2097">
        <f>+BG57*(1+BM54)</f>
        <v>82.136029907240328</v>
      </c>
      <c r="BN53" s="2097">
        <f>+BH57*(1+BN54)</f>
        <v>103.79355764203181</v>
      </c>
      <c r="BO53" s="2100">
        <f>+SUM(BK53:BN53)</f>
        <v>342.73694832165802</v>
      </c>
      <c r="BP53" s="2097"/>
      <c r="BQ53" s="2099">
        <f>+BK57*(1+BQ54)</f>
        <v>80.29024328555947</v>
      </c>
      <c r="BR53" s="2097">
        <f>+BL57*(1+BR54)</f>
        <v>114.73891167509548</v>
      </c>
      <c r="BS53" s="2097">
        <f>+BM57*(1+BS54)</f>
        <v>103.18338757097065</v>
      </c>
      <c r="BT53" s="2097">
        <f>+BN57*(1+BT54)</f>
        <v>131.81781820538041</v>
      </c>
      <c r="BU53" s="2100">
        <f>+SUM(BQ53:BT53)</f>
        <v>430.03036073700605</v>
      </c>
      <c r="BV53" s="2097"/>
      <c r="BW53" s="2099">
        <f>+BQ57*(1+BW54)</f>
        <v>95.103793171745181</v>
      </c>
      <c r="BX53" s="2097">
        <f>+BR57*(1+BX54)</f>
        <v>135.11654238859242</v>
      </c>
      <c r="BY53" s="2097">
        <f>+BS57*(1+BY54)</f>
        <v>119.8475046636824</v>
      </c>
      <c r="BZ53" s="2097">
        <f>+BT57*(1+BZ54)</f>
        <v>153.10639584554932</v>
      </c>
      <c r="CA53" s="2100">
        <f>+SUM(BW53:BZ53)</f>
        <v>503.17423606956936</v>
      </c>
      <c r="CB53" s="2097"/>
      <c r="CC53" s="2099">
        <f>+BW57*(1+CC54)</f>
        <v>108.41832421578953</v>
      </c>
      <c r="CD53" s="2097">
        <f>+BX57*(1+CD54)</f>
        <v>154.03285832299537</v>
      </c>
      <c r="CE53" s="2097">
        <f>+BY57*(1+CE54)</f>
        <v>136.62615531659796</v>
      </c>
      <c r="CF53" s="2097">
        <f>+BZ57*(1+CF54)</f>
        <v>174.54129126392624</v>
      </c>
      <c r="CG53" s="2100">
        <f>+SUM(CC53:CF53)</f>
        <v>573.61862911930916</v>
      </c>
      <c r="CH53" s="2097"/>
      <c r="CI53" s="2099">
        <f>+CC57*(1+CI54)</f>
        <v>123.59688960600008</v>
      </c>
      <c r="CJ53" s="2097">
        <f>+CD57*(1+CJ54)</f>
        <v>175.59745848821473</v>
      </c>
      <c r="CK53" s="2097">
        <f>+CE57*(1+CK54)</f>
        <v>155.75381706092168</v>
      </c>
      <c r="CL53" s="2097">
        <f>+CF57*(1+CL54)</f>
        <v>198.97707204087592</v>
      </c>
      <c r="CM53" s="2100">
        <f>+SUM(CI53:CL53)</f>
        <v>653.9252371960124</v>
      </c>
      <c r="CN53" s="2097"/>
      <c r="CO53" s="2099">
        <f>+CI57*(1+CO54)</f>
        <v>140.90045415084009</v>
      </c>
      <c r="CP53" s="2097">
        <f>+CJ57*(1+CP54)</f>
        <v>200.18110267656482</v>
      </c>
      <c r="CQ53" s="2097">
        <f>+CK57*(1+CQ54)</f>
        <v>177.55935144945073</v>
      </c>
      <c r="CR53" s="2097">
        <f>+CL57*(1+CR54)</f>
        <v>226.83386212659858</v>
      </c>
      <c r="CS53" s="2100">
        <f>+SUM(CO53:CR53)</f>
        <v>745.47477040345427</v>
      </c>
      <c r="CT53" s="2097"/>
      <c r="CU53" s="2097"/>
      <c r="CV53" s="2097"/>
      <c r="CW53" s="2097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60"/>
      <c r="DI53" s="60"/>
      <c r="DJ53" s="60"/>
      <c r="DK53" s="60"/>
      <c r="DL53" s="60"/>
      <c r="DM53" s="68"/>
      <c r="DN53" s="68"/>
      <c r="DO53" s="68"/>
      <c r="DP53" s="68"/>
      <c r="DQ53" s="68"/>
      <c r="DR53" s="68"/>
      <c r="DS53" s="68"/>
      <c r="DT53" s="68"/>
      <c r="DU53" s="68"/>
      <c r="DV53" s="68"/>
      <c r="DW53" s="68"/>
      <c r="DX53" s="68"/>
    </row>
    <row r="54" spans="1:128">
      <c r="A54" s="2187" t="s">
        <v>593</v>
      </c>
      <c r="B54" s="2117"/>
      <c r="C54" s="2118"/>
      <c r="D54" s="2119"/>
      <c r="E54" s="2119"/>
      <c r="F54" s="2119"/>
      <c r="G54" s="2120"/>
      <c r="H54" s="2119"/>
      <c r="I54" s="2118"/>
      <c r="J54" s="2119"/>
      <c r="K54" s="2119"/>
      <c r="L54" s="2119"/>
      <c r="M54" s="2120"/>
      <c r="N54" s="2117"/>
      <c r="O54" s="2121"/>
      <c r="P54" s="2122"/>
      <c r="Q54" s="2122"/>
      <c r="R54" s="2131"/>
      <c r="S54" s="2123"/>
      <c r="T54" s="2124"/>
      <c r="U54" s="2121"/>
      <c r="V54" s="2122"/>
      <c r="W54" s="2122"/>
      <c r="X54" s="2131"/>
      <c r="Y54" s="2123"/>
      <c r="Z54" s="2124"/>
      <c r="AA54" s="2121"/>
      <c r="AB54" s="2122"/>
      <c r="AC54" s="2122"/>
      <c r="AD54" s="2131"/>
      <c r="AE54" s="2123"/>
      <c r="AF54" s="2124"/>
      <c r="AG54" s="2121"/>
      <c r="AH54" s="2122"/>
      <c r="AI54" s="2122"/>
      <c r="AJ54" s="2131"/>
      <c r="AK54" s="2123"/>
      <c r="AL54" s="2124"/>
      <c r="AM54" s="2121"/>
      <c r="AN54" s="2122"/>
      <c r="AO54" s="2122"/>
      <c r="AP54" s="2122"/>
      <c r="AQ54" s="2123"/>
      <c r="AR54" s="2124"/>
      <c r="AS54" s="2121">
        <f>+AS53/AM57-1</f>
        <v>0.42235865320068089</v>
      </c>
      <c r="AT54" s="2122">
        <f>+AT53/AN57-1</f>
        <v>0.39968815720989892</v>
      </c>
      <c r="AU54" s="2122">
        <f>+AU53/AO57-1</f>
        <v>0.3708312969580343</v>
      </c>
      <c r="AV54" s="2131">
        <f>+AV53/AP57-1</f>
        <v>0.43987579453115</v>
      </c>
      <c r="AW54" s="2123">
        <f>+AW53/AQ57-1</f>
        <v>0.40819204400905429</v>
      </c>
      <c r="AY54" s="2121">
        <v>0.45</v>
      </c>
      <c r="AZ54" s="2122">
        <f>+AZ99</f>
        <v>0.33753750275032712</v>
      </c>
      <c r="BA54" s="2122">
        <f>+BA99</f>
        <v>0.18024112202728215</v>
      </c>
      <c r="BB54" s="2131">
        <v>0.4</v>
      </c>
      <c r="BC54" s="2123">
        <f>+BC53/AW57-1</f>
        <v>0.33789744036282698</v>
      </c>
      <c r="BD54" s="2098"/>
      <c r="BE54" s="2253">
        <v>0.15</v>
      </c>
      <c r="BF54" s="2265">
        <v>0.45</v>
      </c>
      <c r="BG54" s="2265">
        <v>0.24</v>
      </c>
      <c r="BH54" s="2266">
        <v>0.03</v>
      </c>
      <c r="BI54" s="2123">
        <f>+BI53/BC57-1</f>
        <v>0.20535937160802553</v>
      </c>
      <c r="BJ54" s="2097"/>
      <c r="BK54" s="2264">
        <v>0.2</v>
      </c>
      <c r="BL54" s="2265">
        <v>0.25</v>
      </c>
      <c r="BM54" s="2265">
        <v>0.35</v>
      </c>
      <c r="BN54" s="2266">
        <v>0.55000000000000004</v>
      </c>
      <c r="BO54" s="2123">
        <f>+BO53/BI57-1</f>
        <v>0.34194666115090766</v>
      </c>
      <c r="BP54" s="2097"/>
      <c r="BQ54" s="2264">
        <v>0.25</v>
      </c>
      <c r="BR54" s="2265">
        <f>+BQ54</f>
        <v>0.25</v>
      </c>
      <c r="BS54" s="2265">
        <f>+BR54</f>
        <v>0.25</v>
      </c>
      <c r="BT54" s="2266">
        <f>+BS54</f>
        <v>0.25</v>
      </c>
      <c r="BU54" s="2123">
        <f>+BU53/BO57-1</f>
        <v>0.25000000000000022</v>
      </c>
      <c r="BV54" s="2097"/>
      <c r="BW54" s="2264">
        <v>0.15</v>
      </c>
      <c r="BX54" s="2265">
        <f>+BW54</f>
        <v>0.15</v>
      </c>
      <c r="BY54" s="2265">
        <f>+BX54</f>
        <v>0.15</v>
      </c>
      <c r="BZ54" s="2266">
        <f>+BY54</f>
        <v>0.15</v>
      </c>
      <c r="CA54" s="2123">
        <f>+CA53/BU57-1</f>
        <v>0.15000000000000013</v>
      </c>
      <c r="CB54" s="2097"/>
      <c r="CC54" s="2264">
        <v>0.14000000000000001</v>
      </c>
      <c r="CD54" s="2265">
        <f>+CC54</f>
        <v>0.14000000000000001</v>
      </c>
      <c r="CE54" s="2265">
        <f>+CD54</f>
        <v>0.14000000000000001</v>
      </c>
      <c r="CF54" s="2266">
        <f>+CE54</f>
        <v>0.14000000000000001</v>
      </c>
      <c r="CG54" s="2123">
        <f>+CG53/CA57-1</f>
        <v>0.14000000000000012</v>
      </c>
      <c r="CH54" s="2097"/>
      <c r="CI54" s="2264">
        <v>0.14000000000000001</v>
      </c>
      <c r="CJ54" s="2265">
        <f>+CI54</f>
        <v>0.14000000000000001</v>
      </c>
      <c r="CK54" s="2265">
        <f>+CJ54</f>
        <v>0.14000000000000001</v>
      </c>
      <c r="CL54" s="2266">
        <f>+CK54</f>
        <v>0.14000000000000001</v>
      </c>
      <c r="CM54" s="2123">
        <f>+CM53/CG57-1</f>
        <v>0.1399999999999999</v>
      </c>
      <c r="CN54" s="2097"/>
      <c r="CO54" s="2264">
        <v>0.14000000000000001</v>
      </c>
      <c r="CP54" s="2265">
        <f>+CO54</f>
        <v>0.14000000000000001</v>
      </c>
      <c r="CQ54" s="2265">
        <f>+CP54</f>
        <v>0.14000000000000001</v>
      </c>
      <c r="CR54" s="2266">
        <f>+CQ54</f>
        <v>0.14000000000000001</v>
      </c>
      <c r="CS54" s="2123">
        <f>+CS53/CM57-1</f>
        <v>0.14000000000000012</v>
      </c>
      <c r="CT54" s="2122"/>
      <c r="CU54" s="2122"/>
      <c r="CV54" s="2122"/>
      <c r="CW54" s="2122"/>
    </row>
    <row r="55" spans="1:128">
      <c r="A55" s="1991" t="s">
        <v>608</v>
      </c>
      <c r="B55" s="1302"/>
      <c r="C55" s="761"/>
      <c r="D55" s="762"/>
      <c r="E55" s="762"/>
      <c r="F55" s="762"/>
      <c r="G55" s="1986"/>
      <c r="H55" s="86"/>
      <c r="I55" s="761"/>
      <c r="J55" s="762"/>
      <c r="K55" s="762"/>
      <c r="L55" s="762"/>
      <c r="M55" s="1986"/>
      <c r="N55" s="86"/>
      <c r="O55" s="761"/>
      <c r="P55" s="762"/>
      <c r="Q55" s="762"/>
      <c r="R55" s="762"/>
      <c r="S55" s="1986"/>
      <c r="T55" s="86"/>
      <c r="U55" s="761"/>
      <c r="V55" s="762"/>
      <c r="W55" s="762"/>
      <c r="X55" s="762"/>
      <c r="Y55" s="1986"/>
      <c r="Z55" s="86"/>
      <c r="AA55" s="761"/>
      <c r="AB55" s="762"/>
      <c r="AC55" s="762"/>
      <c r="AD55" s="762"/>
      <c r="AE55" s="1986"/>
      <c r="AF55" s="86"/>
      <c r="AG55" s="761"/>
      <c r="AH55" s="762"/>
      <c r="AI55" s="762"/>
      <c r="AJ55" s="762"/>
      <c r="AK55" s="1986"/>
      <c r="AL55" s="86"/>
      <c r="AM55" s="1988">
        <f>+AM53/AM$39</f>
        <v>0.50628697756489138</v>
      </c>
      <c r="AN55" s="196">
        <f>+AN53/AN$39</f>
        <v>0.52344487899279479</v>
      </c>
      <c r="AO55" s="196">
        <f>+AO53/AO$39</f>
        <v>0.50995137974814608</v>
      </c>
      <c r="AP55" s="1989">
        <f>+AP53/AP$39</f>
        <v>0.52240358098679529</v>
      </c>
      <c r="AQ55" s="1990">
        <f>+AQ53/AQ$39</f>
        <v>0.51595863572755096</v>
      </c>
      <c r="AR55" s="86"/>
      <c r="AS55" s="1988">
        <f>+AS53/AS$39</f>
        <v>0.45770819490500536</v>
      </c>
      <c r="AT55" s="196">
        <f>+AT53/AT$39</f>
        <v>0.45770819490500536</v>
      </c>
      <c r="AU55" s="196">
        <f>+AU53/AU$39</f>
        <v>0.45770819490500536</v>
      </c>
      <c r="AV55" s="1989">
        <f>+AV53/AV$39</f>
        <v>0.45770819490500536</v>
      </c>
      <c r="AW55" s="1990">
        <f>+AW53/AW$39</f>
        <v>0.45770819490500536</v>
      </c>
      <c r="AX55" s="196"/>
      <c r="AY55" s="1988">
        <f>+AY53/AY$39</f>
        <v>0.42211042521721137</v>
      </c>
      <c r="AZ55" s="196">
        <f>+AZ53/AZ$39</f>
        <v>0.44497023328555313</v>
      </c>
      <c r="BA55" s="196">
        <f>+BA53/BA$39</f>
        <v>0.42051449080720121</v>
      </c>
      <c r="BB55" s="1989">
        <f>+BB53/BB$39</f>
        <v>0.51066784938725285</v>
      </c>
      <c r="BC55" s="1990">
        <f>+BC53/BC$39</f>
        <v>0.45110582010512262</v>
      </c>
      <c r="BD55" s="86"/>
      <c r="BE55" s="1988">
        <f>+BE53/BE$39</f>
        <v>0.41954413848539218</v>
      </c>
      <c r="BF55" s="196">
        <f>+BF53/BF$39</f>
        <v>0.51776782681509104</v>
      </c>
      <c r="BG55" s="196">
        <f>+BG53/BG$39</f>
        <v>0.41776069319397025</v>
      </c>
      <c r="BH55" s="1989">
        <f>+BH53/BH$39</f>
        <v>0.45273255972689813</v>
      </c>
      <c r="BI55" s="1990">
        <f>+BI53/BI$39</f>
        <v>0.45246571860936746</v>
      </c>
      <c r="BJ55" s="86"/>
      <c r="BK55" s="1988">
        <f>+BK53/BK$39</f>
        <v>0.46075806942641079</v>
      </c>
      <c r="BL55" s="196">
        <f>+BL53/BL$39</f>
        <v>0.56992903855721666</v>
      </c>
      <c r="BM55" s="196">
        <f>+BM53/BM$39</f>
        <v>0.46073833602300984</v>
      </c>
      <c r="BN55" s="1989">
        <f>+BN53/BN$39</f>
        <v>0.52700891409735029</v>
      </c>
      <c r="BO55" s="1990">
        <f>+BO53/BO$39</f>
        <v>0.50611541119660575</v>
      </c>
      <c r="BP55" s="86"/>
      <c r="BQ55" s="1988">
        <f>+BQ53/BQ$39</f>
        <v>0.41506267010403186</v>
      </c>
      <c r="BR55" s="196">
        <f>+BR53/BR$39</f>
        <v>0.5672688375714745</v>
      </c>
      <c r="BS55" s="196">
        <f>+BS53/BS$39</f>
        <v>0.48276705427746425</v>
      </c>
      <c r="BT55" s="1989">
        <f>+BT53/BT$39</f>
        <v>0.58532291560998584</v>
      </c>
      <c r="BU55" s="1990">
        <f>+BU53/BU$39</f>
        <v>0.51522526849733441</v>
      </c>
      <c r="BV55" s="86"/>
      <c r="BW55" s="1988">
        <f>+BW53/BW$39</f>
        <v>0.41096120332630842</v>
      </c>
      <c r="BX55" s="196">
        <f>+BX53/BX$39</f>
        <v>0.57222238429988537</v>
      </c>
      <c r="BY55" s="196">
        <f>+BY53/BY$39</f>
        <v>0.48919197364745071</v>
      </c>
      <c r="BZ55" s="1989">
        <f>+BZ53/BZ$39</f>
        <v>0.59475907362890101</v>
      </c>
      <c r="CA55" s="1990">
        <f>+CA53/CA$39</f>
        <v>0.51875744135030766</v>
      </c>
      <c r="CB55" s="86"/>
      <c r="CC55" s="1988">
        <f>+CC53/CC$39</f>
        <v>0.41999937788371927</v>
      </c>
      <c r="CD55" s="196">
        <f>+CD53/CD$39</f>
        <v>0.58596833496818368</v>
      </c>
      <c r="CE55" s="196">
        <f>+CE53/CE$39</f>
        <v>0.50182877100431833</v>
      </c>
      <c r="CF55" s="1989">
        <f>+CF53/CF$39</f>
        <v>0.61113304741451602</v>
      </c>
      <c r="CG55" s="1990">
        <f>+CG53/CG$39</f>
        <v>0.53168591566369516</v>
      </c>
      <c r="CH55" s="86"/>
      <c r="CI55" s="1988">
        <f>+CI53/CI$39</f>
        <v>0.42579161389009185</v>
      </c>
      <c r="CJ55" s="196">
        <f>+CJ53/CJ$39</f>
        <v>0.59536552433089895</v>
      </c>
      <c r="CK55" s="196">
        <f>+CK53/CK$39</f>
        <v>0.51093837326437652</v>
      </c>
      <c r="CL55" s="1989">
        <f>+CL53/CL$39</f>
        <v>0.62193948876037963</v>
      </c>
      <c r="CM55" s="1990">
        <f>+CM53/CM$39</f>
        <v>0.54044085385706486</v>
      </c>
      <c r="CN55" s="86"/>
      <c r="CO55" s="1988">
        <f>+CO53/CO$39</f>
        <v>0.43081972480623604</v>
      </c>
      <c r="CP55" s="196">
        <f>+CP53/CP$39</f>
        <v>0.59964285468762635</v>
      </c>
      <c r="CQ55" s="196">
        <f>+CQ53/CQ$39</f>
        <v>0.51315596934497876</v>
      </c>
      <c r="CR55" s="1989">
        <f>+CR53/CR$39</f>
        <v>0.62495415476954819</v>
      </c>
      <c r="CS55" s="1990">
        <f>+CS53/CS$39</f>
        <v>0.54419734919990381</v>
      </c>
      <c r="CT55" s="2005"/>
      <c r="CU55" s="2005"/>
      <c r="CV55" s="2005"/>
      <c r="CW55" s="2005"/>
    </row>
    <row r="56" spans="1:128">
      <c r="A56" s="1991" t="s">
        <v>612</v>
      </c>
      <c r="B56" s="2000"/>
      <c r="C56" s="2001"/>
      <c r="D56" s="2002"/>
      <c r="E56" s="2002"/>
      <c r="F56" s="2002"/>
      <c r="G56" s="2003"/>
      <c r="H56" s="2002"/>
      <c r="I56" s="2001"/>
      <c r="J56" s="2002"/>
      <c r="K56" s="2002"/>
      <c r="L56" s="2002"/>
      <c r="M56" s="2003"/>
      <c r="N56" s="2000"/>
      <c r="O56" s="2004"/>
      <c r="P56" s="2005"/>
      <c r="Q56" s="2005"/>
      <c r="R56" s="1999"/>
      <c r="S56" s="1990"/>
      <c r="T56" s="2006"/>
      <c r="U56" s="2004"/>
      <c r="V56" s="2005"/>
      <c r="W56" s="2005"/>
      <c r="X56" s="1999"/>
      <c r="Y56" s="1990"/>
      <c r="Z56" s="2006"/>
      <c r="AA56" s="2004"/>
      <c r="AB56" s="2005"/>
      <c r="AC56" s="2005"/>
      <c r="AD56" s="1999"/>
      <c r="AE56" s="1990"/>
      <c r="AF56" s="2006"/>
      <c r="AG56" s="2004"/>
      <c r="AH56" s="2005"/>
      <c r="AI56" s="2005"/>
      <c r="AJ56" s="1999"/>
      <c r="AK56" s="1990"/>
      <c r="AL56" s="2006"/>
      <c r="AM56" s="2004">
        <f>+AM53/AM$9</f>
        <v>7.3291390216853228E-2</v>
      </c>
      <c r="AN56" s="2005">
        <f>+AN53/AN$9</f>
        <v>8.1573438296765735E-2</v>
      </c>
      <c r="AO56" s="2005">
        <f>+AO53/AO$9</f>
        <v>8.8053499984222822E-2</v>
      </c>
      <c r="AP56" s="1999">
        <f>+AP53/AP$9</f>
        <v>8.8285199408158821E-2</v>
      </c>
      <c r="AQ56" s="1990">
        <f>+AQ53/AQ$9</f>
        <v>8.3006157308490203E-2</v>
      </c>
      <c r="AR56" s="2006"/>
      <c r="AS56" s="2004">
        <f>+AS53/AS$9</f>
        <v>8.1429140135602318E-2</v>
      </c>
      <c r="AT56" s="2005">
        <f>+AT53/AT$9</f>
        <v>8.8243250553394756E-2</v>
      </c>
      <c r="AU56" s="2005">
        <f>+AU53/AU$9</f>
        <v>0.09</v>
      </c>
      <c r="AV56" s="1999">
        <f>+AV53/AV$9</f>
        <v>9.4348531445637027E-2</v>
      </c>
      <c r="AW56" s="1990">
        <f>+AW53/AW$9</f>
        <v>8.8863512832327282E-2</v>
      </c>
      <c r="AX56" s="2007"/>
      <c r="AY56" s="2004">
        <f>+AY53/AY$9</f>
        <v>8.8881411908407718E-2</v>
      </c>
      <c r="AZ56" s="2005">
        <f>+AZ53/AZ$9</f>
        <v>9.4841430950146119E-2</v>
      </c>
      <c r="BA56" s="2005">
        <f>+BA53/BA$9</f>
        <v>8.9785787029263556E-2</v>
      </c>
      <c r="BB56" s="1999">
        <f>+BB53/BB$9</f>
        <v>0.11123925349513017</v>
      </c>
      <c r="BC56" s="1990">
        <f>+BC53/BC$9</f>
        <v>9.6466358413817135E-2</v>
      </c>
      <c r="BE56" s="2004">
        <f>+BE53/BE$9</f>
        <v>9.4151134019766006E-2</v>
      </c>
      <c r="BF56" s="2005">
        <f>+BF53/BF$9</f>
        <v>0.12294333497093614</v>
      </c>
      <c r="BG56" s="2005">
        <f>+BG53/BG$9</f>
        <v>0.10028500201283516</v>
      </c>
      <c r="BH56" s="1999">
        <f>+BH53/BH$9</f>
        <v>0.1081696904218724</v>
      </c>
      <c r="BI56" s="1990">
        <f>+BI53/BI$9</f>
        <v>0.10649247973418985</v>
      </c>
      <c r="BJ56" s="86"/>
      <c r="BK56" s="2004">
        <f>+BK53/BK$9</f>
        <v>0.10743783375438491</v>
      </c>
      <c r="BL56" s="2005">
        <f>+BL53/BL$9</f>
        <v>0.13864192839129599</v>
      </c>
      <c r="BM56" s="2005">
        <f>+BM53/BM$9</f>
        <v>0.11551029894190856</v>
      </c>
      <c r="BN56" s="1999">
        <f>+BN53/BN$9</f>
        <v>0.13521348853411511</v>
      </c>
      <c r="BO56" s="1990">
        <f>+BO53/BO$9</f>
        <v>0.1248605669555274</v>
      </c>
      <c r="BP56" s="86"/>
      <c r="BQ56" s="2004">
        <f>+BQ53/BQ$9</f>
        <v>0.10508368882752595</v>
      </c>
      <c r="BR56" s="2005">
        <f>+BR53/BR$9</f>
        <v>0.14813917435111398</v>
      </c>
      <c r="BS56" s="2005">
        <f>+BS53/BS$9</f>
        <v>0.12921576290000372</v>
      </c>
      <c r="BT56" s="1999">
        <f>+BT53/BT$9</f>
        <v>0.15833158803542977</v>
      </c>
      <c r="BU56" s="1990">
        <f>+BU53/BU$9</f>
        <v>0.13567026271487306</v>
      </c>
      <c r="BV56" s="86"/>
      <c r="BW56" s="2004">
        <f>+BW53/BW$9</f>
        <v>0.10898110742433588</v>
      </c>
      <c r="BX56" s="2005">
        <f>+BX53/BX$9</f>
        <v>0.15526644191069663</v>
      </c>
      <c r="BY56" s="2005">
        <f>+BY53/BY$9</f>
        <v>0.13587093248147014</v>
      </c>
      <c r="BZ56" s="1999">
        <f>+BZ53/BZ$9</f>
        <v>0.16681382528980573</v>
      </c>
      <c r="CA56" s="1990">
        <f>+CA53/CA$9</f>
        <v>0.1420279347799813</v>
      </c>
      <c r="CB56" s="86"/>
      <c r="CC56" s="2004">
        <f>+CC53/CC$9</f>
        <v>0.11278486809089749</v>
      </c>
      <c r="CD56" s="2005">
        <f>+CD53/CD$9</f>
        <v>0.16054238930811077</v>
      </c>
      <c r="CE56" s="2005">
        <f>+CE53/CE$9</f>
        <v>0.14052614640943159</v>
      </c>
      <c r="CF56" s="1999">
        <f>+CF53/CF$9</f>
        <v>0.17229143250124121</v>
      </c>
      <c r="CG56" s="1990">
        <f>+CG53/CG$9</f>
        <v>0.14685415627743231</v>
      </c>
      <c r="CH56" s="86"/>
      <c r="CI56" s="2004">
        <f>+CI53/CI$9</f>
        <v>0.11642787396156398</v>
      </c>
      <c r="CJ56" s="2005">
        <f>+CJ53/CJ$9</f>
        <v>0.16575766072713086</v>
      </c>
      <c r="CK56" s="2005">
        <f>+CK53/CK$9</f>
        <v>0.14517254906053814</v>
      </c>
      <c r="CL56" s="1999">
        <f>+CL53/CL$9</f>
        <v>0.17755159098568624</v>
      </c>
      <c r="CM56" s="1990">
        <f>+CM53/CM$9</f>
        <v>0.15156466355378279</v>
      </c>
      <c r="CN56" s="86"/>
      <c r="CO56" s="2004">
        <f>+CO53/CO$9</f>
        <v>0.12070404926886025</v>
      </c>
      <c r="CP56" s="2005">
        <f>+CP53/CP$9</f>
        <v>0.17109560819980207</v>
      </c>
      <c r="CQ56" s="2005">
        <f>+CQ53/CQ$9</f>
        <v>0.14930472435902803</v>
      </c>
      <c r="CR56" s="1999">
        <f>+CR53/CR$9</f>
        <v>0.1823919387877477</v>
      </c>
      <c r="CS56" s="1990">
        <f>+CS53/CS$9</f>
        <v>0.15627680270197988</v>
      </c>
      <c r="CT56" s="2005"/>
      <c r="CU56" s="2005"/>
      <c r="CV56" s="2005"/>
      <c r="CW56" s="2005"/>
    </row>
    <row r="57" spans="1:128">
      <c r="A57" s="2092" t="s">
        <v>629</v>
      </c>
      <c r="B57" s="2117"/>
      <c r="C57" s="2118"/>
      <c r="D57" s="2119"/>
      <c r="E57" s="2119"/>
      <c r="F57" s="2119"/>
      <c r="G57" s="2120"/>
      <c r="H57" s="2119"/>
      <c r="I57" s="2118"/>
      <c r="J57" s="2119"/>
      <c r="K57" s="2119"/>
      <c r="L57" s="2119"/>
      <c r="M57" s="2120"/>
      <c r="N57" s="2117"/>
      <c r="O57" s="2121"/>
      <c r="P57" s="2122"/>
      <c r="Q57" s="2122"/>
      <c r="R57" s="2122"/>
      <c r="S57" s="2123"/>
      <c r="T57" s="2124"/>
      <c r="U57" s="2121"/>
      <c r="V57" s="2122"/>
      <c r="W57" s="2122"/>
      <c r="X57" s="2122"/>
      <c r="Y57" s="2123"/>
      <c r="Z57" s="2124"/>
      <c r="AA57" s="2121"/>
      <c r="AB57" s="2122"/>
      <c r="AC57" s="2122"/>
      <c r="AD57" s="2122"/>
      <c r="AE57" s="2123"/>
      <c r="AF57" s="2124"/>
      <c r="AG57" s="2121"/>
      <c r="AH57" s="2122"/>
      <c r="AI57" s="2122"/>
      <c r="AJ57" s="2122"/>
      <c r="AK57" s="2123"/>
      <c r="AL57" s="2124"/>
      <c r="AM57" s="2099">
        <f>+AM53*(1+AM$11)</f>
        <v>23.987679567301623</v>
      </c>
      <c r="AN57" s="2097">
        <f>+AN53*(1+AN$11)</f>
        <v>28.013593186681931</v>
      </c>
      <c r="AO57" s="2097">
        <f>+AO53*(1+AO$11)</f>
        <v>31.538979701125079</v>
      </c>
      <c r="AP57" s="2097">
        <f>+AP53*(1+AP$11)</f>
        <v>33.983356407357405</v>
      </c>
      <c r="AQ57" s="2100">
        <f>+SUM(AM57:AP57)</f>
        <v>117.52360886246603</v>
      </c>
      <c r="AR57" s="2098"/>
      <c r="AS57" s="2099">
        <f>+AS53*(1+AS$11)</f>
        <v>34.302343499078063</v>
      </c>
      <c r="AT57" s="2097">
        <f>+AT53*(1+AT$11)</f>
        <v>39.575636297264033</v>
      </c>
      <c r="AU57" s="2097">
        <f>+AU53*(1+AU$11)</f>
        <v>43.264347685345797</v>
      </c>
      <c r="AV57" s="2097">
        <f>+AV53*(1+AV$11)</f>
        <v>48.142331668286808</v>
      </c>
      <c r="AW57" s="2100">
        <f>+SUM(AS57:AV57)</f>
        <v>165.28465914997469</v>
      </c>
      <c r="AX57" s="2098"/>
      <c r="AY57" s="2099">
        <f>+AY53*(1+AY$11)</f>
        <v>47.251478169980032</v>
      </c>
      <c r="AZ57" s="2097">
        <f>+AZ53*(1+AZ$11)</f>
        <v>50.710674037600235</v>
      </c>
      <c r="BA57" s="2097">
        <f>+BA53*(1+BA$11)</f>
        <v>49.019867765693732</v>
      </c>
      <c r="BB57" s="2097">
        <f>+BB53*(1+BB$11)</f>
        <v>65.51208493420468</v>
      </c>
      <c r="BC57" s="2100">
        <f>+SUM(AY57:BB57)</f>
        <v>212.49410490747869</v>
      </c>
      <c r="BD57" s="2097"/>
      <c r="BE57" s="2099">
        <f>+BE53*(1+BE$11)</f>
        <v>53.795807896522263</v>
      </c>
      <c r="BF57" s="2097">
        <f>+BF53*(1+BF$11)</f>
        <v>73.801913037247346</v>
      </c>
      <c r="BG57" s="2097">
        <f>+BG53*(1+BG$11)</f>
        <v>60.841503634992833</v>
      </c>
      <c r="BH57" s="2097">
        <f>+BH53*(1+BH$11)</f>
        <v>66.963585575504396</v>
      </c>
      <c r="BI57" s="2100">
        <f>+SUM(BE57:BH57)</f>
        <v>255.40281014426682</v>
      </c>
      <c r="BJ57" s="2097"/>
      <c r="BK57" s="2099">
        <f>+BK53*(1+BK$11)</f>
        <v>64.232194628447573</v>
      </c>
      <c r="BL57" s="2097">
        <f>+BL53*(1+BL$11)</f>
        <v>91.791129340076381</v>
      </c>
      <c r="BM57" s="2097">
        <f>+BM53*(1+BM$11)</f>
        <v>82.546710056776519</v>
      </c>
      <c r="BN57" s="2097">
        <f>+BN53*(1+BN$11)</f>
        <v>105.45425456430432</v>
      </c>
      <c r="BO57" s="2100">
        <f>+SUM(BK57:BN57)</f>
        <v>344.02428858960479</v>
      </c>
      <c r="BP57" s="2097"/>
      <c r="BQ57" s="2099">
        <f>+BQ53*(1+BQ$11)</f>
        <v>82.698950584126251</v>
      </c>
      <c r="BR57" s="2097">
        <f>+BR53*(1+BR$11)</f>
        <v>117.49264555529777</v>
      </c>
      <c r="BS57" s="2097">
        <f>+BS53*(1+BS$11)</f>
        <v>104.21522144668036</v>
      </c>
      <c r="BT57" s="2097">
        <f>+BT53*(1+BT$11)</f>
        <v>133.1359963874342</v>
      </c>
      <c r="BU57" s="2100">
        <f>+SUM(BQ57:BT57)</f>
        <v>437.54281397353856</v>
      </c>
      <c r="BV57" s="2097"/>
      <c r="BW57" s="2099">
        <f>+BW53*(1+BW$11)</f>
        <v>95.103793171745181</v>
      </c>
      <c r="BX57" s="2097">
        <f>+BX53*(1+BX$11)</f>
        <v>135.11654238859242</v>
      </c>
      <c r="BY57" s="2097">
        <f>+BY53*(1+BY$11)</f>
        <v>119.8475046636824</v>
      </c>
      <c r="BZ57" s="2097">
        <f>+BZ53*(1+BZ$11)</f>
        <v>153.10639584554932</v>
      </c>
      <c r="CA57" s="2100">
        <f>+SUM(BW57:BZ57)</f>
        <v>503.17423606956936</v>
      </c>
      <c r="CB57" s="2097"/>
      <c r="CC57" s="2099">
        <f>+CC53*(1+CC$11)</f>
        <v>108.41832421578953</v>
      </c>
      <c r="CD57" s="2097">
        <f>+CD53*(1+CD$11)</f>
        <v>154.03285832299537</v>
      </c>
      <c r="CE57" s="2097">
        <f>+CE53*(1+CE$11)</f>
        <v>136.62615531659796</v>
      </c>
      <c r="CF57" s="2097">
        <f>+CF53*(1+CF$11)</f>
        <v>174.54129126392624</v>
      </c>
      <c r="CG57" s="2100">
        <f>+SUM(CC57:CF57)</f>
        <v>573.61862911930916</v>
      </c>
      <c r="CH57" s="2097"/>
      <c r="CI57" s="2099">
        <f>+CI53*(1+CI$11)</f>
        <v>123.59688960600008</v>
      </c>
      <c r="CJ57" s="2097">
        <f>+CJ53*(1+CJ$11)</f>
        <v>175.59745848821473</v>
      </c>
      <c r="CK57" s="2097">
        <f>+CK53*(1+CK$11)</f>
        <v>155.75381706092168</v>
      </c>
      <c r="CL57" s="2097">
        <f>+CL53*(1+CL$11)</f>
        <v>198.97707204087592</v>
      </c>
      <c r="CM57" s="2100">
        <f>+SUM(CI57:CL57)</f>
        <v>653.9252371960124</v>
      </c>
      <c r="CN57" s="2097"/>
      <c r="CO57" s="2099">
        <f>+CO53*(1+CO$11)</f>
        <v>140.90045415084009</v>
      </c>
      <c r="CP57" s="2097">
        <f>+CP53*(1+CP$11)</f>
        <v>200.18110267656482</v>
      </c>
      <c r="CQ57" s="2097">
        <f>+CQ53*(1+CQ$11)</f>
        <v>177.55935144945073</v>
      </c>
      <c r="CR57" s="2097">
        <f>+CR53*(1+CR$11)</f>
        <v>226.83386212659858</v>
      </c>
      <c r="CS57" s="2100">
        <f>+SUM(CO57:CR57)</f>
        <v>745.47477040345427</v>
      </c>
      <c r="CT57" s="2097"/>
      <c r="CU57" s="2097"/>
      <c r="CV57" s="2097"/>
      <c r="CW57" s="2097"/>
    </row>
    <row r="58" spans="1:128">
      <c r="A58" s="1991" t="s">
        <v>734</v>
      </c>
      <c r="B58" s="2117"/>
      <c r="C58" s="2118"/>
      <c r="D58" s="2119"/>
      <c r="E58" s="2119"/>
      <c r="F58" s="2119"/>
      <c r="G58" s="2120"/>
      <c r="H58" s="2119"/>
      <c r="I58" s="2118"/>
      <c r="J58" s="2119"/>
      <c r="K58" s="2119"/>
      <c r="L58" s="2119"/>
      <c r="M58" s="2120"/>
      <c r="N58" s="2117"/>
      <c r="O58" s="2121"/>
      <c r="P58" s="2122"/>
      <c r="Q58" s="2122"/>
      <c r="R58" s="2122"/>
      <c r="S58" s="2123"/>
      <c r="T58" s="2124"/>
      <c r="U58" s="2121"/>
      <c r="V58" s="2122"/>
      <c r="W58" s="2122"/>
      <c r="X58" s="2122"/>
      <c r="Y58" s="2123"/>
      <c r="Z58" s="2124"/>
      <c r="AA58" s="2121"/>
      <c r="AB58" s="2122"/>
      <c r="AC58" s="2122"/>
      <c r="AD58" s="2122"/>
      <c r="AE58" s="2123"/>
      <c r="AF58" s="2124"/>
      <c r="AG58" s="2121"/>
      <c r="AH58" s="2122"/>
      <c r="AI58" s="2122"/>
      <c r="AJ58" s="2122"/>
      <c r="AK58" s="2131"/>
      <c r="AL58" s="2124"/>
      <c r="AM58" s="2099"/>
      <c r="AN58" s="2097"/>
      <c r="AO58" s="2097"/>
      <c r="AP58" s="2097"/>
      <c r="AQ58" s="2100"/>
      <c r="AR58" s="2098"/>
      <c r="AS58" s="1988">
        <f>+AS57/AS59</f>
        <v>0.63174671055761644</v>
      </c>
      <c r="AT58" s="196">
        <f t="shared" ref="AT58:AW58" si="12">+AT57/AT59</f>
        <v>0.71654434131954547</v>
      </c>
      <c r="AU58" s="196">
        <f t="shared" si="12"/>
        <v>0.78333101916441128</v>
      </c>
      <c r="AV58" s="1989">
        <f t="shared" si="12"/>
        <v>0.82643183431079315</v>
      </c>
      <c r="AW58" s="1990">
        <f t="shared" si="12"/>
        <v>0.74114243911547395</v>
      </c>
      <c r="AX58" s="196"/>
      <c r="AY58" s="1988">
        <f>+AY57/AY59</f>
        <v>0.62943787859610323</v>
      </c>
      <c r="AZ58" s="196">
        <f t="shared" ref="AZ58" si="13">+AZ57/AZ59</f>
        <v>0.69729406673341532</v>
      </c>
      <c r="BA58" s="196">
        <f t="shared" ref="BA58" si="14">+BA57/BA59</f>
        <v>0.67404473700607093</v>
      </c>
      <c r="BB58" s="1989">
        <f t="shared" ref="BB58" si="15">+BB57/BB59</f>
        <v>0.73143495418171001</v>
      </c>
      <c r="BC58" s="1990">
        <f t="shared" ref="BC58" si="16">+BC57/BC59</f>
        <v>0.68527531319327939</v>
      </c>
      <c r="BD58" s="86"/>
      <c r="BE58" s="1988">
        <f>+BE57/BE59</f>
        <v>0.62628188658469164</v>
      </c>
      <c r="BF58" s="196">
        <f t="shared" ref="BF58" si="17">+BF57/BF59</f>
        <v>0.7641012256100933</v>
      </c>
      <c r="BG58" s="196">
        <f t="shared" ref="BG58" si="18">+BG57/BG59</f>
        <v>0.62991683524512754</v>
      </c>
      <c r="BH58" s="1989">
        <f t="shared" ref="BH58" si="19">+BH57/BH59</f>
        <v>0.52847778062705086</v>
      </c>
      <c r="BI58" s="1990">
        <f t="shared" ref="BI58" si="20">+BI57/BI59</f>
        <v>0.62941115139392889</v>
      </c>
      <c r="BJ58" s="86"/>
      <c r="BK58" s="1988">
        <f>+BK57/BK59</f>
        <v>0.58937100237068463</v>
      </c>
      <c r="BL58" s="196">
        <f t="shared" ref="BL58" si="21">+BL57/BL59</f>
        <v>0.73918260467503727</v>
      </c>
      <c r="BM58" s="196">
        <f t="shared" ref="BM58" si="22">+BM57/BM59</f>
        <v>0.66473844025887641</v>
      </c>
      <c r="BN58" s="1989">
        <f t="shared" ref="BN58" si="23">+BN57/BN59</f>
        <v>0.70728334684033212</v>
      </c>
      <c r="BO58" s="1990">
        <f t="shared" ref="BO58" si="24">+BO57/BO59</f>
        <v>0.67929868202907606</v>
      </c>
      <c r="BP58" s="86"/>
      <c r="BQ58" s="1988">
        <f>+BQ57/BQ59</f>
        <v>0.4821814352506783</v>
      </c>
      <c r="BR58" s="196">
        <f t="shared" ref="BR58" si="25">+BR57/BR59</f>
        <v>0.62700223675239564</v>
      </c>
      <c r="BS58" s="196">
        <f t="shared" ref="BS58" si="26">+BS57/BS59</f>
        <v>0.55614695406582815</v>
      </c>
      <c r="BT58" s="1989">
        <f t="shared" ref="BT58" si="27">+BT57/BT59</f>
        <v>0.58993133593195479</v>
      </c>
      <c r="BU58" s="1990">
        <f t="shared" ref="BU58" si="28">+BU57/BU59</f>
        <v>0.5667899982129595</v>
      </c>
      <c r="BV58" s="86"/>
      <c r="BW58" s="1988">
        <f>+BW57/BW59</f>
        <v>0.30959608528846644</v>
      </c>
      <c r="BX58" s="196">
        <f t="shared" ref="BX58:CA58" si="29">+BX57/BX59</f>
        <v>0.46737170519642601</v>
      </c>
      <c r="BY58" s="196">
        <f t="shared" si="29"/>
        <v>0.41455569856952573</v>
      </c>
      <c r="BZ58" s="1989">
        <f t="shared" si="29"/>
        <v>0.53123015819319785</v>
      </c>
      <c r="CA58" s="1990">
        <f t="shared" si="29"/>
        <v>0.42874603586376181</v>
      </c>
      <c r="CB58" s="86"/>
      <c r="CC58" s="1988">
        <f>+CC57/CC59</f>
        <v>0.26041641820778799</v>
      </c>
      <c r="CD58" s="196">
        <f t="shared" ref="CD58:CG58" si="30">+CD57/CD59</f>
        <v>0.36746407730156172</v>
      </c>
      <c r="CE58" s="196">
        <f t="shared" si="30"/>
        <v>0.32593827476340781</v>
      </c>
      <c r="CF58" s="1989">
        <f t="shared" si="30"/>
        <v>0.40103990151567992</v>
      </c>
      <c r="CG58" s="1990">
        <f t="shared" si="30"/>
        <v>0.33943848280041927</v>
      </c>
      <c r="CH58" s="86"/>
      <c r="CI58" s="1988">
        <f>+CI57/CI59</f>
        <v>0.26908100910680177</v>
      </c>
      <c r="CJ58" s="196">
        <f t="shared" ref="CJ58:CM58" si="31">+CJ57/CJ59</f>
        <v>0.4734288772098631</v>
      </c>
      <c r="CK58" s="196">
        <f t="shared" si="31"/>
        <v>0.41992837121416277</v>
      </c>
      <c r="CL58" s="1989">
        <f t="shared" si="31"/>
        <v>0.54202196197977559</v>
      </c>
      <c r="CM58" s="1990">
        <f t="shared" si="31"/>
        <v>0.41697966451774826</v>
      </c>
      <c r="CN58" s="86"/>
      <c r="CO58" s="1988">
        <f>+CO57/CO59</f>
        <v>0.33172609571107448</v>
      </c>
      <c r="CP58" s="196">
        <f t="shared" ref="CP58:CS58" si="32">+CP57/CP59</f>
        <v>0.58361457599916988</v>
      </c>
      <c r="CQ58" s="196">
        <f t="shared" si="32"/>
        <v>0.51766237784337221</v>
      </c>
      <c r="CR58" s="1989">
        <f t="shared" si="32"/>
        <v>0.66724495570369524</v>
      </c>
      <c r="CS58" s="1990">
        <f t="shared" si="32"/>
        <v>0.51386900069670693</v>
      </c>
      <c r="CT58" s="2005"/>
      <c r="CU58" s="2005"/>
      <c r="CV58" s="2005"/>
      <c r="CW58" s="2005"/>
    </row>
    <row r="59" spans="1:128">
      <c r="A59" s="1972" t="s">
        <v>733</v>
      </c>
      <c r="B59" s="2117"/>
      <c r="C59" s="2118"/>
      <c r="D59" s="2119"/>
      <c r="E59" s="2119"/>
      <c r="F59" s="2119"/>
      <c r="G59" s="2120"/>
      <c r="H59" s="2119"/>
      <c r="I59" s="2118"/>
      <c r="J59" s="2119"/>
      <c r="K59" s="2119"/>
      <c r="L59" s="2119"/>
      <c r="M59" s="2120"/>
      <c r="N59" s="2117"/>
      <c r="O59" s="2121"/>
      <c r="P59" s="2122"/>
      <c r="Q59" s="2122"/>
      <c r="R59" s="2122"/>
      <c r="S59" s="2123"/>
      <c r="T59" s="2124"/>
      <c r="U59" s="2121"/>
      <c r="V59" s="2122"/>
      <c r="W59" s="2122"/>
      <c r="X59" s="2122"/>
      <c r="Y59" s="2123"/>
      <c r="Z59" s="2124"/>
      <c r="AA59" s="2121"/>
      <c r="AB59" s="2122"/>
      <c r="AC59" s="2122"/>
      <c r="AD59" s="2122"/>
      <c r="AE59" s="2123"/>
      <c r="AF59" s="2124"/>
      <c r="AG59" s="2121"/>
      <c r="AH59" s="2122"/>
      <c r="AI59" s="2122"/>
      <c r="AJ59" s="2122"/>
      <c r="AK59" s="2131"/>
      <c r="AL59" s="2124"/>
      <c r="AM59" s="2099"/>
      <c r="AN59" s="2097"/>
      <c r="AO59" s="2097"/>
      <c r="AP59" s="2097"/>
      <c r="AQ59" s="2100"/>
      <c r="AR59" s="2098"/>
      <c r="AS59" s="2338">
        <v>54.29762106525385</v>
      </c>
      <c r="AT59" s="2339">
        <v>55.231245318864559</v>
      </c>
      <c r="AU59" s="2339">
        <v>55.231245318864559</v>
      </c>
      <c r="AV59" s="2339">
        <v>58.253239613446567</v>
      </c>
      <c r="AW59" s="2340">
        <v>223.01335131642955</v>
      </c>
      <c r="AX59" s="2098"/>
      <c r="AY59" s="2338">
        <v>75.069327374084352</v>
      </c>
      <c r="AZ59" s="2339">
        <v>72.724946987090306</v>
      </c>
      <c r="BA59" s="2339">
        <v>72.724946987090306</v>
      </c>
      <c r="BB59" s="2339">
        <v>89.566522025866362</v>
      </c>
      <c r="BC59" s="2340">
        <v>310.08574337413131</v>
      </c>
      <c r="BD59" s="2097"/>
      <c r="BE59" s="2338">
        <v>85.89711605725563</v>
      </c>
      <c r="BF59" s="2339">
        <v>96.586565449257762</v>
      </c>
      <c r="BG59" s="2339">
        <v>96.586565449257762</v>
      </c>
      <c r="BH59" s="2339">
        <v>126.71031409504215</v>
      </c>
      <c r="BI59" s="2340">
        <v>405.78056105081328</v>
      </c>
      <c r="BJ59" s="2097"/>
      <c r="BK59" s="2338">
        <v>108.98431441329846</v>
      </c>
      <c r="BL59" s="2339">
        <v>124.179233601459</v>
      </c>
      <c r="BM59" s="2339">
        <v>124.179233601459</v>
      </c>
      <c r="BN59" s="2339">
        <v>149.09760711234506</v>
      </c>
      <c r="BO59" s="2340">
        <v>506.44038872856152</v>
      </c>
      <c r="BP59" s="2097"/>
      <c r="BQ59" s="2338">
        <v>171.51002618160197</v>
      </c>
      <c r="BR59" s="2339">
        <v>187.38792091693261</v>
      </c>
      <c r="BS59" s="2339">
        <v>187.38792091693261</v>
      </c>
      <c r="BT59" s="2339">
        <v>225.68049581077122</v>
      </c>
      <c r="BU59" s="2340">
        <v>771.96636382623842</v>
      </c>
      <c r="BV59" s="2097"/>
      <c r="BW59" s="2338">
        <v>307.18667867887325</v>
      </c>
      <c r="BX59" s="2339">
        <v>289.09867860273209</v>
      </c>
      <c r="BY59" s="2339">
        <v>289.09867860273209</v>
      </c>
      <c r="BZ59" s="2339">
        <v>288.21103900857145</v>
      </c>
      <c r="CA59" s="2340">
        <v>1173.595074892909</v>
      </c>
      <c r="CB59" s="2097"/>
      <c r="CC59" s="2338">
        <v>416.32676219854091</v>
      </c>
      <c r="CD59" s="2339">
        <v>419.17800361363572</v>
      </c>
      <c r="CE59" s="2339">
        <v>419.17800361363572</v>
      </c>
      <c r="CF59" s="2339">
        <v>435.22175874338029</v>
      </c>
      <c r="CG59" s="2340">
        <v>1689.9045281691926</v>
      </c>
      <c r="CH59" s="2097"/>
      <c r="CI59" s="2338">
        <v>459.32966438721382</v>
      </c>
      <c r="CJ59" s="2339">
        <v>370.90567758158807</v>
      </c>
      <c r="CK59" s="2339">
        <v>370.90567758158807</v>
      </c>
      <c r="CL59" s="2339">
        <v>367.10149403189746</v>
      </c>
      <c r="CM59" s="2340">
        <v>1568.2425135822873</v>
      </c>
      <c r="CN59" s="2097"/>
      <c r="CO59" s="2338">
        <v>424.74938201292741</v>
      </c>
      <c r="CP59" s="2339">
        <v>343.0022328243727</v>
      </c>
      <c r="CQ59" s="2339">
        <v>343.0022328243727</v>
      </c>
      <c r="CR59" s="2339">
        <v>339.95590403133616</v>
      </c>
      <c r="CS59" s="2340">
        <v>1450.7097516930089</v>
      </c>
      <c r="CT59" s="2339"/>
      <c r="CU59" s="2339"/>
      <c r="CV59" s="2339"/>
      <c r="CW59" s="2339"/>
    </row>
    <row r="60" spans="1:128">
      <c r="A60" s="1984" t="s">
        <v>611</v>
      </c>
      <c r="B60" s="1973"/>
      <c r="C60" s="1974"/>
      <c r="D60" s="1973"/>
      <c r="E60" s="1973"/>
      <c r="F60" s="1973"/>
      <c r="G60" s="1975"/>
      <c r="H60" s="1973"/>
      <c r="I60" s="1974"/>
      <c r="J60" s="1973"/>
      <c r="K60" s="1973"/>
      <c r="L60" s="1973"/>
      <c r="M60" s="1975"/>
      <c r="N60" s="1973"/>
      <c r="O60" s="1974"/>
      <c r="P60" s="1973"/>
      <c r="Q60" s="1973"/>
      <c r="R60" s="1973"/>
      <c r="S60" s="1975"/>
      <c r="T60" s="1973"/>
      <c r="U60" s="1974"/>
      <c r="V60" s="1973"/>
      <c r="W60" s="1973"/>
      <c r="X60" s="1973"/>
      <c r="Y60" s="1975"/>
      <c r="Z60" s="1973"/>
      <c r="AA60" s="1974"/>
      <c r="AB60" s="1973"/>
      <c r="AC60" s="1973"/>
      <c r="AD60" s="1973"/>
      <c r="AE60" s="1975"/>
      <c r="AF60" s="1973"/>
      <c r="AG60" s="1974"/>
      <c r="AH60" s="1973"/>
      <c r="AI60" s="1973"/>
      <c r="AJ60" s="1973"/>
      <c r="AK60" s="1976"/>
      <c r="AL60" s="1973"/>
      <c r="AM60" s="1974"/>
      <c r="AN60" s="1977"/>
      <c r="AO60" s="1977"/>
      <c r="AP60" s="1978"/>
      <c r="AQ60" s="1975"/>
      <c r="AR60" s="1973"/>
      <c r="AS60" s="1979"/>
      <c r="AT60" s="1980"/>
      <c r="AU60" s="1980"/>
      <c r="AV60" s="1981"/>
      <c r="AW60" s="1982"/>
      <c r="AX60" s="1981"/>
      <c r="AY60" s="1983"/>
      <c r="AZ60" s="1981"/>
      <c r="BA60" s="2261"/>
      <c r="BB60" s="1981"/>
      <c r="BC60" s="1982"/>
      <c r="BD60" s="1981"/>
      <c r="BE60" s="1983"/>
      <c r="BF60" s="1981"/>
      <c r="BG60" s="1981"/>
      <c r="BH60" s="1981"/>
      <c r="BI60" s="1982"/>
      <c r="BJ60" s="1981"/>
      <c r="BK60" s="1983"/>
      <c r="BL60" s="1981"/>
      <c r="BM60" s="1981"/>
      <c r="BN60" s="1981"/>
      <c r="BO60" s="1982"/>
      <c r="BP60" s="1981"/>
      <c r="BQ60" s="1983"/>
      <c r="BR60" s="1981"/>
      <c r="BS60" s="1981"/>
      <c r="BT60" s="1981"/>
      <c r="BU60" s="1982"/>
      <c r="BV60" s="1981"/>
      <c r="BW60" s="1983"/>
      <c r="BX60" s="1981"/>
      <c r="BY60" s="1981"/>
      <c r="BZ60" s="1981"/>
      <c r="CA60" s="1982"/>
      <c r="CB60" s="1981"/>
      <c r="CC60" s="1983"/>
      <c r="CD60" s="1981"/>
      <c r="CE60" s="1981"/>
      <c r="CF60" s="1981"/>
      <c r="CG60" s="1982"/>
      <c r="CH60" s="1981"/>
      <c r="CI60" s="1983"/>
      <c r="CJ60" s="1981"/>
      <c r="CK60" s="1981"/>
      <c r="CL60" s="1981"/>
      <c r="CM60" s="1982"/>
      <c r="CN60" s="1981"/>
      <c r="CO60" s="1983"/>
      <c r="CP60" s="1981"/>
      <c r="CQ60" s="1981"/>
      <c r="CR60" s="1981"/>
      <c r="CS60" s="1982"/>
      <c r="CT60" s="2400"/>
      <c r="CU60" s="2400"/>
      <c r="CV60" s="2400"/>
      <c r="CW60" s="240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60"/>
      <c r="DI60" s="60"/>
      <c r="DJ60" s="60"/>
      <c r="DK60" s="60"/>
      <c r="DL60" s="60"/>
      <c r="DM60" s="68"/>
      <c r="DN60" s="68"/>
      <c r="DO60" s="68"/>
      <c r="DP60" s="68"/>
      <c r="DQ60" s="68"/>
      <c r="DR60" s="68"/>
      <c r="DS60" s="68"/>
      <c r="DT60" s="68"/>
      <c r="DU60" s="68"/>
      <c r="DV60" s="68"/>
      <c r="DW60" s="68"/>
      <c r="DX60" s="68"/>
    </row>
    <row r="61" spans="1:128">
      <c r="A61" s="2098" t="s">
        <v>607</v>
      </c>
      <c r="B61" s="2093"/>
      <c r="C61" s="2099"/>
      <c r="D61" s="2097"/>
      <c r="E61" s="2097"/>
      <c r="F61" s="2097"/>
      <c r="G61" s="2120"/>
      <c r="H61" s="2119"/>
      <c r="I61" s="2118"/>
      <c r="J61" s="2119"/>
      <c r="K61" s="2119"/>
      <c r="L61" s="2119"/>
      <c r="M61" s="2120"/>
      <c r="N61" s="2117"/>
      <c r="O61" s="2121"/>
      <c r="P61" s="2122"/>
      <c r="Q61" s="2122"/>
      <c r="R61" s="2131"/>
      <c r="S61" s="2123"/>
      <c r="T61" s="2124"/>
      <c r="U61" s="2121"/>
      <c r="V61" s="2122"/>
      <c r="W61" s="2122"/>
      <c r="X61" s="2131"/>
      <c r="Y61" s="2123"/>
      <c r="Z61" s="2124"/>
      <c r="AA61" s="2121"/>
      <c r="AB61" s="2122"/>
      <c r="AC61" s="2122"/>
      <c r="AD61" s="2131"/>
      <c r="AE61" s="2123"/>
      <c r="AF61" s="2124"/>
      <c r="AG61" s="2121"/>
      <c r="AH61" s="2122"/>
      <c r="AI61" s="2122"/>
      <c r="AJ61" s="2097"/>
      <c r="AK61" s="2100"/>
      <c r="AL61" s="2093"/>
      <c r="AM61" s="2099">
        <f>+AM68+AM73+AM76+AM85</f>
        <v>10.63157886838648</v>
      </c>
      <c r="AN61" s="2097">
        <f>+AN68+AN73+AN76+AN85</f>
        <v>15.728146207391569</v>
      </c>
      <c r="AO61" s="2097">
        <f>+AO68+AO73+AO76+AO85</f>
        <v>17.818096571470718</v>
      </c>
      <c r="AP61" s="2097">
        <f>+AP68+AP73+AP76+AP85</f>
        <v>18.791935458911052</v>
      </c>
      <c r="AQ61" s="2100">
        <f>SUM(AM61:AP61)</f>
        <v>62.969757106159818</v>
      </c>
      <c r="AR61" s="2093"/>
      <c r="AS61" s="2099">
        <f>+AS68+AS73+AS76+AS85</f>
        <v>26.826565837184919</v>
      </c>
      <c r="AT61" s="2097">
        <f>+AT68+AT73+AT76+AT85</f>
        <v>31.977979505747996</v>
      </c>
      <c r="AU61" s="2097">
        <f>+AU68+AU73+AU76+AU85</f>
        <v>34.829607719077813</v>
      </c>
      <c r="AV61" s="2097">
        <f>+AV68+AV73+AV76+AV85</f>
        <v>41.678090357030243</v>
      </c>
      <c r="AW61" s="2100">
        <f>SUM(AS61:AV61)</f>
        <v>135.31224341904095</v>
      </c>
      <c r="AX61" s="2093"/>
      <c r="AY61" s="2099">
        <f>+AY68+AY73+AY76+AY85</f>
        <v>39.034488584070118</v>
      </c>
      <c r="AZ61" s="2097">
        <f>+AZ68+AZ73+AZ76+AZ85</f>
        <v>43.217515177718532</v>
      </c>
      <c r="BA61" s="2097">
        <f>+BA68+BA73+BA76+BA85</f>
        <v>49.741487611358217</v>
      </c>
      <c r="BB61" s="2097">
        <f>+BB68+BB73+BB76+BB85</f>
        <v>58.608576442648079</v>
      </c>
      <c r="BC61" s="2100">
        <f>SUM(AY61:BB61)</f>
        <v>190.60206781579495</v>
      </c>
      <c r="BD61" s="2093"/>
      <c r="BE61" s="2099">
        <f>+BE68+BE73+BE76+BE85</f>
        <v>41.854171268451836</v>
      </c>
      <c r="BF61" s="2097">
        <f>+BF68+BF73+BF76+BF85</f>
        <v>43.548343464724148</v>
      </c>
      <c r="BG61" s="2097">
        <f>+BG68+BG73+BG76+BG85</f>
        <v>48.350871106248064</v>
      </c>
      <c r="BH61" s="2097">
        <f>+BH68+BH73+BH76+BH85</f>
        <v>53.808237028658937</v>
      </c>
      <c r="BI61" s="2100">
        <f>SUM(BE61:BH61)</f>
        <v>187.56162286808299</v>
      </c>
      <c r="BJ61" s="2093"/>
      <c r="BK61" s="2099">
        <f>+BK68+BK73+BK76+BK85</f>
        <v>44.700806163990649</v>
      </c>
      <c r="BL61" s="2097">
        <f>+BL68+BL73+BL76+BL85</f>
        <v>45.637088907249371</v>
      </c>
      <c r="BM61" s="2097">
        <f>+BM68+BM73+BM76+BM85</f>
        <v>48.691582588008075</v>
      </c>
      <c r="BN61" s="2097">
        <f>+BN68+BN73+BN76+BN85</f>
        <v>50.54441753431756</v>
      </c>
      <c r="BO61" s="2100">
        <f>SUM(BK61:BN61)</f>
        <v>189.57389519356565</v>
      </c>
      <c r="BP61" s="2093"/>
      <c r="BQ61" s="2099">
        <f>+BQ68+BQ73+BQ76+BQ85</f>
        <v>45.550533190674493</v>
      </c>
      <c r="BR61" s="2097">
        <f>+BR68+BR73+BR76+BR85</f>
        <v>47.392111396494798</v>
      </c>
      <c r="BS61" s="2097">
        <f>+BS68+BS73+BS76+BS85</f>
        <v>51.183254922140065</v>
      </c>
      <c r="BT61" s="2097">
        <f>+BT68+BT73+BT76+BT85</f>
        <v>53.600401814784838</v>
      </c>
      <c r="BU61" s="2100">
        <f>SUM(BQ61:BT61)</f>
        <v>197.72630132409421</v>
      </c>
      <c r="BV61" s="2093"/>
      <c r="BW61" s="2099">
        <f>+BW68+BW73+BW76+BW85</f>
        <v>50.66936510299125</v>
      </c>
      <c r="BX61" s="2097">
        <f>+BX68+BX73+BX76+BX85</f>
        <v>52.710944268497563</v>
      </c>
      <c r="BY61" s="2097">
        <f>+BY68+BY73+BY76+BY85</f>
        <v>56.401410232559606</v>
      </c>
      <c r="BZ61" s="2097">
        <f>+BZ68+BZ73+BZ76+BZ85</f>
        <v>58.767131939561963</v>
      </c>
      <c r="CA61" s="2100">
        <f>SUM(BW61:BZ61)</f>
        <v>218.5488515436104</v>
      </c>
      <c r="CB61" s="2093"/>
      <c r="CC61" s="2099">
        <f>+CC68+CC73+CC76+CC85</f>
        <v>55.156940033722151</v>
      </c>
      <c r="CD61" s="2097">
        <f>+CD68+CD73+CD76+CD85</f>
        <v>56.718687564605688</v>
      </c>
      <c r="CE61" s="2097">
        <f>+CE68+CE73+CE76+CE85</f>
        <v>60.295963550517122</v>
      </c>
      <c r="CF61" s="2097">
        <f>+CF68+CF73+CF76+CF85</f>
        <v>62.624014679227358</v>
      </c>
      <c r="CG61" s="2100">
        <f>SUM(CC61:CF61)</f>
        <v>234.79560582807233</v>
      </c>
      <c r="CH61" s="2093"/>
      <c r="CI61" s="2099">
        <f>+CI68+CI73+CI76+CI85</f>
        <v>59.070439666966998</v>
      </c>
      <c r="CJ61" s="2097">
        <f>+CJ68+CJ73+CJ76+CJ85</f>
        <v>60.911407043701381</v>
      </c>
      <c r="CK61" s="2097">
        <f>+CK68+CK73+CK76+CK85</f>
        <v>64.691843595007782</v>
      </c>
      <c r="CL61" s="2097">
        <f>+CL68+CL73+CL76+CL85</f>
        <v>67.312581879174317</v>
      </c>
      <c r="CM61" s="2100">
        <f>SUM(CI61:CL61)</f>
        <v>251.98627218485046</v>
      </c>
      <c r="CN61" s="2093"/>
      <c r="CO61" s="2099">
        <f>+CO68+CO73+CO76+CO85</f>
        <v>63.904404439636082</v>
      </c>
      <c r="CP61" s="2097">
        <f>+CP68+CP73+CP76+CP85</f>
        <v>66.120209917974222</v>
      </c>
      <c r="CQ61" s="2097">
        <f>+CQ68+CQ73+CQ76+CQ85</f>
        <v>70.214108926501524</v>
      </c>
      <c r="CR61" s="2097">
        <f>+CR68+CR73+CR76+CR85</f>
        <v>73.245330402394259</v>
      </c>
      <c r="CS61" s="2100">
        <f>SUM(CO61:CR61)</f>
        <v>273.48405368650606</v>
      </c>
      <c r="CT61" s="2097"/>
      <c r="CU61" s="2097"/>
      <c r="CV61" s="2097"/>
      <c r="CW61" s="2097"/>
    </row>
    <row r="62" spans="1:128">
      <c r="A62" s="2187" t="s">
        <v>593</v>
      </c>
      <c r="B62" s="2117"/>
      <c r="C62" s="2118"/>
      <c r="D62" s="2119"/>
      <c r="E62" s="2119"/>
      <c r="F62" s="2119"/>
      <c r="G62" s="2120"/>
      <c r="H62" s="2119"/>
      <c r="I62" s="2118"/>
      <c r="J62" s="2119"/>
      <c r="K62" s="2119"/>
      <c r="L62" s="2119"/>
      <c r="M62" s="2120"/>
      <c r="N62" s="2117"/>
      <c r="O62" s="2121"/>
      <c r="P62" s="2122"/>
      <c r="Q62" s="2122"/>
      <c r="R62" s="2131"/>
      <c r="S62" s="2123"/>
      <c r="T62" s="2124"/>
      <c r="U62" s="2121"/>
      <c r="V62" s="2122"/>
      <c r="W62" s="2122"/>
      <c r="X62" s="2131"/>
      <c r="Y62" s="2123"/>
      <c r="Z62" s="2124"/>
      <c r="AA62" s="2121"/>
      <c r="AB62" s="2122"/>
      <c r="AC62" s="2122"/>
      <c r="AD62" s="2131"/>
      <c r="AE62" s="2123"/>
      <c r="AF62" s="2124"/>
      <c r="AG62" s="2121"/>
      <c r="AH62" s="2122"/>
      <c r="AI62" s="2122"/>
      <c r="AJ62" s="2131"/>
      <c r="AK62" s="2123"/>
      <c r="AL62" s="2124"/>
      <c r="AM62" s="2121"/>
      <c r="AN62" s="2122"/>
      <c r="AO62" s="2122"/>
      <c r="AP62" s="2122"/>
      <c r="AQ62" s="2123"/>
      <c r="AR62" s="2124"/>
      <c r="AS62" s="2121">
        <f>+AS61/AM67-1</f>
        <v>1.6585367378631148</v>
      </c>
      <c r="AT62" s="2122">
        <f>+AT61/AN67-1</f>
        <v>1.1080019181795513</v>
      </c>
      <c r="AU62" s="2122">
        <f>+AU61/AO67-1</f>
        <v>0.91400580265484144</v>
      </c>
      <c r="AV62" s="2131">
        <f>+AV61/AP67-1</f>
        <v>1.28104206868746</v>
      </c>
      <c r="AW62" s="2123">
        <f>+AW61/AQ67-1</f>
        <v>1.1920270251323513</v>
      </c>
      <c r="AY62" s="2121">
        <f>+AY61/AS67-1</f>
        <v>0.44729472605043075</v>
      </c>
      <c r="AZ62" s="2122">
        <f>+AZ61/AT67-1</f>
        <v>0.33900122010614675</v>
      </c>
      <c r="BA62" s="2122">
        <f>+BA61/AU67-1</f>
        <v>0.42715675373262174</v>
      </c>
      <c r="BB62" s="2131">
        <f>+BB61/AV67-1</f>
        <v>0.42928074039718256</v>
      </c>
      <c r="BC62" s="2123">
        <f>+BC61/AW67-1</f>
        <v>0.41076165747574866</v>
      </c>
      <c r="BD62" s="2098"/>
      <c r="BE62" s="2121">
        <f>+BE61/AY67-1</f>
        <v>0.12866913301442895</v>
      </c>
      <c r="BF62" s="2122">
        <f>+BF61/AZ67-1</f>
        <v>5.1831898270082277E-2</v>
      </c>
      <c r="BG62" s="2122">
        <f>+BG61/BA67-1</f>
        <v>1.2544922845740603E-2</v>
      </c>
      <c r="BH62" s="2131">
        <f>+BH61/BB67-1</f>
        <v>-5.5457888451286186E-2</v>
      </c>
      <c r="BI62" s="2123">
        <f>+BI61/BC67-1</f>
        <v>2.3782792295286681E-2</v>
      </c>
      <c r="BJ62" s="2097"/>
      <c r="BK62" s="2121">
        <f>+BK61/BE67-1</f>
        <v>7.8801182538539516E-2</v>
      </c>
      <c r="BL62" s="2122">
        <f>+BL61/BF67-1</f>
        <v>4.4109531412742653E-2</v>
      </c>
      <c r="BM62" s="2122">
        <f>+BM61/BG67-1</f>
        <v>6.1053753816491252E-3</v>
      </c>
      <c r="BN62" s="2131">
        <f>+BN61/BH67-1</f>
        <v>-5.344821461771232E-2</v>
      </c>
      <c r="BO62" s="2123">
        <f>+BO61/BI67-1</f>
        <v>1.4093280309008138E-2</v>
      </c>
      <c r="BP62" s="2097"/>
      <c r="BQ62" s="2121">
        <f>+BQ61/BK67-1</f>
        <v>2.412985963695391E-2</v>
      </c>
      <c r="BR62" s="2122">
        <f>+BR61/BL67-1</f>
        <v>4.3674429077772192E-2</v>
      </c>
      <c r="BS62" s="2122">
        <f>+BS61/BM67-1</f>
        <v>4.5942833564190044E-2</v>
      </c>
      <c r="BT62" s="2131">
        <f>+BT61/BN67-1</f>
        <v>4.3761182191577097E-2</v>
      </c>
      <c r="BU62" s="2123">
        <f>+BU61/BO67-1</f>
        <v>3.9710539549444812E-2</v>
      </c>
      <c r="BV62" s="2097"/>
      <c r="BW62" s="2121">
        <f>+BW61/BQ67-1</f>
        <v>7.9977662313951425E-2</v>
      </c>
      <c r="BX62" s="2122">
        <f>+BX61/BR67-1</f>
        <v>8.616244339795065E-2</v>
      </c>
      <c r="BY62" s="2122">
        <f>+BY61/BS67-1</f>
        <v>9.1040038645942678E-2</v>
      </c>
      <c r="BZ62" s="2131">
        <f>+BZ61/BT67-1</f>
        <v>8.5538114977929958E-2</v>
      </c>
      <c r="CA62" s="2123">
        <f>+CA61/BU67-1</f>
        <v>8.5805609372314295E-2</v>
      </c>
      <c r="CB62" s="2097"/>
      <c r="CC62" s="2121">
        <f>+CC61/BW67-1</f>
        <v>8.8565840949642816E-2</v>
      </c>
      <c r="CD62" s="2122">
        <f>+CD61/BX67-1</f>
        <v>7.6032470139286268E-2</v>
      </c>
      <c r="CE62" s="2122">
        <f>+CE61/BY67-1</f>
        <v>6.9050637242918711E-2</v>
      </c>
      <c r="CF62" s="2131">
        <f>+CF61/BZ67-1</f>
        <v>6.5629929730651737E-2</v>
      </c>
      <c r="CG62" s="2123">
        <f>+CG61/CA67-1</f>
        <v>7.4339234316314728E-2</v>
      </c>
      <c r="CH62" s="2097"/>
      <c r="CI62" s="2121">
        <f>+CI61/CC67-1</f>
        <v>7.0952080206990953E-2</v>
      </c>
      <c r="CJ62" s="2122">
        <f>+CJ61/CD67-1</f>
        <v>7.3921306347576543E-2</v>
      </c>
      <c r="CK62" s="2122">
        <f>+CK61/CE67-1</f>
        <v>7.2905046799819573E-2</v>
      </c>
      <c r="CL62" s="2131">
        <f>+CL61/CF67-1</f>
        <v>7.4868518474306311E-2</v>
      </c>
      <c r="CM62" s="2123">
        <f>+CM61/CG67-1</f>
        <v>7.3215451780498375E-2</v>
      </c>
      <c r="CN62" s="2097"/>
      <c r="CO62" s="2121">
        <f>+CO61/CI67-1</f>
        <v>8.1833905417370678E-2</v>
      </c>
      <c r="CP62" s="2122">
        <f>+CP61/CJ67-1</f>
        <v>8.5514407351249488E-2</v>
      </c>
      <c r="CQ62" s="2122">
        <f>+CQ61/CK67-1</f>
        <v>8.5362621075771861E-2</v>
      </c>
      <c r="CR62" s="2131">
        <f>+CR61/CL67-1</f>
        <v>8.8137289606112335E-2</v>
      </c>
      <c r="CS62" s="2123">
        <f>+CS61/CM67-1</f>
        <v>8.5313304233832987E-2</v>
      </c>
      <c r="CT62" s="2122"/>
      <c r="CU62" s="2122"/>
      <c r="CV62" s="2122"/>
      <c r="CW62" s="2122"/>
    </row>
    <row r="63" spans="1:128">
      <c r="A63" s="1985" t="s">
        <v>608</v>
      </c>
      <c r="B63" s="1302"/>
      <c r="C63" s="761"/>
      <c r="D63" s="762"/>
      <c r="E63" s="762"/>
      <c r="F63" s="762"/>
      <c r="G63" s="1986"/>
      <c r="H63" s="86"/>
      <c r="I63" s="761"/>
      <c r="J63" s="762"/>
      <c r="K63" s="762"/>
      <c r="L63" s="762"/>
      <c r="M63" s="1986"/>
      <c r="N63" s="86"/>
      <c r="O63" s="761"/>
      <c r="P63" s="762"/>
      <c r="Q63" s="762"/>
      <c r="R63" s="762"/>
      <c r="S63" s="1986"/>
      <c r="T63" s="86"/>
      <c r="U63" s="761"/>
      <c r="V63" s="762"/>
      <c r="W63" s="762"/>
      <c r="X63" s="762"/>
      <c r="Y63" s="1986"/>
      <c r="Z63" s="86"/>
      <c r="AA63" s="761"/>
      <c r="AB63" s="762"/>
      <c r="AC63" s="762"/>
      <c r="AD63" s="762"/>
      <c r="AE63" s="1986"/>
      <c r="AF63" s="86"/>
      <c r="AG63" s="761"/>
      <c r="AH63" s="762"/>
      <c r="AI63" s="762"/>
      <c r="AJ63" s="762"/>
      <c r="AK63" s="1986"/>
      <c r="AL63" s="86"/>
      <c r="AM63" s="1988">
        <f>+AM61/AM$39</f>
        <v>0.21297613068474733</v>
      </c>
      <c r="AN63" s="196">
        <f>+AN61/AN$39</f>
        <v>0.28345371670150221</v>
      </c>
      <c r="AO63" s="196">
        <f>+AO61/AO$39</f>
        <v>0.29422966991752747</v>
      </c>
      <c r="AP63" s="1989">
        <f>+AP61/AP$39</f>
        <v>0.28087584497985169</v>
      </c>
      <c r="AQ63" s="1990">
        <f>+AQ61/AQ$39</f>
        <v>0.27040748177797591</v>
      </c>
      <c r="AR63" s="86"/>
      <c r="AS63" s="1988">
        <f>+AS61/AS$39</f>
        <v>0.35987892194871679</v>
      </c>
      <c r="AT63" s="196">
        <f>+AT61/AT$39</f>
        <v>0.37328419529947565</v>
      </c>
      <c r="AU63" s="196">
        <f>+AU61/AU$39</f>
        <v>0.36872757787627974</v>
      </c>
      <c r="AV63" s="1989">
        <f>+AV61/AV$39</f>
        <v>0.38985687642990374</v>
      </c>
      <c r="AW63" s="1990">
        <f>+AW61/AW$39</f>
        <v>0.37423015311308616</v>
      </c>
      <c r="AX63" s="196"/>
      <c r="AY63" s="1988">
        <f>+AY61/AY$39</f>
        <v>0.33127051156645171</v>
      </c>
      <c r="AZ63" s="196">
        <f>+AZ61/AZ$39</f>
        <v>0.36329287338882726</v>
      </c>
      <c r="BA63" s="196">
        <f>+BA61/BA$39</f>
        <v>0.40963667583658386</v>
      </c>
      <c r="BB63" s="1989">
        <f>+BB61/BB$39</f>
        <v>0.4440629431589535</v>
      </c>
      <c r="BC63" s="1990">
        <f>+BC61/BC$39</f>
        <v>0.38882185591200075</v>
      </c>
      <c r="BD63" s="86"/>
      <c r="BE63" s="1988">
        <f>+BE61/BE$39</f>
        <v>0.32314925984591603</v>
      </c>
      <c r="BF63" s="196">
        <f>+BF61/BF$39</f>
        <v>0.30664741979593907</v>
      </c>
      <c r="BG63" s="196">
        <f>+BG61/BG$39</f>
        <v>0.33230590407893024</v>
      </c>
      <c r="BH63" s="1989">
        <f>+BH61/BH$39</f>
        <v>0.36102048600447523</v>
      </c>
      <c r="BI63" s="1990">
        <f>+BI61/BI$39</f>
        <v>0.3313341704370163</v>
      </c>
      <c r="BJ63" s="86"/>
      <c r="BK63" s="1988">
        <f>+BK61/BK$39</f>
        <v>0.31904990920392307</v>
      </c>
      <c r="BL63" s="196">
        <f>+BL61/BL$39</f>
        <v>0.28194285088877652</v>
      </c>
      <c r="BM63" s="196">
        <f>+BM61/BM$39</f>
        <v>0.27313322503244369</v>
      </c>
      <c r="BN63" s="1989">
        <f>+BN61/BN$39</f>
        <v>0.2566378800725953</v>
      </c>
      <c r="BO63" s="1990">
        <f>+BO61/BO$39</f>
        <v>0.27994142559730184</v>
      </c>
      <c r="BP63" s="86"/>
      <c r="BQ63" s="1988">
        <f>+BQ61/BQ$39</f>
        <v>0.23547476202733167</v>
      </c>
      <c r="BR63" s="196">
        <f>+BR61/BR$39</f>
        <v>0.23430645758672231</v>
      </c>
      <c r="BS63" s="196">
        <f>+BS61/BS$39</f>
        <v>0.23947255259572242</v>
      </c>
      <c r="BT63" s="1989">
        <f>+BT61/BT$39</f>
        <v>0.23800684835501293</v>
      </c>
      <c r="BU63" s="1990">
        <f>+BU61/BU$39</f>
        <v>0.23689859133223895</v>
      </c>
      <c r="BV63" s="86"/>
      <c r="BW63" s="1988">
        <f>+BW61/BW$39</f>
        <v>0.21895176375248707</v>
      </c>
      <c r="BX63" s="196">
        <f>+BX61/BX$39</f>
        <v>0.22323234205676798</v>
      </c>
      <c r="BY63" s="196">
        <f>+BY61/BY$39</f>
        <v>0.23021853701161238</v>
      </c>
      <c r="BZ63" s="1989">
        <f>+BZ61/BZ$39</f>
        <v>0.22828755623939084</v>
      </c>
      <c r="CA63" s="1990">
        <f>+CA61/CA$39</f>
        <v>0.22531726568992375</v>
      </c>
      <c r="CB63" s="86"/>
      <c r="CC63" s="1988">
        <f>+CC61/CC$39</f>
        <v>0.21367126514540929</v>
      </c>
      <c r="CD63" s="196">
        <f>+CD61/CD$39</f>
        <v>0.21576795545870198</v>
      </c>
      <c r="CE63" s="196">
        <f>+CE61/CE$39</f>
        <v>0.22146747242474205</v>
      </c>
      <c r="CF63" s="1989">
        <f>+CF61/CF$39</f>
        <v>0.21926963330629079</v>
      </c>
      <c r="CG63" s="1990">
        <f>+CG61/CG$39</f>
        <v>0.21763155926469263</v>
      </c>
      <c r="CH63" s="86"/>
      <c r="CI63" s="1988">
        <f>+CI61/CI$39</f>
        <v>0.20349782198543429</v>
      </c>
      <c r="CJ63" s="196">
        <f>+CJ61/CJ$39</f>
        <v>0.20652093774318489</v>
      </c>
      <c r="CK63" s="196">
        <f>+CK61/CK$39</f>
        <v>0.21221659894844283</v>
      </c>
      <c r="CL63" s="1989">
        <f>+CL61/CL$39</f>
        <v>0.21039787314025135</v>
      </c>
      <c r="CM63" s="1990">
        <f>+CM61/CM$39</f>
        <v>0.20825572764829481</v>
      </c>
      <c r="CN63" s="86"/>
      <c r="CO63" s="1988">
        <f>+CO61/CO$39</f>
        <v>0.19539523914604981</v>
      </c>
      <c r="CP63" s="196">
        <f>+CP61/CP$39</f>
        <v>0.19806320825307758</v>
      </c>
      <c r="CQ63" s="196">
        <f>+CQ61/CQ$39</f>
        <v>0.20292250919901789</v>
      </c>
      <c r="CR63" s="1989">
        <f>+CR61/CR$39</f>
        <v>0.20179955992151236</v>
      </c>
      <c r="CS63" s="1990">
        <f>+CS61/CS$39</f>
        <v>0.19964364050052788</v>
      </c>
      <c r="CT63" s="2005"/>
      <c r="CU63" s="2005"/>
      <c r="CV63" s="2005"/>
      <c r="CW63" s="2005"/>
    </row>
    <row r="64" spans="1:128">
      <c r="A64" s="1991" t="s">
        <v>612</v>
      </c>
      <c r="B64" s="2000"/>
      <c r="C64" s="2001"/>
      <c r="D64" s="2002"/>
      <c r="E64" s="2002"/>
      <c r="F64" s="2002"/>
      <c r="G64" s="2003"/>
      <c r="H64" s="2002"/>
      <c r="I64" s="2001"/>
      <c r="J64" s="2002"/>
      <c r="K64" s="2002"/>
      <c r="L64" s="2002"/>
      <c r="M64" s="2003"/>
      <c r="N64" s="2000"/>
      <c r="O64" s="2004"/>
      <c r="P64" s="2005"/>
      <c r="Q64" s="2005"/>
      <c r="R64" s="1999"/>
      <c r="S64" s="1990"/>
      <c r="T64" s="2006"/>
      <c r="U64" s="2004"/>
      <c r="V64" s="2005"/>
      <c r="W64" s="2005"/>
      <c r="X64" s="1999"/>
      <c r="Y64" s="1990"/>
      <c r="Z64" s="2006"/>
      <c r="AA64" s="2004"/>
      <c r="AB64" s="2005"/>
      <c r="AC64" s="2005"/>
      <c r="AD64" s="1999"/>
      <c r="AE64" s="1990"/>
      <c r="AF64" s="2006"/>
      <c r="AG64" s="2004"/>
      <c r="AH64" s="2005"/>
      <c r="AI64" s="2005"/>
      <c r="AJ64" s="1999"/>
      <c r="AK64" s="1990"/>
      <c r="AL64" s="2006"/>
      <c r="AM64" s="2004">
        <f>+AM61/AM$9</f>
        <v>3.083096621597517E-2</v>
      </c>
      <c r="AN64" s="2005">
        <f>+AN61/AN$9</f>
        <v>4.4173312601377426E-2</v>
      </c>
      <c r="AO64" s="2005">
        <f>+AO61/AO$9</f>
        <v>5.0804749755234045E-2</v>
      </c>
      <c r="AP64" s="1999">
        <f>+AP61/AP$9</f>
        <v>4.746747703402153E-2</v>
      </c>
      <c r="AQ64" s="1990">
        <f>+AQ61/AQ$9</f>
        <v>4.3502491121609171E-2</v>
      </c>
      <c r="AR64" s="2006"/>
      <c r="AS64" s="2004">
        <f>+AS61/AS$9</f>
        <v>6.4024702842153725E-2</v>
      </c>
      <c r="AT64" s="2005">
        <f>+AT61/AT$9</f>
        <v>7.1966836382010665E-2</v>
      </c>
      <c r="AU64" s="2005">
        <f>+AU61/AU$9</f>
        <v>7.250357843331301E-2</v>
      </c>
      <c r="AV64" s="1999">
        <f>+AV61/AV$9</f>
        <v>8.0362169990813845E-2</v>
      </c>
      <c r="AW64" s="1990">
        <f>+AW61/AW$9</f>
        <v>7.2656348266411319E-2</v>
      </c>
      <c r="AX64" s="2007"/>
      <c r="AY64" s="2004">
        <f>+AY61/AY$9</f>
        <v>6.9753763547762235E-2</v>
      </c>
      <c r="AZ64" s="2005">
        <f>+AZ61/AZ$9</f>
        <v>7.7432631193726412E-2</v>
      </c>
      <c r="BA64" s="2005">
        <f>+BA61/BA$9</f>
        <v>8.7463219794016056E-2</v>
      </c>
      <c r="BB64" s="1999">
        <f>+BB61/BB$9</f>
        <v>9.673064470599399E-2</v>
      </c>
      <c r="BC64" s="1990">
        <f>+BC61/BC$9</f>
        <v>8.3147294581107298E-2</v>
      </c>
      <c r="BE64" s="2004">
        <f>+BE61/BE$9</f>
        <v>7.251887580167056E-2</v>
      </c>
      <c r="BF64" s="2005">
        <f>+BF61/BF$9</f>
        <v>7.2813053452641815E-2</v>
      </c>
      <c r="BG64" s="2005">
        <f>+BG61/BG$9</f>
        <v>7.9771263314998564E-2</v>
      </c>
      <c r="BH64" s="1999">
        <f>+BH61/BH$9</f>
        <v>8.625726903895542E-2</v>
      </c>
      <c r="BI64" s="1990">
        <f>+BI61/BI$9</f>
        <v>7.7982918880471541E-2</v>
      </c>
      <c r="BJ64" s="86"/>
      <c r="BK64" s="2004">
        <f>+BK61/BK$9</f>
        <v>7.4394857906828996E-2</v>
      </c>
      <c r="BL64" s="2005">
        <f>+BL61/BL$9</f>
        <v>6.8585907891821424E-2</v>
      </c>
      <c r="BM64" s="2005">
        <f>+BM61/BM$9</f>
        <v>6.8476395402204016E-2</v>
      </c>
      <c r="BN64" s="1999">
        <f>+BN61/BN$9</f>
        <v>6.5845002098399871E-2</v>
      </c>
      <c r="BO64" s="1990">
        <f>+BO61/BO$9</f>
        <v>6.9062597860391164E-2</v>
      </c>
      <c r="BP64" s="86"/>
      <c r="BQ64" s="2004">
        <f>+BQ61/BQ$9</f>
        <v>5.9616434822755408E-2</v>
      </c>
      <c r="BR64" s="2005">
        <f>+BR61/BR$9</f>
        <v>6.1187858160211335E-2</v>
      </c>
      <c r="BS64" s="2005">
        <f>+BS61/BS$9</f>
        <v>6.4096396601834152E-2</v>
      </c>
      <c r="BT64" s="1999">
        <f>+BT61/BT$9</f>
        <v>6.438155974823756E-2</v>
      </c>
      <c r="BU64" s="1990">
        <f>+BU61/BU$9</f>
        <v>6.2380663542697515E-2</v>
      </c>
      <c r="BV64" s="86"/>
      <c r="BW64" s="2004">
        <f>+BW61/BW$9</f>
        <v>5.806291565510914E-2</v>
      </c>
      <c r="BX64" s="2005">
        <f>+BX61/BX$9</f>
        <v>6.057171551048824E-2</v>
      </c>
      <c r="BY64" s="2005">
        <f>+BY61/BY$9</f>
        <v>6.3942192397519582E-2</v>
      </c>
      <c r="BZ64" s="1999">
        <f>+BZ61/BZ$9</f>
        <v>6.4028481801885626E-2</v>
      </c>
      <c r="CA64" s="1990">
        <f>+CA61/CA$9</f>
        <v>6.1688456618403033E-2</v>
      </c>
      <c r="CB64" s="86"/>
      <c r="CC64" s="2004">
        <f>+CC61/CC$9</f>
        <v>5.7378383691111493E-2</v>
      </c>
      <c r="CD64" s="2005">
        <f>+CD61/CD$9</f>
        <v>5.9115657004481105E-2</v>
      </c>
      <c r="CE64" s="2005">
        <f>+CE61/CE$9</f>
        <v>6.2017110722051932E-2</v>
      </c>
      <c r="CF64" s="1999">
        <f>+CF61/CF$9</f>
        <v>6.1816783409421254E-2</v>
      </c>
      <c r="CG64" s="1990">
        <f>+CG61/CG$9</f>
        <v>6.0110862585598411E-2</v>
      </c>
      <c r="CH64" s="86"/>
      <c r="CI64" s="2004">
        <f>+CI61/CI$9</f>
        <v>5.5644164884113181E-2</v>
      </c>
      <c r="CJ64" s="2005">
        <f>+CJ61/CJ$9</f>
        <v>5.7498168994511129E-2</v>
      </c>
      <c r="CK64" s="2005">
        <f>+CK61/CK$9</f>
        <v>6.0296948192541153E-2</v>
      </c>
      <c r="CL64" s="1999">
        <f>+CL61/CL$9</f>
        <v>6.0064488251925237E-2</v>
      </c>
      <c r="CM64" s="1990">
        <f>+CM61/CM$9</f>
        <v>5.8404558184104428E-2</v>
      </c>
      <c r="CN64" s="86"/>
      <c r="CO64" s="2004">
        <f>+CO61/CO$9</f>
        <v>5.4744467847643308E-2</v>
      </c>
      <c r="CP64" s="2005">
        <f>+CP61/CP$9</f>
        <v>5.6513214179326136E-2</v>
      </c>
      <c r="CQ64" s="2005">
        <f>+CQ61/CQ$9</f>
        <v>5.9041092985578761E-2</v>
      </c>
      <c r="CR64" s="1999">
        <f>+CR61/CR$9</f>
        <v>5.8894900849441253E-2</v>
      </c>
      <c r="CS64" s="1990">
        <f>+CS61/CS$9</f>
        <v>5.733153581706478E-2</v>
      </c>
      <c r="CT64" s="2005"/>
      <c r="CU64" s="2005"/>
      <c r="CV64" s="2005"/>
      <c r="CW64" s="2005"/>
    </row>
    <row r="65" spans="1:119">
      <c r="A65" s="1971" t="s">
        <v>603</v>
      </c>
      <c r="C65" s="2004"/>
      <c r="D65" s="2005"/>
      <c r="E65" s="2005"/>
      <c r="F65" s="2005"/>
      <c r="G65" s="2003"/>
      <c r="H65" s="2002"/>
      <c r="I65" s="2001"/>
      <c r="J65" s="2002"/>
      <c r="K65" s="2002"/>
      <c r="L65" s="2002"/>
      <c r="M65" s="2003"/>
      <c r="N65" s="2000"/>
      <c r="O65" s="2004"/>
      <c r="P65" s="2005"/>
      <c r="Q65" s="2005"/>
      <c r="R65" s="1999"/>
      <c r="S65" s="1990"/>
      <c r="T65" s="2006"/>
      <c r="U65" s="2004"/>
      <c r="V65" s="2005"/>
      <c r="W65" s="2005"/>
      <c r="X65" s="1999"/>
      <c r="Y65" s="1990"/>
      <c r="Z65" s="2006"/>
      <c r="AA65" s="2004"/>
      <c r="AB65" s="2005"/>
      <c r="AC65" s="2005"/>
      <c r="AD65" s="1999"/>
      <c r="AE65" s="1990"/>
      <c r="AF65" s="2006"/>
      <c r="AG65" s="2004"/>
      <c r="AH65" s="2005"/>
      <c r="AI65" s="2005"/>
      <c r="AJ65" s="2005"/>
      <c r="AK65" s="1990"/>
      <c r="AM65" s="1435">
        <f>+(AM61*1000)/AM66</f>
        <v>181.16145186092089</v>
      </c>
      <c r="AN65" s="1401">
        <f>+(AN61*1000)/AN66</f>
        <v>194.75075800339022</v>
      </c>
      <c r="AO65" s="1401">
        <f>+(AO61*1000)/AO66</f>
        <v>193.34736698464678</v>
      </c>
      <c r="AP65" s="1401">
        <f>+(AP61*1000)/AP66</f>
        <v>184.60149572562958</v>
      </c>
      <c r="AQ65" s="1606">
        <f>+(AQ61*1000)/AQ66</f>
        <v>188.87193314710862</v>
      </c>
      <c r="AR65" s="1653"/>
      <c r="AS65" s="1435">
        <f>+(AS61*1000)/AS66</f>
        <v>225.00842855829504</v>
      </c>
      <c r="AT65" s="1401">
        <f>+(AT61*1000)/AT66</f>
        <v>236.2151516597275</v>
      </c>
      <c r="AU65" s="1401">
        <f>+(AU61*1000)/AU66</f>
        <v>237.5992154533343</v>
      </c>
      <c r="AV65" s="1401">
        <f>+(AV61*1000)/AV66</f>
        <v>238.58087206044448</v>
      </c>
      <c r="AW65" s="1606">
        <f>+(AW61*1000)/AW66</f>
        <v>234.96497124211569</v>
      </c>
      <c r="AX65" s="1401"/>
      <c r="AY65" s="1435">
        <f>+(AY61*1000)/AY66</f>
        <v>196.8655805549424</v>
      </c>
      <c r="AZ65" s="1401">
        <f>+(AZ61*1000)/AZ66</f>
        <v>195.64455283616076</v>
      </c>
      <c r="BA65" s="1401">
        <f>+(BA61*1000)/BA66</f>
        <v>222.0677502029753</v>
      </c>
      <c r="BB65" s="1401">
        <f>+(BB61*1000)/BB66</f>
        <v>225.86806049146566</v>
      </c>
      <c r="BC65" s="1606">
        <f>+(BC61*1000)/BC66</f>
        <v>211.15788726521399</v>
      </c>
      <c r="BD65" s="1401"/>
      <c r="BE65" s="1435">
        <f>+(BE61*1000)/BE66</f>
        <v>154.90182022399949</v>
      </c>
      <c r="BF65" s="1401">
        <f>+(BF61*1000)/BF66</f>
        <v>127.94594322228275</v>
      </c>
      <c r="BG65" s="1401">
        <f>+(BG61*1000)/BG66</f>
        <v>129.07631466770394</v>
      </c>
      <c r="BH65" s="1401">
        <f>+(BH61*1000)/BH66</f>
        <v>125.02279385206414</v>
      </c>
      <c r="BI65" s="1606">
        <f>+(BI61*1000)/BI66</f>
        <v>132.50163024796481</v>
      </c>
      <c r="BJ65" s="2018"/>
      <c r="BK65" s="1435">
        <f>+(BK61*1000)/BK66</f>
        <v>99.460420521995317</v>
      </c>
      <c r="BL65" s="1401">
        <f>+(BL61*1000)/BL66</f>
        <v>96.628600412324431</v>
      </c>
      <c r="BM65" s="1401">
        <f>+(BM61*1000)/BM66</f>
        <v>98.327181804544438</v>
      </c>
      <c r="BN65" s="1401">
        <f>+(BN61*1000)/BN66</f>
        <v>96.812199983108783</v>
      </c>
      <c r="BO65" s="1606">
        <f>+(BO61*1000)/BO66</f>
        <v>97.76820322064448</v>
      </c>
      <c r="BP65" s="2018"/>
      <c r="BQ65" s="1435">
        <f>+(BQ61*1000)/BQ66</f>
        <v>81.336967796931546</v>
      </c>
      <c r="BR65" s="1401">
        <f>+(BR61*1000)/BR66</f>
        <v>78.808408249212846</v>
      </c>
      <c r="BS65" s="1401">
        <f>+(BS61*1000)/BS66</f>
        <v>80.02685478862027</v>
      </c>
      <c r="BT65" s="1401">
        <f>+(BT61*1000)/BT66</f>
        <v>78.945521025353784</v>
      </c>
      <c r="BU65" s="1606">
        <f>+(BU61*1000)/BU66</f>
        <v>79.731196359533115</v>
      </c>
      <c r="BV65" s="2018"/>
      <c r="BW65" s="1435">
        <f>+(BW61*1000)/BW66</f>
        <v>77.463304747285619</v>
      </c>
      <c r="BX65" s="1401">
        <f>+(BX61*1000)/BX66</f>
        <v>76.292264478165833</v>
      </c>
      <c r="BY65" s="1401">
        <f>+(BY61*1000)/BY66</f>
        <v>78.144386149512584</v>
      </c>
      <c r="BZ65" s="1401">
        <f>+(BZ61*1000)/BZ66</f>
        <v>78.004179231269305</v>
      </c>
      <c r="CA65" s="1606">
        <f>+(CA61*1000)/CA66</f>
        <v>77.495211375811834</v>
      </c>
      <c r="CB65" s="2018"/>
      <c r="CC65" s="1435">
        <f>+(CC61*1000)/CC66</f>
        <v>76.601727215556465</v>
      </c>
      <c r="CD65" s="1401">
        <f>+(CD61*1000)/CD66</f>
        <v>75.774386224502948</v>
      </c>
      <c r="CE65" s="1401">
        <f>+(CE61*1000)/CE66</f>
        <v>77.534766491918873</v>
      </c>
      <c r="CF65" s="1401">
        <f>+(CF61*1000)/CF66</f>
        <v>77.553196235365021</v>
      </c>
      <c r="CG65" s="1606">
        <f>+(CG61*1000)/CG66</f>
        <v>76.88813688564268</v>
      </c>
      <c r="CH65" s="2018"/>
      <c r="CI65" s="1435">
        <f>+(CI61*1000)/CI66</f>
        <v>76.466745184335608</v>
      </c>
      <c r="CJ65" s="1401">
        <f>+(CJ61*1000)/CJ66</f>
        <v>75.856998305638214</v>
      </c>
      <c r="CK65" s="1401">
        <f>+(CK61*1000)/CK66</f>
        <v>77.547357984883106</v>
      </c>
      <c r="CL65" s="1401">
        <f>+(CL61*1000)/CL66</f>
        <v>77.704023722267081</v>
      </c>
      <c r="CM65" s="1606">
        <f>+(CM61*1000)/CM66</f>
        <v>76.919642244032431</v>
      </c>
      <c r="CN65" s="2018"/>
      <c r="CO65" s="1435">
        <f>+(CO61*1000)/CO66</f>
        <v>76.996349407507438</v>
      </c>
      <c r="CP65" s="1401">
        <f>+(CP61*1000)/CP66</f>
        <v>76.625244890301033</v>
      </c>
      <c r="CQ65" s="1401">
        <f>+(CQ61*1000)/CQ66</f>
        <v>78.298329326214969</v>
      </c>
      <c r="CR65" s="1401">
        <f>+(CR61*1000)/CR66</f>
        <v>78.627193570193668</v>
      </c>
      <c r="CS65" s="1606">
        <f>+(CS61*1000)/CS66</f>
        <v>77.668438040700025</v>
      </c>
      <c r="CT65" s="1401"/>
      <c r="CU65" s="1401"/>
      <c r="CV65" s="1401"/>
      <c r="CW65" s="1401"/>
    </row>
    <row r="66" spans="1:119">
      <c r="A66" s="1971" t="s">
        <v>604</v>
      </c>
      <c r="C66" s="2004"/>
      <c r="D66" s="2005"/>
      <c r="E66" s="2005"/>
      <c r="F66" s="2005"/>
      <c r="G66" s="2003"/>
      <c r="H66" s="2002"/>
      <c r="I66" s="2001"/>
      <c r="J66" s="2002"/>
      <c r="K66" s="2002"/>
      <c r="L66" s="2002"/>
      <c r="M66" s="2003"/>
      <c r="N66" s="2000"/>
      <c r="O66" s="2004"/>
      <c r="P66" s="2005"/>
      <c r="Q66" s="2005"/>
      <c r="R66" s="1999"/>
      <c r="S66" s="1990"/>
      <c r="T66" s="2006"/>
      <c r="U66" s="2004"/>
      <c r="V66" s="2005"/>
      <c r="W66" s="2005"/>
      <c r="X66" s="1999"/>
      <c r="Y66" s="1990"/>
      <c r="Z66" s="2006"/>
      <c r="AA66" s="2004"/>
      <c r="AB66" s="2005"/>
      <c r="AC66" s="2005"/>
      <c r="AD66" s="1999"/>
      <c r="AE66" s="1990"/>
      <c r="AF66" s="2006"/>
      <c r="AG66" s="2004"/>
      <c r="AH66" s="2005"/>
      <c r="AI66" s="2005"/>
      <c r="AJ66" s="2005"/>
      <c r="AK66" s="1990"/>
      <c r="AM66" s="1432">
        <f>+(AM71+AM75+AM78)</f>
        <v>58.685657236553993</v>
      </c>
      <c r="AN66" s="1611">
        <f>+(AN71+AN75+AN78)</f>
        <v>80.760385061596395</v>
      </c>
      <c r="AO66" s="1611">
        <f>+(AO71+AO75+AO78)</f>
        <v>92.15587907584802</v>
      </c>
      <c r="AP66" s="1611">
        <f>+(AP71+AP75+AP78)</f>
        <v>101.7973087652617</v>
      </c>
      <c r="AQ66" s="1610">
        <f>+(AQ71+AQ75+AQ78)</f>
        <v>333.39923013926011</v>
      </c>
      <c r="AR66" s="1653"/>
      <c r="AS66" s="1432">
        <f>+(AS71+AS75+AS78)</f>
        <v>119.22471530987433</v>
      </c>
      <c r="AT66" s="1611">
        <f>+(AT71+AT75+AT78)</f>
        <v>135.3764958812333</v>
      </c>
      <c r="AU66" s="1611">
        <f>+(AU71+AU75+AU78)</f>
        <v>146.58974211098996</v>
      </c>
      <c r="AV66" s="1611">
        <f>+(AV71+AV75+AV78)</f>
        <v>174.69166742952928</v>
      </c>
      <c r="AW66" s="1610">
        <f>+(AW71+AW75+AW78)</f>
        <v>575.88262073162696</v>
      </c>
      <c r="AX66" s="1401"/>
      <c r="AY66" s="1432">
        <f>+(AY71+AY75+AY78)</f>
        <v>198.27990486725099</v>
      </c>
      <c r="AZ66" s="1611">
        <f>+(AZ71+AZ75+AZ78)</f>
        <v>220.89812648098777</v>
      </c>
      <c r="BA66" s="1611">
        <f>+(BA71+BA75+BA78)</f>
        <v>223.9923967613185</v>
      </c>
      <c r="BB66" s="1611">
        <f>+(BB71+BB75+BB78)</f>
        <v>259.48147035540063</v>
      </c>
      <c r="BC66" s="1610">
        <f>+(BC71+BC75+BC78)</f>
        <v>902.65189846495787</v>
      </c>
      <c r="BD66" s="1401"/>
      <c r="BE66" s="1432">
        <f>+(BE71+BE75+BE78)</f>
        <v>270.19805969954132</v>
      </c>
      <c r="BF66" s="1611">
        <f>+(BF71+BF75+BF78)</f>
        <v>340.36517585451566</v>
      </c>
      <c r="BG66" s="1611">
        <f>+(BG71+BG75+BG78)</f>
        <v>374.59135109894709</v>
      </c>
      <c r="BH66" s="1611">
        <f>+(BH71+BH75+BH78)</f>
        <v>430.38741473277798</v>
      </c>
      <c r="BI66" s="1610">
        <f>+(BI71+BI75+BI78)</f>
        <v>1415.542001385782</v>
      </c>
      <c r="BJ66" s="2018"/>
      <c r="BK66" s="1432">
        <f>+(BK71+BK75+BK78)</f>
        <v>449.43311047136814</v>
      </c>
      <c r="BL66" s="1611">
        <f>+(BL71+BL75+BL78)</f>
        <v>472.29380030871914</v>
      </c>
      <c r="BM66" s="1611">
        <f>+(BM71+BM75+BM78)</f>
        <v>495.19961514607013</v>
      </c>
      <c r="BN66" s="1611">
        <f>+(BN71+BN75+BN78)</f>
        <v>522.08727353718075</v>
      </c>
      <c r="BO66" s="1610">
        <f>+(BO71+BO75+BO78)</f>
        <v>1939.0137994633383</v>
      </c>
      <c r="BP66" s="2018"/>
      <c r="BQ66" s="1432">
        <f>+(BQ71+BQ75+BQ78)</f>
        <v>560.02251404794674</v>
      </c>
      <c r="BR66" s="1611">
        <f>+(BR71+BR75+BR78)</f>
        <v>601.3585662919179</v>
      </c>
      <c r="BS66" s="1611">
        <f>+(BS71+BS75+BS78)</f>
        <v>639.57599055134006</v>
      </c>
      <c r="BT66" s="1611">
        <f>+(BT71+BT75+BT78)</f>
        <v>678.95431075273768</v>
      </c>
      <c r="BU66" s="1610">
        <f>+(BU71+BU75+BU78)</f>
        <v>2479.9113816439421</v>
      </c>
      <c r="BV66" s="2018"/>
      <c r="BW66" s="1432">
        <f>+(BW71+BW75+BW78)</f>
        <v>654.10797110055842</v>
      </c>
      <c r="BX66" s="1611">
        <f>+(BX71+BX75+BX78)</f>
        <v>690.90811013458608</v>
      </c>
      <c r="BY66" s="1611">
        <f>+(BY71+BY75+BY78)</f>
        <v>721.75895175179392</v>
      </c>
      <c r="BZ66" s="1611">
        <f>+(BZ71+BZ75+BZ78)</f>
        <v>753.38440220398036</v>
      </c>
      <c r="CA66" s="1610">
        <f>+(CA71+CA75+CA78)</f>
        <v>2820.1594351909189</v>
      </c>
      <c r="CB66" s="2018"/>
      <c r="CC66" s="1432">
        <f>+(CC71+CC75+CC78)</f>
        <v>720.04825528948061</v>
      </c>
      <c r="CD66" s="1611">
        <f>+(CD71+CD75+CD78)</f>
        <v>748.52058051068354</v>
      </c>
      <c r="CE66" s="1611">
        <f>+(CE71+CE75+CE78)</f>
        <v>777.66357311208935</v>
      </c>
      <c r="CF66" s="1611">
        <f>+(CF71+CF75+CF78)</f>
        <v>807.49753355323594</v>
      </c>
      <c r="CG66" s="1610">
        <f>+(CG71+CG75+CG78)</f>
        <v>3053.7299424654898</v>
      </c>
      <c r="CH66" s="2018"/>
      <c r="CI66" s="1432">
        <f>+(CI71+CI75+CI78)</f>
        <v>772.49841777060124</v>
      </c>
      <c r="CJ66" s="1611">
        <f>+(CJ71+CJ75+CJ78)</f>
        <v>802.97676423051951</v>
      </c>
      <c r="CK66" s="1611">
        <f>+(CK71+CK75+CK78)</f>
        <v>834.22369602351455</v>
      </c>
      <c r="CL66" s="1611">
        <f>+(CL71+CL75+CL78)</f>
        <v>866.2689350523948</v>
      </c>
      <c r="CM66" s="1610">
        <f>+(CM71+CM75+CM78)</f>
        <v>3275.9678130770303</v>
      </c>
      <c r="CN66" s="2018"/>
      <c r="CO66" s="1432">
        <f>+(CO71+CO75+CO78)</f>
        <v>829.96667934759466</v>
      </c>
      <c r="CP66" s="1611">
        <f>+(CP71+CP75+CP78)</f>
        <v>862.90373378426227</v>
      </c>
      <c r="CQ66" s="1611">
        <f>+(CQ71+CQ75+CQ78)</f>
        <v>896.75104859476505</v>
      </c>
      <c r="CR66" s="1611">
        <f>+(CR71+CR75+CR78)</f>
        <v>931.55213961700417</v>
      </c>
      <c r="CS66" s="1610">
        <f>+(CS71+CS75+CS78)</f>
        <v>3521.1736013436266</v>
      </c>
      <c r="CT66" s="1611"/>
      <c r="CU66" s="1611"/>
      <c r="CV66" s="1611"/>
      <c r="CW66" s="1611"/>
    </row>
    <row r="67" spans="1:119">
      <c r="A67" s="2092" t="s">
        <v>637</v>
      </c>
      <c r="B67" s="2117"/>
      <c r="C67" s="2118"/>
      <c r="D67" s="2119"/>
      <c r="E67" s="2119"/>
      <c r="F67" s="2119"/>
      <c r="G67" s="2120"/>
      <c r="H67" s="2119"/>
      <c r="I67" s="2118"/>
      <c r="J67" s="2119"/>
      <c r="K67" s="2119"/>
      <c r="L67" s="2119"/>
      <c r="M67" s="2120"/>
      <c r="N67" s="2117"/>
      <c r="O67" s="2121"/>
      <c r="P67" s="2122"/>
      <c r="Q67" s="2122"/>
      <c r="R67" s="2122"/>
      <c r="S67" s="2123"/>
      <c r="T67" s="2124"/>
      <c r="U67" s="2121"/>
      <c r="V67" s="2122"/>
      <c r="W67" s="2122"/>
      <c r="X67" s="2122"/>
      <c r="Y67" s="2123"/>
      <c r="Z67" s="2124"/>
      <c r="AA67" s="2121"/>
      <c r="AB67" s="2122"/>
      <c r="AC67" s="2122"/>
      <c r="AD67" s="2122"/>
      <c r="AE67" s="2123"/>
      <c r="AF67" s="2124"/>
      <c r="AG67" s="2121"/>
      <c r="AH67" s="2122"/>
      <c r="AI67" s="2122"/>
      <c r="AJ67" s="2122"/>
      <c r="AK67" s="2123"/>
      <c r="AL67" s="2124"/>
      <c r="AM67" s="2099">
        <f>+AM61*(1+AM$11)</f>
        <v>10.09072602049037</v>
      </c>
      <c r="AN67" s="2097">
        <f>+AN61*(1+AN$11)</f>
        <v>15.169805696080129</v>
      </c>
      <c r="AO67" s="2097">
        <f>+AO61*(1+AO$11)</f>
        <v>18.197232041181405</v>
      </c>
      <c r="AP67" s="2097">
        <f>+AP61*(1+AP$11)</f>
        <v>18.271513239127735</v>
      </c>
      <c r="AQ67" s="2100">
        <f>+SUM(AM67:AP67)</f>
        <v>61.729276996879641</v>
      </c>
      <c r="AR67" s="2098"/>
      <c r="AS67" s="2099">
        <f>+AS61*(1+AS$11)</f>
        <v>26.970656274408316</v>
      </c>
      <c r="AT67" s="2097">
        <f>+AT61*(1+AT$11)</f>
        <v>32.275934128194855</v>
      </c>
      <c r="AU67" s="2097">
        <f>+AU61*(1+AU$11)</f>
        <v>34.853555841895485</v>
      </c>
      <c r="AV67" s="2097">
        <f>+AV61*(1+AV$11)</f>
        <v>41.00564345837428</v>
      </c>
      <c r="AW67" s="2100">
        <f>+SUM(AS67:AV67)</f>
        <v>135.10578970287293</v>
      </c>
      <c r="AX67" s="2098"/>
      <c r="AY67" s="2099">
        <f>+AY61*(1+AY$11)</f>
        <v>37.082764154866609</v>
      </c>
      <c r="AZ67" s="2097">
        <f>+AZ61*(1+AZ$11)</f>
        <v>41.402379540254351</v>
      </c>
      <c r="BA67" s="2097">
        <f>+BA61*(1+BA$11)</f>
        <v>47.751828106903886</v>
      </c>
      <c r="BB67" s="2097">
        <f>+BB61*(1+BB$11)</f>
        <v>56.967536302253933</v>
      </c>
      <c r="BC67" s="2100">
        <f>+SUM(AY67:BB67)</f>
        <v>183.20450810427877</v>
      </c>
      <c r="BD67" s="2097"/>
      <c r="BE67" s="2099">
        <f>+BE61*(1+BE$11)</f>
        <v>41.435629555767321</v>
      </c>
      <c r="BF67" s="2097">
        <f>+BF61*(1+BF$11)</f>
        <v>43.709100946046973</v>
      </c>
      <c r="BG67" s="2097">
        <f>+BG61*(1+BG$11)</f>
        <v>48.396106192691541</v>
      </c>
      <c r="BH67" s="2097">
        <f>+BH61*(1+BH$11)</f>
        <v>53.398470442802008</v>
      </c>
      <c r="BI67" s="2100">
        <f>+SUM(BE67:BH67)</f>
        <v>186.93930713730782</v>
      </c>
      <c r="BJ67" s="2097"/>
      <c r="BK67" s="2099">
        <f>+BK61*(1+BK$11)</f>
        <v>44.477302133170696</v>
      </c>
      <c r="BL67" s="2097">
        <f>+BL61*(1+BL$11)</f>
        <v>45.408903462713127</v>
      </c>
      <c r="BM67" s="2097">
        <f>+BM61*(1+BM$11)</f>
        <v>48.935040500948112</v>
      </c>
      <c r="BN67" s="2097">
        <f>+BN61*(1+BN$11)</f>
        <v>51.353128214866643</v>
      </c>
      <c r="BO67" s="2100">
        <f>+SUM(BK67:BN67)</f>
        <v>190.17437431169859</v>
      </c>
      <c r="BP67" s="2097"/>
      <c r="BQ67" s="2099">
        <f>+BQ61*(1+BQ$11)</f>
        <v>46.917049186394728</v>
      </c>
      <c r="BR67" s="2097">
        <f>+BR61*(1+BR$11)</f>
        <v>48.529522070010671</v>
      </c>
      <c r="BS67" s="2097">
        <f>+BS61*(1+BS$11)</f>
        <v>51.695087471361468</v>
      </c>
      <c r="BT67" s="2097">
        <f>+BT61*(1+BT$11)</f>
        <v>54.136405832932688</v>
      </c>
      <c r="BU67" s="2100">
        <f>+SUM(BQ67:BT67)</f>
        <v>201.27806456069956</v>
      </c>
      <c r="BV67" s="2097"/>
      <c r="BW67" s="2099">
        <f>+BW61*(1+BW$11)</f>
        <v>50.66936510299125</v>
      </c>
      <c r="BX67" s="2097">
        <f>+BX61*(1+BX$11)</f>
        <v>52.710944268497563</v>
      </c>
      <c r="BY67" s="2097">
        <f>+BY61*(1+BY$11)</f>
        <v>56.401410232559606</v>
      </c>
      <c r="BZ67" s="2097">
        <f>+BZ61*(1+BZ$11)</f>
        <v>58.767131939561963</v>
      </c>
      <c r="CA67" s="2100">
        <f>+SUM(BW67:BZ67)</f>
        <v>218.5488515436104</v>
      </c>
      <c r="CB67" s="2097"/>
      <c r="CC67" s="2099">
        <f>+CC61*(1+CC$11)</f>
        <v>55.156940033722151</v>
      </c>
      <c r="CD67" s="2097">
        <f>+CD61*(1+CD$11)</f>
        <v>56.718687564605688</v>
      </c>
      <c r="CE67" s="2097">
        <f>+CE61*(1+CE$11)</f>
        <v>60.295963550517122</v>
      </c>
      <c r="CF67" s="2097">
        <f>+CF61*(1+CF$11)</f>
        <v>62.624014679227358</v>
      </c>
      <c r="CG67" s="2100">
        <f>+SUM(CC67:CF67)</f>
        <v>234.79560582807233</v>
      </c>
      <c r="CH67" s="2097"/>
      <c r="CI67" s="2099">
        <f>+CI61*(1+CI$11)</f>
        <v>59.070439666966998</v>
      </c>
      <c r="CJ67" s="2097">
        <f>+CJ61*(1+CJ$11)</f>
        <v>60.911407043701381</v>
      </c>
      <c r="CK67" s="2097">
        <f>+CK61*(1+CK$11)</f>
        <v>64.691843595007782</v>
      </c>
      <c r="CL67" s="2097">
        <f>+CL61*(1+CL$11)</f>
        <v>67.312581879174317</v>
      </c>
      <c r="CM67" s="2100">
        <f>+SUM(CI67:CL67)</f>
        <v>251.98627218485046</v>
      </c>
      <c r="CN67" s="2097"/>
      <c r="CO67" s="2099">
        <f>+CO61*(1+CO$11)</f>
        <v>63.904404439636082</v>
      </c>
      <c r="CP67" s="2097">
        <f>+CP61*(1+CP$11)</f>
        <v>66.120209917974222</v>
      </c>
      <c r="CQ67" s="2097">
        <f>+CQ61*(1+CQ$11)</f>
        <v>70.214108926501524</v>
      </c>
      <c r="CR67" s="2097">
        <f>+CR61*(1+CR$11)</f>
        <v>73.245330402394259</v>
      </c>
      <c r="CS67" s="2100">
        <f>+SUM(CO67:CR67)</f>
        <v>273.48405368650606</v>
      </c>
      <c r="CT67" s="2097"/>
      <c r="CU67" s="2097"/>
      <c r="CV67" s="2097"/>
      <c r="CW67" s="2097"/>
    </row>
    <row r="68" spans="1:119">
      <c r="A68" s="2198" t="s">
        <v>636</v>
      </c>
      <c r="B68" s="2201"/>
      <c r="C68" s="2199"/>
      <c r="D68" s="2200"/>
      <c r="E68" s="2200"/>
      <c r="F68" s="2200"/>
      <c r="G68" s="2120"/>
      <c r="H68" s="2119"/>
      <c r="I68" s="2118"/>
      <c r="J68" s="2119"/>
      <c r="K68" s="2119"/>
      <c r="L68" s="2119"/>
      <c r="M68" s="2120"/>
      <c r="N68" s="2117"/>
      <c r="O68" s="2121"/>
      <c r="P68" s="2122"/>
      <c r="Q68" s="2122"/>
      <c r="R68" s="2131"/>
      <c r="S68" s="2123"/>
      <c r="T68" s="2124"/>
      <c r="U68" s="2121"/>
      <c r="V68" s="2122"/>
      <c r="W68" s="2122"/>
      <c r="X68" s="2131"/>
      <c r="Y68" s="2123"/>
      <c r="Z68" s="2124"/>
      <c r="AA68" s="2121"/>
      <c r="AB68" s="2122"/>
      <c r="AC68" s="2122"/>
      <c r="AD68" s="2131"/>
      <c r="AE68" s="2123"/>
      <c r="AF68" s="2124"/>
      <c r="AG68" s="2121"/>
      <c r="AH68" s="2122"/>
      <c r="AI68" s="2122"/>
      <c r="AJ68" s="2200"/>
      <c r="AK68" s="2197"/>
      <c r="AL68" s="2201"/>
      <c r="AM68" s="2199">
        <f>AM71*AM70/1000</f>
        <v>0.36</v>
      </c>
      <c r="AN68" s="2200">
        <f>AN71*AN70/1000</f>
        <v>2.8</v>
      </c>
      <c r="AO68" s="2200">
        <f>AO71*AO70/1000</f>
        <v>3.6</v>
      </c>
      <c r="AP68" s="2200">
        <f>AP71*AP70/1000</f>
        <v>4.4000000000000004</v>
      </c>
      <c r="AQ68" s="2197">
        <f>SUM(AM68:AP68)</f>
        <v>11.16</v>
      </c>
      <c r="AR68" s="2201"/>
      <c r="AS68" s="2199">
        <f>AS71*AS70/1000</f>
        <v>10</v>
      </c>
      <c r="AT68" s="2200">
        <f>AT71*AT70/1000</f>
        <v>11.6</v>
      </c>
      <c r="AU68" s="2200">
        <f>AU71*AU70/1000</f>
        <v>13.342409802586795</v>
      </c>
      <c r="AV68" s="2200">
        <f>AV71*AV70/1000</f>
        <v>17.345132743362832</v>
      </c>
      <c r="AW68" s="2197">
        <f>SUM(AS68:AV68)</f>
        <v>52.287542545949627</v>
      </c>
      <c r="AX68" s="2201"/>
      <c r="AY68" s="2199">
        <f>AY71*AY70/1000</f>
        <v>17.149999999999999</v>
      </c>
      <c r="AZ68" s="2200">
        <f>AZ71*AZ70/1000</f>
        <v>18.865000000000002</v>
      </c>
      <c r="BA68" s="2200">
        <f>BA71*BA70/1000</f>
        <v>17.149999999999999</v>
      </c>
      <c r="BB68" s="2200">
        <f>BB71*BB70/1000</f>
        <v>15.75</v>
      </c>
      <c r="BC68" s="2197">
        <f>SUM(AY68:BB68)</f>
        <v>68.914999999999992</v>
      </c>
      <c r="BD68" s="2201"/>
      <c r="BE68" s="2199">
        <f>BE71*BE70/1000</f>
        <v>12.909375000000001</v>
      </c>
      <c r="BF68" s="2200">
        <f>BF71*BF70/1000</f>
        <v>8.125</v>
      </c>
      <c r="BG68" s="2200">
        <f>BG71*BG70/1000</f>
        <v>6.4</v>
      </c>
      <c r="BH68" s="2200">
        <f>BH71*BH70/1000</f>
        <v>5.9850000000000003</v>
      </c>
      <c r="BI68" s="2197">
        <f>SUM(BE68:BH68)</f>
        <v>33.419375000000002</v>
      </c>
      <c r="BJ68" s="2201"/>
      <c r="BK68" s="2199">
        <f>BK71*BK70/1000</f>
        <v>5.4601249999999997</v>
      </c>
      <c r="BL68" s="2200">
        <f>BL71*BL70/1000</f>
        <v>5.1442500000000004</v>
      </c>
      <c r="BM68" s="2200">
        <f>BM71*BM70/1000</f>
        <v>4.6834109374999997</v>
      </c>
      <c r="BN68" s="2200">
        <f>BN71*BN70/1000</f>
        <v>4.2557951562499996</v>
      </c>
      <c r="BO68" s="2197">
        <f>SUM(BK68:BN68)</f>
        <v>19.543581093749999</v>
      </c>
      <c r="BP68" s="2201"/>
      <c r="BQ68" s="2199">
        <f>BQ71*BQ70/1000</f>
        <v>3.8592324257812498</v>
      </c>
      <c r="BR68" s="2200">
        <f>BR71*BR70/1000</f>
        <v>3.4916864804687497</v>
      </c>
      <c r="BS68" s="2200">
        <f>BS71*BS70/1000</f>
        <v>3.1512470486230462</v>
      </c>
      <c r="BT68" s="2200">
        <f>BT71*BT70/1000</f>
        <v>2.8361223437607412</v>
      </c>
      <c r="BU68" s="2197">
        <f>SUM(BQ68:BT68)</f>
        <v>13.338288298633788</v>
      </c>
      <c r="BV68" s="2201"/>
      <c r="BW68" s="2199">
        <f>BW71*BW70/1000</f>
        <v>3.119734578136816</v>
      </c>
      <c r="BX68" s="2200">
        <f>BX71*BX70/1000</f>
        <v>3.4317080359504981</v>
      </c>
      <c r="BY68" s="2200">
        <f>BY71*BY70/1000</f>
        <v>3.7748788395455484</v>
      </c>
      <c r="BZ68" s="2200">
        <f>BZ71*BZ70/1000</f>
        <v>4.1523667235001041</v>
      </c>
      <c r="CA68" s="2197">
        <f>SUM(BW68:BZ68)</f>
        <v>14.478688177132966</v>
      </c>
      <c r="CB68" s="2201"/>
      <c r="CC68" s="2199">
        <f>CC71*CC70/1000</f>
        <v>4.5676033958501145</v>
      </c>
      <c r="CD68" s="2200">
        <f>CD71*CD70/1000</f>
        <v>5.0243637354351272</v>
      </c>
      <c r="CE68" s="2200">
        <f>CE71*CE70/1000</f>
        <v>5.5268001089786392</v>
      </c>
      <c r="CF68" s="2200">
        <f>CF71*CF70/1000</f>
        <v>6.0794801198765036</v>
      </c>
      <c r="CG68" s="2197">
        <f>SUM(CC68:CF68)</f>
        <v>21.198247360140385</v>
      </c>
      <c r="CH68" s="2201"/>
      <c r="CI68" s="2199">
        <f>CI71*CI70/1000</f>
        <v>6.6874281318641549</v>
      </c>
      <c r="CJ68" s="2200">
        <f>CJ71*CJ70/1000</f>
        <v>7.3561709450505717</v>
      </c>
      <c r="CK68" s="2200">
        <f>CK71*CK70/1000</f>
        <v>8.0917880395556292</v>
      </c>
      <c r="CL68" s="2200">
        <f>CL71*CL70/1000</f>
        <v>8.9009668435111919</v>
      </c>
      <c r="CM68" s="2197">
        <f>SUM(CI68:CL68)</f>
        <v>31.036353959981547</v>
      </c>
      <c r="CN68" s="2201"/>
      <c r="CO68" s="2199">
        <f>CO71*CO70/1000</f>
        <v>9.7910635278623133</v>
      </c>
      <c r="CP68" s="2200">
        <f>CP71*CP70/1000</f>
        <v>10.770169880648545</v>
      </c>
      <c r="CQ68" s="2200">
        <f>CQ71*CQ70/1000</f>
        <v>11.847186868713401</v>
      </c>
      <c r="CR68" s="2200">
        <f>CR71*CR70/1000</f>
        <v>13.031905555584743</v>
      </c>
      <c r="CS68" s="2197">
        <f>SUM(CO68:CR68)</f>
        <v>45.440325832809002</v>
      </c>
      <c r="CT68" s="2200"/>
      <c r="CU68" s="2200"/>
      <c r="CV68" s="2200"/>
      <c r="CW68" s="2200"/>
      <c r="CX68" s="8"/>
      <c r="DK68" s="8"/>
      <c r="DL68" s="8"/>
      <c r="DM68" s="8"/>
      <c r="DN68" s="8"/>
      <c r="DO68" s="8"/>
    </row>
    <row r="69" spans="1:119">
      <c r="A69" s="2187" t="s">
        <v>593</v>
      </c>
      <c r="B69" s="2117"/>
      <c r="C69" s="2118"/>
      <c r="D69" s="2119"/>
      <c r="E69" s="2119"/>
      <c r="F69" s="2119"/>
      <c r="G69" s="2120"/>
      <c r="H69" s="2119"/>
      <c r="I69" s="2118"/>
      <c r="J69" s="2119"/>
      <c r="K69" s="2119"/>
      <c r="L69" s="2119"/>
      <c r="M69" s="2120"/>
      <c r="N69" s="2117"/>
      <c r="O69" s="2121"/>
      <c r="P69" s="2122"/>
      <c r="Q69" s="2122"/>
      <c r="R69" s="2131"/>
      <c r="S69" s="2123"/>
      <c r="T69" s="2124"/>
      <c r="U69" s="2121"/>
      <c r="V69" s="2122"/>
      <c r="W69" s="2122"/>
      <c r="X69" s="2131"/>
      <c r="Y69" s="2123"/>
      <c r="Z69" s="2124"/>
      <c r="AA69" s="2121"/>
      <c r="AB69" s="2122"/>
      <c r="AC69" s="2122"/>
      <c r="AD69" s="2131"/>
      <c r="AE69" s="2123"/>
      <c r="AF69" s="2124"/>
      <c r="AG69" s="2121"/>
      <c r="AH69" s="2122"/>
      <c r="AI69" s="2122"/>
      <c r="AJ69" s="2131"/>
      <c r="AK69" s="2123"/>
      <c r="AL69" s="2124"/>
      <c r="AM69" s="2121"/>
      <c r="AN69" s="2122"/>
      <c r="AO69" s="2122"/>
      <c r="AP69" s="2122"/>
      <c r="AQ69" s="2123"/>
      <c r="AR69" s="2124"/>
      <c r="AS69" s="2121">
        <f>+AS68/AM72-1</f>
        <v>28.266638954746519</v>
      </c>
      <c r="AT69" s="2122">
        <f>+AT68/AN72-1</f>
        <v>3.2953393184219113</v>
      </c>
      <c r="AU69" s="2122">
        <f>+AU68/AO72-1</f>
        <v>2.6290065345685809</v>
      </c>
      <c r="AV69" s="2131">
        <f>+AV68/AP72-1</f>
        <v>3.0543566217691271</v>
      </c>
      <c r="AW69" s="2123">
        <f>+AW68/AQ72-1</f>
        <v>3.7546943452666097</v>
      </c>
      <c r="AX69" s="1357"/>
      <c r="AY69" s="2121">
        <f>+AY68/AS72-1</f>
        <v>0.70583763118984222</v>
      </c>
      <c r="AZ69" s="2122">
        <f>+AZ68/AT72-1</f>
        <v>0.61128001209354532</v>
      </c>
      <c r="BA69" s="2122">
        <f>+BA68/AU72-1</f>
        <v>0.28449180981686895</v>
      </c>
      <c r="BB69" s="2131">
        <f>+BB68/AV72-1</f>
        <v>-7.7073510971045311E-2</v>
      </c>
      <c r="BC69" s="2123">
        <f>+BC68/AW72-1</f>
        <v>0.32075067526320211</v>
      </c>
      <c r="BD69" s="2198"/>
      <c r="BE69" s="2121">
        <f>+BE68/AY72-1</f>
        <v>-0.20764922510357509</v>
      </c>
      <c r="BF69" s="2122">
        <f>+BF68/AZ72-1</f>
        <v>-0.55042614068646201</v>
      </c>
      <c r="BG69" s="2122">
        <f>+BG68/BA72-1</f>
        <v>-0.61127308066083574</v>
      </c>
      <c r="BH69" s="2131">
        <f>+BH68/BB72-1</f>
        <v>-0.60905349794238672</v>
      </c>
      <c r="BI69" s="2123">
        <f>+BI68/BC72-1</f>
        <v>-0.49470366355767026</v>
      </c>
      <c r="BJ69" s="2200"/>
      <c r="BK69" s="2121">
        <f>+BK68/BE72-1</f>
        <v>-0.57276957422200714</v>
      </c>
      <c r="BL69" s="2122">
        <f>+BL68/BF72-1</f>
        <v>-0.36919015520730869</v>
      </c>
      <c r="BM69" s="2122">
        <f>+BM68/BG72-1</f>
        <v>-0.26890102714615638</v>
      </c>
      <c r="BN69" s="2131">
        <f>+BN68/BH72-1</f>
        <v>-0.28346648785765827</v>
      </c>
      <c r="BO69" s="2123">
        <f>+BO68/BI72-1</f>
        <v>-0.41276504810213688</v>
      </c>
      <c r="BP69" s="2200"/>
      <c r="BQ69" s="2121">
        <f>+BQ68/BK72-1</f>
        <v>-0.28964528219610453</v>
      </c>
      <c r="BR69" s="2122">
        <f>+BR68/BL72-1</f>
        <v>-0.31783396147403697</v>
      </c>
      <c r="BS69" s="2122">
        <f>+BS68/BM72-1</f>
        <v>-0.3304945381786718</v>
      </c>
      <c r="BT69" s="2131">
        <f>+BT68/BN72-1</f>
        <v>-0.34408050733715123</v>
      </c>
      <c r="BU69" s="2123">
        <f>+BU68/BO72-1</f>
        <v>-0.31885194044608089</v>
      </c>
      <c r="BV69" s="2200"/>
      <c r="BW69" s="2121">
        <f>+BW68/BQ72-1</f>
        <v>-0.21516296809986146</v>
      </c>
      <c r="BX69" s="2122">
        <f>+BX68/BR72-1</f>
        <v>-4.0212402343749898E-2</v>
      </c>
      <c r="BY69" s="2122">
        <f>+BY68/BS72-1</f>
        <v>0.18603960396039643</v>
      </c>
      <c r="BZ69" s="2131">
        <f>+BZ68/BT72-1</f>
        <v>0.44960396039604067</v>
      </c>
      <c r="CA69" s="2123">
        <f>+CA68/BU72-1</f>
        <v>6.4786411013534329E-2</v>
      </c>
      <c r="CB69" s="2200"/>
      <c r="CC69" s="2121">
        <f>+CC68/BW72-1</f>
        <v>0.46410000000000062</v>
      </c>
      <c r="CD69" s="2122">
        <f>+CD68/BX72-1</f>
        <v>0.46410000000000085</v>
      </c>
      <c r="CE69" s="2122">
        <f>+CE68/BY72-1</f>
        <v>0.4641000000000004</v>
      </c>
      <c r="CF69" s="2131">
        <f>+CF68/BZ72-1</f>
        <v>0.4641000000000004</v>
      </c>
      <c r="CG69" s="2123">
        <f>+CG68/CA72-1</f>
        <v>0.46410000000000062</v>
      </c>
      <c r="CH69" s="2200"/>
      <c r="CI69" s="2121">
        <f>+CI68/CC72-1</f>
        <v>0.4641000000000004</v>
      </c>
      <c r="CJ69" s="2122">
        <f>+CJ68/CD72-1</f>
        <v>0.4641000000000004</v>
      </c>
      <c r="CK69" s="2122">
        <f>+CK68/CE72-1</f>
        <v>0.46410000000000062</v>
      </c>
      <c r="CL69" s="2131">
        <f>+CL68/CF72-1</f>
        <v>0.4641000000000004</v>
      </c>
      <c r="CM69" s="2123">
        <f>+CM68/CG72-1</f>
        <v>0.4641000000000004</v>
      </c>
      <c r="CN69" s="2200"/>
      <c r="CO69" s="2121">
        <f>+CO68/CI72-1</f>
        <v>0.46410000000000062</v>
      </c>
      <c r="CP69" s="2122">
        <f>+CP68/CJ72-1</f>
        <v>0.4641000000000004</v>
      </c>
      <c r="CQ69" s="2122">
        <f>+CQ68/CK72-1</f>
        <v>0.4641000000000004</v>
      </c>
      <c r="CR69" s="2131">
        <f>+CR68/CL72-1</f>
        <v>0.46410000000000085</v>
      </c>
      <c r="CS69" s="2123">
        <f>+CS68/CM72-1</f>
        <v>0.46410000000000062</v>
      </c>
      <c r="CT69" s="2122"/>
      <c r="CU69" s="2122"/>
      <c r="CV69" s="2122"/>
      <c r="CW69" s="2122"/>
      <c r="CX69" s="8"/>
      <c r="DK69" s="8"/>
      <c r="DL69" s="8"/>
      <c r="DM69" s="8"/>
      <c r="DN69" s="8"/>
      <c r="DO69" s="8"/>
    </row>
    <row r="70" spans="1:119">
      <c r="A70" s="2034" t="s">
        <v>606</v>
      </c>
      <c r="C70" s="1544"/>
      <c r="D70" s="1545"/>
      <c r="E70" s="1545"/>
      <c r="G70" s="2003"/>
      <c r="H70" s="2002"/>
      <c r="I70" s="2001"/>
      <c r="J70" s="2002"/>
      <c r="K70" s="2002"/>
      <c r="L70" s="2002"/>
      <c r="M70" s="2003"/>
      <c r="N70" s="2000"/>
      <c r="O70" s="2004"/>
      <c r="P70" s="2005"/>
      <c r="Q70" s="2005"/>
      <c r="R70" s="1999"/>
      <c r="S70" s="1990"/>
      <c r="T70" s="2006"/>
      <c r="U70" s="2004"/>
      <c r="V70" s="2005"/>
      <c r="W70" s="2005"/>
      <c r="X70" s="1999"/>
      <c r="Y70" s="1990"/>
      <c r="Z70" s="2006"/>
      <c r="AA70" s="2004"/>
      <c r="AB70" s="2005"/>
      <c r="AC70" s="2005"/>
      <c r="AD70" s="1999"/>
      <c r="AE70" s="1990"/>
      <c r="AF70" s="2006"/>
      <c r="AG70" s="2004"/>
      <c r="AH70" s="2005"/>
      <c r="AI70" s="2005"/>
      <c r="AK70" s="1655"/>
      <c r="AM70" s="1668">
        <v>400</v>
      </c>
      <c r="AN70" s="1538">
        <v>400</v>
      </c>
      <c r="AO70" s="1538">
        <v>400</v>
      </c>
      <c r="AP70" s="1538">
        <v>400</v>
      </c>
      <c r="AQ70" s="1606">
        <f>AVERAGE(AM70:AP70)</f>
        <v>400</v>
      </c>
      <c r="AR70" s="1401"/>
      <c r="AS70" s="1668">
        <v>400</v>
      </c>
      <c r="AT70" s="1538">
        <v>400</v>
      </c>
      <c r="AU70" s="1538">
        <v>400</v>
      </c>
      <c r="AV70" s="1538">
        <v>400</v>
      </c>
      <c r="AW70" s="1606">
        <f>AVERAGE(AS70:AV70)</f>
        <v>400</v>
      </c>
      <c r="AX70" s="1401"/>
      <c r="AY70" s="1668">
        <v>350</v>
      </c>
      <c r="AZ70" s="1538">
        <v>350</v>
      </c>
      <c r="BA70" s="1538">
        <v>350</v>
      </c>
      <c r="BB70" s="1538">
        <v>350</v>
      </c>
      <c r="BC70" s="1606">
        <f>AVERAGE(AY70:BB70)</f>
        <v>350</v>
      </c>
      <c r="BD70" s="1401"/>
      <c r="BE70" s="2262">
        <f>+BB70-12.5</f>
        <v>337.5</v>
      </c>
      <c r="BF70" s="2070">
        <f>+BE70-12.5</f>
        <v>325</v>
      </c>
      <c r="BG70" s="2070">
        <f>+BF70-5</f>
        <v>320</v>
      </c>
      <c r="BH70" s="2070">
        <f>+BG70-5</f>
        <v>315</v>
      </c>
      <c r="BI70" s="1606">
        <f>+SUMPRODUCT(BE70:BH70,BE71:BH71)/SUM(BE71:BH71)</f>
        <v>326.83985330073352</v>
      </c>
      <c r="BJ70" s="2018"/>
      <c r="BK70" s="2069">
        <f>+BH70-12.5</f>
        <v>302.5</v>
      </c>
      <c r="BL70" s="2070">
        <v>300</v>
      </c>
      <c r="BM70" s="2070">
        <f>+BL70-12.5</f>
        <v>287.5</v>
      </c>
      <c r="BN70" s="2070">
        <f>+BM70-12.5</f>
        <v>275</v>
      </c>
      <c r="BO70" s="1606">
        <f>+SUMPRODUCT(BK70:BN70,BK71:BN71)/SUM(BK71:BN71)</f>
        <v>291.8553522692813</v>
      </c>
      <c r="BP70" s="2018"/>
      <c r="BQ70" s="2069">
        <f>+BN70-12.5</f>
        <v>262.5</v>
      </c>
      <c r="BR70" s="2070">
        <f>+BQ70-12.5</f>
        <v>250</v>
      </c>
      <c r="BS70" s="2070">
        <f>+BR70-12.5</f>
        <v>237.5</v>
      </c>
      <c r="BT70" s="2070">
        <f>+BS70-12.5</f>
        <v>225</v>
      </c>
      <c r="BU70" s="1606">
        <f>+SUMPRODUCT(BQ70:BT70,BQ71:BT71)/SUM(BQ71:BT71)</f>
        <v>244.55086087806191</v>
      </c>
      <c r="BV70" s="2018"/>
      <c r="BW70" s="2069">
        <f>+BT70</f>
        <v>225</v>
      </c>
      <c r="BX70" s="2070">
        <f>+BW70</f>
        <v>225</v>
      </c>
      <c r="BY70" s="2070">
        <f>+BX70</f>
        <v>225</v>
      </c>
      <c r="BZ70" s="2070">
        <f>+BY70</f>
        <v>225</v>
      </c>
      <c r="CA70" s="1606">
        <f>+SUMPRODUCT(BW70:BZ70,BW71:BZ71)/SUM(BW71:BZ71)</f>
        <v>225.00000000000006</v>
      </c>
      <c r="CB70" s="2018"/>
      <c r="CC70" s="2069">
        <f>+BZ70</f>
        <v>225</v>
      </c>
      <c r="CD70" s="2070">
        <f>+CC70</f>
        <v>225</v>
      </c>
      <c r="CE70" s="2070">
        <f>+CD70</f>
        <v>225</v>
      </c>
      <c r="CF70" s="2070">
        <f>+CE70</f>
        <v>225</v>
      </c>
      <c r="CG70" s="1606">
        <f>+SUMPRODUCT(CC70:CF70,CC71:CF71)/SUM(CC71:CF71)</f>
        <v>225</v>
      </c>
      <c r="CH70" s="2018"/>
      <c r="CI70" s="2069">
        <f>+CF70</f>
        <v>225</v>
      </c>
      <c r="CJ70" s="2070">
        <f>+CI70</f>
        <v>225</v>
      </c>
      <c r="CK70" s="2070">
        <f>+CJ70</f>
        <v>225</v>
      </c>
      <c r="CL70" s="2070">
        <f>+CK70</f>
        <v>225</v>
      </c>
      <c r="CM70" s="1606">
        <f>+SUMPRODUCT(CI70:CL70,CI71:CL71)/SUM(CI71:CL71)</f>
        <v>224.99999999999997</v>
      </c>
      <c r="CN70" s="2018"/>
      <c r="CO70" s="2069">
        <f>+CL70</f>
        <v>225</v>
      </c>
      <c r="CP70" s="2070">
        <f>+CO70</f>
        <v>225</v>
      </c>
      <c r="CQ70" s="2070">
        <f>+CP70</f>
        <v>225</v>
      </c>
      <c r="CR70" s="2070">
        <f>+CQ70</f>
        <v>225</v>
      </c>
      <c r="CS70" s="1606">
        <f>+SUMPRODUCT(CO70:CR70,CO71:CR71)/SUM(CO71:CR71)</f>
        <v>224.99999999999997</v>
      </c>
      <c r="CT70" s="1401"/>
      <c r="CU70" s="1401"/>
      <c r="CV70" s="1401"/>
      <c r="CW70" s="1401"/>
      <c r="CX70" s="8"/>
      <c r="DK70" s="8"/>
      <c r="DL70" s="8"/>
      <c r="DM70" s="8"/>
      <c r="DN70" s="8"/>
      <c r="DO70" s="8"/>
    </row>
    <row r="71" spans="1:119">
      <c r="A71" s="2034" t="s">
        <v>97</v>
      </c>
      <c r="C71" s="95"/>
      <c r="D71" s="305"/>
      <c r="E71" s="305"/>
      <c r="F71" s="306"/>
      <c r="G71" s="2003"/>
      <c r="H71" s="2002"/>
      <c r="I71" s="2001"/>
      <c r="J71" s="2002"/>
      <c r="K71" s="2002"/>
      <c r="L71" s="2002"/>
      <c r="M71" s="2003"/>
      <c r="N71" s="2000"/>
      <c r="O71" s="2004"/>
      <c r="P71" s="2005"/>
      <c r="Q71" s="2005"/>
      <c r="R71" s="1999"/>
      <c r="S71" s="1990"/>
      <c r="T71" s="2006"/>
      <c r="U71" s="2004"/>
      <c r="V71" s="2005"/>
      <c r="W71" s="2005"/>
      <c r="X71" s="1999"/>
      <c r="Y71" s="1990"/>
      <c r="Z71" s="2006"/>
      <c r="AA71" s="2004"/>
      <c r="AB71" s="2005"/>
      <c r="AC71" s="2005"/>
      <c r="AD71" s="1999"/>
      <c r="AE71" s="1990"/>
      <c r="AF71" s="2006"/>
      <c r="AG71" s="2004"/>
      <c r="AH71" s="2005"/>
      <c r="AI71" s="2005"/>
      <c r="AJ71" s="306"/>
      <c r="AK71" s="188"/>
      <c r="AM71" s="1673">
        <v>0.9</v>
      </c>
      <c r="AN71" s="1609">
        <v>7</v>
      </c>
      <c r="AO71" s="1609">
        <v>9</v>
      </c>
      <c r="AP71" s="2059">
        <v>11</v>
      </c>
      <c r="AQ71" s="1610">
        <f>SUM(AM71:AP71)</f>
        <v>27.9</v>
      </c>
      <c r="AR71" s="1608"/>
      <c r="AS71" s="1673">
        <v>25</v>
      </c>
      <c r="AT71" s="1609">
        <v>29</v>
      </c>
      <c r="AU71" s="1609">
        <f>+AV71/1.3</f>
        <v>33.356024506466987</v>
      </c>
      <c r="AV71" s="2059">
        <f>+AY71/1.13</f>
        <v>43.362831858407084</v>
      </c>
      <c r="AW71" s="1610">
        <f>SUM(AS71:AV71)</f>
        <v>130.71885636487406</v>
      </c>
      <c r="AX71" s="1608"/>
      <c r="AY71" s="1673">
        <v>49</v>
      </c>
      <c r="AZ71" s="1609">
        <f>+AY71*1.1</f>
        <v>53.900000000000006</v>
      </c>
      <c r="BA71" s="1609">
        <v>49</v>
      </c>
      <c r="BB71" s="2059">
        <v>45</v>
      </c>
      <c r="BC71" s="1610">
        <f>SUM(AY71:BB71)</f>
        <v>196.9</v>
      </c>
      <c r="BD71" s="1608"/>
      <c r="BE71" s="2071">
        <f>+BB71*0.85</f>
        <v>38.25</v>
      </c>
      <c r="BF71" s="2072">
        <v>25</v>
      </c>
      <c r="BG71" s="2072">
        <v>20</v>
      </c>
      <c r="BH71" s="2072">
        <f>+BG71*0.95</f>
        <v>19</v>
      </c>
      <c r="BI71" s="1610">
        <f>SUM(BE71:BH71)</f>
        <v>102.25</v>
      </c>
      <c r="BJ71" s="1608"/>
      <c r="BK71" s="2071">
        <f>+BH71*0.95</f>
        <v>18.05</v>
      </c>
      <c r="BL71" s="2072">
        <f>+BK71*0.95</f>
        <v>17.147500000000001</v>
      </c>
      <c r="BM71" s="2072">
        <f t="shared" ref="BM71:BN71" si="33">+BL71*0.95</f>
        <v>16.290125</v>
      </c>
      <c r="BN71" s="2072">
        <f t="shared" si="33"/>
        <v>15.475618749999999</v>
      </c>
      <c r="BO71" s="1610">
        <f>SUM(BK71:BN71)</f>
        <v>66.963243750000004</v>
      </c>
      <c r="BP71" s="1608"/>
      <c r="BQ71" s="2071">
        <f>+BN71*0.95</f>
        <v>14.701837812499999</v>
      </c>
      <c r="BR71" s="2072">
        <f>+BQ71*0.95</f>
        <v>13.966745921874999</v>
      </c>
      <c r="BS71" s="2072">
        <f t="shared" ref="BS71:BT71" si="34">+BR71*0.95</f>
        <v>13.268408625781248</v>
      </c>
      <c r="BT71" s="2072">
        <f t="shared" si="34"/>
        <v>12.604988194492185</v>
      </c>
      <c r="BU71" s="1610">
        <f>SUM(BQ71:BT71)</f>
        <v>54.541980554648433</v>
      </c>
      <c r="BV71" s="1608"/>
      <c r="BW71" s="2071">
        <f>+BT71*1.1</f>
        <v>13.865487013941404</v>
      </c>
      <c r="BX71" s="2072">
        <f>+BW71*1.1</f>
        <v>15.252035715335547</v>
      </c>
      <c r="BY71" s="2072">
        <f t="shared" ref="BY71:BZ71" si="35">+BX71*1.1</f>
        <v>16.777239286869104</v>
      </c>
      <c r="BZ71" s="2072">
        <f t="shared" si="35"/>
        <v>18.454963215556017</v>
      </c>
      <c r="CA71" s="1610">
        <f>SUM(BW71:BZ71)</f>
        <v>64.349725231702067</v>
      </c>
      <c r="CB71" s="1608"/>
      <c r="CC71" s="2071">
        <f>+BZ71*1.1</f>
        <v>20.300459537111621</v>
      </c>
      <c r="CD71" s="2072">
        <f>+CC71*1.1</f>
        <v>22.330505490822784</v>
      </c>
      <c r="CE71" s="2072">
        <f t="shared" ref="CE71:CF71" si="36">+CD71*1.1</f>
        <v>24.563556039905063</v>
      </c>
      <c r="CF71" s="2072">
        <f t="shared" si="36"/>
        <v>27.019911643895572</v>
      </c>
      <c r="CG71" s="1610">
        <f>SUM(CC71:CF71)</f>
        <v>94.214432711735043</v>
      </c>
      <c r="CH71" s="1608"/>
      <c r="CI71" s="2071">
        <f>+CF71*1.1</f>
        <v>29.721902808285133</v>
      </c>
      <c r="CJ71" s="2072">
        <f>+CI71*1.1</f>
        <v>32.69409308911365</v>
      </c>
      <c r="CK71" s="2072">
        <f t="shared" ref="CK71" si="37">+CJ71*1.1</f>
        <v>35.963502398025021</v>
      </c>
      <c r="CL71" s="2072">
        <f t="shared" ref="CL71" si="38">+CK71*1.1</f>
        <v>39.559852637827525</v>
      </c>
      <c r="CM71" s="1610">
        <f>SUM(CI71:CL71)</f>
        <v>137.93935093325135</v>
      </c>
      <c r="CN71" s="1608"/>
      <c r="CO71" s="2071">
        <f>+CL71*1.1</f>
        <v>43.515837901610283</v>
      </c>
      <c r="CP71" s="2072">
        <f>+CO71*1.1</f>
        <v>47.867421691771312</v>
      </c>
      <c r="CQ71" s="2072">
        <f t="shared" ref="CQ71" si="39">+CP71*1.1</f>
        <v>52.654163860948451</v>
      </c>
      <c r="CR71" s="2072">
        <f t="shared" ref="CR71" si="40">+CQ71*1.1</f>
        <v>57.919580247043299</v>
      </c>
      <c r="CS71" s="1610">
        <f>SUM(CO71:CR71)</f>
        <v>201.95700370137337</v>
      </c>
      <c r="CT71" s="1611"/>
      <c r="CU71" s="1611"/>
      <c r="CV71" s="1611"/>
      <c r="CW71" s="1611"/>
      <c r="CX71" s="8"/>
      <c r="DJ71" s="8"/>
      <c r="DK71" s="8"/>
      <c r="DL71" s="8"/>
      <c r="DM71" s="8"/>
      <c r="DN71" s="8"/>
      <c r="DO71" s="8"/>
    </row>
    <row r="72" spans="1:119">
      <c r="A72" s="2132" t="s">
        <v>635</v>
      </c>
      <c r="C72" s="2121"/>
      <c r="D72" s="2122"/>
      <c r="E72" s="2122"/>
      <c r="F72" s="2122"/>
      <c r="G72" s="2120"/>
      <c r="H72" s="2119"/>
      <c r="I72" s="2118"/>
      <c r="J72" s="2119"/>
      <c r="K72" s="2119"/>
      <c r="L72" s="2119"/>
      <c r="M72" s="2120"/>
      <c r="N72" s="2117"/>
      <c r="O72" s="2121"/>
      <c r="P72" s="2122"/>
      <c r="Q72" s="2122"/>
      <c r="R72" s="2131"/>
      <c r="S72" s="2123"/>
      <c r="T72" s="2124"/>
      <c r="U72" s="2121"/>
      <c r="V72" s="2122"/>
      <c r="W72" s="2122"/>
      <c r="X72" s="2131"/>
      <c r="Y72" s="2123"/>
      <c r="Z72" s="2124"/>
      <c r="AA72" s="2121"/>
      <c r="AB72" s="2122"/>
      <c r="AC72" s="2122"/>
      <c r="AD72" s="2131"/>
      <c r="AE72" s="2123"/>
      <c r="AF72" s="2124"/>
      <c r="AG72" s="2121"/>
      <c r="AH72" s="2122"/>
      <c r="AI72" s="2122"/>
      <c r="AJ72" s="2122"/>
      <c r="AK72" s="2123"/>
      <c r="AM72" s="2199">
        <f>+AM68*(1+AM$11)</f>
        <v>0.341685972737166</v>
      </c>
      <c r="AN72" s="2200">
        <f>+AN68*(1+AN$11)</f>
        <v>2.7006015450862653</v>
      </c>
      <c r="AO72" s="2200">
        <f>+AO68*(1+AO$11)</f>
        <v>3.6766012062783324</v>
      </c>
      <c r="AP72" s="2200">
        <f>+AP68*(1+AP$11)</f>
        <v>4.2781467841855134</v>
      </c>
      <c r="AQ72" s="2197">
        <f>+SUM(AM72:AP72)</f>
        <v>10.997035508287276</v>
      </c>
      <c r="AR72" s="2198"/>
      <c r="AS72" s="2199">
        <f>+AS68*(1+AS$11)</f>
        <v>10.053711845973094</v>
      </c>
      <c r="AT72" s="2200">
        <f>+AT68*(1+AT$11)</f>
        <v>11.70808292687042</v>
      </c>
      <c r="AU72" s="2200">
        <f>+AU68*(1+AU$11)</f>
        <v>13.351583769494869</v>
      </c>
      <c r="AV72" s="2200">
        <f>+AV68*(1+AV$11)</f>
        <v>17.065281132597203</v>
      </c>
      <c r="AW72" s="2197">
        <f>+SUM(AS72:AV72)</f>
        <v>52.178659674935588</v>
      </c>
      <c r="AX72" s="2198"/>
      <c r="AY72" s="2199">
        <f>+AY68*(1+AY$11)</f>
        <v>16.292499999999997</v>
      </c>
      <c r="AZ72" s="2200">
        <f>+AZ68*(1+AZ$11)</f>
        <v>18.072670000000002</v>
      </c>
      <c r="BA72" s="2200">
        <f>+BA68*(1+BA$11)</f>
        <v>16.463999999999999</v>
      </c>
      <c r="BB72" s="2200">
        <f>+BB68*(1+BB$11)</f>
        <v>15.308999999999999</v>
      </c>
      <c r="BC72" s="2197">
        <f>+SUM(AY72:BB72)</f>
        <v>66.138170000000002</v>
      </c>
      <c r="BD72" s="2200"/>
      <c r="BE72" s="2199">
        <f>+BE68*(1+BE$11)</f>
        <v>12.78028125</v>
      </c>
      <c r="BF72" s="2200">
        <f>+BF68*(1+BF$11)</f>
        <v>8.1549932082791159</v>
      </c>
      <c r="BG72" s="2200">
        <f>+BG68*(1+BG$11)</f>
        <v>6.4059875767822696</v>
      </c>
      <c r="BH72" s="2200">
        <f>+BH68*(1+BH$11)</f>
        <v>5.9394223495921734</v>
      </c>
      <c r="BI72" s="2197">
        <f>+SUM(BE72:BH72)</f>
        <v>33.280684384653561</v>
      </c>
      <c r="BJ72" s="2200"/>
      <c r="BK72" s="2199">
        <f>+BK68*(1+BK$11)</f>
        <v>5.432824375</v>
      </c>
      <c r="BL72" s="2200">
        <f>+BL68*(1+BL$11)</f>
        <v>5.1185287500000003</v>
      </c>
      <c r="BM72" s="2200">
        <f>+BM68*(1+BM$11)</f>
        <v>4.7068279921874989</v>
      </c>
      <c r="BN72" s="2200">
        <f>+BN68*(1+BN$11)</f>
        <v>4.3238878787499999</v>
      </c>
      <c r="BO72" s="2197">
        <f>+SUM(BK72:BN72)</f>
        <v>19.582068995937497</v>
      </c>
      <c r="BP72" s="2200"/>
      <c r="BQ72" s="2199">
        <f>+BQ68*(1+BQ$11)</f>
        <v>3.9750093985546875</v>
      </c>
      <c r="BR72" s="2200">
        <f>+BR68*(1+BR$11)</f>
        <v>3.5754869559999998</v>
      </c>
      <c r="BS72" s="2200">
        <f>+BS68*(1+BS$11)</f>
        <v>3.1827595191092768</v>
      </c>
      <c r="BT72" s="2200">
        <f>+BT68*(1+BT$11)</f>
        <v>2.8644835671983486</v>
      </c>
      <c r="BU72" s="2197">
        <f>+SUM(BQ72:BT72)</f>
        <v>13.597739440862313</v>
      </c>
      <c r="BV72" s="2200"/>
      <c r="BW72" s="2199">
        <f>+BW68*(1+BW$11)</f>
        <v>3.119734578136816</v>
      </c>
      <c r="BX72" s="2200">
        <f>+BX68*(1+BX$11)</f>
        <v>3.4317080359504981</v>
      </c>
      <c r="BY72" s="2200">
        <f>+BY68*(1+BY$11)</f>
        <v>3.7748788395455484</v>
      </c>
      <c r="BZ72" s="2200">
        <f>+BZ68*(1+BZ$11)</f>
        <v>4.1523667235001041</v>
      </c>
      <c r="CA72" s="2197">
        <f>+SUM(BW72:BZ72)</f>
        <v>14.478688177132966</v>
      </c>
      <c r="CB72" s="2200"/>
      <c r="CC72" s="2199">
        <f>+CC68*(1+CC$11)</f>
        <v>4.5676033958501145</v>
      </c>
      <c r="CD72" s="2200">
        <f>+CD68*(1+CD$11)</f>
        <v>5.0243637354351272</v>
      </c>
      <c r="CE72" s="2200">
        <f>+CE68*(1+CE$11)</f>
        <v>5.5268001089786392</v>
      </c>
      <c r="CF72" s="2200">
        <f>+CF68*(1+CF$11)</f>
        <v>6.0794801198765036</v>
      </c>
      <c r="CG72" s="2197">
        <f>+SUM(CC72:CF72)</f>
        <v>21.198247360140385</v>
      </c>
      <c r="CH72" s="2200"/>
      <c r="CI72" s="2199">
        <f>+CI68*(1+CI$11)</f>
        <v>6.6874281318641549</v>
      </c>
      <c r="CJ72" s="2200">
        <f>+CJ68*(1+CJ$11)</f>
        <v>7.3561709450505717</v>
      </c>
      <c r="CK72" s="2200">
        <f>+CK68*(1+CK$11)</f>
        <v>8.0917880395556292</v>
      </c>
      <c r="CL72" s="2200">
        <f>+CL68*(1+CL$11)</f>
        <v>8.9009668435111919</v>
      </c>
      <c r="CM72" s="2197">
        <f>+SUM(CI72:CL72)</f>
        <v>31.036353959981547</v>
      </c>
      <c r="CN72" s="2200"/>
      <c r="CO72" s="2199">
        <f>+CO68*(1+CO$11)</f>
        <v>9.7910635278623133</v>
      </c>
      <c r="CP72" s="2200">
        <f>+CP68*(1+CP$11)</f>
        <v>10.770169880648545</v>
      </c>
      <c r="CQ72" s="2200">
        <f>+CQ68*(1+CQ$11)</f>
        <v>11.847186868713401</v>
      </c>
      <c r="CR72" s="2200">
        <f>+CR68*(1+CR$11)</f>
        <v>13.031905555584743</v>
      </c>
      <c r="CS72" s="2197">
        <f>+SUM(CO72:CR72)</f>
        <v>45.440325832809002</v>
      </c>
      <c r="CT72" s="2200"/>
      <c r="CU72" s="2200"/>
      <c r="CV72" s="2200"/>
      <c r="CW72" s="2200"/>
      <c r="CX72" s="8"/>
      <c r="DJ72" s="8"/>
      <c r="DK72" s="8"/>
      <c r="DL72" s="8"/>
      <c r="DM72" s="8"/>
      <c r="DN72" s="8"/>
      <c r="DO72" s="8"/>
    </row>
    <row r="73" spans="1:119">
      <c r="A73" s="1972" t="s">
        <v>634</v>
      </c>
      <c r="C73" s="2004"/>
      <c r="D73" s="9"/>
      <c r="E73" s="9"/>
      <c r="F73" s="9"/>
      <c r="G73" s="2003"/>
      <c r="H73" s="2002"/>
      <c r="I73" s="2001"/>
      <c r="J73" s="2002"/>
      <c r="K73" s="2002"/>
      <c r="L73" s="2002"/>
      <c r="M73" s="2003"/>
      <c r="N73" s="2000"/>
      <c r="O73" s="2004"/>
      <c r="P73" s="2005"/>
      <c r="Q73" s="2005"/>
      <c r="R73" s="1999"/>
      <c r="S73" s="1990"/>
      <c r="T73" s="2006"/>
      <c r="U73" s="2004"/>
      <c r="V73" s="2005"/>
      <c r="W73" s="2005"/>
      <c r="X73" s="1999"/>
      <c r="Y73" s="1990"/>
      <c r="Z73" s="2006"/>
      <c r="AA73" s="2004"/>
      <c r="AB73" s="2005"/>
      <c r="AC73" s="2005"/>
      <c r="AD73" s="1999"/>
      <c r="AE73" s="1990"/>
      <c r="AF73" s="2006"/>
      <c r="AG73" s="2004"/>
      <c r="AH73" s="2005"/>
      <c r="AI73" s="2005"/>
      <c r="AJ73" s="9"/>
      <c r="AK73" s="188"/>
      <c r="AM73" s="89">
        <f>AM75*AM74/1000</f>
        <v>0.6</v>
      </c>
      <c r="AN73" s="9">
        <f>AN75*AN74/1000</f>
        <v>0.69600000000000006</v>
      </c>
      <c r="AO73" s="9">
        <f>AO75*AO74/1000</f>
        <v>0.80054458815520779</v>
      </c>
      <c r="AP73" s="9">
        <f>AP75*AP74/1000</f>
        <v>1.0407079646017701</v>
      </c>
      <c r="AQ73" s="188">
        <f>SUM(AM73:AP73)</f>
        <v>3.1372525527569781</v>
      </c>
      <c r="AS73" s="89">
        <f>AS75*AS74/1000</f>
        <v>1</v>
      </c>
      <c r="AT73" s="9">
        <f>AT75*AT74/1000</f>
        <v>1.1600000000000001</v>
      </c>
      <c r="AU73" s="9">
        <f>AU75*AU74/1000</f>
        <v>1.3342409802586794</v>
      </c>
      <c r="AV73" s="9">
        <f>AV75*AV74/1000</f>
        <v>1.7345132743362834</v>
      </c>
      <c r="AW73" s="188">
        <f>SUM(AS73:AV73)</f>
        <v>5.2287542545949632</v>
      </c>
      <c r="AY73" s="89">
        <f>AY75*AY74/1000</f>
        <v>3.2830000000000004</v>
      </c>
      <c r="AZ73" s="9">
        <f>AZ75*AZ74/1000</f>
        <v>3.6113000000000008</v>
      </c>
      <c r="BA73" s="9">
        <f>BA75*BA74/1000</f>
        <v>3.2830000000000004</v>
      </c>
      <c r="BB73" s="9">
        <f>BB75*BB74/1000</f>
        <v>3.6</v>
      </c>
      <c r="BC73" s="188">
        <f>SUM(AY73:BB73)</f>
        <v>13.777300000000002</v>
      </c>
      <c r="BE73" s="89">
        <f>BE75*BE74/1000</f>
        <v>4.75</v>
      </c>
      <c r="BF73" s="9">
        <f>BF75*BF74/1000</f>
        <v>6.5549999999999997</v>
      </c>
      <c r="BG73" s="9">
        <f>BG75*BG74/1000</f>
        <v>7.4215972118430908</v>
      </c>
      <c r="BH73" s="9">
        <f>BH75*BH74/1000</f>
        <v>8.288194423686182</v>
      </c>
      <c r="BI73" s="188">
        <f>SUM(BE73:BH73)</f>
        <v>27.014791635529274</v>
      </c>
      <c r="BK73" s="89">
        <f>BK75*BK74/1000</f>
        <v>8.6347442144808841</v>
      </c>
      <c r="BL73" s="9">
        <f>BL75*BL74/1000</f>
        <v>9.1103981308835689</v>
      </c>
      <c r="BM73" s="9">
        <f>BM75*BM74/1000</f>
        <v>9.58605204728625</v>
      </c>
      <c r="BN73" s="9">
        <f>BN75*BN74/1000</f>
        <v>10.061705963688931</v>
      </c>
      <c r="BO73" s="188">
        <f>SUM(BK73:BN73)</f>
        <v>37.392900356339631</v>
      </c>
      <c r="BQ73" s="89">
        <f>BQ75*BQ74/1000</f>
        <v>10.297586014521142</v>
      </c>
      <c r="BR73" s="9">
        <f>BR75*BR74/1000</f>
        <v>10.844843731103737</v>
      </c>
      <c r="BS73" s="9">
        <f>BS75*BS74/1000</f>
        <v>11.311254174080513</v>
      </c>
      <c r="BT73" s="9">
        <f>BT75*BT74/1000</f>
        <v>11.77766461705729</v>
      </c>
      <c r="BU73" s="188">
        <f>SUM(BQ73:BT73)</f>
        <v>44.231348536762688</v>
      </c>
      <c r="BW73" s="89">
        <f>BW75*BW74/1000</f>
        <v>11.955712136686977</v>
      </c>
      <c r="BX73" s="9">
        <f>BX75*BX74/1000</f>
        <v>12.335835992185487</v>
      </c>
      <c r="BY73" s="9">
        <f>BY75*BY74/1000</f>
        <v>12.590658391121567</v>
      </c>
      <c r="BZ73" s="9">
        <f>BZ75*BZ74/1000</f>
        <v>12.845480790057641</v>
      </c>
      <c r="CA73" s="188">
        <f>SUM(BW73:BZ73)</f>
        <v>49.727687310051671</v>
      </c>
      <c r="CC73" s="89">
        <f>CC75*CC74/1000</f>
        <v>12.699850272205707</v>
      </c>
      <c r="CD73" s="9">
        <f>CD75*CD74/1000</f>
        <v>12.886035128830741</v>
      </c>
      <c r="CE73" s="9">
        <f>CE75*CE74/1000</f>
        <v>13.072219985455771</v>
      </c>
      <c r="CF73" s="9">
        <f>CF75*CF74/1000</f>
        <v>13.258404842080806</v>
      </c>
      <c r="CG73" s="188">
        <f>SUM(CC73:CF73)</f>
        <v>51.916510228573031</v>
      </c>
      <c r="CI73" s="89">
        <f>CI75*CI74/1000</f>
        <v>13.091168236728254</v>
      </c>
      <c r="CJ73" s="9">
        <f>CJ75*CJ74/1000</f>
        <v>13.273403851464838</v>
      </c>
      <c r="CK73" s="9">
        <f>CK75*CK74/1000</f>
        <v>13.45563946620142</v>
      </c>
      <c r="CL73" s="9">
        <f>CL75*CL74/1000</f>
        <v>13.637875080938008</v>
      </c>
      <c r="CM73" s="188">
        <f>SUM(CI73:CL73)</f>
        <v>53.458086635332521</v>
      </c>
      <c r="CO73" s="89">
        <f>CO75*CO74/1000</f>
        <v>13.44838533486638</v>
      </c>
      <c r="CP73" s="9">
        <f>CP75*CP74/1000</f>
        <v>13.626598547142057</v>
      </c>
      <c r="CQ73" s="9">
        <f>CQ75*CQ74/1000</f>
        <v>13.804811759417738</v>
      </c>
      <c r="CR73" s="9">
        <f>CR75*CR74/1000</f>
        <v>13.983024971693416</v>
      </c>
      <c r="CS73" s="188">
        <f>SUM(CO73:CR73)</f>
        <v>54.862820613119595</v>
      </c>
      <c r="CT73" s="9"/>
      <c r="CU73" s="9"/>
      <c r="CV73" s="9"/>
      <c r="CW73" s="9"/>
    </row>
    <row r="74" spans="1:119">
      <c r="A74" s="2034" t="s">
        <v>606</v>
      </c>
      <c r="C74" s="2004"/>
      <c r="D74" s="1652"/>
      <c r="G74" s="2003"/>
      <c r="H74" s="2002"/>
      <c r="I74" s="2001"/>
      <c r="J74" s="2002"/>
      <c r="K74" s="2002"/>
      <c r="L74" s="2002"/>
      <c r="M74" s="2003"/>
      <c r="N74" s="2000"/>
      <c r="O74" s="2004"/>
      <c r="P74" s="2005"/>
      <c r="Q74" s="2005"/>
      <c r="R74" s="1999"/>
      <c r="S74" s="1990"/>
      <c r="T74" s="2006"/>
      <c r="U74" s="2004"/>
      <c r="V74" s="2005"/>
      <c r="W74" s="2005"/>
      <c r="X74" s="1999"/>
      <c r="Y74" s="1990"/>
      <c r="Z74" s="2006"/>
      <c r="AA74" s="2004"/>
      <c r="AB74" s="2005"/>
      <c r="AC74" s="2005"/>
      <c r="AD74" s="1999"/>
      <c r="AE74" s="1990"/>
      <c r="AF74" s="2006"/>
      <c r="AG74" s="2004"/>
      <c r="AH74" s="2005"/>
      <c r="AI74" s="2005"/>
      <c r="AK74" s="1655"/>
      <c r="AM74" s="1430">
        <v>100</v>
      </c>
      <c r="AN74" s="1607">
        <v>100</v>
      </c>
      <c r="AO74" s="1538">
        <v>100</v>
      </c>
      <c r="AP74" s="1538">
        <v>100</v>
      </c>
      <c r="AQ74" s="1606">
        <f>AVERAGE(AM74:AP74)</f>
        <v>100</v>
      </c>
      <c r="AR74" s="1401"/>
      <c r="AS74" s="1430">
        <v>100</v>
      </c>
      <c r="AT74" s="1607">
        <v>100</v>
      </c>
      <c r="AU74" s="1538">
        <v>100</v>
      </c>
      <c r="AV74" s="1538">
        <v>100</v>
      </c>
      <c r="AW74" s="1606">
        <f>AVERAGE(AS74:AV74)</f>
        <v>100</v>
      </c>
      <c r="AX74" s="1401"/>
      <c r="AY74" s="1430">
        <v>100</v>
      </c>
      <c r="AZ74" s="1607">
        <v>100</v>
      </c>
      <c r="BA74" s="1538">
        <v>100</v>
      </c>
      <c r="BB74" s="1538">
        <v>100</v>
      </c>
      <c r="BC74" s="1606">
        <f>AVERAGE(AY74:BB74)</f>
        <v>100</v>
      </c>
      <c r="BD74" s="1401"/>
      <c r="BE74" s="2262">
        <v>95</v>
      </c>
      <c r="BF74" s="2070">
        <f>+BE74</f>
        <v>95</v>
      </c>
      <c r="BG74" s="2070">
        <f>+BE74</f>
        <v>95</v>
      </c>
      <c r="BH74" s="2070">
        <f>+BE74</f>
        <v>95</v>
      </c>
      <c r="BI74" s="1606">
        <f>AVERAGE(BE74:BH74)</f>
        <v>95</v>
      </c>
      <c r="BJ74" s="2018"/>
      <c r="BK74" s="2069">
        <f>+BE74-2.5</f>
        <v>92.5</v>
      </c>
      <c r="BL74" s="2070">
        <f>+BF74-2.5</f>
        <v>92.5</v>
      </c>
      <c r="BM74" s="2070">
        <f>+BG74-2.5</f>
        <v>92.5</v>
      </c>
      <c r="BN74" s="2070">
        <f>+BH74-2.5</f>
        <v>92.5</v>
      </c>
      <c r="BO74" s="1606">
        <f>AVERAGE(BK74:BN74)</f>
        <v>92.5</v>
      </c>
      <c r="BP74" s="2018"/>
      <c r="BQ74" s="2069">
        <f>+BK74-2.5</f>
        <v>90</v>
      </c>
      <c r="BR74" s="2070">
        <f>+BL74-2.5</f>
        <v>90</v>
      </c>
      <c r="BS74" s="2070">
        <f>+BM74-2.5</f>
        <v>90</v>
      </c>
      <c r="BT74" s="2070">
        <f>+BN74-2.5</f>
        <v>90</v>
      </c>
      <c r="BU74" s="1606">
        <f>AVERAGE(BQ74:BT74)</f>
        <v>90</v>
      </c>
      <c r="BV74" s="2018"/>
      <c r="BW74" s="2069">
        <f>+BQ74-1</f>
        <v>89</v>
      </c>
      <c r="BX74" s="2070">
        <f>+BR74-1</f>
        <v>89</v>
      </c>
      <c r="BY74" s="2070">
        <f>+BS74-1</f>
        <v>89</v>
      </c>
      <c r="BZ74" s="2070">
        <f>+BT74-1</f>
        <v>89</v>
      </c>
      <c r="CA74" s="1606">
        <f>AVERAGE(BW74:BZ74)</f>
        <v>89</v>
      </c>
      <c r="CB74" s="2018"/>
      <c r="CC74" s="2069">
        <f>+BW74-2.5</f>
        <v>86.5</v>
      </c>
      <c r="CD74" s="2070">
        <f>+BX74-2.5</f>
        <v>86.5</v>
      </c>
      <c r="CE74" s="2070">
        <f>+BY74-2.5</f>
        <v>86.5</v>
      </c>
      <c r="CF74" s="2070">
        <f>+BZ74-2.5</f>
        <v>86.5</v>
      </c>
      <c r="CG74" s="1606">
        <f>AVERAGE(CC74:CF74)</f>
        <v>86.5</v>
      </c>
      <c r="CH74" s="2018"/>
      <c r="CI74" s="2069">
        <f>+CC74-2.5</f>
        <v>84</v>
      </c>
      <c r="CJ74" s="2070">
        <f>+CD74-2.5</f>
        <v>84</v>
      </c>
      <c r="CK74" s="2070">
        <f>+CE74-2.5</f>
        <v>84</v>
      </c>
      <c r="CL74" s="2070">
        <f>+CF74-2.5</f>
        <v>84</v>
      </c>
      <c r="CM74" s="1606">
        <f>AVERAGE(CI74:CL74)</f>
        <v>84</v>
      </c>
      <c r="CN74" s="2018"/>
      <c r="CO74" s="2069">
        <f>+CI74-2.5</f>
        <v>81.5</v>
      </c>
      <c r="CP74" s="2070">
        <f>+CJ74-2.5</f>
        <v>81.5</v>
      </c>
      <c r="CQ74" s="2070">
        <f>+CK74-2.5</f>
        <v>81.5</v>
      </c>
      <c r="CR74" s="2070">
        <f>+CL74-2.5</f>
        <v>81.5</v>
      </c>
      <c r="CS74" s="1606">
        <f>AVERAGE(CO74:CR74)</f>
        <v>81.5</v>
      </c>
      <c r="CT74" s="1401"/>
      <c r="CU74" s="1401"/>
      <c r="CV74" s="1401"/>
      <c r="CW74" s="1401"/>
    </row>
    <row r="75" spans="1:119">
      <c r="A75" s="2034" t="s">
        <v>97</v>
      </c>
      <c r="C75" s="2004"/>
      <c r="G75" s="2003"/>
      <c r="H75" s="2002"/>
      <c r="I75" s="2001"/>
      <c r="J75" s="2002"/>
      <c r="K75" s="2002"/>
      <c r="L75" s="2002"/>
      <c r="M75" s="2003"/>
      <c r="N75" s="2000"/>
      <c r="O75" s="2004"/>
      <c r="P75" s="2005"/>
      <c r="Q75" s="2005"/>
      <c r="R75" s="1999"/>
      <c r="S75" s="1990"/>
      <c r="T75" s="2006"/>
      <c r="U75" s="2004"/>
      <c r="V75" s="2005"/>
      <c r="W75" s="2005"/>
      <c r="X75" s="1999"/>
      <c r="Y75" s="1990"/>
      <c r="Z75" s="2006"/>
      <c r="AA75" s="2004"/>
      <c r="AB75" s="2005"/>
      <c r="AC75" s="2005"/>
      <c r="AD75" s="1999"/>
      <c r="AE75" s="1990"/>
      <c r="AF75" s="2006"/>
      <c r="AG75" s="2004"/>
      <c r="AH75" s="2005"/>
      <c r="AI75" s="2005"/>
      <c r="AK75" s="188"/>
      <c r="AM75" s="1673">
        <f>+AS75*0.6</f>
        <v>6</v>
      </c>
      <c r="AN75" s="1609">
        <f>+AT75*0.6</f>
        <v>6.9600000000000009</v>
      </c>
      <c r="AO75" s="1609">
        <f>+AU75*0.6</f>
        <v>8.0054458815520775</v>
      </c>
      <c r="AP75" s="2059">
        <f>+AV75*0.6</f>
        <v>10.407079646017701</v>
      </c>
      <c r="AQ75" s="1610">
        <f>SUM(AM75:AP75)</f>
        <v>31.372525527569778</v>
      </c>
      <c r="AR75" s="1608"/>
      <c r="AS75" s="1673">
        <f>+AS71*0.4</f>
        <v>10</v>
      </c>
      <c r="AT75" s="1609">
        <f>+AT71*0.4</f>
        <v>11.600000000000001</v>
      </c>
      <c r="AU75" s="1609">
        <f>+AU71*0.4</f>
        <v>13.342409802586795</v>
      </c>
      <c r="AV75" s="2059">
        <f>+AV71*0.4</f>
        <v>17.345132743362836</v>
      </c>
      <c r="AW75" s="1610">
        <f>SUM(AS75:AV75)</f>
        <v>52.287542545949634</v>
      </c>
      <c r="AX75" s="1608"/>
      <c r="AY75" s="1673">
        <f>+AY71*0.67</f>
        <v>32.830000000000005</v>
      </c>
      <c r="AZ75" s="1609">
        <f>+AZ71*0.67</f>
        <v>36.113000000000007</v>
      </c>
      <c r="BA75" s="1609">
        <f>+BA71*0.67</f>
        <v>32.830000000000005</v>
      </c>
      <c r="BB75" s="2059">
        <f>+BB71*0.8</f>
        <v>36</v>
      </c>
      <c r="BC75" s="1610">
        <f>SUM(AY75:BB75)</f>
        <v>137.77300000000002</v>
      </c>
      <c r="BD75" s="1355"/>
      <c r="BE75" s="2263">
        <v>50</v>
      </c>
      <c r="BF75" s="2072">
        <v>69</v>
      </c>
      <c r="BG75" s="2072">
        <f>+(BG82/BF82)*BF75</f>
        <v>78.122075914137795</v>
      </c>
      <c r="BH75" s="2072">
        <f>+(BH82/BG82)*BG75</f>
        <v>87.244151828275591</v>
      </c>
      <c r="BI75" s="1610">
        <f>SUM(BE75:BH75)</f>
        <v>284.36622774241334</v>
      </c>
      <c r="BJ75" s="1355"/>
      <c r="BK75" s="2071">
        <f>+(BK82/BH82)*BH75</f>
        <v>93.348586102496057</v>
      </c>
      <c r="BL75" s="2072">
        <f>+(BL82/BK82)*BK75</f>
        <v>98.490790604146682</v>
      </c>
      <c r="BM75" s="2072">
        <f>+(BM82/BL82)*BL75</f>
        <v>103.63299510579729</v>
      </c>
      <c r="BN75" s="2072">
        <f>+(BN82/BM82)*BM75</f>
        <v>108.7751996074479</v>
      </c>
      <c r="BO75" s="1610">
        <f>SUM(BK75:BN75)</f>
        <v>404.24757141988795</v>
      </c>
      <c r="BP75" s="1355"/>
      <c r="BQ75" s="2071">
        <f>+(BQ82/BN82)*BN75</f>
        <v>114.41762238356826</v>
      </c>
      <c r="BR75" s="2072">
        <f>+(BR82/BQ82)*BQ75</f>
        <v>120.4982636789304</v>
      </c>
      <c r="BS75" s="2072">
        <f>+(BS82/BR82)*BR75</f>
        <v>125.68060193422794</v>
      </c>
      <c r="BT75" s="2072">
        <f>+(BT82/BS82)*BS75</f>
        <v>130.86294018952543</v>
      </c>
      <c r="BU75" s="1610">
        <f>SUM(BQ75:BT75)</f>
        <v>491.45942818625201</v>
      </c>
      <c r="BV75" s="1355"/>
      <c r="BW75" s="2071">
        <f>+(BW82/BT82)*BT75</f>
        <v>134.33384423243794</v>
      </c>
      <c r="BX75" s="2072">
        <f>+(BX82/BW82)*BW75</f>
        <v>138.60489878860096</v>
      </c>
      <c r="BY75" s="2072">
        <f>+(BY82/BX82)*BX75</f>
        <v>141.46807181035467</v>
      </c>
      <c r="BZ75" s="2072">
        <f>+(BZ82/BY82)*BY75</f>
        <v>144.33124483210833</v>
      </c>
      <c r="CA75" s="1610">
        <f>SUM(BW75:BZ75)</f>
        <v>558.73805966350187</v>
      </c>
      <c r="CB75" s="1355"/>
      <c r="CC75" s="2071">
        <f>+(CC82/BZ82)*BZ75</f>
        <v>146.81907829139547</v>
      </c>
      <c r="CD75" s="2072">
        <f>+(CD82/CC82)*CC75</f>
        <v>148.97150437954613</v>
      </c>
      <c r="CE75" s="2072">
        <f>+(CE82/CD82)*CD75</f>
        <v>151.12393046769677</v>
      </c>
      <c r="CF75" s="2072">
        <f>+(CF82/CE82)*CE75</f>
        <v>153.27635655584746</v>
      </c>
      <c r="CG75" s="1610">
        <f>SUM(CC75:CF75)</f>
        <v>600.19086969448585</v>
      </c>
      <c r="CH75" s="1355"/>
      <c r="CI75" s="2071">
        <f>+(CI82/CF82)*CF75</f>
        <v>155.84724091343159</v>
      </c>
      <c r="CJ75" s="2072">
        <f>+(CJ82/CI82)*CI75</f>
        <v>158.01671251743855</v>
      </c>
      <c r="CK75" s="2072">
        <f>+(CK82/CJ82)*CJ75</f>
        <v>160.18618412144548</v>
      </c>
      <c r="CL75" s="2072">
        <f>+(CL82/CK82)*CK75</f>
        <v>162.35565572545246</v>
      </c>
      <c r="CM75" s="1610">
        <f>SUM(CI75:CL75)</f>
        <v>636.40579327776811</v>
      </c>
      <c r="CN75" s="1355"/>
      <c r="CO75" s="2071">
        <f>+(CO82/CL82)*CL75</f>
        <v>165.01086300449546</v>
      </c>
      <c r="CP75" s="2072">
        <f>+(CP82/CO82)*CO75</f>
        <v>167.19752818579212</v>
      </c>
      <c r="CQ75" s="2072">
        <f>+(CQ82/CP82)*CP75</f>
        <v>169.38419336708881</v>
      </c>
      <c r="CR75" s="2072">
        <f>+(CR82/CQ82)*CQ75</f>
        <v>171.57085854838547</v>
      </c>
      <c r="CS75" s="1610">
        <f>SUM(CO75:CR75)</f>
        <v>673.16344310576187</v>
      </c>
      <c r="CT75" s="1611"/>
      <c r="CU75" s="1611"/>
      <c r="CV75" s="1611"/>
      <c r="CW75" s="1611"/>
    </row>
    <row r="76" spans="1:119">
      <c r="A76" s="1972" t="s">
        <v>638</v>
      </c>
      <c r="C76" s="2004"/>
      <c r="D76" s="9"/>
      <c r="E76" s="9"/>
      <c r="F76" s="9"/>
      <c r="G76" s="2003"/>
      <c r="H76" s="2002"/>
      <c r="I76" s="2001"/>
      <c r="J76" s="2002"/>
      <c r="K76" s="2002"/>
      <c r="L76" s="2002"/>
      <c r="M76" s="2003"/>
      <c r="N76" s="2000"/>
      <c r="O76" s="2004"/>
      <c r="P76" s="2005"/>
      <c r="Q76" s="2005"/>
      <c r="R76" s="1999"/>
      <c r="S76" s="1990"/>
      <c r="T76" s="2006"/>
      <c r="U76" s="2004"/>
      <c r="V76" s="2005"/>
      <c r="W76" s="2005"/>
      <c r="X76" s="1999"/>
      <c r="Y76" s="1990"/>
      <c r="Z76" s="2006"/>
      <c r="AA76" s="2004"/>
      <c r="AB76" s="2005"/>
      <c r="AC76" s="2005"/>
      <c r="AD76" s="1999"/>
      <c r="AE76" s="1990"/>
      <c r="AF76" s="2006"/>
      <c r="AG76" s="2004"/>
      <c r="AH76" s="2005"/>
      <c r="AI76" s="2005"/>
      <c r="AJ76" s="9"/>
      <c r="AK76" s="188"/>
      <c r="AM76" s="89">
        <f>AM78*AM77/1000</f>
        <v>6.2142788683864794</v>
      </c>
      <c r="AN76" s="9">
        <f>AN78*AN77/1000</f>
        <v>8.0160462073915681</v>
      </c>
      <c r="AO76" s="9">
        <f>AO78*AO77/1000</f>
        <v>9.0180519833155124</v>
      </c>
      <c r="AP76" s="9">
        <f>AP78*AP77/1000</f>
        <v>9.6468274943092815</v>
      </c>
      <c r="AQ76" s="188">
        <f>SUM(AM76:AP76)</f>
        <v>32.895204553402841</v>
      </c>
      <c r="AS76" s="89">
        <f>AS78*AS77/1000</f>
        <v>10.106965837184919</v>
      </c>
      <c r="AT76" s="9">
        <f>AT78*AT77/1000</f>
        <v>11.373179505747995</v>
      </c>
      <c r="AU76" s="9">
        <f>AU78*AU77/1000</f>
        <v>11.986956936232342</v>
      </c>
      <c r="AV76" s="9">
        <f>AV78*AV77/1000</f>
        <v>13.678044339331125</v>
      </c>
      <c r="AW76" s="188">
        <f>SUM(AS76:AV76)</f>
        <v>47.145146618496383</v>
      </c>
      <c r="AY76" s="89">
        <f>AY78*AY77/1000</f>
        <v>13.973988584070117</v>
      </c>
      <c r="AZ76" s="9">
        <f>AZ78*AZ77/1000</f>
        <v>15.706215177718532</v>
      </c>
      <c r="BA76" s="9">
        <f>BA78*BA77/1000</f>
        <v>17.059487611358218</v>
      </c>
      <c r="BB76" s="9">
        <f>BB78*BB77/1000</f>
        <v>21.417776442648076</v>
      </c>
      <c r="BC76" s="188">
        <f>SUM(AY76:BB76)</f>
        <v>68.157467815794945</v>
      </c>
      <c r="BE76" s="89">
        <f>BE78*BE77/1000</f>
        <v>19.104546268451838</v>
      </c>
      <c r="BF76" s="9">
        <f>BF78*BF77/1000</f>
        <v>25.868343464724148</v>
      </c>
      <c r="BG76" s="9">
        <f>BG78*BG77/1000</f>
        <v>29.029273894404977</v>
      </c>
      <c r="BH76" s="9">
        <f>BH78*BH77/1000</f>
        <v>34.035042604972752</v>
      </c>
      <c r="BI76" s="188">
        <f>SUM(BE76:BH76)</f>
        <v>108.03720623255373</v>
      </c>
      <c r="BK76" s="89">
        <f>BK78*BK77/1000</f>
        <v>27.042761949509767</v>
      </c>
      <c r="BL76" s="9">
        <f>BL78*BL77/1000</f>
        <v>28.532440776365799</v>
      </c>
      <c r="BM76" s="9">
        <f>BM78*BM77/1000</f>
        <v>30.022119603221828</v>
      </c>
      <c r="BN76" s="9">
        <f>BN78*BN77/1000</f>
        <v>31.82691641437863</v>
      </c>
      <c r="BO76" s="188">
        <f>SUM(BK76:BN76)</f>
        <v>117.42423874347602</v>
      </c>
      <c r="BQ76" s="89">
        <f>BQ78*BQ77/1000</f>
        <v>28.008698500372105</v>
      </c>
      <c r="BR76" s="9">
        <f>BR78*BR77/1000</f>
        <v>30.348081184922311</v>
      </c>
      <c r="BS76" s="9">
        <f>BS78*BS77/1000</f>
        <v>32.540753699436507</v>
      </c>
      <c r="BT76" s="9">
        <f>BT78*BT77/1000</f>
        <v>34.806614853966806</v>
      </c>
      <c r="BU76" s="188">
        <f>SUM(BQ76:BT76)</f>
        <v>125.70414823869773</v>
      </c>
      <c r="BW76" s="89">
        <f>BW78*BW77/1000</f>
        <v>32.378152950667463</v>
      </c>
      <c r="BX76" s="9">
        <f>BX78*BX77/1000</f>
        <v>34.371275240361577</v>
      </c>
      <c r="BY76" s="9">
        <f>BY78*BY77/1000</f>
        <v>36.064873001892494</v>
      </c>
      <c r="BZ76" s="9">
        <f>BZ78*BZ77/1000</f>
        <v>37.798284426004223</v>
      </c>
      <c r="CA76" s="188">
        <f>SUM(BW76:BZ76)</f>
        <v>140.61258561892575</v>
      </c>
      <c r="CC76" s="89">
        <f>CC78*CC77/1000</f>
        <v>34.834509200041332</v>
      </c>
      <c r="CD76" s="9">
        <f>CD78*CD77/1000</f>
        <v>36.36476995033982</v>
      </c>
      <c r="CE76" s="9">
        <f>CE78*CE77/1000</f>
        <v>37.924493456082715</v>
      </c>
      <c r="CF76" s="9">
        <f>CF78*CF77/1000</f>
        <v>39.513679717270051</v>
      </c>
      <c r="CG76" s="188">
        <f>SUM(CC76:CF76)</f>
        <v>148.63745232373392</v>
      </c>
      <c r="CI76" s="89">
        <f>CI78*CI77/1000</f>
        <v>36.38961499103084</v>
      </c>
      <c r="CJ76" s="9">
        <f>CJ78*CJ77/1000</f>
        <v>37.960489434685975</v>
      </c>
      <c r="CK76" s="9">
        <f>CK78*CK77/1000</f>
        <v>39.560588589250727</v>
      </c>
      <c r="CL76" s="9">
        <f>CL78*CL77/1000</f>
        <v>41.189912454725118</v>
      </c>
      <c r="CM76" s="188">
        <f>SUM(CI76:CL76)</f>
        <v>155.10060546969265</v>
      </c>
      <c r="CO76" s="89">
        <f>CO78*CO77/1000</f>
        <v>37.90783868493083</v>
      </c>
      <c r="CP76" s="9">
        <f>CP78*CP77/1000</f>
        <v>39.518165818308624</v>
      </c>
      <c r="CQ76" s="9">
        <f>CQ78*CQ77/1000</f>
        <v>41.157474173370389</v>
      </c>
      <c r="CR76" s="9">
        <f>CR78*CR77/1000</f>
        <v>42.825763750116103</v>
      </c>
      <c r="CS76" s="188">
        <f>SUM(CO76:CR76)</f>
        <v>161.40924242672594</v>
      </c>
      <c r="CT76" s="9"/>
      <c r="CU76" s="9"/>
      <c r="CV76" s="9"/>
      <c r="CW76" s="9"/>
    </row>
    <row r="77" spans="1:119">
      <c r="A77" s="2034" t="s">
        <v>606</v>
      </c>
      <c r="C77" s="2004"/>
      <c r="D77" s="1652"/>
      <c r="G77" s="2003"/>
      <c r="H77" s="2002"/>
      <c r="I77" s="2001"/>
      <c r="J77" s="2002"/>
      <c r="K77" s="2002"/>
      <c r="L77" s="2002"/>
      <c r="M77" s="2003"/>
      <c r="N77" s="2000"/>
      <c r="O77" s="2004"/>
      <c r="P77" s="2005"/>
      <c r="Q77" s="2005"/>
      <c r="R77" s="1999"/>
      <c r="S77" s="1990"/>
      <c r="T77" s="2006"/>
      <c r="U77" s="2004"/>
      <c r="V77" s="2005"/>
      <c r="W77" s="2005"/>
      <c r="X77" s="1999"/>
      <c r="Y77" s="1990"/>
      <c r="Z77" s="2006"/>
      <c r="AA77" s="2004"/>
      <c r="AB77" s="2005"/>
      <c r="AC77" s="2005"/>
      <c r="AD77" s="1999"/>
      <c r="AE77" s="1990"/>
      <c r="AF77" s="2006"/>
      <c r="AG77" s="2004"/>
      <c r="AH77" s="2005"/>
      <c r="AI77" s="2005"/>
      <c r="AK77" s="1655"/>
      <c r="AM77" s="1430">
        <v>120</v>
      </c>
      <c r="AN77" s="1607">
        <v>120</v>
      </c>
      <c r="AO77" s="1538">
        <v>120</v>
      </c>
      <c r="AP77" s="1538">
        <v>120</v>
      </c>
      <c r="AQ77" s="1606">
        <f>AVERAGE(AM77:AP77)</f>
        <v>120</v>
      </c>
      <c r="AR77" s="1401"/>
      <c r="AS77" s="1430">
        <v>120</v>
      </c>
      <c r="AT77" s="1607">
        <v>120</v>
      </c>
      <c r="AU77" s="1538">
        <v>120</v>
      </c>
      <c r="AV77" s="1538">
        <v>120</v>
      </c>
      <c r="AW77" s="1606">
        <f>AVERAGE(AS77:AV77)</f>
        <v>120</v>
      </c>
      <c r="AX77" s="1401"/>
      <c r="AY77" s="1430">
        <v>120</v>
      </c>
      <c r="AZ77" s="1607">
        <v>120</v>
      </c>
      <c r="BA77" s="1538">
        <v>120</v>
      </c>
      <c r="BB77" s="1538">
        <v>120</v>
      </c>
      <c r="BC77" s="1606">
        <f>AVERAGE(AY77:BB77)</f>
        <v>120</v>
      </c>
      <c r="BD77" s="1401"/>
      <c r="BE77" s="2262">
        <v>105</v>
      </c>
      <c r="BF77" s="2070">
        <f>+BE77</f>
        <v>105</v>
      </c>
      <c r="BG77" s="2070">
        <f>+BE77</f>
        <v>105</v>
      </c>
      <c r="BH77" s="2070">
        <f>+BE77</f>
        <v>105</v>
      </c>
      <c r="BI77" s="1606">
        <f>AVERAGE(BE77:BH77)</f>
        <v>105</v>
      </c>
      <c r="BJ77" s="2018"/>
      <c r="BK77" s="2069">
        <f>+BE77-25</f>
        <v>80</v>
      </c>
      <c r="BL77" s="2070">
        <f t="shared" ref="BL77:BN77" si="41">+BF77-25</f>
        <v>80</v>
      </c>
      <c r="BM77" s="2070">
        <f t="shared" si="41"/>
        <v>80</v>
      </c>
      <c r="BN77" s="2070">
        <f t="shared" si="41"/>
        <v>80</v>
      </c>
      <c r="BO77" s="1606">
        <f>AVERAGE(BK77:BN77)</f>
        <v>80</v>
      </c>
      <c r="BP77" s="2018"/>
      <c r="BQ77" s="2069">
        <f>+BK77-15</f>
        <v>65</v>
      </c>
      <c r="BR77" s="2070">
        <f>+BL77-15</f>
        <v>65</v>
      </c>
      <c r="BS77" s="2070">
        <f>+BM77-15</f>
        <v>65</v>
      </c>
      <c r="BT77" s="2070">
        <f>+BN77-15</f>
        <v>65</v>
      </c>
      <c r="BU77" s="1606">
        <f>AVERAGE(BQ77:BT77)</f>
        <v>65</v>
      </c>
      <c r="BV77" s="2018"/>
      <c r="BW77" s="2069">
        <f>+BQ77-1</f>
        <v>64</v>
      </c>
      <c r="BX77" s="2070">
        <f>+BR77-1</f>
        <v>64</v>
      </c>
      <c r="BY77" s="2070">
        <f>+BS77-1</f>
        <v>64</v>
      </c>
      <c r="BZ77" s="2070">
        <f>+BT77-1</f>
        <v>64</v>
      </c>
      <c r="CA77" s="1606">
        <f>AVERAGE(BW77:BZ77)</f>
        <v>64</v>
      </c>
      <c r="CB77" s="2018"/>
      <c r="CC77" s="2069">
        <f>+BW77-1</f>
        <v>63</v>
      </c>
      <c r="CD77" s="2070">
        <f>+BX77-1</f>
        <v>63</v>
      </c>
      <c r="CE77" s="2070">
        <f>+BY77-1</f>
        <v>63</v>
      </c>
      <c r="CF77" s="2070">
        <f>+BZ77-1</f>
        <v>63</v>
      </c>
      <c r="CG77" s="1606">
        <f>AVERAGE(CC77:CF77)</f>
        <v>63</v>
      </c>
      <c r="CH77" s="2018"/>
      <c r="CI77" s="2069">
        <f>+CC77-1</f>
        <v>62</v>
      </c>
      <c r="CJ77" s="2070">
        <f>+CD77-1</f>
        <v>62</v>
      </c>
      <c r="CK77" s="2070">
        <f>+CE77-1</f>
        <v>62</v>
      </c>
      <c r="CL77" s="2070">
        <f>+CF77-1</f>
        <v>62</v>
      </c>
      <c r="CM77" s="1606">
        <f>AVERAGE(CI77:CL77)</f>
        <v>62</v>
      </c>
      <c r="CN77" s="2018"/>
      <c r="CO77" s="2069">
        <f>+CI77-1</f>
        <v>61</v>
      </c>
      <c r="CP77" s="2070">
        <f>+CJ77-1</f>
        <v>61</v>
      </c>
      <c r="CQ77" s="2070">
        <f>+CK77-1</f>
        <v>61</v>
      </c>
      <c r="CR77" s="2070">
        <f>+CL77-1</f>
        <v>61</v>
      </c>
      <c r="CS77" s="1606">
        <f>AVERAGE(CO77:CR77)</f>
        <v>61</v>
      </c>
      <c r="CT77" s="1401"/>
      <c r="CU77" s="1401"/>
      <c r="CV77" s="1401"/>
      <c r="CW77" s="1401"/>
    </row>
    <row r="78" spans="1:119">
      <c r="A78" s="2034" t="s">
        <v>97</v>
      </c>
      <c r="C78" s="2004"/>
      <c r="D78" s="44"/>
      <c r="E78" s="44"/>
      <c r="F78" s="44"/>
      <c r="G78" s="2003"/>
      <c r="H78" s="2002"/>
      <c r="I78" s="2001"/>
      <c r="J78" s="2002"/>
      <c r="K78" s="2002"/>
      <c r="L78" s="2002"/>
      <c r="M78" s="2003"/>
      <c r="N78" s="2000"/>
      <c r="O78" s="2004"/>
      <c r="P78" s="2005"/>
      <c r="Q78" s="2005"/>
      <c r="R78" s="1999"/>
      <c r="S78" s="1990"/>
      <c r="T78" s="2006"/>
      <c r="U78" s="2004"/>
      <c r="V78" s="2005"/>
      <c r="W78" s="2005"/>
      <c r="X78" s="1999"/>
      <c r="Y78" s="1990"/>
      <c r="Z78" s="2006"/>
      <c r="AA78" s="2004"/>
      <c r="AB78" s="2005"/>
      <c r="AC78" s="2005"/>
      <c r="AD78" s="1999"/>
      <c r="AE78" s="1990"/>
      <c r="AF78" s="2006"/>
      <c r="AG78" s="2004"/>
      <c r="AH78" s="2005"/>
      <c r="AI78" s="2005"/>
      <c r="AJ78" s="44"/>
      <c r="AK78" s="188"/>
      <c r="AM78" s="1769">
        <f>+SUM(AM79:AM81)</f>
        <v>51.785657236553995</v>
      </c>
      <c r="AN78" s="1750">
        <f>+SUM(AN79:AN81)</f>
        <v>66.800385061596401</v>
      </c>
      <c r="AO78" s="1750">
        <f>+SUM(AO79:AO81)</f>
        <v>75.150433194295942</v>
      </c>
      <c r="AP78" s="1750">
        <f>+SUM(AP79:AP81)</f>
        <v>80.390229119244012</v>
      </c>
      <c r="AQ78" s="1751">
        <f>SUM(AM78:AP78)</f>
        <v>274.12670461169034</v>
      </c>
      <c r="AR78" s="2060"/>
      <c r="AS78" s="1769">
        <f>+SUM(AS79:AS81)</f>
        <v>84.224715309874327</v>
      </c>
      <c r="AT78" s="1750">
        <f>+SUM(AT79:AT81)</f>
        <v>94.776495881233302</v>
      </c>
      <c r="AU78" s="1750">
        <f>+SUM(AU79:AU81)</f>
        <v>99.891307801936179</v>
      </c>
      <c r="AV78" s="1750">
        <f>+SUM(AV79:AV81)</f>
        <v>113.98370282775937</v>
      </c>
      <c r="AW78" s="1751">
        <f>SUM(AS78:AV78)</f>
        <v>392.87622182080321</v>
      </c>
      <c r="AX78" s="2060"/>
      <c r="AY78" s="1769">
        <f>+SUM(AY79:AY81)</f>
        <v>116.44990486725098</v>
      </c>
      <c r="AZ78" s="1750">
        <f>+SUM(AZ79:AZ81)</f>
        <v>130.88512648098776</v>
      </c>
      <c r="BA78" s="1750">
        <f>+SUM(BA79:BA81)</f>
        <v>142.16239676131849</v>
      </c>
      <c r="BB78" s="1750">
        <f>+SUM(BB79:BB81)</f>
        <v>178.48147035540063</v>
      </c>
      <c r="BC78" s="1751">
        <f>SUM(AY78:BB78)</f>
        <v>567.97889846495787</v>
      </c>
      <c r="BD78" s="2060"/>
      <c r="BE78" s="1769">
        <f>+SUM(BE79:BE81)</f>
        <v>181.94805969954132</v>
      </c>
      <c r="BF78" s="1750">
        <f>+SUM(BF79:BF81)</f>
        <v>246.36517585451568</v>
      </c>
      <c r="BG78" s="1750">
        <f>+SUM(BG79:BG81)</f>
        <v>276.46927518480931</v>
      </c>
      <c r="BH78" s="1750">
        <f>+SUM(BH79:BH81)</f>
        <v>324.14326290450242</v>
      </c>
      <c r="BI78" s="1751">
        <f>SUM(BE78:BH78)</f>
        <v>1028.9257736433688</v>
      </c>
      <c r="BJ78" s="2060"/>
      <c r="BK78" s="1769">
        <f>+SUM(BK79:BK81)</f>
        <v>338.0345243688721</v>
      </c>
      <c r="BL78" s="1750">
        <f>+SUM(BL79:BL81)</f>
        <v>356.65550970457247</v>
      </c>
      <c r="BM78" s="1750">
        <f>+SUM(BM79:BM81)</f>
        <v>375.27649504027283</v>
      </c>
      <c r="BN78" s="1750">
        <f>+SUM(BN79:BN81)</f>
        <v>397.83645517973287</v>
      </c>
      <c r="BO78" s="1751">
        <f>SUM(BK78:BN78)</f>
        <v>1467.8029842934504</v>
      </c>
      <c r="BP78" s="2060"/>
      <c r="BQ78" s="1769">
        <f>+SUM(BQ79:BQ81)</f>
        <v>430.90305385187855</v>
      </c>
      <c r="BR78" s="1750">
        <f>+SUM(BR79:BR81)</f>
        <v>466.89355669111245</v>
      </c>
      <c r="BS78" s="1750">
        <f>+SUM(BS79:BS81)</f>
        <v>500.62697999133087</v>
      </c>
      <c r="BT78" s="1750">
        <f>+SUM(BT79:BT81)</f>
        <v>535.48638236872011</v>
      </c>
      <c r="BU78" s="1751">
        <f>SUM(BQ78:BT78)</f>
        <v>1933.909972903042</v>
      </c>
      <c r="BV78" s="2060"/>
      <c r="BW78" s="1769">
        <f>+SUM(BW79:BW81)</f>
        <v>505.90863985417906</v>
      </c>
      <c r="BX78" s="1750">
        <f>+SUM(BX79:BX81)</f>
        <v>537.0511756306496</v>
      </c>
      <c r="BY78" s="1750">
        <f>+SUM(BY79:BY81)</f>
        <v>563.51364065457017</v>
      </c>
      <c r="BZ78" s="1750">
        <f>+SUM(BZ79:BZ81)</f>
        <v>590.59819415631603</v>
      </c>
      <c r="CA78" s="1751">
        <f>SUM(BW78:BZ78)</f>
        <v>2197.0716502957148</v>
      </c>
      <c r="CB78" s="2060"/>
      <c r="CC78" s="1769">
        <f>+SUM(CC79:CC81)</f>
        <v>552.92871746097353</v>
      </c>
      <c r="CD78" s="1750">
        <f>+SUM(CD79:CD81)</f>
        <v>577.21857064031462</v>
      </c>
      <c r="CE78" s="1750">
        <f>+SUM(CE79:CE81)</f>
        <v>601.97608660448759</v>
      </c>
      <c r="CF78" s="1750">
        <f>+SUM(CF79:CF81)</f>
        <v>627.20126535349289</v>
      </c>
      <c r="CG78" s="1751">
        <f>SUM(CC78:CF78)</f>
        <v>2359.3246400592689</v>
      </c>
      <c r="CH78" s="2060"/>
      <c r="CI78" s="1769">
        <f>+SUM(CI79:CI81)</f>
        <v>586.92927404888451</v>
      </c>
      <c r="CJ78" s="1750">
        <f>+SUM(CJ79:CJ81)</f>
        <v>612.26595862396732</v>
      </c>
      <c r="CK78" s="1750">
        <f>+SUM(CK79:CK81)</f>
        <v>638.07400950404406</v>
      </c>
      <c r="CL78" s="1750">
        <f>+SUM(CL79:CL81)</f>
        <v>664.35342668911483</v>
      </c>
      <c r="CM78" s="1751">
        <f>SUM(CI78:CL78)</f>
        <v>2501.6226688660108</v>
      </c>
      <c r="CN78" s="2060"/>
      <c r="CO78" s="1769">
        <f>+SUM(CO79:CO81)</f>
        <v>621.43997844148896</v>
      </c>
      <c r="CP78" s="1750">
        <f>+SUM(CP79:CP81)</f>
        <v>647.83878390669884</v>
      </c>
      <c r="CQ78" s="1750">
        <f>+SUM(CQ79:CQ81)</f>
        <v>674.71269136672777</v>
      </c>
      <c r="CR78" s="1750">
        <f>+SUM(CR79:CR81)</f>
        <v>702.06170082157541</v>
      </c>
      <c r="CS78" s="1751">
        <f>SUM(CO78:CR78)</f>
        <v>2646.0531545364911</v>
      </c>
      <c r="CT78" s="1750"/>
      <c r="CU78" s="1750"/>
      <c r="CV78" s="1750"/>
      <c r="CW78" s="1750"/>
      <c r="CX78" s="2060"/>
    </row>
    <row r="79" spans="1:119">
      <c r="A79" s="2061" t="s">
        <v>589</v>
      </c>
      <c r="C79" s="2004"/>
      <c r="G79" s="2003"/>
      <c r="H79" s="2002"/>
      <c r="I79" s="2001"/>
      <c r="J79" s="2002"/>
      <c r="K79" s="2002"/>
      <c r="L79" s="2002"/>
      <c r="M79" s="2003"/>
      <c r="N79" s="2000"/>
      <c r="O79" s="2004"/>
      <c r="P79" s="2005"/>
      <c r="Q79" s="2005"/>
      <c r="R79" s="1999"/>
      <c r="S79" s="1990"/>
      <c r="T79" s="2006"/>
      <c r="U79" s="2004"/>
      <c r="V79" s="2005"/>
      <c r="W79" s="2005"/>
      <c r="X79" s="1999"/>
      <c r="Y79" s="1990"/>
      <c r="Z79" s="2006"/>
      <c r="AA79" s="2004"/>
      <c r="AB79" s="2005"/>
      <c r="AC79" s="2005"/>
      <c r="AD79" s="1999"/>
      <c r="AE79" s="1990"/>
      <c r="AF79" s="2006"/>
      <c r="AG79" s="2004"/>
      <c r="AH79" s="2005"/>
      <c r="AI79" s="2005"/>
      <c r="AK79" s="188"/>
      <c r="AM79" s="2336">
        <v>0</v>
      </c>
      <c r="AN79" s="2337">
        <v>0</v>
      </c>
      <c r="AO79" s="2337">
        <v>0</v>
      </c>
      <c r="AP79" s="2337">
        <v>0</v>
      </c>
      <c r="AQ79" s="1751">
        <f>SUM(AM79:AP79)</f>
        <v>0</v>
      </c>
      <c r="AR79" s="2060"/>
      <c r="AS79" s="2336">
        <v>0</v>
      </c>
      <c r="AT79" s="2337">
        <v>0</v>
      </c>
      <c r="AU79" s="2337">
        <v>0</v>
      </c>
      <c r="AV79" s="2337">
        <v>0</v>
      </c>
      <c r="AW79" s="1751">
        <f>SUM(AS79:AV79)</f>
        <v>0</v>
      </c>
      <c r="AX79" s="2060"/>
      <c r="AY79" s="2336">
        <v>0</v>
      </c>
      <c r="AZ79" s="2337">
        <v>0</v>
      </c>
      <c r="BA79" s="2337">
        <v>0</v>
      </c>
      <c r="BB79" s="2337">
        <v>2.6864338347252641E-4</v>
      </c>
      <c r="BC79" s="1751">
        <f>SUM(AY79:BB79)</f>
        <v>2.6864338347252641E-4</v>
      </c>
      <c r="BD79" s="2060"/>
      <c r="BE79" s="2336">
        <v>3.226944322271988E-4</v>
      </c>
      <c r="BF79" s="2337">
        <v>3.3614003356999869E-4</v>
      </c>
      <c r="BG79" s="2337">
        <v>5.3782405371199785E-4</v>
      </c>
      <c r="BH79" s="2337">
        <v>4.705960469979981E-4</v>
      </c>
      <c r="BI79" s="1751">
        <f>SUM(BE79:BH79)</f>
        <v>1.6672545665071935E-3</v>
      </c>
      <c r="BJ79" s="2060"/>
      <c r="BK79" s="2336">
        <v>5.3836187776570984E-4</v>
      </c>
      <c r="BL79" s="2337">
        <v>6.0565711248642372E-4</v>
      </c>
      <c r="BM79" s="2337">
        <v>6.7295234720713749E-4</v>
      </c>
      <c r="BN79" s="2337">
        <v>7.4024758192785126E-4</v>
      </c>
      <c r="BO79" s="1751">
        <f>SUM(BK79:BN79)</f>
        <v>2.557218919387122E-3</v>
      </c>
      <c r="BP79" s="2060"/>
      <c r="BQ79" s="2336">
        <v>8.0835035946521345E-4</v>
      </c>
      <c r="BR79" s="2337">
        <v>8.7571288942064809E-4</v>
      </c>
      <c r="BS79" s="2337">
        <v>9.4307541937608251E-4</v>
      </c>
      <c r="BT79" s="2337">
        <v>1.0104379493315169E-3</v>
      </c>
      <c r="BU79" s="1751">
        <f>SUM(BQ79:BT79)</f>
        <v>3.6375766175934612E-3</v>
      </c>
      <c r="BV79" s="2060"/>
      <c r="BW79" s="2336">
        <v>1.0788782797662383E-3</v>
      </c>
      <c r="BX79" s="2337">
        <v>1.1463081722516281E-3</v>
      </c>
      <c r="BY79" s="2337">
        <v>1.2137380647370181E-3</v>
      </c>
      <c r="BZ79" s="2337">
        <v>1.2811679572224083E-3</v>
      </c>
      <c r="CA79" s="1751">
        <f>SUM(BW79:BZ79)</f>
        <v>4.7200924739772927E-3</v>
      </c>
      <c r="CB79" s="2060"/>
      <c r="CC79" s="2336">
        <v>1.3499464475575055E-3</v>
      </c>
      <c r="CD79" s="2337">
        <v>1.4174437699353806E-3</v>
      </c>
      <c r="CE79" s="2337">
        <v>1.4849410923132563E-3</v>
      </c>
      <c r="CF79" s="2337">
        <v>1.5524384146911314E-3</v>
      </c>
      <c r="CG79" s="1751">
        <f>SUM(CC79:CF79)</f>
        <v>5.8047697244972742E-3</v>
      </c>
      <c r="CH79" s="2060"/>
      <c r="CI79" s="2336">
        <v>0</v>
      </c>
      <c r="CJ79" s="2337">
        <v>0</v>
      </c>
      <c r="CK79" s="2337">
        <v>0</v>
      </c>
      <c r="CL79" s="2337">
        <v>0</v>
      </c>
      <c r="CM79" s="1751">
        <f>SUM(CI79:CL79)</f>
        <v>0</v>
      </c>
      <c r="CN79" s="2060"/>
      <c r="CO79" s="2336">
        <v>0</v>
      </c>
      <c r="CP79" s="2337">
        <v>0</v>
      </c>
      <c r="CQ79" s="2337">
        <v>0</v>
      </c>
      <c r="CR79" s="2337">
        <v>0</v>
      </c>
      <c r="CS79" s="1751">
        <f>SUM(CO79:CR79)</f>
        <v>0</v>
      </c>
      <c r="CT79" s="1750"/>
      <c r="CU79" s="1750"/>
      <c r="CV79" s="1750"/>
      <c r="CW79" s="1750"/>
      <c r="CX79" s="2060"/>
    </row>
    <row r="80" spans="1:119">
      <c r="A80" s="2061" t="s">
        <v>587</v>
      </c>
      <c r="C80" s="2004"/>
      <c r="G80" s="2003"/>
      <c r="H80" s="2002"/>
      <c r="I80" s="2001"/>
      <c r="J80" s="2002"/>
      <c r="K80" s="2002"/>
      <c r="L80" s="2002"/>
      <c r="M80" s="2003"/>
      <c r="N80" s="2000"/>
      <c r="O80" s="2004"/>
      <c r="P80" s="2005"/>
      <c r="Q80" s="2005"/>
      <c r="R80" s="1999"/>
      <c r="S80" s="1990"/>
      <c r="T80" s="2006"/>
      <c r="U80" s="2004"/>
      <c r="V80" s="2005"/>
      <c r="W80" s="2005"/>
      <c r="X80" s="1999"/>
      <c r="Y80" s="1990"/>
      <c r="Z80" s="2006"/>
      <c r="AA80" s="2004"/>
      <c r="AB80" s="2005"/>
      <c r="AC80" s="2005"/>
      <c r="AD80" s="1999"/>
      <c r="AE80" s="1990"/>
      <c r="AF80" s="2006"/>
      <c r="AG80" s="2004"/>
      <c r="AH80" s="2005"/>
      <c r="AI80" s="2005"/>
      <c r="AK80" s="188"/>
      <c r="AM80" s="1769">
        <f>+(AM82*AM83)-AM81-AM79</f>
        <v>15.535657236553995</v>
      </c>
      <c r="AN80" s="1750">
        <f t="shared" ref="AN80:AP80" si="42">+(AN82*AN83)-AN81-AN79</f>
        <v>28.800385061596401</v>
      </c>
      <c r="AO80" s="1750">
        <f t="shared" si="42"/>
        <v>36.550433194295941</v>
      </c>
      <c r="AP80" s="1750">
        <f t="shared" si="42"/>
        <v>44.740229119244006</v>
      </c>
      <c r="AQ80" s="1751">
        <f>SUM(AM80:AP80)</f>
        <v>125.62670461169034</v>
      </c>
      <c r="AR80" s="2060"/>
      <c r="AS80" s="1769">
        <f>+(AS82*AS83)-AS81-AS79</f>
        <v>44.624715309874325</v>
      </c>
      <c r="AT80" s="1750">
        <f t="shared" ref="AT80" si="43">+(AT82*AT83)-AT81-AT79</f>
        <v>53.976495881233305</v>
      </c>
      <c r="AU80" s="1750">
        <f t="shared" ref="AU80" si="44">+(AU82*AU83)-AU81-AU79</f>
        <v>61.391307801936179</v>
      </c>
      <c r="AV80" s="1750">
        <f t="shared" ref="AV80" si="45">+(AV82*AV83)-AV81-AV79</f>
        <v>70.283702827759384</v>
      </c>
      <c r="AW80" s="1751">
        <f>SUM(AS80:AV80)</f>
        <v>230.27622182080319</v>
      </c>
      <c r="AX80" s="2060"/>
      <c r="AY80" s="1769">
        <f>+(AY82*AY83)-AY81-AY79</f>
        <v>71.449904867250979</v>
      </c>
      <c r="AZ80" s="1750">
        <f t="shared" ref="AZ80" si="46">+(AZ82*AZ83)-AZ81-AZ79</f>
        <v>93.485126480987759</v>
      </c>
      <c r="BA80" s="1750">
        <f t="shared" ref="BA80" si="47">+(BA82*BA83)-BA81-BA79</f>
        <v>106.66239676131849</v>
      </c>
      <c r="BB80" s="1750">
        <f t="shared" ref="BB80" si="48">+(BB82*BB83)-BB81-BB79</f>
        <v>141.18120171201716</v>
      </c>
      <c r="BC80" s="1751">
        <f>SUM(AY80:BB80)</f>
        <v>412.77862982157433</v>
      </c>
      <c r="BD80" s="2060"/>
      <c r="BE80" s="1769">
        <f>+(BE82*BE83)-BE81-BE79</f>
        <v>140.74773700510912</v>
      </c>
      <c r="BF80" s="1750">
        <f t="shared" ref="BF80" si="49">+(BF82*BF83)-BF81-BF79</f>
        <v>204.96483971448211</v>
      </c>
      <c r="BG80" s="1750">
        <f t="shared" ref="BG80" si="50">+(BG82*BG83)-BG81-BG79</f>
        <v>235.4337373607556</v>
      </c>
      <c r="BH80" s="1750">
        <f t="shared" ref="BH80" si="51">+(BH82*BH83)-BH81-BH79</f>
        <v>283.37279230845542</v>
      </c>
      <c r="BI80" s="1751">
        <f>SUM(BE80:BH80)</f>
        <v>864.51910638880213</v>
      </c>
      <c r="BJ80" s="2060"/>
      <c r="BK80" s="1769">
        <f>+(BK82*BK83)-BK81-BK79</f>
        <v>297.25898600699435</v>
      </c>
      <c r="BL80" s="1750">
        <f t="shared" ref="BL80" si="52">+(BL82*BL83)-BL81-BL79</f>
        <v>314.36340404745999</v>
      </c>
      <c r="BM80" s="1750">
        <f t="shared" ref="BM80" si="53">+(BM82*BM83)-BM81-BM79</f>
        <v>334.59507208792564</v>
      </c>
      <c r="BN80" s="1750">
        <f t="shared" ref="BN80" si="54">+(BN82*BN83)-BN81-BN79</f>
        <v>357.36671493215096</v>
      </c>
      <c r="BO80" s="1751">
        <f>SUM(BK80:BN80)</f>
        <v>1303.584177074531</v>
      </c>
      <c r="BP80" s="2060"/>
      <c r="BQ80" s="1769">
        <f>+(BQ82*BQ83)-BQ81-BQ79</f>
        <v>390.8244955015191</v>
      </c>
      <c r="BR80" s="1750">
        <f t="shared" ref="BR80" si="55">+(BR82*BR83)-BR81-BR79</f>
        <v>425.40975597822302</v>
      </c>
      <c r="BS80" s="1750">
        <f t="shared" ref="BS80" si="56">+(BS82*BS83)-BS81-BS79</f>
        <v>460.59594941591149</v>
      </c>
      <c r="BT80" s="1750">
        <f t="shared" ref="BT80" si="57">+(BT82*BT83)-BT81-BT79</f>
        <v>495.62632193077076</v>
      </c>
      <c r="BU80" s="1751">
        <f>SUM(BQ80:BT80)</f>
        <v>1772.4565228264244</v>
      </c>
      <c r="BV80" s="2060"/>
      <c r="BW80" s="1769">
        <f>+(BW82*BW83)-BW81-BW79</f>
        <v>466.42512347589928</v>
      </c>
      <c r="BX80" s="1750">
        <f t="shared" ref="BX80:BZ80" si="58">+(BX82*BX83)-BX81-BX79</f>
        <v>496.26995057247734</v>
      </c>
      <c r="BY80" s="1750">
        <f t="shared" si="58"/>
        <v>524.03130004150546</v>
      </c>
      <c r="BZ80" s="1750">
        <f t="shared" si="58"/>
        <v>551.24664048835882</v>
      </c>
      <c r="CA80" s="1751">
        <f>SUM(BW80:BZ80)</f>
        <v>2037.973014578241</v>
      </c>
      <c r="CB80" s="2060"/>
      <c r="CC80" s="1769">
        <f>+(CC82*CC83)-CC81-CC79</f>
        <v>513.94004813952597</v>
      </c>
      <c r="CD80" s="1750">
        <f t="shared" ref="CD80:CF80" si="59">+(CD82*CD83)-CD81-CD79</f>
        <v>537.03621338404469</v>
      </c>
      <c r="CE80" s="1750">
        <f t="shared" si="59"/>
        <v>562.94236019464529</v>
      </c>
      <c r="CF80" s="1750">
        <f t="shared" si="59"/>
        <v>588.25857029007818</v>
      </c>
      <c r="CG80" s="1751">
        <f>SUM(CC80:CF80)</f>
        <v>2202.1771920082942</v>
      </c>
      <c r="CH80" s="2060"/>
      <c r="CI80" s="1769">
        <f>+(CI82*CI83)-CI81-CI79</f>
        <v>586.92927404888451</v>
      </c>
      <c r="CJ80" s="1750">
        <f t="shared" ref="CJ80:CL80" si="60">+(CJ82*CJ83)-CJ81-CJ79</f>
        <v>612.26595862396732</v>
      </c>
      <c r="CK80" s="1750">
        <f t="shared" si="60"/>
        <v>638.07400950404406</v>
      </c>
      <c r="CL80" s="1750">
        <f t="shared" si="60"/>
        <v>664.35342668911483</v>
      </c>
      <c r="CM80" s="1751">
        <f>SUM(CI80:CL80)</f>
        <v>2501.6226688660108</v>
      </c>
      <c r="CN80" s="2060"/>
      <c r="CO80" s="1769">
        <f>+(CO82*CO83)-CO81-CO79</f>
        <v>621.43997844148896</v>
      </c>
      <c r="CP80" s="1750">
        <f t="shared" ref="CP80:CR80" si="61">+(CP82*CP83)-CP81-CP79</f>
        <v>647.83878390669884</v>
      </c>
      <c r="CQ80" s="1750">
        <f t="shared" si="61"/>
        <v>674.71269136672777</v>
      </c>
      <c r="CR80" s="1750">
        <f t="shared" si="61"/>
        <v>702.06170082157541</v>
      </c>
      <c r="CS80" s="1751">
        <f>SUM(CO80:CR80)</f>
        <v>2646.0531545364911</v>
      </c>
      <c r="CT80" s="1750"/>
      <c r="CU80" s="1750"/>
      <c r="CV80" s="1750"/>
      <c r="CW80" s="1750"/>
      <c r="CX80" s="2060"/>
    </row>
    <row r="81" spans="1:128">
      <c r="A81" s="2061" t="s">
        <v>588</v>
      </c>
      <c r="C81" s="2004"/>
      <c r="G81" s="2003"/>
      <c r="H81" s="2002"/>
      <c r="I81" s="2001"/>
      <c r="J81" s="2002"/>
      <c r="K81" s="2002"/>
      <c r="L81" s="2002"/>
      <c r="M81" s="2003"/>
      <c r="N81" s="2000"/>
      <c r="O81" s="2004"/>
      <c r="P81" s="2005"/>
      <c r="Q81" s="2005"/>
      <c r="R81" s="1999"/>
      <c r="S81" s="1990"/>
      <c r="T81" s="2006"/>
      <c r="U81" s="2004"/>
      <c r="V81" s="2005"/>
      <c r="W81" s="2005"/>
      <c r="X81" s="1999"/>
      <c r="Y81" s="1990"/>
      <c r="Z81" s="2006"/>
      <c r="AA81" s="2004"/>
      <c r="AB81" s="2005"/>
      <c r="AC81" s="2005"/>
      <c r="AD81" s="1999"/>
      <c r="AE81" s="1990"/>
      <c r="AF81" s="2006"/>
      <c r="AG81" s="2004"/>
      <c r="AH81" s="2005"/>
      <c r="AI81" s="2005"/>
      <c r="AK81" s="188"/>
      <c r="AM81" s="2336">
        <v>36.25</v>
      </c>
      <c r="AN81" s="2337">
        <v>38</v>
      </c>
      <c r="AO81" s="2337">
        <v>38.6</v>
      </c>
      <c r="AP81" s="2337">
        <v>35.650000000000006</v>
      </c>
      <c r="AQ81" s="1751">
        <f>SUM(AM81:AP81)</f>
        <v>148.5</v>
      </c>
      <c r="AR81" s="2060"/>
      <c r="AS81" s="2336">
        <v>39.6</v>
      </c>
      <c r="AT81" s="2337">
        <v>40.799999999999997</v>
      </c>
      <c r="AU81" s="2337">
        <v>38.5</v>
      </c>
      <c r="AV81" s="2337">
        <v>43.699999999999996</v>
      </c>
      <c r="AW81" s="1751">
        <f>SUM(AS81:AV81)</f>
        <v>162.6</v>
      </c>
      <c r="AX81" s="2060"/>
      <c r="AY81" s="2336">
        <v>45</v>
      </c>
      <c r="AZ81" s="2337">
        <v>37.400000000000006</v>
      </c>
      <c r="BA81" s="2337">
        <v>35.5</v>
      </c>
      <c r="BB81" s="2337">
        <v>37.299999999999997</v>
      </c>
      <c r="BC81" s="1751">
        <f>SUM(AY81:BB81)</f>
        <v>155.19999999999999</v>
      </c>
      <c r="BD81" s="2060"/>
      <c r="BE81" s="2336">
        <v>41.2</v>
      </c>
      <c r="BF81" s="2337">
        <v>41.4</v>
      </c>
      <c r="BG81" s="2337">
        <v>41.034999999999997</v>
      </c>
      <c r="BH81" s="2337">
        <v>40.769999999999996</v>
      </c>
      <c r="BI81" s="1751">
        <f>SUM(BE81:BH81)</f>
        <v>164.40499999999997</v>
      </c>
      <c r="BJ81" s="2060"/>
      <c r="BK81" s="2336">
        <v>40.775000000000006</v>
      </c>
      <c r="BL81" s="2337">
        <v>42.291500000000006</v>
      </c>
      <c r="BM81" s="2337">
        <v>40.680750000000003</v>
      </c>
      <c r="BN81" s="2337">
        <v>40.468999999999994</v>
      </c>
      <c r="BO81" s="1751">
        <f>SUM(BK81:BN81)</f>
        <v>164.21625</v>
      </c>
      <c r="BP81" s="2060"/>
      <c r="BQ81" s="2336">
        <v>40.077750000000002</v>
      </c>
      <c r="BR81" s="2337">
        <v>41.482925000000009</v>
      </c>
      <c r="BS81" s="2337">
        <v>40.0300875</v>
      </c>
      <c r="BT81" s="2337">
        <v>39.859049999999996</v>
      </c>
      <c r="BU81" s="1751">
        <f>SUM(BQ81:BT81)</f>
        <v>161.44981250000001</v>
      </c>
      <c r="BV81" s="2060"/>
      <c r="BW81" s="2336">
        <v>39.482437500000003</v>
      </c>
      <c r="BX81" s="2337">
        <v>40.780078750000001</v>
      </c>
      <c r="BY81" s="2337">
        <v>39.481126875000001</v>
      </c>
      <c r="BZ81" s="2337">
        <v>39.350272499999996</v>
      </c>
      <c r="CA81" s="1751">
        <f>SUM(BW81:BZ81)</f>
        <v>159.09391562499999</v>
      </c>
      <c r="CB81" s="2060"/>
      <c r="CC81" s="2336">
        <v>38.987319374999998</v>
      </c>
      <c r="CD81" s="2337">
        <v>40.1809398125</v>
      </c>
      <c r="CE81" s="2337">
        <v>39.032241468750001</v>
      </c>
      <c r="CF81" s="2337">
        <v>38.941142624999998</v>
      </c>
      <c r="CG81" s="1751">
        <f>SUM(CC81:CF81)</f>
        <v>157.14164328125</v>
      </c>
      <c r="CH81" s="2060"/>
      <c r="CI81" s="2336">
        <v>0</v>
      </c>
      <c r="CJ81" s="2337">
        <v>0</v>
      </c>
      <c r="CK81" s="2337">
        <v>0</v>
      </c>
      <c r="CL81" s="2337">
        <v>0</v>
      </c>
      <c r="CM81" s="1751">
        <f>SUM(CI81:CL81)</f>
        <v>0</v>
      </c>
      <c r="CN81" s="2060"/>
      <c r="CO81" s="2336">
        <v>0</v>
      </c>
      <c r="CP81" s="2337">
        <v>0</v>
      </c>
      <c r="CQ81" s="2337">
        <v>0</v>
      </c>
      <c r="CR81" s="2337">
        <v>0</v>
      </c>
      <c r="CS81" s="1751">
        <f>SUM(CO81:CR81)</f>
        <v>0</v>
      </c>
      <c r="CT81" s="1750"/>
      <c r="CU81" s="1750"/>
      <c r="CV81" s="1750"/>
      <c r="CW81" s="1750"/>
      <c r="CX81" s="2060"/>
    </row>
    <row r="82" spans="1:128">
      <c r="A82" s="2062" t="s">
        <v>590</v>
      </c>
      <c r="C82" s="2004"/>
      <c r="G82" s="2003"/>
      <c r="H82" s="2002"/>
      <c r="I82" s="2001"/>
      <c r="J82" s="2002"/>
      <c r="K82" s="2002"/>
      <c r="L82" s="2002"/>
      <c r="M82" s="2003"/>
      <c r="N82" s="2000"/>
      <c r="O82" s="2004"/>
      <c r="P82" s="2005"/>
      <c r="Q82" s="2005"/>
      <c r="R82" s="1999"/>
      <c r="S82" s="1990"/>
      <c r="T82" s="2006"/>
      <c r="U82" s="2004"/>
      <c r="V82" s="2005"/>
      <c r="W82" s="2005"/>
      <c r="X82" s="1999"/>
      <c r="Y82" s="1990"/>
      <c r="Z82" s="2006"/>
      <c r="AA82" s="2004"/>
      <c r="AB82" s="2005"/>
      <c r="AC82" s="2005"/>
      <c r="AD82" s="1999"/>
      <c r="AE82" s="1990"/>
      <c r="AF82" s="2006"/>
      <c r="AG82" s="2004"/>
      <c r="AH82" s="2005"/>
      <c r="AI82" s="2005"/>
      <c r="AK82" s="188"/>
      <c r="AM82" s="2336">
        <v>194.20401060552322</v>
      </c>
      <c r="AN82" s="2337">
        <v>253.37755683471613</v>
      </c>
      <c r="AO82" s="2337">
        <v>253.37755683471613</v>
      </c>
      <c r="AP82" s="2337">
        <v>312.55110306390901</v>
      </c>
      <c r="AQ82" s="1751">
        <f>SUM(AM82:AP82)</f>
        <v>1013.5102273388645</v>
      </c>
      <c r="AR82" s="2060"/>
      <c r="AS82" s="2336">
        <v>294.46514378136254</v>
      </c>
      <c r="AT82" s="2337">
        <v>323.57787519265133</v>
      </c>
      <c r="AU82" s="2337">
        <v>323.57787519265133</v>
      </c>
      <c r="AV82" s="2337">
        <v>352.69060660394007</v>
      </c>
      <c r="AW82" s="1751">
        <f>SUM(AS82:AV82)</f>
        <v>1294.3115007706053</v>
      </c>
      <c r="AX82" s="2060"/>
      <c r="AY82" s="2336">
        <v>355.57230962716756</v>
      </c>
      <c r="AZ82" s="2337">
        <v>392.23244440949009</v>
      </c>
      <c r="BA82" s="2337">
        <v>393.37139616479112</v>
      </c>
      <c r="BB82" s="2337">
        <v>427.75362743651158</v>
      </c>
      <c r="BC82" s="1751">
        <f>SUM(AY82:BB82)</f>
        <v>1568.9297776379603</v>
      </c>
      <c r="BD82" s="2060"/>
      <c r="BE82" s="2336">
        <v>461.23900738323704</v>
      </c>
      <c r="BF82" s="2337">
        <v>499.72652303147197</v>
      </c>
      <c r="BG82" s="2337">
        <v>565.79236766047518</v>
      </c>
      <c r="BH82" s="2337">
        <v>631.85821228947839</v>
      </c>
      <c r="BI82" s="1751">
        <f>SUM(BE82:BH82)</f>
        <v>2158.6161103646627</v>
      </c>
      <c r="BJ82" s="2060"/>
      <c r="BK82" s="2336">
        <v>676.0690487377442</v>
      </c>
      <c r="BL82" s="2337">
        <v>713.31101940914493</v>
      </c>
      <c r="BM82" s="2337">
        <v>750.55299008054567</v>
      </c>
      <c r="BN82" s="2337">
        <v>787.79496075194629</v>
      </c>
      <c r="BO82" s="1751">
        <f>SUM(BK82:BN82)</f>
        <v>2927.7280189793814</v>
      </c>
      <c r="BP82" s="2060"/>
      <c r="BQ82" s="2336">
        <v>828.6597189459203</v>
      </c>
      <c r="BR82" s="2337">
        <v>872.6982368058176</v>
      </c>
      <c r="BS82" s="2337">
        <v>910.23087271151064</v>
      </c>
      <c r="BT82" s="2337">
        <v>947.76350861720357</v>
      </c>
      <c r="BU82" s="1751">
        <f>SUM(BQ82:BT82)</f>
        <v>3559.3523370804519</v>
      </c>
      <c r="BV82" s="2060"/>
      <c r="BW82" s="2336">
        <v>972.90123048880582</v>
      </c>
      <c r="BX82" s="2337">
        <v>1003.8339731414011</v>
      </c>
      <c r="BY82" s="2337">
        <v>1024.5702557355821</v>
      </c>
      <c r="BZ82" s="2337">
        <v>1045.3065383297628</v>
      </c>
      <c r="CA82" s="1751">
        <f>SUM(BW82:BZ82)</f>
        <v>4046.6119976955515</v>
      </c>
      <c r="CB82" s="2060"/>
      <c r="CC82" s="2336">
        <v>1063.3244566557182</v>
      </c>
      <c r="CD82" s="2337">
        <v>1078.9132161501207</v>
      </c>
      <c r="CE82" s="2337">
        <v>1094.5019756445229</v>
      </c>
      <c r="CF82" s="2337">
        <v>1110.0907351389253</v>
      </c>
      <c r="CG82" s="1751">
        <f>SUM(CC82:CF82)</f>
        <v>4346.8303835892866</v>
      </c>
      <c r="CH82" s="2060"/>
      <c r="CI82" s="2336">
        <v>1128.710142401701</v>
      </c>
      <c r="CJ82" s="2337">
        <v>1144.4223525681632</v>
      </c>
      <c r="CK82" s="2337">
        <v>1160.1345627346254</v>
      </c>
      <c r="CL82" s="2337">
        <v>1175.8467729010881</v>
      </c>
      <c r="CM82" s="1751">
        <f>SUM(CI82:CL82)</f>
        <v>4609.1138306055782</v>
      </c>
      <c r="CN82" s="2060"/>
      <c r="CO82" s="2336">
        <v>1195.0768816182479</v>
      </c>
      <c r="CP82" s="2337">
        <v>1210.9136147788763</v>
      </c>
      <c r="CQ82" s="2337">
        <v>1226.750347939505</v>
      </c>
      <c r="CR82" s="2337">
        <v>1242.5870811001334</v>
      </c>
      <c r="CS82" s="1751">
        <f>SUM(CO82:CR82)</f>
        <v>4875.3279254367626</v>
      </c>
      <c r="CT82" s="1750"/>
      <c r="CU82" s="1750"/>
      <c r="CV82" s="1750"/>
      <c r="CW82" s="1750"/>
      <c r="CX82" s="2060"/>
    </row>
    <row r="83" spans="1:128">
      <c r="A83" s="2063" t="s">
        <v>605</v>
      </c>
      <c r="C83" s="2004"/>
      <c r="D83" s="2005"/>
      <c r="E83" s="2005"/>
      <c r="F83" s="1999"/>
      <c r="G83" s="2003"/>
      <c r="H83" s="2002"/>
      <c r="I83" s="2001"/>
      <c r="J83" s="2002"/>
      <c r="K83" s="2002"/>
      <c r="L83" s="2002"/>
      <c r="M83" s="2003"/>
      <c r="N83" s="2000"/>
      <c r="O83" s="2004"/>
      <c r="P83" s="2005"/>
      <c r="Q83" s="2005"/>
      <c r="R83" s="1999"/>
      <c r="S83" s="1990"/>
      <c r="T83" s="2006"/>
      <c r="U83" s="2004"/>
      <c r="V83" s="2005"/>
      <c r="W83" s="2005"/>
      <c r="X83" s="1999"/>
      <c r="Y83" s="1990"/>
      <c r="Z83" s="2006"/>
      <c r="AA83" s="2004"/>
      <c r="AB83" s="2005"/>
      <c r="AC83" s="2005"/>
      <c r="AD83" s="1999"/>
      <c r="AE83" s="1990"/>
      <c r="AF83" s="2006"/>
      <c r="AG83" s="2004"/>
      <c r="AH83" s="2005"/>
      <c r="AI83" s="2005"/>
      <c r="AJ83" s="1999"/>
      <c r="AK83" s="1990"/>
      <c r="AM83" s="2256">
        <v>0.26665596181606971</v>
      </c>
      <c r="AN83" s="2257">
        <v>0.26363970785767654</v>
      </c>
      <c r="AO83" s="2257">
        <v>0.2965946713398861</v>
      </c>
      <c r="AP83" s="2258">
        <v>0.25720667222475357</v>
      </c>
      <c r="AQ83" s="1990">
        <f>+AQ78/AQ82</f>
        <v>0.27047255885266641</v>
      </c>
      <c r="AS83" s="2256">
        <v>0.28602609540914065</v>
      </c>
      <c r="AT83" s="2257">
        <v>0.29290165721251926</v>
      </c>
      <c r="AU83" s="2257">
        <v>0.30870870804273326</v>
      </c>
      <c r="AV83" s="2258">
        <v>0.32318326797900609</v>
      </c>
      <c r="AW83" s="1990">
        <f>+AW78/AW82</f>
        <v>0.30354070220877516</v>
      </c>
      <c r="AY83" s="2256">
        <v>0.32749992537201106</v>
      </c>
      <c r="AZ83" s="2257">
        <v>0.33369275883854188</v>
      </c>
      <c r="BA83" s="2257">
        <v>0.36139485012724165</v>
      </c>
      <c r="BB83" s="2258">
        <v>0.41725296737989986</v>
      </c>
      <c r="BC83" s="1990">
        <f>+BC78/BC82</f>
        <v>0.36201677510389013</v>
      </c>
      <c r="BE83" s="2256">
        <v>0.39447673936294647</v>
      </c>
      <c r="BF83" s="2257">
        <v>0.49299999999999999</v>
      </c>
      <c r="BG83" s="2257">
        <v>0.48864087072789048</v>
      </c>
      <c r="BH83" s="2258">
        <v>0.51300000000000001</v>
      </c>
      <c r="BI83" s="1990">
        <f>+BI78/BI82</f>
        <v>0.4766599159076732</v>
      </c>
      <c r="BK83" s="2256">
        <v>0.5</v>
      </c>
      <c r="BL83" s="2257">
        <v>0.5</v>
      </c>
      <c r="BM83" s="2257">
        <v>0.5</v>
      </c>
      <c r="BN83" s="2257">
        <f>+BM83+0.005</f>
        <v>0.505</v>
      </c>
      <c r="BO83" s="1990">
        <f>+BO78/BO82</f>
        <v>0.50134540325406762</v>
      </c>
      <c r="BQ83" s="2256">
        <v>0.52</v>
      </c>
      <c r="BR83" s="2257">
        <f>+BQ83+0.015</f>
        <v>0.53500000000000003</v>
      </c>
      <c r="BS83" s="2257">
        <f>+BR83+0.015</f>
        <v>0.55000000000000004</v>
      </c>
      <c r="BT83" s="2257">
        <f>+BS83+0.015</f>
        <v>0.56500000000000006</v>
      </c>
      <c r="BU83" s="1990">
        <f>+BU78/BU82</f>
        <v>0.54333198564133323</v>
      </c>
      <c r="BW83" s="2256">
        <v>0.52</v>
      </c>
      <c r="BX83" s="2257">
        <f>+BW83+0.015</f>
        <v>0.53500000000000003</v>
      </c>
      <c r="BY83" s="2257">
        <f>+BX83+0.015</f>
        <v>0.55000000000000004</v>
      </c>
      <c r="BZ83" s="2257">
        <f>+BY83+0.015</f>
        <v>0.56500000000000006</v>
      </c>
      <c r="CA83" s="1990">
        <f>+CA78/CA82</f>
        <v>0.54294102116706378</v>
      </c>
      <c r="CC83" s="2256">
        <v>0.52</v>
      </c>
      <c r="CD83" s="2257">
        <f>+CC83+0.015</f>
        <v>0.53500000000000003</v>
      </c>
      <c r="CE83" s="2257">
        <f>+CD83+0.015</f>
        <v>0.55000000000000004</v>
      </c>
      <c r="CF83" s="2257">
        <f>+CE83+0.015</f>
        <v>0.56500000000000006</v>
      </c>
      <c r="CG83" s="1990">
        <f>+CG78/CG82</f>
        <v>0.54276896769804839</v>
      </c>
      <c r="CI83" s="2256">
        <v>0.52</v>
      </c>
      <c r="CJ83" s="2257">
        <f>+CI83+0.015</f>
        <v>0.53500000000000003</v>
      </c>
      <c r="CK83" s="2257">
        <f>+CJ83+0.015</f>
        <v>0.55000000000000004</v>
      </c>
      <c r="CL83" s="2257">
        <f>+CK83+0.015</f>
        <v>0.56500000000000006</v>
      </c>
      <c r="CM83" s="1990">
        <f>+CM78/CM82</f>
        <v>0.5427556707874428</v>
      </c>
      <c r="CO83" s="2256">
        <v>0.52</v>
      </c>
      <c r="CP83" s="2257">
        <f>+CO83+0.015</f>
        <v>0.53500000000000003</v>
      </c>
      <c r="CQ83" s="2257">
        <f>+CP83+0.015</f>
        <v>0.55000000000000004</v>
      </c>
      <c r="CR83" s="2257">
        <f>+CQ83+0.015</f>
        <v>0.56500000000000006</v>
      </c>
      <c r="CS83" s="1990">
        <f>+CS78/CS82</f>
        <v>0.54274362566071721</v>
      </c>
      <c r="CT83" s="2005"/>
      <c r="CU83" s="2005"/>
      <c r="CV83" s="2005"/>
      <c r="CW83" s="2005"/>
    </row>
    <row r="84" spans="1:128">
      <c r="A84" s="2061" t="s">
        <v>602</v>
      </c>
      <c r="C84" s="2004"/>
      <c r="D84" s="1652"/>
      <c r="G84" s="2003"/>
      <c r="H84" s="2002"/>
      <c r="I84" s="2001"/>
      <c r="J84" s="2002"/>
      <c r="K84" s="2002"/>
      <c r="L84" s="2002"/>
      <c r="M84" s="2003"/>
      <c r="N84" s="2000"/>
      <c r="O84" s="2004"/>
      <c r="P84" s="2005"/>
      <c r="Q84" s="2005"/>
      <c r="R84" s="1999"/>
      <c r="S84" s="1990"/>
      <c r="T84" s="2006"/>
      <c r="U84" s="2004"/>
      <c r="V84" s="2005"/>
      <c r="W84" s="2005"/>
      <c r="X84" s="1999"/>
      <c r="Y84" s="1990"/>
      <c r="Z84" s="2006"/>
      <c r="AA84" s="2004"/>
      <c r="AB84" s="2005"/>
      <c r="AC84" s="2005"/>
      <c r="AD84" s="1999"/>
      <c r="AE84" s="1990"/>
      <c r="AF84" s="2006"/>
      <c r="AG84" s="2004"/>
      <c r="AH84" s="2005"/>
      <c r="AI84" s="2005"/>
      <c r="AK84" s="1655"/>
      <c r="AM84" s="1435">
        <f>+((AM76+AM73)/(AM75+AM78))*1000</f>
        <v>117.92336012535493</v>
      </c>
      <c r="AN84" s="1401">
        <f>+((AN76+AN73)/(AN75+AN78))*1000</f>
        <v>118.11280811666377</v>
      </c>
      <c r="AO84" s="1401">
        <f>+((AO76+AO73)/(AO75+AO78))*1000</f>
        <v>118.07459292824018</v>
      </c>
      <c r="AP84" s="1401">
        <f>+((AP76+AP73)/(AP75+AP78))*1000</f>
        <v>117.70762376384455</v>
      </c>
      <c r="AQ84" s="1606">
        <f>+((AQ76+AQ73)/(AQ75+AQ78))*1000</f>
        <v>117.94614699923997</v>
      </c>
      <c r="AR84" s="1401"/>
      <c r="AS84" s="1435">
        <f>+((AS76+AS73)/(AS75+AS78))*1000</f>
        <v>117.87741465344558</v>
      </c>
      <c r="AT84" s="1401">
        <f>+((AT76+AT73)/(AT75+AT78))*1000</f>
        <v>117.8190670967483</v>
      </c>
      <c r="AU84" s="1401">
        <f>+((AU76+AU73)/(AU75+AU78))*1000</f>
        <v>117.64338571852139</v>
      </c>
      <c r="AV84" s="1401">
        <f>+((AV76+AV73)/(AV75+AV78))*1000</f>
        <v>117.35851876430148</v>
      </c>
      <c r="AW84" s="1606">
        <f>+((AW76+AW73)/(AW75+AW78))*1000</f>
        <v>117.65086259344001</v>
      </c>
      <c r="AX84" s="1401"/>
      <c r="AY84" s="1435">
        <f>+((AY76+AY73)/(AY75+AY78))*1000</f>
        <v>115.60155132344242</v>
      </c>
      <c r="AZ84" s="1401">
        <f>+((AZ76+AZ73)/(AZ75+AZ78))*1000</f>
        <v>115.67504130004582</v>
      </c>
      <c r="BA84" s="1401">
        <f>+((BA76+BA73)/(BA75+BA78))*1000</f>
        <v>116.2478369794799</v>
      </c>
      <c r="BB84" s="1401">
        <f>+((BB76+BB73)/(BB75+BB78))*1000</f>
        <v>116.64306665369767</v>
      </c>
      <c r="BC84" s="1606">
        <f>+((BC76+BC73)/(BC75+BC78))*1000</f>
        <v>116.09571011286933</v>
      </c>
      <c r="BD84" s="1401"/>
      <c r="BE84" s="1435">
        <f>+((BE76+BE73)/(BE75+BE78))*1000</f>
        <v>102.84434497685523</v>
      </c>
      <c r="BF84" s="1401">
        <f>+((BF76+BF73)/(BF75+BF78))*1000</f>
        <v>102.81206026274027</v>
      </c>
      <c r="BG84" s="1401">
        <f>+((BG76+BG73)/(BG75+BG78))*1000</f>
        <v>102.79684203599376</v>
      </c>
      <c r="BH84" s="1401">
        <f>+((BH76+BH73)/(BH75+BH78))*1000</f>
        <v>102.87927027653615</v>
      </c>
      <c r="BI84" s="1606">
        <f>+((BI76+BI73)/(BI75+BI78))*1000</f>
        <v>102.83470677166731</v>
      </c>
      <c r="BJ84" s="2018"/>
      <c r="BK84" s="1435">
        <f>+((BK76+BK73)/(BK75+BK78))*1000</f>
        <v>82.704921212622779</v>
      </c>
      <c r="BL84" s="1401">
        <f>+((BL76+BL73)/(BL75+BL78))*1000</f>
        <v>82.704921212622793</v>
      </c>
      <c r="BM84" s="1401">
        <f>+((BM76+BM73)/(BM75+BM78))*1000</f>
        <v>82.704921212622779</v>
      </c>
      <c r="BN84" s="1401">
        <f>+((BN76+BN73)/(BN75+BN78))*1000</f>
        <v>82.683890080784423</v>
      </c>
      <c r="BO84" s="1606">
        <f>+((BO76+BO73)/(BO75+BO78))*1000</f>
        <v>82.699229797681994</v>
      </c>
      <c r="BP84" s="2018"/>
      <c r="BQ84" s="1435">
        <f>+((BQ76+BQ73)/(BQ75+BQ78))*1000</f>
        <v>70.245428395152544</v>
      </c>
      <c r="BR84" s="1401">
        <f>+((BR76+BR73)/(BR75+BR78))*1000</f>
        <v>70.128530033113975</v>
      </c>
      <c r="BS84" s="1401">
        <f>+((BS76+BS73)/(BS75+BS78))*1000</f>
        <v>70.016728423909058</v>
      </c>
      <c r="BT84" s="1401">
        <f>+((BT76+BT73)/(BT75+BT78))*1000</f>
        <v>69.90969735240057</v>
      </c>
      <c r="BU84" s="1606">
        <f>+((BU76+BU73)/(BU75+BU78))*1000</f>
        <v>70.065820364987758</v>
      </c>
      <c r="BV84" s="2018"/>
      <c r="BW84" s="1435">
        <f>+((BW76+BW73)/(BW75+BW78))*1000</f>
        <v>69.245428395152558</v>
      </c>
      <c r="BX84" s="1401">
        <f>+((BX76+BX73)/(BX75+BX78))*1000</f>
        <v>69.128530033113989</v>
      </c>
      <c r="BY84" s="1401">
        <f>+((BY76+BY73)/(BY75+BY78))*1000</f>
        <v>69.016728423909058</v>
      </c>
      <c r="BZ84" s="1401">
        <f>+((BZ76+BZ73)/(BZ75+BZ78))*1000</f>
        <v>68.90969735240057</v>
      </c>
      <c r="CA84" s="1606">
        <f>+((CA76+CA73)/(CA75+CA78))*1000</f>
        <v>69.068728599477296</v>
      </c>
      <c r="CB84" s="2018"/>
      <c r="CC84" s="1435">
        <f>+((CC76+CC73)/(CC75+CC78))*1000</f>
        <v>67.9307026914434</v>
      </c>
      <c r="CD84" s="1401">
        <f>+((CD76+CD73)/(CD75+CD78))*1000</f>
        <v>67.820818231127149</v>
      </c>
      <c r="CE84" s="1401">
        <f>+((CE76+CE73)/(CE75+CE78))*1000</f>
        <v>67.715724718474519</v>
      </c>
      <c r="CF84" s="1401">
        <f>+((CF76+CF73)/(CF75+CF78))*1000</f>
        <v>67.615115511256533</v>
      </c>
      <c r="CG84" s="1606">
        <f>+((CG76+CG73)/(CG75+CG78))*1000</f>
        <v>67.765808927622075</v>
      </c>
      <c r="CH84" s="2018"/>
      <c r="CI84" s="1435">
        <f>+((CI76+CI73)/(CI75+CI78))*1000</f>
        <v>66.615976987734243</v>
      </c>
      <c r="CJ84" s="1401">
        <f>+((CJ76+CJ73)/(CJ75+CJ78))*1000</f>
        <v>66.513106429140308</v>
      </c>
      <c r="CK84" s="1401">
        <f>+((CK76+CK73)/(CK75+CK78))*1000</f>
        <v>66.414721013039951</v>
      </c>
      <c r="CL84" s="1401">
        <f>+((CL76+CL73)/(CL75+CL78))*1000</f>
        <v>66.320533670112511</v>
      </c>
      <c r="CM84" s="1606">
        <f>+((CM76+CM73)/(CM75+CM78))*1000</f>
        <v>66.461695494803109</v>
      </c>
      <c r="CN84" s="2018"/>
      <c r="CO84" s="1435">
        <f>+((CO76+CO73)/(CO75+CO78))*1000</f>
        <v>65.301251284025099</v>
      </c>
      <c r="CP84" s="1401">
        <f>+((CP76+CP73)/(CP75+CP78))*1000</f>
        <v>65.205394627153453</v>
      </c>
      <c r="CQ84" s="1401">
        <f>+((CQ76+CQ73)/(CQ75+CQ78))*1000</f>
        <v>65.113717307605413</v>
      </c>
      <c r="CR84" s="1401">
        <f>+((CR76+CR73)/(CR75+CR78))*1000</f>
        <v>65.025951828968473</v>
      </c>
      <c r="CS84" s="1606">
        <f>+((CS76+CS73)/(CS75+CS78))*1000</f>
        <v>65.157562538543161</v>
      </c>
      <c r="CT84" s="1401"/>
      <c r="CU84" s="1401"/>
      <c r="CV84" s="1401"/>
      <c r="CW84" s="1401"/>
      <c r="CX84" s="2018"/>
    </row>
    <row r="85" spans="1:128">
      <c r="A85" s="1972" t="s">
        <v>630</v>
      </c>
      <c r="C85" s="2004"/>
      <c r="D85" s="44"/>
      <c r="E85" s="44"/>
      <c r="F85" s="44"/>
      <c r="G85" s="2003"/>
      <c r="H85" s="2002"/>
      <c r="I85" s="2001"/>
      <c r="J85" s="2002"/>
      <c r="K85" s="2002"/>
      <c r="L85" s="2002"/>
      <c r="M85" s="2003"/>
      <c r="N85" s="2000"/>
      <c r="O85" s="2004"/>
      <c r="P85" s="2005"/>
      <c r="Q85" s="2005"/>
      <c r="R85" s="1999"/>
      <c r="S85" s="1990"/>
      <c r="T85" s="2006"/>
      <c r="U85" s="2004"/>
      <c r="V85" s="2005"/>
      <c r="W85" s="2005"/>
      <c r="X85" s="1999"/>
      <c r="Y85" s="1990"/>
      <c r="Z85" s="2006"/>
      <c r="AA85" s="2004"/>
      <c r="AB85" s="2005"/>
      <c r="AC85" s="2005"/>
      <c r="AD85" s="1999"/>
      <c r="AE85" s="1990"/>
      <c r="AF85" s="2006"/>
      <c r="AG85" s="2004"/>
      <c r="AH85" s="2005"/>
      <c r="AI85" s="2005"/>
      <c r="AJ85" s="44"/>
      <c r="AK85" s="188"/>
      <c r="AM85" s="2075">
        <f>+(RevBuild!AM59*0.07)</f>
        <v>3.4573000000000005</v>
      </c>
      <c r="AN85" s="2076">
        <f>+(RevBuild!AN59*0.07)</f>
        <v>4.2161000000000008</v>
      </c>
      <c r="AO85" s="2076">
        <f>+(RevBuild!AO59*0.07)</f>
        <v>4.3994999999999997</v>
      </c>
      <c r="AP85" s="2076">
        <f>+(RevBuild!AP59*0.07)</f>
        <v>3.7044000000000006</v>
      </c>
      <c r="AQ85" s="188">
        <f>+SUM(AM85:AP85)</f>
        <v>15.7773</v>
      </c>
      <c r="AS85" s="2075">
        <f>+(RevBuild!AS69*0.07)+(RevBuild!AS53*0.5*0.3)</f>
        <v>5.7195999999999998</v>
      </c>
      <c r="AT85" s="2076">
        <f>+(RevBuild!AT69*0.07)+(RevBuild!AT53*0.5*0.3)</f>
        <v>7.8447999999999993</v>
      </c>
      <c r="AU85" s="2076">
        <f>+(RevBuild!AU69*0.07)+(RevBuild!AU53*0.5*0.3)</f>
        <v>8.1660000000000004</v>
      </c>
      <c r="AV85" s="2076">
        <f>+(RevBuild!AV69*0.07)+(RevBuild!AV53*0.5*0.3)</f>
        <v>8.9204000000000008</v>
      </c>
      <c r="AW85" s="188">
        <f>+SUM(AS85:AV85)</f>
        <v>30.6508</v>
      </c>
      <c r="AY85" s="2075">
        <f>+(RevBuild!AY69*0.07)+(RevBuild!AY53*0.5*0.3)</f>
        <v>4.6274999999999995</v>
      </c>
      <c r="AZ85" s="2255">
        <f>+(RevBuild!AZ69*0.07)+(RevBuild!AZ53*0.5*0.3)</f>
        <v>5.0349999999999993</v>
      </c>
      <c r="BA85" s="2255">
        <f>+AU85*1.5</f>
        <v>12.249000000000001</v>
      </c>
      <c r="BB85" s="2255">
        <f>+AV85*2</f>
        <v>17.840800000000002</v>
      </c>
      <c r="BC85" s="188">
        <f>+SUM(AY85:BB85)</f>
        <v>39.752299999999998</v>
      </c>
      <c r="BE85" s="2260">
        <f>+AY85*1.1</f>
        <v>5.0902500000000002</v>
      </c>
      <c r="BF85" s="2074">
        <v>3</v>
      </c>
      <c r="BG85" s="2074">
        <v>5.5</v>
      </c>
      <c r="BH85" s="2074">
        <f>+BG85</f>
        <v>5.5</v>
      </c>
      <c r="BI85" s="188">
        <f>+SUM(BE85:BH85)</f>
        <v>19.090250000000001</v>
      </c>
      <c r="BK85" s="2073">
        <f>+BE85*0.7</f>
        <v>3.5631749999999998</v>
      </c>
      <c r="BL85" s="2074">
        <f t="shared" ref="BL85" si="62">+BF85*0.95</f>
        <v>2.8499999999999996</v>
      </c>
      <c r="BM85" s="2074">
        <f>+BG85*0.8</f>
        <v>4.4000000000000004</v>
      </c>
      <c r="BN85" s="2074">
        <f>+BH85*0.8</f>
        <v>4.4000000000000004</v>
      </c>
      <c r="BO85" s="188">
        <f>+SUM(BK85:BN85)</f>
        <v>15.213175</v>
      </c>
      <c r="BQ85" s="2073">
        <f>+BK85*0.95</f>
        <v>3.3850162499999996</v>
      </c>
      <c r="BR85" s="2074">
        <f t="shared" ref="BR85" si="63">+BL85*0.95</f>
        <v>2.7074999999999996</v>
      </c>
      <c r="BS85" s="2074">
        <f t="shared" ref="BS85" si="64">+BM85*0.95</f>
        <v>4.18</v>
      </c>
      <c r="BT85" s="2074">
        <f t="shared" ref="BT85" si="65">+BN85*0.95</f>
        <v>4.18</v>
      </c>
      <c r="BU85" s="188">
        <f>+SUM(BQ85:BT85)</f>
        <v>14.452516249999999</v>
      </c>
      <c r="BW85" s="2073">
        <f>+BQ85*0.95</f>
        <v>3.2157654374999995</v>
      </c>
      <c r="BX85" s="2074">
        <f t="shared" ref="BX85" si="66">+BR85*0.95</f>
        <v>2.5721249999999993</v>
      </c>
      <c r="BY85" s="2074">
        <f t="shared" ref="BY85" si="67">+BS85*0.95</f>
        <v>3.9709999999999996</v>
      </c>
      <c r="BZ85" s="2074">
        <f t="shared" ref="BZ85" si="68">+BT85*0.95</f>
        <v>3.9709999999999996</v>
      </c>
      <c r="CA85" s="188">
        <f>+SUM(BW85:BZ85)</f>
        <v>13.729890437499998</v>
      </c>
      <c r="CC85" s="2073">
        <f>+BW85*0.95</f>
        <v>3.0549771656249995</v>
      </c>
      <c r="CD85" s="2074">
        <f t="shared" ref="CD85" si="69">+BX85*0.95</f>
        <v>2.4435187499999991</v>
      </c>
      <c r="CE85" s="2074">
        <f t="shared" ref="CE85" si="70">+BY85*0.95</f>
        <v>3.7724499999999996</v>
      </c>
      <c r="CF85" s="2074">
        <f t="shared" ref="CF85" si="71">+BZ85*0.95</f>
        <v>3.7724499999999996</v>
      </c>
      <c r="CG85" s="188">
        <f>+SUM(CC85:CF85)</f>
        <v>13.043395915624997</v>
      </c>
      <c r="CI85" s="2073">
        <f>+CC85*0.95</f>
        <v>2.9022283073437496</v>
      </c>
      <c r="CJ85" s="2074">
        <f t="shared" ref="CJ85" si="72">+CD85*0.95</f>
        <v>2.3213428124999989</v>
      </c>
      <c r="CK85" s="2074">
        <f t="shared" ref="CK85" si="73">+CE85*0.95</f>
        <v>3.5838274999999995</v>
      </c>
      <c r="CL85" s="2074">
        <f t="shared" ref="CL85" si="74">+CF85*0.95</f>
        <v>3.5838274999999995</v>
      </c>
      <c r="CM85" s="188">
        <f>+SUM(CI85:CL85)</f>
        <v>12.391226119843749</v>
      </c>
      <c r="CO85" s="2073">
        <f>+CI85*0.95</f>
        <v>2.7571168919765618</v>
      </c>
      <c r="CP85" s="2074">
        <f t="shared" ref="CP85" si="75">+CJ85*0.95</f>
        <v>2.2052756718749986</v>
      </c>
      <c r="CQ85" s="2074">
        <f t="shared" ref="CQ85" si="76">+CK85*0.95</f>
        <v>3.4046361249999992</v>
      </c>
      <c r="CR85" s="2074">
        <f t="shared" ref="CR85" si="77">+CL85*0.95</f>
        <v>3.4046361249999992</v>
      </c>
      <c r="CS85" s="188">
        <f>+SUM(CO85:CR85)</f>
        <v>11.77166481385156</v>
      </c>
      <c r="CT85" s="9"/>
      <c r="CU85" s="9"/>
      <c r="CV85" s="9"/>
      <c r="CW85" s="9"/>
    </row>
    <row r="86" spans="1:128">
      <c r="A86" s="1985" t="s">
        <v>593</v>
      </c>
      <c r="C86" s="2004"/>
      <c r="D86" s="2005"/>
      <c r="E86" s="2005"/>
      <c r="F86" s="2005"/>
      <c r="G86" s="2003"/>
      <c r="H86" s="2002"/>
      <c r="I86" s="2001"/>
      <c r="J86" s="2002"/>
      <c r="K86" s="2002"/>
      <c r="L86" s="2002"/>
      <c r="M86" s="2003"/>
      <c r="N86" s="2000"/>
      <c r="O86" s="2004"/>
      <c r="P86" s="2005"/>
      <c r="Q86" s="2005"/>
      <c r="R86" s="1999"/>
      <c r="S86" s="1990"/>
      <c r="T86" s="2006"/>
      <c r="U86" s="2004"/>
      <c r="V86" s="2005"/>
      <c r="W86" s="2005"/>
      <c r="X86" s="1999"/>
      <c r="Y86" s="1990"/>
      <c r="Z86" s="2006"/>
      <c r="AA86" s="2004"/>
      <c r="AB86" s="2005"/>
      <c r="AC86" s="2005"/>
      <c r="AD86" s="1999"/>
      <c r="AE86" s="1990"/>
      <c r="AF86" s="2006"/>
      <c r="AG86" s="2004"/>
      <c r="AH86" s="2005"/>
      <c r="AI86" s="2005"/>
      <c r="AJ86" s="2005"/>
      <c r="AK86" s="1990"/>
      <c r="AM86" s="2004"/>
      <c r="AN86" s="2005"/>
      <c r="AO86" s="2005"/>
      <c r="AP86" s="2005"/>
      <c r="AQ86" s="1990"/>
      <c r="AS86" s="2004">
        <f>+AS85/AM87-1</f>
        <v>0.74302630780101642</v>
      </c>
      <c r="AT86" s="2005">
        <f>+AT85/AN87-1</f>
        <v>0.92916108281221987</v>
      </c>
      <c r="AU86" s="2005">
        <f>+AU85/AO87-1</f>
        <v>0.81744814686073264</v>
      </c>
      <c r="AV86" s="2005">
        <f>+AV85/AP87-1</f>
        <v>1.4766432268837963</v>
      </c>
      <c r="AW86" s="1990">
        <f>+AW85/AQ87-1</f>
        <v>0.98479888258721981</v>
      </c>
      <c r="AY86" s="2004">
        <f>+AY85/AS87-1</f>
        <v>-0.19526232049795789</v>
      </c>
      <c r="AZ86" s="2005">
        <f>+AZ85/AT87-1</f>
        <v>-0.36409857472485707</v>
      </c>
      <c r="BA86" s="2005">
        <f>+BA85/AU87-1</f>
        <v>0.49896933947315292</v>
      </c>
      <c r="BB86" s="2005">
        <f>+BB85/AV87-1</f>
        <v>1.032797773279114</v>
      </c>
      <c r="BC86" s="1990">
        <f>+BC85/AW87-1</f>
        <v>0.29840291564323307</v>
      </c>
      <c r="BE86" s="2004">
        <f>+BE85/AY87-1</f>
        <v>0.15789473684210531</v>
      </c>
      <c r="BF86" s="2005">
        <f>+BF85/AZ87-1</f>
        <v>-0.37804885633550522</v>
      </c>
      <c r="BG86" s="2005">
        <f>+BG85/BA87-1</f>
        <v>-0.53227474351647763</v>
      </c>
      <c r="BH86" s="2005">
        <f>+BH85/BB87-1</f>
        <v>-0.68283730471773862</v>
      </c>
      <c r="BI86" s="1990">
        <f>+BI85/BC87-1</f>
        <v>-0.50181958210459798</v>
      </c>
      <c r="BK86" s="2004">
        <f>+BK85/BE87-1</f>
        <v>-0.29292929292929293</v>
      </c>
      <c r="BL86" s="2005">
        <f>+BL85/BF87-1</f>
        <v>-5.349400019563888E-2</v>
      </c>
      <c r="BM86" s="2005">
        <f>+BM85/BG87-1</f>
        <v>-0.20074774753594216</v>
      </c>
      <c r="BN86" s="2005">
        <f>+BN85/BH87-1</f>
        <v>-0.19386099890189401</v>
      </c>
      <c r="BO86" s="1990">
        <f>+BO85/BI87-1</f>
        <v>-0.1998828008552942</v>
      </c>
      <c r="BQ86" s="2004">
        <f>+BQ85/BK87-1</f>
        <v>-4.5226130653266305E-2</v>
      </c>
      <c r="BR86" s="2005">
        <f>+BR85/BL87-1</f>
        <v>-4.5226130653266305E-2</v>
      </c>
      <c r="BS86" s="2005">
        <f>+BS85/BM87-1</f>
        <v>-5.4726368159203953E-2</v>
      </c>
      <c r="BT86" s="2005">
        <f>+BT85/BN87-1</f>
        <v>-6.496062992126006E-2</v>
      </c>
      <c r="BU86" s="1990">
        <f>+BU85/BO87-1</f>
        <v>-5.3752734115055656E-2</v>
      </c>
      <c r="BW86" s="2004">
        <f>+BW85/BQ87-1</f>
        <v>-7.7669902912621325E-2</v>
      </c>
      <c r="BX86" s="2005">
        <f>+BX85/BR87-1</f>
        <v>-7.2265625000000222E-2</v>
      </c>
      <c r="BY86" s="2005">
        <f>+BY85/BS87-1</f>
        <v>-5.9405940594059459E-2</v>
      </c>
      <c r="BZ86" s="2005">
        <f>+BZ85/BT87-1</f>
        <v>-5.9405940594059459E-2</v>
      </c>
      <c r="CA86" s="1990">
        <f>+CA85/BU87-1</f>
        <v>-6.6161985482445562E-2</v>
      </c>
      <c r="CC86" s="2004">
        <f>+CC85/BW87-1</f>
        <v>-5.0000000000000044E-2</v>
      </c>
      <c r="CD86" s="2005">
        <f>+CD85/BX87-1</f>
        <v>-5.0000000000000155E-2</v>
      </c>
      <c r="CE86" s="2005">
        <f>+CE85/BY87-1</f>
        <v>-5.0000000000000044E-2</v>
      </c>
      <c r="CF86" s="2005">
        <f>+CF85/BZ87-1</f>
        <v>-5.0000000000000044E-2</v>
      </c>
      <c r="CG86" s="1990">
        <f>+CG85/CA87-1</f>
        <v>-5.0000000000000155E-2</v>
      </c>
      <c r="CI86" s="2004">
        <f>+CI85/CC87-1</f>
        <v>-5.0000000000000044E-2</v>
      </c>
      <c r="CJ86" s="2005">
        <f>+CJ85/CD87-1</f>
        <v>-5.0000000000000155E-2</v>
      </c>
      <c r="CK86" s="2005">
        <f>+CK85/CE87-1</f>
        <v>-5.0000000000000044E-2</v>
      </c>
      <c r="CL86" s="2005">
        <f>+CL85/CF87-1</f>
        <v>-5.0000000000000044E-2</v>
      </c>
      <c r="CM86" s="1990">
        <f>+CM85/CG87-1</f>
        <v>-4.9999999999999822E-2</v>
      </c>
      <c r="CO86" s="2004">
        <f>+CO85/CI87-1</f>
        <v>-5.0000000000000044E-2</v>
      </c>
      <c r="CP86" s="2005">
        <f>+CP85/CJ87-1</f>
        <v>-5.0000000000000155E-2</v>
      </c>
      <c r="CQ86" s="2005">
        <f>+CQ85/CK87-1</f>
        <v>-5.0000000000000044E-2</v>
      </c>
      <c r="CR86" s="2005">
        <f>+CR85/CL87-1</f>
        <v>-5.0000000000000044E-2</v>
      </c>
      <c r="CS86" s="1990">
        <f>+CS85/CM87-1</f>
        <v>-5.0000000000000155E-2</v>
      </c>
      <c r="CT86" s="2005"/>
      <c r="CU86" s="2005"/>
      <c r="CV86" s="2005"/>
      <c r="CW86" s="2005"/>
    </row>
    <row r="87" spans="1:128">
      <c r="A87" s="2034" t="s">
        <v>609</v>
      </c>
      <c r="C87" s="2004"/>
      <c r="D87" s="2005"/>
      <c r="E87" s="2005"/>
      <c r="F87" s="2005"/>
      <c r="G87" s="2003"/>
      <c r="H87" s="2002"/>
      <c r="I87" s="2001"/>
      <c r="J87" s="2002"/>
      <c r="K87" s="2002"/>
      <c r="L87" s="2002"/>
      <c r="M87" s="2003"/>
      <c r="N87" s="2000"/>
      <c r="O87" s="2004"/>
      <c r="P87" s="2005"/>
      <c r="Q87" s="2005"/>
      <c r="R87" s="1999"/>
      <c r="S87" s="1990"/>
      <c r="T87" s="2006"/>
      <c r="U87" s="2004"/>
      <c r="V87" s="2005"/>
      <c r="W87" s="2005"/>
      <c r="X87" s="1999"/>
      <c r="Y87" s="1990"/>
      <c r="Z87" s="2006"/>
      <c r="AA87" s="2004"/>
      <c r="AB87" s="2005"/>
      <c r="AC87" s="2005"/>
      <c r="AD87" s="1999"/>
      <c r="AE87" s="1990"/>
      <c r="AF87" s="2006"/>
      <c r="AG87" s="2004"/>
      <c r="AH87" s="2005"/>
      <c r="AI87" s="2005"/>
      <c r="AJ87" s="2005"/>
      <c r="AK87" s="1990"/>
      <c r="AM87" s="750">
        <f>+AM85*(1+AM$11)</f>
        <v>3.2814192042894561</v>
      </c>
      <c r="AN87" s="205">
        <f>+AN85*(1+AN$11)</f>
        <v>4.0664307765136449</v>
      </c>
      <c r="AO87" s="205">
        <f>+AO85*(1+AO$11)</f>
        <v>4.4931130575059779</v>
      </c>
      <c r="AP87" s="205">
        <f>+AP85*(1+AP$11)</f>
        <v>3.6018106698492764</v>
      </c>
      <c r="AQ87" s="191">
        <f>+SUM(AM87:AP87)</f>
        <v>15.442773708158356</v>
      </c>
      <c r="AR87" s="63"/>
      <c r="AS87" s="750">
        <f>+AS85*(1+AS$11)</f>
        <v>5.7503210274227712</v>
      </c>
      <c r="AT87" s="205">
        <f>+AT85*(1+AT$11)</f>
        <v>7.9178938745442293</v>
      </c>
      <c r="AU87" s="205">
        <f>+AU85*(1+AU$11)</f>
        <v>8.1716147738586784</v>
      </c>
      <c r="AV87" s="205">
        <f>+AV85*(1+AV$11)</f>
        <v>8.7764755719999332</v>
      </c>
      <c r="AW87" s="191">
        <f>+SUM(AS87:AV87)</f>
        <v>30.616305247825615</v>
      </c>
      <c r="AX87" s="1"/>
      <c r="AY87" s="750">
        <f>+AY85*(1+AY$11)</f>
        <v>4.3961249999999996</v>
      </c>
      <c r="AZ87" s="205">
        <f>+AZ85*(1+AZ$11)</f>
        <v>4.823529999999999</v>
      </c>
      <c r="BA87" s="205">
        <f>+BA85*(1+BA$11)</f>
        <v>11.759040000000001</v>
      </c>
      <c r="BB87" s="205">
        <f>+BB85*(1+BB$11)</f>
        <v>17.341257600000002</v>
      </c>
      <c r="BC87" s="191">
        <f>+SUM(AY87:BB87)</f>
        <v>38.319952600000008</v>
      </c>
      <c r="BD87" s="9"/>
      <c r="BE87" s="750">
        <f>+BE85*(1+BE$11)</f>
        <v>5.0393474999999999</v>
      </c>
      <c r="BF87" s="205">
        <f>+BF85*(1+BF$11)</f>
        <v>3.0110744153645967</v>
      </c>
      <c r="BG87" s="205">
        <f>+BG85*(1+BG$11)</f>
        <v>5.5051455737972628</v>
      </c>
      <c r="BH87" s="205">
        <f>+BH85*(1+BH$11)</f>
        <v>5.4581157765675776</v>
      </c>
      <c r="BI87" s="191">
        <f>+SUM(BE87:BH87)</f>
        <v>19.013683265729437</v>
      </c>
      <c r="BJ87" s="9"/>
      <c r="BK87" s="750">
        <f>+BK85*(1+BK$11)</f>
        <v>3.5453591249999996</v>
      </c>
      <c r="BL87" s="205">
        <f>+BL85*(1+BL$11)</f>
        <v>2.8357499999999995</v>
      </c>
      <c r="BM87" s="205">
        <f>+BM85*(1+BM$11)</f>
        <v>4.4219999999999997</v>
      </c>
      <c r="BN87" s="205">
        <f>+BN85*(1+BN$11)</f>
        <v>4.4704000000000006</v>
      </c>
      <c r="BO87" s="191">
        <f>+SUM(BK87:BN87)</f>
        <v>15.273509125</v>
      </c>
      <c r="BP87" s="9"/>
      <c r="BQ87" s="750">
        <f>+BQ85*(1+BQ$11)</f>
        <v>3.4865667374999996</v>
      </c>
      <c r="BR87" s="205">
        <f>+BR85*(1+BR$11)</f>
        <v>2.7724799999999998</v>
      </c>
      <c r="BS87" s="205">
        <f>+BS85*(1+BS$11)</f>
        <v>4.2218</v>
      </c>
      <c r="BT87" s="205">
        <f>+BT85*(1+BT$11)</f>
        <v>4.2218</v>
      </c>
      <c r="BU87" s="191">
        <f>+SUM(BQ87:BT87)</f>
        <v>14.702646737499999</v>
      </c>
      <c r="BV87" s="9"/>
      <c r="BW87" s="750">
        <f>+BW85*(1+BW$11)</f>
        <v>3.2157654374999995</v>
      </c>
      <c r="BX87" s="205">
        <f>+BX85*(1+BX$11)</f>
        <v>2.5721249999999993</v>
      </c>
      <c r="BY87" s="205">
        <f>+BY85*(1+BY$11)</f>
        <v>3.9709999999999996</v>
      </c>
      <c r="BZ87" s="205">
        <f>+BZ85*(1+BZ$11)</f>
        <v>3.9709999999999996</v>
      </c>
      <c r="CA87" s="191">
        <f>+SUM(BW87:BZ87)</f>
        <v>13.729890437499998</v>
      </c>
      <c r="CB87" s="9"/>
      <c r="CC87" s="750">
        <f>+CC85*(1+CC$11)</f>
        <v>3.0549771656249995</v>
      </c>
      <c r="CD87" s="205">
        <f>+CD85*(1+CD$11)</f>
        <v>2.4435187499999991</v>
      </c>
      <c r="CE87" s="205">
        <f>+CE85*(1+CE$11)</f>
        <v>3.7724499999999996</v>
      </c>
      <c r="CF87" s="205">
        <f>+CF85*(1+CF$11)</f>
        <v>3.7724499999999996</v>
      </c>
      <c r="CG87" s="191">
        <f>+SUM(CC87:CF87)</f>
        <v>13.043395915624997</v>
      </c>
      <c r="CH87" s="9"/>
      <c r="CI87" s="750">
        <f>+CI85*(1+CI$11)</f>
        <v>2.9022283073437496</v>
      </c>
      <c r="CJ87" s="205">
        <f>+CJ85*(1+CJ$11)</f>
        <v>2.3213428124999989</v>
      </c>
      <c r="CK87" s="205">
        <f>+CK85*(1+CK$11)</f>
        <v>3.5838274999999995</v>
      </c>
      <c r="CL87" s="205">
        <f>+CL85*(1+CL$11)</f>
        <v>3.5838274999999995</v>
      </c>
      <c r="CM87" s="191">
        <f>+SUM(CI87:CL87)</f>
        <v>12.391226119843749</v>
      </c>
      <c r="CN87" s="9"/>
      <c r="CO87" s="750">
        <f>+CO85*(1+CO$11)</f>
        <v>2.7571168919765618</v>
      </c>
      <c r="CP87" s="205">
        <f>+CP85*(1+CP$11)</f>
        <v>2.2052756718749986</v>
      </c>
      <c r="CQ87" s="205">
        <f>+CQ85*(1+CQ$11)</f>
        <v>3.4046361249999992</v>
      </c>
      <c r="CR87" s="205">
        <f>+CR85*(1+CR$11)</f>
        <v>3.4046361249999992</v>
      </c>
      <c r="CS87" s="191">
        <f>+SUM(CO87:CR87)</f>
        <v>11.77166481385156</v>
      </c>
      <c r="CT87" s="205"/>
      <c r="CU87" s="205"/>
      <c r="CV87" s="205"/>
      <c r="CW87" s="205"/>
    </row>
    <row r="88" spans="1:128">
      <c r="A88" s="1984" t="s">
        <v>633</v>
      </c>
      <c r="B88" s="1973"/>
      <c r="C88" s="1974"/>
      <c r="D88" s="1973"/>
      <c r="E88" s="1973"/>
      <c r="F88" s="1973"/>
      <c r="G88" s="1975"/>
      <c r="H88" s="1973"/>
      <c r="I88" s="1974"/>
      <c r="J88" s="1973"/>
      <c r="K88" s="1973"/>
      <c r="L88" s="1973"/>
      <c r="M88" s="1975"/>
      <c r="N88" s="1973"/>
      <c r="O88" s="1974"/>
      <c r="P88" s="1973"/>
      <c r="Q88" s="1973"/>
      <c r="R88" s="1973"/>
      <c r="S88" s="1975"/>
      <c r="T88" s="1973"/>
      <c r="U88" s="1974"/>
      <c r="V88" s="1973"/>
      <c r="W88" s="1973"/>
      <c r="X88" s="1973"/>
      <c r="Y88" s="1975"/>
      <c r="Z88" s="1973"/>
      <c r="AA88" s="1974"/>
      <c r="AB88" s="1973"/>
      <c r="AC88" s="1973"/>
      <c r="AD88" s="1973"/>
      <c r="AE88" s="1975"/>
      <c r="AF88" s="1973"/>
      <c r="AG88" s="1974"/>
      <c r="AH88" s="1973"/>
      <c r="AI88" s="1973"/>
      <c r="AJ88" s="1973"/>
      <c r="AK88" s="1976"/>
      <c r="AL88" s="1973"/>
      <c r="AM88" s="1974"/>
      <c r="AN88" s="1977"/>
      <c r="AO88" s="1977"/>
      <c r="AP88" s="1978"/>
      <c r="AQ88" s="1975"/>
      <c r="AR88" s="1973"/>
      <c r="AS88" s="1979"/>
      <c r="AT88" s="1980"/>
      <c r="AU88" s="1980"/>
      <c r="AV88" s="1981"/>
      <c r="AW88" s="1982"/>
      <c r="AX88" s="1981"/>
      <c r="AY88" s="1983"/>
      <c r="AZ88" s="1981"/>
      <c r="BA88" s="1981"/>
      <c r="BB88" s="1981"/>
      <c r="BC88" s="1982"/>
      <c r="BD88" s="1981"/>
      <c r="BE88" s="1983"/>
      <c r="BF88" s="1981"/>
      <c r="BG88" s="1981"/>
      <c r="BH88" s="1981"/>
      <c r="BI88" s="1982"/>
      <c r="BJ88" s="1981"/>
      <c r="BK88" s="1983"/>
      <c r="BL88" s="1981"/>
      <c r="BM88" s="1981"/>
      <c r="BN88" s="1981"/>
      <c r="BO88" s="1982"/>
      <c r="BP88" s="1981"/>
      <c r="BQ88" s="1983"/>
      <c r="BR88" s="1981"/>
      <c r="BS88" s="1981"/>
      <c r="BT88" s="1981"/>
      <c r="BU88" s="1982"/>
      <c r="BV88" s="1981"/>
      <c r="BW88" s="1983"/>
      <c r="BX88" s="1981"/>
      <c r="BY88" s="1981"/>
      <c r="BZ88" s="1981"/>
      <c r="CA88" s="1982"/>
      <c r="CB88" s="1981"/>
      <c r="CC88" s="1983"/>
      <c r="CD88" s="1981"/>
      <c r="CE88" s="1981"/>
      <c r="CF88" s="1981"/>
      <c r="CG88" s="1982"/>
      <c r="CH88" s="1981"/>
      <c r="CI88" s="1983"/>
      <c r="CJ88" s="1981"/>
      <c r="CK88" s="1981"/>
      <c r="CL88" s="1981"/>
      <c r="CM88" s="1982"/>
      <c r="CN88" s="1981"/>
      <c r="CO88" s="1983"/>
      <c r="CP88" s="1981"/>
      <c r="CQ88" s="1981"/>
      <c r="CR88" s="1981"/>
      <c r="CS88" s="1982"/>
      <c r="CT88" s="2400"/>
      <c r="CU88" s="2400"/>
      <c r="CV88" s="2400"/>
      <c r="CW88" s="240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60"/>
      <c r="DI88" s="60"/>
      <c r="DJ88" s="60"/>
      <c r="DK88" s="60"/>
      <c r="DL88" s="60"/>
      <c r="DM88" s="68"/>
      <c r="DN88" s="68"/>
      <c r="DO88" s="68"/>
      <c r="DP88" s="68"/>
      <c r="DQ88" s="68"/>
      <c r="DR88" s="68"/>
      <c r="DS88" s="68"/>
      <c r="DT88" s="68"/>
      <c r="DU88" s="68"/>
      <c r="DV88" s="68"/>
      <c r="DW88" s="68"/>
      <c r="DX88" s="68"/>
    </row>
    <row r="89" spans="1:128">
      <c r="A89" s="2125" t="s">
        <v>631</v>
      </c>
      <c r="C89" s="2099"/>
      <c r="D89" s="2097"/>
      <c r="E89" s="2097"/>
      <c r="F89" s="2097"/>
      <c r="G89" s="2120"/>
      <c r="H89" s="2119"/>
      <c r="I89" s="2118"/>
      <c r="J89" s="2119"/>
      <c r="K89" s="2119"/>
      <c r="L89" s="2119"/>
      <c r="M89" s="2120"/>
      <c r="N89" s="2117"/>
      <c r="O89" s="2121"/>
      <c r="P89" s="2122"/>
      <c r="Q89" s="2122"/>
      <c r="R89" s="2131"/>
      <c r="S89" s="2123"/>
      <c r="T89" s="2124"/>
      <c r="U89" s="2121"/>
      <c r="V89" s="2122"/>
      <c r="W89" s="2122"/>
      <c r="X89" s="2131"/>
      <c r="Y89" s="2123"/>
      <c r="Z89" s="2124"/>
      <c r="AA89" s="2121"/>
      <c r="AB89" s="2122"/>
      <c r="AC89" s="2122"/>
      <c r="AD89" s="2131"/>
      <c r="AE89" s="2123"/>
      <c r="AF89" s="2124"/>
      <c r="AG89" s="2121"/>
      <c r="AH89" s="2122"/>
      <c r="AI89" s="2122"/>
      <c r="AJ89" s="2097"/>
      <c r="AK89" s="2100"/>
      <c r="AM89" s="2099">
        <f>+AM39-AM53-AM61</f>
        <v>14.014135745228831</v>
      </c>
      <c r="AN89" s="2097">
        <f>+AN39-AN53-AN61</f>
        <v>10.714719690802459</v>
      </c>
      <c r="AO89" s="2097">
        <f>+AO39-AO53-AO61</f>
        <v>11.858494653374208</v>
      </c>
      <c r="AP89" s="2097">
        <f>+AP39-AP53-AP61</f>
        <v>13.161545916986508</v>
      </c>
      <c r="AQ89" s="2100">
        <f>+SUM(AM89:AP89)</f>
        <v>49.748896006392002</v>
      </c>
      <c r="AS89" s="2099">
        <f>+AS39-AS53-AS61</f>
        <v>13.597659992911932</v>
      </c>
      <c r="AT89" s="2097">
        <f>+AT39-AT53-AT61</f>
        <v>14.478303529622146</v>
      </c>
      <c r="AU89" s="2097">
        <f>+AU39-AU53-AU61</f>
        <v>16.394688954133727</v>
      </c>
      <c r="AV89" s="2097">
        <f>+AV39-AV53-AV61</f>
        <v>16.296228474024169</v>
      </c>
      <c r="AW89" s="2100">
        <f>+SUM(AS89:AV89)</f>
        <v>60.766880950691977</v>
      </c>
      <c r="AX89" s="2093"/>
      <c r="AY89" s="2099">
        <f>+AY39-AY53-AY61</f>
        <v>29.059782478710304</v>
      </c>
      <c r="AZ89" s="2097">
        <f>+AZ39-AZ53-AZ61</f>
        <v>22.809123724702836</v>
      </c>
      <c r="BA89" s="2097">
        <f>+BA39-BA53-BA61</f>
        <v>20.62445610598153</v>
      </c>
      <c r="BB89" s="2097">
        <f>+BB39-BB53-BB61</f>
        <v>5.9747471533648238</v>
      </c>
      <c r="BC89" s="2100">
        <f>+SUM(AY89:BB89)</f>
        <v>78.468109462759486</v>
      </c>
      <c r="BD89" s="2093"/>
      <c r="BE89" s="2099">
        <f>+BE39-BE53-BE61</f>
        <v>33.326254808319163</v>
      </c>
      <c r="BF89" s="2097">
        <f>+BF39-BF53-BF61</f>
        <v>24.935560041040368</v>
      </c>
      <c r="BG89" s="2097">
        <f>+BG39-BG53-BG61</f>
        <v>36.365582410878957</v>
      </c>
      <c r="BH89" s="2097">
        <f>+BH39-BH53-BH61</f>
        <v>27.75914567082998</v>
      </c>
      <c r="BI89" s="2100">
        <f>+SUM(BE89:BH89)</f>
        <v>122.38654293106848</v>
      </c>
      <c r="BJ89" s="2093"/>
      <c r="BK89" s="2099">
        <f>+BK39-BK53-BK61</f>
        <v>30.850223059651967</v>
      </c>
      <c r="BL89" s="2097">
        <f>+BL39-BL53-BL61</f>
        <v>23.976971679565217</v>
      </c>
      <c r="BM89" s="2097">
        <f>+BM39-BM53-BM61</f>
        <v>47.442836228901953</v>
      </c>
      <c r="BN89" s="2097">
        <f>+BN39-BN53-BN61</f>
        <v>42.6104157627436</v>
      </c>
      <c r="BO89" s="2100">
        <f>+SUM(BK89:BN89)</f>
        <v>144.88044673086273</v>
      </c>
      <c r="BP89" s="2093"/>
      <c r="BQ89" s="2099">
        <f>+BQ39-BQ53-BQ61</f>
        <v>67.600477263678158</v>
      </c>
      <c r="BR89" s="2097">
        <f>+BR39-BR53-BR61</f>
        <v>40.134470951142191</v>
      </c>
      <c r="BS89" s="2097">
        <f>+BS39-BS53-BS61</f>
        <v>59.366640788617346</v>
      </c>
      <c r="BT89" s="2097">
        <f>+BT39-BT53-BT61</f>
        <v>39.787072118462824</v>
      </c>
      <c r="BU89" s="2100">
        <f>+SUM(BQ89:BT89)</f>
        <v>206.88866112190053</v>
      </c>
      <c r="BV89" s="2093"/>
      <c r="BW89" s="2099">
        <f>+BW39-BW53-BW61</f>
        <v>85.6447770485441</v>
      </c>
      <c r="BX89" s="2097">
        <f>+BX39-BX53-BX61</f>
        <v>48.298442869256043</v>
      </c>
      <c r="BY89" s="2097">
        <f>+BY39-BY53-BY61</f>
        <v>68.741827225078481</v>
      </c>
      <c r="BZ89" s="2097">
        <f>+BZ39-BZ53-BZ61</f>
        <v>45.552382359270652</v>
      </c>
      <c r="CA89" s="2100">
        <f>+SUM(BW89:BZ89)</f>
        <v>248.23742950214927</v>
      </c>
      <c r="CB89" s="2093"/>
      <c r="CC89" s="2099">
        <f>+CC39-CC53-CC61</f>
        <v>94.563985294343922</v>
      </c>
      <c r="CD89" s="2097">
        <f>+CD39-CD53-CD61</f>
        <v>52.117365503931552</v>
      </c>
      <c r="CE89" s="2097">
        <f>+CE39-CE53-CE61</f>
        <v>75.334402103505539</v>
      </c>
      <c r="CF89" s="2097">
        <f>+CF39-CF53-CF61</f>
        <v>48.437464193967301</v>
      </c>
      <c r="CG89" s="2100">
        <f>+SUM(CC89:CF89)</f>
        <v>270.4532170957483</v>
      </c>
      <c r="CH89" s="2093"/>
      <c r="CI89" s="2099">
        <f>+CI39-CI53-CI61</f>
        <v>107.60820827649658</v>
      </c>
      <c r="CJ89" s="2097">
        <f>+CJ39-CJ53-CJ61</f>
        <v>58.431723588624216</v>
      </c>
      <c r="CK89" s="2097">
        <f>+CK39-CK53-CK61</f>
        <v>84.393093313190576</v>
      </c>
      <c r="CL89" s="2097">
        <f>+CL39-CL53-CL61</f>
        <v>53.640300097610904</v>
      </c>
      <c r="CM89" s="2100">
        <f>+SUM(CI89:CL89)</f>
        <v>304.07332527592229</v>
      </c>
      <c r="CN89" s="2093"/>
      <c r="CO89" s="2099">
        <f>+CO39-CO53-CO61</f>
        <v>122.24714492261965</v>
      </c>
      <c r="CP89" s="2097">
        <f>+CP39-CP53-CP61</f>
        <v>67.532570543859634</v>
      </c>
      <c r="CQ89" s="2097">
        <f>+CQ39-CQ53-CQ61</f>
        <v>98.240933018121495</v>
      </c>
      <c r="CR89" s="2097">
        <f>+CR39-CR53-CR61</f>
        <v>62.881610908250551</v>
      </c>
      <c r="CS89" s="2100">
        <f>+SUM(CO89:CR89)</f>
        <v>350.90225939285131</v>
      </c>
      <c r="CT89" s="2097"/>
      <c r="CU89" s="2097"/>
      <c r="CV89" s="2097"/>
      <c r="CW89" s="2097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60"/>
      <c r="DI89" s="60"/>
      <c r="DJ89" s="60"/>
      <c r="DK89" s="60"/>
      <c r="DL89" s="60"/>
      <c r="DM89" s="68"/>
      <c r="DN89" s="68"/>
      <c r="DO89" s="68"/>
      <c r="DP89" s="68"/>
      <c r="DQ89" s="68"/>
      <c r="DR89" s="68"/>
      <c r="DS89" s="68"/>
      <c r="DT89" s="68"/>
      <c r="DU89" s="68"/>
      <c r="DV89" s="68"/>
      <c r="DW89" s="68"/>
      <c r="DX89" s="68"/>
    </row>
    <row r="90" spans="1:128">
      <c r="A90" s="1985" t="s">
        <v>593</v>
      </c>
      <c r="C90" s="2004"/>
      <c r="D90" s="2005"/>
      <c r="E90" s="2005"/>
      <c r="F90" s="2005"/>
      <c r="G90" s="2003"/>
      <c r="H90" s="2002"/>
      <c r="I90" s="2001"/>
      <c r="J90" s="2002"/>
      <c r="K90" s="2002"/>
      <c r="L90" s="2002"/>
      <c r="M90" s="2003"/>
      <c r="N90" s="2000"/>
      <c r="O90" s="2004"/>
      <c r="P90" s="2005"/>
      <c r="Q90" s="2005"/>
      <c r="R90" s="1999"/>
      <c r="S90" s="1990"/>
      <c r="T90" s="2006"/>
      <c r="U90" s="2004"/>
      <c r="V90" s="2005"/>
      <c r="W90" s="2005"/>
      <c r="X90" s="1999"/>
      <c r="Y90" s="1990"/>
      <c r="Z90" s="2006"/>
      <c r="AA90" s="2004"/>
      <c r="AB90" s="2005"/>
      <c r="AC90" s="2005"/>
      <c r="AD90" s="1999"/>
      <c r="AE90" s="1990"/>
      <c r="AF90" s="2006"/>
      <c r="AG90" s="2004"/>
      <c r="AH90" s="2005"/>
      <c r="AI90" s="2005"/>
      <c r="AJ90" s="2005"/>
      <c r="AK90" s="1990"/>
      <c r="AM90" s="2004"/>
      <c r="AN90" s="2005"/>
      <c r="AO90" s="2005"/>
      <c r="AP90" s="2005"/>
      <c r="AQ90" s="1990"/>
      <c r="AS90" s="2004">
        <f>+AS89/AM92-1</f>
        <v>2.2287871586221364E-2</v>
      </c>
      <c r="AT90" s="2005">
        <f>+AT89/AN92-1</f>
        <v>0.40098789479078079</v>
      </c>
      <c r="AU90" s="2005">
        <f>+AU89/AO92-1</f>
        <v>0.35372233631115479</v>
      </c>
      <c r="AV90" s="2005">
        <f>+AV89/AP92-1</f>
        <v>0.27343621605232404</v>
      </c>
      <c r="AW90" s="1990">
        <f>+AW89/AQ92-1</f>
        <v>0.25180444078737141</v>
      </c>
      <c r="AY90" s="2004">
        <f>+AY89/AS92-1</f>
        <v>1.1256989013237972</v>
      </c>
      <c r="AZ90" s="2005">
        <f>+AZ89/AT92-1</f>
        <v>0.56085702455830133</v>
      </c>
      <c r="BA90" s="2005">
        <f>+BA89/AU92-1</f>
        <v>0.25713180378784406</v>
      </c>
      <c r="BB90" s="2005">
        <f>+BB89/AV92-1</f>
        <v>-0.62735387735188786</v>
      </c>
      <c r="BC90" s="1990">
        <f>+BC89/AW92-1</f>
        <v>0.29222699207092528</v>
      </c>
      <c r="BE90" s="2004">
        <f>+BE89/AY92-1</f>
        <v>0.20717587080989808</v>
      </c>
      <c r="BF90" s="2005">
        <f>+BF89/AZ92-1</f>
        <v>0.14115599635567011</v>
      </c>
      <c r="BG90" s="2005">
        <f>+BG89/BA92-1</f>
        <v>0.83669401106514552</v>
      </c>
      <c r="BH90" s="2005">
        <f>+BH89/BB92-1</f>
        <v>3.779916389655769</v>
      </c>
      <c r="BI90" s="1990">
        <f>+BI89/BC92-1</f>
        <v>0.63041046349402952</v>
      </c>
      <c r="BK90" s="2004">
        <f>+BK89/BE92-1</f>
        <v>-6.4946191714976065E-2</v>
      </c>
      <c r="BL90" s="2005">
        <f>+BL89/BF92-1</f>
        <v>-4.1979131113787149E-2</v>
      </c>
      <c r="BM90" s="2005">
        <f>+BM89/BG92-1</f>
        <v>0.3033887815546743</v>
      </c>
      <c r="BN90" s="2005">
        <f>+BN89/BH92-1</f>
        <v>0.54678382426989125</v>
      </c>
      <c r="BO90" s="1990">
        <f>+BO89/BI92-1</f>
        <v>0.18785663441930733</v>
      </c>
      <c r="BQ90" s="2004">
        <f>+BQ89/BK92-1</f>
        <v>1.202258895278693</v>
      </c>
      <c r="BR90" s="2005">
        <f>+BR89/BL92-1</f>
        <v>0.6822871648994695</v>
      </c>
      <c r="BS90" s="2005">
        <f>+BS89/BM92-1</f>
        <v>0.24510440484157847</v>
      </c>
      <c r="BT90" s="2005">
        <f>+BT89/BN92-1</f>
        <v>-8.0964047108756154E-2</v>
      </c>
      <c r="BU90" s="1990">
        <f>+BU89/BO92-1</f>
        <v>0.42166807474299528</v>
      </c>
      <c r="BW90" s="2004">
        <f>+BW89/BQ92-1</f>
        <v>0.23002488066524052</v>
      </c>
      <c r="BX90" s="2005">
        <f>+BX89/BR92-1</f>
        <v>0.17521041131764403</v>
      </c>
      <c r="BY90" s="2005">
        <f>+BY89/BS92-1</f>
        <v>0.14645555433523594</v>
      </c>
      <c r="BZ90" s="2005">
        <f>+BZ89/BT92-1</f>
        <v>0.13356842489589282</v>
      </c>
      <c r="CA90" s="1990">
        <f>+CA89/BU92-1</f>
        <v>0.1771979631436722</v>
      </c>
      <c r="CC90" s="2004">
        <f>+CC89/BW92-1</f>
        <v>0.1041418817722457</v>
      </c>
      <c r="CD90" s="2005">
        <f>+CD89/BX92-1</f>
        <v>7.9069270307809747E-2</v>
      </c>
      <c r="CE90" s="2005">
        <f>+CE89/BY92-1</f>
        <v>9.5903398913754101E-2</v>
      </c>
      <c r="CF90" s="2005">
        <f>+CF89/BZ92-1</f>
        <v>6.3335476330130591E-2</v>
      </c>
      <c r="CG90" s="1990">
        <f>+CG89/CA92-1</f>
        <v>8.9494109079979456E-2</v>
      </c>
      <c r="CI90" s="2004">
        <f>+CI89/CC92-1</f>
        <v>0.13794070693563354</v>
      </c>
      <c r="CJ90" s="2005">
        <f>+CJ89/CD92-1</f>
        <v>0.12115650942134315</v>
      </c>
      <c r="CK90" s="2005">
        <f>+CK89/CE92-1</f>
        <v>0.12024640744130233</v>
      </c>
      <c r="CL90" s="2005">
        <f>+CL89/CF92-1</f>
        <v>0.10741346580012734</v>
      </c>
      <c r="CM90" s="1990">
        <f>+CM89/CG92-1</f>
        <v>0.12431025425100217</v>
      </c>
      <c r="CO90" s="2004">
        <f>+CO89/CI92-1</f>
        <v>0.13603921931781171</v>
      </c>
      <c r="CP90" s="2005">
        <f>+CP89/CJ92-1</f>
        <v>0.15575181419100259</v>
      </c>
      <c r="CQ90" s="2005">
        <f>+CQ89/CK92-1</f>
        <v>0.16408735787821294</v>
      </c>
      <c r="CR90" s="2005">
        <f>+CR89/CL92-1</f>
        <v>0.17228298115079421</v>
      </c>
      <c r="CS90" s="1990">
        <f>+CS89/CM92-1</f>
        <v>0.15400540009366326</v>
      </c>
      <c r="CT90" s="2005"/>
      <c r="CU90" s="2005"/>
      <c r="CV90" s="2005"/>
      <c r="CW90" s="2005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60"/>
      <c r="DI90" s="60"/>
      <c r="DJ90" s="60"/>
      <c r="DK90" s="60"/>
      <c r="DL90" s="60"/>
      <c r="DM90" s="68"/>
      <c r="DN90" s="68"/>
      <c r="DO90" s="68"/>
      <c r="DP90" s="68"/>
      <c r="DQ90" s="68"/>
      <c r="DR90" s="68"/>
      <c r="DS90" s="68"/>
      <c r="DT90" s="68"/>
      <c r="DU90" s="68"/>
      <c r="DV90" s="68"/>
      <c r="DW90" s="68"/>
      <c r="DX90" s="68"/>
    </row>
    <row r="91" spans="1:128">
      <c r="A91" s="1991" t="s">
        <v>608</v>
      </c>
      <c r="B91" s="1302"/>
      <c r="C91" s="761"/>
      <c r="D91" s="762"/>
      <c r="E91" s="762"/>
      <c r="F91" s="762"/>
      <c r="G91" s="1986"/>
      <c r="H91" s="86"/>
      <c r="I91" s="761"/>
      <c r="J91" s="762"/>
      <c r="K91" s="762"/>
      <c r="L91" s="762"/>
      <c r="M91" s="1986"/>
      <c r="N91" s="86"/>
      <c r="O91" s="761"/>
      <c r="P91" s="762"/>
      <c r="Q91" s="762"/>
      <c r="R91" s="762"/>
      <c r="S91" s="1986"/>
      <c r="T91" s="86"/>
      <c r="U91" s="761"/>
      <c r="V91" s="762"/>
      <c r="W91" s="762"/>
      <c r="X91" s="762"/>
      <c r="Y91" s="1986"/>
      <c r="Z91" s="86"/>
      <c r="AA91" s="761"/>
      <c r="AB91" s="762"/>
      <c r="AC91" s="762"/>
      <c r="AD91" s="762"/>
      <c r="AE91" s="1986"/>
      <c r="AF91" s="86"/>
      <c r="AG91" s="761"/>
      <c r="AH91" s="762"/>
      <c r="AI91" s="762"/>
      <c r="AJ91" s="762"/>
      <c r="AK91" s="1986"/>
      <c r="AL91" s="86"/>
      <c r="AM91" s="1988">
        <f>+AM89/AM$39</f>
        <v>0.28073689175036132</v>
      </c>
      <c r="AN91" s="196">
        <f>+AN89/AN$39</f>
        <v>0.19310140430570294</v>
      </c>
      <c r="AO91" s="196">
        <f>+AO89/AO$39</f>
        <v>0.19581895033432647</v>
      </c>
      <c r="AP91" s="196">
        <f>+AP89/AP$39</f>
        <v>0.19672057403335297</v>
      </c>
      <c r="AQ91" s="1990">
        <f>+AQ89/AQ$39</f>
        <v>0.21363388249447318</v>
      </c>
      <c r="AR91" s="86"/>
      <c r="AS91" s="1988">
        <f>+AS89/AS$39</f>
        <v>0.18241288314627785</v>
      </c>
      <c r="AT91" s="196">
        <f>+AT89/AT$39</f>
        <v>0.16900760979551899</v>
      </c>
      <c r="AU91" s="196">
        <f>+AU89/AU$39</f>
        <v>0.17356422721871489</v>
      </c>
      <c r="AV91" s="1989">
        <f>+AV89/AV$39</f>
        <v>0.15243492866509092</v>
      </c>
      <c r="AW91" s="1990">
        <f>+AW89/AW$39</f>
        <v>0.16806165198190842</v>
      </c>
      <c r="AX91" s="196"/>
      <c r="AY91" s="1988">
        <f>+AY89/AY$39</f>
        <v>0.24661906321633695</v>
      </c>
      <c r="AZ91" s="196">
        <f>+AZ89/AZ$39</f>
        <v>0.19173689332561958</v>
      </c>
      <c r="BA91" s="196">
        <f>+BA89/BA$39</f>
        <v>0.16984883335621487</v>
      </c>
      <c r="BB91" s="1989">
        <f>+BB89/BB$39</f>
        <v>4.526920745379371E-2</v>
      </c>
      <c r="BC91" s="1990">
        <f>+BC89/BC$39</f>
        <v>0.16007232398287671</v>
      </c>
      <c r="BD91" s="86"/>
      <c r="BE91" s="1988">
        <f>+BE89/BE$39</f>
        <v>0.25730660166869174</v>
      </c>
      <c r="BF91" s="196">
        <f>+BF89/BF$39</f>
        <v>0.17558475338896992</v>
      </c>
      <c r="BG91" s="196">
        <f>+BG89/BG$39</f>
        <v>0.24993340272709949</v>
      </c>
      <c r="BH91" s="1989">
        <f>+BH89/BH$39</f>
        <v>0.18624695426862664</v>
      </c>
      <c r="BI91" s="1990">
        <f>+BI89/BI$39</f>
        <v>0.21620011095361616</v>
      </c>
      <c r="BJ91" s="86"/>
      <c r="BK91" s="1988">
        <f>+BK89/BK$39</f>
        <v>0.22019202136966615</v>
      </c>
      <c r="BL91" s="196">
        <f>+BL89/BL$39</f>
        <v>0.14812811055400682</v>
      </c>
      <c r="BM91" s="196">
        <f>+BM89/BM$39</f>
        <v>0.26612843894454646</v>
      </c>
      <c r="BN91" s="1989">
        <f>+BN89/BN$39</f>
        <v>0.21635320583005438</v>
      </c>
      <c r="BO91" s="1990">
        <f>+BO89/BO$39</f>
        <v>0.21394316320609236</v>
      </c>
      <c r="BP91" s="86"/>
      <c r="BQ91" s="1988">
        <f>+BQ89/BQ$39</f>
        <v>0.34946256786863639</v>
      </c>
      <c r="BR91" s="196">
        <f>+BR89/BR$39</f>
        <v>0.19842470484180316</v>
      </c>
      <c r="BS91" s="196">
        <f>+BS89/BS$39</f>
        <v>0.27776039312681333</v>
      </c>
      <c r="BT91" s="1989">
        <f>+BT89/BT$39</f>
        <v>0.1766702360350012</v>
      </c>
      <c r="BU91" s="1990">
        <f>+BU89/BU$39</f>
        <v>0.24787614017042661</v>
      </c>
      <c r="BV91" s="86"/>
      <c r="BW91" s="1988">
        <f>+BW89/BW$39</f>
        <v>0.37008703292120454</v>
      </c>
      <c r="BX91" s="196">
        <f>+BX89/BX$39</f>
        <v>0.20454527364334668</v>
      </c>
      <c r="BY91" s="196">
        <f>+BY89/BY$39</f>
        <v>0.28058948934093692</v>
      </c>
      <c r="BZ91" s="1989">
        <f>+BZ89/BZ$39</f>
        <v>0.17695337013170812</v>
      </c>
      <c r="CA91" s="1990">
        <f>+CA89/CA$39</f>
        <v>0.25592529295976868</v>
      </c>
      <c r="CB91" s="86"/>
      <c r="CC91" s="1988">
        <f>+CC89/CC$39</f>
        <v>0.36632935697087138</v>
      </c>
      <c r="CD91" s="196">
        <f>+CD89/CD$39</f>
        <v>0.19826370957311434</v>
      </c>
      <c r="CE91" s="196">
        <f>+CE89/CE$39</f>
        <v>0.27670375657093965</v>
      </c>
      <c r="CF91" s="1989">
        <f>+CF89/CF$39</f>
        <v>0.16959731927919314</v>
      </c>
      <c r="CG91" s="1990">
        <f>+CG89/CG$39</f>
        <v>0.25068252507161226</v>
      </c>
      <c r="CH91" s="86"/>
      <c r="CI91" s="1988">
        <f>+CI89/CI$39</f>
        <v>0.37071056412447395</v>
      </c>
      <c r="CJ91" s="196">
        <f>+CJ89/CJ$39</f>
        <v>0.19811353792591616</v>
      </c>
      <c r="CK91" s="196">
        <f>+CK89/CK$39</f>
        <v>0.27684502778718068</v>
      </c>
      <c r="CL91" s="1989">
        <f>+CL89/CL$39</f>
        <v>0.16766263809936904</v>
      </c>
      <c r="CM91" s="1990">
        <f>+CM89/CM$39</f>
        <v>0.25130341849464038</v>
      </c>
      <c r="CN91" s="86"/>
      <c r="CO91" s="1988">
        <f>+CO89/CO$39</f>
        <v>0.37378503604771413</v>
      </c>
      <c r="CP91" s="196">
        <f>+CP89/CP$39</f>
        <v>0.2022939370592961</v>
      </c>
      <c r="CQ91" s="196">
        <f>+CQ89/CQ$39</f>
        <v>0.28392152145600336</v>
      </c>
      <c r="CR91" s="1989">
        <f>+CR89/CR$39</f>
        <v>0.17324628530893943</v>
      </c>
      <c r="CS91" s="1990">
        <f>+CS89/CS$39</f>
        <v>0.25615901029956828</v>
      </c>
      <c r="CT91" s="2005"/>
      <c r="CU91" s="2005"/>
      <c r="CV91" s="2005"/>
      <c r="CW91" s="2005"/>
      <c r="CX91" s="194"/>
      <c r="CY91" s="194"/>
      <c r="CZ91" s="194"/>
      <c r="DA91" s="194"/>
      <c r="DB91" s="194"/>
      <c r="DC91" s="194"/>
      <c r="DD91" s="194"/>
      <c r="DE91" s="194"/>
      <c r="DF91" s="194"/>
      <c r="DG91" s="194"/>
      <c r="DH91" s="194"/>
      <c r="DI91" s="194"/>
      <c r="DJ91" s="194"/>
      <c r="DK91" s="194"/>
      <c r="DL91" s="194"/>
      <c r="DM91" s="1987"/>
      <c r="DN91" s="1987"/>
      <c r="DO91" s="1987"/>
      <c r="DP91" s="1987"/>
      <c r="DQ91" s="1987"/>
      <c r="DR91" s="1987"/>
      <c r="DS91" s="1987"/>
      <c r="DT91" s="1987"/>
      <c r="DU91" s="1987"/>
      <c r="DV91" s="1987"/>
      <c r="DW91" s="1987"/>
      <c r="DX91" s="1987"/>
    </row>
    <row r="92" spans="1:128">
      <c r="A92" s="1972" t="s">
        <v>610</v>
      </c>
      <c r="B92" s="63"/>
      <c r="C92" s="760"/>
      <c r="D92" s="740"/>
      <c r="E92" s="740"/>
      <c r="F92" s="740"/>
      <c r="G92" s="739"/>
      <c r="H92" s="205"/>
      <c r="I92" s="760"/>
      <c r="J92" s="740"/>
      <c r="K92" s="740"/>
      <c r="L92" s="740"/>
      <c r="M92" s="739"/>
      <c r="N92" s="68"/>
      <c r="O92" s="750"/>
      <c r="P92" s="63"/>
      <c r="Q92" s="63"/>
      <c r="R92" s="1"/>
      <c r="S92" s="191"/>
      <c r="T92" s="68"/>
      <c r="U92" s="750"/>
      <c r="V92" s="63"/>
      <c r="W92" s="63"/>
      <c r="X92" s="1"/>
      <c r="Y92" s="191"/>
      <c r="Z92" s="63"/>
      <c r="AA92" s="750"/>
      <c r="AB92" s="63"/>
      <c r="AC92" s="63"/>
      <c r="AD92" s="1"/>
      <c r="AE92" s="191"/>
      <c r="AF92" s="63"/>
      <c r="AG92" s="750"/>
      <c r="AH92" s="63"/>
      <c r="AI92" s="63"/>
      <c r="AJ92" s="1"/>
      <c r="AK92" s="191"/>
      <c r="AL92" s="63"/>
      <c r="AM92" s="750">
        <f>+AM89*(1+AM$11)</f>
        <v>13.301204456053339</v>
      </c>
      <c r="AN92" s="63">
        <f>+AN89*(1+AN$11)</f>
        <v>10.33435305433834</v>
      </c>
      <c r="AO92" s="63">
        <f>+AO89*(1+AO$11)</f>
        <v>12.110821040900213</v>
      </c>
      <c r="AP92" s="1">
        <f>+AP89*(1+AP$11)</f>
        <v>12.797051213560408</v>
      </c>
      <c r="AQ92" s="191">
        <f>+SUM(AM92:AP92)</f>
        <v>48.543429764852299</v>
      </c>
      <c r="AR92" s="63"/>
      <c r="AS92" s="750">
        <f>+AS89*(1+AS$11)</f>
        <v>13.670695534825311</v>
      </c>
      <c r="AT92" s="63">
        <f>+AT89*(1+AT$11)</f>
        <v>14.613205031484206</v>
      </c>
      <c r="AU92" s="63">
        <f>+AU89*(1+AU$11)</f>
        <v>16.405961605488226</v>
      </c>
      <c r="AV92" s="1">
        <f>+AV89*(1+AV$11)</f>
        <v>16.033300201560788</v>
      </c>
      <c r="AW92" s="191">
        <f>+SUM(AS92:AV92)</f>
        <v>60.723162373358534</v>
      </c>
      <c r="AX92" s="63"/>
      <c r="AY92" s="750">
        <f>+AY89*(1+AY$11)</f>
        <v>27.606793354774787</v>
      </c>
      <c r="AZ92" s="63">
        <f>+AZ89*(1+AZ$11)</f>
        <v>21.851140528265315</v>
      </c>
      <c r="BA92" s="63">
        <f>+BA89*(1+BA$11)</f>
        <v>19.799477861742268</v>
      </c>
      <c r="BB92" s="1">
        <f>+BB89*(1+BB$11)</f>
        <v>5.8074542330706089</v>
      </c>
      <c r="BC92" s="191">
        <f>+SUM(AY92:BB92)</f>
        <v>75.064865977852975</v>
      </c>
      <c r="BD92" s="63"/>
      <c r="BE92" s="750">
        <f>+BE89*(1+BE$11)</f>
        <v>32.992992260235972</v>
      </c>
      <c r="BF92" s="63">
        <f>+BF89*(1+BF$11)</f>
        <v>25.027608957454806</v>
      </c>
      <c r="BG92" s="63">
        <f>+BG89*(1+BG$11)</f>
        <v>36.399604554147245</v>
      </c>
      <c r="BH92" s="1">
        <f>+BH89*(1+BH$11)</f>
        <v>27.547751078180852</v>
      </c>
      <c r="BI92" s="191">
        <f>+SUM(BE92:BH92)</f>
        <v>121.96795685001888</v>
      </c>
      <c r="BJ92" s="9"/>
      <c r="BK92" s="750">
        <f>+BK89*(1+BK$11)</f>
        <v>30.695971944353708</v>
      </c>
      <c r="BL92" s="63">
        <f>+BL89*(1+BL$11)</f>
        <v>23.857086821167393</v>
      </c>
      <c r="BM92" s="63">
        <f>+BM89*(1+BM$11)</f>
        <v>47.680050410046455</v>
      </c>
      <c r="BN92" s="1">
        <f>+BN89*(1+BN$11)</f>
        <v>43.292182414947497</v>
      </c>
      <c r="BO92" s="191">
        <f>+SUM(BK92:BN92)</f>
        <v>145.52529159051505</v>
      </c>
      <c r="BP92" s="9"/>
      <c r="BQ92" s="750">
        <f>+BQ89*(1+BQ$11)</f>
        <v>69.628491581588506</v>
      </c>
      <c r="BR92" s="63">
        <f>+BR89*(1+BR$11)</f>
        <v>41.097698253969604</v>
      </c>
      <c r="BS92" s="63">
        <f>+BS89*(1+BS$11)</f>
        <v>59.960307196503521</v>
      </c>
      <c r="BT92" s="1">
        <f>+BT89*(1+BT$11)</f>
        <v>40.184942839647455</v>
      </c>
      <c r="BU92" s="191">
        <f>+SUM(BQ92:BT92)</f>
        <v>210.87143987170907</v>
      </c>
      <c r="BV92" s="9"/>
      <c r="BW92" s="750">
        <f>+BW89*(1+BW$11)</f>
        <v>85.6447770485441</v>
      </c>
      <c r="BX92" s="63">
        <f>+BX89*(1+BX$11)</f>
        <v>48.298442869256043</v>
      </c>
      <c r="BY92" s="63">
        <f>+BY89*(1+BY$11)</f>
        <v>68.741827225078481</v>
      </c>
      <c r="BZ92" s="1">
        <f>+BZ89*(1+BZ$11)</f>
        <v>45.552382359270652</v>
      </c>
      <c r="CA92" s="191">
        <f>+SUM(BW92:BZ92)</f>
        <v>248.23742950214927</v>
      </c>
      <c r="CB92" s="9"/>
      <c r="CC92" s="750">
        <f>+CC89*(1+CC$11)</f>
        <v>94.563985294343922</v>
      </c>
      <c r="CD92" s="63">
        <f>+CD89*(1+CD$11)</f>
        <v>52.117365503931552</v>
      </c>
      <c r="CE92" s="63">
        <f>+CE89*(1+CE$11)</f>
        <v>75.334402103505539</v>
      </c>
      <c r="CF92" s="1">
        <f>+CF89*(1+CF$11)</f>
        <v>48.437464193967301</v>
      </c>
      <c r="CG92" s="191">
        <f>+SUM(CC92:CF92)</f>
        <v>270.4532170957483</v>
      </c>
      <c r="CH92" s="9"/>
      <c r="CI92" s="750">
        <f>+CI89*(1+CI$11)</f>
        <v>107.60820827649658</v>
      </c>
      <c r="CJ92" s="63">
        <f>+CJ89*(1+CJ$11)</f>
        <v>58.431723588624216</v>
      </c>
      <c r="CK92" s="63">
        <f>+CK89*(1+CK$11)</f>
        <v>84.393093313190576</v>
      </c>
      <c r="CL92" s="1">
        <f>+CL89*(1+CL$11)</f>
        <v>53.640300097610904</v>
      </c>
      <c r="CM92" s="191">
        <f>+SUM(CI92:CL92)</f>
        <v>304.07332527592229</v>
      </c>
      <c r="CN92" s="9"/>
      <c r="CO92" s="750">
        <f>+CO89*(1+CO$11)</f>
        <v>122.24714492261965</v>
      </c>
      <c r="CP92" s="63">
        <f>+CP89*(1+CP$11)</f>
        <v>67.532570543859634</v>
      </c>
      <c r="CQ92" s="63">
        <f>+CQ89*(1+CQ$11)</f>
        <v>98.240933018121495</v>
      </c>
      <c r="CR92" s="1">
        <f>+CR89*(1+CR$11)</f>
        <v>62.881610908250551</v>
      </c>
      <c r="CS92" s="191">
        <f>+SUM(CO92:CR92)</f>
        <v>350.90225939285131</v>
      </c>
      <c r="CT92" s="205"/>
      <c r="CU92" s="205"/>
      <c r="CV92" s="205"/>
      <c r="CW92" s="205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60"/>
      <c r="DI92" s="60"/>
      <c r="DJ92" s="60"/>
      <c r="DK92" s="60"/>
      <c r="DL92" s="60"/>
      <c r="DM92" s="68"/>
      <c r="DN92" s="68"/>
      <c r="DO92" s="68"/>
      <c r="DP92" s="68"/>
      <c r="DQ92" s="68"/>
      <c r="DR92" s="68"/>
      <c r="DS92" s="68"/>
      <c r="DT92" s="68"/>
      <c r="DU92" s="68"/>
      <c r="DV92" s="68"/>
      <c r="DW92" s="68"/>
      <c r="DX92" s="68"/>
    </row>
    <row r="93" spans="1:128">
      <c r="A93" s="1984" t="s">
        <v>641</v>
      </c>
      <c r="B93" s="1973"/>
      <c r="C93" s="1974"/>
      <c r="D93" s="1973"/>
      <c r="E93" s="1973"/>
      <c r="F93" s="1973"/>
      <c r="G93" s="1975"/>
      <c r="H93" s="1973"/>
      <c r="I93" s="1974"/>
      <c r="J93" s="1973"/>
      <c r="K93" s="1973"/>
      <c r="L93" s="1973"/>
      <c r="M93" s="1975"/>
      <c r="N93" s="1973"/>
      <c r="O93" s="1974"/>
      <c r="P93" s="1973"/>
      <c r="Q93" s="1973"/>
      <c r="R93" s="1973"/>
      <c r="S93" s="1975"/>
      <c r="T93" s="1973"/>
      <c r="U93" s="1974"/>
      <c r="V93" s="1973"/>
      <c r="W93" s="1973"/>
      <c r="X93" s="1973"/>
      <c r="Y93" s="1975"/>
      <c r="Z93" s="1973"/>
      <c r="AA93" s="1974"/>
      <c r="AB93" s="1973"/>
      <c r="AC93" s="1973"/>
      <c r="AD93" s="1973"/>
      <c r="AE93" s="1975"/>
      <c r="AF93" s="1973"/>
      <c r="AG93" s="1974"/>
      <c r="AH93" s="1973"/>
      <c r="AI93" s="1973"/>
      <c r="AJ93" s="1973"/>
      <c r="AK93" s="1976"/>
      <c r="AL93" s="1973"/>
      <c r="AM93" s="1974"/>
      <c r="AN93" s="1977"/>
      <c r="AO93" s="1977"/>
      <c r="AP93" s="1978"/>
      <c r="AQ93" s="1975"/>
      <c r="AR93" s="1973"/>
      <c r="AS93" s="1979"/>
      <c r="AT93" s="1980"/>
      <c r="AU93" s="1980"/>
      <c r="AV93" s="1981"/>
      <c r="AW93" s="1982"/>
      <c r="AX93" s="1981"/>
      <c r="AY93" s="1983"/>
      <c r="AZ93" s="1981"/>
      <c r="BA93" s="1981"/>
      <c r="BB93" s="1981"/>
      <c r="BC93" s="1982"/>
      <c r="BD93" s="1981"/>
      <c r="BE93" s="1983"/>
      <c r="BF93" s="1981"/>
      <c r="BG93" s="1981"/>
      <c r="BH93" s="1981"/>
      <c r="BI93" s="1982"/>
      <c r="BJ93" s="1981"/>
      <c r="BK93" s="1983"/>
      <c r="BL93" s="1981"/>
      <c r="BM93" s="1981"/>
      <c r="BN93" s="1981"/>
      <c r="BO93" s="1982"/>
      <c r="BP93" s="1981"/>
      <c r="BQ93" s="1983"/>
      <c r="BR93" s="1981"/>
      <c r="BS93" s="1981"/>
      <c r="BT93" s="1981"/>
      <c r="BU93" s="1982"/>
      <c r="BV93" s="1981"/>
      <c r="BW93" s="1983"/>
      <c r="BX93" s="1981"/>
      <c r="BY93" s="1981"/>
      <c r="BZ93" s="1981"/>
      <c r="CA93" s="1982"/>
      <c r="CB93" s="1981"/>
      <c r="CC93" s="1983"/>
      <c r="CD93" s="1981"/>
      <c r="CE93" s="1981"/>
      <c r="CF93" s="1981"/>
      <c r="CG93" s="1982"/>
      <c r="CH93" s="1981"/>
      <c r="CI93" s="1983"/>
      <c r="CJ93" s="1981"/>
      <c r="CK93" s="1981"/>
      <c r="CL93" s="1981"/>
      <c r="CM93" s="1982"/>
      <c r="CN93" s="1981"/>
      <c r="CO93" s="1983"/>
      <c r="CP93" s="1981"/>
      <c r="CQ93" s="1981"/>
      <c r="CR93" s="1981"/>
      <c r="CS93" s="1982"/>
      <c r="CT93" s="2400"/>
      <c r="CU93" s="2400"/>
      <c r="CV93" s="2400"/>
      <c r="CW93" s="240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60"/>
      <c r="DI93" s="60"/>
      <c r="DJ93" s="60"/>
      <c r="DK93" s="60"/>
      <c r="DL93" s="60"/>
      <c r="DM93" s="68"/>
      <c r="DN93" s="68"/>
      <c r="DO93" s="68"/>
      <c r="DP93" s="68"/>
      <c r="DQ93" s="68"/>
      <c r="DR93" s="68"/>
      <c r="DS93" s="68"/>
      <c r="DT93" s="68"/>
      <c r="DU93" s="68"/>
      <c r="DV93" s="68"/>
      <c r="DW93" s="68"/>
      <c r="DX93" s="68"/>
    </row>
    <row r="94" spans="1:128">
      <c r="A94" s="1971" t="s">
        <v>642</v>
      </c>
      <c r="B94" s="63"/>
      <c r="C94" s="760"/>
      <c r="D94" s="740"/>
      <c r="E94" s="740"/>
      <c r="F94" s="740"/>
      <c r="G94" s="739"/>
      <c r="H94" s="205"/>
      <c r="I94" s="760"/>
      <c r="J94" s="740"/>
      <c r="K94" s="740"/>
      <c r="L94" s="740"/>
      <c r="M94" s="739"/>
      <c r="N94" s="63"/>
      <c r="O94" s="750">
        <f>+O96*O14</f>
        <v>26.6</v>
      </c>
      <c r="P94" s="63">
        <f>+P96*P14</f>
        <v>27.8</v>
      </c>
      <c r="Q94" s="63">
        <f>+Q96*Q14</f>
        <v>30</v>
      </c>
      <c r="R94" s="63">
        <f>+R96*R14</f>
        <v>30.400000000000002</v>
      </c>
      <c r="S94" s="191">
        <f>+SUM(O94:R94)</f>
        <v>114.80000000000001</v>
      </c>
      <c r="T94" s="63"/>
      <c r="U94" s="750">
        <f>+U96*U14</f>
        <v>34.6</v>
      </c>
      <c r="V94" s="63">
        <f>+V96*V14</f>
        <v>35.4</v>
      </c>
      <c r="W94" s="63">
        <f>+W96*W14</f>
        <v>32.4</v>
      </c>
      <c r="X94" s="63">
        <f>+X96*X14</f>
        <v>44.800000000000004</v>
      </c>
      <c r="Y94" s="191">
        <f>+SUM(U94:X94)</f>
        <v>147.20000000000002</v>
      </c>
      <c r="Z94" s="63"/>
      <c r="AA94" s="750">
        <f>+AA96*AA14</f>
        <v>34.4</v>
      </c>
      <c r="AB94" s="63">
        <f>+AB96*AB14</f>
        <v>35.4</v>
      </c>
      <c r="AC94" s="63">
        <f>+AC96*AC14</f>
        <v>38</v>
      </c>
      <c r="AD94" s="63">
        <f>+AD96*AD14</f>
        <v>57.2</v>
      </c>
      <c r="AE94" s="191">
        <f>+SUM(AA94:AD94)</f>
        <v>165</v>
      </c>
      <c r="AF94" s="63"/>
      <c r="AG94" s="750">
        <f>+AG96*AG14</f>
        <v>111</v>
      </c>
      <c r="AH94" s="63">
        <f>+AH96*AH14</f>
        <v>105.6</v>
      </c>
      <c r="AI94" s="63">
        <f>+AI96*AI14</f>
        <v>123.3</v>
      </c>
      <c r="AJ94" s="63">
        <f>+AJ96*AJ14</f>
        <v>122.69999999999999</v>
      </c>
      <c r="AK94" s="191">
        <f>+SUM(AG94:AJ94)</f>
        <v>462.59999999999997</v>
      </c>
      <c r="AL94" s="63"/>
      <c r="AM94" s="750">
        <f>+AM96*AM14</f>
        <v>164.4</v>
      </c>
      <c r="AN94" s="63">
        <f>+AN96*AN14</f>
        <v>157.20000000000002</v>
      </c>
      <c r="AO94" s="63">
        <f>+AO96*AO14</f>
        <v>189</v>
      </c>
      <c r="AP94" s="205">
        <f>+AP96*AP14</f>
        <v>186.3</v>
      </c>
      <c r="AQ94" s="191">
        <f>+AQ96*AQ14</f>
        <v>696.89999999999986</v>
      </c>
      <c r="AR94" s="63"/>
      <c r="AS94" s="750">
        <f>+AS96*AS14</f>
        <v>289.98</v>
      </c>
      <c r="AT94" s="63">
        <f>+AT96*AT14</f>
        <v>282</v>
      </c>
      <c r="AU94" s="63">
        <f>+AU96*AU14</f>
        <v>313.5</v>
      </c>
      <c r="AV94" s="205">
        <f>+AW94-AU94-AT94-AS94</f>
        <v>340.45000000000005</v>
      </c>
      <c r="AW94" s="191">
        <f>+AW96*AW14</f>
        <v>1225.93</v>
      </c>
      <c r="AX94" s="1"/>
      <c r="AY94" s="750">
        <f>+AY96*AY14</f>
        <v>334.19078000000007</v>
      </c>
      <c r="AZ94" s="63">
        <f>+AZ96*AZ14</f>
        <v>362.34353233082703</v>
      </c>
      <c r="BA94" s="63">
        <f>+BA96*BA14</f>
        <v>336.45434887218045</v>
      </c>
      <c r="BB94" s="205">
        <f>+BB96*BB14</f>
        <v>460.28663999999998</v>
      </c>
      <c r="BC94" s="191">
        <f>+BC96*BC14</f>
        <v>1493.2753012030075</v>
      </c>
      <c r="BD94" s="9"/>
      <c r="BE94" s="750">
        <f>+BE96*BE14</f>
        <v>481.87129690225555</v>
      </c>
      <c r="BF94" s="63">
        <f>+BF96*BF14</f>
        <v>485.51762826225558</v>
      </c>
      <c r="BG94" s="63">
        <f>+BG96*BG14</f>
        <v>516.35954260799997</v>
      </c>
      <c r="BH94" s="205">
        <f>+BH96*BH14</f>
        <v>500.99855457151995</v>
      </c>
      <c r="BI94" s="191">
        <f>+BI96*BI14</f>
        <v>1984.7470223440312</v>
      </c>
      <c r="BJ94" s="9"/>
      <c r="BK94" s="750">
        <f>+BK96*BK14</f>
        <v>324.94362346784004</v>
      </c>
      <c r="BL94" s="63">
        <f>+BL96*BL14</f>
        <v>273.02999783945603</v>
      </c>
      <c r="BM94" s="63">
        <f>+BM96*BM14</f>
        <v>316.8</v>
      </c>
      <c r="BN94" s="205">
        <f>+BN96*BN14</f>
        <v>286.72000000000003</v>
      </c>
      <c r="BO94" s="191">
        <f>+BO96*BO14</f>
        <v>1201.4936213072958</v>
      </c>
      <c r="BP94" s="9"/>
      <c r="BQ94" s="750">
        <f>+BQ96*BQ14</f>
        <v>282.2</v>
      </c>
      <c r="BR94" s="63">
        <f>+BR96*BR14</f>
        <v>289</v>
      </c>
      <c r="BS94" s="63">
        <f>+BS96*BS14</f>
        <v>289</v>
      </c>
      <c r="BT94" s="205">
        <f>+BT96*BT14</f>
        <v>289</v>
      </c>
      <c r="BU94" s="191">
        <f>+BU96*BU14</f>
        <v>1149.2</v>
      </c>
      <c r="BV94" s="9"/>
      <c r="BW94" s="750">
        <f>+BW96*BW14</f>
        <v>302.39999999999998</v>
      </c>
      <c r="BX94" s="63">
        <f>+BX96*BX14</f>
        <v>302.39999999999998</v>
      </c>
      <c r="BY94" s="63">
        <f>+BY96*BY14</f>
        <v>302.39999999999998</v>
      </c>
      <c r="BZ94" s="205">
        <f>+BZ96*BZ14</f>
        <v>302.39999999999998</v>
      </c>
      <c r="CA94" s="191">
        <f>+CA96*CA14</f>
        <v>1209.5999999999999</v>
      </c>
      <c r="CB94" s="9"/>
      <c r="CC94" s="750">
        <f>+CC96*CC14</f>
        <v>319.2</v>
      </c>
      <c r="CD94" s="63">
        <f>+CD96*CD14</f>
        <v>319.2</v>
      </c>
      <c r="CE94" s="63">
        <f>+CE96*CE14</f>
        <v>319.2</v>
      </c>
      <c r="CF94" s="205">
        <f>+CF96*CF14</f>
        <v>319.2</v>
      </c>
      <c r="CG94" s="191">
        <f>+CG96*CG14</f>
        <v>1276.8</v>
      </c>
      <c r="CH94" s="9"/>
      <c r="CI94" s="750">
        <f>+CI96*CI14</f>
        <v>336</v>
      </c>
      <c r="CJ94" s="63">
        <f>+CJ96*CJ14</f>
        <v>336</v>
      </c>
      <c r="CK94" s="63">
        <f>+CK96*CK14</f>
        <v>336</v>
      </c>
      <c r="CL94" s="205">
        <f>+CL96*CL14</f>
        <v>336</v>
      </c>
      <c r="CM94" s="191">
        <f>+CM96*CM14</f>
        <v>1344</v>
      </c>
      <c r="CN94" s="9"/>
      <c r="CO94" s="750">
        <f>+CO96*CO14</f>
        <v>352.8</v>
      </c>
      <c r="CP94" s="63">
        <f>+CP96*CP14</f>
        <v>352.8</v>
      </c>
      <c r="CQ94" s="63">
        <f>+CQ96*CQ14</f>
        <v>352.8</v>
      </c>
      <c r="CR94" s="205">
        <f>+CR96*CR14</f>
        <v>352.8</v>
      </c>
      <c r="CS94" s="191">
        <f>+CS96*CS14</f>
        <v>1411.2</v>
      </c>
      <c r="CT94" s="205"/>
      <c r="CU94" s="205"/>
      <c r="CV94" s="205"/>
      <c r="CW94" s="205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60"/>
      <c r="DI94" s="60"/>
      <c r="DJ94" s="60"/>
      <c r="DK94" s="60"/>
      <c r="DL94" s="60"/>
      <c r="DM94" s="68"/>
      <c r="DN94" s="68"/>
      <c r="DO94" s="68"/>
      <c r="DP94" s="68"/>
      <c r="DQ94" s="68"/>
      <c r="DR94" s="68"/>
      <c r="DS94" s="68"/>
      <c r="DT94" s="68"/>
      <c r="DU94" s="68"/>
      <c r="DV94" s="68"/>
      <c r="DW94" s="68"/>
      <c r="DX94" s="68"/>
    </row>
    <row r="95" spans="1:128">
      <c r="A95" s="1971" t="s">
        <v>643</v>
      </c>
      <c r="B95" s="63"/>
      <c r="C95" s="760"/>
      <c r="D95" s="740"/>
      <c r="E95" s="740"/>
      <c r="F95" s="740"/>
      <c r="G95" s="739"/>
      <c r="H95" s="205"/>
      <c r="I95" s="760"/>
      <c r="J95" s="740"/>
      <c r="K95" s="740"/>
      <c r="L95" s="740"/>
      <c r="M95" s="739"/>
      <c r="N95" s="63"/>
      <c r="O95" s="750">
        <f>+P95-P94</f>
        <v>164.2</v>
      </c>
      <c r="P95" s="205">
        <f>+Q95-Q94</f>
        <v>192</v>
      </c>
      <c r="Q95" s="205">
        <f>+R95-R94</f>
        <v>222</v>
      </c>
      <c r="R95" s="205">
        <f>+U95-U94</f>
        <v>252.4</v>
      </c>
      <c r="S95" s="191">
        <f>+R95</f>
        <v>252.4</v>
      </c>
      <c r="T95" s="1"/>
      <c r="U95" s="750">
        <f>+V95-V94</f>
        <v>287</v>
      </c>
      <c r="V95" s="205">
        <f>+W95-W94</f>
        <v>322.39999999999998</v>
      </c>
      <c r="W95" s="205">
        <f>+X95-X94</f>
        <v>354.79999999999995</v>
      </c>
      <c r="X95" s="205">
        <f>+AA95-AA94</f>
        <v>399.59999999999997</v>
      </c>
      <c r="Y95" s="191">
        <f>+X95</f>
        <v>399.59999999999997</v>
      </c>
      <c r="Z95" s="1"/>
      <c r="AA95" s="750">
        <f>+AB95-AB94</f>
        <v>433.99999999999994</v>
      </c>
      <c r="AB95" s="205">
        <f>+AC95-AC94</f>
        <v>469.39999999999992</v>
      </c>
      <c r="AC95" s="205">
        <f>+AD95-AD94</f>
        <v>507.39999999999992</v>
      </c>
      <c r="AD95" s="205">
        <f>+AE95</f>
        <v>564.59999999999991</v>
      </c>
      <c r="AE95" s="191">
        <f>+AE15-AE33</f>
        <v>564.59999999999991</v>
      </c>
      <c r="AF95" s="68"/>
      <c r="AG95" s="750">
        <f>+AE95+AG94</f>
        <v>675.59999999999991</v>
      </c>
      <c r="AH95" s="205">
        <f>+AG95+AH94</f>
        <v>781.19999999999993</v>
      </c>
      <c r="AI95" s="205">
        <f>+AH95+AI94</f>
        <v>904.49999999999989</v>
      </c>
      <c r="AJ95" s="205">
        <f>+AI95+AJ94</f>
        <v>1027.1999999999998</v>
      </c>
      <c r="AK95" s="191">
        <f>+AJ95</f>
        <v>1027.1999999999998</v>
      </c>
      <c r="AL95" s="63"/>
      <c r="AM95" s="750">
        <f>+AK95+AM94</f>
        <v>1191.5999999999999</v>
      </c>
      <c r="AN95" s="205">
        <f>+AM95+AN94</f>
        <v>1348.8</v>
      </c>
      <c r="AO95" s="205">
        <f>+AN95+AO94</f>
        <v>1537.8</v>
      </c>
      <c r="AP95" s="205">
        <f>+AO95+AP94</f>
        <v>1724.1</v>
      </c>
      <c r="AQ95" s="191">
        <f>+AP95</f>
        <v>1724.1</v>
      </c>
      <c r="AR95" s="63"/>
      <c r="AS95" s="750">
        <f>+AQ95+AS94</f>
        <v>2014.08</v>
      </c>
      <c r="AT95" s="205">
        <f>+AS95+AT94</f>
        <v>2296.08</v>
      </c>
      <c r="AU95" s="205">
        <f>+AT95+AU94</f>
        <v>2609.58</v>
      </c>
      <c r="AV95" s="205">
        <f>+AU95+AV94</f>
        <v>2950.0299999999997</v>
      </c>
      <c r="AW95" s="191">
        <f>+AV95</f>
        <v>2950.0299999999997</v>
      </c>
      <c r="AX95" s="1"/>
      <c r="AY95" s="750">
        <f>+AW95+AY94</f>
        <v>3284.2207799999996</v>
      </c>
      <c r="AZ95" s="205">
        <f>+AY95+AZ94</f>
        <v>3646.5643123308269</v>
      </c>
      <c r="BA95" s="205">
        <f>+AZ95+BA94</f>
        <v>3983.0186612030075</v>
      </c>
      <c r="BB95" s="205">
        <f>+BA95+BB94</f>
        <v>4443.3053012030077</v>
      </c>
      <c r="BC95" s="191">
        <f>+BB95</f>
        <v>4443.3053012030077</v>
      </c>
      <c r="BD95" s="9"/>
      <c r="BE95" s="750">
        <f>+BC95+BE94</f>
        <v>4925.1765981052631</v>
      </c>
      <c r="BF95" s="205">
        <f>+BE95+BF94</f>
        <v>5410.6942263675191</v>
      </c>
      <c r="BG95" s="205">
        <f>+BF95+BG94</f>
        <v>5927.0537689755192</v>
      </c>
      <c r="BH95" s="205">
        <f>+BG95+BH94</f>
        <v>6428.0523235470391</v>
      </c>
      <c r="BI95" s="191">
        <f>+BH95</f>
        <v>6428.0523235470391</v>
      </c>
      <c r="BJ95" s="9"/>
      <c r="BK95" s="750">
        <f>+BI95+BK94</f>
        <v>6752.9959470148788</v>
      </c>
      <c r="BL95" s="205">
        <f>+BK95+BL94</f>
        <v>7026.0259448543347</v>
      </c>
      <c r="BM95" s="205">
        <f>+BL95+BM94</f>
        <v>7342.8259448543349</v>
      </c>
      <c r="BN95" s="205">
        <f>+BM95+BN94</f>
        <v>7629.5459448543352</v>
      </c>
      <c r="BO95" s="191">
        <f>+BN95</f>
        <v>7629.5459448543352</v>
      </c>
      <c r="BP95" s="9"/>
      <c r="BQ95" s="750">
        <f>+BO95+BQ94</f>
        <v>7911.745944854335</v>
      </c>
      <c r="BR95" s="205">
        <f>+BQ95+BR94</f>
        <v>8200.7459448543341</v>
      </c>
      <c r="BS95" s="205">
        <f>+BR95+BS94</f>
        <v>8489.7459448543341</v>
      </c>
      <c r="BT95" s="205">
        <f>+BS95+BT94</f>
        <v>8778.7459448543341</v>
      </c>
      <c r="BU95" s="191">
        <f>+BT95</f>
        <v>8778.7459448543341</v>
      </c>
      <c r="BV95" s="9"/>
      <c r="BW95" s="750">
        <f>+BU95+BW94</f>
        <v>9081.1459448543337</v>
      </c>
      <c r="BX95" s="205">
        <f>+BW95+BX94</f>
        <v>9383.5459448543334</v>
      </c>
      <c r="BY95" s="205">
        <f>+BX95+BY94</f>
        <v>9685.945944854333</v>
      </c>
      <c r="BZ95" s="205">
        <f>+BY95+BZ94</f>
        <v>9988.3459448543326</v>
      </c>
      <c r="CA95" s="191">
        <f>+BZ95</f>
        <v>9988.3459448543326</v>
      </c>
      <c r="CB95" s="9"/>
      <c r="CC95" s="750">
        <f>+CA95+CC94</f>
        <v>10307.545944854333</v>
      </c>
      <c r="CD95" s="205">
        <f>+CC95+CD94</f>
        <v>10626.745944854334</v>
      </c>
      <c r="CE95" s="205">
        <f>+CD95+CE94</f>
        <v>10945.945944854335</v>
      </c>
      <c r="CF95" s="205">
        <f>+CE95+CF94</f>
        <v>11265.145944854336</v>
      </c>
      <c r="CG95" s="191">
        <f>+CF95</f>
        <v>11265.145944854336</v>
      </c>
      <c r="CH95" s="9"/>
      <c r="CI95" s="750">
        <f>+CG95+CI94</f>
        <v>11601.145944854336</v>
      </c>
      <c r="CJ95" s="205">
        <f>+CI95+CJ94</f>
        <v>11937.145944854336</v>
      </c>
      <c r="CK95" s="205">
        <f>+CJ95+CK94</f>
        <v>12273.145944854336</v>
      </c>
      <c r="CL95" s="205">
        <f>+CK95+CL94</f>
        <v>12609.145944854336</v>
      </c>
      <c r="CM95" s="191">
        <f>+CL95</f>
        <v>12609.145944854336</v>
      </c>
      <c r="CN95" s="9"/>
      <c r="CO95" s="750">
        <f>+CM95+CO94</f>
        <v>12961.945944854335</v>
      </c>
      <c r="CP95" s="205">
        <f>+CO95+CP94</f>
        <v>13314.745944854334</v>
      </c>
      <c r="CQ95" s="205">
        <f>+CP95+CQ94</f>
        <v>13667.545944854333</v>
      </c>
      <c r="CR95" s="205">
        <f>+CQ95+CR94</f>
        <v>14020.345944854333</v>
      </c>
      <c r="CS95" s="191">
        <f>+CR95</f>
        <v>14020.345944854333</v>
      </c>
      <c r="CT95" s="205"/>
      <c r="CU95" s="205"/>
      <c r="CV95" s="205"/>
      <c r="CW95" s="205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60"/>
      <c r="DI95" s="60"/>
      <c r="DJ95" s="60"/>
      <c r="DK95" s="60"/>
      <c r="DL95" s="60"/>
      <c r="DM95" s="68"/>
      <c r="DN95" s="68"/>
      <c r="DO95" s="68"/>
      <c r="DP95" s="68"/>
      <c r="DQ95" s="68"/>
      <c r="DR95" s="68"/>
      <c r="DS95" s="68"/>
      <c r="DT95" s="68"/>
      <c r="DU95" s="68"/>
      <c r="DV95" s="68"/>
      <c r="DW95" s="68"/>
      <c r="DX95" s="68"/>
    </row>
    <row r="96" spans="1:128">
      <c r="A96" s="1985" t="s">
        <v>648</v>
      </c>
      <c r="B96" s="1302"/>
      <c r="C96" s="761"/>
      <c r="D96" s="762"/>
      <c r="E96" s="762"/>
      <c r="F96" s="762"/>
      <c r="G96" s="1986"/>
      <c r="H96" s="86"/>
      <c r="I96" s="761"/>
      <c r="J96" s="762"/>
      <c r="K96" s="762"/>
      <c r="L96" s="762"/>
      <c r="M96" s="1986"/>
      <c r="N96" s="1302"/>
      <c r="O96" s="1993">
        <v>0.2</v>
      </c>
      <c r="P96" s="1994">
        <v>0.2</v>
      </c>
      <c r="Q96" s="1994">
        <v>0.2</v>
      </c>
      <c r="R96" s="1998">
        <v>0.2</v>
      </c>
      <c r="S96" s="1995">
        <v>0.2</v>
      </c>
      <c r="T96" s="1992"/>
      <c r="U96" s="1993">
        <v>0.2</v>
      </c>
      <c r="V96" s="1994">
        <v>0.2</v>
      </c>
      <c r="W96" s="1994">
        <v>0.2</v>
      </c>
      <c r="X96" s="1998">
        <v>0.2</v>
      </c>
      <c r="Y96" s="1995">
        <v>0.2</v>
      </c>
      <c r="Z96" s="1992"/>
      <c r="AA96" s="1993">
        <v>0.2</v>
      </c>
      <c r="AB96" s="1994">
        <v>0.2</v>
      </c>
      <c r="AC96" s="1994">
        <v>0.2</v>
      </c>
      <c r="AD96" s="1998">
        <v>0.2</v>
      </c>
      <c r="AE96" s="1995">
        <v>0.2</v>
      </c>
      <c r="AF96" s="1992"/>
      <c r="AG96" s="1993">
        <v>0.3</v>
      </c>
      <c r="AH96" s="1994">
        <v>0.3</v>
      </c>
      <c r="AI96" s="1994">
        <v>0.3</v>
      </c>
      <c r="AJ96" s="1998">
        <v>0.3</v>
      </c>
      <c r="AK96" s="1990">
        <f>1-AK32</f>
        <v>0.30000000000000004</v>
      </c>
      <c r="AL96" s="1992"/>
      <c r="AM96" s="1993">
        <v>0.4</v>
      </c>
      <c r="AN96" s="1994">
        <v>0.4</v>
      </c>
      <c r="AO96" s="1994">
        <v>0.45</v>
      </c>
      <c r="AP96" s="1994">
        <v>0.45</v>
      </c>
      <c r="AQ96" s="1990">
        <f>1-AQ32</f>
        <v>0.42545787545787539</v>
      </c>
      <c r="AR96" s="1992"/>
      <c r="AS96" s="1988">
        <f>1-AS32</f>
        <v>0.54</v>
      </c>
      <c r="AT96" s="196">
        <f>1-AT32</f>
        <v>0.5</v>
      </c>
      <c r="AU96" s="196">
        <f>1-AU32</f>
        <v>0.55000000000000004</v>
      </c>
      <c r="AV96" s="1989">
        <f>1-AV32</f>
        <v>0.55000000000000004</v>
      </c>
      <c r="AW96" s="1990">
        <f>1-AW32</f>
        <v>0.5353406113537118</v>
      </c>
      <c r="AX96" s="1992"/>
      <c r="AY96" s="1988">
        <f>1-AY32</f>
        <v>0.58000000000000007</v>
      </c>
      <c r="AZ96" s="196">
        <f>1-AZ32</f>
        <v>0.6</v>
      </c>
      <c r="BA96" s="196">
        <f>1-BA32</f>
        <v>0.6</v>
      </c>
      <c r="BB96" s="1989">
        <f>1-BB32</f>
        <v>0.6</v>
      </c>
      <c r="BC96" s="1990">
        <f>1-BC32</f>
        <v>0.5954051727552363</v>
      </c>
      <c r="BD96" s="86"/>
      <c r="BE96" s="1988">
        <f>1-BE32</f>
        <v>0.67999999999999994</v>
      </c>
      <c r="BF96" s="196">
        <f>1-BF32</f>
        <v>0.67999999999999994</v>
      </c>
      <c r="BG96" s="196">
        <f>1-BG32</f>
        <v>0.7</v>
      </c>
      <c r="BH96" s="1989">
        <f>1-BH32</f>
        <v>0.73</v>
      </c>
      <c r="BI96" s="1990">
        <f>1-BI32</f>
        <v>0.69723752173608611</v>
      </c>
      <c r="BJ96" s="86"/>
      <c r="BK96" s="1988">
        <f>1-BK32</f>
        <v>0.65</v>
      </c>
      <c r="BL96" s="196">
        <f>1-BL32</f>
        <v>0.65</v>
      </c>
      <c r="BM96" s="196">
        <f>1-BM32</f>
        <v>0.64</v>
      </c>
      <c r="BN96" s="1989">
        <f>1-BN32</f>
        <v>0.64</v>
      </c>
      <c r="BO96" s="1990">
        <f>1-BO32</f>
        <v>0.64493816134052884</v>
      </c>
      <c r="BP96" s="86"/>
      <c r="BQ96" s="1988">
        <f>1-BQ32</f>
        <v>0.67999999999999994</v>
      </c>
      <c r="BR96" s="196">
        <f>1-BR32</f>
        <v>0.67999999999999994</v>
      </c>
      <c r="BS96" s="196">
        <f>1-BS32</f>
        <v>0.67999999999999994</v>
      </c>
      <c r="BT96" s="1989">
        <f>1-BT32</f>
        <v>0.67999999999999994</v>
      </c>
      <c r="BU96" s="1990">
        <f>1-BU32</f>
        <v>0.68</v>
      </c>
      <c r="BV96" s="86"/>
      <c r="BW96" s="1988">
        <f>1-BW32</f>
        <v>0.72</v>
      </c>
      <c r="BX96" s="196">
        <f>1-BX32</f>
        <v>0.72</v>
      </c>
      <c r="BY96" s="196">
        <f>1-BY32</f>
        <v>0.72</v>
      </c>
      <c r="BZ96" s="1989">
        <f>1-BZ32</f>
        <v>0.72</v>
      </c>
      <c r="CA96" s="1990">
        <f>1-CA32</f>
        <v>0.72</v>
      </c>
      <c r="CB96" s="86"/>
      <c r="CC96" s="1988">
        <f>1-CC32</f>
        <v>0.76</v>
      </c>
      <c r="CD96" s="196">
        <f>1-CD32</f>
        <v>0.76</v>
      </c>
      <c r="CE96" s="196">
        <f>1-CE32</f>
        <v>0.76</v>
      </c>
      <c r="CF96" s="1989">
        <f>1-CF32</f>
        <v>0.76</v>
      </c>
      <c r="CG96" s="1990">
        <f>1-CG32</f>
        <v>0.76</v>
      </c>
      <c r="CH96" s="86"/>
      <c r="CI96" s="1988">
        <f>1-CI32</f>
        <v>0.8</v>
      </c>
      <c r="CJ96" s="196">
        <f>1-CJ32</f>
        <v>0.8</v>
      </c>
      <c r="CK96" s="196">
        <f>1-CK32</f>
        <v>0.8</v>
      </c>
      <c r="CL96" s="1989">
        <f>1-CL32</f>
        <v>0.8</v>
      </c>
      <c r="CM96" s="1990">
        <f>1-CM32</f>
        <v>0.8</v>
      </c>
      <c r="CN96" s="86"/>
      <c r="CO96" s="1988">
        <f>1-CO32</f>
        <v>0.84</v>
      </c>
      <c r="CP96" s="196">
        <f>1-CP32</f>
        <v>0.84</v>
      </c>
      <c r="CQ96" s="196">
        <f>1-CQ32</f>
        <v>0.84</v>
      </c>
      <c r="CR96" s="1989">
        <f>1-CR32</f>
        <v>0.84</v>
      </c>
      <c r="CS96" s="1990">
        <f>1-CS32</f>
        <v>0.84</v>
      </c>
      <c r="CT96" s="2005"/>
      <c r="CU96" s="2005"/>
      <c r="CV96" s="2005"/>
      <c r="CW96" s="2005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60"/>
      <c r="DI96" s="60"/>
      <c r="DJ96" s="60"/>
      <c r="DK96" s="60"/>
      <c r="DL96" s="60"/>
      <c r="DM96" s="68"/>
      <c r="DN96" s="68"/>
      <c r="DO96" s="68"/>
      <c r="DP96" s="68"/>
      <c r="DQ96" s="68"/>
      <c r="DR96" s="68"/>
      <c r="DS96" s="68"/>
      <c r="DT96" s="68"/>
      <c r="DU96" s="68"/>
      <c r="DV96" s="68"/>
      <c r="DW96" s="68"/>
      <c r="DX96" s="68"/>
    </row>
    <row r="97" spans="1:128">
      <c r="A97" s="1984" t="s">
        <v>644</v>
      </c>
      <c r="B97" s="1973"/>
      <c r="C97" s="1974"/>
      <c r="D97" s="1973"/>
      <c r="E97" s="1973"/>
      <c r="F97" s="1973"/>
      <c r="G97" s="1975"/>
      <c r="H97" s="1973"/>
      <c r="I97" s="1974"/>
      <c r="J97" s="1973"/>
      <c r="K97" s="1973"/>
      <c r="L97" s="1973"/>
      <c r="M97" s="1975"/>
      <c r="N97" s="1973"/>
      <c r="O97" s="1974"/>
      <c r="P97" s="1973"/>
      <c r="Q97" s="1973"/>
      <c r="R97" s="1973"/>
      <c r="S97" s="1975"/>
      <c r="T97" s="1973"/>
      <c r="U97" s="1974"/>
      <c r="V97" s="1973"/>
      <c r="W97" s="1973"/>
      <c r="X97" s="1973"/>
      <c r="Y97" s="1975"/>
      <c r="Z97" s="1973"/>
      <c r="AA97" s="1974"/>
      <c r="AB97" s="1973"/>
      <c r="AC97" s="1973"/>
      <c r="AD97" s="1973"/>
      <c r="AE97" s="1975"/>
      <c r="AF97" s="1973"/>
      <c r="AG97" s="1974"/>
      <c r="AH97" s="1973"/>
      <c r="AI97" s="1973"/>
      <c r="AJ97" s="1973"/>
      <c r="AK97" s="1976"/>
      <c r="AL97" s="1973"/>
      <c r="AM97" s="1974"/>
      <c r="AN97" s="1977"/>
      <c r="AO97" s="1977"/>
      <c r="AP97" s="1978"/>
      <c r="AQ97" s="1975"/>
      <c r="AR97" s="1973"/>
      <c r="AS97" s="1979"/>
      <c r="AT97" s="1980"/>
      <c r="AU97" s="1980"/>
      <c r="AV97" s="1981"/>
      <c r="AW97" s="1982"/>
      <c r="AX97" s="1981"/>
      <c r="AY97" s="1983"/>
      <c r="AZ97" s="1981"/>
      <c r="BA97" s="1981"/>
      <c r="BB97" s="1981"/>
      <c r="BC97" s="1982"/>
      <c r="BD97" s="1981"/>
      <c r="BE97" s="1983"/>
      <c r="BF97" s="1981"/>
      <c r="BG97" s="1981"/>
      <c r="BH97" s="1981"/>
      <c r="BI97" s="1982"/>
      <c r="BJ97" s="1981"/>
      <c r="BK97" s="1983"/>
      <c r="BL97" s="1981"/>
      <c r="BM97" s="1981"/>
      <c r="BN97" s="1981"/>
      <c r="BO97" s="1982"/>
      <c r="BP97" s="1981"/>
      <c r="BQ97" s="1983"/>
      <c r="BR97" s="1981"/>
      <c r="BS97" s="1981"/>
      <c r="BT97" s="1981"/>
      <c r="BU97" s="1982"/>
      <c r="BV97" s="1981"/>
      <c r="BW97" s="1983"/>
      <c r="BX97" s="1981"/>
      <c r="BY97" s="1981"/>
      <c r="BZ97" s="1981"/>
      <c r="CA97" s="1982"/>
      <c r="CB97" s="1981"/>
      <c r="CC97" s="1983"/>
      <c r="CD97" s="1981"/>
      <c r="CE97" s="1981"/>
      <c r="CF97" s="1981"/>
      <c r="CG97" s="1982"/>
      <c r="CH97" s="1981"/>
      <c r="CI97" s="1983"/>
      <c r="CJ97" s="1981"/>
      <c r="CK97" s="1981"/>
      <c r="CL97" s="1981"/>
      <c r="CM97" s="1982"/>
      <c r="CN97" s="1981"/>
      <c r="CO97" s="1983"/>
      <c r="CP97" s="1981"/>
      <c r="CQ97" s="1981"/>
      <c r="CR97" s="1981"/>
      <c r="CS97" s="1982"/>
      <c r="CT97" s="2400"/>
      <c r="CU97" s="2400"/>
      <c r="CV97" s="2400"/>
      <c r="CW97" s="240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60"/>
      <c r="DI97" s="60"/>
      <c r="DJ97" s="60"/>
      <c r="DK97" s="60"/>
      <c r="DL97" s="60"/>
      <c r="DM97" s="68"/>
      <c r="DN97" s="68"/>
      <c r="DO97" s="68"/>
      <c r="DP97" s="68"/>
      <c r="DQ97" s="68"/>
      <c r="DR97" s="68"/>
      <c r="DS97" s="68"/>
      <c r="DT97" s="68"/>
      <c r="DU97" s="68"/>
      <c r="DV97" s="68"/>
      <c r="DW97" s="68"/>
      <c r="DX97" s="68"/>
    </row>
    <row r="98" spans="1:128">
      <c r="A98" s="2098" t="s">
        <v>570</v>
      </c>
      <c r="B98" s="2098"/>
      <c r="C98" s="2099"/>
      <c r="D98" s="2097"/>
      <c r="E98" s="2097"/>
      <c r="F98" s="2097"/>
      <c r="G98" s="2100"/>
      <c r="H98" s="2097"/>
      <c r="I98" s="2099"/>
      <c r="J98" s="2097"/>
      <c r="K98" s="2097"/>
      <c r="L98" s="2097"/>
      <c r="M98" s="2100"/>
      <c r="N98" s="2097"/>
      <c r="O98" s="2099"/>
      <c r="P98" s="2097"/>
      <c r="Q98" s="2097"/>
      <c r="R98" s="2097"/>
      <c r="S98" s="2100"/>
      <c r="T98" s="2097"/>
      <c r="U98" s="2099"/>
      <c r="V98" s="2097"/>
      <c r="W98" s="2097"/>
      <c r="X98" s="2097"/>
      <c r="Y98" s="2100"/>
      <c r="Z98" s="2097"/>
      <c r="AA98" s="2099"/>
      <c r="AB98" s="2097"/>
      <c r="AC98" s="2097"/>
      <c r="AD98" s="2097"/>
      <c r="AE98" s="2100"/>
      <c r="AF98" s="2097"/>
      <c r="AG98" s="2099"/>
      <c r="AH98" s="2097"/>
      <c r="AI98" s="2097"/>
      <c r="AJ98" s="2097"/>
      <c r="AK98" s="2100"/>
      <c r="AL98" s="2097"/>
      <c r="AM98" s="2099">
        <f>+End_Mkts!AS98/(1+End_Mkts!AS102)</f>
        <v>48.771163557718296</v>
      </c>
      <c r="AN98" s="2097">
        <f>+End_Mkts!AT98/(1+End_Mkts!AT102)</f>
        <v>66.666666666666657</v>
      </c>
      <c r="AO98" s="2097">
        <f>+End_Mkts!AU98/(1+End_Mkts!AU102)</f>
        <v>67.857142857142861</v>
      </c>
      <c r="AP98" s="2097">
        <f>+End_Mkts!AV98/(1+End_Mkts!AV102)</f>
        <v>67.857142857142861</v>
      </c>
      <c r="AQ98" s="2100">
        <f>+SUM(AM98:AP98)</f>
        <v>251.15211593867068</v>
      </c>
      <c r="AR98" s="2097"/>
      <c r="AS98" s="2099">
        <f>+(End_Mkts!AY98-RevBuild!AZ185*0.5)/(1+End_Mkts!AY102)</f>
        <v>65.841070802919702</v>
      </c>
      <c r="AT98" s="2097">
        <v>90</v>
      </c>
      <c r="AU98" s="2097">
        <v>95</v>
      </c>
      <c r="AV98" s="2097">
        <v>95</v>
      </c>
      <c r="AW98" s="2100">
        <f>+SUM(AS98:AV98)</f>
        <v>345.84107080291972</v>
      </c>
      <c r="AX98" s="2097"/>
      <c r="AY98" s="2099">
        <f>100+RevBuild!AZ185*0.2</f>
        <v>106.53182200000001</v>
      </c>
      <c r="AZ98" s="2097">
        <f>+End_Mkts!AT98*(1+End_Mkts!AZ102)</f>
        <v>121.50000000000001</v>
      </c>
      <c r="BA98" s="2097">
        <f>0.204*550</f>
        <v>112.19999999999999</v>
      </c>
      <c r="BB98" s="2097">
        <f>+(1+BB102)*AV98</f>
        <v>128.25</v>
      </c>
      <c r="BC98" s="2100">
        <f>+SUM(AY98:BB98)</f>
        <v>468.48182200000002</v>
      </c>
      <c r="BD98" s="2097"/>
      <c r="BE98" s="2099">
        <f>+AY101*(1+BE99)</f>
        <v>116.386015535</v>
      </c>
      <c r="BF98" s="2097">
        <f>+AZ101*(1+BF99)</f>
        <v>139.6764</v>
      </c>
      <c r="BG98" s="2097">
        <f>+BA101*(1+BG99)</f>
        <v>134.63999999999999</v>
      </c>
      <c r="BH98" s="2097">
        <f>+BB101*(1+BH99)</f>
        <v>155.82374999999999</v>
      </c>
      <c r="BI98" s="2100">
        <f>+SUM(BE98:BH98)</f>
        <v>546.52616553500002</v>
      </c>
      <c r="BJ98" s="2097"/>
      <c r="BK98" s="2099">
        <f>+BE101*(1+BK99)</f>
        <v>172.833233069475</v>
      </c>
      <c r="BL98" s="2097">
        <f>+BF101*(1+BL99)</f>
        <v>182.24961493710032</v>
      </c>
      <c r="BM98" s="2097">
        <f>+BG101*(1+BM99)</f>
        <v>181.93405092285192</v>
      </c>
      <c r="BN98" s="2097">
        <f>+BH101*(1+BN99)</f>
        <v>216.49194464263468</v>
      </c>
      <c r="BO98" s="2100">
        <f>+SUM(BK98:BN98)</f>
        <v>753.50884357206201</v>
      </c>
      <c r="BP98" s="2097"/>
      <c r="BQ98" s="2099">
        <f>+BK101*(1+BQ99)</f>
        <v>257.95360035619143</v>
      </c>
      <c r="BR98" s="2097">
        <f>+BL101*(1+BR99)</f>
        <v>235.73987692113928</v>
      </c>
      <c r="BS98" s="2097">
        <f>+BM101*(1+BS99)</f>
        <v>246.83902358957934</v>
      </c>
      <c r="BT98" s="2097">
        <f>+BN101*(1+BT99)</f>
        <v>307.93814205968357</v>
      </c>
      <c r="BU98" s="2100">
        <f>+SUM(BQ98:BT98)</f>
        <v>1048.4706429265937</v>
      </c>
      <c r="BV98" s="2097"/>
      <c r="BW98" s="2099">
        <f>+BQ101*(1+BW99)</f>
        <v>398.53831255031582</v>
      </c>
      <c r="BX98" s="2097">
        <f>+BR101*(1+BX99)</f>
        <v>313.81692415742066</v>
      </c>
      <c r="BY98" s="2097">
        <f>+BS101*(1+BY99)</f>
        <v>336.56500866439143</v>
      </c>
      <c r="BZ98" s="2097">
        <f>+BT101*(1+BZ99)</f>
        <v>435.4245328723926</v>
      </c>
      <c r="CA98" s="2100">
        <f>+SUM(BW98:BZ98)</f>
        <v>1484.3447782445205</v>
      </c>
      <c r="CB98" s="2097"/>
      <c r="CC98" s="2099">
        <f>+BW101*(1+CC99)</f>
        <v>597.80746882547373</v>
      </c>
      <c r="CD98" s="2097">
        <f>+BX101*(1+CD99)</f>
        <v>407.96200140464686</v>
      </c>
      <c r="CE98" s="2097">
        <f>+BY101*(1+CE99)</f>
        <v>454.36276169692843</v>
      </c>
      <c r="CF98" s="2097">
        <f>+BZ101*(1+CF99)</f>
        <v>609.59434602134957</v>
      </c>
      <c r="CG98" s="2100">
        <f>+SUM(CC98:CF98)</f>
        <v>2069.7265779483987</v>
      </c>
      <c r="CH98" s="2097"/>
      <c r="CI98" s="2099">
        <f>+CC101*(1+CI99)</f>
        <v>896.7112032382106</v>
      </c>
      <c r="CJ98" s="2097">
        <f>+CD101*(1+CJ99)</f>
        <v>530.35060182604093</v>
      </c>
      <c r="CK98" s="2097">
        <f>+CE101*(1+CK99)</f>
        <v>613.38972829085344</v>
      </c>
      <c r="CL98" s="2097">
        <f>+CF101*(1+CL99)</f>
        <v>853.4320844298893</v>
      </c>
      <c r="CM98" s="2100">
        <f>+SUM(CI98:CL98)</f>
        <v>2893.8836177849944</v>
      </c>
      <c r="CN98" s="2097"/>
      <c r="CO98" s="2099">
        <f>+CI101*(1+CO99)</f>
        <v>1345.0668048573159</v>
      </c>
      <c r="CP98" s="2097">
        <f>+CJ101*(1+CP99)</f>
        <v>689.45578237385325</v>
      </c>
      <c r="CQ98" s="2097">
        <f>+CK101*(1+CQ99)</f>
        <v>828.07613319265215</v>
      </c>
      <c r="CR98" s="2097">
        <f>+CL101*(1+CR99)</f>
        <v>1194.8049182018449</v>
      </c>
      <c r="CS98" s="2100">
        <f>+SUM(CO98:CR98)</f>
        <v>4057.4036386256662</v>
      </c>
      <c r="CT98" s="2097"/>
      <c r="CU98" s="2097"/>
      <c r="CV98" s="2097"/>
      <c r="CW98" s="2097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60"/>
      <c r="DI98" s="60"/>
      <c r="DJ98" s="60"/>
      <c r="DK98" s="60"/>
      <c r="DL98" s="60"/>
      <c r="DM98" s="68"/>
      <c r="DN98" s="68"/>
      <c r="DO98" s="68"/>
      <c r="DP98" s="68"/>
      <c r="DQ98" s="68"/>
      <c r="DR98" s="68"/>
      <c r="DS98" s="68"/>
      <c r="DT98" s="68"/>
      <c r="DU98" s="68"/>
      <c r="DV98" s="68"/>
      <c r="DW98" s="68"/>
      <c r="DX98" s="68"/>
    </row>
    <row r="99" spans="1:128">
      <c r="A99" s="2187" t="s">
        <v>593</v>
      </c>
      <c r="B99" s="3"/>
      <c r="C99" s="2188"/>
      <c r="D99" s="2189"/>
      <c r="E99" s="2189"/>
      <c r="F99" s="2189"/>
      <c r="G99" s="2190"/>
      <c r="H99" s="2191"/>
      <c r="I99" s="2192"/>
      <c r="J99" s="2191"/>
      <c r="K99" s="2191"/>
      <c r="L99" s="2191"/>
      <c r="M99" s="2190"/>
      <c r="N99" s="2193"/>
      <c r="O99" s="2188"/>
      <c r="P99" s="2189"/>
      <c r="Q99" s="2189"/>
      <c r="R99" s="2194"/>
      <c r="S99" s="2195"/>
      <c r="T99" s="2196"/>
      <c r="U99" s="2188"/>
      <c r="V99" s="2189"/>
      <c r="W99" s="2189"/>
      <c r="X99" s="2194"/>
      <c r="Y99" s="2195"/>
      <c r="Z99" s="2196"/>
      <c r="AA99" s="2188"/>
      <c r="AB99" s="2189"/>
      <c r="AC99" s="2189"/>
      <c r="AD99" s="2194"/>
      <c r="AE99" s="2195"/>
      <c r="AF99" s="2196"/>
      <c r="AG99" s="2188"/>
      <c r="AH99" s="2189"/>
      <c r="AI99" s="2189"/>
      <c r="AJ99" s="2189"/>
      <c r="AK99" s="2195"/>
      <c r="AL99" s="3"/>
      <c r="AM99" s="2188"/>
      <c r="AN99" s="2189"/>
      <c r="AO99" s="2189"/>
      <c r="AP99" s="2189"/>
      <c r="AQ99" s="2195"/>
      <c r="AR99" s="3"/>
      <c r="AS99" s="2188">
        <f>+AS98/AM101-1</f>
        <v>0.42235865320068089</v>
      </c>
      <c r="AT99" s="2189">
        <f>+AT98/AN101-1</f>
        <v>0.3996881572098987</v>
      </c>
      <c r="AU99" s="2189">
        <f>+AU98/AO101-1</f>
        <v>0.37083129695803452</v>
      </c>
      <c r="AV99" s="2189">
        <f>+AV98/AP101-1</f>
        <v>0.43987579453115</v>
      </c>
      <c r="AW99" s="2195">
        <f>+AW98/AQ101-1</f>
        <v>0.40660690348908424</v>
      </c>
      <c r="AX99" s="3"/>
      <c r="AY99" s="2188">
        <f>+AY98/AS101-1</f>
        <v>0.60937049792385478</v>
      </c>
      <c r="AZ99" s="2189">
        <f>+AZ98/AT101-1</f>
        <v>0.33753750275032712</v>
      </c>
      <c r="BA99" s="2189">
        <f>+BA98/AU101-1</f>
        <v>0.18024112202728215</v>
      </c>
      <c r="BB99" s="2189">
        <f>+BB98/AV101-1</f>
        <v>0.37213849696340184</v>
      </c>
      <c r="BC99" s="2195">
        <f>+BC98/AW101-1</f>
        <v>0.35569478425479173</v>
      </c>
      <c r="BD99" s="3"/>
      <c r="BE99" s="2922">
        <v>0.15</v>
      </c>
      <c r="BF99" s="2923">
        <v>0.2</v>
      </c>
      <c r="BG99" s="2923">
        <v>0.25</v>
      </c>
      <c r="BH99" s="2923">
        <v>0.25</v>
      </c>
      <c r="BI99" s="2195">
        <f>+BI98/BC101-1</f>
        <v>0.2145748413564128</v>
      </c>
      <c r="BJ99" s="3"/>
      <c r="BK99" s="2922">
        <v>0.5</v>
      </c>
      <c r="BL99" s="2923">
        <v>0.3</v>
      </c>
      <c r="BM99" s="2923">
        <v>0.35</v>
      </c>
      <c r="BN99" s="2923">
        <v>0.4</v>
      </c>
      <c r="BO99" s="2195">
        <f>+BO98/BI101-1</f>
        <v>0.38304884056547572</v>
      </c>
      <c r="BP99" s="3"/>
      <c r="BQ99" s="2188">
        <f>+BK99</f>
        <v>0.5</v>
      </c>
      <c r="BR99" s="2189">
        <f>+BL99</f>
        <v>0.3</v>
      </c>
      <c r="BS99" s="2189">
        <f>+BM99</f>
        <v>0.35</v>
      </c>
      <c r="BT99" s="2189">
        <f>+BN99</f>
        <v>0.4</v>
      </c>
      <c r="BU99" s="2195">
        <f>+BU98/BO101-1</f>
        <v>0.38666972208263273</v>
      </c>
      <c r="BV99" s="3"/>
      <c r="BW99" s="2188">
        <f>+BQ99</f>
        <v>0.5</v>
      </c>
      <c r="BX99" s="2189">
        <f>+BR99</f>
        <v>0.3</v>
      </c>
      <c r="BY99" s="2189">
        <f>+BS99</f>
        <v>0.35</v>
      </c>
      <c r="BZ99" s="2189">
        <f>+BT99</f>
        <v>0.4</v>
      </c>
      <c r="CA99" s="2195">
        <f>+CA98/BU101-1</f>
        <v>0.39059792552741612</v>
      </c>
      <c r="CB99" s="3"/>
      <c r="CC99" s="2188">
        <f>+BW99</f>
        <v>0.5</v>
      </c>
      <c r="CD99" s="2189">
        <f>+BX99</f>
        <v>0.3</v>
      </c>
      <c r="CE99" s="2189">
        <f>+BY99</f>
        <v>0.35</v>
      </c>
      <c r="CF99" s="2189">
        <f>+BZ99</f>
        <v>0.4</v>
      </c>
      <c r="CG99" s="2195">
        <f>+CG98/CA101-1</f>
        <v>0.39437050494170744</v>
      </c>
      <c r="CH99" s="3"/>
      <c r="CI99" s="2188">
        <f>+CC99</f>
        <v>0.5</v>
      </c>
      <c r="CJ99" s="2189">
        <f>+CD99</f>
        <v>0.3</v>
      </c>
      <c r="CK99" s="2189">
        <f>+CE99</f>
        <v>0.35</v>
      </c>
      <c r="CL99" s="2189">
        <f>+CF99</f>
        <v>0.4</v>
      </c>
      <c r="CM99" s="2195">
        <f>+CM98/CG101-1</f>
        <v>0.3981960944104681</v>
      </c>
      <c r="CN99" s="3"/>
      <c r="CO99" s="2188">
        <f>+CI99</f>
        <v>0.5</v>
      </c>
      <c r="CP99" s="2189">
        <f>+CJ99</f>
        <v>0.3</v>
      </c>
      <c r="CQ99" s="2189">
        <f>+CK99</f>
        <v>0.35</v>
      </c>
      <c r="CR99" s="2189">
        <f>+CL99</f>
        <v>0.4</v>
      </c>
      <c r="CS99" s="2195">
        <f>+CS98/CM101-1</f>
        <v>0.4020617877270547</v>
      </c>
      <c r="CT99" s="2189"/>
      <c r="CU99" s="2189"/>
      <c r="CV99" s="2189"/>
      <c r="CW99" s="2189"/>
      <c r="CX99" s="194"/>
      <c r="CY99" s="194"/>
      <c r="CZ99" s="194"/>
      <c r="DA99" s="194"/>
      <c r="DB99" s="194"/>
      <c r="DC99" s="194"/>
      <c r="DD99" s="194"/>
      <c r="DE99" s="194"/>
      <c r="DF99" s="194"/>
      <c r="DG99" s="194"/>
      <c r="DH99" s="194"/>
      <c r="DI99" s="194"/>
      <c r="DJ99" s="194"/>
      <c r="DK99" s="194"/>
      <c r="DL99" s="194"/>
      <c r="DM99" s="1987"/>
      <c r="DN99" s="1987"/>
      <c r="DO99" s="1987"/>
      <c r="DP99" s="1987"/>
      <c r="DQ99" s="1987"/>
      <c r="DR99" s="1987"/>
      <c r="DS99" s="1987"/>
      <c r="DT99" s="1987"/>
      <c r="DU99" s="1987"/>
      <c r="DV99" s="1987"/>
      <c r="DW99" s="1987"/>
      <c r="DX99" s="1987"/>
    </row>
    <row r="100" spans="1:128">
      <c r="A100" s="1991" t="s">
        <v>612</v>
      </c>
      <c r="B100" s="2000"/>
      <c r="C100" s="2001"/>
      <c r="D100" s="2002"/>
      <c r="E100" s="2002"/>
      <c r="F100" s="2002"/>
      <c r="G100" s="2003"/>
      <c r="H100" s="2002"/>
      <c r="I100" s="2001"/>
      <c r="J100" s="2002"/>
      <c r="K100" s="2002"/>
      <c r="L100" s="2002"/>
      <c r="M100" s="2003"/>
      <c r="N100" s="2000"/>
      <c r="O100" s="2004"/>
      <c r="P100" s="2005"/>
      <c r="Q100" s="2005"/>
      <c r="R100" s="1999"/>
      <c r="S100" s="1990"/>
      <c r="T100" s="2006"/>
      <c r="U100" s="2004"/>
      <c r="V100" s="2005"/>
      <c r="W100" s="2005"/>
      <c r="X100" s="1999"/>
      <c r="Y100" s="1990"/>
      <c r="Z100" s="2006"/>
      <c r="AA100" s="2004"/>
      <c r="AB100" s="2005"/>
      <c r="AC100" s="2005"/>
      <c r="AD100" s="1999"/>
      <c r="AE100" s="1990"/>
      <c r="AF100" s="2006"/>
      <c r="AG100" s="2004"/>
      <c r="AH100" s="2005"/>
      <c r="AI100" s="2005"/>
      <c r="AJ100" s="1999"/>
      <c r="AK100" s="1990"/>
      <c r="AL100" s="2006"/>
      <c r="AM100" s="2004">
        <f>+AM98/AM$9</f>
        <v>0.14143356453226574</v>
      </c>
      <c r="AN100" s="2005">
        <f>+AN98/AN$9</f>
        <v>0.18723678352980472</v>
      </c>
      <c r="AO100" s="2005">
        <f>+AO98/AO$9</f>
        <v>0.19348111332397805</v>
      </c>
      <c r="AP100" s="2005">
        <f>+AP98/AP$9</f>
        <v>0.17140370544633601</v>
      </c>
      <c r="AQ100" s="1990">
        <f>+AQ98/AQ$9</f>
        <v>0.17350777890687785</v>
      </c>
      <c r="AR100" s="2006"/>
      <c r="AS100" s="2004">
        <f>+AS98/AS$9</f>
        <v>0.15713733239470398</v>
      </c>
      <c r="AT100" s="2005">
        <f>+AT98/AT$9</f>
        <v>0.20254610749302426</v>
      </c>
      <c r="AU100" s="2005">
        <f>+AU98/AU$9</f>
        <v>0.19775818340302301</v>
      </c>
      <c r="AV100" s="1999">
        <f>+AV98/AV$9</f>
        <v>0.18317552660710013</v>
      </c>
      <c r="AW100" s="1990">
        <f>+AW98/AW$9</f>
        <v>0.18570048541187392</v>
      </c>
      <c r="AX100" s="2007"/>
      <c r="AY100" s="2004">
        <f>+AY98/AY$9</f>
        <v>0.19036999821570269</v>
      </c>
      <c r="AZ100" s="2005">
        <f>+AZ98/AZ$9</f>
        <v>0.21769101373251176</v>
      </c>
      <c r="BA100" s="2005">
        <f>+BA98/BA$9</f>
        <v>0.19728749042575411</v>
      </c>
      <c r="BB100" s="1999">
        <f>+BB98/BB$9</f>
        <v>0.21167047446858631</v>
      </c>
      <c r="BC100" s="1990">
        <f>+BC98/BC$9</f>
        <v>0.20436817137458091</v>
      </c>
      <c r="BD100" s="1"/>
      <c r="BE100" s="2004">
        <f>+BE98/BE$9</f>
        <v>0.20165691375176911</v>
      </c>
      <c r="BF100" s="2005">
        <f>+BF98/BF$9</f>
        <v>0.23353965662346926</v>
      </c>
      <c r="BG100" s="2005">
        <f>+BG98/BG$9</f>
        <v>0.22213463060737892</v>
      </c>
      <c r="BH100" s="1999">
        <f>+BH98/BH$9</f>
        <v>0.24979318908460282</v>
      </c>
      <c r="BI100" s="1990">
        <f>+BI98/BI$9</f>
        <v>0.22723041622937237</v>
      </c>
      <c r="BJ100" s="9"/>
      <c r="BK100" s="2004">
        <f>+BK98/BK$9</f>
        <v>0.28764366728892049</v>
      </c>
      <c r="BL100" s="2005">
        <f>+BL98/BL$9</f>
        <v>0.27389466775148141</v>
      </c>
      <c r="BM100" s="2005">
        <f>+BM98/BM$9</f>
        <v>0.25585917207764308</v>
      </c>
      <c r="BN100" s="1999">
        <f>+BN98/BN$9</f>
        <v>0.28202743734463764</v>
      </c>
      <c r="BO100" s="1990">
        <f>+BO98/BO$9</f>
        <v>0.2745065621758242</v>
      </c>
      <c r="BP100" s="9"/>
      <c r="BQ100" s="2004">
        <f>+BQ98/BQ$9</f>
        <v>0.33760908875767798</v>
      </c>
      <c r="BR100" s="2005">
        <f>+BR98/BR$9</f>
        <v>0.30436327326879137</v>
      </c>
      <c r="BS100" s="2005">
        <f>+BS98/BS$9</f>
        <v>0.30911461134847357</v>
      </c>
      <c r="BT100" s="1999">
        <f>+BT98/BT$9</f>
        <v>0.36987666548253778</v>
      </c>
      <c r="BU100" s="1990">
        <f>+BU98/BU$9</f>
        <v>0.33078196462894971</v>
      </c>
      <c r="BV100" s="9"/>
      <c r="BW100" s="2004">
        <f>+BW98/BW$9</f>
        <v>0.45669205406271079</v>
      </c>
      <c r="BX100" s="2005">
        <f>+BX98/BX$9</f>
        <v>0.36061637134814228</v>
      </c>
      <c r="BY100" s="2005">
        <f>+BY98/BY$9</f>
        <v>0.38156323484741189</v>
      </c>
      <c r="BZ100" s="1999">
        <f>+BZ98/BZ$9</f>
        <v>0.47440756182872429</v>
      </c>
      <c r="CA100" s="1990">
        <f>+CA98/CA$9</f>
        <v>0.41897698300747382</v>
      </c>
      <c r="CB100" s="9"/>
      <c r="CC100" s="2004">
        <f>+CC98/CC$9</f>
        <v>0.62188414184523166</v>
      </c>
      <c r="CD100" s="2005">
        <f>+CD98/CD$9</f>
        <v>0.42520274677421316</v>
      </c>
      <c r="CE100" s="2005">
        <f>+CE98/CE$9</f>
        <v>0.46733253838007605</v>
      </c>
      <c r="CF100" s="1999">
        <f>+CF98/CF$9</f>
        <v>0.60173659974740046</v>
      </c>
      <c r="CG100" s="1990">
        <f>+CG98/CG$9</f>
        <v>0.52987810175594907</v>
      </c>
      <c r="CH100" s="9"/>
      <c r="CI100" s="2004">
        <f>+CI98/CI$9</f>
        <v>0.84469908007678951</v>
      </c>
      <c r="CJ100" s="2005">
        <f>+CJ98/CJ$9</f>
        <v>0.50063181939396151</v>
      </c>
      <c r="CK100" s="2005">
        <f>+CK98/CK$9</f>
        <v>0.57171857553066596</v>
      </c>
      <c r="CL100" s="1999">
        <f>+CL98/CL$9</f>
        <v>0.76153610481125611</v>
      </c>
      <c r="CM100" s="1990">
        <f>+CM98/CM$9</f>
        <v>0.67073492800816015</v>
      </c>
      <c r="CN100" s="9"/>
      <c r="CO100" s="2004">
        <f>+CO98/CO$9</f>
        <v>1.1522674704057219</v>
      </c>
      <c r="CP100" s="2005">
        <f>+CP98/CP$9</f>
        <v>0.58928068051817506</v>
      </c>
      <c r="CQ100" s="2005">
        <f>+CQ98/CQ$9</f>
        <v>0.69630620863028148</v>
      </c>
      <c r="CR100" s="1999">
        <f>+CR98/CR$9</f>
        <v>0.96071540404468181</v>
      </c>
      <c r="CS100" s="1990">
        <f>+CS98/CS$9</f>
        <v>0.85056945330642464</v>
      </c>
      <c r="CT100" s="2005"/>
      <c r="CU100" s="2005"/>
      <c r="CV100" s="2005"/>
      <c r="CW100" s="2005"/>
      <c r="CX100" s="194"/>
      <c r="CY100" s="194"/>
      <c r="CZ100" s="194"/>
      <c r="DA100" s="194"/>
      <c r="DB100" s="194"/>
      <c r="DC100" s="194"/>
      <c r="DD100" s="194"/>
      <c r="DE100" s="194"/>
      <c r="DF100" s="194"/>
      <c r="DG100" s="194"/>
      <c r="DH100" s="194"/>
      <c r="DI100" s="194"/>
      <c r="DJ100" s="194"/>
      <c r="DK100" s="194"/>
      <c r="DL100" s="194"/>
      <c r="DM100" s="1987"/>
      <c r="DN100" s="1987"/>
      <c r="DO100" s="1987"/>
      <c r="DP100" s="1987"/>
      <c r="DQ100" s="1987"/>
      <c r="DR100" s="1987"/>
      <c r="DS100" s="1987"/>
      <c r="DT100" s="1987"/>
      <c r="DU100" s="1987"/>
      <c r="DV100" s="1987"/>
      <c r="DW100" s="1987"/>
      <c r="DX100" s="1987"/>
    </row>
    <row r="101" spans="1:128">
      <c r="A101" s="2092" t="s">
        <v>645</v>
      </c>
      <c r="B101" s="2117"/>
      <c r="C101" s="2118"/>
      <c r="D101" s="2119"/>
      <c r="E101" s="2119"/>
      <c r="F101" s="2119"/>
      <c r="G101" s="2120"/>
      <c r="H101" s="2119"/>
      <c r="I101" s="2118"/>
      <c r="J101" s="2119"/>
      <c r="K101" s="2119"/>
      <c r="L101" s="2119"/>
      <c r="M101" s="2120"/>
      <c r="N101" s="2117"/>
      <c r="O101" s="2121"/>
      <c r="P101" s="2122"/>
      <c r="Q101" s="2122"/>
      <c r="R101" s="2122"/>
      <c r="S101" s="2123"/>
      <c r="T101" s="2124"/>
      <c r="U101" s="2121"/>
      <c r="V101" s="2122"/>
      <c r="W101" s="2122"/>
      <c r="X101" s="2122"/>
      <c r="Y101" s="2123"/>
      <c r="Z101" s="2124"/>
      <c r="AA101" s="2121"/>
      <c r="AB101" s="2122"/>
      <c r="AC101" s="2122"/>
      <c r="AD101" s="2122"/>
      <c r="AE101" s="2123"/>
      <c r="AF101" s="2124"/>
      <c r="AG101" s="2121"/>
      <c r="AH101" s="2122"/>
      <c r="AI101" s="2122"/>
      <c r="AJ101" s="2122"/>
      <c r="AK101" s="2123"/>
      <c r="AL101" s="2124"/>
      <c r="AM101" s="2099">
        <f>+AM98*(1+AM$11)</f>
        <v>46.290062393728881</v>
      </c>
      <c r="AN101" s="2097">
        <f>+AN98*(1+AN$11)</f>
        <v>64.300036787768221</v>
      </c>
      <c r="AO101" s="2097">
        <f>+AO98*(1+AO$11)</f>
        <v>69.301014800881262</v>
      </c>
      <c r="AP101" s="2097">
        <f>+AP98*(1+AP$11)</f>
        <v>65.977913067796067</v>
      </c>
      <c r="AQ101" s="2100">
        <f>+SUM(AM101:AP101)</f>
        <v>245.86902705017442</v>
      </c>
      <c r="AR101" s="2098"/>
      <c r="AS101" s="2099">
        <f>+AS98*(1+AS$11)</f>
        <v>66.194715348286707</v>
      </c>
      <c r="AT101" s="2097">
        <f>+AT98*(1+AT$11)</f>
        <v>90.838574432615331</v>
      </c>
      <c r="AU101" s="2097">
        <f>+AU98*(1+AU$11)</f>
        <v>95.065320048564104</v>
      </c>
      <c r="AV101" s="2097">
        <f>+AV98*(1+AV$11)</f>
        <v>93.46724130532192</v>
      </c>
      <c r="AW101" s="2100">
        <f>+SUM(AS101:AV101)</f>
        <v>345.56585113478809</v>
      </c>
      <c r="AX101" s="2098"/>
      <c r="AY101" s="2099">
        <f>+AY98*(1+AY$11)</f>
        <v>101.2052309</v>
      </c>
      <c r="AZ101" s="2097">
        <f>+AZ98*(1+AZ$11)</f>
        <v>116.39700000000001</v>
      </c>
      <c r="BA101" s="2097">
        <f>+BA98*(1+BA$11)</f>
        <v>107.71199999999999</v>
      </c>
      <c r="BB101" s="2097">
        <f>+BB98*(1+BB$11)</f>
        <v>124.65899999999999</v>
      </c>
      <c r="BC101" s="2100">
        <f>+SUM(AY101:BB101)</f>
        <v>449.97323089999998</v>
      </c>
      <c r="BD101" s="2097"/>
      <c r="BE101" s="2099">
        <f>+BE98*(1+BE$11)</f>
        <v>115.22215537964999</v>
      </c>
      <c r="BF101" s="2097">
        <f>+BF98*(1+BF$11)</f>
        <v>140.19201149007716</v>
      </c>
      <c r="BG101" s="2097">
        <f>+BG98*(1+BG$11)</f>
        <v>134.76596364655697</v>
      </c>
      <c r="BH101" s="2097">
        <f>+BH98*(1+BH$11)</f>
        <v>154.63710331616764</v>
      </c>
      <c r="BI101" s="2100">
        <f>+SUM(BE101:BH101)</f>
        <v>544.81723383245173</v>
      </c>
      <c r="BJ101" s="2097"/>
      <c r="BK101" s="2099">
        <f>+BK98*(1+BK$11)</f>
        <v>171.96906690412763</v>
      </c>
      <c r="BL101" s="2097">
        <f>+BL98*(1+BL$11)</f>
        <v>181.33836686241483</v>
      </c>
      <c r="BM101" s="2097">
        <f>+BM98*(1+BM$11)</f>
        <v>182.84372117746616</v>
      </c>
      <c r="BN101" s="2097">
        <f>+BN98*(1+BN$11)</f>
        <v>219.95581575691685</v>
      </c>
      <c r="BO101" s="2100">
        <f>+SUM(BK101:BN101)</f>
        <v>756.10697070092544</v>
      </c>
      <c r="BP101" s="2097"/>
      <c r="BQ101" s="2099">
        <f>+BQ98*(1+BQ$11)</f>
        <v>265.6922083668772</v>
      </c>
      <c r="BR101" s="2097">
        <f>+BR98*(1+BR$11)</f>
        <v>241.39763396724663</v>
      </c>
      <c r="BS101" s="2097">
        <f>+BS98*(1+BS$11)</f>
        <v>249.30741382547512</v>
      </c>
      <c r="BT101" s="2097">
        <f>+BT98*(1+BT$11)</f>
        <v>311.01752348028043</v>
      </c>
      <c r="BU101" s="2100">
        <f>+SUM(BQ101:BT101)</f>
        <v>1067.4147796398795</v>
      </c>
      <c r="BV101" s="2097"/>
      <c r="BW101" s="2099">
        <f>+BW98*(1+BW$11)</f>
        <v>398.53831255031582</v>
      </c>
      <c r="BX101" s="2097">
        <f>+BX98*(1+BX$11)</f>
        <v>313.81692415742066</v>
      </c>
      <c r="BY101" s="2097">
        <f>+BY98*(1+BY$11)</f>
        <v>336.56500866439143</v>
      </c>
      <c r="BZ101" s="2097">
        <f>+BZ98*(1+BZ$11)</f>
        <v>435.4245328723926</v>
      </c>
      <c r="CA101" s="2100">
        <f>+SUM(BW101:BZ101)</f>
        <v>1484.3447782445205</v>
      </c>
      <c r="CB101" s="2097"/>
      <c r="CC101" s="2099">
        <f>+CC98*(1+CC$11)</f>
        <v>597.80746882547373</v>
      </c>
      <c r="CD101" s="2097">
        <f>+CD98*(1+CD$11)</f>
        <v>407.96200140464686</v>
      </c>
      <c r="CE101" s="2097">
        <f>+CE98*(1+CE$11)</f>
        <v>454.36276169692843</v>
      </c>
      <c r="CF101" s="2097">
        <f>+CF98*(1+CF$11)</f>
        <v>609.59434602134957</v>
      </c>
      <c r="CG101" s="2100">
        <f>+SUM(CC101:CF101)</f>
        <v>2069.7265779483987</v>
      </c>
      <c r="CH101" s="2097"/>
      <c r="CI101" s="2099">
        <f>+CI98*(1+CI$11)</f>
        <v>896.7112032382106</v>
      </c>
      <c r="CJ101" s="2097">
        <f>+CJ98*(1+CJ$11)</f>
        <v>530.35060182604093</v>
      </c>
      <c r="CK101" s="2097">
        <f>+CK98*(1+CK$11)</f>
        <v>613.38972829085344</v>
      </c>
      <c r="CL101" s="2097">
        <f>+CL98*(1+CL$11)</f>
        <v>853.4320844298893</v>
      </c>
      <c r="CM101" s="2100">
        <f>+SUM(CI101:CL101)</f>
        <v>2893.8836177849944</v>
      </c>
      <c r="CN101" s="2097"/>
      <c r="CO101" s="2099">
        <f>+CO98*(1+CO$11)</f>
        <v>1345.0668048573159</v>
      </c>
      <c r="CP101" s="2097">
        <f>+CP98*(1+CP$11)</f>
        <v>689.45578237385325</v>
      </c>
      <c r="CQ101" s="2097">
        <f>+CQ98*(1+CQ$11)</f>
        <v>828.07613319265215</v>
      </c>
      <c r="CR101" s="2097">
        <f>+CR98*(1+CR$11)</f>
        <v>1194.8049182018449</v>
      </c>
      <c r="CS101" s="2100">
        <f>+SUM(CO101:CR101)</f>
        <v>4057.4036386256662</v>
      </c>
      <c r="CT101" s="2097"/>
      <c r="CU101" s="2097"/>
      <c r="CV101" s="2097"/>
      <c r="CW101" s="2097"/>
      <c r="CX101" s="194"/>
      <c r="CY101" s="194"/>
      <c r="CZ101" s="194"/>
      <c r="DA101" s="194"/>
      <c r="DB101" s="194"/>
      <c r="DC101" s="194"/>
      <c r="DD101" s="194"/>
      <c r="DE101" s="194"/>
      <c r="DF101" s="194"/>
      <c r="DG101" s="194"/>
      <c r="DH101" s="194"/>
      <c r="DI101" s="194"/>
      <c r="DJ101" s="194"/>
      <c r="DK101" s="194"/>
      <c r="DL101" s="194"/>
      <c r="DM101" s="1987"/>
      <c r="DN101" s="1987"/>
      <c r="DO101" s="1987"/>
      <c r="DP101" s="1987"/>
      <c r="DQ101" s="1987"/>
      <c r="DR101" s="1987"/>
      <c r="DS101" s="1987"/>
      <c r="DT101" s="1987"/>
      <c r="DU101" s="1987"/>
      <c r="DV101" s="1987"/>
      <c r="DW101" s="1987"/>
      <c r="DX101" s="1987"/>
    </row>
    <row r="102" spans="1:128">
      <c r="A102" s="1985" t="s">
        <v>563</v>
      </c>
      <c r="B102" s="194"/>
      <c r="C102" s="757"/>
      <c r="D102" s="86"/>
      <c r="E102" s="86"/>
      <c r="F102" s="86"/>
      <c r="G102" s="88"/>
      <c r="H102" s="86"/>
      <c r="I102" s="757"/>
      <c r="J102" s="86"/>
      <c r="K102" s="86"/>
      <c r="L102" s="86"/>
      <c r="M102" s="88"/>
      <c r="N102" s="86"/>
      <c r="O102" s="757"/>
      <c r="P102" s="86"/>
      <c r="Q102" s="86"/>
      <c r="R102" s="86"/>
      <c r="S102" s="88"/>
      <c r="T102" s="86"/>
      <c r="U102" s="757"/>
      <c r="V102" s="86"/>
      <c r="W102" s="86"/>
      <c r="X102" s="86"/>
      <c r="Y102" s="88"/>
      <c r="Z102" s="86"/>
      <c r="AA102" s="757"/>
      <c r="AB102" s="86"/>
      <c r="AC102" s="86"/>
      <c r="AD102" s="86"/>
      <c r="AE102" s="88"/>
      <c r="AF102" s="86"/>
      <c r="AG102" s="757"/>
      <c r="AH102" s="86"/>
      <c r="AI102" s="86"/>
      <c r="AJ102" s="86"/>
      <c r="AK102" s="88"/>
      <c r="AL102" s="86"/>
      <c r="AM102" s="1993"/>
      <c r="AN102" s="1994"/>
      <c r="AO102" s="1994"/>
      <c r="AP102" s="1998"/>
      <c r="AQ102" s="1990"/>
      <c r="AR102" s="194"/>
      <c r="AS102" s="1993">
        <v>0.35</v>
      </c>
      <c r="AT102" s="1994">
        <v>0.35</v>
      </c>
      <c r="AU102" s="1994">
        <v>0.4</v>
      </c>
      <c r="AV102" s="1998">
        <v>0.4</v>
      </c>
      <c r="AW102" s="1990">
        <f>+AW98/AQ98-1</f>
        <v>0.37701834408343715</v>
      </c>
      <c r="AX102" s="2009"/>
      <c r="AY102" s="1993">
        <v>0.37</v>
      </c>
      <c r="AZ102" s="1994">
        <v>0.35</v>
      </c>
      <c r="BA102" s="196">
        <f>+BA98/AU98-1</f>
        <v>0.18105263157894735</v>
      </c>
      <c r="BB102" s="1998">
        <v>0.35</v>
      </c>
      <c r="BC102" s="1990">
        <f>+BC98/AW98-1</f>
        <v>0.35461592491704996</v>
      </c>
      <c r="BD102" s="194"/>
      <c r="BE102" s="1993">
        <f>+((AY102*AY14)*1.08)/BE14</f>
        <v>0.32491503240492581</v>
      </c>
      <c r="BF102" s="1994"/>
      <c r="BG102" s="1994"/>
      <c r="BH102" s="1998"/>
      <c r="BI102" s="1990"/>
      <c r="BJ102" s="86"/>
      <c r="BK102" s="1993"/>
      <c r="BL102" s="1994"/>
      <c r="BM102" s="1994"/>
      <c r="BN102" s="1998"/>
      <c r="BO102" s="1990"/>
      <c r="BP102" s="86"/>
      <c r="BQ102" s="1993"/>
      <c r="BR102" s="1994"/>
      <c r="BS102" s="1994"/>
      <c r="BT102" s="1998"/>
      <c r="BU102" s="1990"/>
      <c r="BV102" s="86"/>
      <c r="BW102" s="1993"/>
      <c r="BX102" s="1994"/>
      <c r="BY102" s="1994"/>
      <c r="BZ102" s="1998"/>
      <c r="CA102" s="1990"/>
      <c r="CB102" s="86"/>
      <c r="CC102" s="1993"/>
      <c r="CD102" s="1994"/>
      <c r="CE102" s="1994"/>
      <c r="CF102" s="1998"/>
      <c r="CG102" s="1990"/>
      <c r="CH102" s="86"/>
      <c r="CI102" s="1993"/>
      <c r="CJ102" s="1994"/>
      <c r="CK102" s="1994"/>
      <c r="CL102" s="1998"/>
      <c r="CM102" s="1990"/>
      <c r="CN102" s="86"/>
      <c r="CO102" s="1993"/>
      <c r="CP102" s="1994"/>
      <c r="CQ102" s="1994"/>
      <c r="CR102" s="1998"/>
      <c r="CS102" s="1990"/>
      <c r="CT102" s="2005"/>
      <c r="CU102" s="2005"/>
      <c r="CV102" s="2005"/>
      <c r="CW102" s="2005"/>
      <c r="CX102" s="194"/>
      <c r="CY102" s="194"/>
      <c r="CZ102" s="194"/>
      <c r="DA102" s="194"/>
      <c r="DB102" s="194"/>
      <c r="DC102" s="194"/>
      <c r="DD102" s="194"/>
      <c r="DE102" s="194"/>
      <c r="DF102" s="194"/>
      <c r="DG102" s="194"/>
      <c r="DH102" s="194"/>
      <c r="DI102" s="194"/>
      <c r="DJ102" s="194"/>
      <c r="DK102" s="194"/>
      <c r="DL102" s="194"/>
      <c r="DM102" s="1987"/>
      <c r="DN102" s="1987"/>
      <c r="DO102" s="1987"/>
      <c r="DP102" s="1987"/>
      <c r="DQ102" s="1987"/>
      <c r="DR102" s="1987"/>
      <c r="DS102" s="1987"/>
      <c r="DT102" s="1987"/>
      <c r="DU102" s="1987"/>
      <c r="DV102" s="1987"/>
      <c r="DW102" s="1987"/>
      <c r="DX102" s="1987"/>
    </row>
    <row r="103" spans="1:128">
      <c r="A103" s="2102" t="s">
        <v>646</v>
      </c>
      <c r="B103" s="2110"/>
      <c r="C103" s="2205"/>
      <c r="D103" s="2203"/>
      <c r="E103" s="2203"/>
      <c r="F103" s="2204"/>
      <c r="G103" s="2109"/>
      <c r="H103" s="2211"/>
      <c r="I103" s="2205"/>
      <c r="J103" s="2203"/>
      <c r="K103" s="2203"/>
      <c r="L103" s="2204"/>
      <c r="M103" s="2109"/>
      <c r="N103" s="2211"/>
      <c r="O103" s="2205"/>
      <c r="P103" s="2203"/>
      <c r="Q103" s="2203"/>
      <c r="R103" s="2204"/>
      <c r="S103" s="2109"/>
      <c r="T103" s="2211"/>
      <c r="U103" s="2205"/>
      <c r="V103" s="2203"/>
      <c r="W103" s="2203"/>
      <c r="X103" s="2204"/>
      <c r="Y103" s="2109"/>
      <c r="Z103" s="2211"/>
      <c r="AA103" s="2205"/>
      <c r="AB103" s="2203"/>
      <c r="AC103" s="2203"/>
      <c r="AD103" s="2204"/>
      <c r="AE103" s="2109"/>
      <c r="AF103" s="2211"/>
      <c r="AG103" s="2205"/>
      <c r="AH103" s="2203"/>
      <c r="AI103" s="2203"/>
      <c r="AJ103" s="2204"/>
      <c r="AK103" s="2109"/>
      <c r="AL103" s="2211"/>
      <c r="AM103" s="2205">
        <f>+AM53/AM98</f>
        <v>0.51820365596550455</v>
      </c>
      <c r="AN103" s="2203">
        <f>+AN53/AN98</f>
        <v>0.4356699402699401</v>
      </c>
      <c r="AO103" s="2203">
        <f>+AO53/AO98</f>
        <v>0.45510126787817273</v>
      </c>
      <c r="AP103" s="2204">
        <f>+AP53/AP98</f>
        <v>0.51507170850398931</v>
      </c>
      <c r="AQ103" s="2109">
        <f>+AQ53/AQ98</f>
        <v>0.47840020678865275</v>
      </c>
      <c r="AR103" s="2110"/>
      <c r="AS103" s="2205">
        <f>+AS53/AS98</f>
        <v>0.51820365596550455</v>
      </c>
      <c r="AT103" s="2203">
        <f>+AT53/AT98</f>
        <v>0.4356699402699401</v>
      </c>
      <c r="AU103" s="2203">
        <f>+AU53/AU98</f>
        <v>0.45510126787817273</v>
      </c>
      <c r="AV103" s="2204">
        <f>+AV53/AV98</f>
        <v>0.51507170850398942</v>
      </c>
      <c r="AW103" s="2109">
        <f>+AW53/AW98</f>
        <v>0.47853139767100061</v>
      </c>
      <c r="AX103" s="2211"/>
      <c r="AY103" s="2205">
        <f>+AY53/AY98</f>
        <v>0.46688770678927455</v>
      </c>
      <c r="AZ103" s="2203">
        <f>+AZ53/AZ98</f>
        <v>0.43566994026994021</v>
      </c>
      <c r="BA103" s="2203">
        <f>+BA53/BA98</f>
        <v>0.45510126787817268</v>
      </c>
      <c r="BB103" s="2204">
        <f>+BB53/BB98</f>
        <v>0.52553032620352069</v>
      </c>
      <c r="BC103" s="2109">
        <f>+BC53/BC98</f>
        <v>0.47202241799681494</v>
      </c>
      <c r="BD103" s="2110"/>
      <c r="BE103" s="2205">
        <f>+BE53/BE98</f>
        <v>0.46688770678927455</v>
      </c>
      <c r="BF103" s="2203">
        <f>+BF53/BF98</f>
        <v>0.52643451115951112</v>
      </c>
      <c r="BG103" s="2203">
        <f>+BG53/BG98</f>
        <v>0.45146045773514731</v>
      </c>
      <c r="BH103" s="2204">
        <f>+BH53/BH98</f>
        <v>0.43303698879170099</v>
      </c>
      <c r="BI103" s="2109">
        <f>+BI53/BI98</f>
        <v>0.46865415951486677</v>
      </c>
      <c r="BJ103" s="2211"/>
      <c r="BK103" s="2205">
        <f>+BK53/BK98</f>
        <v>0.37351016543141963</v>
      </c>
      <c r="BL103" s="2203">
        <f>+BL53/BL98</f>
        <v>0.50618702996106846</v>
      </c>
      <c r="BM103" s="2203">
        <f>+BM53/BM98</f>
        <v>0.45146045773514731</v>
      </c>
      <c r="BN103" s="2204">
        <f>+BN53/BN98</f>
        <v>0.47943380901938332</v>
      </c>
      <c r="BO103" s="2109">
        <f>+BO53/BO98</f>
        <v>0.45485457967140674</v>
      </c>
      <c r="BP103" s="2211"/>
      <c r="BQ103" s="2205">
        <f>+BQ53/BQ98</f>
        <v>0.31125847119284966</v>
      </c>
      <c r="BR103" s="2203">
        <f>+BR53/BR98</f>
        <v>0.48671829803948879</v>
      </c>
      <c r="BS103" s="2203">
        <f>+BS53/BS98</f>
        <v>0.41801894234735859</v>
      </c>
      <c r="BT103" s="2204">
        <f>+BT53/BT98</f>
        <v>0.42806590091016367</v>
      </c>
      <c r="BU103" s="2109">
        <f>+BU53/BU98</f>
        <v>0.4101501206907075</v>
      </c>
      <c r="BV103" s="2211"/>
      <c r="BW103" s="2205">
        <f>+BW53/BW98</f>
        <v>0.23863149458118468</v>
      </c>
      <c r="BX103" s="2203">
        <f>+BX53/BX98</f>
        <v>0.43055849441954769</v>
      </c>
      <c r="BY103" s="2203">
        <f>+BY53/BY98</f>
        <v>0.35609021014774989</v>
      </c>
      <c r="BZ103" s="2204">
        <f>+BZ53/BZ98</f>
        <v>0.35162556146192003</v>
      </c>
      <c r="CA103" s="2109">
        <f>+CA53/CA98</f>
        <v>0.33898743974068807</v>
      </c>
      <c r="CB103" s="2211"/>
      <c r="CC103" s="2205">
        <f>+CC53/CC98</f>
        <v>0.18135993588170041</v>
      </c>
      <c r="CD103" s="2203">
        <f>+CD53/CD98</f>
        <v>0.37756667972175723</v>
      </c>
      <c r="CE103" s="2203">
        <f>+CE53/CE98</f>
        <v>0.30069839968032214</v>
      </c>
      <c r="CF103" s="2204">
        <f>+CF53/CF98</f>
        <v>0.28632367147613497</v>
      </c>
      <c r="CG103" s="2109">
        <f>+CG53/CG98</f>
        <v>0.27714705663581152</v>
      </c>
      <c r="CH103" s="2211"/>
      <c r="CI103" s="2205">
        <f>+CI53/CI98</f>
        <v>0.13783355127009231</v>
      </c>
      <c r="CJ103" s="2203">
        <f>+CJ53/CJ98</f>
        <v>0.33109693452523326</v>
      </c>
      <c r="CK103" s="2203">
        <f>+CK53/CK98</f>
        <v>0.25392309306338312</v>
      </c>
      <c r="CL103" s="2204">
        <f>+CL53/CL98</f>
        <v>0.2331492753448528</v>
      </c>
      <c r="CM103" s="2109">
        <f>+CM53/CM98</f>
        <v>0.22596804970910783</v>
      </c>
      <c r="CN103" s="2211"/>
      <c r="CO103" s="2205">
        <f>+CO53/CO98</f>
        <v>0.10475349896527017</v>
      </c>
      <c r="CP103" s="2203">
        <f>+CP53/CP98</f>
        <v>0.2903465425836661</v>
      </c>
      <c r="CQ103" s="2203">
        <f>+CQ53/CQ98</f>
        <v>0.21442394525352357</v>
      </c>
      <c r="CR103" s="2204">
        <f>+CR53/CR98</f>
        <v>0.18985012420938019</v>
      </c>
      <c r="CS103" s="2109">
        <f>+CS53/CS98</f>
        <v>0.18373197167436942</v>
      </c>
      <c r="CT103" s="2005"/>
      <c r="CU103" s="2005"/>
      <c r="CV103" s="2005"/>
      <c r="CW103" s="2005"/>
      <c r="CX103" s="194"/>
      <c r="CY103" s="194"/>
      <c r="CZ103" s="194"/>
      <c r="DA103" s="194"/>
      <c r="DB103" s="194"/>
      <c r="DC103" s="194"/>
      <c r="DD103" s="194"/>
      <c r="DE103" s="194"/>
      <c r="DF103" s="194"/>
      <c r="DG103" s="194"/>
      <c r="DH103" s="194"/>
      <c r="DI103" s="194"/>
      <c r="DJ103" s="194"/>
      <c r="DK103" s="194"/>
      <c r="DL103" s="194"/>
      <c r="DM103" s="1987"/>
      <c r="DN103" s="1987"/>
      <c r="DO103" s="1987"/>
      <c r="DP103" s="1987"/>
      <c r="DQ103" s="1987"/>
      <c r="DR103" s="1987"/>
      <c r="DS103" s="1987"/>
      <c r="DT103" s="1987"/>
      <c r="DU103" s="1987"/>
      <c r="DV103" s="1987"/>
      <c r="DW103" s="1987"/>
      <c r="DX103" s="1987"/>
    </row>
    <row r="104" spans="1:128">
      <c r="A104" s="1971"/>
      <c r="B104" s="2000"/>
      <c r="C104" s="2001"/>
      <c r="D104" s="2002"/>
      <c r="E104" s="2002"/>
      <c r="F104" s="2002"/>
      <c r="G104" s="2003"/>
      <c r="H104" s="2002"/>
      <c r="I104" s="2001"/>
      <c r="J104" s="2002"/>
      <c r="K104" s="2002"/>
      <c r="L104" s="2002"/>
      <c r="M104" s="2003"/>
      <c r="N104" s="2000"/>
      <c r="O104" s="2004"/>
      <c r="P104" s="2005"/>
      <c r="Q104" s="2005"/>
      <c r="R104" s="2005"/>
      <c r="S104" s="1990"/>
      <c r="T104" s="2006"/>
      <c r="U104" s="2004"/>
      <c r="V104" s="2005"/>
      <c r="W104" s="2005"/>
      <c r="X104" s="2005"/>
      <c r="Y104" s="1990"/>
      <c r="Z104" s="2006"/>
      <c r="AA104" s="2004"/>
      <c r="AB104" s="2005"/>
      <c r="AC104" s="2005"/>
      <c r="AD104" s="2005"/>
      <c r="AE104" s="1990"/>
      <c r="AF104" s="2006"/>
      <c r="AG104" s="750"/>
      <c r="AH104" s="205"/>
      <c r="AI104" s="205"/>
      <c r="AJ104" s="205"/>
      <c r="AK104" s="789"/>
      <c r="AL104" s="63"/>
      <c r="AM104" s="750"/>
      <c r="AN104" s="205"/>
      <c r="AO104" s="205"/>
      <c r="AP104" s="205"/>
      <c r="AQ104" s="191"/>
      <c r="AR104" s="63"/>
      <c r="AS104" s="750"/>
      <c r="AT104" s="205"/>
      <c r="AU104" s="205"/>
      <c r="AV104" s="205"/>
      <c r="AW104" s="191"/>
      <c r="AX104" s="1"/>
      <c r="AY104" s="750"/>
      <c r="AZ104" s="205"/>
      <c r="BA104" s="205"/>
      <c r="BB104" s="205"/>
      <c r="BC104" s="191"/>
      <c r="BD104" s="9"/>
      <c r="BE104" s="750"/>
      <c r="BF104" s="205"/>
      <c r="BG104" s="205"/>
      <c r="BH104" s="205"/>
      <c r="BI104" s="191"/>
      <c r="BJ104" s="9"/>
      <c r="BK104" s="750"/>
      <c r="BL104" s="205"/>
      <c r="BM104" s="205"/>
      <c r="BN104" s="205"/>
      <c r="BO104" s="191"/>
      <c r="BP104" s="9"/>
      <c r="BQ104" s="750"/>
      <c r="BR104" s="205"/>
      <c r="BS104" s="205"/>
      <c r="BT104" s="205"/>
      <c r="BU104" s="191"/>
      <c r="BV104" s="9"/>
      <c r="BW104" s="750"/>
      <c r="BX104" s="205"/>
      <c r="BY104" s="205"/>
      <c r="BZ104" s="205"/>
      <c r="CA104" s="191"/>
      <c r="CB104" s="9"/>
      <c r="CC104" s="750"/>
      <c r="CD104" s="205"/>
      <c r="CE104" s="205"/>
      <c r="CF104" s="205"/>
      <c r="CG104" s="191"/>
      <c r="CH104" s="9"/>
      <c r="CI104" s="750"/>
      <c r="CJ104" s="205"/>
      <c r="CK104" s="205"/>
      <c r="CL104" s="205"/>
      <c r="CM104" s="191"/>
      <c r="CN104" s="9"/>
      <c r="CO104" s="750"/>
      <c r="CP104" s="205"/>
      <c r="CQ104" s="205"/>
      <c r="CR104" s="205"/>
      <c r="CS104" s="191"/>
      <c r="CT104" s="205"/>
      <c r="CU104" s="205"/>
      <c r="CV104" s="205"/>
      <c r="CW104" s="205"/>
      <c r="CX104" s="60"/>
      <c r="CY104" s="60"/>
      <c r="CZ104" s="60"/>
      <c r="DA104" s="60"/>
      <c r="DB104" s="60"/>
      <c r="DC104" s="60"/>
      <c r="DD104" s="60"/>
      <c r="DE104" s="60"/>
      <c r="DF104" s="60"/>
      <c r="DG104" s="60"/>
      <c r="DH104" s="60"/>
      <c r="DI104" s="60"/>
      <c r="DJ104" s="60"/>
      <c r="DK104" s="60"/>
      <c r="DL104" s="60"/>
      <c r="DM104" s="68"/>
      <c r="DN104" s="68"/>
      <c r="DO104" s="68"/>
      <c r="DP104" s="68"/>
      <c r="DQ104" s="68"/>
      <c r="DR104" s="68"/>
      <c r="DS104" s="68"/>
      <c r="DT104" s="68"/>
      <c r="DU104" s="68"/>
      <c r="DV104" s="68"/>
      <c r="DW104" s="68"/>
      <c r="DX104" s="68"/>
    </row>
    <row r="105" spans="1:128">
      <c r="A105" s="1958" t="s">
        <v>874</v>
      </c>
      <c r="B105" s="972"/>
      <c r="C105" s="973"/>
      <c r="D105" s="972"/>
      <c r="E105" s="972"/>
      <c r="F105" s="972"/>
      <c r="G105" s="974"/>
      <c r="H105" s="972"/>
      <c r="I105" s="973"/>
      <c r="J105" s="972"/>
      <c r="K105" s="972"/>
      <c r="L105" s="972"/>
      <c r="M105" s="974"/>
      <c r="N105" s="972"/>
      <c r="O105" s="973"/>
      <c r="P105" s="972"/>
      <c r="Q105" s="972"/>
      <c r="R105" s="972"/>
      <c r="S105" s="974"/>
      <c r="T105" s="972"/>
      <c r="U105" s="973"/>
      <c r="V105" s="972"/>
      <c r="W105" s="972"/>
      <c r="X105" s="972"/>
      <c r="Y105" s="974"/>
      <c r="Z105" s="972"/>
      <c r="AA105" s="973"/>
      <c r="AB105" s="972"/>
      <c r="AC105" s="972"/>
      <c r="AD105" s="972"/>
      <c r="AE105" s="974"/>
      <c r="AF105" s="972"/>
      <c r="AG105" s="973"/>
      <c r="AH105" s="972"/>
      <c r="AI105" s="972"/>
      <c r="AJ105" s="975"/>
      <c r="AK105" s="1026"/>
      <c r="AL105" s="972"/>
      <c r="AM105" s="973"/>
      <c r="AN105" s="1352"/>
      <c r="AO105" s="1352"/>
      <c r="AP105" s="1349"/>
      <c r="AQ105" s="974"/>
      <c r="AR105" s="972"/>
      <c r="AS105" s="1539"/>
      <c r="AT105" s="1540"/>
      <c r="AU105" s="1540"/>
      <c r="AV105" s="1415"/>
      <c r="AW105" s="1417"/>
      <c r="AX105" s="1415"/>
      <c r="AY105" s="1416"/>
      <c r="AZ105" s="1415"/>
      <c r="BA105" s="1415"/>
      <c r="BB105" s="1415"/>
      <c r="BC105" s="1417"/>
      <c r="BD105" s="1415"/>
      <c r="BE105" s="1416"/>
      <c r="BF105" s="1415"/>
      <c r="BG105" s="1415"/>
      <c r="BH105" s="1415"/>
      <c r="BI105" s="1417"/>
      <c r="BJ105" s="1415"/>
      <c r="BK105" s="1416"/>
      <c r="BL105" s="1415"/>
      <c r="BM105" s="1415"/>
      <c r="BN105" s="1415"/>
      <c r="BO105" s="1417"/>
      <c r="BP105" s="1415"/>
      <c r="BQ105" s="1416"/>
      <c r="BR105" s="1415"/>
      <c r="BS105" s="1415"/>
      <c r="BT105" s="1415"/>
      <c r="BU105" s="1417"/>
      <c r="BV105" s="1415"/>
      <c r="BW105" s="1416"/>
      <c r="BX105" s="1415"/>
      <c r="BY105" s="1415"/>
      <c r="BZ105" s="1415"/>
      <c r="CA105" s="1417"/>
      <c r="CB105" s="1415"/>
      <c r="CC105" s="1416"/>
      <c r="CD105" s="1415"/>
      <c r="CE105" s="1415"/>
      <c r="CF105" s="1415"/>
      <c r="CG105" s="1417"/>
      <c r="CH105" s="1415"/>
      <c r="CI105" s="1416"/>
      <c r="CJ105" s="1415"/>
      <c r="CK105" s="1415"/>
      <c r="CL105" s="1415"/>
      <c r="CM105" s="1417"/>
      <c r="CN105" s="1415"/>
      <c r="CO105" s="1416"/>
      <c r="CP105" s="1415"/>
      <c r="CQ105" s="1415"/>
      <c r="CR105" s="1415"/>
      <c r="CS105" s="1417"/>
      <c r="CT105" s="2387"/>
      <c r="CU105" s="2387"/>
      <c r="CV105" s="2387"/>
      <c r="CW105" s="2387"/>
      <c r="CX105" s="60"/>
      <c r="CY105" s="60"/>
      <c r="CZ105" s="60"/>
      <c r="DA105" s="60"/>
      <c r="DB105" s="60"/>
      <c r="DC105" s="60"/>
      <c r="DD105" s="60"/>
      <c r="DE105" s="60"/>
      <c r="DF105" s="60"/>
      <c r="DG105" s="60"/>
      <c r="DH105" s="60"/>
      <c r="DI105" s="60"/>
      <c r="DJ105" s="60"/>
      <c r="DK105" s="60"/>
      <c r="DL105" s="60"/>
      <c r="DM105" s="68"/>
      <c r="DN105" s="68"/>
      <c r="DO105" s="68"/>
      <c r="DP105" s="68"/>
      <c r="DQ105" s="68"/>
      <c r="DR105" s="68"/>
      <c r="DS105" s="68"/>
      <c r="DT105" s="68"/>
      <c r="DU105" s="68"/>
      <c r="DV105" s="68"/>
      <c r="DW105" s="68"/>
      <c r="DX105" s="68"/>
    </row>
    <row r="106" spans="1:128">
      <c r="A106" s="2101" t="s">
        <v>639</v>
      </c>
      <c r="B106" s="2098"/>
      <c r="C106" s="2094"/>
      <c r="D106" s="2095"/>
      <c r="E106" s="2095"/>
      <c r="F106" s="2095"/>
      <c r="G106" s="2096"/>
      <c r="H106" s="2097"/>
      <c r="I106" s="2094"/>
      <c r="J106" s="2095"/>
      <c r="K106" s="2095"/>
      <c r="L106" s="2095"/>
      <c r="M106" s="2096"/>
      <c r="N106" s="2098"/>
      <c r="O106" s="2121"/>
      <c r="P106" s="2122"/>
      <c r="Q106" s="2122"/>
      <c r="R106" s="2131"/>
      <c r="S106" s="2123"/>
      <c r="T106" s="2098"/>
      <c r="U106" s="2121"/>
      <c r="V106" s="2122"/>
      <c r="W106" s="2122"/>
      <c r="X106" s="2131"/>
      <c r="Y106" s="2123"/>
      <c r="Z106" s="2098"/>
      <c r="AA106" s="2121"/>
      <c r="AB106" s="2122"/>
      <c r="AC106" s="2122"/>
      <c r="AD106" s="2131"/>
      <c r="AE106" s="2123"/>
      <c r="AF106" s="2098"/>
      <c r="AG106" s="2099">
        <f>+AG9-AG25-AG39</f>
        <v>52.708030957909344</v>
      </c>
      <c r="AH106" s="2098">
        <f>+AH9-AH25-AH39</f>
        <v>58.39125136830252</v>
      </c>
      <c r="AI106" s="2098">
        <f>+AI9-AI25-AI39</f>
        <v>59.458408604009684</v>
      </c>
      <c r="AJ106" s="2098">
        <f>+AJ9-AJ25-AJ39</f>
        <v>66.847383329987224</v>
      </c>
      <c r="AK106" s="2100">
        <f>+AK9-AK25-AK39</f>
        <v>237.40507426020878</v>
      </c>
      <c r="AL106" s="2098"/>
      <c r="AM106" s="2099">
        <f>+AM9-AM25-AM39</f>
        <v>77.527733561428207</v>
      </c>
      <c r="AN106" s="2098">
        <f>+AN9-AN25-AN39</f>
        <v>74.832687840462114</v>
      </c>
      <c r="AO106" s="2098">
        <f>+AO9-AO25-AO39</f>
        <v>78.434044660839135</v>
      </c>
      <c r="AP106" s="2098">
        <f>+AP9-AP25-AP39</f>
        <v>96.416033051133354</v>
      </c>
      <c r="AQ106" s="2100">
        <f>+AQ9-AQ25-AQ39</f>
        <v>327.21049911386297</v>
      </c>
      <c r="AR106" s="2098"/>
      <c r="AS106" s="2099">
        <f>+AS9-AS25-AS39</f>
        <v>114.9346525412009</v>
      </c>
      <c r="AT106" s="2098">
        <f>+AT9-AT25-AT39</f>
        <v>113.68867666612068</v>
      </c>
      <c r="AU106" s="2098">
        <f>+AU9-AU25-AU39</f>
        <v>135.28323687381265</v>
      </c>
      <c r="AV106" s="2098">
        <f>+AV9-AV25-AV39</f>
        <v>137.98044289132071</v>
      </c>
      <c r="AW106" s="2100">
        <f>+AW9-AW25-AW39</f>
        <v>501.88700897245508</v>
      </c>
      <c r="AX106" s="2098"/>
      <c r="AY106" s="2099">
        <f>+AY9-AY25-AY39</f>
        <v>162.6246480184144</v>
      </c>
      <c r="AZ106" s="2098">
        <f>+AZ9-AZ25-AZ39</f>
        <v>168.12272072013093</v>
      </c>
      <c r="BA106" s="2098">
        <f>+BA9-BA25-BA39</f>
        <v>174.61758252006382</v>
      </c>
      <c r="BB106" s="2098">
        <f>+BB9-BB25-BB39</f>
        <v>192.6828481949745</v>
      </c>
      <c r="BC106" s="2100">
        <f>+BC9-BC25-BC39</f>
        <v>698.04779945358382</v>
      </c>
      <c r="BD106" s="2098"/>
      <c r="BE106" s="2099">
        <f>+BE9-BE25-BE39</f>
        <v>190.708673910681</v>
      </c>
      <c r="BF106" s="2098">
        <f>+BF9-BF25-BF39</f>
        <v>198.04516548847727</v>
      </c>
      <c r="BG106" s="2098">
        <f>+BG9-BG25-BG39</f>
        <v>205.97612927816817</v>
      </c>
      <c r="BH106" s="2098">
        <f>+BH9-BH25-BH39</f>
        <v>221.04381174449966</v>
      </c>
      <c r="BI106" s="2100">
        <f>+BI9-BI25-BI39</f>
        <v>815.77378042182602</v>
      </c>
      <c r="BJ106" s="2097"/>
      <c r="BK106" s="2099">
        <f>+BK9-BK25-BK39</f>
        <v>218.25050253578283</v>
      </c>
      <c r="BL106" s="2098">
        <f>+BL9-BL25-BL39</f>
        <v>242.95326004142521</v>
      </c>
      <c r="BM106" s="2098">
        <f>+BM9-BM25-BM39</f>
        <v>248.9182833010691</v>
      </c>
      <c r="BN106" s="2098">
        <f>+BN9-BN25-BN39</f>
        <v>260.1648557938118</v>
      </c>
      <c r="BO106" s="2100">
        <f>+BO9-BO25-BO39</f>
        <v>970.28690167208867</v>
      </c>
      <c r="BP106" s="2097"/>
      <c r="BQ106" s="2099">
        <f>+BQ9-BQ25-BQ39</f>
        <v>282.90391659658121</v>
      </c>
      <c r="BR106" s="2098">
        <f>+BR9-BR25-BR39</f>
        <v>282.54341487099475</v>
      </c>
      <c r="BS106" s="2098">
        <f>+BS9-BS25-BS39</f>
        <v>287.84581733668313</v>
      </c>
      <c r="BT106" s="2098">
        <f>+BT9-BT25-BT39</f>
        <v>301.54119042008273</v>
      </c>
      <c r="BU106" s="2100">
        <f>+BU9-BU25-BU39</f>
        <v>1154.8343392243416</v>
      </c>
      <c r="BV106" s="2097"/>
      <c r="BW106" s="2099">
        <f>+BW9-BW25-BW39</f>
        <v>337.29015367180864</v>
      </c>
      <c r="BX106" s="2098">
        <f>+BX9-BX25-BX39</f>
        <v>333.22105428669363</v>
      </c>
      <c r="BY106" s="2098">
        <f>+BY9-BY25-BY39</f>
        <v>333.10317121210153</v>
      </c>
      <c r="BZ106" s="2098">
        <f>+BZ9-BZ25-BZ39</f>
        <v>348.49138958672648</v>
      </c>
      <c r="CA106" s="2100">
        <f>+CA9-CA25-CA39</f>
        <v>1352.1057687573302</v>
      </c>
      <c r="CB106" s="2097"/>
      <c r="CC106" s="2099">
        <f>+CC9-CC25-CC39</f>
        <v>393.46031298382559</v>
      </c>
      <c r="CD106" s="2098">
        <f>+CD9-CD25-CD39</f>
        <v>389.78076542643578</v>
      </c>
      <c r="CE106" s="2098">
        <f>+CE9-CE25-CE39</f>
        <v>389.87801298466275</v>
      </c>
      <c r="CF106" s="2098">
        <f>+CF9-CF25-CF39</f>
        <v>409.19921388643291</v>
      </c>
      <c r="CG106" s="2100">
        <f>+CG9-CG25-CG39</f>
        <v>1582.3183052813572</v>
      </c>
      <c r="CH106" s="2097"/>
      <c r="CI106" s="2099">
        <f>+CI9-CI25-CI39</f>
        <v>453.50772031921025</v>
      </c>
      <c r="CJ106" s="2098">
        <f>+CJ9-CJ25-CJ39</f>
        <v>449.72939400828767</v>
      </c>
      <c r="CK106" s="2098">
        <f>+CK9-CK25-CK39</f>
        <v>450.14743737268759</v>
      </c>
      <c r="CL106" s="2098">
        <f>+CL9-CL25-CL39</f>
        <v>473.79984313063977</v>
      </c>
      <c r="CM106" s="2100">
        <f>+CM9-CM25-CM39</f>
        <v>1827.1843948308251</v>
      </c>
      <c r="CN106" s="2097"/>
      <c r="CO106" s="2099">
        <f>+CO9-CO25-CO39</f>
        <v>511.78882653466809</v>
      </c>
      <c r="CP106" s="2098">
        <f>+CP9-CP25-CP39</f>
        <v>508.68545056457748</v>
      </c>
      <c r="CQ106" s="2098">
        <f>+CQ9-CQ25-CQ39</f>
        <v>510.91926563106699</v>
      </c>
      <c r="CR106" s="2098">
        <f>+CR9-CR25-CR39</f>
        <v>538.78668875703306</v>
      </c>
      <c r="CS106" s="2100">
        <f>+CS9-CS25-CS39</f>
        <v>2070.1802314873457</v>
      </c>
      <c r="CT106" s="2097"/>
      <c r="CU106" s="2097"/>
      <c r="CV106" s="2097"/>
      <c r="CW106" s="2097"/>
      <c r="CX106" s="60"/>
      <c r="CY106" s="60"/>
      <c r="CZ106" s="60"/>
      <c r="DA106" s="60"/>
      <c r="DB106" s="60"/>
      <c r="DC106" s="60"/>
      <c r="DD106" s="60"/>
      <c r="DE106" s="60"/>
      <c r="DF106" s="60"/>
      <c r="DG106" s="60"/>
      <c r="DH106" s="60"/>
      <c r="DI106" s="60"/>
      <c r="DJ106" s="60"/>
      <c r="DK106" s="60"/>
      <c r="DL106" s="60"/>
      <c r="DM106" s="68"/>
      <c r="DN106" s="68"/>
      <c r="DO106" s="68"/>
      <c r="DP106" s="68"/>
      <c r="DQ106" s="68"/>
      <c r="DR106" s="68"/>
      <c r="DS106" s="68"/>
      <c r="DT106" s="68"/>
      <c r="DU106" s="68"/>
      <c r="DV106" s="68"/>
      <c r="DW106" s="68"/>
      <c r="DX106" s="68"/>
    </row>
    <row r="107" spans="1:128">
      <c r="A107" s="2187" t="s">
        <v>593</v>
      </c>
      <c r="B107" s="2117"/>
      <c r="C107" s="2118"/>
      <c r="D107" s="2119"/>
      <c r="E107" s="2119"/>
      <c r="F107" s="2119"/>
      <c r="G107" s="2120"/>
      <c r="H107" s="2119"/>
      <c r="I107" s="2118"/>
      <c r="J107" s="2119"/>
      <c r="K107" s="2119"/>
      <c r="L107" s="2119"/>
      <c r="M107" s="2120"/>
      <c r="N107" s="2117"/>
      <c r="O107" s="2121"/>
      <c r="P107" s="2122"/>
      <c r="Q107" s="2122"/>
      <c r="R107" s="2131"/>
      <c r="S107" s="2123"/>
      <c r="T107" s="2124"/>
      <c r="U107" s="2121"/>
      <c r="V107" s="2122"/>
      <c r="W107" s="2122"/>
      <c r="X107" s="2131"/>
      <c r="Y107" s="2123"/>
      <c r="Z107" s="2124"/>
      <c r="AA107" s="2121"/>
      <c r="AB107" s="2122"/>
      <c r="AC107" s="2122"/>
      <c r="AD107" s="2131"/>
      <c r="AE107" s="2123"/>
      <c r="AF107" s="2124"/>
      <c r="AG107" s="2121"/>
      <c r="AH107" s="2122"/>
      <c r="AI107" s="2122"/>
      <c r="AJ107" s="2131"/>
      <c r="AK107" s="2123"/>
      <c r="AL107" s="2124"/>
      <c r="AM107" s="2121">
        <f>+AM106/AG109-1</f>
        <v>0.47089033971576266</v>
      </c>
      <c r="AN107" s="2122">
        <f>+AN106/AH109-1</f>
        <v>0.28157362767335337</v>
      </c>
      <c r="AO107" s="2122">
        <f>+AO106/AI109-1</f>
        <v>0.3191413376568204</v>
      </c>
      <c r="AP107" s="2122">
        <f>+AP106/AJ109-1</f>
        <v>0.44233069790006074</v>
      </c>
      <c r="AQ107" s="2123">
        <f>+AQ106/AK109-1</f>
        <v>0.37827929808788574</v>
      </c>
      <c r="AR107" s="2124"/>
      <c r="AS107" s="2121">
        <f>+AS106/AM109-1</f>
        <v>0.56195763364221318</v>
      </c>
      <c r="AT107" s="2122">
        <f>+AT106/AN109-1</f>
        <v>0.57515532742397046</v>
      </c>
      <c r="AU107" s="2122">
        <f>+AU106/AO109-1</f>
        <v>0.6888666127274381</v>
      </c>
      <c r="AV107" s="2131">
        <f>+AV106/AP109-1</f>
        <v>0.47185582515050828</v>
      </c>
      <c r="AW107" s="2123">
        <f>+AW106/AQ109-1</f>
        <v>0.57031682498815583</v>
      </c>
      <c r="AY107" s="2121">
        <f>+AY106/AS109-1</f>
        <v>0.40737213740349398</v>
      </c>
      <c r="AZ107" s="2122">
        <f>+AZ106/AT109-1</f>
        <v>0.46514766610295033</v>
      </c>
      <c r="BA107" s="2122">
        <f>+BA106/AU109-1</f>
        <v>0.28986861629006522</v>
      </c>
      <c r="BB107" s="2131">
        <f>+BB106/AV109-1</f>
        <v>0.41935065778970482</v>
      </c>
      <c r="BC107" s="2123">
        <f>+BC106/AW109-1</f>
        <v>0.39211293761671318</v>
      </c>
      <c r="BD107" s="2098"/>
      <c r="BE107" s="2121">
        <f>+BE106/AY109-1</f>
        <v>0.23441295636088322</v>
      </c>
      <c r="BF107" s="2122">
        <f>+BF106/AZ109-1</f>
        <v>0.22962398698698472</v>
      </c>
      <c r="BG107" s="2122">
        <f>+BG106/BA109-1</f>
        <v>0.22873346945711348</v>
      </c>
      <c r="BH107" s="2131">
        <f>+BH106/BB109-1</f>
        <v>0.18023649269046804</v>
      </c>
      <c r="BI107" s="2123">
        <f>+BI106/BC109-1</f>
        <v>0.21670914335257851</v>
      </c>
      <c r="BJ107" s="2097"/>
      <c r="BK107" s="2121">
        <f>+BK106/BE109-1</f>
        <v>0.15597811334841594</v>
      </c>
      <c r="BL107" s="2122">
        <f>+BL106/BF109-1</f>
        <v>0.22224495042809367</v>
      </c>
      <c r="BM107" s="2122">
        <f>+BM106/BG109-1</f>
        <v>0.2073516680371521</v>
      </c>
      <c r="BN107" s="2131">
        <f>+BN106/BH109-1</f>
        <v>0.18601508969677716</v>
      </c>
      <c r="BO107" s="2123">
        <f>+BO106/BI109-1</f>
        <v>0.19330754088577806</v>
      </c>
      <c r="BP107" s="2097"/>
      <c r="BQ107" s="2121">
        <f>+BQ106/BK109-1</f>
        <v>0.30274863523650319</v>
      </c>
      <c r="BR107" s="2122">
        <f>+BR106/BL109-1</f>
        <v>0.16879778018910985</v>
      </c>
      <c r="BS107" s="2122">
        <f>+BS106/BM109-1</f>
        <v>0.15063363283481412</v>
      </c>
      <c r="BT107" s="2131">
        <f>+BT106/BN109-1</f>
        <v>0.1407863270018439</v>
      </c>
      <c r="BU107" s="2123">
        <f>+BU106/BO109-1</f>
        <v>0.18640686589957145</v>
      </c>
      <c r="BV107" s="2097"/>
      <c r="BW107" s="2121">
        <f>+BW106/BQ109-1</f>
        <v>0.15751726788700027</v>
      </c>
      <c r="BX107" s="2122">
        <f>+BX106/BR109-1</f>
        <v>0.15172100533798427</v>
      </c>
      <c r="BY107" s="2122">
        <f>+BY106/BS109-1</f>
        <v>0.14577006212398858</v>
      </c>
      <c r="BZ107" s="2131">
        <f>+BZ106/BT109-1</f>
        <v>0.14425820004277012</v>
      </c>
      <c r="CA107" s="2123">
        <f>+CA106/BU109-1</f>
        <v>0.14975335356418329</v>
      </c>
      <c r="CB107" s="2097"/>
      <c r="CC107" s="2121">
        <f>+CC106/BW109-1</f>
        <v>0.16653364677426019</v>
      </c>
      <c r="CD107" s="2122">
        <f>+CD106/BX109-1</f>
        <v>0.16973630691138686</v>
      </c>
      <c r="CE107" s="2122">
        <f>+CE106/BY109-1</f>
        <v>0.17044221334179421</v>
      </c>
      <c r="CF107" s="2131">
        <f>+CF106/BZ109-1</f>
        <v>0.17420179124568724</v>
      </c>
      <c r="CG107" s="2123">
        <f>+CG106/CA109-1</f>
        <v>0.17026222492609189</v>
      </c>
      <c r="CH107" s="2097"/>
      <c r="CI107" s="2121">
        <f>+CI106/CC109-1</f>
        <v>0.15261363180446885</v>
      </c>
      <c r="CJ107" s="2122">
        <f>+CJ106/CD109-1</f>
        <v>0.15380088988297236</v>
      </c>
      <c r="CK107" s="2122">
        <f>+CK106/CE109-1</f>
        <v>0.15458533792824003</v>
      </c>
      <c r="CL107" s="2131">
        <f>+CL106/CF109-1</f>
        <v>0.15787085373564724</v>
      </c>
      <c r="CM107" s="2123">
        <f>+CM106/CG109-1</f>
        <v>0.15475147366504594</v>
      </c>
      <c r="CN107" s="2097"/>
      <c r="CO107" s="2121">
        <f>+CO106/CI109-1</f>
        <v>0.12851182814359929</v>
      </c>
      <c r="CP107" s="2122">
        <f>+CP106/CJ109-1</f>
        <v>0.13109229092373575</v>
      </c>
      <c r="CQ107" s="2122">
        <f>+CQ106/CK109-1</f>
        <v>0.13500427462850362</v>
      </c>
      <c r="CR107" s="2131">
        <f>+CR106/CL109-1</f>
        <v>0.13716096906447173</v>
      </c>
      <c r="CS107" s="2123">
        <f>+CS106/CM109-1</f>
        <v>0.13298922503057975</v>
      </c>
      <c r="CT107" s="2122"/>
      <c r="CU107" s="2122"/>
      <c r="CV107" s="2122"/>
      <c r="CW107" s="2122"/>
      <c r="CX107" s="60"/>
      <c r="CY107" s="60"/>
      <c r="CZ107" s="60"/>
      <c r="DA107" s="60"/>
      <c r="DB107" s="60"/>
      <c r="DC107" s="60"/>
      <c r="DD107" s="60"/>
      <c r="DE107" s="60"/>
      <c r="DF107" s="60"/>
      <c r="DG107" s="60"/>
      <c r="DH107" s="60"/>
      <c r="DI107" s="60"/>
      <c r="DJ107" s="60"/>
      <c r="DK107" s="60"/>
      <c r="DL107" s="60"/>
      <c r="DM107" s="68"/>
      <c r="DN107" s="68"/>
      <c r="DO107" s="68"/>
      <c r="DP107" s="68"/>
      <c r="DQ107" s="68"/>
      <c r="DR107" s="68"/>
      <c r="DS107" s="68"/>
      <c r="DT107" s="68"/>
      <c r="DU107" s="68"/>
      <c r="DV107" s="68"/>
      <c r="DW107" s="68"/>
      <c r="DX107" s="68"/>
    </row>
    <row r="108" spans="1:128">
      <c r="A108" s="1991" t="s">
        <v>612</v>
      </c>
      <c r="B108" s="63"/>
      <c r="C108" s="760"/>
      <c r="D108" s="740"/>
      <c r="E108" s="740"/>
      <c r="F108" s="740"/>
      <c r="G108" s="739"/>
      <c r="H108" s="205"/>
      <c r="I108" s="760"/>
      <c r="J108" s="740"/>
      <c r="K108" s="740"/>
      <c r="L108" s="740"/>
      <c r="M108" s="739"/>
      <c r="N108" s="63"/>
      <c r="O108" s="1959"/>
      <c r="P108" s="1960"/>
      <c r="Q108" s="1960"/>
      <c r="R108" s="1960"/>
      <c r="S108" s="1962"/>
      <c r="T108" s="63"/>
      <c r="U108" s="1959"/>
      <c r="V108" s="1960"/>
      <c r="W108" s="1960"/>
      <c r="X108" s="1960"/>
      <c r="Y108" s="1962"/>
      <c r="Z108" s="63"/>
      <c r="AA108" s="1959"/>
      <c r="AB108" s="1960"/>
      <c r="AC108" s="1960"/>
      <c r="AD108" s="1960"/>
      <c r="AE108" s="1962"/>
      <c r="AF108" s="63"/>
      <c r="AG108" s="2004">
        <f>+AG106/AG$9</f>
        <v>0.19261572585762785</v>
      </c>
      <c r="AH108" s="2005">
        <f>+AH106/AH$9</f>
        <v>0.20218810794782774</v>
      </c>
      <c r="AI108" s="2005">
        <f>+AI106/AI$9</f>
        <v>0.20299522396209738</v>
      </c>
      <c r="AJ108" s="1999">
        <f>+AJ106/AJ$9</f>
        <v>0.21416871048574748</v>
      </c>
      <c r="AK108" s="1990">
        <f>+AK106/AK$9</f>
        <v>0.20334996451545428</v>
      </c>
      <c r="AL108" s="2006"/>
      <c r="AM108" s="2004">
        <f>+AM106/AM$9</f>
        <v>0.22482596083080919</v>
      </c>
      <c r="AN108" s="2005">
        <f>+AN106/AN$9</f>
        <v>0.21017147661207086</v>
      </c>
      <c r="AO108" s="2005">
        <f>+AO106/AO$9</f>
        <v>0.22363903996709977</v>
      </c>
      <c r="AP108" s="2005">
        <f>+AP106/AP$9</f>
        <v>0.24354201538064127</v>
      </c>
      <c r="AQ108" s="1990">
        <f>+AQ106/AQ$9</f>
        <v>0.22605251293252465</v>
      </c>
      <c r="AR108" s="2006"/>
      <c r="AS108" s="2004">
        <f>+AS106/AS$9</f>
        <v>0.27430484467812766</v>
      </c>
      <c r="AT108" s="2005">
        <f>+AT106/AT$9</f>
        <v>0.25585776583061953</v>
      </c>
      <c r="AU108" s="2005">
        <f>+AU106/AU$9</f>
        <v>0.28161439125311627</v>
      </c>
      <c r="AV108" s="1999">
        <f>+AV106/AV$9</f>
        <v>0.26604884513787974</v>
      </c>
      <c r="AW108" s="1990">
        <f>+AW106/AW$9</f>
        <v>0.26948985836679173</v>
      </c>
      <c r="AX108" s="2007"/>
      <c r="AY108" s="2004">
        <f>+AY106/AY$9</f>
        <v>0.2906066316325166</v>
      </c>
      <c r="AZ108" s="2005">
        <f>+AZ106/AZ$9</f>
        <v>0.30122473666694038</v>
      </c>
      <c r="BA108" s="2005">
        <f>+BA106/BA$9</f>
        <v>0.30703979179675067</v>
      </c>
      <c r="BB108" s="1999">
        <f>+BB106/BB$9</f>
        <v>0.31801380038509819</v>
      </c>
      <c r="BC108" s="1990">
        <f>+BC106/BC$9</f>
        <v>0.30451288738878557</v>
      </c>
      <c r="BD108" s="1"/>
      <c r="BE108" s="2004">
        <f>+BE106/BE$9</f>
        <v>0.33043250453878903</v>
      </c>
      <c r="BF108" s="2005">
        <f>+BF106/BF$9</f>
        <v>0.33113253165257073</v>
      </c>
      <c r="BG108" s="2005">
        <f>+BG106/BG$9</f>
        <v>0.33982792179993776</v>
      </c>
      <c r="BH108" s="1999">
        <f>+BH106/BH$9</f>
        <v>0.35434417836225324</v>
      </c>
      <c r="BI108" s="1990">
        <f>+BI106/BI$9</f>
        <v>0.33917610420866295</v>
      </c>
      <c r="BJ108" s="9"/>
      <c r="BK108" s="2004">
        <f>+BK106/BK$9</f>
        <v>0.36323092394971829</v>
      </c>
      <c r="BL108" s="2005">
        <f>+BL106/BL$9</f>
        <v>0.365123418566078</v>
      </c>
      <c r="BM108" s="2005">
        <f>+BM106/BM$9</f>
        <v>0.35006105540631471</v>
      </c>
      <c r="BN108" s="1999">
        <f>+BN106/BN$9</f>
        <v>0.338920820762105</v>
      </c>
      <c r="BO108" s="1990">
        <f>+BO106/BO$9</f>
        <v>0.35347975537962556</v>
      </c>
      <c r="BP108" s="9"/>
      <c r="BQ108" s="2004">
        <f>+BQ106/BQ$9</f>
        <v>0.37026400622540279</v>
      </c>
      <c r="BR108" s="2005">
        <f>+BR106/BR$9</f>
        <v>0.36479122545502035</v>
      </c>
      <c r="BS108" s="2005">
        <f>+BS106/BS$9</f>
        <v>0.3604671038654555</v>
      </c>
      <c r="BT108" s="1999">
        <f>+BT106/BT$9</f>
        <v>0.36219303419905091</v>
      </c>
      <c r="BU108" s="1990">
        <f>+BU106/BU$9</f>
        <v>0.36433864326742765</v>
      </c>
      <c r="BV108" s="9"/>
      <c r="BW108" s="2004">
        <f>+BW106/BW$9</f>
        <v>0.38650671276693943</v>
      </c>
      <c r="BX108" s="2005">
        <f>+BX106/BX$9</f>
        <v>0.38291423503147703</v>
      </c>
      <c r="BY108" s="2005">
        <f>+BY106/BY$9</f>
        <v>0.3776385550298233</v>
      </c>
      <c r="BZ108" s="1999">
        <f>+BZ106/BZ$9</f>
        <v>0.37969139993449663</v>
      </c>
      <c r="CA108" s="1990">
        <f>+CA106/CA$9</f>
        <v>0.38165068116514494</v>
      </c>
      <c r="CB108" s="9"/>
      <c r="CC108" s="2004">
        <f>+CC106/CC$9</f>
        <v>0.40930691209135334</v>
      </c>
      <c r="CD108" s="2005">
        <f>+CD106/CD$9</f>
        <v>0.4062531596776992</v>
      </c>
      <c r="CE108" s="2005">
        <f>+CE106/CE$9</f>
        <v>0.40100707370080763</v>
      </c>
      <c r="CF108" s="1999">
        <f>+CF106/CF$9</f>
        <v>0.40392458557138222</v>
      </c>
      <c r="CG108" s="1990">
        <f>+CG106/CG$9</f>
        <v>0.40509496708848824</v>
      </c>
      <c r="CH108" s="9"/>
      <c r="CI108" s="2004">
        <f>+CI106/CI$9</f>
        <v>0.42720281934471893</v>
      </c>
      <c r="CJ108" s="2005">
        <f>+CJ106/CJ$9</f>
        <v>0.42452831010676095</v>
      </c>
      <c r="CK108" s="2005">
        <f>+CK106/CK$9</f>
        <v>0.41956628845186711</v>
      </c>
      <c r="CL108" s="1999">
        <f>+CL106/CL$9</f>
        <v>0.42278195720626571</v>
      </c>
      <c r="CM108" s="1990">
        <f>+CM106/CM$9</f>
        <v>0.42349885323395953</v>
      </c>
      <c r="CN108" s="9"/>
      <c r="CO108" s="2004">
        <f>+CO106/CO$9</f>
        <v>0.43842998310821574</v>
      </c>
      <c r="CP108" s="2005">
        <f>+CP106/CP$9</f>
        <v>0.43477553766580274</v>
      </c>
      <c r="CQ108" s="2005">
        <f>+CQ106/CQ$9</f>
        <v>0.42961781230925677</v>
      </c>
      <c r="CR108" s="1999">
        <f>+CR106/CR$9</f>
        <v>0.43322609699507847</v>
      </c>
      <c r="CS108" s="1990">
        <f>+CS106/CS$9</f>
        <v>0.43398000903316403</v>
      </c>
      <c r="CT108" s="2005"/>
      <c r="CU108" s="2005"/>
      <c r="CV108" s="2005"/>
      <c r="CW108" s="2005"/>
      <c r="CX108" s="60"/>
      <c r="CY108" s="60"/>
      <c r="CZ108" s="60"/>
      <c r="DA108" s="60"/>
      <c r="DB108" s="60"/>
      <c r="DC108" s="60"/>
      <c r="DD108" s="60"/>
      <c r="DE108" s="60"/>
      <c r="DF108" s="60"/>
      <c r="DG108" s="60"/>
      <c r="DH108" s="60"/>
      <c r="DI108" s="60"/>
      <c r="DJ108" s="60"/>
      <c r="DK108" s="60"/>
      <c r="DL108" s="60"/>
      <c r="DM108" s="68"/>
      <c r="DN108" s="68"/>
      <c r="DO108" s="68"/>
      <c r="DP108" s="68"/>
      <c r="DQ108" s="68"/>
      <c r="DR108" s="68"/>
      <c r="DS108" s="68"/>
      <c r="DT108" s="68"/>
      <c r="DU108" s="68"/>
      <c r="DV108" s="68"/>
      <c r="DW108" s="68"/>
      <c r="DX108" s="68"/>
    </row>
    <row r="109" spans="1:128">
      <c r="A109" s="2092" t="s">
        <v>640</v>
      </c>
      <c r="B109" s="2117"/>
      <c r="C109" s="2118"/>
      <c r="D109" s="2119"/>
      <c r="E109" s="2119"/>
      <c r="F109" s="2119"/>
      <c r="G109" s="2120"/>
      <c r="H109" s="2119"/>
      <c r="I109" s="2118"/>
      <c r="J109" s="2119"/>
      <c r="K109" s="2119"/>
      <c r="L109" s="2119"/>
      <c r="M109" s="2120"/>
      <c r="N109" s="2117"/>
      <c r="O109" s="2121"/>
      <c r="P109" s="2122"/>
      <c r="Q109" s="2122"/>
      <c r="R109" s="2122"/>
      <c r="S109" s="2123"/>
      <c r="T109" s="2124"/>
      <c r="U109" s="2121"/>
      <c r="V109" s="2122"/>
      <c r="W109" s="2122"/>
      <c r="X109" s="2122"/>
      <c r="Y109" s="2123"/>
      <c r="Z109" s="2124"/>
      <c r="AA109" s="2121"/>
      <c r="AB109" s="2122"/>
      <c r="AC109" s="2122"/>
      <c r="AD109" s="2122"/>
      <c r="AE109" s="2123"/>
      <c r="AF109" s="2124"/>
      <c r="AG109" s="2099">
        <f>+AG106</f>
        <v>52.708030957909344</v>
      </c>
      <c r="AH109" s="2097">
        <f>+AH106</f>
        <v>58.39125136830252</v>
      </c>
      <c r="AI109" s="2097">
        <f>+AI106</f>
        <v>59.458408604009684</v>
      </c>
      <c r="AJ109" s="2097">
        <f>+AJ106</f>
        <v>66.847383329987224</v>
      </c>
      <c r="AK109" s="2100">
        <f>+SUM(AG109:AJ109)</f>
        <v>237.40507426020878</v>
      </c>
      <c r="AL109" s="2098"/>
      <c r="AM109" s="2099">
        <f>+AM106*(1+AM$11)</f>
        <v>73.583719600123416</v>
      </c>
      <c r="AN109" s="2097">
        <f>+AN106*(1+AN$11)</f>
        <v>72.176168716039342</v>
      </c>
      <c r="AO109" s="2097">
        <f>+AO106*(1+AO$11)</f>
        <v>80.102973114813821</v>
      </c>
      <c r="AP109" s="2097">
        <f>+AP106*(1+AP$11)</f>
        <v>93.745895850370516</v>
      </c>
      <c r="AQ109" s="2100">
        <f>+SUM(AM109:AP109)</f>
        <v>319.6087572813471</v>
      </c>
      <c r="AR109" s="2098"/>
      <c r="AS109" s="2099">
        <f>+AS106*(1+AS$11)</f>
        <v>115.55198777662731</v>
      </c>
      <c r="AT109" s="2097">
        <f>+AT106*(1+AT$11)</f>
        <v>114.74797019423268</v>
      </c>
      <c r="AU109" s="2097">
        <f>+AU106*(1+AU$11)</f>
        <v>135.37625484857588</v>
      </c>
      <c r="AV109" s="2097">
        <f>+AV106*(1+AV$11)</f>
        <v>135.75422474882382</v>
      </c>
      <c r="AW109" s="2100">
        <f>+SUM(AS109:AV109)</f>
        <v>501.43043756825966</v>
      </c>
      <c r="AX109" s="2098"/>
      <c r="AY109" s="2099">
        <f>+AY106*(1+AY$11)</f>
        <v>154.49341561749367</v>
      </c>
      <c r="AZ109" s="2097">
        <f>+AZ106*(1+AZ$11)</f>
        <v>161.06156644988542</v>
      </c>
      <c r="BA109" s="2097">
        <f>+BA106*(1+BA$11)</f>
        <v>167.63287921926127</v>
      </c>
      <c r="BB109" s="2097">
        <f>+BB106*(1+BB$11)</f>
        <v>187.2877284455152</v>
      </c>
      <c r="BC109" s="2100">
        <f>+SUM(AY109:BB109)</f>
        <v>670.47558973215564</v>
      </c>
      <c r="BD109" s="2097"/>
      <c r="BE109" s="2099">
        <f>+BE106*(1+BE$11)</f>
        <v>188.8015871715742</v>
      </c>
      <c r="BF109" s="2097">
        <f>+BF106*(1+BF$11)</f>
        <v>198.77624362966716</v>
      </c>
      <c r="BG109" s="2097">
        <f>+BG106*(1+BG$11)</f>
        <v>206.16883207338185</v>
      </c>
      <c r="BH109" s="2097">
        <f>+BH106*(1+BH$11)</f>
        <v>219.36049385368858</v>
      </c>
      <c r="BI109" s="2100">
        <f>+SUM(BE109:BH109)</f>
        <v>813.10715672831179</v>
      </c>
      <c r="BJ109" s="2097"/>
      <c r="BK109" s="2099">
        <f>+BK106*(1+BK$11)</f>
        <v>217.15925002310391</v>
      </c>
      <c r="BL109" s="2097">
        <f>+BL106*(1+BL$11)</f>
        <v>241.73849374121809</v>
      </c>
      <c r="BM109" s="2097">
        <f>+BM106*(1+BM$11)</f>
        <v>250.16287471757443</v>
      </c>
      <c r="BN109" s="2097">
        <f>+BN106*(1+BN$11)</f>
        <v>264.32749348651276</v>
      </c>
      <c r="BO109" s="2100">
        <f>+SUM(BK109:BN109)</f>
        <v>973.38811196840925</v>
      </c>
      <c r="BP109" s="2097"/>
      <c r="BQ109" s="2099">
        <f>+BQ106*(1+BQ$11)</f>
        <v>291.39103409447864</v>
      </c>
      <c r="BR109" s="2097">
        <f>+BR106*(1+BR$11)</f>
        <v>289.32445682789864</v>
      </c>
      <c r="BS109" s="2097">
        <f>+BS106*(1+BS$11)</f>
        <v>290.72427551004995</v>
      </c>
      <c r="BT109" s="2097">
        <f>+BT106*(1+BT$11)</f>
        <v>304.55660232428357</v>
      </c>
      <c r="BU109" s="2100">
        <f>+SUM(BQ109:BT109)</f>
        <v>1175.9963687567108</v>
      </c>
      <c r="BV109" s="2097"/>
      <c r="BW109" s="2099">
        <f>+BW106*(1+BW$11)</f>
        <v>337.29015367180864</v>
      </c>
      <c r="BX109" s="2097">
        <f>+BX106*(1+BX$11)</f>
        <v>333.22105428669363</v>
      </c>
      <c r="BY109" s="2097">
        <f>+BY106*(1+BY$11)</f>
        <v>333.10317121210153</v>
      </c>
      <c r="BZ109" s="2097">
        <f>+BZ106*(1+BZ$11)</f>
        <v>348.49138958672648</v>
      </c>
      <c r="CA109" s="2100">
        <f>+SUM(BW109:BZ109)</f>
        <v>1352.1057687573302</v>
      </c>
      <c r="CB109" s="2097"/>
      <c r="CC109" s="2099">
        <f>+CC106*(1+CC$11)</f>
        <v>393.46031298382559</v>
      </c>
      <c r="CD109" s="2097">
        <f>+CD106*(1+CD$11)</f>
        <v>389.78076542643578</v>
      </c>
      <c r="CE109" s="2097">
        <f>+CE106*(1+CE$11)</f>
        <v>389.87801298466275</v>
      </c>
      <c r="CF109" s="2097">
        <f>+CF106*(1+CF$11)</f>
        <v>409.19921388643291</v>
      </c>
      <c r="CG109" s="2100">
        <f>+SUM(CC109:CF109)</f>
        <v>1582.318305281357</v>
      </c>
      <c r="CH109" s="2097"/>
      <c r="CI109" s="2099">
        <f>+CI106*(1+CI$11)</f>
        <v>453.50772031921025</v>
      </c>
      <c r="CJ109" s="2097">
        <f>+CJ106*(1+CJ$11)</f>
        <v>449.72939400828767</v>
      </c>
      <c r="CK109" s="2097">
        <f>+CK106*(1+CK$11)</f>
        <v>450.14743737268759</v>
      </c>
      <c r="CL109" s="2097">
        <f>+CL106*(1+CL$11)</f>
        <v>473.79984313063977</v>
      </c>
      <c r="CM109" s="2100">
        <f>+SUM(CI109:CL109)</f>
        <v>1827.1843948308253</v>
      </c>
      <c r="CN109" s="2097"/>
      <c r="CO109" s="2099">
        <f>+CO106*(1+CO$11)</f>
        <v>511.78882653466809</v>
      </c>
      <c r="CP109" s="2097">
        <f>+CP106*(1+CP$11)</f>
        <v>508.68545056457748</v>
      </c>
      <c r="CQ109" s="2097">
        <f>+CQ106*(1+CQ$11)</f>
        <v>510.91926563106699</v>
      </c>
      <c r="CR109" s="2097">
        <f>+CR106*(1+CR$11)</f>
        <v>538.78668875703306</v>
      </c>
      <c r="CS109" s="2100">
        <f>+SUM(CO109:CR109)</f>
        <v>2070.1802314873457</v>
      </c>
      <c r="CT109" s="2097"/>
      <c r="CU109" s="2097"/>
      <c r="CV109" s="2097"/>
      <c r="CW109" s="2097"/>
      <c r="CX109" s="60"/>
      <c r="CY109" s="60"/>
      <c r="CZ109" s="60"/>
      <c r="DA109" s="60"/>
      <c r="DB109" s="60"/>
      <c r="DC109" s="60"/>
      <c r="DD109" s="60"/>
      <c r="DE109" s="60"/>
      <c r="DF109" s="60"/>
      <c r="DG109" s="60"/>
      <c r="DH109" s="60"/>
      <c r="DI109" s="60"/>
      <c r="DJ109" s="60"/>
      <c r="DK109" s="60"/>
      <c r="DL109" s="60"/>
      <c r="DM109" s="68"/>
      <c r="DN109" s="68"/>
      <c r="DO109" s="68"/>
      <c r="DP109" s="68"/>
      <c r="DQ109" s="68"/>
      <c r="DR109" s="68"/>
      <c r="DS109" s="68"/>
      <c r="DT109" s="68"/>
      <c r="DU109" s="68"/>
      <c r="DV109" s="68"/>
      <c r="DW109" s="68"/>
      <c r="DX109" s="68"/>
    </row>
    <row r="110" spans="1:128">
      <c r="A110" s="1972" t="s">
        <v>597</v>
      </c>
      <c r="B110" s="63"/>
      <c r="C110" s="760"/>
      <c r="D110" s="740"/>
      <c r="E110" s="740"/>
      <c r="F110" s="740"/>
      <c r="G110" s="739"/>
      <c r="H110" s="205"/>
      <c r="I110" s="760"/>
      <c r="J110" s="740"/>
      <c r="K110" s="740"/>
      <c r="L110" s="740"/>
      <c r="M110" s="739"/>
      <c r="N110" s="68"/>
      <c r="O110" s="750"/>
      <c r="P110" s="63"/>
      <c r="Q110" s="63"/>
      <c r="R110" s="1"/>
      <c r="S110" s="191"/>
      <c r="T110" s="68"/>
      <c r="U110" s="750"/>
      <c r="V110" s="63"/>
      <c r="W110" s="63"/>
      <c r="X110" s="1"/>
      <c r="Y110" s="191"/>
      <c r="Z110" s="63"/>
      <c r="AA110" s="750"/>
      <c r="AB110" s="63"/>
      <c r="AC110" s="63"/>
      <c r="AD110" s="1"/>
      <c r="AE110" s="191"/>
      <c r="AF110" s="63"/>
      <c r="AG110" s="750">
        <f>+AG19-AG34-AG49</f>
        <v>24.880212539586783</v>
      </c>
      <c r="AH110" s="63">
        <f>+AH19-AH34-AH49</f>
        <v>26.010831092998764</v>
      </c>
      <c r="AI110" s="63">
        <f>+AI19-AI34-AI49</f>
        <v>24.197134348228502</v>
      </c>
      <c r="AJ110" s="1">
        <f>+AJ19-AJ34-AJ49</f>
        <v>25.632278052620364</v>
      </c>
      <c r="AK110" s="191">
        <f>+SUM(AG110:AJ110)</f>
        <v>100.72045603343442</v>
      </c>
      <c r="AL110" s="63"/>
      <c r="AM110" s="750">
        <f>+AM19-AM34-AM49</f>
        <v>27.379872717309148</v>
      </c>
      <c r="AN110" s="63">
        <f>+AN19-AN34-AN49</f>
        <v>28.691220454337163</v>
      </c>
      <c r="AO110" s="63">
        <f>+AO19-AO34-AO49</f>
        <v>27.632429987129793</v>
      </c>
      <c r="AP110" s="1">
        <f>+AP19-AP34-AP49</f>
        <v>32.739758035805707</v>
      </c>
      <c r="AQ110" s="191">
        <f>+SUM(AM110:AP110)</f>
        <v>116.44328119458181</v>
      </c>
      <c r="AR110" s="63"/>
      <c r="AS110" s="750">
        <f>+AS19-AS34-AS49</f>
        <v>33.825832306901312</v>
      </c>
      <c r="AT110" s="63">
        <f>+AT19-AT34-AT49</f>
        <v>36.395194957317855</v>
      </c>
      <c r="AU110" s="63">
        <f>+AU19-AU34-AU49</f>
        <v>40.79145426505017</v>
      </c>
      <c r="AV110" s="1">
        <f>+AV19-AV34-AV49</f>
        <v>48.711075320960717</v>
      </c>
      <c r="AW110" s="191">
        <f>+SUM(AS110:AV110)</f>
        <v>159.72355685023007</v>
      </c>
      <c r="AX110" s="63"/>
      <c r="AY110" s="750">
        <f>+AY19-AY34-AY49</f>
        <v>55.138098018414354</v>
      </c>
      <c r="AZ110" s="63">
        <f>+AZ19-AZ34-AZ49</f>
        <v>56.449358720130959</v>
      </c>
      <c r="BA110" s="63">
        <f>+BA19-BA34-BA49</f>
        <v>61.734382520063789</v>
      </c>
      <c r="BB110" s="1">
        <f>+BB19-BB34-BB49</f>
        <v>67.886876194974562</v>
      </c>
      <c r="BC110" s="191">
        <f>+SUM(AY110:BB110)</f>
        <v>241.20871545358364</v>
      </c>
      <c r="BD110" s="63"/>
      <c r="BE110" s="750">
        <f>+BE19-BE34-BE49</f>
        <v>67.251269855006768</v>
      </c>
      <c r="BF110" s="63">
        <f>+BF19-BF34-BF49</f>
        <v>68.728026767320728</v>
      </c>
      <c r="BG110" s="63">
        <f>+BG19-BG34-BG49</f>
        <v>74.668701186509992</v>
      </c>
      <c r="BH110" s="1">
        <f>+BH19-BH34-BH49</f>
        <v>85.382718248990102</v>
      </c>
      <c r="BI110" s="191">
        <f>+SUM(BE110:BH110)</f>
        <v>296.03071605782759</v>
      </c>
      <c r="BJ110" s="9"/>
      <c r="BK110" s="750">
        <f>+BK19-BK34-BK49</f>
        <v>81.063912535782862</v>
      </c>
      <c r="BL110" s="63">
        <f>+BL19-BL34-BL49</f>
        <v>84.965625458719416</v>
      </c>
      <c r="BM110" s="63">
        <f>+BM19-BM34-BM49</f>
        <v>94.73624118426558</v>
      </c>
      <c r="BN110" s="1">
        <f>+BN19-BN34-BN49</f>
        <v>107.1634063069051</v>
      </c>
      <c r="BO110" s="191">
        <f>+SUM(BK110:BN110)</f>
        <v>367.92918548567297</v>
      </c>
      <c r="BP110" s="9"/>
      <c r="BQ110" s="750">
        <f>+BQ19-BQ34-BQ49</f>
        <v>100.19314902236252</v>
      </c>
      <c r="BR110" s="63">
        <f>+BR19-BR34-BR49</f>
        <v>100.92030135146354</v>
      </c>
      <c r="BS110" s="63">
        <f>+BS19-BS34-BS49</f>
        <v>103.99353406522812</v>
      </c>
      <c r="BT110" s="1">
        <f>+BT19-BT34-BT49</f>
        <v>108.21516295553096</v>
      </c>
      <c r="BU110" s="191">
        <f>+SUM(BQ110:BT110)</f>
        <v>413.3221473945851</v>
      </c>
      <c r="BV110" s="9"/>
      <c r="BW110" s="750">
        <f>+BW19-BW34-BW49</f>
        <v>111.98515709609904</v>
      </c>
      <c r="BX110" s="63">
        <f>+BX19-BX34-BX49</f>
        <v>111.32946703418253</v>
      </c>
      <c r="BY110" s="63">
        <f>+BY19-BY34-BY49</f>
        <v>112.99677524395486</v>
      </c>
      <c r="BZ110" s="1">
        <f>+BZ19-BZ34-BZ49</f>
        <v>116.45830967561128</v>
      </c>
      <c r="CA110" s="191">
        <f>+SUM(BW110:BZ110)</f>
        <v>452.76970904984773</v>
      </c>
      <c r="CB110" s="9"/>
      <c r="CC110" s="750">
        <f>+CC19-CC34-CC49</f>
        <v>118.76808842109577</v>
      </c>
      <c r="CD110" s="63">
        <f>+CD19-CD34-CD49</f>
        <v>118.74243253761063</v>
      </c>
      <c r="CE110" s="63">
        <f>+CE19-CE34-CE49</f>
        <v>121.09223256109686</v>
      </c>
      <c r="CF110" s="1">
        <f>+CF19-CF34-CF49</f>
        <v>125.29823980216725</v>
      </c>
      <c r="CG110" s="191">
        <f>+SUM(CC110:CF110)</f>
        <v>483.90099332197053</v>
      </c>
      <c r="CH110" s="9"/>
      <c r="CI110" s="750">
        <f>+CI19-CI34-CI49</f>
        <v>128.23061512927191</v>
      </c>
      <c r="CJ110" s="63">
        <f>+CJ19-CJ34-CJ49</f>
        <v>128.63226990489957</v>
      </c>
      <c r="CK110" s="63">
        <f>+CK19-CK34-CK49</f>
        <v>131.5533372573957</v>
      </c>
      <c r="CL110" s="1">
        <f>+CL19-CL34-CL49</f>
        <v>136.87602254325435</v>
      </c>
      <c r="CM110" s="191">
        <f>+SUM(CI110:CL110)</f>
        <v>525.29224483482153</v>
      </c>
      <c r="CN110" s="9"/>
      <c r="CO110" s="750">
        <f>+CO19-CO34-CO49</f>
        <v>141.36374732241478</v>
      </c>
      <c r="CP110" s="63">
        <f>+CP19-CP34-CP49</f>
        <v>143.26747323370034</v>
      </c>
      <c r="CQ110" s="63">
        <f>+CQ19-CQ34-CQ49</f>
        <v>147.63772006616188</v>
      </c>
      <c r="CR110" s="1">
        <f>+CR19-CR34-CR49</f>
        <v>154.08377854105794</v>
      </c>
      <c r="CS110" s="191">
        <f>+SUM(CO110:CR110)</f>
        <v>586.352719163335</v>
      </c>
      <c r="CT110" s="205"/>
      <c r="CU110" s="205"/>
      <c r="CV110" s="205"/>
      <c r="CW110" s="205"/>
      <c r="CX110" s="60"/>
      <c r="CY110" s="60"/>
      <c r="CZ110" s="60"/>
      <c r="DA110" s="60"/>
      <c r="DB110" s="60"/>
      <c r="DC110" s="60"/>
      <c r="DD110" s="60"/>
      <c r="DE110" s="60"/>
      <c r="DF110" s="60"/>
      <c r="DG110" s="60"/>
      <c r="DH110" s="60"/>
      <c r="DI110" s="60"/>
      <c r="DJ110" s="60"/>
      <c r="DK110" s="60"/>
      <c r="DL110" s="60"/>
      <c r="DM110" s="68"/>
      <c r="DN110" s="68"/>
      <c r="DO110" s="68"/>
      <c r="DP110" s="68"/>
      <c r="DQ110" s="68"/>
      <c r="DR110" s="68"/>
      <c r="DS110" s="68"/>
      <c r="DT110" s="68"/>
      <c r="DU110" s="68"/>
      <c r="DV110" s="68"/>
      <c r="DW110" s="68"/>
      <c r="DX110" s="68"/>
    </row>
    <row r="111" spans="1:128">
      <c r="A111" s="1985" t="s">
        <v>569</v>
      </c>
      <c r="B111" s="63"/>
      <c r="C111" s="1963"/>
      <c r="D111" s="1964"/>
      <c r="E111" s="1964"/>
      <c r="F111" s="1964"/>
      <c r="G111" s="1965"/>
      <c r="H111" s="63"/>
      <c r="I111" s="1963"/>
      <c r="J111" s="1964"/>
      <c r="K111" s="1964"/>
      <c r="L111" s="1964"/>
      <c r="M111" s="1965"/>
      <c r="N111" s="63"/>
      <c r="O111" s="1963"/>
      <c r="P111" s="1964"/>
      <c r="Q111" s="1964"/>
      <c r="R111" s="1964"/>
      <c r="S111" s="1965"/>
      <c r="T111" s="63"/>
      <c r="U111" s="1963"/>
      <c r="V111" s="1964"/>
      <c r="W111" s="1964"/>
      <c r="X111" s="1964"/>
      <c r="Y111" s="1965"/>
      <c r="Z111" s="63"/>
      <c r="AA111" s="1963"/>
      <c r="AB111" s="1964"/>
      <c r="AC111" s="1964"/>
      <c r="AD111" s="1964"/>
      <c r="AE111" s="1965"/>
      <c r="AF111" s="63"/>
      <c r="AG111" s="1988">
        <f>+AG110/AG$19</f>
        <v>0.14351936502659576</v>
      </c>
      <c r="AH111" s="196">
        <f>+AH110/AH$19</f>
        <v>0.13818640546156136</v>
      </c>
      <c r="AI111" s="196">
        <f>+AI110/AI$19</f>
        <v>0.13366634448740175</v>
      </c>
      <c r="AJ111" s="1989">
        <f>+AJ110/AJ$19</f>
        <v>0.12973275447662527</v>
      </c>
      <c r="AK111" s="1990">
        <f>+AK110/AK$19</f>
        <v>0.13612125173330436</v>
      </c>
      <c r="AL111" s="1302"/>
      <c r="AM111" s="1988">
        <f>+AM110/AM$19</f>
        <v>0.12790996608686128</v>
      </c>
      <c r="AN111" s="196">
        <f>+AN110/AN$19</f>
        <v>0.12767471091000493</v>
      </c>
      <c r="AO111" s="196">
        <f>+AO110/AO$19</f>
        <v>0.12808258970068775</v>
      </c>
      <c r="AP111" s="196">
        <f>+AP110/AP$19</f>
        <v>0.1289849680814355</v>
      </c>
      <c r="AQ111" s="1990">
        <f>+AQ110/AQ$19</f>
        <v>0.12823156864978058</v>
      </c>
      <c r="AR111" s="1302"/>
      <c r="AS111" s="1988">
        <f>+AS110/AS$19</f>
        <v>0.13455014749262512</v>
      </c>
      <c r="AT111" s="196">
        <f>+AT110/AT$19</f>
        <v>0.14200619319847535</v>
      </c>
      <c r="AU111" s="196">
        <f>+AU110/AU$19</f>
        <v>0.14876860874272552</v>
      </c>
      <c r="AV111" s="1989">
        <f>+AV110/AV$19</f>
        <v>0.15648540740276803</v>
      </c>
      <c r="AW111" s="1990">
        <f>+AW110/AW$19</f>
        <v>0.14611875494469762</v>
      </c>
      <c r="AX111" s="1302"/>
      <c r="AY111" s="1988">
        <f>+AY110/AY$19</f>
        <v>0.16299785091542193</v>
      </c>
      <c r="AZ111" s="196">
        <f>+AZ110/AZ$19</f>
        <v>0.16991232099595624</v>
      </c>
      <c r="BA111" s="196">
        <f>+BA110/BA$19</f>
        <v>0.17708215971563246</v>
      </c>
      <c r="BB111" s="1989">
        <f>+BB110/BB$19</f>
        <v>0.18354253168674009</v>
      </c>
      <c r="BC111" s="1990">
        <f>+BC110/BC$19</f>
        <v>0.17366029884809461</v>
      </c>
      <c r="BD111" s="1"/>
      <c r="BE111" s="1988">
        <f>+BE110/BE$19</f>
        <v>0.17838562691252943</v>
      </c>
      <c r="BF111" s="196">
        <f>+BF110/BF$19</f>
        <v>0.17805889905336067</v>
      </c>
      <c r="BG111" s="196">
        <f>+BG110/BG$19</f>
        <v>0.18569700268885336</v>
      </c>
      <c r="BH111" s="1989">
        <f>+BH110/BH$19</f>
        <v>0.20543462566076789</v>
      </c>
      <c r="BI111" s="1990">
        <f>+BI110/BI$19</f>
        <v>0.18728359855615265</v>
      </c>
      <c r="BJ111" s="1"/>
      <c r="BK111" s="1988">
        <f>+BK110/BK$19</f>
        <v>0.20560761628557148</v>
      </c>
      <c r="BL111" s="196">
        <f>+BL110/BL$19</f>
        <v>0.20772003662267566</v>
      </c>
      <c r="BM111" s="196">
        <f>+BM110/BM$19</f>
        <v>0.2088065438796447</v>
      </c>
      <c r="BN111" s="1989">
        <f>+BN110/BN$19</f>
        <v>0.20940831588233536</v>
      </c>
      <c r="BO111" s="1990">
        <f>+BO110/BO$19</f>
        <v>0.20798878130637447</v>
      </c>
      <c r="BP111" s="1"/>
      <c r="BQ111" s="1988">
        <f>+BQ110/BQ$19</f>
        <v>0.20190086447609235</v>
      </c>
      <c r="BR111" s="196">
        <f>+BR110/BR$19</f>
        <v>0.20210258575025297</v>
      </c>
      <c r="BS111" s="196">
        <f>+BS110/BS$19</f>
        <v>0.20187543252850265</v>
      </c>
      <c r="BT111" s="1989">
        <f>+BT110/BT$19</f>
        <v>0.20124685466251854</v>
      </c>
      <c r="BU111" s="1990">
        <f>+BU110/BU$19</f>
        <v>0.20178823110706146</v>
      </c>
      <c r="BV111" s="1"/>
      <c r="BW111" s="1988">
        <f>+BW110/BW$19</f>
        <v>0.2004702823954124</v>
      </c>
      <c r="BX111" s="196">
        <f>+BX110/BX$19</f>
        <v>0.19955822283879329</v>
      </c>
      <c r="BY111" s="196">
        <f>+BY110/BY$19</f>
        <v>0.198308427060813</v>
      </c>
      <c r="BZ111" s="1989">
        <f>+BZ110/BZ$19</f>
        <v>0.19674368752135599</v>
      </c>
      <c r="CA111" s="1990">
        <f>+CA110/CA$19</f>
        <v>0.19873799833691613</v>
      </c>
      <c r="CB111" s="1"/>
      <c r="CC111" s="1988">
        <f>+CC110/CC$19</f>
        <v>0.19592981085722613</v>
      </c>
      <c r="CD111" s="196">
        <f>+CD110/CD$19</f>
        <v>0.19581830599643651</v>
      </c>
      <c r="CE111" s="196">
        <f>+CE110/CE$19</f>
        <v>0.19536379315203825</v>
      </c>
      <c r="CF111" s="1989">
        <f>+CF110/CF$19</f>
        <v>0.19458750959643673</v>
      </c>
      <c r="CG111" s="1990">
        <f>+CG110/CG$19</f>
        <v>0.19541179064508879</v>
      </c>
      <c r="CH111" s="1"/>
      <c r="CI111" s="1988">
        <f>+CI110/CI$19</f>
        <v>0.1944694696472099</v>
      </c>
      <c r="CJ111" s="196">
        <f>+CJ110/CJ$19</f>
        <v>0.19497053382212592</v>
      </c>
      <c r="CK111" s="196">
        <f>+CK110/CK$19</f>
        <v>0.19513144488930989</v>
      </c>
      <c r="CL111" s="1989">
        <f>+CL110/CL$19</f>
        <v>0.19497165733449745</v>
      </c>
      <c r="CM111" s="1990">
        <f>+CM110/CM$19</f>
        <v>0.19488849479842293</v>
      </c>
      <c r="CN111" s="1"/>
      <c r="CO111" s="1988">
        <f>+CO110/CO$19</f>
        <v>0.1953977897107104</v>
      </c>
      <c r="CP111" s="196">
        <f>+CP110/CP$19</f>
        <v>0.19637756210831619</v>
      </c>
      <c r="CQ111" s="196">
        <f>+CQ110/CQ$19</f>
        <v>0.19702445225925436</v>
      </c>
      <c r="CR111" s="1989">
        <f>+CR110/CR$19</f>
        <v>0.19735614983020297</v>
      </c>
      <c r="CS111" s="1990">
        <f>+CS110/CS$19</f>
        <v>0.19655855824712665</v>
      </c>
      <c r="CT111" s="2005"/>
      <c r="CU111" s="2005"/>
      <c r="CV111" s="2005"/>
      <c r="CW111" s="2005"/>
      <c r="CX111" s="60"/>
      <c r="CY111" s="60"/>
      <c r="CZ111" s="60"/>
      <c r="DA111" s="60"/>
      <c r="DB111" s="60"/>
      <c r="DC111" s="60"/>
      <c r="DD111" s="60"/>
      <c r="DE111" s="60"/>
      <c r="DF111" s="60"/>
      <c r="DG111" s="60"/>
      <c r="DH111" s="60"/>
      <c r="DI111" s="60"/>
      <c r="DJ111" s="60"/>
      <c r="DK111" s="60"/>
      <c r="DL111" s="60"/>
      <c r="DM111" s="68"/>
      <c r="DN111" s="68"/>
      <c r="DO111" s="68"/>
      <c r="DP111" s="68"/>
      <c r="DQ111" s="68"/>
      <c r="DR111" s="68"/>
      <c r="DS111" s="68"/>
      <c r="DT111" s="68"/>
      <c r="DU111" s="68"/>
      <c r="DV111" s="68"/>
      <c r="DW111" s="68"/>
      <c r="DX111" s="68"/>
    </row>
    <row r="112" spans="1:128">
      <c r="A112" s="1972" t="s">
        <v>596</v>
      </c>
      <c r="B112" s="63"/>
      <c r="C112" s="760"/>
      <c r="D112" s="740"/>
      <c r="E112" s="740"/>
      <c r="F112" s="740"/>
      <c r="G112" s="739"/>
      <c r="H112" s="205"/>
      <c r="I112" s="760"/>
      <c r="J112" s="740"/>
      <c r="K112" s="740"/>
      <c r="L112" s="740"/>
      <c r="M112" s="739"/>
      <c r="N112" s="68"/>
      <c r="O112" s="750"/>
      <c r="P112" s="63"/>
      <c r="Q112" s="63"/>
      <c r="R112" s="1"/>
      <c r="S112" s="191"/>
      <c r="T112" s="68"/>
      <c r="U112" s="750"/>
      <c r="V112" s="63"/>
      <c r="W112" s="63"/>
      <c r="X112" s="1"/>
      <c r="Y112" s="191"/>
      <c r="Z112" s="63"/>
      <c r="AA112" s="750"/>
      <c r="AB112" s="63"/>
      <c r="AC112" s="63"/>
      <c r="AD112" s="1"/>
      <c r="AE112" s="191"/>
      <c r="AF112" s="63"/>
      <c r="AG112" s="750">
        <f>+AG13-AG29-AG43</f>
        <v>7.4956292805883109</v>
      </c>
      <c r="AH112" s="63">
        <f>+AH13-AH29-AH43</f>
        <v>7.0537465112929159</v>
      </c>
      <c r="AI112" s="63">
        <f>+AI13-AI29-AI43</f>
        <v>7.9259795667581443</v>
      </c>
      <c r="AJ112" s="1">
        <f>+AJ13-AJ29-AJ43</f>
        <v>7.5860937238264405</v>
      </c>
      <c r="AK112" s="191">
        <f>+SUM(AG112:AJ112)</f>
        <v>30.06144908246581</v>
      </c>
      <c r="AL112" s="63"/>
      <c r="AM112" s="750">
        <f>+AM13-AM29-AM43</f>
        <v>11.518679364625545</v>
      </c>
      <c r="AN112" s="63">
        <f>+AN13-AN29-AN43</f>
        <v>12.170382519855877</v>
      </c>
      <c r="AO112" s="63">
        <f>+AO13-AO29-AO43</f>
        <v>13.774314867291597</v>
      </c>
      <c r="AP112" s="1">
        <f>+AP13-AP29-AP43</f>
        <v>12.82718151770748</v>
      </c>
      <c r="AQ112" s="191">
        <f>+SUM(AM112:AP112)</f>
        <v>50.290558269480499</v>
      </c>
      <c r="AR112" s="63"/>
      <c r="AS112" s="750">
        <f>+AS13-AS29-AS43</f>
        <v>28.831699659244258</v>
      </c>
      <c r="AT112" s="63">
        <f>+AT13-AT29-AT43</f>
        <v>28.559923827517267</v>
      </c>
      <c r="AU112" s="63">
        <f>+AU13-AU29-AU43</f>
        <v>38.232518622304035</v>
      </c>
      <c r="AV112" s="1">
        <f>+AV13-AV29-AV43</f>
        <v>39.358988220595656</v>
      </c>
      <c r="AW112" s="191">
        <f>+SUM(AS112:AV112)</f>
        <v>134.98313032966121</v>
      </c>
      <c r="AX112" s="63"/>
      <c r="AY112" s="750">
        <f>+AY13-AY29-AY43</f>
        <v>37.947500000000005</v>
      </c>
      <c r="AZ112" s="63">
        <f>+AZ13-AZ29-AZ43</f>
        <v>46.657635999999982</v>
      </c>
      <c r="BA112" s="63">
        <f>+BA13-BA29-BA43</f>
        <v>43.789999999999992</v>
      </c>
      <c r="BB112" s="1">
        <f>+BB13-BB29-BB43</f>
        <v>41.139359999999982</v>
      </c>
      <c r="BC112" s="191">
        <f>+SUM(AY112:BB112)</f>
        <v>169.53449599999996</v>
      </c>
      <c r="BD112" s="63"/>
      <c r="BE112" s="750">
        <f>+BE13-BE29-BE43</f>
        <v>42.768129055674152</v>
      </c>
      <c r="BF112" s="63">
        <f>+BF13-BF29-BF43</f>
        <v>42.645459436761904</v>
      </c>
      <c r="BG112" s="63">
        <f>+BG13-BG29-BG43</f>
        <v>39.152520387234354</v>
      </c>
      <c r="BH112" s="1">
        <f>+BH13-BH29-BH43</f>
        <v>42.597014559119913</v>
      </c>
      <c r="BI112" s="191">
        <f>+SUM(BE112:BH112)</f>
        <v>167.16312343879031</v>
      </c>
      <c r="BJ112" s="9"/>
      <c r="BK112" s="750">
        <f>+BK13-BK29-BK43</f>
        <v>31.182899999999997</v>
      </c>
      <c r="BL112" s="63">
        <f>+BL13-BL29-BL43</f>
        <v>38.256399999999971</v>
      </c>
      <c r="BM112" s="63">
        <f>+BM13-BM29-BM43</f>
        <v>36.254400000000011</v>
      </c>
      <c r="BN112" s="1">
        <f>+BN13-BN29-BN43</f>
        <v>34.293999999999976</v>
      </c>
      <c r="BO112" s="191">
        <f>+SUM(BK112:BN112)</f>
        <v>139.98769999999996</v>
      </c>
      <c r="BP112" s="9"/>
      <c r="BQ112" s="750">
        <f>+BQ13-BQ29-BQ43</f>
        <v>29.9</v>
      </c>
      <c r="BR112" s="63">
        <f>+BR13-BR29-BR43</f>
        <v>30.360399999999984</v>
      </c>
      <c r="BS112" s="63">
        <f>+BS13-BS29-BS43</f>
        <v>29.734572500000013</v>
      </c>
      <c r="BT112" s="1">
        <f>+BT13-BT29-BT43</f>
        <v>27.797511250000007</v>
      </c>
      <c r="BU112" s="191">
        <f>+SUM(BQ112:BT112)</f>
        <v>117.79248375</v>
      </c>
      <c r="BV112" s="9"/>
      <c r="BW112" s="750">
        <f>+BW13-BW29-BW43</f>
        <v>25.030884999999998</v>
      </c>
      <c r="BX112" s="63">
        <f>+BX13-BX29-BX43</f>
        <v>23.324233749999998</v>
      </c>
      <c r="BY112" s="63">
        <f>+BY13-BY29-BY43</f>
        <v>21.617582499999997</v>
      </c>
      <c r="BZ112" s="1">
        <f>+BZ13-BZ29-BZ43</f>
        <v>19.910931249999997</v>
      </c>
      <c r="CA112" s="191">
        <f>+SUM(BW112:BZ112)</f>
        <v>89.883632500000004</v>
      </c>
      <c r="CB112" s="9"/>
      <c r="CC112" s="750">
        <f>+CC13-CC29-CC43</f>
        <v>26.80512499999999</v>
      </c>
      <c r="CD112" s="63">
        <f>+CD13-CD29-CD43</f>
        <v>25.196817499999995</v>
      </c>
      <c r="CE112" s="63">
        <f>+CE13-CE29-CE43</f>
        <v>23.588509999999985</v>
      </c>
      <c r="CF112" s="1">
        <f>+CF13-CF29-CF43</f>
        <v>21.980202499999983</v>
      </c>
      <c r="CG112" s="191">
        <f>+SUM(CC112:CF112)</f>
        <v>97.57065499999996</v>
      </c>
      <c r="CH112" s="9"/>
      <c r="CI112" s="750">
        <f>+CI13-CI29-CI43</f>
        <v>29.909739999999999</v>
      </c>
      <c r="CJ112" s="63">
        <f>+CJ13-CJ29-CJ43</f>
        <v>28.307432499999997</v>
      </c>
      <c r="CK112" s="63">
        <f>+CK13-CK29-CK43</f>
        <v>26.705124999999995</v>
      </c>
      <c r="CL112" s="1">
        <f>+CL13-CL29-CL43</f>
        <v>25.102817499999993</v>
      </c>
      <c r="CM112" s="191">
        <f>+SUM(CI112:CL112)</f>
        <v>110.02511499999997</v>
      </c>
      <c r="CN112" s="9"/>
      <c r="CO112" s="750">
        <f>+CO13-CO29-CO43</f>
        <v>32.990354999999994</v>
      </c>
      <c r="CP112" s="63">
        <f>+CP13-CP29-CP43</f>
        <v>31.394047499999999</v>
      </c>
      <c r="CQ112" s="63">
        <f>+CQ13-CQ29-CQ43</f>
        <v>29.797739999999997</v>
      </c>
      <c r="CR112" s="1">
        <f>+CR13-CR29-CR43</f>
        <v>28.201432499999989</v>
      </c>
      <c r="CS112" s="191">
        <f>+SUM(CO112:CR112)</f>
        <v>122.38357499999998</v>
      </c>
      <c r="CT112" s="205"/>
      <c r="CU112" s="205"/>
      <c r="CV112" s="205"/>
      <c r="CW112" s="205"/>
      <c r="CX112" s="60"/>
      <c r="CY112" s="60"/>
      <c r="CZ112" s="60"/>
      <c r="DA112" s="60"/>
      <c r="DB112" s="60"/>
      <c r="DC112" s="60"/>
      <c r="DD112" s="60"/>
      <c r="DE112" s="60"/>
      <c r="DF112" s="60"/>
      <c r="DG112" s="60"/>
      <c r="DH112" s="60"/>
      <c r="DI112" s="60"/>
      <c r="DJ112" s="60"/>
      <c r="DK112" s="60"/>
      <c r="DL112" s="60"/>
      <c r="DM112" s="68"/>
      <c r="DN112" s="68"/>
      <c r="DO112" s="68"/>
      <c r="DP112" s="68"/>
      <c r="DQ112" s="68"/>
      <c r="DR112" s="68"/>
      <c r="DS112" s="68"/>
      <c r="DT112" s="68"/>
      <c r="DU112" s="68"/>
      <c r="DV112" s="68"/>
      <c r="DW112" s="68"/>
      <c r="DX112" s="68"/>
    </row>
    <row r="113" spans="1:128">
      <c r="A113" s="1985" t="s">
        <v>569</v>
      </c>
      <c r="B113" s="63"/>
      <c r="C113" s="1963"/>
      <c r="D113" s="1964"/>
      <c r="E113" s="1964"/>
      <c r="F113" s="1964"/>
      <c r="G113" s="1965"/>
      <c r="H113" s="63"/>
      <c r="I113" s="1963"/>
      <c r="J113" s="1964"/>
      <c r="K113" s="1964"/>
      <c r="L113" s="1964"/>
      <c r="M113" s="1965"/>
      <c r="N113" s="63"/>
      <c r="O113" s="1963"/>
      <c r="P113" s="1964"/>
      <c r="Q113" s="1964"/>
      <c r="R113" s="1964"/>
      <c r="S113" s="1965"/>
      <c r="T113" s="63"/>
      <c r="U113" s="1963"/>
      <c r="V113" s="1964"/>
      <c r="W113" s="1964"/>
      <c r="X113" s="1964"/>
      <c r="Y113" s="1965"/>
      <c r="Z113" s="63"/>
      <c r="AA113" s="1963"/>
      <c r="AB113" s="1964"/>
      <c r="AC113" s="1964"/>
      <c r="AD113" s="1964"/>
      <c r="AE113" s="1965"/>
      <c r="AF113" s="63"/>
      <c r="AG113" s="1988">
        <f>+AG112/AG$13</f>
        <v>9.3750000000000083E-2</v>
      </c>
      <c r="AH113" s="196">
        <f>+AH112/AH$13</f>
        <v>9.3750000000000069E-2</v>
      </c>
      <c r="AI113" s="196">
        <f>+AI112/AI$13</f>
        <v>9.3750000000000056E-2</v>
      </c>
      <c r="AJ113" s="1989">
        <f>+AJ112/AJ$13</f>
        <v>9.3750000000000139E-2</v>
      </c>
      <c r="AK113" s="1990">
        <f>+AK112/AK$13</f>
        <v>9.3678607164279962E-2</v>
      </c>
      <c r="AL113" s="1302"/>
      <c r="AM113" s="1988">
        <f>+AM112/AM$13</f>
        <v>0.12499999999999994</v>
      </c>
      <c r="AN113" s="196">
        <f>+AN112/AN$13</f>
        <v>0.12500000000000003</v>
      </c>
      <c r="AO113" s="196">
        <f>+AO112/AO$13</f>
        <v>0.14062499999999978</v>
      </c>
      <c r="AP113" s="196">
        <f>+AP112/AP$13</f>
        <v>0.14062499999999983</v>
      </c>
      <c r="AQ113" s="1990">
        <f>+AQ112/AQ$13</f>
        <v>0.13276131863436877</v>
      </c>
      <c r="AR113" s="1302"/>
      <c r="AS113" s="1988">
        <f>+AS112/AS$13</f>
        <v>0.24999999999999997</v>
      </c>
      <c r="AT113" s="196">
        <f>+AT112/AT$13</f>
        <v>0.20500000000000007</v>
      </c>
      <c r="AU113" s="196">
        <f>+AU112/AU$13</f>
        <v>0.25500000000000012</v>
      </c>
      <c r="AV113" s="1989">
        <f>+AV112/AV$13</f>
        <v>0.25</v>
      </c>
      <c r="AW113" s="1990">
        <f>+AW112/AW$13</f>
        <v>0.24007163808738935</v>
      </c>
      <c r="AX113" s="1302"/>
      <c r="AY113" s="1988">
        <f>+AY112/AY$13</f>
        <v>0.25</v>
      </c>
      <c r="AZ113" s="196">
        <f>+AZ112/AZ$13</f>
        <v>0.28999999999999987</v>
      </c>
      <c r="BA113" s="196">
        <f>+BA112/BA$13</f>
        <v>0.28999999999999992</v>
      </c>
      <c r="BB113" s="1989">
        <f>+BB112/BB$13</f>
        <v>0.26999999999999991</v>
      </c>
      <c r="BC113" s="1990">
        <f>+BC112/BC$13</f>
        <v>0.27514495021171431</v>
      </c>
      <c r="BD113" s="1"/>
      <c r="BE113" s="1988">
        <f>+BE112/BE$13</f>
        <v>0.35801213004917254</v>
      </c>
      <c r="BF113" s="196">
        <f>+BF112/BF$13</f>
        <v>0.33999999999999991</v>
      </c>
      <c r="BG113" s="196">
        <f>+BG112/BG$13</f>
        <v>0.35000000000000003</v>
      </c>
      <c r="BH113" s="1989">
        <f>+BH112/BH$13</f>
        <v>0.37000000000000011</v>
      </c>
      <c r="BI113" s="1990">
        <f>+BI112/BI$13</f>
        <v>0.35417637325789847</v>
      </c>
      <c r="BJ113" s="1"/>
      <c r="BK113" s="1988">
        <f>+BK112/BK$13</f>
        <v>0.31</v>
      </c>
      <c r="BL113" s="196">
        <f>+BL112/BL$13</f>
        <v>0.27999999999999986</v>
      </c>
      <c r="BM113" s="196">
        <f>+BM112/BM$13</f>
        <v>0.26000000000000006</v>
      </c>
      <c r="BN113" s="1989">
        <f>+BN112/BN$13</f>
        <v>0.24999999999999983</v>
      </c>
      <c r="BO113" s="1990">
        <f>+BO112/BO$13</f>
        <v>0.27255553795498538</v>
      </c>
      <c r="BP113" s="1"/>
      <c r="BQ113" s="1988">
        <f>+BQ112/BQ$13</f>
        <v>0.26</v>
      </c>
      <c r="BR113" s="196">
        <f>+BR112/BR$13</f>
        <v>0.24499999999999988</v>
      </c>
      <c r="BS113" s="196">
        <f>+BS112/BS$13</f>
        <v>0.23000000000000012</v>
      </c>
      <c r="BT113" s="1989">
        <f>+BT112/BT$13</f>
        <v>0.21500000000000008</v>
      </c>
      <c r="BU113" s="1990">
        <f>+BU112/BU$13</f>
        <v>0.23680595131055265</v>
      </c>
      <c r="BV113" s="1"/>
      <c r="BW113" s="1988">
        <f>+BW112/BW$13</f>
        <v>0.21999999999999997</v>
      </c>
      <c r="BX113" s="196">
        <f>+BX112/BX$13</f>
        <v>0.20499999999999996</v>
      </c>
      <c r="BY113" s="196">
        <f>+BY112/BY$13</f>
        <v>0.18999999999999997</v>
      </c>
      <c r="BZ113" s="1989">
        <f>+BZ112/BZ$13</f>
        <v>0.17499999999999996</v>
      </c>
      <c r="CA113" s="1990">
        <f>+CA112/CA$13</f>
        <v>0.19750000000000001</v>
      </c>
      <c r="CB113" s="1"/>
      <c r="CC113" s="1988">
        <f>+CC112/CC$13</f>
        <v>0.24999999999999989</v>
      </c>
      <c r="CD113" s="196">
        <f>+CD112/CD$13</f>
        <v>0.23499999999999996</v>
      </c>
      <c r="CE113" s="196">
        <f>+CE112/CE$13</f>
        <v>0.21999999999999986</v>
      </c>
      <c r="CF113" s="1989">
        <f>+CF112/CF$13</f>
        <v>0.20499999999999985</v>
      </c>
      <c r="CG113" s="1990">
        <f>+CG112/CG$13</f>
        <v>0.2274999999999999</v>
      </c>
      <c r="CH113" s="1"/>
      <c r="CI113" s="1988">
        <f>+CI112/CI$13</f>
        <v>0.27999999999999997</v>
      </c>
      <c r="CJ113" s="196">
        <f>+CJ112/CJ$13</f>
        <v>0.26499999999999996</v>
      </c>
      <c r="CK113" s="196">
        <f>+CK112/CK$13</f>
        <v>0.24999999999999994</v>
      </c>
      <c r="CL113" s="1989">
        <f>+CL112/CL$13</f>
        <v>0.2349999999999999</v>
      </c>
      <c r="CM113" s="1990">
        <f>+CM112/CM$13</f>
        <v>0.25749999999999995</v>
      </c>
      <c r="CN113" s="1"/>
      <c r="CO113" s="1988">
        <f>+CO112/CO$13</f>
        <v>0.30999999999999994</v>
      </c>
      <c r="CP113" s="196">
        <f>+CP112/CP$13</f>
        <v>0.29499999999999998</v>
      </c>
      <c r="CQ113" s="196">
        <f>+CQ112/CQ$13</f>
        <v>0.27999999999999997</v>
      </c>
      <c r="CR113" s="1989">
        <f>+CR112/CR$13</f>
        <v>0.2649999999999999</v>
      </c>
      <c r="CS113" s="1990">
        <f>+CS112/CS$13</f>
        <v>0.28749999999999987</v>
      </c>
      <c r="CT113" s="2005"/>
      <c r="CU113" s="2005"/>
      <c r="CV113" s="2005"/>
      <c r="CW113" s="2005"/>
      <c r="CX113" s="60"/>
      <c r="CY113" s="60"/>
      <c r="CZ113" s="60"/>
      <c r="DA113" s="60"/>
      <c r="DB113" s="60"/>
      <c r="DC113" s="60"/>
      <c r="DD113" s="60"/>
      <c r="DE113" s="60"/>
      <c r="DF113" s="60"/>
      <c r="DG113" s="60"/>
      <c r="DH113" s="60"/>
      <c r="DI113" s="60"/>
      <c r="DJ113" s="60"/>
      <c r="DK113" s="60"/>
      <c r="DL113" s="60"/>
      <c r="DM113" s="68"/>
      <c r="DN113" s="68"/>
      <c r="DO113" s="68"/>
      <c r="DP113" s="68"/>
      <c r="DQ113" s="68"/>
      <c r="DR113" s="68"/>
      <c r="DS113" s="68"/>
      <c r="DT113" s="68"/>
      <c r="DU113" s="68"/>
      <c r="DV113" s="68"/>
      <c r="DW113" s="68"/>
      <c r="DX113" s="68"/>
    </row>
    <row r="114" spans="1:128">
      <c r="A114" s="1971" t="s">
        <v>649</v>
      </c>
      <c r="B114" s="63"/>
      <c r="C114" s="760"/>
      <c r="D114" s="740"/>
      <c r="E114" s="740"/>
      <c r="F114" s="740"/>
      <c r="G114" s="739"/>
      <c r="H114" s="205"/>
      <c r="I114" s="760"/>
      <c r="J114" s="740"/>
      <c r="K114" s="740"/>
      <c r="L114" s="740"/>
      <c r="M114" s="739"/>
      <c r="N114" s="63"/>
      <c r="O114" s="750"/>
      <c r="P114" s="205"/>
      <c r="Q114" s="205"/>
      <c r="R114" s="205"/>
      <c r="S114" s="191"/>
      <c r="T114" s="1"/>
      <c r="U114" s="750"/>
      <c r="V114" s="205"/>
      <c r="W114" s="205"/>
      <c r="X114" s="205"/>
      <c r="Y114" s="191"/>
      <c r="Z114" s="68"/>
      <c r="AA114" s="760"/>
      <c r="AB114" s="375"/>
      <c r="AC114" s="375"/>
      <c r="AD114" s="1363"/>
      <c r="AE114" s="739"/>
      <c r="AF114" s="63"/>
      <c r="AG114" s="760">
        <f>+AG115*AG$14</f>
        <v>34.687500000000007</v>
      </c>
      <c r="AH114" s="375">
        <f>+AH115*AH$14</f>
        <v>33.000000000000007</v>
      </c>
      <c r="AI114" s="375">
        <f>+AI115*AI$14</f>
        <v>38.531250000000014</v>
      </c>
      <c r="AJ114" s="1363">
        <f>+AJ115*AJ$14</f>
        <v>38.343750000000014</v>
      </c>
      <c r="AK114" s="739">
        <f>+SUM(AG114:AJ114)</f>
        <v>144.56250000000006</v>
      </c>
      <c r="AL114" s="375"/>
      <c r="AM114" s="760">
        <f>+AM115*AM$14</f>
        <v>51.374999999999979</v>
      </c>
      <c r="AN114" s="375">
        <f>+AN115*AN$14</f>
        <v>49.124999999999979</v>
      </c>
      <c r="AO114" s="375">
        <f>+AO115*AO$14</f>
        <v>59.06249999999995</v>
      </c>
      <c r="AP114" s="1363">
        <f>+AP115*AP$14</f>
        <v>58.218749999999957</v>
      </c>
      <c r="AQ114" s="739">
        <f>+SUM(AM114:AP114)</f>
        <v>217.78124999999989</v>
      </c>
      <c r="AR114" s="375"/>
      <c r="AS114" s="760">
        <f>+AS115*AS$14</f>
        <v>134.25000000000003</v>
      </c>
      <c r="AT114" s="375">
        <f>+AT115*AT$14</f>
        <v>115.62</v>
      </c>
      <c r="AU114" s="375">
        <f>+AU115*AU$14</f>
        <v>145.35000000000002</v>
      </c>
      <c r="AV114" s="1363">
        <f>+AV115*AV$14</f>
        <v>154.75000000000003</v>
      </c>
      <c r="AW114" s="739">
        <f>+SUM(AS114:AV114)</f>
        <v>549.97</v>
      </c>
      <c r="AX114" s="1363"/>
      <c r="AY114" s="760">
        <f>+AY115*AY$14</f>
        <v>144.04775000000004</v>
      </c>
      <c r="AZ114" s="375">
        <f>+AZ115*AZ$14</f>
        <v>175.13270729323307</v>
      </c>
      <c r="BA114" s="375">
        <f>+BA115*BA$14</f>
        <v>162.61960195488723</v>
      </c>
      <c r="BB114" s="1363">
        <f>+BB115*BB$14</f>
        <v>207.12898799999996</v>
      </c>
      <c r="BC114" s="739">
        <f>+SUM(AY114:BB114)</f>
        <v>688.92904724812024</v>
      </c>
      <c r="BD114" s="1611"/>
      <c r="BE114" s="760">
        <f>+BE115*BE$14</f>
        <v>253.69966090225554</v>
      </c>
      <c r="BF114" s="375">
        <f>+BF115*BF$14</f>
        <v>242.75881413112774</v>
      </c>
      <c r="BG114" s="375">
        <f>+BG115*BG$14</f>
        <v>258.17977130399998</v>
      </c>
      <c r="BH114" s="1363">
        <f>+BH115*BH$14</f>
        <v>253.93077423487998</v>
      </c>
      <c r="BI114" s="739">
        <f>+SUM(BE114:BH114)</f>
        <v>1008.5690205722632</v>
      </c>
      <c r="BJ114" s="1611"/>
      <c r="BK114" s="760">
        <f>+BK115*BK$14</f>
        <v>154.97311273081601</v>
      </c>
      <c r="BL114" s="375">
        <f>+BL115*BL$14</f>
        <v>117.61292214622721</v>
      </c>
      <c r="BM114" s="375">
        <f>+BM115*BM$14</f>
        <v>128.70000000000002</v>
      </c>
      <c r="BN114" s="1363">
        <f>+BN115*BN$14</f>
        <v>112</v>
      </c>
      <c r="BO114" s="739">
        <f>+SUM(BK114:BN114)</f>
        <v>513.28603487704322</v>
      </c>
      <c r="BP114" s="1611"/>
      <c r="BQ114" s="760">
        <f>+BQ115*BQ$14</f>
        <v>107.89999999999998</v>
      </c>
      <c r="BR114" s="375">
        <f>+BR115*BR$14</f>
        <v>104.12499999999997</v>
      </c>
      <c r="BS114" s="375">
        <f>+BS115*BS$14</f>
        <v>97.749999999999972</v>
      </c>
      <c r="BT114" s="1363">
        <f>+BT115*BT$14</f>
        <v>91.374999999999957</v>
      </c>
      <c r="BU114" s="739">
        <f>+SUM(BQ114:BT114)</f>
        <v>401.14999999999986</v>
      </c>
      <c r="BV114" s="1611"/>
      <c r="BW114" s="760">
        <f>+BW115*BW$14</f>
        <v>92.399999999999991</v>
      </c>
      <c r="BX114" s="375">
        <f>+BX115*BX$14</f>
        <v>86.09999999999998</v>
      </c>
      <c r="BY114" s="375">
        <f>+BY115*BY$14</f>
        <v>79.799999999999983</v>
      </c>
      <c r="BZ114" s="1363">
        <f>+BZ115*BZ$14</f>
        <v>73.499999999999972</v>
      </c>
      <c r="CA114" s="739">
        <f>+SUM(BW114:BZ114)</f>
        <v>331.79999999999995</v>
      </c>
      <c r="CB114" s="1611"/>
      <c r="CC114" s="760">
        <f>+CC115*CC$14</f>
        <v>105</v>
      </c>
      <c r="CD114" s="375">
        <f>+CD115*CD$14</f>
        <v>98.699999999999989</v>
      </c>
      <c r="CE114" s="375">
        <f>+CE115*CE$14</f>
        <v>92.399999999999991</v>
      </c>
      <c r="CF114" s="1363">
        <f>+CF115*CF$14</f>
        <v>86.09999999999998</v>
      </c>
      <c r="CG114" s="739">
        <f>+SUM(CC114:CF114)</f>
        <v>382.19999999999993</v>
      </c>
      <c r="CH114" s="1611"/>
      <c r="CI114" s="760">
        <f>+CI115*CI$14</f>
        <v>117.60000000000001</v>
      </c>
      <c r="CJ114" s="375">
        <f>+CJ115*CJ$14</f>
        <v>111.30000000000001</v>
      </c>
      <c r="CK114" s="375">
        <f>+CK115*CK$14</f>
        <v>105</v>
      </c>
      <c r="CL114" s="1363">
        <f>+CL115*CL$14</f>
        <v>98.699999999999989</v>
      </c>
      <c r="CM114" s="739">
        <f>+SUM(CI114:CL114)</f>
        <v>432.6</v>
      </c>
      <c r="CN114" s="1611"/>
      <c r="CO114" s="760">
        <f>+CO115*CO$14</f>
        <v>130.19999999999999</v>
      </c>
      <c r="CP114" s="375">
        <f>+CP115*CP$14</f>
        <v>123.89999999999998</v>
      </c>
      <c r="CQ114" s="375">
        <f>+CQ115*CQ$14</f>
        <v>117.59999999999997</v>
      </c>
      <c r="CR114" s="1363">
        <f>+CR115*CR$14</f>
        <v>111.29999999999995</v>
      </c>
      <c r="CS114" s="739">
        <f>+SUM(CO114:CR114)</f>
        <v>482.99999999999989</v>
      </c>
      <c r="CT114" s="740"/>
      <c r="CU114" s="740"/>
      <c r="CV114" s="740"/>
      <c r="CW114" s="740"/>
      <c r="CX114" s="60"/>
      <c r="CY114" s="60"/>
      <c r="CZ114" s="60"/>
      <c r="DA114" s="60"/>
      <c r="DB114" s="60"/>
      <c r="DC114" s="60"/>
      <c r="DD114" s="60"/>
      <c r="DE114" s="60"/>
      <c r="DF114" s="60"/>
      <c r="DG114" s="60"/>
      <c r="DH114" s="60"/>
      <c r="DI114" s="60"/>
      <c r="DJ114" s="60"/>
      <c r="DK114" s="60"/>
      <c r="DL114" s="60"/>
      <c r="DM114" s="68"/>
      <c r="DN114" s="68"/>
      <c r="DO114" s="68"/>
      <c r="DP114" s="68"/>
      <c r="DQ114" s="68"/>
      <c r="DR114" s="68"/>
      <c r="DS114" s="68"/>
      <c r="DT114" s="68"/>
      <c r="DU114" s="68"/>
      <c r="DV114" s="68"/>
      <c r="DW114" s="68"/>
      <c r="DX114" s="68"/>
    </row>
    <row r="115" spans="1:128">
      <c r="A115" s="1985" t="s">
        <v>599</v>
      </c>
      <c r="B115" s="1302"/>
      <c r="C115" s="761"/>
      <c r="D115" s="762"/>
      <c r="E115" s="762"/>
      <c r="F115" s="762"/>
      <c r="G115" s="1986"/>
      <c r="H115" s="86"/>
      <c r="I115" s="761"/>
      <c r="J115" s="762"/>
      <c r="K115" s="762"/>
      <c r="L115" s="762"/>
      <c r="M115" s="1986"/>
      <c r="N115" s="1302"/>
      <c r="O115" s="1988"/>
      <c r="P115" s="196"/>
      <c r="Q115" s="196"/>
      <c r="R115" s="196"/>
      <c r="S115" s="1996"/>
      <c r="T115" s="1992"/>
      <c r="U115" s="1988"/>
      <c r="V115" s="196"/>
      <c r="W115" s="196"/>
      <c r="X115" s="196"/>
      <c r="Y115" s="1996"/>
      <c r="Z115" s="1997"/>
      <c r="AA115" s="1988"/>
      <c r="AB115" s="196"/>
      <c r="AC115" s="196"/>
      <c r="AD115" s="1989"/>
      <c r="AE115" s="1990"/>
      <c r="AF115" s="1992"/>
      <c r="AG115" s="1988">
        <f>1-AG32-AG46</f>
        <v>9.3750000000000028E-2</v>
      </c>
      <c r="AH115" s="196">
        <f>1-AH32-AH46</f>
        <v>9.3750000000000028E-2</v>
      </c>
      <c r="AI115" s="196">
        <f>1-AI32-AI46</f>
        <v>9.3750000000000028E-2</v>
      </c>
      <c r="AJ115" s="1989">
        <f>1-AJ32-AJ46</f>
        <v>9.3750000000000028E-2</v>
      </c>
      <c r="AK115" s="1990">
        <f>1-AK32-AK46</f>
        <v>9.3749999999999972E-2</v>
      </c>
      <c r="AL115" s="1992"/>
      <c r="AM115" s="1988">
        <f>1-AM32-AM46</f>
        <v>0.12499999999999994</v>
      </c>
      <c r="AN115" s="196">
        <f>1-AN32-AN46</f>
        <v>0.12499999999999994</v>
      </c>
      <c r="AO115" s="196">
        <f>1-AO32-AO46</f>
        <v>0.14062499999999989</v>
      </c>
      <c r="AP115" s="1989">
        <f>1-AP32-AP46</f>
        <v>0.14062499999999989</v>
      </c>
      <c r="AQ115" s="1990">
        <f>1-AQ32-AQ46</f>
        <v>0.13295558608058589</v>
      </c>
      <c r="AR115" s="1992"/>
      <c r="AS115" s="1988">
        <f>1-AS32-AS46</f>
        <v>0.25000000000000006</v>
      </c>
      <c r="AT115" s="196">
        <f>1-AT32-AT46</f>
        <v>0.20500000000000002</v>
      </c>
      <c r="AU115" s="196">
        <f>1-AU32-AU46</f>
        <v>0.25500000000000006</v>
      </c>
      <c r="AV115" s="1989">
        <f>1-AV32-AV46</f>
        <v>0.25000000000000006</v>
      </c>
      <c r="AW115" s="1990">
        <f>1-AW32-AW46</f>
        <v>0.24016157205240174</v>
      </c>
      <c r="AX115" s="1992"/>
      <c r="AY115" s="1988">
        <f>1-AY32-AY46</f>
        <v>0.25000000000000006</v>
      </c>
      <c r="AZ115" s="196">
        <f>1-AZ32-AZ46</f>
        <v>0.28999999999999998</v>
      </c>
      <c r="BA115" s="196">
        <f>1-BA32-BA46</f>
        <v>0.28999999999999998</v>
      </c>
      <c r="BB115" s="1989">
        <f>1-BB32-BB46</f>
        <v>0.26999999999999996</v>
      </c>
      <c r="BC115" s="1990">
        <f>1-BC32-BC46</f>
        <v>0.27469276299046125</v>
      </c>
      <c r="BD115" s="86"/>
      <c r="BE115" s="1988">
        <f>1-BE32-BE46</f>
        <v>0.35801213004917254</v>
      </c>
      <c r="BF115" s="196">
        <f>1-BF32-BF46</f>
        <v>0.33999999999999991</v>
      </c>
      <c r="BG115" s="196">
        <f>1-BG32-BG46</f>
        <v>0.35</v>
      </c>
      <c r="BH115" s="1989">
        <f>1-BH32-BH46</f>
        <v>0.37</v>
      </c>
      <c r="BI115" s="1990">
        <f>1-BI32-BI46</f>
        <v>0.35430820980554339</v>
      </c>
      <c r="BJ115" s="86"/>
      <c r="BK115" s="1988">
        <f>1-BK32-BK46</f>
        <v>0.31</v>
      </c>
      <c r="BL115" s="196">
        <f>1-BL32-BL46</f>
        <v>0.28000000000000003</v>
      </c>
      <c r="BM115" s="196">
        <f>1-BM32-BM46</f>
        <v>0.26</v>
      </c>
      <c r="BN115" s="1989">
        <f>1-BN32-BN46</f>
        <v>0.25</v>
      </c>
      <c r="BO115" s="1990">
        <f>1-BO32-BO46</f>
        <v>0.27552185521815925</v>
      </c>
      <c r="BP115" s="86"/>
      <c r="BQ115" s="1988">
        <f>1-BQ32-BQ46</f>
        <v>0.25999999999999995</v>
      </c>
      <c r="BR115" s="196">
        <f>1-BR32-BR46</f>
        <v>0.24499999999999994</v>
      </c>
      <c r="BS115" s="196">
        <f>1-BS32-BS46</f>
        <v>0.22999999999999993</v>
      </c>
      <c r="BT115" s="1989">
        <f>1-BT32-BT46</f>
        <v>0.21499999999999991</v>
      </c>
      <c r="BU115" s="1990">
        <f>1-BU32-BU46</f>
        <v>0.23736686390532552</v>
      </c>
      <c r="BV115" s="86"/>
      <c r="BW115" s="1988">
        <f>1-BW32-BW46</f>
        <v>0.21999999999999997</v>
      </c>
      <c r="BX115" s="196">
        <f>1-BX32-BX46</f>
        <v>0.20499999999999996</v>
      </c>
      <c r="BY115" s="196">
        <f>1-BY32-BY46</f>
        <v>0.18999999999999995</v>
      </c>
      <c r="BZ115" s="1989">
        <f>1-BZ32-BZ46</f>
        <v>0.17499999999999993</v>
      </c>
      <c r="CA115" s="1990">
        <f>1-CA32-CA46</f>
        <v>0.1974999999999999</v>
      </c>
      <c r="CB115" s="86"/>
      <c r="CC115" s="1988">
        <f>1-CC32-CC46</f>
        <v>0.25</v>
      </c>
      <c r="CD115" s="196">
        <f>1-CD32-CD46</f>
        <v>0.23499999999999999</v>
      </c>
      <c r="CE115" s="196">
        <f>1-CE32-CE46</f>
        <v>0.21999999999999997</v>
      </c>
      <c r="CF115" s="1989">
        <f>1-CF32-CF46</f>
        <v>0.20499999999999996</v>
      </c>
      <c r="CG115" s="1990">
        <f>1-CG32-CG46</f>
        <v>0.22750000000000004</v>
      </c>
      <c r="CH115" s="86"/>
      <c r="CI115" s="1988">
        <f>1-CI32-CI46</f>
        <v>0.28000000000000003</v>
      </c>
      <c r="CJ115" s="196">
        <f>1-CJ32-CJ46</f>
        <v>0.26500000000000001</v>
      </c>
      <c r="CK115" s="196">
        <f>1-CK32-CK46</f>
        <v>0.25</v>
      </c>
      <c r="CL115" s="1989">
        <f>1-CL32-CL46</f>
        <v>0.23499999999999999</v>
      </c>
      <c r="CM115" s="1990">
        <f>1-CM32-CM46</f>
        <v>0.25749999999999995</v>
      </c>
      <c r="CN115" s="86"/>
      <c r="CO115" s="1988">
        <f>1-CO32-CO46</f>
        <v>0.30999999999999994</v>
      </c>
      <c r="CP115" s="196">
        <f>1-CP32-CP46</f>
        <v>0.29499999999999993</v>
      </c>
      <c r="CQ115" s="196">
        <f>1-CQ32-CQ46</f>
        <v>0.27999999999999992</v>
      </c>
      <c r="CR115" s="1989">
        <f>1-CR32-CR46</f>
        <v>0.2649999999999999</v>
      </c>
      <c r="CS115" s="1990">
        <f>1-CS32-CS46</f>
        <v>0.28749999999999998</v>
      </c>
      <c r="CT115" s="2005"/>
      <c r="CU115" s="2005"/>
      <c r="CV115" s="2005"/>
      <c r="CW115" s="2005"/>
      <c r="CX115" s="60"/>
      <c r="CY115" s="60"/>
      <c r="CZ115" s="60"/>
      <c r="DA115" s="60"/>
      <c r="DB115" s="60"/>
      <c r="DC115" s="60"/>
      <c r="DD115" s="60"/>
      <c r="DE115" s="60"/>
      <c r="DF115" s="60"/>
      <c r="DG115" s="60"/>
      <c r="DH115" s="60"/>
      <c r="DI115" s="60"/>
      <c r="DJ115" s="60"/>
      <c r="DK115" s="60"/>
      <c r="DL115" s="60"/>
      <c r="DM115" s="68"/>
      <c r="DN115" s="68"/>
      <c r="DO115" s="68"/>
      <c r="DP115" s="68"/>
      <c r="DQ115" s="68"/>
      <c r="DR115" s="68"/>
      <c r="DS115" s="68"/>
      <c r="DT115" s="68"/>
      <c r="DU115" s="68"/>
      <c r="DV115" s="68"/>
      <c r="DW115" s="68"/>
      <c r="DX115" s="68"/>
    </row>
    <row r="116" spans="1:128">
      <c r="A116" s="1971" t="s">
        <v>565</v>
      </c>
      <c r="B116" s="63"/>
      <c r="C116" s="760"/>
      <c r="D116" s="740"/>
      <c r="E116" s="740"/>
      <c r="F116" s="740"/>
      <c r="G116" s="739"/>
      <c r="H116" s="205"/>
      <c r="I116" s="760"/>
      <c r="J116" s="740"/>
      <c r="K116" s="740"/>
      <c r="L116" s="740"/>
      <c r="M116" s="739"/>
      <c r="N116" s="63"/>
      <c r="O116" s="750"/>
      <c r="P116" s="205"/>
      <c r="Q116" s="205"/>
      <c r="R116" s="205"/>
      <c r="S116" s="191"/>
      <c r="T116" s="1"/>
      <c r="U116" s="750"/>
      <c r="V116" s="205"/>
      <c r="W116" s="205"/>
      <c r="X116" s="205"/>
      <c r="Y116" s="191"/>
      <c r="Z116" s="68"/>
      <c r="AA116" s="750"/>
      <c r="AB116" s="63"/>
      <c r="AC116" s="63"/>
      <c r="AD116" s="1"/>
      <c r="AE116" s="191">
        <f>AE15-AE33-AE48</f>
        <v>414.36249999999984</v>
      </c>
      <c r="AF116" s="63"/>
      <c r="AG116" s="750">
        <f>+AE116+AG114</f>
        <v>449.04999999999984</v>
      </c>
      <c r="AH116" s="63">
        <f>+AG116+AH114</f>
        <v>482.04999999999984</v>
      </c>
      <c r="AI116" s="63">
        <f>+AH116+AI114</f>
        <v>520.58124999999984</v>
      </c>
      <c r="AJ116" s="1">
        <f>+AI116+AJ114</f>
        <v>558.92499999999984</v>
      </c>
      <c r="AK116" s="191">
        <f>+AJ116</f>
        <v>558.92499999999984</v>
      </c>
      <c r="AL116" s="63"/>
      <c r="AM116" s="750">
        <f>+AK116+AM114</f>
        <v>610.29999999999984</v>
      </c>
      <c r="AN116" s="63">
        <f>+AM116+AN114</f>
        <v>659.42499999999984</v>
      </c>
      <c r="AO116" s="63">
        <f>+AN116+AO114</f>
        <v>718.48749999999984</v>
      </c>
      <c r="AP116" s="1">
        <f>+AO116+AP114</f>
        <v>776.70624999999984</v>
      </c>
      <c r="AQ116" s="191">
        <f>+AP116</f>
        <v>776.70624999999984</v>
      </c>
      <c r="AR116" s="63"/>
      <c r="AS116" s="750">
        <f>+AQ116+AS114</f>
        <v>910.95624999999984</v>
      </c>
      <c r="AT116" s="63">
        <f>+AS116+AT114</f>
        <v>1026.5762499999998</v>
      </c>
      <c r="AU116" s="63">
        <f>+AT116+AU114</f>
        <v>1171.92625</v>
      </c>
      <c r="AV116" s="1">
        <f>+AU116+AV114</f>
        <v>1326.67625</v>
      </c>
      <c r="AW116" s="191">
        <f>+AV116</f>
        <v>1326.67625</v>
      </c>
      <c r="AX116" s="1"/>
      <c r="AY116" s="750">
        <f>+AW116+AY114</f>
        <v>1470.7239999999999</v>
      </c>
      <c r="AZ116" s="63">
        <f>+AY116+AZ114</f>
        <v>1645.8567072932331</v>
      </c>
      <c r="BA116" s="63">
        <f>+AZ116+BA114</f>
        <v>1808.4763092481203</v>
      </c>
      <c r="BB116" s="1">
        <f>+BA116+BB114</f>
        <v>2015.6052972481202</v>
      </c>
      <c r="BC116" s="191">
        <f>+BB116</f>
        <v>2015.6052972481202</v>
      </c>
      <c r="BD116" s="9"/>
      <c r="BE116" s="750">
        <f>+BC116+BE114</f>
        <v>2269.3049581503756</v>
      </c>
      <c r="BF116" s="63">
        <f>+BE116+BF114</f>
        <v>2512.0637722815031</v>
      </c>
      <c r="BG116" s="63">
        <f>+BF116+BG114</f>
        <v>2770.2435435855032</v>
      </c>
      <c r="BH116" s="1">
        <f>+BG116+BH114</f>
        <v>3024.1743178203833</v>
      </c>
      <c r="BI116" s="191">
        <f>+BH116</f>
        <v>3024.1743178203833</v>
      </c>
      <c r="BJ116" s="9"/>
      <c r="BK116" s="750">
        <f>+BI116+BK114</f>
        <v>3179.1474305511992</v>
      </c>
      <c r="BL116" s="63">
        <f>+BK116+BL114</f>
        <v>3296.7603526974262</v>
      </c>
      <c r="BM116" s="63">
        <f>+BL116+BM114</f>
        <v>3425.4603526974261</v>
      </c>
      <c r="BN116" s="1">
        <f>+BM116+BN114</f>
        <v>3537.4603526974261</v>
      </c>
      <c r="BO116" s="191">
        <f>+BN116</f>
        <v>3537.4603526974261</v>
      </c>
      <c r="BP116" s="9"/>
      <c r="BQ116" s="750">
        <f>+BO116+BQ114</f>
        <v>3645.3603526974262</v>
      </c>
      <c r="BR116" s="63">
        <f>+BQ116+BR114</f>
        <v>3749.4853526974262</v>
      </c>
      <c r="BS116" s="63">
        <f>+BR116+BS114</f>
        <v>3847.2353526974262</v>
      </c>
      <c r="BT116" s="1">
        <f>+BS116+BT114</f>
        <v>3938.6103526974262</v>
      </c>
      <c r="BU116" s="191">
        <f>+BT116</f>
        <v>3938.6103526974262</v>
      </c>
      <c r="BV116" s="9"/>
      <c r="BW116" s="750">
        <f>+BU116+BW114</f>
        <v>4031.0103526974262</v>
      </c>
      <c r="BX116" s="63">
        <f>+BW116+BX114</f>
        <v>4117.1103526974266</v>
      </c>
      <c r="BY116" s="63">
        <f>+BX116+BY114</f>
        <v>4196.9103526974268</v>
      </c>
      <c r="BZ116" s="1">
        <f>+BY116+BZ114</f>
        <v>4270.4103526974268</v>
      </c>
      <c r="CA116" s="191">
        <f>+BZ116</f>
        <v>4270.4103526974268</v>
      </c>
      <c r="CB116" s="9"/>
      <c r="CC116" s="750">
        <f>+CA116+CC114</f>
        <v>4375.4103526974268</v>
      </c>
      <c r="CD116" s="63">
        <f>+CC116+CD114</f>
        <v>4474.1103526974266</v>
      </c>
      <c r="CE116" s="63">
        <f>+CD116+CE114</f>
        <v>4566.5103526974262</v>
      </c>
      <c r="CF116" s="1">
        <f>+CE116+CF114</f>
        <v>4652.6103526974266</v>
      </c>
      <c r="CG116" s="191">
        <f>+CF116</f>
        <v>4652.6103526974266</v>
      </c>
      <c r="CH116" s="9"/>
      <c r="CI116" s="750">
        <f>+CG116+CI114</f>
        <v>4770.210352697427</v>
      </c>
      <c r="CJ116" s="63">
        <f>+CI116+CJ114</f>
        <v>4881.5103526974272</v>
      </c>
      <c r="CK116" s="63">
        <f>+CJ116+CK114</f>
        <v>4986.5103526974272</v>
      </c>
      <c r="CL116" s="1">
        <f>+CK116+CL114</f>
        <v>5085.210352697427</v>
      </c>
      <c r="CM116" s="191">
        <f>+CL116</f>
        <v>5085.210352697427</v>
      </c>
      <c r="CN116" s="9"/>
      <c r="CO116" s="750">
        <f>+CM116+CO114</f>
        <v>5215.4103526974268</v>
      </c>
      <c r="CP116" s="63">
        <f>+CO116+CP114</f>
        <v>5339.3103526974264</v>
      </c>
      <c r="CQ116" s="63">
        <f>+CP116+CQ114</f>
        <v>5456.9103526974268</v>
      </c>
      <c r="CR116" s="1">
        <f>+CQ116+CR114</f>
        <v>5568.210352697427</v>
      </c>
      <c r="CS116" s="191">
        <f>+CR116</f>
        <v>5568.210352697427</v>
      </c>
      <c r="CT116" s="205"/>
      <c r="CU116" s="205"/>
      <c r="CV116" s="205"/>
      <c r="CW116" s="205"/>
      <c r="CX116" s="60"/>
      <c r="CY116" s="60"/>
      <c r="CZ116" s="60"/>
      <c r="DA116" s="60"/>
      <c r="DB116" s="60"/>
      <c r="DC116" s="60"/>
      <c r="DD116" s="60"/>
      <c r="DE116" s="60"/>
      <c r="DF116" s="60"/>
      <c r="DG116" s="60"/>
      <c r="DH116" s="60"/>
      <c r="DI116" s="60"/>
      <c r="DJ116" s="60"/>
      <c r="DK116" s="60"/>
      <c r="DL116" s="60"/>
      <c r="DM116" s="68"/>
      <c r="DN116" s="68"/>
      <c r="DO116" s="68"/>
      <c r="DP116" s="68"/>
      <c r="DQ116" s="68"/>
      <c r="DR116" s="68"/>
      <c r="DS116" s="68"/>
      <c r="DT116" s="68"/>
      <c r="DU116" s="68"/>
      <c r="DV116" s="68"/>
      <c r="DW116" s="68"/>
      <c r="DX116" s="68"/>
    </row>
    <row r="117" spans="1:128">
      <c r="A117" s="1984" t="s">
        <v>872</v>
      </c>
      <c r="B117" s="1973"/>
      <c r="C117" s="1974"/>
      <c r="D117" s="1973"/>
      <c r="E117" s="1973"/>
      <c r="F117" s="1973"/>
      <c r="G117" s="1975"/>
      <c r="H117" s="1973"/>
      <c r="I117" s="1974"/>
      <c r="J117" s="1973"/>
      <c r="K117" s="1973"/>
      <c r="L117" s="1973"/>
      <c r="M117" s="1975"/>
      <c r="N117" s="1973"/>
      <c r="O117" s="1974"/>
      <c r="P117" s="1973"/>
      <c r="Q117" s="1973"/>
      <c r="R117" s="1973"/>
      <c r="S117" s="1975"/>
      <c r="T117" s="1973"/>
      <c r="U117" s="1974"/>
      <c r="V117" s="1973"/>
      <c r="W117" s="1973"/>
      <c r="X117" s="1973"/>
      <c r="Y117" s="1975"/>
      <c r="Z117" s="1973"/>
      <c r="AA117" s="1974"/>
      <c r="AB117" s="1973"/>
      <c r="AC117" s="1973"/>
      <c r="AD117" s="1973"/>
      <c r="AE117" s="1975"/>
      <c r="AF117" s="1973"/>
      <c r="AG117" s="1974"/>
      <c r="AH117" s="1973"/>
      <c r="AI117" s="1973"/>
      <c r="AJ117" s="1973"/>
      <c r="AK117" s="1976"/>
      <c r="AL117" s="1973"/>
      <c r="AM117" s="1974"/>
      <c r="AN117" s="1977"/>
      <c r="AO117" s="1977"/>
      <c r="AP117" s="1978"/>
      <c r="AQ117" s="1975"/>
      <c r="AR117" s="1973"/>
      <c r="AS117" s="1979"/>
      <c r="AT117" s="1980"/>
      <c r="AU117" s="1980"/>
      <c r="AV117" s="1981"/>
      <c r="AW117" s="1982"/>
      <c r="AX117" s="1981"/>
      <c r="AY117" s="1983"/>
      <c r="AZ117" s="1981"/>
      <c r="BA117" s="1981"/>
      <c r="BB117" s="1981"/>
      <c r="BC117" s="1982"/>
      <c r="BD117" s="1981"/>
      <c r="BE117" s="2216"/>
      <c r="BF117" s="1981"/>
      <c r="BG117" s="1981"/>
      <c r="BH117" s="1981"/>
      <c r="BI117" s="1982"/>
      <c r="BJ117" s="1981"/>
      <c r="BK117" s="1983"/>
      <c r="BL117" s="1981"/>
      <c r="BM117" s="1981"/>
      <c r="BN117" s="1981"/>
      <c r="BO117" s="1982"/>
      <c r="BP117" s="1981"/>
      <c r="BQ117" s="1983"/>
      <c r="BR117" s="1981"/>
      <c r="BS117" s="1981"/>
      <c r="BT117" s="1981"/>
      <c r="BU117" s="1982"/>
      <c r="BV117" s="1981"/>
      <c r="BW117" s="1983"/>
      <c r="BX117" s="1981"/>
      <c r="BY117" s="1981"/>
      <c r="BZ117" s="1981"/>
      <c r="CA117" s="1982"/>
      <c r="CB117" s="1981"/>
      <c r="CC117" s="1983"/>
      <c r="CD117" s="1981"/>
      <c r="CE117" s="1981"/>
      <c r="CF117" s="1981"/>
      <c r="CG117" s="1982"/>
      <c r="CH117" s="1981"/>
      <c r="CI117" s="1983"/>
      <c r="CJ117" s="1981"/>
      <c r="CK117" s="1981"/>
      <c r="CL117" s="1981"/>
      <c r="CM117" s="1982"/>
      <c r="CN117" s="1981"/>
      <c r="CO117" s="1983"/>
      <c r="CP117" s="1981"/>
      <c r="CQ117" s="1981"/>
      <c r="CR117" s="1981"/>
      <c r="CS117" s="1982"/>
      <c r="CT117" s="2400"/>
      <c r="CU117" s="2400"/>
      <c r="CV117" s="2400"/>
      <c r="CW117" s="2400"/>
      <c r="CX117" s="60"/>
      <c r="CY117" s="60"/>
      <c r="CZ117" s="60"/>
      <c r="DA117" s="60"/>
      <c r="DB117" s="60"/>
      <c r="DC117" s="60"/>
      <c r="DD117" s="60"/>
      <c r="DE117" s="60"/>
      <c r="DF117" s="60"/>
      <c r="DG117" s="60"/>
      <c r="DH117" s="60"/>
      <c r="DI117" s="60"/>
      <c r="DJ117" s="60"/>
      <c r="DK117" s="60"/>
      <c r="DL117" s="60"/>
      <c r="DM117" s="68"/>
      <c r="DN117" s="68"/>
      <c r="DO117" s="68"/>
      <c r="DP117" s="68"/>
      <c r="DQ117" s="68"/>
      <c r="DR117" s="68"/>
      <c r="DS117" s="68"/>
      <c r="DT117" s="68"/>
      <c r="DU117" s="68"/>
      <c r="DV117" s="68"/>
      <c r="DW117" s="68"/>
      <c r="DX117" s="68"/>
    </row>
    <row r="118" spans="1:128">
      <c r="A118" s="2924"/>
      <c r="B118" s="4"/>
      <c r="C118" s="140"/>
      <c r="D118" s="4"/>
      <c r="E118" s="4"/>
      <c r="F118" s="4"/>
      <c r="G118" s="2925"/>
      <c r="H118" s="4"/>
      <c r="I118" s="140"/>
      <c r="J118" s="4"/>
      <c r="K118" s="4"/>
      <c r="L118" s="4"/>
      <c r="M118" s="2925"/>
      <c r="N118" s="4"/>
      <c r="O118" s="140"/>
      <c r="P118" s="4"/>
      <c r="Q118" s="4"/>
      <c r="R118" s="4"/>
      <c r="S118" s="2925"/>
      <c r="T118" s="4"/>
      <c r="U118" s="140"/>
      <c r="V118" s="4"/>
      <c r="W118" s="4"/>
      <c r="X118" s="4"/>
      <c r="Y118" s="2925"/>
      <c r="Z118" s="4"/>
      <c r="AA118" s="140"/>
      <c r="AB118" s="4"/>
      <c r="AC118" s="4"/>
      <c r="AD118" s="4"/>
      <c r="AE118" s="2925"/>
      <c r="AF118" s="4"/>
      <c r="AG118" s="140"/>
      <c r="AH118" s="4"/>
      <c r="AI118" s="4"/>
      <c r="AJ118" s="4"/>
      <c r="AK118" s="2926"/>
      <c r="AL118" s="4"/>
      <c r="AM118" s="140"/>
      <c r="AN118" s="164"/>
      <c r="AO118" s="164"/>
      <c r="AP118" s="23"/>
      <c r="AQ118" s="2925"/>
      <c r="AR118" s="4"/>
      <c r="AS118" s="2927"/>
      <c r="AT118" s="2928"/>
      <c r="AU118" s="2928"/>
      <c r="AV118" s="4"/>
      <c r="AW118" s="2925"/>
      <c r="AX118" s="4"/>
      <c r="AY118" s="140"/>
      <c r="AZ118" s="4"/>
      <c r="BA118" s="4"/>
      <c r="BB118" s="4"/>
      <c r="BC118" s="2925"/>
      <c r="BD118" s="4"/>
      <c r="BE118" s="2174"/>
      <c r="BF118" s="4"/>
      <c r="BG118" s="4"/>
      <c r="BH118" s="4"/>
      <c r="BI118" s="2925"/>
      <c r="BJ118" s="4"/>
      <c r="BK118" s="140"/>
      <c r="BL118" s="4"/>
      <c r="BM118" s="4"/>
      <c r="BN118" s="4"/>
      <c r="BO118" s="2925"/>
      <c r="BP118" s="4"/>
      <c r="BQ118" s="140"/>
      <c r="BR118" s="4"/>
      <c r="BS118" s="4"/>
      <c r="BT118" s="4"/>
      <c r="BU118" s="2925"/>
      <c r="BV118" s="4"/>
      <c r="BW118" s="140"/>
      <c r="BX118" s="4"/>
      <c r="BY118" s="4"/>
      <c r="BZ118" s="4"/>
      <c r="CA118" s="2925"/>
      <c r="CB118" s="4"/>
      <c r="CC118" s="140"/>
      <c r="CD118" s="4"/>
      <c r="CE118" s="4"/>
      <c r="CF118" s="4"/>
      <c r="CG118" s="2925"/>
      <c r="CH118" s="4"/>
      <c r="CI118" s="140"/>
      <c r="CJ118" s="4"/>
      <c r="CK118" s="4"/>
      <c r="CL118" s="4"/>
      <c r="CM118" s="2925"/>
      <c r="CN118" s="4"/>
      <c r="CO118" s="140"/>
      <c r="CP118" s="4"/>
      <c r="CQ118" s="4"/>
      <c r="CR118" s="4"/>
      <c r="CS118" s="2925"/>
      <c r="CT118" s="2474"/>
      <c r="CU118" s="2474"/>
      <c r="CV118" s="2474"/>
      <c r="CX118" s="194"/>
      <c r="CY118" s="194"/>
      <c r="CZ118" s="194"/>
      <c r="DA118" s="194"/>
      <c r="DB118" s="194"/>
      <c r="DC118" s="194"/>
      <c r="DD118" s="194"/>
      <c r="DE118" s="194"/>
      <c r="DF118" s="194"/>
      <c r="DG118" s="194"/>
      <c r="DH118" s="194"/>
      <c r="DI118" s="194"/>
      <c r="DJ118" s="194"/>
      <c r="DK118" s="194"/>
      <c r="DL118" s="194"/>
      <c r="DM118" s="1987"/>
      <c r="DN118" s="1987"/>
      <c r="DO118" s="1987"/>
      <c r="DP118" s="1987"/>
      <c r="DQ118" s="1987"/>
      <c r="DR118" s="1987"/>
      <c r="DS118" s="1987"/>
      <c r="DT118" s="1987"/>
      <c r="DU118" s="1987"/>
      <c r="DV118" s="1987"/>
      <c r="DW118" s="1987"/>
      <c r="DX118" s="1987"/>
    </row>
    <row r="119" spans="1:128">
      <c r="A119" s="2924"/>
      <c r="B119" s="4"/>
      <c r="C119" s="140"/>
      <c r="D119" s="4"/>
      <c r="E119" s="4"/>
      <c r="F119" s="4"/>
      <c r="G119" s="2925"/>
      <c r="H119" s="4"/>
      <c r="I119" s="140"/>
      <c r="J119" s="4"/>
      <c r="K119" s="4"/>
      <c r="L119" s="4"/>
      <c r="M119" s="2925"/>
      <c r="N119" s="4"/>
      <c r="O119" s="140"/>
      <c r="P119" s="4"/>
      <c r="Q119" s="4"/>
      <c r="R119" s="4"/>
      <c r="S119" s="2925"/>
      <c r="T119" s="4"/>
      <c r="U119" s="140"/>
      <c r="V119" s="4"/>
      <c r="W119" s="4"/>
      <c r="X119" s="4"/>
      <c r="Y119" s="2925"/>
      <c r="Z119" s="4"/>
      <c r="AA119" s="140"/>
      <c r="AB119" s="4"/>
      <c r="AC119" s="4"/>
      <c r="AD119" s="4"/>
      <c r="AE119" s="2925"/>
      <c r="AF119" s="4"/>
      <c r="AG119" s="140"/>
      <c r="AH119" s="4"/>
      <c r="AI119" s="4"/>
      <c r="AJ119" s="4"/>
      <c r="AK119" s="2926"/>
      <c r="AL119" s="4"/>
      <c r="AM119" s="140"/>
      <c r="AN119" s="164"/>
      <c r="AO119" s="164"/>
      <c r="AP119" s="23"/>
      <c r="AQ119" s="2925"/>
      <c r="AR119" s="4"/>
      <c r="AS119" s="2927"/>
      <c r="AT119" s="2928"/>
      <c r="AU119" s="2928"/>
      <c r="AV119" s="4"/>
      <c r="AW119" s="2925"/>
      <c r="AX119" s="4"/>
      <c r="AY119" s="140"/>
      <c r="AZ119" s="4"/>
      <c r="BA119" s="4"/>
      <c r="BB119" s="4"/>
      <c r="BC119" s="2925"/>
      <c r="BD119" s="4"/>
      <c r="BE119" s="2174"/>
      <c r="BF119" s="4"/>
      <c r="BG119" s="4"/>
      <c r="BH119" s="4"/>
      <c r="BI119" s="2925"/>
      <c r="BJ119" s="4"/>
      <c r="BK119" s="140"/>
      <c r="BL119" s="4"/>
      <c r="BM119" s="4"/>
      <c r="BN119" s="4"/>
      <c r="BO119" s="2925"/>
      <c r="BP119" s="4"/>
      <c r="BQ119" s="140"/>
      <c r="BR119" s="4"/>
      <c r="BS119" s="4"/>
      <c r="BT119" s="4"/>
      <c r="BU119" s="2925"/>
      <c r="BV119" s="4"/>
      <c r="BW119" s="140"/>
      <c r="BX119" s="4"/>
      <c r="BY119" s="4"/>
      <c r="BZ119" s="4"/>
      <c r="CA119" s="2925"/>
      <c r="CB119" s="4"/>
      <c r="CC119" s="140"/>
      <c r="CD119" s="4"/>
      <c r="CE119" s="4"/>
      <c r="CF119" s="4"/>
      <c r="CG119" s="2925"/>
      <c r="CH119" s="4"/>
      <c r="CI119" s="140"/>
      <c r="CJ119" s="4"/>
      <c r="CK119" s="4"/>
      <c r="CL119" s="4"/>
      <c r="CM119" s="2925"/>
      <c r="CN119" s="4"/>
      <c r="CO119" s="140"/>
      <c r="CP119" s="4"/>
      <c r="CQ119" s="4"/>
      <c r="CR119" s="4"/>
      <c r="CS119" s="2925"/>
      <c r="CT119" s="2474"/>
      <c r="CU119" s="2474"/>
      <c r="CV119" s="2474"/>
      <c r="CX119" s="194"/>
      <c r="CY119" s="194"/>
      <c r="CZ119" s="194"/>
      <c r="DA119" s="194"/>
      <c r="DB119" s="194"/>
      <c r="DC119" s="194"/>
      <c r="DD119" s="194"/>
      <c r="DE119" s="194"/>
      <c r="DF119" s="194"/>
      <c r="DG119" s="194"/>
      <c r="DH119" s="194"/>
      <c r="DI119" s="194"/>
      <c r="DJ119" s="194"/>
      <c r="DK119" s="194"/>
      <c r="DL119" s="194"/>
      <c r="DM119" s="1987"/>
      <c r="DN119" s="1987"/>
      <c r="DO119" s="1987"/>
      <c r="DP119" s="1987"/>
      <c r="DQ119" s="1987"/>
      <c r="DR119" s="1987"/>
      <c r="DS119" s="1987"/>
      <c r="DT119" s="1987"/>
      <c r="DU119" s="1987"/>
      <c r="DV119" s="1987"/>
      <c r="DW119" s="1987"/>
      <c r="DX119" s="1987"/>
    </row>
    <row r="120" spans="1:128">
      <c r="A120" s="2924"/>
      <c r="B120" s="4"/>
      <c r="C120" s="140"/>
      <c r="D120" s="4"/>
      <c r="E120" s="4"/>
      <c r="F120" s="4"/>
      <c r="G120" s="2925"/>
      <c r="H120" s="4"/>
      <c r="I120" s="140"/>
      <c r="J120" s="4"/>
      <c r="K120" s="4"/>
      <c r="L120" s="4"/>
      <c r="M120" s="2925"/>
      <c r="N120" s="4"/>
      <c r="O120" s="140"/>
      <c r="P120" s="4"/>
      <c r="Q120" s="4"/>
      <c r="R120" s="4"/>
      <c r="S120" s="2925"/>
      <c r="T120" s="4"/>
      <c r="U120" s="140"/>
      <c r="V120" s="4"/>
      <c r="W120" s="4"/>
      <c r="X120" s="4"/>
      <c r="Y120" s="2925"/>
      <c r="Z120" s="4"/>
      <c r="AA120" s="140"/>
      <c r="AB120" s="4"/>
      <c r="AC120" s="4"/>
      <c r="AD120" s="4"/>
      <c r="AE120" s="2925"/>
      <c r="AF120" s="4"/>
      <c r="AG120" s="140"/>
      <c r="AH120" s="4"/>
      <c r="AI120" s="4"/>
      <c r="AJ120" s="4"/>
      <c r="AK120" s="2926"/>
      <c r="AL120" s="4"/>
      <c r="AM120" s="140"/>
      <c r="AN120" s="164"/>
      <c r="AO120" s="164"/>
      <c r="AP120" s="23"/>
      <c r="AQ120" s="2925"/>
      <c r="AR120" s="4"/>
      <c r="AS120" s="2927"/>
      <c r="AT120" s="2928"/>
      <c r="AU120" s="2928"/>
      <c r="AV120" s="4"/>
      <c r="AW120" s="2925"/>
      <c r="AX120" s="4"/>
      <c r="AY120" s="140"/>
      <c r="AZ120" s="4"/>
      <c r="BA120" s="4"/>
      <c r="BB120" s="4"/>
      <c r="BC120" s="2925"/>
      <c r="BD120" s="4"/>
      <c r="BE120" s="2174"/>
      <c r="BF120" s="4"/>
      <c r="BG120" s="4"/>
      <c r="BH120" s="4"/>
      <c r="BI120" s="2925"/>
      <c r="BJ120" s="4"/>
      <c r="BK120" s="140"/>
      <c r="BL120" s="4"/>
      <c r="BM120" s="4"/>
      <c r="BN120" s="4"/>
      <c r="BO120" s="2925"/>
      <c r="BP120" s="4"/>
      <c r="BQ120" s="140"/>
      <c r="BR120" s="4"/>
      <c r="BS120" s="4"/>
      <c r="BT120" s="4"/>
      <c r="BU120" s="2925"/>
      <c r="BV120" s="4"/>
      <c r="BW120" s="140"/>
      <c r="BX120" s="4"/>
      <c r="BY120" s="4"/>
      <c r="BZ120" s="4"/>
      <c r="CA120" s="2925"/>
      <c r="CB120" s="4"/>
      <c r="CC120" s="140"/>
      <c r="CD120" s="4"/>
      <c r="CE120" s="4"/>
      <c r="CF120" s="4"/>
      <c r="CG120" s="2925"/>
      <c r="CH120" s="4"/>
      <c r="CI120" s="140"/>
      <c r="CJ120" s="4"/>
      <c r="CK120" s="4"/>
      <c r="CL120" s="4"/>
      <c r="CM120" s="2925"/>
      <c r="CN120" s="4"/>
      <c r="CO120" s="140"/>
      <c r="CP120" s="4"/>
      <c r="CQ120" s="4"/>
      <c r="CR120" s="4"/>
      <c r="CS120" s="2925"/>
      <c r="CT120" s="2474"/>
      <c r="CU120" s="2474"/>
      <c r="CV120" s="2474"/>
      <c r="CX120" s="194"/>
      <c r="CY120" s="194"/>
      <c r="CZ120" s="194"/>
      <c r="DA120" s="194"/>
      <c r="DB120" s="194"/>
      <c r="DC120" s="194"/>
      <c r="DD120" s="194"/>
      <c r="DE120" s="194"/>
      <c r="DF120" s="194"/>
      <c r="DG120" s="194"/>
      <c r="DH120" s="194"/>
      <c r="DI120" s="194"/>
      <c r="DJ120" s="194"/>
      <c r="DK120" s="194"/>
      <c r="DL120" s="194"/>
      <c r="DM120" s="1987"/>
      <c r="DN120" s="1987"/>
      <c r="DO120" s="1987"/>
      <c r="DP120" s="1987"/>
      <c r="DQ120" s="1987"/>
      <c r="DR120" s="1987"/>
      <c r="DS120" s="1987"/>
      <c r="DT120" s="1987"/>
      <c r="DU120" s="1987"/>
      <c r="DV120" s="1987"/>
      <c r="DW120" s="1987"/>
      <c r="DX120" s="1987"/>
    </row>
    <row r="121" spans="1:128">
      <c r="A121" s="2924"/>
      <c r="B121" s="4"/>
      <c r="C121" s="140"/>
      <c r="D121" s="4"/>
      <c r="E121" s="4"/>
      <c r="F121" s="4"/>
      <c r="G121" s="2925"/>
      <c r="H121" s="4"/>
      <c r="I121" s="140"/>
      <c r="J121" s="4"/>
      <c r="K121" s="4"/>
      <c r="L121" s="4"/>
      <c r="M121" s="2925"/>
      <c r="N121" s="4"/>
      <c r="O121" s="140"/>
      <c r="P121" s="4"/>
      <c r="Q121" s="4"/>
      <c r="R121" s="4"/>
      <c r="S121" s="2925"/>
      <c r="T121" s="4"/>
      <c r="U121" s="140"/>
      <c r="V121" s="4"/>
      <c r="W121" s="4"/>
      <c r="X121" s="4"/>
      <c r="Y121" s="2925"/>
      <c r="Z121" s="4"/>
      <c r="AA121" s="140"/>
      <c r="AB121" s="4"/>
      <c r="AC121" s="4"/>
      <c r="AD121" s="4"/>
      <c r="AE121" s="2925"/>
      <c r="AF121" s="4"/>
      <c r="AG121" s="140"/>
      <c r="AH121" s="4"/>
      <c r="AI121" s="4"/>
      <c r="AJ121" s="4"/>
      <c r="AK121" s="2926"/>
      <c r="AL121" s="4"/>
      <c r="AM121" s="140"/>
      <c r="AN121" s="164"/>
      <c r="AO121" s="164"/>
      <c r="AP121" s="23"/>
      <c r="AQ121" s="2925"/>
      <c r="AR121" s="4"/>
      <c r="AS121" s="2927"/>
      <c r="AT121" s="2928"/>
      <c r="AU121" s="2928"/>
      <c r="AV121" s="4"/>
      <c r="AW121" s="2925"/>
      <c r="AX121" s="4"/>
      <c r="AY121" s="140"/>
      <c r="AZ121" s="4"/>
      <c r="BA121" s="4"/>
      <c r="BB121" s="4"/>
      <c r="BC121" s="2925"/>
      <c r="BD121" s="4"/>
      <c r="BE121" s="2174"/>
      <c r="BF121" s="4"/>
      <c r="BG121" s="4"/>
      <c r="BH121" s="4"/>
      <c r="BI121" s="2925"/>
      <c r="BJ121" s="4"/>
      <c r="BK121" s="140"/>
      <c r="BL121" s="4"/>
      <c r="BM121" s="4"/>
      <c r="BN121" s="4"/>
      <c r="BO121" s="2925"/>
      <c r="BP121" s="4"/>
      <c r="BQ121" s="140"/>
      <c r="BR121" s="4"/>
      <c r="BS121" s="4"/>
      <c r="BT121" s="4"/>
      <c r="BU121" s="2925"/>
      <c r="BV121" s="4"/>
      <c r="BW121" s="140"/>
      <c r="BX121" s="4"/>
      <c r="BY121" s="4"/>
      <c r="BZ121" s="4"/>
      <c r="CA121" s="2925"/>
      <c r="CB121" s="4"/>
      <c r="CC121" s="140"/>
      <c r="CD121" s="4"/>
      <c r="CE121" s="4"/>
      <c r="CF121" s="4"/>
      <c r="CG121" s="2925"/>
      <c r="CH121" s="4"/>
      <c r="CI121" s="140"/>
      <c r="CJ121" s="4"/>
      <c r="CK121" s="4"/>
      <c r="CL121" s="4"/>
      <c r="CM121" s="2925"/>
      <c r="CN121" s="4"/>
      <c r="CO121" s="140"/>
      <c r="CP121" s="4"/>
      <c r="CQ121" s="4"/>
      <c r="CR121" s="4"/>
      <c r="CS121" s="2925"/>
      <c r="CT121" s="2474"/>
      <c r="CU121" s="2474"/>
      <c r="CV121" s="2474"/>
      <c r="CX121" s="194"/>
      <c r="CY121" s="194"/>
      <c r="CZ121" s="194"/>
      <c r="DA121" s="194"/>
      <c r="DB121" s="194"/>
      <c r="DC121" s="194"/>
      <c r="DD121" s="194"/>
      <c r="DE121" s="194"/>
      <c r="DF121" s="194"/>
      <c r="DG121" s="194"/>
      <c r="DH121" s="194"/>
      <c r="DI121" s="194"/>
      <c r="DJ121" s="194"/>
      <c r="DK121" s="194"/>
      <c r="DL121" s="194"/>
      <c r="DM121" s="1987"/>
      <c r="DN121" s="1987"/>
      <c r="DO121" s="1987"/>
      <c r="DP121" s="1987"/>
      <c r="DQ121" s="1987"/>
      <c r="DR121" s="1987"/>
      <c r="DS121" s="1987"/>
      <c r="DT121" s="1987"/>
      <c r="DU121" s="1987"/>
      <c r="DV121" s="1987"/>
      <c r="DW121" s="1987"/>
      <c r="DX121" s="1987"/>
    </row>
    <row r="122" spans="1:128">
      <c r="A122" s="2924"/>
      <c r="B122" s="4"/>
      <c r="C122" s="140"/>
      <c r="D122" s="4"/>
      <c r="E122" s="4"/>
      <c r="F122" s="4"/>
      <c r="G122" s="2925"/>
      <c r="H122" s="4"/>
      <c r="I122" s="140"/>
      <c r="J122" s="4"/>
      <c r="K122" s="4"/>
      <c r="L122" s="4"/>
      <c r="M122" s="2925"/>
      <c r="N122" s="4"/>
      <c r="O122" s="140"/>
      <c r="P122" s="4"/>
      <c r="Q122" s="4"/>
      <c r="R122" s="4"/>
      <c r="S122" s="2925"/>
      <c r="T122" s="4"/>
      <c r="U122" s="140"/>
      <c r="V122" s="4"/>
      <c r="W122" s="4"/>
      <c r="X122" s="4"/>
      <c r="Y122" s="2925"/>
      <c r="Z122" s="4"/>
      <c r="AA122" s="140"/>
      <c r="AB122" s="4"/>
      <c r="AC122" s="4"/>
      <c r="AD122" s="4"/>
      <c r="AE122" s="2925"/>
      <c r="AF122" s="4"/>
      <c r="AG122" s="140"/>
      <c r="AH122" s="4"/>
      <c r="AI122" s="4"/>
      <c r="AJ122" s="4"/>
      <c r="AK122" s="2926"/>
      <c r="AL122" s="4"/>
      <c r="AM122" s="140"/>
      <c r="AN122" s="164"/>
      <c r="AO122" s="164"/>
      <c r="AP122" s="23"/>
      <c r="AQ122" s="2925"/>
      <c r="AR122" s="4"/>
      <c r="AS122" s="2927"/>
      <c r="AT122" s="2928"/>
      <c r="AU122" s="2928"/>
      <c r="AV122" s="4"/>
      <c r="AW122" s="2925"/>
      <c r="AX122" s="4"/>
      <c r="AY122" s="140"/>
      <c r="AZ122" s="4"/>
      <c r="BA122" s="4"/>
      <c r="BB122" s="4"/>
      <c r="BC122" s="2925"/>
      <c r="BD122" s="4"/>
      <c r="BE122" s="2174"/>
      <c r="BF122" s="4"/>
      <c r="BG122" s="4"/>
      <c r="BH122" s="4"/>
      <c r="BI122" s="2925"/>
      <c r="BJ122" s="4"/>
      <c r="BK122" s="140"/>
      <c r="BL122" s="4"/>
      <c r="BM122" s="4"/>
      <c r="BN122" s="4"/>
      <c r="BO122" s="2925"/>
      <c r="BP122" s="4"/>
      <c r="BQ122" s="140"/>
      <c r="BR122" s="4"/>
      <c r="BS122" s="4"/>
      <c r="BT122" s="4"/>
      <c r="BU122" s="2925"/>
      <c r="BV122" s="4"/>
      <c r="BW122" s="140"/>
      <c r="BX122" s="4"/>
      <c r="BY122" s="4"/>
      <c r="BZ122" s="4"/>
      <c r="CA122" s="2925"/>
      <c r="CB122" s="4"/>
      <c r="CC122" s="140"/>
      <c r="CD122" s="4"/>
      <c r="CE122" s="4"/>
      <c r="CF122" s="4"/>
      <c r="CG122" s="2925"/>
      <c r="CH122" s="4"/>
      <c r="CI122" s="140"/>
      <c r="CJ122" s="4"/>
      <c r="CK122" s="4"/>
      <c r="CL122" s="4"/>
      <c r="CM122" s="2925"/>
      <c r="CN122" s="4"/>
      <c r="CO122" s="140"/>
      <c r="CP122" s="4"/>
      <c r="CQ122" s="4"/>
      <c r="CR122" s="4"/>
      <c r="CS122" s="2925"/>
      <c r="CT122" s="2474"/>
      <c r="CU122" s="2474"/>
      <c r="CV122" s="2474"/>
      <c r="CX122" s="194"/>
      <c r="CY122" s="194"/>
      <c r="CZ122" s="194"/>
      <c r="DA122" s="194"/>
      <c r="DB122" s="194"/>
      <c r="DC122" s="194"/>
      <c r="DD122" s="194"/>
      <c r="DE122" s="194"/>
      <c r="DF122" s="194"/>
      <c r="DG122" s="194"/>
      <c r="DH122" s="194"/>
      <c r="DI122" s="194"/>
      <c r="DJ122" s="194"/>
      <c r="DK122" s="194"/>
      <c r="DL122" s="194"/>
      <c r="DM122" s="1987"/>
      <c r="DN122" s="1987"/>
      <c r="DO122" s="1987"/>
      <c r="DP122" s="1987"/>
      <c r="DQ122" s="1987"/>
      <c r="DR122" s="1987"/>
      <c r="DS122" s="1987"/>
      <c r="DT122" s="1987"/>
      <c r="DU122" s="1987"/>
      <c r="DV122" s="1987"/>
      <c r="DW122" s="1987"/>
      <c r="DX122" s="1987"/>
    </row>
    <row r="123" spans="1:128">
      <c r="A123" s="2924"/>
      <c r="B123" s="4"/>
      <c r="C123" s="140"/>
      <c r="D123" s="4"/>
      <c r="E123" s="4"/>
      <c r="F123" s="4"/>
      <c r="G123" s="2925"/>
      <c r="H123" s="4"/>
      <c r="I123" s="140"/>
      <c r="J123" s="4"/>
      <c r="K123" s="4"/>
      <c r="L123" s="4"/>
      <c r="M123" s="2925"/>
      <c r="N123" s="4"/>
      <c r="O123" s="140"/>
      <c r="P123" s="4"/>
      <c r="Q123" s="4"/>
      <c r="R123" s="4"/>
      <c r="S123" s="2925"/>
      <c r="T123" s="4"/>
      <c r="U123" s="140"/>
      <c r="V123" s="4"/>
      <c r="W123" s="4"/>
      <c r="X123" s="4"/>
      <c r="Y123" s="2925"/>
      <c r="Z123" s="4"/>
      <c r="AA123" s="140"/>
      <c r="AB123" s="4"/>
      <c r="AC123" s="4"/>
      <c r="AD123" s="4"/>
      <c r="AE123" s="2925"/>
      <c r="AF123" s="4"/>
      <c r="AG123" s="140"/>
      <c r="AH123" s="4"/>
      <c r="AI123" s="4"/>
      <c r="AJ123" s="4"/>
      <c r="AK123" s="2926"/>
      <c r="AL123" s="4"/>
      <c r="AM123" s="140"/>
      <c r="AN123" s="164"/>
      <c r="AO123" s="164"/>
      <c r="AP123" s="23"/>
      <c r="AQ123" s="2925"/>
      <c r="AR123" s="4"/>
      <c r="AS123" s="2927"/>
      <c r="AT123" s="2928"/>
      <c r="AU123" s="2928"/>
      <c r="AV123" s="4"/>
      <c r="AW123" s="2925"/>
      <c r="AX123" s="4"/>
      <c r="AY123" s="140"/>
      <c r="AZ123" s="4"/>
      <c r="BA123" s="4"/>
      <c r="BB123" s="4"/>
      <c r="BC123" s="2925"/>
      <c r="BD123" s="4"/>
      <c r="BE123" s="2174"/>
      <c r="BF123" s="4"/>
      <c r="BG123" s="4"/>
      <c r="BH123" s="4"/>
      <c r="BI123" s="2925"/>
      <c r="BJ123" s="4"/>
      <c r="BK123" s="140"/>
      <c r="BL123" s="4"/>
      <c r="BM123" s="4"/>
      <c r="BN123" s="4"/>
      <c r="BO123" s="2925"/>
      <c r="BP123" s="4"/>
      <c r="BQ123" s="140"/>
      <c r="BR123" s="4"/>
      <c r="BS123" s="4"/>
      <c r="BT123" s="4"/>
      <c r="BU123" s="2925"/>
      <c r="BV123" s="4"/>
      <c r="BW123" s="140"/>
      <c r="BX123" s="4"/>
      <c r="BY123" s="4"/>
      <c r="BZ123" s="4"/>
      <c r="CA123" s="2925"/>
      <c r="CB123" s="4"/>
      <c r="CC123" s="140"/>
      <c r="CD123" s="4"/>
      <c r="CE123" s="4"/>
      <c r="CF123" s="4"/>
      <c r="CG123" s="2925"/>
      <c r="CH123" s="4"/>
      <c r="CI123" s="140"/>
      <c r="CJ123" s="4"/>
      <c r="CK123" s="4"/>
      <c r="CL123" s="4"/>
      <c r="CM123" s="2925"/>
      <c r="CN123" s="4"/>
      <c r="CO123" s="140"/>
      <c r="CP123" s="4"/>
      <c r="CQ123" s="4"/>
      <c r="CR123" s="4"/>
      <c r="CS123" s="2925"/>
      <c r="CT123" s="2474"/>
      <c r="CU123" s="2474"/>
      <c r="CV123" s="2474"/>
      <c r="CX123" s="194"/>
      <c r="CY123" s="194"/>
      <c r="CZ123" s="194"/>
      <c r="DA123" s="194"/>
      <c r="DB123" s="194"/>
      <c r="DC123" s="194"/>
      <c r="DD123" s="194"/>
      <c r="DE123" s="194"/>
      <c r="DF123" s="194"/>
      <c r="DG123" s="194"/>
      <c r="DH123" s="194"/>
      <c r="DI123" s="194"/>
      <c r="DJ123" s="194"/>
      <c r="DK123" s="194"/>
      <c r="DL123" s="194"/>
      <c r="DM123" s="1987"/>
      <c r="DN123" s="1987"/>
      <c r="DO123" s="1987"/>
      <c r="DP123" s="1987"/>
      <c r="DQ123" s="1987"/>
      <c r="DR123" s="1987"/>
      <c r="DS123" s="1987"/>
      <c r="DT123" s="1987"/>
      <c r="DU123" s="1987"/>
      <c r="DV123" s="1987"/>
      <c r="DW123" s="1987"/>
      <c r="DX123" s="1987"/>
    </row>
    <row r="124" spans="1:128">
      <c r="A124" s="2924"/>
      <c r="B124" s="4"/>
      <c r="C124" s="140"/>
      <c r="D124" s="4"/>
      <c r="E124" s="4"/>
      <c r="F124" s="4"/>
      <c r="G124" s="2925"/>
      <c r="H124" s="4"/>
      <c r="I124" s="140"/>
      <c r="J124" s="4"/>
      <c r="K124" s="4"/>
      <c r="L124" s="4"/>
      <c r="M124" s="2925"/>
      <c r="N124" s="4"/>
      <c r="O124" s="140"/>
      <c r="P124" s="4"/>
      <c r="Q124" s="4"/>
      <c r="R124" s="4"/>
      <c r="S124" s="2925"/>
      <c r="T124" s="4"/>
      <c r="U124" s="140"/>
      <c r="V124" s="4"/>
      <c r="W124" s="4"/>
      <c r="X124" s="4"/>
      <c r="Y124" s="2925"/>
      <c r="Z124" s="4"/>
      <c r="AA124" s="140"/>
      <c r="AB124" s="4"/>
      <c r="AC124" s="4"/>
      <c r="AD124" s="4"/>
      <c r="AE124" s="2925"/>
      <c r="AF124" s="4"/>
      <c r="AG124" s="140"/>
      <c r="AH124" s="4"/>
      <c r="AI124" s="4"/>
      <c r="AJ124" s="4"/>
      <c r="AK124" s="2926"/>
      <c r="AL124" s="4"/>
      <c r="AM124" s="140"/>
      <c r="AN124" s="164"/>
      <c r="AO124" s="164"/>
      <c r="AP124" s="23"/>
      <c r="AQ124" s="2925"/>
      <c r="AR124" s="4"/>
      <c r="AS124" s="2927"/>
      <c r="AT124" s="2928"/>
      <c r="AU124" s="2928"/>
      <c r="AV124" s="4"/>
      <c r="AW124" s="2925"/>
      <c r="AX124" s="4"/>
      <c r="AY124" s="140"/>
      <c r="AZ124" s="4"/>
      <c r="BA124" s="4"/>
      <c r="BB124" s="4"/>
      <c r="BC124" s="2925"/>
      <c r="BD124" s="4"/>
      <c r="BE124" s="2174"/>
      <c r="BF124" s="4"/>
      <c r="BG124" s="4"/>
      <c r="BH124" s="4"/>
      <c r="BI124" s="2925"/>
      <c r="BJ124" s="4"/>
      <c r="BK124" s="140"/>
      <c r="BL124" s="4"/>
      <c r="BM124" s="4"/>
      <c r="BN124" s="4"/>
      <c r="BO124" s="2925"/>
      <c r="BP124" s="4"/>
      <c r="BQ124" s="140"/>
      <c r="BR124" s="4"/>
      <c r="BS124" s="4"/>
      <c r="BT124" s="4"/>
      <c r="BU124" s="2925"/>
      <c r="BV124" s="4"/>
      <c r="BW124" s="140"/>
      <c r="BX124" s="4"/>
      <c r="BY124" s="4"/>
      <c r="BZ124" s="4"/>
      <c r="CA124" s="2925"/>
      <c r="CB124" s="4"/>
      <c r="CC124" s="140"/>
      <c r="CD124" s="4"/>
      <c r="CE124" s="4"/>
      <c r="CF124" s="4"/>
      <c r="CG124" s="2925"/>
      <c r="CH124" s="4"/>
      <c r="CI124" s="140"/>
      <c r="CJ124" s="4"/>
      <c r="CK124" s="4"/>
      <c r="CL124" s="4"/>
      <c r="CM124" s="2925"/>
      <c r="CN124" s="4"/>
      <c r="CO124" s="140"/>
      <c r="CP124" s="4"/>
      <c r="CQ124" s="4"/>
      <c r="CR124" s="4"/>
      <c r="CS124" s="2925"/>
      <c r="CT124" s="2474"/>
      <c r="CU124" s="2474"/>
      <c r="CV124" s="2474"/>
      <c r="CX124" s="194"/>
      <c r="CY124" s="194"/>
      <c r="CZ124" s="194"/>
      <c r="DA124" s="194"/>
      <c r="DB124" s="194"/>
      <c r="DC124" s="194"/>
      <c r="DD124" s="194"/>
      <c r="DE124" s="194"/>
      <c r="DF124" s="194"/>
      <c r="DG124" s="194"/>
      <c r="DH124" s="194"/>
      <c r="DI124" s="194"/>
      <c r="DJ124" s="194"/>
      <c r="DK124" s="194"/>
      <c r="DL124" s="194"/>
      <c r="DM124" s="1987"/>
      <c r="DN124" s="1987"/>
      <c r="DO124" s="1987"/>
      <c r="DP124" s="1987"/>
      <c r="DQ124" s="1987"/>
      <c r="DR124" s="1987"/>
      <c r="DS124" s="1987"/>
      <c r="DT124" s="1987"/>
      <c r="DU124" s="1987"/>
      <c r="DV124" s="1987"/>
      <c r="DW124" s="1987"/>
      <c r="DX124" s="1987"/>
    </row>
    <row r="125" spans="1:128">
      <c r="A125" s="2924"/>
      <c r="B125" s="4"/>
      <c r="C125" s="140"/>
      <c r="D125" s="4"/>
      <c r="E125" s="4"/>
      <c r="F125" s="4"/>
      <c r="G125" s="2925"/>
      <c r="H125" s="4"/>
      <c r="I125" s="140"/>
      <c r="J125" s="4"/>
      <c r="K125" s="4"/>
      <c r="L125" s="4"/>
      <c r="M125" s="2925"/>
      <c r="N125" s="4"/>
      <c r="O125" s="140"/>
      <c r="P125" s="4"/>
      <c r="Q125" s="4"/>
      <c r="R125" s="4"/>
      <c r="S125" s="2925"/>
      <c r="T125" s="4"/>
      <c r="U125" s="140"/>
      <c r="V125" s="4"/>
      <c r="W125" s="4"/>
      <c r="X125" s="4"/>
      <c r="Y125" s="2925"/>
      <c r="Z125" s="4"/>
      <c r="AA125" s="140"/>
      <c r="AB125" s="4"/>
      <c r="AC125" s="4"/>
      <c r="AD125" s="4"/>
      <c r="AE125" s="2925"/>
      <c r="AF125" s="4"/>
      <c r="AG125" s="140"/>
      <c r="AH125" s="4"/>
      <c r="AI125" s="4"/>
      <c r="AJ125" s="4"/>
      <c r="AK125" s="2926"/>
      <c r="AL125" s="4"/>
      <c r="AM125" s="140"/>
      <c r="AN125" s="164"/>
      <c r="AO125" s="164"/>
      <c r="AP125" s="23"/>
      <c r="AQ125" s="2925"/>
      <c r="AR125" s="4"/>
      <c r="AS125" s="2927"/>
      <c r="AT125" s="2928"/>
      <c r="AU125" s="2928"/>
      <c r="AV125" s="4"/>
      <c r="AW125" s="2925"/>
      <c r="AX125" s="4"/>
      <c r="AY125" s="140"/>
      <c r="AZ125" s="4"/>
      <c r="BA125" s="4"/>
      <c r="BB125" s="4"/>
      <c r="BC125" s="2925"/>
      <c r="BD125" s="4"/>
      <c r="BE125" s="2174"/>
      <c r="BF125" s="4"/>
      <c r="BG125" s="4"/>
      <c r="BH125" s="4"/>
      <c r="BI125" s="2925"/>
      <c r="BJ125" s="4"/>
      <c r="BK125" s="140"/>
      <c r="BL125" s="4"/>
      <c r="BM125" s="4"/>
      <c r="BN125" s="4"/>
      <c r="BO125" s="2925"/>
      <c r="BP125" s="4"/>
      <c r="BQ125" s="140"/>
      <c r="BR125" s="4"/>
      <c r="BS125" s="4"/>
      <c r="BT125" s="4"/>
      <c r="BU125" s="2925"/>
      <c r="BV125" s="4"/>
      <c r="BW125" s="140"/>
      <c r="BX125" s="4"/>
      <c r="BY125" s="4"/>
      <c r="BZ125" s="4"/>
      <c r="CA125" s="2925"/>
      <c r="CB125" s="4"/>
      <c r="CC125" s="140"/>
      <c r="CD125" s="4"/>
      <c r="CE125" s="4"/>
      <c r="CF125" s="4"/>
      <c r="CG125" s="2925"/>
      <c r="CH125" s="4"/>
      <c r="CI125" s="140"/>
      <c r="CJ125" s="4"/>
      <c r="CK125" s="4"/>
      <c r="CL125" s="4"/>
      <c r="CM125" s="2925"/>
      <c r="CN125" s="4"/>
      <c r="CO125" s="140"/>
      <c r="CP125" s="4"/>
      <c r="CQ125" s="4"/>
      <c r="CR125" s="4"/>
      <c r="CS125" s="2925"/>
      <c r="CT125" s="2474"/>
      <c r="CU125" s="2474"/>
      <c r="CV125" s="2474"/>
      <c r="CX125" s="194"/>
      <c r="CY125" s="194"/>
      <c r="CZ125" s="194"/>
      <c r="DA125" s="194"/>
      <c r="DB125" s="194"/>
      <c r="DC125" s="194"/>
      <c r="DD125" s="194"/>
      <c r="DE125" s="194"/>
      <c r="DF125" s="194"/>
      <c r="DG125" s="194"/>
      <c r="DH125" s="194"/>
      <c r="DI125" s="194"/>
      <c r="DJ125" s="194"/>
      <c r="DK125" s="194"/>
      <c r="DL125" s="194"/>
      <c r="DM125" s="1987"/>
      <c r="DN125" s="1987"/>
      <c r="DO125" s="1987"/>
      <c r="DP125" s="1987"/>
      <c r="DQ125" s="1987"/>
      <c r="DR125" s="1987"/>
      <c r="DS125" s="1987"/>
      <c r="DT125" s="1987"/>
      <c r="DU125" s="1987"/>
      <c r="DV125" s="1987"/>
      <c r="DW125" s="1987"/>
      <c r="DX125" s="1987"/>
    </row>
    <row r="126" spans="1:128">
      <c r="A126" s="2924"/>
      <c r="B126" s="4"/>
      <c r="C126" s="140"/>
      <c r="D126" s="4"/>
      <c r="E126" s="4"/>
      <c r="F126" s="4"/>
      <c r="G126" s="2925"/>
      <c r="H126" s="4"/>
      <c r="I126" s="140"/>
      <c r="J126" s="4"/>
      <c r="K126" s="4"/>
      <c r="L126" s="4"/>
      <c r="M126" s="2925"/>
      <c r="N126" s="4"/>
      <c r="O126" s="140"/>
      <c r="P126" s="4"/>
      <c r="Q126" s="4"/>
      <c r="R126" s="4"/>
      <c r="S126" s="2925"/>
      <c r="T126" s="4"/>
      <c r="U126" s="140"/>
      <c r="V126" s="4"/>
      <c r="W126" s="4"/>
      <c r="X126" s="4"/>
      <c r="Y126" s="2925"/>
      <c r="Z126" s="4"/>
      <c r="AA126" s="140"/>
      <c r="AB126" s="4"/>
      <c r="AC126" s="4"/>
      <c r="AD126" s="4"/>
      <c r="AE126" s="2925"/>
      <c r="AF126" s="4"/>
      <c r="AG126" s="140"/>
      <c r="AH126" s="4"/>
      <c r="AI126" s="4"/>
      <c r="AJ126" s="4"/>
      <c r="AK126" s="2926"/>
      <c r="AL126" s="4"/>
      <c r="AM126" s="140"/>
      <c r="AN126" s="164"/>
      <c r="AO126" s="164"/>
      <c r="AP126" s="23"/>
      <c r="AQ126" s="2925"/>
      <c r="AR126" s="4"/>
      <c r="AS126" s="2927"/>
      <c r="AT126" s="2928"/>
      <c r="AU126" s="2928"/>
      <c r="AV126" s="4"/>
      <c r="AW126" s="2925"/>
      <c r="AX126" s="4"/>
      <c r="AY126" s="140"/>
      <c r="AZ126" s="4"/>
      <c r="BA126" s="4"/>
      <c r="BB126" s="4"/>
      <c r="BC126" s="2925"/>
      <c r="BD126" s="4"/>
      <c r="BE126" s="2174"/>
      <c r="BF126" s="4"/>
      <c r="BG126" s="4"/>
      <c r="BH126" s="4"/>
      <c r="BI126" s="2925"/>
      <c r="BJ126" s="4"/>
      <c r="BK126" s="140"/>
      <c r="BL126" s="4"/>
      <c r="BM126" s="4"/>
      <c r="BN126" s="4"/>
      <c r="BO126" s="2925"/>
      <c r="BP126" s="4"/>
      <c r="BQ126" s="140"/>
      <c r="BR126" s="4"/>
      <c r="BS126" s="4"/>
      <c r="BT126" s="4"/>
      <c r="BU126" s="2925"/>
      <c r="BV126" s="4"/>
      <c r="BW126" s="140"/>
      <c r="BX126" s="4"/>
      <c r="BY126" s="4"/>
      <c r="BZ126" s="4"/>
      <c r="CA126" s="2925"/>
      <c r="CB126" s="4"/>
      <c r="CC126" s="140"/>
      <c r="CD126" s="4"/>
      <c r="CE126" s="4"/>
      <c r="CF126" s="4"/>
      <c r="CG126" s="2925"/>
      <c r="CH126" s="4"/>
      <c r="CI126" s="140"/>
      <c r="CJ126" s="4"/>
      <c r="CK126" s="4"/>
      <c r="CL126" s="4"/>
      <c r="CM126" s="2925"/>
      <c r="CN126" s="4"/>
      <c r="CO126" s="140"/>
      <c r="CP126" s="4"/>
      <c r="CQ126" s="4"/>
      <c r="CR126" s="4"/>
      <c r="CS126" s="2925"/>
      <c r="CT126" s="2474"/>
      <c r="CU126" s="2474"/>
      <c r="CV126" s="2474"/>
      <c r="CX126" s="194"/>
      <c r="CY126" s="194"/>
      <c r="CZ126" s="194"/>
      <c r="DA126" s="194"/>
      <c r="DB126" s="194"/>
      <c r="DC126" s="194"/>
      <c r="DD126" s="194"/>
      <c r="DE126" s="194"/>
      <c r="DF126" s="194"/>
      <c r="DG126" s="194"/>
      <c r="DH126" s="194"/>
      <c r="DI126" s="194"/>
      <c r="DJ126" s="194"/>
      <c r="DK126" s="194"/>
      <c r="DL126" s="194"/>
      <c r="DM126" s="1987"/>
      <c r="DN126" s="1987"/>
      <c r="DO126" s="1987"/>
      <c r="DP126" s="1987"/>
      <c r="DQ126" s="1987"/>
      <c r="DR126" s="1987"/>
      <c r="DS126" s="1987"/>
      <c r="DT126" s="1987"/>
      <c r="DU126" s="1987"/>
      <c r="DV126" s="1987"/>
      <c r="DW126" s="1987"/>
      <c r="DX126" s="1987"/>
    </row>
    <row r="127" spans="1:128">
      <c r="A127" s="2924"/>
      <c r="B127" s="4"/>
      <c r="C127" s="140"/>
      <c r="D127" s="4"/>
      <c r="E127" s="4"/>
      <c r="F127" s="4"/>
      <c r="G127" s="2925"/>
      <c r="H127" s="4"/>
      <c r="I127" s="140"/>
      <c r="J127" s="4"/>
      <c r="K127" s="4"/>
      <c r="L127" s="4"/>
      <c r="M127" s="2925"/>
      <c r="N127" s="4"/>
      <c r="O127" s="140"/>
      <c r="P127" s="4"/>
      <c r="Q127" s="4"/>
      <c r="R127" s="4"/>
      <c r="S127" s="2925"/>
      <c r="T127" s="4"/>
      <c r="U127" s="140"/>
      <c r="V127" s="4"/>
      <c r="W127" s="4"/>
      <c r="X127" s="4"/>
      <c r="Y127" s="2925"/>
      <c r="Z127" s="4"/>
      <c r="AA127" s="140"/>
      <c r="AB127" s="4"/>
      <c r="AC127" s="4"/>
      <c r="AD127" s="4"/>
      <c r="AE127" s="2925"/>
      <c r="AF127" s="4"/>
      <c r="AG127" s="140"/>
      <c r="AH127" s="4"/>
      <c r="AI127" s="4"/>
      <c r="AJ127" s="4"/>
      <c r="AK127" s="2926"/>
      <c r="AL127" s="4"/>
      <c r="AM127" s="140"/>
      <c r="AN127" s="164"/>
      <c r="AO127" s="164"/>
      <c r="AP127" s="23"/>
      <c r="AQ127" s="2925"/>
      <c r="AR127" s="4"/>
      <c r="AS127" s="2927"/>
      <c r="AT127" s="2928"/>
      <c r="AU127" s="2928"/>
      <c r="AV127" s="4"/>
      <c r="AW127" s="2925"/>
      <c r="AX127" s="4"/>
      <c r="AY127" s="140"/>
      <c r="AZ127" s="4"/>
      <c r="BA127" s="4"/>
      <c r="BB127" s="4"/>
      <c r="BC127" s="2925"/>
      <c r="BD127" s="4"/>
      <c r="BE127" s="2174"/>
      <c r="BF127" s="4"/>
      <c r="BG127" s="4"/>
      <c r="BH127" s="4"/>
      <c r="BI127" s="2925"/>
      <c r="BJ127" s="4"/>
      <c r="BK127" s="140"/>
      <c r="BL127" s="4"/>
      <c r="BM127" s="4"/>
      <c r="BN127" s="4"/>
      <c r="BO127" s="2925"/>
      <c r="BP127" s="4"/>
      <c r="BQ127" s="140"/>
      <c r="BR127" s="4"/>
      <c r="BS127" s="4"/>
      <c r="BT127" s="4"/>
      <c r="BU127" s="2925"/>
      <c r="BV127" s="4"/>
      <c r="BW127" s="140"/>
      <c r="BX127" s="4"/>
      <c r="BY127" s="4"/>
      <c r="BZ127" s="4"/>
      <c r="CA127" s="2925"/>
      <c r="CB127" s="4"/>
      <c r="CC127" s="140"/>
      <c r="CD127" s="4"/>
      <c r="CE127" s="4"/>
      <c r="CF127" s="4"/>
      <c r="CG127" s="2925"/>
      <c r="CH127" s="4"/>
      <c r="CI127" s="140"/>
      <c r="CJ127" s="4"/>
      <c r="CK127" s="4"/>
      <c r="CL127" s="4"/>
      <c r="CM127" s="2925"/>
      <c r="CN127" s="4"/>
      <c r="CO127" s="140"/>
      <c r="CP127" s="4"/>
      <c r="CQ127" s="4"/>
      <c r="CR127" s="4"/>
      <c r="CS127" s="2925"/>
      <c r="CT127" s="2474"/>
      <c r="CU127" s="2474"/>
      <c r="CV127" s="2474"/>
      <c r="CX127" s="194"/>
      <c r="CY127" s="194"/>
      <c r="CZ127" s="194"/>
      <c r="DA127" s="194"/>
      <c r="DB127" s="194"/>
      <c r="DC127" s="194"/>
      <c r="DD127" s="194"/>
      <c r="DE127" s="194"/>
      <c r="DF127" s="194"/>
      <c r="DG127" s="194"/>
      <c r="DH127" s="194"/>
      <c r="DI127" s="194"/>
      <c r="DJ127" s="194"/>
      <c r="DK127" s="194"/>
      <c r="DL127" s="194"/>
      <c r="DM127" s="1987"/>
      <c r="DN127" s="1987"/>
      <c r="DO127" s="1987"/>
      <c r="DP127" s="1987"/>
      <c r="DQ127" s="1987"/>
      <c r="DR127" s="1987"/>
      <c r="DS127" s="1987"/>
      <c r="DT127" s="1987"/>
      <c r="DU127" s="1987"/>
      <c r="DV127" s="1987"/>
      <c r="DW127" s="1987"/>
      <c r="DX127" s="1987"/>
    </row>
    <row r="128" spans="1:128">
      <c r="A128" s="2924"/>
      <c r="B128" s="4"/>
      <c r="C128" s="140"/>
      <c r="D128" s="4"/>
      <c r="E128" s="4"/>
      <c r="F128" s="4"/>
      <c r="G128" s="2925"/>
      <c r="H128" s="4"/>
      <c r="I128" s="140"/>
      <c r="J128" s="4"/>
      <c r="K128" s="4"/>
      <c r="L128" s="4"/>
      <c r="M128" s="2925"/>
      <c r="N128" s="4"/>
      <c r="O128" s="140"/>
      <c r="P128" s="4"/>
      <c r="Q128" s="4"/>
      <c r="R128" s="4"/>
      <c r="S128" s="2925"/>
      <c r="T128" s="4"/>
      <c r="U128" s="140"/>
      <c r="V128" s="4"/>
      <c r="W128" s="4"/>
      <c r="X128" s="4"/>
      <c r="Y128" s="2925"/>
      <c r="Z128" s="4"/>
      <c r="AA128" s="140"/>
      <c r="AB128" s="4"/>
      <c r="AC128" s="4"/>
      <c r="AD128" s="4"/>
      <c r="AE128" s="2925"/>
      <c r="AF128" s="4"/>
      <c r="AG128" s="140"/>
      <c r="AH128" s="4"/>
      <c r="AI128" s="4"/>
      <c r="AJ128" s="4"/>
      <c r="AK128" s="2926"/>
      <c r="AL128" s="4"/>
      <c r="AM128" s="140"/>
      <c r="AN128" s="164"/>
      <c r="AO128" s="164"/>
      <c r="AP128" s="23"/>
      <c r="AQ128" s="2925"/>
      <c r="AR128" s="4"/>
      <c r="AS128" s="2927"/>
      <c r="AT128" s="2928"/>
      <c r="AU128" s="2928"/>
      <c r="AV128" s="4"/>
      <c r="AW128" s="2925"/>
      <c r="AX128" s="4"/>
      <c r="AY128" s="140"/>
      <c r="AZ128" s="4"/>
      <c r="BA128" s="4"/>
      <c r="BB128" s="4"/>
      <c r="BC128" s="2925"/>
      <c r="BD128" s="4"/>
      <c r="BE128" s="2174"/>
      <c r="BF128" s="4"/>
      <c r="BG128" s="4"/>
      <c r="BH128" s="4"/>
      <c r="BI128" s="2925"/>
      <c r="BJ128" s="4"/>
      <c r="BK128" s="140"/>
      <c r="BL128" s="4"/>
      <c r="BM128" s="4"/>
      <c r="BN128" s="4"/>
      <c r="BO128" s="2925"/>
      <c r="BP128" s="4"/>
      <c r="BQ128" s="140"/>
      <c r="BR128" s="4"/>
      <c r="BS128" s="4"/>
      <c r="BT128" s="4"/>
      <c r="BU128" s="2925"/>
      <c r="BV128" s="4"/>
      <c r="BW128" s="140"/>
      <c r="BX128" s="4"/>
      <c r="BY128" s="4"/>
      <c r="BZ128" s="4"/>
      <c r="CA128" s="2925"/>
      <c r="CB128" s="4"/>
      <c r="CC128" s="140"/>
      <c r="CD128" s="4"/>
      <c r="CE128" s="4"/>
      <c r="CF128" s="4"/>
      <c r="CG128" s="2925"/>
      <c r="CH128" s="4"/>
      <c r="CI128" s="140"/>
      <c r="CJ128" s="4"/>
      <c r="CK128" s="4"/>
      <c r="CL128" s="4"/>
      <c r="CM128" s="2925"/>
      <c r="CN128" s="4"/>
      <c r="CO128" s="140"/>
      <c r="CP128" s="4"/>
      <c r="CQ128" s="4"/>
      <c r="CR128" s="4"/>
      <c r="CS128" s="2925"/>
      <c r="CT128" s="2474"/>
      <c r="CU128" s="2474"/>
      <c r="CV128" s="2474"/>
      <c r="CX128" s="194"/>
      <c r="CY128" s="194"/>
      <c r="CZ128" s="194"/>
      <c r="DA128" s="194"/>
      <c r="DB128" s="194"/>
      <c r="DC128" s="194"/>
      <c r="DD128" s="194"/>
      <c r="DE128" s="194"/>
      <c r="DF128" s="194"/>
      <c r="DG128" s="194"/>
      <c r="DH128" s="194"/>
      <c r="DI128" s="194"/>
      <c r="DJ128" s="194"/>
      <c r="DK128" s="194"/>
      <c r="DL128" s="194"/>
      <c r="DM128" s="1987"/>
      <c r="DN128" s="1987"/>
      <c r="DO128" s="1987"/>
      <c r="DP128" s="1987"/>
      <c r="DQ128" s="1987"/>
      <c r="DR128" s="1987"/>
      <c r="DS128" s="1987"/>
      <c r="DT128" s="1987"/>
      <c r="DU128" s="1987"/>
      <c r="DV128" s="1987"/>
      <c r="DW128" s="1987"/>
      <c r="DX128" s="1987"/>
    </row>
    <row r="129" spans="1:128">
      <c r="A129" s="2924"/>
      <c r="B129" s="4"/>
      <c r="C129" s="140"/>
      <c r="D129" s="4"/>
      <c r="E129" s="4"/>
      <c r="F129" s="4"/>
      <c r="G129" s="2925"/>
      <c r="H129" s="4"/>
      <c r="I129" s="140"/>
      <c r="J129" s="4"/>
      <c r="K129" s="4"/>
      <c r="L129" s="4"/>
      <c r="M129" s="2925"/>
      <c r="N129" s="4"/>
      <c r="O129" s="140"/>
      <c r="P129" s="4"/>
      <c r="Q129" s="4"/>
      <c r="R129" s="4"/>
      <c r="S129" s="2925"/>
      <c r="T129" s="4"/>
      <c r="U129" s="140"/>
      <c r="V129" s="4"/>
      <c r="W129" s="4"/>
      <c r="X129" s="4"/>
      <c r="Y129" s="2925"/>
      <c r="Z129" s="4"/>
      <c r="AA129" s="140"/>
      <c r="AB129" s="4"/>
      <c r="AC129" s="4"/>
      <c r="AD129" s="4"/>
      <c r="AE129" s="2925"/>
      <c r="AF129" s="4"/>
      <c r="AG129" s="140"/>
      <c r="AH129" s="4"/>
      <c r="AI129" s="4"/>
      <c r="AJ129" s="4"/>
      <c r="AK129" s="2926"/>
      <c r="AL129" s="4"/>
      <c r="AM129" s="140"/>
      <c r="AN129" s="164"/>
      <c r="AO129" s="164"/>
      <c r="AP129" s="23"/>
      <c r="AQ129" s="2925"/>
      <c r="AR129" s="4"/>
      <c r="AS129" s="2927"/>
      <c r="AT129" s="2928"/>
      <c r="AU129" s="2928"/>
      <c r="AV129" s="4"/>
      <c r="AW129" s="2925"/>
      <c r="AX129" s="4"/>
      <c r="AY129" s="140"/>
      <c r="AZ129" s="4"/>
      <c r="BA129" s="4"/>
      <c r="BB129" s="4"/>
      <c r="BC129" s="2925"/>
      <c r="BD129" s="4"/>
      <c r="BE129" s="2174"/>
      <c r="BF129" s="4"/>
      <c r="BG129" s="4"/>
      <c r="BH129" s="4"/>
      <c r="BI129" s="2925"/>
      <c r="BJ129" s="4"/>
      <c r="BK129" s="140"/>
      <c r="BL129" s="4"/>
      <c r="BM129" s="4"/>
      <c r="BN129" s="4"/>
      <c r="BO129" s="2925"/>
      <c r="BP129" s="4"/>
      <c r="BQ129" s="140"/>
      <c r="BR129" s="4"/>
      <c r="BS129" s="4"/>
      <c r="BT129" s="4"/>
      <c r="BU129" s="2925"/>
      <c r="BV129" s="4"/>
      <c r="BW129" s="140"/>
      <c r="BX129" s="4"/>
      <c r="BY129" s="4"/>
      <c r="BZ129" s="4"/>
      <c r="CA129" s="2925"/>
      <c r="CB129" s="4"/>
      <c r="CC129" s="140"/>
      <c r="CD129" s="4"/>
      <c r="CE129" s="4"/>
      <c r="CF129" s="4"/>
      <c r="CG129" s="2925"/>
      <c r="CH129" s="4"/>
      <c r="CI129" s="140"/>
      <c r="CJ129" s="4"/>
      <c r="CK129" s="4"/>
      <c r="CL129" s="4"/>
      <c r="CM129" s="2925"/>
      <c r="CN129" s="4"/>
      <c r="CO129" s="140"/>
      <c r="CP129" s="4"/>
      <c r="CQ129" s="4"/>
      <c r="CR129" s="4"/>
      <c r="CS129" s="2925"/>
      <c r="CT129" s="2474"/>
      <c r="CU129" s="2474"/>
      <c r="CV129" s="2474"/>
      <c r="CX129" s="194"/>
      <c r="CY129" s="194"/>
      <c r="CZ129" s="194"/>
      <c r="DA129" s="194"/>
      <c r="DB129" s="194"/>
      <c r="DC129" s="194"/>
      <c r="DD129" s="194"/>
      <c r="DE129" s="194"/>
      <c r="DF129" s="194"/>
      <c r="DG129" s="194"/>
      <c r="DH129" s="194"/>
      <c r="DI129" s="194"/>
      <c r="DJ129" s="194"/>
      <c r="DK129" s="194"/>
      <c r="DL129" s="194"/>
      <c r="DM129" s="1987"/>
      <c r="DN129" s="1987"/>
      <c r="DO129" s="1987"/>
      <c r="DP129" s="1987"/>
      <c r="DQ129" s="1987"/>
      <c r="DR129" s="1987"/>
      <c r="DS129" s="1987"/>
      <c r="DT129" s="1987"/>
      <c r="DU129" s="1987"/>
      <c r="DV129" s="1987"/>
      <c r="DW129" s="1987"/>
      <c r="DX129" s="1987"/>
    </row>
    <row r="130" spans="1:128">
      <c r="A130" s="2924"/>
      <c r="B130" s="4"/>
      <c r="C130" s="140"/>
      <c r="D130" s="4"/>
      <c r="E130" s="4"/>
      <c r="F130" s="4"/>
      <c r="G130" s="2925"/>
      <c r="H130" s="4"/>
      <c r="I130" s="140"/>
      <c r="J130" s="4"/>
      <c r="K130" s="4"/>
      <c r="L130" s="4"/>
      <c r="M130" s="2925"/>
      <c r="N130" s="4"/>
      <c r="O130" s="140"/>
      <c r="P130" s="4"/>
      <c r="Q130" s="4"/>
      <c r="R130" s="4"/>
      <c r="S130" s="2925"/>
      <c r="T130" s="4"/>
      <c r="U130" s="140"/>
      <c r="V130" s="4"/>
      <c r="W130" s="4"/>
      <c r="X130" s="4"/>
      <c r="Y130" s="2925"/>
      <c r="Z130" s="4"/>
      <c r="AA130" s="140"/>
      <c r="AB130" s="4"/>
      <c r="AC130" s="4"/>
      <c r="AD130" s="4"/>
      <c r="AE130" s="2925"/>
      <c r="AF130" s="4"/>
      <c r="AG130" s="140"/>
      <c r="AH130" s="4"/>
      <c r="AI130" s="4"/>
      <c r="AJ130" s="4"/>
      <c r="AK130" s="2926"/>
      <c r="AL130" s="4"/>
      <c r="AM130" s="140"/>
      <c r="AN130" s="164"/>
      <c r="AO130" s="164"/>
      <c r="AP130" s="23"/>
      <c r="AQ130" s="2925"/>
      <c r="AR130" s="4"/>
      <c r="AS130" s="2927"/>
      <c r="AT130" s="2928"/>
      <c r="AU130" s="2928"/>
      <c r="AV130" s="4"/>
      <c r="AW130" s="2925"/>
      <c r="AX130" s="4"/>
      <c r="AY130" s="140"/>
      <c r="AZ130" s="4"/>
      <c r="BA130" s="4"/>
      <c r="BB130" s="4"/>
      <c r="BC130" s="2925"/>
      <c r="BD130" s="4"/>
      <c r="BE130" s="2174"/>
      <c r="BF130" s="4"/>
      <c r="BG130" s="4"/>
      <c r="BH130" s="4"/>
      <c r="BI130" s="2925"/>
      <c r="BJ130" s="4"/>
      <c r="BK130" s="140"/>
      <c r="BL130" s="4"/>
      <c r="BM130" s="4"/>
      <c r="BN130" s="4"/>
      <c r="BO130" s="2925"/>
      <c r="BP130" s="4"/>
      <c r="BQ130" s="140"/>
      <c r="BR130" s="4"/>
      <c r="BS130" s="4"/>
      <c r="BT130" s="4"/>
      <c r="BU130" s="2925"/>
      <c r="BV130" s="4"/>
      <c r="BW130" s="140"/>
      <c r="BX130" s="4"/>
      <c r="BY130" s="4"/>
      <c r="BZ130" s="4"/>
      <c r="CA130" s="2925"/>
      <c r="CB130" s="4"/>
      <c r="CC130" s="140"/>
      <c r="CD130" s="4"/>
      <c r="CE130" s="4"/>
      <c r="CF130" s="4"/>
      <c r="CG130" s="2925"/>
      <c r="CH130" s="4"/>
      <c r="CI130" s="140"/>
      <c r="CJ130" s="4"/>
      <c r="CK130" s="4"/>
      <c r="CL130" s="4"/>
      <c r="CM130" s="2925"/>
      <c r="CN130" s="4"/>
      <c r="CO130" s="140"/>
      <c r="CP130" s="4"/>
      <c r="CQ130" s="4"/>
      <c r="CR130" s="4"/>
      <c r="CS130" s="2925"/>
      <c r="CT130" s="2474"/>
      <c r="CU130" s="2474"/>
      <c r="CV130" s="2474"/>
      <c r="CX130" s="194"/>
      <c r="CY130" s="194"/>
      <c r="CZ130" s="194"/>
      <c r="DA130" s="194"/>
      <c r="DB130" s="194"/>
      <c r="DC130" s="194"/>
      <c r="DD130" s="194"/>
      <c r="DE130" s="194"/>
      <c r="DF130" s="194"/>
      <c r="DG130" s="194"/>
      <c r="DH130" s="194"/>
      <c r="DI130" s="194"/>
      <c r="DJ130" s="194"/>
      <c r="DK130" s="194"/>
      <c r="DL130" s="194"/>
      <c r="DM130" s="1987"/>
      <c r="DN130" s="1987"/>
      <c r="DO130" s="1987"/>
      <c r="DP130" s="1987"/>
      <c r="DQ130" s="1987"/>
      <c r="DR130" s="1987"/>
      <c r="DS130" s="1987"/>
      <c r="DT130" s="1987"/>
      <c r="DU130" s="1987"/>
      <c r="DV130" s="1987"/>
      <c r="DW130" s="1987"/>
      <c r="DX130" s="1987"/>
    </row>
    <row r="131" spans="1:128">
      <c r="A131" s="2924"/>
      <c r="B131" s="4"/>
      <c r="C131" s="140"/>
      <c r="D131" s="4"/>
      <c r="E131" s="4"/>
      <c r="F131" s="4"/>
      <c r="G131" s="2925"/>
      <c r="H131" s="4"/>
      <c r="I131" s="140"/>
      <c r="J131" s="4"/>
      <c r="K131" s="4"/>
      <c r="L131" s="4"/>
      <c r="M131" s="2925"/>
      <c r="N131" s="4"/>
      <c r="O131" s="140"/>
      <c r="P131" s="4"/>
      <c r="Q131" s="4"/>
      <c r="R131" s="4"/>
      <c r="S131" s="2925"/>
      <c r="T131" s="4"/>
      <c r="U131" s="140"/>
      <c r="V131" s="4"/>
      <c r="W131" s="4"/>
      <c r="X131" s="4"/>
      <c r="Y131" s="2925"/>
      <c r="Z131" s="4"/>
      <c r="AA131" s="140"/>
      <c r="AB131" s="4"/>
      <c r="AC131" s="4"/>
      <c r="AD131" s="4"/>
      <c r="AE131" s="2925"/>
      <c r="AF131" s="4"/>
      <c r="AG131" s="140"/>
      <c r="AH131" s="4"/>
      <c r="AI131" s="4"/>
      <c r="AJ131" s="4"/>
      <c r="AK131" s="2926"/>
      <c r="AL131" s="4"/>
      <c r="AM131" s="140"/>
      <c r="AN131" s="164"/>
      <c r="AO131" s="164"/>
      <c r="AP131" s="23"/>
      <c r="AQ131" s="2925"/>
      <c r="AR131" s="4"/>
      <c r="AS131" s="2927"/>
      <c r="AT131" s="2928"/>
      <c r="AU131" s="2928"/>
      <c r="AV131" s="4"/>
      <c r="AW131" s="2925"/>
      <c r="AX131" s="4"/>
      <c r="AY131" s="140"/>
      <c r="AZ131" s="4"/>
      <c r="BA131" s="4"/>
      <c r="BB131" s="4"/>
      <c r="BC131" s="2925"/>
      <c r="BD131" s="4"/>
      <c r="BE131" s="2174"/>
      <c r="BF131" s="4"/>
      <c r="BG131" s="4"/>
      <c r="BH131" s="4"/>
      <c r="BI131" s="2925"/>
      <c r="BJ131" s="4"/>
      <c r="BK131" s="140"/>
      <c r="BL131" s="4"/>
      <c r="BM131" s="4"/>
      <c r="BN131" s="4"/>
      <c r="BO131" s="2925"/>
      <c r="BP131" s="4"/>
      <c r="BQ131" s="140"/>
      <c r="BR131" s="4"/>
      <c r="BS131" s="4"/>
      <c r="BT131" s="4"/>
      <c r="BU131" s="2925"/>
      <c r="BV131" s="4"/>
      <c r="BW131" s="140"/>
      <c r="BX131" s="4"/>
      <c r="BY131" s="4"/>
      <c r="BZ131" s="4"/>
      <c r="CA131" s="2925"/>
      <c r="CB131" s="4"/>
      <c r="CC131" s="140"/>
      <c r="CD131" s="4"/>
      <c r="CE131" s="4"/>
      <c r="CF131" s="4"/>
      <c r="CG131" s="2925"/>
      <c r="CH131" s="4"/>
      <c r="CI131" s="140"/>
      <c r="CJ131" s="4"/>
      <c r="CK131" s="4"/>
      <c r="CL131" s="4"/>
      <c r="CM131" s="2925"/>
      <c r="CN131" s="4"/>
      <c r="CO131" s="140"/>
      <c r="CP131" s="4"/>
      <c r="CQ131" s="4"/>
      <c r="CR131" s="4"/>
      <c r="CS131" s="2925"/>
      <c r="CT131" s="2474"/>
      <c r="CU131" s="2474"/>
      <c r="CV131" s="2474"/>
      <c r="CX131" s="194"/>
      <c r="CY131" s="194"/>
      <c r="CZ131" s="194"/>
      <c r="DA131" s="194"/>
      <c r="DB131" s="194"/>
      <c r="DC131" s="194"/>
      <c r="DD131" s="194"/>
      <c r="DE131" s="194"/>
      <c r="DF131" s="194"/>
      <c r="DG131" s="194"/>
      <c r="DH131" s="194"/>
      <c r="DI131" s="194"/>
      <c r="DJ131" s="194"/>
      <c r="DK131" s="194"/>
      <c r="DL131" s="194"/>
      <c r="DM131" s="1987"/>
      <c r="DN131" s="1987"/>
      <c r="DO131" s="1987"/>
      <c r="DP131" s="1987"/>
      <c r="DQ131" s="1987"/>
      <c r="DR131" s="1987"/>
      <c r="DS131" s="1987"/>
      <c r="DT131" s="1987"/>
      <c r="DU131" s="1987"/>
      <c r="DV131" s="1987"/>
      <c r="DW131" s="1987"/>
      <c r="DX131" s="1987"/>
    </row>
    <row r="132" spans="1:128">
      <c r="A132" s="2924"/>
      <c r="B132" s="4"/>
      <c r="C132" s="140"/>
      <c r="D132" s="4"/>
      <c r="E132" s="4"/>
      <c r="F132" s="4"/>
      <c r="G132" s="2925"/>
      <c r="H132" s="4"/>
      <c r="I132" s="140"/>
      <c r="J132" s="4"/>
      <c r="K132" s="4"/>
      <c r="L132" s="4"/>
      <c r="M132" s="2925"/>
      <c r="N132" s="4"/>
      <c r="O132" s="140"/>
      <c r="P132" s="4"/>
      <c r="Q132" s="4"/>
      <c r="R132" s="4"/>
      <c r="S132" s="2925"/>
      <c r="T132" s="4"/>
      <c r="U132" s="140"/>
      <c r="V132" s="4"/>
      <c r="W132" s="4"/>
      <c r="X132" s="4"/>
      <c r="Y132" s="2925"/>
      <c r="Z132" s="4"/>
      <c r="AA132" s="140"/>
      <c r="AB132" s="4"/>
      <c r="AC132" s="4"/>
      <c r="AD132" s="4"/>
      <c r="AE132" s="2925"/>
      <c r="AF132" s="4"/>
      <c r="AG132" s="140"/>
      <c r="AH132" s="4"/>
      <c r="AI132" s="4"/>
      <c r="AJ132" s="4"/>
      <c r="AK132" s="2926"/>
      <c r="AL132" s="4"/>
      <c r="AM132" s="140"/>
      <c r="AN132" s="164"/>
      <c r="AO132" s="164"/>
      <c r="AP132" s="23"/>
      <c r="AQ132" s="2925"/>
      <c r="AR132" s="4"/>
      <c r="AS132" s="2927"/>
      <c r="AT132" s="2928"/>
      <c r="AU132" s="2928"/>
      <c r="AV132" s="4"/>
      <c r="AW132" s="2925"/>
      <c r="AX132" s="4"/>
      <c r="AY132" s="140"/>
      <c r="AZ132" s="4"/>
      <c r="BA132" s="4"/>
      <c r="BB132" s="4"/>
      <c r="BC132" s="2925"/>
      <c r="BD132" s="4"/>
      <c r="BE132" s="2174"/>
      <c r="BF132" s="4"/>
      <c r="BG132" s="4"/>
      <c r="BH132" s="4"/>
      <c r="BI132" s="2925"/>
      <c r="BJ132" s="4"/>
      <c r="BK132" s="140"/>
      <c r="BL132" s="4"/>
      <c r="BM132" s="4"/>
      <c r="BN132" s="4"/>
      <c r="BO132" s="2925"/>
      <c r="BP132" s="4"/>
      <c r="BQ132" s="140"/>
      <c r="BR132" s="4"/>
      <c r="BS132" s="4"/>
      <c r="BT132" s="4"/>
      <c r="BU132" s="2925"/>
      <c r="BV132" s="4"/>
      <c r="BW132" s="140"/>
      <c r="BX132" s="4"/>
      <c r="BY132" s="4"/>
      <c r="BZ132" s="4"/>
      <c r="CA132" s="2925"/>
      <c r="CB132" s="4"/>
      <c r="CC132" s="140"/>
      <c r="CD132" s="4"/>
      <c r="CE132" s="4"/>
      <c r="CF132" s="4"/>
      <c r="CG132" s="2925"/>
      <c r="CH132" s="4"/>
      <c r="CI132" s="140"/>
      <c r="CJ132" s="4"/>
      <c r="CK132" s="4"/>
      <c r="CL132" s="4"/>
      <c r="CM132" s="2925"/>
      <c r="CN132" s="4"/>
      <c r="CO132" s="140"/>
      <c r="CP132" s="4"/>
      <c r="CQ132" s="4"/>
      <c r="CR132" s="4"/>
      <c r="CS132" s="2925"/>
      <c r="CT132" s="2474"/>
      <c r="CU132" s="2474"/>
      <c r="CV132" s="2474"/>
      <c r="CX132" s="194"/>
      <c r="CY132" s="194"/>
      <c r="CZ132" s="194"/>
      <c r="DA132" s="194"/>
      <c r="DB132" s="194"/>
      <c r="DC132" s="194"/>
      <c r="DD132" s="194"/>
      <c r="DE132" s="194"/>
      <c r="DF132" s="194"/>
      <c r="DG132" s="194"/>
      <c r="DH132" s="194"/>
      <c r="DI132" s="194"/>
      <c r="DJ132" s="194"/>
      <c r="DK132" s="194"/>
      <c r="DL132" s="194"/>
      <c r="DM132" s="1987"/>
      <c r="DN132" s="1987"/>
      <c r="DO132" s="1987"/>
      <c r="DP132" s="1987"/>
      <c r="DQ132" s="1987"/>
      <c r="DR132" s="1987"/>
      <c r="DS132" s="1987"/>
      <c r="DT132" s="1987"/>
      <c r="DU132" s="1987"/>
      <c r="DV132" s="1987"/>
      <c r="DW132" s="1987"/>
      <c r="DX132" s="1987"/>
    </row>
    <row r="133" spans="1:128">
      <c r="A133" s="2924"/>
      <c r="B133" s="4"/>
      <c r="C133" s="140"/>
      <c r="D133" s="4"/>
      <c r="E133" s="4"/>
      <c r="F133" s="4"/>
      <c r="G133" s="2925"/>
      <c r="H133" s="4"/>
      <c r="I133" s="140"/>
      <c r="J133" s="4"/>
      <c r="K133" s="4"/>
      <c r="L133" s="4"/>
      <c r="M133" s="2925"/>
      <c r="N133" s="4"/>
      <c r="O133" s="140"/>
      <c r="P133" s="4"/>
      <c r="Q133" s="4"/>
      <c r="R133" s="4"/>
      <c r="S133" s="2925"/>
      <c r="T133" s="4"/>
      <c r="U133" s="140"/>
      <c r="V133" s="4"/>
      <c r="W133" s="4"/>
      <c r="X133" s="4"/>
      <c r="Y133" s="2925"/>
      <c r="Z133" s="4"/>
      <c r="AA133" s="140"/>
      <c r="AB133" s="4"/>
      <c r="AC133" s="4"/>
      <c r="AD133" s="4"/>
      <c r="AE133" s="2925"/>
      <c r="AF133" s="4"/>
      <c r="AG133" s="140"/>
      <c r="AH133" s="4"/>
      <c r="AI133" s="4"/>
      <c r="AJ133" s="4"/>
      <c r="AK133" s="2926"/>
      <c r="AL133" s="4"/>
      <c r="AM133" s="140"/>
      <c r="AN133" s="164"/>
      <c r="AO133" s="164"/>
      <c r="AP133" s="23"/>
      <c r="AQ133" s="2925"/>
      <c r="AR133" s="4"/>
      <c r="AS133" s="2927"/>
      <c r="AT133" s="2928"/>
      <c r="AU133" s="2928"/>
      <c r="AV133" s="4"/>
      <c r="AW133" s="2925"/>
      <c r="AX133" s="4"/>
      <c r="AY133" s="140"/>
      <c r="AZ133" s="4"/>
      <c r="BA133" s="4"/>
      <c r="BB133" s="4"/>
      <c r="BC133" s="2925"/>
      <c r="BD133" s="4"/>
      <c r="BE133" s="2174"/>
      <c r="BF133" s="4"/>
      <c r="BG133" s="4"/>
      <c r="BH133" s="4"/>
      <c r="BI133" s="2925"/>
      <c r="BJ133" s="4"/>
      <c r="BK133" s="140"/>
      <c r="BL133" s="4"/>
      <c r="BM133" s="4"/>
      <c r="BN133" s="4"/>
      <c r="BO133" s="2925"/>
      <c r="BP133" s="4"/>
      <c r="BQ133" s="140"/>
      <c r="BR133" s="4"/>
      <c r="BS133" s="4"/>
      <c r="BT133" s="4"/>
      <c r="BU133" s="2925"/>
      <c r="BV133" s="4"/>
      <c r="BW133" s="140"/>
      <c r="BX133" s="4"/>
      <c r="BY133" s="4"/>
      <c r="BZ133" s="4"/>
      <c r="CA133" s="2925"/>
      <c r="CB133" s="4"/>
      <c r="CC133" s="140"/>
      <c r="CD133" s="4"/>
      <c r="CE133" s="4"/>
      <c r="CF133" s="4"/>
      <c r="CG133" s="2925"/>
      <c r="CH133" s="4"/>
      <c r="CI133" s="140"/>
      <c r="CJ133" s="4"/>
      <c r="CK133" s="4"/>
      <c r="CL133" s="4"/>
      <c r="CM133" s="2925"/>
      <c r="CN133" s="4"/>
      <c r="CO133" s="140"/>
      <c r="CP133" s="4"/>
      <c r="CQ133" s="4"/>
      <c r="CR133" s="4"/>
      <c r="CS133" s="2925"/>
      <c r="CT133" s="2474"/>
      <c r="CU133" s="2474"/>
      <c r="CV133" s="2474"/>
      <c r="CX133" s="194"/>
      <c r="CY133" s="194"/>
      <c r="CZ133" s="194"/>
      <c r="DA133" s="194"/>
      <c r="DB133" s="194"/>
      <c r="DC133" s="194"/>
      <c r="DD133" s="194"/>
      <c r="DE133" s="194"/>
      <c r="DF133" s="194"/>
      <c r="DG133" s="194"/>
      <c r="DH133" s="194"/>
      <c r="DI133" s="194"/>
      <c r="DJ133" s="194"/>
      <c r="DK133" s="194"/>
      <c r="DL133" s="194"/>
      <c r="DM133" s="1987"/>
      <c r="DN133" s="1987"/>
      <c r="DO133" s="1987"/>
      <c r="DP133" s="1987"/>
      <c r="DQ133" s="1987"/>
      <c r="DR133" s="1987"/>
      <c r="DS133" s="1987"/>
      <c r="DT133" s="1987"/>
      <c r="DU133" s="1987"/>
      <c r="DV133" s="1987"/>
      <c r="DW133" s="1987"/>
      <c r="DX133" s="1987"/>
    </row>
    <row r="134" spans="1:128">
      <c r="A134" s="2924"/>
      <c r="B134" s="4"/>
      <c r="C134" s="140"/>
      <c r="D134" s="4"/>
      <c r="E134" s="4"/>
      <c r="F134" s="4"/>
      <c r="G134" s="2925"/>
      <c r="H134" s="4"/>
      <c r="I134" s="140"/>
      <c r="J134" s="4"/>
      <c r="K134" s="4"/>
      <c r="L134" s="4"/>
      <c r="M134" s="2925"/>
      <c r="N134" s="4"/>
      <c r="O134" s="140"/>
      <c r="P134" s="4"/>
      <c r="Q134" s="4"/>
      <c r="R134" s="4"/>
      <c r="S134" s="2925"/>
      <c r="T134" s="4"/>
      <c r="U134" s="140"/>
      <c r="V134" s="4"/>
      <c r="W134" s="4"/>
      <c r="X134" s="4"/>
      <c r="Y134" s="2925"/>
      <c r="Z134" s="4"/>
      <c r="AA134" s="140"/>
      <c r="AB134" s="4"/>
      <c r="AC134" s="4"/>
      <c r="AD134" s="4"/>
      <c r="AE134" s="2925"/>
      <c r="AF134" s="4"/>
      <c r="AG134" s="140"/>
      <c r="AH134" s="4"/>
      <c r="AI134" s="4"/>
      <c r="AJ134" s="4"/>
      <c r="AK134" s="2926"/>
      <c r="AL134" s="4"/>
      <c r="AM134" s="140"/>
      <c r="AN134" s="164"/>
      <c r="AO134" s="164"/>
      <c r="AP134" s="23"/>
      <c r="AQ134" s="2925"/>
      <c r="AR134" s="4"/>
      <c r="AS134" s="2927"/>
      <c r="AT134" s="2928"/>
      <c r="AU134" s="2928"/>
      <c r="AV134" s="4"/>
      <c r="AW134" s="2925"/>
      <c r="AX134" s="4"/>
      <c r="AY134" s="140"/>
      <c r="AZ134" s="4"/>
      <c r="BA134" s="4"/>
      <c r="BB134" s="4"/>
      <c r="BC134" s="2925"/>
      <c r="BD134" s="4"/>
      <c r="BE134" s="2174"/>
      <c r="BF134" s="4"/>
      <c r="BG134" s="4"/>
      <c r="BH134" s="4"/>
      <c r="BI134" s="2925"/>
      <c r="BJ134" s="4"/>
      <c r="BK134" s="140"/>
      <c r="BL134" s="4"/>
      <c r="BM134" s="4"/>
      <c r="BN134" s="4"/>
      <c r="BO134" s="2925"/>
      <c r="BP134" s="4"/>
      <c r="BQ134" s="140"/>
      <c r="BR134" s="4"/>
      <c r="BS134" s="4"/>
      <c r="BT134" s="4"/>
      <c r="BU134" s="2925"/>
      <c r="BV134" s="4"/>
      <c r="BW134" s="140"/>
      <c r="BX134" s="4"/>
      <c r="BY134" s="4"/>
      <c r="BZ134" s="4"/>
      <c r="CA134" s="2925"/>
      <c r="CB134" s="4"/>
      <c r="CC134" s="140"/>
      <c r="CD134" s="4"/>
      <c r="CE134" s="4"/>
      <c r="CF134" s="4"/>
      <c r="CG134" s="2925"/>
      <c r="CH134" s="4"/>
      <c r="CI134" s="140"/>
      <c r="CJ134" s="4"/>
      <c r="CK134" s="4"/>
      <c r="CL134" s="4"/>
      <c r="CM134" s="2925"/>
      <c r="CN134" s="4"/>
      <c r="CO134" s="140"/>
      <c r="CP134" s="4"/>
      <c r="CQ134" s="4"/>
      <c r="CR134" s="4"/>
      <c r="CS134" s="2925"/>
      <c r="CT134" s="2474"/>
      <c r="CU134" s="2474"/>
      <c r="CV134" s="2474"/>
      <c r="CX134" s="194"/>
      <c r="CY134" s="194"/>
      <c r="CZ134" s="194"/>
      <c r="DA134" s="194"/>
      <c r="DB134" s="194"/>
      <c r="DC134" s="194"/>
      <c r="DD134" s="194"/>
      <c r="DE134" s="194"/>
      <c r="DF134" s="194"/>
      <c r="DG134" s="194"/>
      <c r="DH134" s="194"/>
      <c r="DI134" s="194"/>
      <c r="DJ134" s="194"/>
      <c r="DK134" s="194"/>
      <c r="DL134" s="194"/>
      <c r="DM134" s="1987"/>
      <c r="DN134" s="1987"/>
      <c r="DO134" s="1987"/>
      <c r="DP134" s="1987"/>
      <c r="DQ134" s="1987"/>
      <c r="DR134" s="1987"/>
      <c r="DS134" s="1987"/>
      <c r="DT134" s="1987"/>
      <c r="DU134" s="1987"/>
      <c r="DV134" s="1987"/>
      <c r="DW134" s="1987"/>
      <c r="DX134" s="1987"/>
    </row>
    <row r="135" spans="1:128">
      <c r="A135" s="2924"/>
      <c r="B135" s="4"/>
      <c r="C135" s="140"/>
      <c r="D135" s="4"/>
      <c r="E135" s="4"/>
      <c r="F135" s="4"/>
      <c r="G135" s="2925"/>
      <c r="H135" s="4"/>
      <c r="I135" s="140"/>
      <c r="J135" s="4"/>
      <c r="K135" s="4"/>
      <c r="L135" s="4"/>
      <c r="M135" s="2925"/>
      <c r="N135" s="4"/>
      <c r="O135" s="140"/>
      <c r="P135" s="4"/>
      <c r="Q135" s="4"/>
      <c r="R135" s="4"/>
      <c r="S135" s="2925"/>
      <c r="T135" s="4"/>
      <c r="U135" s="140"/>
      <c r="V135" s="4"/>
      <c r="W135" s="4"/>
      <c r="X135" s="4"/>
      <c r="Y135" s="2925"/>
      <c r="Z135" s="4"/>
      <c r="AA135" s="140"/>
      <c r="AB135" s="4"/>
      <c r="AC135" s="4"/>
      <c r="AD135" s="4"/>
      <c r="AE135" s="2925"/>
      <c r="AF135" s="4"/>
      <c r="AG135" s="140"/>
      <c r="AH135" s="4"/>
      <c r="AI135" s="4"/>
      <c r="AJ135" s="4"/>
      <c r="AK135" s="2926"/>
      <c r="AL135" s="4"/>
      <c r="AM135" s="140"/>
      <c r="AN135" s="164"/>
      <c r="AO135" s="164"/>
      <c r="AP135" s="23"/>
      <c r="AQ135" s="2925"/>
      <c r="AR135" s="4"/>
      <c r="AS135" s="2927"/>
      <c r="AT135" s="2928"/>
      <c r="AU135" s="2928"/>
      <c r="AV135" s="4"/>
      <c r="AW135" s="2925"/>
      <c r="AX135" s="4"/>
      <c r="AY135" s="140"/>
      <c r="AZ135" s="4"/>
      <c r="BA135" s="4"/>
      <c r="BB135" s="4"/>
      <c r="BC135" s="2925"/>
      <c r="BD135" s="4"/>
      <c r="BE135" s="2174"/>
      <c r="BF135" s="4"/>
      <c r="BG135" s="4"/>
      <c r="BH135" s="4"/>
      <c r="BI135" s="2925"/>
      <c r="BJ135" s="4"/>
      <c r="BK135" s="140"/>
      <c r="BL135" s="4"/>
      <c r="BM135" s="4"/>
      <c r="BN135" s="4"/>
      <c r="BO135" s="2925"/>
      <c r="BP135" s="4"/>
      <c r="BQ135" s="140"/>
      <c r="BR135" s="4"/>
      <c r="BS135" s="4"/>
      <c r="BT135" s="4"/>
      <c r="BU135" s="2925"/>
      <c r="BV135" s="4"/>
      <c r="BW135" s="140"/>
      <c r="BX135" s="4"/>
      <c r="BY135" s="4"/>
      <c r="BZ135" s="4"/>
      <c r="CA135" s="2925"/>
      <c r="CB135" s="4"/>
      <c r="CC135" s="140"/>
      <c r="CD135" s="4"/>
      <c r="CE135" s="4"/>
      <c r="CF135" s="4"/>
      <c r="CG135" s="2925"/>
      <c r="CH135" s="4"/>
      <c r="CI135" s="140"/>
      <c r="CJ135" s="4"/>
      <c r="CK135" s="4"/>
      <c r="CL135" s="4"/>
      <c r="CM135" s="2925"/>
      <c r="CN135" s="4"/>
      <c r="CO135" s="140"/>
      <c r="CP135" s="4"/>
      <c r="CQ135" s="4"/>
      <c r="CR135" s="4"/>
      <c r="CS135" s="2925"/>
      <c r="CT135" s="2474"/>
      <c r="CU135" s="2474"/>
      <c r="CV135" s="2474"/>
      <c r="CX135" s="194"/>
      <c r="CY135" s="194"/>
      <c r="CZ135" s="194"/>
      <c r="DA135" s="194"/>
      <c r="DB135" s="194"/>
      <c r="DC135" s="194"/>
      <c r="DD135" s="194"/>
      <c r="DE135" s="194"/>
      <c r="DF135" s="194"/>
      <c r="DG135" s="194"/>
      <c r="DH135" s="194"/>
      <c r="DI135" s="194"/>
      <c r="DJ135" s="194"/>
      <c r="DK135" s="194"/>
      <c r="DL135" s="194"/>
      <c r="DM135" s="1987"/>
      <c r="DN135" s="1987"/>
      <c r="DO135" s="1987"/>
      <c r="DP135" s="1987"/>
      <c r="DQ135" s="1987"/>
      <c r="DR135" s="1987"/>
      <c r="DS135" s="1987"/>
      <c r="DT135" s="1987"/>
      <c r="DU135" s="1987"/>
      <c r="DV135" s="1987"/>
      <c r="DW135" s="1987"/>
      <c r="DX135" s="1987"/>
    </row>
    <row r="136" spans="1:128">
      <c r="A136" s="1984" t="s">
        <v>875</v>
      </c>
      <c r="B136" s="1973"/>
      <c r="C136" s="1974"/>
      <c r="D136" s="1973"/>
      <c r="E136" s="1973"/>
      <c r="F136" s="1973"/>
      <c r="G136" s="1975"/>
      <c r="H136" s="1973"/>
      <c r="I136" s="1974"/>
      <c r="J136" s="1973"/>
      <c r="K136" s="1973"/>
      <c r="L136" s="1973"/>
      <c r="M136" s="1975"/>
      <c r="N136" s="1973"/>
      <c r="O136" s="1974"/>
      <c r="P136" s="1973"/>
      <c r="Q136" s="1973"/>
      <c r="R136" s="1973"/>
      <c r="S136" s="1975"/>
      <c r="T136" s="1973"/>
      <c r="U136" s="1974"/>
      <c r="V136" s="1973"/>
      <c r="W136" s="1973"/>
      <c r="X136" s="1973"/>
      <c r="Y136" s="1975"/>
      <c r="Z136" s="1973"/>
      <c r="AA136" s="1974"/>
      <c r="AB136" s="1973"/>
      <c r="AC136" s="1973"/>
      <c r="AD136" s="1973"/>
      <c r="AE136" s="1975"/>
      <c r="AF136" s="1973"/>
      <c r="AG136" s="1974"/>
      <c r="AH136" s="1973"/>
      <c r="AI136" s="1973"/>
      <c r="AJ136" s="1973"/>
      <c r="AK136" s="1976"/>
      <c r="AL136" s="1973"/>
      <c r="AM136" s="1974"/>
      <c r="AN136" s="1977"/>
      <c r="AO136" s="1977"/>
      <c r="AP136" s="1978"/>
      <c r="AQ136" s="1975"/>
      <c r="AR136" s="1973"/>
      <c r="AS136" s="1979"/>
      <c r="AT136" s="1980"/>
      <c r="AU136" s="1980"/>
      <c r="AV136" s="1981"/>
      <c r="AW136" s="1982"/>
      <c r="AX136" s="1981"/>
      <c r="AY136" s="1983"/>
      <c r="AZ136" s="1981"/>
      <c r="BA136" s="1981"/>
      <c r="BB136" s="1981"/>
      <c r="BC136" s="1982"/>
      <c r="BD136" s="1981"/>
      <c r="BE136" s="2216"/>
      <c r="BF136" s="1981"/>
      <c r="BG136" s="1981"/>
      <c r="BH136" s="1981"/>
      <c r="BI136" s="1982"/>
      <c r="BJ136" s="1981"/>
      <c r="BK136" s="1983"/>
      <c r="BL136" s="1981"/>
      <c r="BM136" s="1981"/>
      <c r="BN136" s="1981"/>
      <c r="BO136" s="1982"/>
      <c r="BP136" s="1981"/>
      <c r="BQ136" s="1983"/>
      <c r="BR136" s="1981"/>
      <c r="BS136" s="1981"/>
      <c r="BT136" s="1981"/>
      <c r="BU136" s="1982"/>
      <c r="BV136" s="1981"/>
      <c r="BW136" s="1983"/>
      <c r="BX136" s="1981"/>
      <c r="BY136" s="1981"/>
      <c r="BZ136" s="1981"/>
      <c r="CA136" s="1982"/>
      <c r="CB136" s="1981"/>
      <c r="CC136" s="1983"/>
      <c r="CD136" s="1981"/>
      <c r="CE136" s="1981"/>
      <c r="CF136" s="1981"/>
      <c r="CG136" s="1982"/>
      <c r="CH136" s="1981"/>
      <c r="CI136" s="1983"/>
      <c r="CJ136" s="1981"/>
      <c r="CK136" s="1981"/>
      <c r="CL136" s="1981"/>
      <c r="CM136" s="1982"/>
      <c r="CN136" s="1981"/>
      <c r="CO136" s="1983"/>
      <c r="CP136" s="1981"/>
      <c r="CQ136" s="1981"/>
      <c r="CR136" s="1981"/>
      <c r="CS136" s="1982"/>
      <c r="CT136" s="2474"/>
      <c r="CU136" s="2474"/>
      <c r="CV136" s="2474"/>
      <c r="CX136" s="194"/>
      <c r="CY136" s="194"/>
      <c r="CZ136" s="194"/>
      <c r="DA136" s="194"/>
      <c r="DB136" s="194"/>
      <c r="DC136" s="194"/>
      <c r="DD136" s="194"/>
      <c r="DE136" s="194"/>
      <c r="DF136" s="194"/>
      <c r="DG136" s="194"/>
      <c r="DH136" s="194"/>
      <c r="DI136" s="194"/>
      <c r="DJ136" s="194"/>
      <c r="DK136" s="194"/>
      <c r="DL136" s="194"/>
      <c r="DM136" s="1987"/>
      <c r="DN136" s="1987"/>
      <c r="DO136" s="1987"/>
      <c r="DP136" s="1987"/>
      <c r="DQ136" s="1987"/>
      <c r="DR136" s="1987"/>
      <c r="DS136" s="1987"/>
      <c r="DT136" s="1987"/>
      <c r="DU136" s="1987"/>
      <c r="DV136" s="1987"/>
      <c r="DW136" s="1987"/>
      <c r="DX136" s="1987"/>
    </row>
    <row r="137" spans="1:128">
      <c r="A137" s="2924"/>
      <c r="B137" s="4"/>
      <c r="C137" s="140"/>
      <c r="D137" s="4"/>
      <c r="E137" s="4"/>
      <c r="F137" s="4"/>
      <c r="G137" s="2925"/>
      <c r="H137" s="4"/>
      <c r="I137" s="140"/>
      <c r="J137" s="4"/>
      <c r="K137" s="4"/>
      <c r="L137" s="4"/>
      <c r="M137" s="2925"/>
      <c r="N137" s="4"/>
      <c r="O137" s="140"/>
      <c r="P137" s="4"/>
      <c r="Q137" s="4"/>
      <c r="R137" s="4"/>
      <c r="S137" s="2925"/>
      <c r="T137" s="4"/>
      <c r="U137" s="140"/>
      <c r="V137" s="4"/>
      <c r="W137" s="4"/>
      <c r="X137" s="4"/>
      <c r="Y137" s="2925"/>
      <c r="Z137" s="4"/>
      <c r="AA137" s="140"/>
      <c r="AB137" s="4"/>
      <c r="AC137" s="4"/>
      <c r="AD137" s="4"/>
      <c r="AE137" s="2925"/>
      <c r="AF137" s="4"/>
      <c r="AG137" s="140"/>
      <c r="AH137" s="4"/>
      <c r="AI137" s="4"/>
      <c r="AJ137" s="4"/>
      <c r="AK137" s="2926"/>
      <c r="AL137" s="4"/>
      <c r="AM137" s="140"/>
      <c r="AN137" s="164"/>
      <c r="AO137" s="164"/>
      <c r="AP137" s="23"/>
      <c r="AQ137" s="2925"/>
      <c r="AR137" s="4"/>
      <c r="AS137" s="2927"/>
      <c r="AT137" s="2928"/>
      <c r="AU137" s="2928"/>
      <c r="AV137" s="4"/>
      <c r="AW137" s="2925"/>
      <c r="AX137" s="4"/>
      <c r="AY137" s="140"/>
      <c r="AZ137" s="4"/>
      <c r="BA137" s="4"/>
      <c r="BB137" s="4"/>
      <c r="BC137" s="2925"/>
      <c r="BD137" s="4"/>
      <c r="BE137" s="2174"/>
      <c r="BF137" s="4"/>
      <c r="BG137" s="4"/>
      <c r="BH137" s="4"/>
      <c r="BI137" s="2925"/>
      <c r="BJ137" s="4"/>
      <c r="BK137" s="140"/>
      <c r="BL137" s="4"/>
      <c r="BM137" s="4"/>
      <c r="BN137" s="4"/>
      <c r="BO137" s="2925"/>
      <c r="BP137" s="4"/>
      <c r="BQ137" s="140"/>
      <c r="BR137" s="4"/>
      <c r="BS137" s="4"/>
      <c r="BT137" s="4"/>
      <c r="BU137" s="2925"/>
      <c r="BV137" s="4"/>
      <c r="BW137" s="140"/>
      <c r="BX137" s="4"/>
      <c r="BY137" s="4"/>
      <c r="BZ137" s="4"/>
      <c r="CA137" s="2925"/>
      <c r="CB137" s="4"/>
      <c r="CC137" s="140"/>
      <c r="CD137" s="4"/>
      <c r="CE137" s="4"/>
      <c r="CF137" s="4"/>
      <c r="CG137" s="2925"/>
      <c r="CH137" s="4"/>
      <c r="CI137" s="140"/>
      <c r="CJ137" s="4"/>
      <c r="CK137" s="4"/>
      <c r="CL137" s="4"/>
      <c r="CM137" s="2925"/>
      <c r="CN137" s="4"/>
      <c r="CO137" s="140"/>
      <c r="CP137" s="4"/>
      <c r="CQ137" s="4"/>
      <c r="CR137" s="4"/>
      <c r="CS137" s="2925"/>
      <c r="CT137" s="2474"/>
      <c r="CU137" s="2474"/>
      <c r="CV137" s="2474"/>
      <c r="CX137" s="194"/>
      <c r="CY137" s="194"/>
      <c r="CZ137" s="194"/>
      <c r="DA137" s="194"/>
      <c r="DB137" s="194"/>
      <c r="DC137" s="194"/>
      <c r="DD137" s="194"/>
      <c r="DE137" s="194"/>
      <c r="DF137" s="194"/>
      <c r="DG137" s="194"/>
      <c r="DH137" s="194"/>
      <c r="DI137" s="194"/>
      <c r="DJ137" s="194"/>
      <c r="DK137" s="194"/>
      <c r="DL137" s="194"/>
      <c r="DM137" s="1987"/>
      <c r="DN137" s="1987"/>
      <c r="DO137" s="1987"/>
      <c r="DP137" s="1987"/>
      <c r="DQ137" s="1987"/>
      <c r="DR137" s="1987"/>
      <c r="DS137" s="1987"/>
      <c r="DT137" s="1987"/>
      <c r="DU137" s="1987"/>
      <c r="DV137" s="1987"/>
      <c r="DW137" s="1987"/>
      <c r="DX137" s="1987"/>
    </row>
    <row r="138" spans="1:128">
      <c r="A138" s="2924"/>
      <c r="B138" s="4"/>
      <c r="C138" s="140"/>
      <c r="D138" s="4"/>
      <c r="E138" s="4"/>
      <c r="F138" s="4"/>
      <c r="G138" s="2925"/>
      <c r="H138" s="4"/>
      <c r="I138" s="140"/>
      <c r="J138" s="4"/>
      <c r="K138" s="4"/>
      <c r="L138" s="4"/>
      <c r="M138" s="2925"/>
      <c r="N138" s="4"/>
      <c r="O138" s="140"/>
      <c r="P138" s="4"/>
      <c r="Q138" s="4"/>
      <c r="R138" s="4"/>
      <c r="S138" s="2925"/>
      <c r="T138" s="4"/>
      <c r="U138" s="140"/>
      <c r="V138" s="4"/>
      <c r="W138" s="4"/>
      <c r="X138" s="4"/>
      <c r="Y138" s="2925"/>
      <c r="Z138" s="4"/>
      <c r="AA138" s="140"/>
      <c r="AB138" s="4"/>
      <c r="AC138" s="4"/>
      <c r="AD138" s="4"/>
      <c r="AE138" s="2925"/>
      <c r="AF138" s="4"/>
      <c r="AG138" s="140"/>
      <c r="AH138" s="4"/>
      <c r="AI138" s="4"/>
      <c r="AJ138" s="4"/>
      <c r="AK138" s="2926"/>
      <c r="AL138" s="4"/>
      <c r="AM138" s="140"/>
      <c r="AN138" s="164"/>
      <c r="AO138" s="164"/>
      <c r="AP138" s="23"/>
      <c r="AQ138" s="2925"/>
      <c r="AR138" s="4"/>
      <c r="AS138" s="2927"/>
      <c r="AT138" s="2928"/>
      <c r="AU138" s="2928"/>
      <c r="AV138" s="4"/>
      <c r="AW138" s="2925"/>
      <c r="AX138" s="4"/>
      <c r="AY138" s="140"/>
      <c r="AZ138" s="4"/>
      <c r="BA138" s="4"/>
      <c r="BB138" s="4"/>
      <c r="BC138" s="2925"/>
      <c r="BD138" s="4"/>
      <c r="BE138" s="2174"/>
      <c r="BF138" s="4"/>
      <c r="BG138" s="4"/>
      <c r="BH138" s="4"/>
      <c r="BI138" s="2925"/>
      <c r="BJ138" s="4"/>
      <c r="BK138" s="140"/>
      <c r="BL138" s="4"/>
      <c r="BM138" s="4"/>
      <c r="BN138" s="4"/>
      <c r="BO138" s="2925"/>
      <c r="BP138" s="4"/>
      <c r="BQ138" s="140"/>
      <c r="BR138" s="4"/>
      <c r="BS138" s="4"/>
      <c r="BT138" s="4"/>
      <c r="BU138" s="2925"/>
      <c r="BV138" s="4"/>
      <c r="BW138" s="140"/>
      <c r="BX138" s="4"/>
      <c r="BY138" s="4"/>
      <c r="BZ138" s="4"/>
      <c r="CA138" s="2925"/>
      <c r="CB138" s="4"/>
      <c r="CC138" s="140"/>
      <c r="CD138" s="4"/>
      <c r="CE138" s="4"/>
      <c r="CF138" s="4"/>
      <c r="CG138" s="2925"/>
      <c r="CH138" s="4"/>
      <c r="CI138" s="140"/>
      <c r="CJ138" s="4"/>
      <c r="CK138" s="4"/>
      <c r="CL138" s="4"/>
      <c r="CM138" s="2925"/>
      <c r="CN138" s="4"/>
      <c r="CO138" s="140"/>
      <c r="CP138" s="4"/>
      <c r="CQ138" s="4"/>
      <c r="CR138" s="4"/>
      <c r="CS138" s="2925"/>
      <c r="CT138" s="2474"/>
      <c r="CU138" s="2474"/>
      <c r="CV138" s="2474"/>
      <c r="CX138" s="194"/>
      <c r="CY138" s="194"/>
      <c r="CZ138" s="194"/>
      <c r="DA138" s="194"/>
      <c r="DB138" s="194"/>
      <c r="DC138" s="194"/>
      <c r="DD138" s="194"/>
      <c r="DE138" s="194"/>
      <c r="DF138" s="194"/>
      <c r="DG138" s="194"/>
      <c r="DH138" s="194"/>
      <c r="DI138" s="194"/>
      <c r="DJ138" s="194"/>
      <c r="DK138" s="194"/>
      <c r="DL138" s="194"/>
      <c r="DM138" s="1987"/>
      <c r="DN138" s="1987"/>
      <c r="DO138" s="1987"/>
      <c r="DP138" s="1987"/>
      <c r="DQ138" s="1987"/>
      <c r="DR138" s="1987"/>
      <c r="DS138" s="1987"/>
      <c r="DT138" s="1987"/>
      <c r="DU138" s="1987"/>
      <c r="DV138" s="1987"/>
      <c r="DW138" s="1987"/>
      <c r="DX138" s="1987"/>
    </row>
    <row r="139" spans="1:128">
      <c r="A139" s="2924"/>
      <c r="B139" s="4"/>
      <c r="C139" s="140"/>
      <c r="D139" s="4"/>
      <c r="E139" s="4"/>
      <c r="F139" s="4"/>
      <c r="G139" s="2925"/>
      <c r="H139" s="4"/>
      <c r="I139" s="140"/>
      <c r="J139" s="4"/>
      <c r="K139" s="4"/>
      <c r="L139" s="4"/>
      <c r="M139" s="2925"/>
      <c r="N139" s="4"/>
      <c r="O139" s="140"/>
      <c r="P139" s="4"/>
      <c r="Q139" s="4"/>
      <c r="R139" s="4"/>
      <c r="S139" s="2925"/>
      <c r="T139" s="4"/>
      <c r="U139" s="140"/>
      <c r="V139" s="4"/>
      <c r="W139" s="4"/>
      <c r="X139" s="4"/>
      <c r="Y139" s="2925"/>
      <c r="Z139" s="4"/>
      <c r="AA139" s="140"/>
      <c r="AB139" s="4"/>
      <c r="AC139" s="4"/>
      <c r="AD139" s="4"/>
      <c r="AE139" s="2925"/>
      <c r="AF139" s="4"/>
      <c r="AG139" s="140"/>
      <c r="AH139" s="4"/>
      <c r="AI139" s="4"/>
      <c r="AJ139" s="4"/>
      <c r="AK139" s="2926"/>
      <c r="AL139" s="4"/>
      <c r="AM139" s="140"/>
      <c r="AN139" s="164"/>
      <c r="AO139" s="164"/>
      <c r="AP139" s="23"/>
      <c r="AQ139" s="2925"/>
      <c r="AR139" s="4"/>
      <c r="AS139" s="2927"/>
      <c r="AT139" s="2928"/>
      <c r="AU139" s="2928"/>
      <c r="AV139" s="4"/>
      <c r="AW139" s="2925"/>
      <c r="AX139" s="4"/>
      <c r="AY139" s="140"/>
      <c r="AZ139" s="4"/>
      <c r="BA139" s="4"/>
      <c r="BB139" s="4"/>
      <c r="BC139" s="2925"/>
      <c r="BD139" s="4"/>
      <c r="BE139" s="2174"/>
      <c r="BF139" s="4"/>
      <c r="BG139" s="4"/>
      <c r="BH139" s="4"/>
      <c r="BI139" s="2925"/>
      <c r="BJ139" s="4"/>
      <c r="BK139" s="140"/>
      <c r="BL139" s="4"/>
      <c r="BM139" s="4"/>
      <c r="BN139" s="4"/>
      <c r="BO139" s="2925"/>
      <c r="BP139" s="4"/>
      <c r="BQ139" s="140"/>
      <c r="BR139" s="4"/>
      <c r="BS139" s="4"/>
      <c r="BT139" s="4"/>
      <c r="BU139" s="2925"/>
      <c r="BV139" s="4"/>
      <c r="BW139" s="140"/>
      <c r="BX139" s="4"/>
      <c r="BY139" s="4"/>
      <c r="BZ139" s="4"/>
      <c r="CA139" s="2925"/>
      <c r="CB139" s="4"/>
      <c r="CC139" s="140"/>
      <c r="CD139" s="4"/>
      <c r="CE139" s="4"/>
      <c r="CF139" s="4"/>
      <c r="CG139" s="2925"/>
      <c r="CH139" s="4"/>
      <c r="CI139" s="140"/>
      <c r="CJ139" s="4"/>
      <c r="CK139" s="4"/>
      <c r="CL139" s="4"/>
      <c r="CM139" s="2925"/>
      <c r="CN139" s="4"/>
      <c r="CO139" s="140"/>
      <c r="CP139" s="4"/>
      <c r="CQ139" s="4"/>
      <c r="CR139" s="4"/>
      <c r="CS139" s="2925"/>
      <c r="CT139" s="2474"/>
      <c r="CU139" s="2474"/>
      <c r="CV139" s="2474"/>
      <c r="CX139" s="194"/>
      <c r="CY139" s="194"/>
      <c r="CZ139" s="194"/>
      <c r="DA139" s="194"/>
      <c r="DB139" s="194"/>
      <c r="DC139" s="194"/>
      <c r="DD139" s="194"/>
      <c r="DE139" s="194"/>
      <c r="DF139" s="194"/>
      <c r="DG139" s="194"/>
      <c r="DH139" s="194"/>
      <c r="DI139" s="194"/>
      <c r="DJ139" s="194"/>
      <c r="DK139" s="194"/>
      <c r="DL139" s="194"/>
      <c r="DM139" s="1987"/>
      <c r="DN139" s="1987"/>
      <c r="DO139" s="1987"/>
      <c r="DP139" s="1987"/>
      <c r="DQ139" s="1987"/>
      <c r="DR139" s="1987"/>
      <c r="DS139" s="1987"/>
      <c r="DT139" s="1987"/>
      <c r="DU139" s="1987"/>
      <c r="DV139" s="1987"/>
      <c r="DW139" s="1987"/>
      <c r="DX139" s="1987"/>
    </row>
    <row r="140" spans="1:128">
      <c r="A140" s="2924"/>
      <c r="B140" s="4"/>
      <c r="C140" s="140"/>
      <c r="D140" s="4"/>
      <c r="E140" s="4"/>
      <c r="F140" s="4"/>
      <c r="G140" s="2925"/>
      <c r="H140" s="4"/>
      <c r="I140" s="140"/>
      <c r="J140" s="4"/>
      <c r="K140" s="4"/>
      <c r="L140" s="4"/>
      <c r="M140" s="2925"/>
      <c r="N140" s="4"/>
      <c r="O140" s="140"/>
      <c r="P140" s="4"/>
      <c r="Q140" s="4"/>
      <c r="R140" s="4"/>
      <c r="S140" s="2925"/>
      <c r="T140" s="4"/>
      <c r="U140" s="140"/>
      <c r="V140" s="4"/>
      <c r="W140" s="4"/>
      <c r="X140" s="4"/>
      <c r="Y140" s="2925"/>
      <c r="Z140" s="4"/>
      <c r="AA140" s="140"/>
      <c r="AB140" s="4"/>
      <c r="AC140" s="4"/>
      <c r="AD140" s="4"/>
      <c r="AE140" s="2925"/>
      <c r="AF140" s="4"/>
      <c r="AG140" s="140"/>
      <c r="AH140" s="4"/>
      <c r="AI140" s="4"/>
      <c r="AJ140" s="4"/>
      <c r="AK140" s="2926"/>
      <c r="AL140" s="4"/>
      <c r="AM140" s="140"/>
      <c r="AN140" s="164"/>
      <c r="AO140" s="164"/>
      <c r="AP140" s="23"/>
      <c r="AQ140" s="2925"/>
      <c r="AR140" s="4"/>
      <c r="AS140" s="2927"/>
      <c r="AT140" s="2928"/>
      <c r="AU140" s="2928"/>
      <c r="AV140" s="4"/>
      <c r="AW140" s="2925"/>
      <c r="AX140" s="4"/>
      <c r="AY140" s="140"/>
      <c r="AZ140" s="4"/>
      <c r="BA140" s="4"/>
      <c r="BB140" s="4"/>
      <c r="BC140" s="2925"/>
      <c r="BD140" s="4"/>
      <c r="BE140" s="2174"/>
      <c r="BF140" s="4"/>
      <c r="BG140" s="4"/>
      <c r="BH140" s="4"/>
      <c r="BI140" s="2925"/>
      <c r="BJ140" s="4"/>
      <c r="BK140" s="140"/>
      <c r="BL140" s="4"/>
      <c r="BM140" s="4"/>
      <c r="BN140" s="4"/>
      <c r="BO140" s="2925"/>
      <c r="BP140" s="4"/>
      <c r="BQ140" s="140"/>
      <c r="BR140" s="4"/>
      <c r="BS140" s="4"/>
      <c r="BT140" s="4"/>
      <c r="BU140" s="2925"/>
      <c r="BV140" s="4"/>
      <c r="BW140" s="140"/>
      <c r="BX140" s="4"/>
      <c r="BY140" s="4"/>
      <c r="BZ140" s="4"/>
      <c r="CA140" s="2925"/>
      <c r="CB140" s="4"/>
      <c r="CC140" s="140"/>
      <c r="CD140" s="4"/>
      <c r="CE140" s="4"/>
      <c r="CF140" s="4"/>
      <c r="CG140" s="2925"/>
      <c r="CH140" s="4"/>
      <c r="CI140" s="140"/>
      <c r="CJ140" s="4"/>
      <c r="CK140" s="4"/>
      <c r="CL140" s="4"/>
      <c r="CM140" s="2925"/>
      <c r="CN140" s="4"/>
      <c r="CO140" s="140"/>
      <c r="CP140" s="4"/>
      <c r="CQ140" s="4"/>
      <c r="CR140" s="4"/>
      <c r="CS140" s="2925"/>
      <c r="CT140" s="2474"/>
      <c r="CU140" s="2474"/>
      <c r="CV140" s="2474"/>
      <c r="CX140" s="194"/>
      <c r="CY140" s="194"/>
      <c r="CZ140" s="194"/>
      <c r="DA140" s="194"/>
      <c r="DB140" s="194"/>
      <c r="DC140" s="194"/>
      <c r="DD140" s="194"/>
      <c r="DE140" s="194"/>
      <c r="DF140" s="194"/>
      <c r="DG140" s="194"/>
      <c r="DH140" s="194"/>
      <c r="DI140" s="194"/>
      <c r="DJ140" s="194"/>
      <c r="DK140" s="194"/>
      <c r="DL140" s="194"/>
      <c r="DM140" s="1987"/>
      <c r="DN140" s="1987"/>
      <c r="DO140" s="1987"/>
      <c r="DP140" s="1987"/>
      <c r="DQ140" s="1987"/>
      <c r="DR140" s="1987"/>
      <c r="DS140" s="1987"/>
      <c r="DT140" s="1987"/>
      <c r="DU140" s="1987"/>
      <c r="DV140" s="1987"/>
      <c r="DW140" s="1987"/>
      <c r="DX140" s="1987"/>
    </row>
    <row r="141" spans="1:128">
      <c r="A141" s="2924"/>
      <c r="B141" s="4"/>
      <c r="C141" s="140"/>
      <c r="D141" s="4"/>
      <c r="E141" s="4"/>
      <c r="F141" s="4"/>
      <c r="G141" s="2925"/>
      <c r="H141" s="4"/>
      <c r="I141" s="140"/>
      <c r="J141" s="4"/>
      <c r="K141" s="4"/>
      <c r="L141" s="4"/>
      <c r="M141" s="2925"/>
      <c r="N141" s="4"/>
      <c r="O141" s="140"/>
      <c r="P141" s="4"/>
      <c r="Q141" s="4"/>
      <c r="R141" s="4"/>
      <c r="S141" s="2925"/>
      <c r="T141" s="4"/>
      <c r="U141" s="140"/>
      <c r="V141" s="4"/>
      <c r="W141" s="4"/>
      <c r="X141" s="4"/>
      <c r="Y141" s="2925"/>
      <c r="Z141" s="4"/>
      <c r="AA141" s="140"/>
      <c r="AB141" s="4"/>
      <c r="AC141" s="4"/>
      <c r="AD141" s="4"/>
      <c r="AE141" s="2925"/>
      <c r="AF141" s="4"/>
      <c r="AG141" s="140"/>
      <c r="AH141" s="4"/>
      <c r="AI141" s="4"/>
      <c r="AJ141" s="4"/>
      <c r="AK141" s="2926"/>
      <c r="AL141" s="4"/>
      <c r="AM141" s="140"/>
      <c r="AN141" s="164"/>
      <c r="AO141" s="164"/>
      <c r="AP141" s="23"/>
      <c r="AQ141" s="2925"/>
      <c r="AR141" s="4"/>
      <c r="AS141" s="2927"/>
      <c r="AT141" s="2928"/>
      <c r="AU141" s="2928"/>
      <c r="AV141" s="4"/>
      <c r="AW141" s="2925"/>
      <c r="AX141" s="4"/>
      <c r="AY141" s="140"/>
      <c r="AZ141" s="4"/>
      <c r="BA141" s="4"/>
      <c r="BB141" s="4"/>
      <c r="BC141" s="2925"/>
      <c r="BD141" s="4"/>
      <c r="BE141" s="2174"/>
      <c r="BF141" s="4"/>
      <c r="BG141" s="4"/>
      <c r="BH141" s="4"/>
      <c r="BI141" s="2925"/>
      <c r="BJ141" s="4"/>
      <c r="BK141" s="140"/>
      <c r="BL141" s="4"/>
      <c r="BM141" s="4"/>
      <c r="BN141" s="4"/>
      <c r="BO141" s="2925"/>
      <c r="BP141" s="4"/>
      <c r="BQ141" s="140"/>
      <c r="BR141" s="4"/>
      <c r="BS141" s="4"/>
      <c r="BT141" s="4"/>
      <c r="BU141" s="2925"/>
      <c r="BV141" s="4"/>
      <c r="BW141" s="140"/>
      <c r="BX141" s="4"/>
      <c r="BY141" s="4"/>
      <c r="BZ141" s="4"/>
      <c r="CA141" s="2925"/>
      <c r="CB141" s="4"/>
      <c r="CC141" s="140"/>
      <c r="CD141" s="4"/>
      <c r="CE141" s="4"/>
      <c r="CF141" s="4"/>
      <c r="CG141" s="2925"/>
      <c r="CH141" s="4"/>
      <c r="CI141" s="140"/>
      <c r="CJ141" s="4"/>
      <c r="CK141" s="4"/>
      <c r="CL141" s="4"/>
      <c r="CM141" s="2925"/>
      <c r="CN141" s="4"/>
      <c r="CO141" s="140"/>
      <c r="CP141" s="4"/>
      <c r="CQ141" s="4"/>
      <c r="CR141" s="4"/>
      <c r="CS141" s="2925"/>
      <c r="CT141" s="2474"/>
      <c r="CU141" s="2474"/>
      <c r="CV141" s="2474"/>
      <c r="CX141" s="194"/>
      <c r="CY141" s="194"/>
      <c r="CZ141" s="194"/>
      <c r="DA141" s="194"/>
      <c r="DB141" s="194"/>
      <c r="DC141" s="194"/>
      <c r="DD141" s="194"/>
      <c r="DE141" s="194"/>
      <c r="DF141" s="194"/>
      <c r="DG141" s="194"/>
      <c r="DH141" s="194"/>
      <c r="DI141" s="194"/>
      <c r="DJ141" s="194"/>
      <c r="DK141" s="194"/>
      <c r="DL141" s="194"/>
      <c r="DM141" s="1987"/>
      <c r="DN141" s="1987"/>
      <c r="DO141" s="1987"/>
      <c r="DP141" s="1987"/>
      <c r="DQ141" s="1987"/>
      <c r="DR141" s="1987"/>
      <c r="DS141" s="1987"/>
      <c r="DT141" s="1987"/>
      <c r="DU141" s="1987"/>
      <c r="DV141" s="1987"/>
      <c r="DW141" s="1987"/>
      <c r="DX141" s="1987"/>
    </row>
    <row r="142" spans="1:128">
      <c r="A142" s="2924"/>
      <c r="B142" s="4"/>
      <c r="C142" s="140"/>
      <c r="D142" s="4"/>
      <c r="E142" s="4"/>
      <c r="F142" s="4"/>
      <c r="G142" s="2925"/>
      <c r="H142" s="4"/>
      <c r="I142" s="140"/>
      <c r="J142" s="4"/>
      <c r="K142" s="4"/>
      <c r="L142" s="4"/>
      <c r="M142" s="2925"/>
      <c r="N142" s="4"/>
      <c r="O142" s="140"/>
      <c r="P142" s="4"/>
      <c r="Q142" s="4"/>
      <c r="R142" s="4"/>
      <c r="S142" s="2925"/>
      <c r="T142" s="4"/>
      <c r="U142" s="140"/>
      <c r="V142" s="4"/>
      <c r="W142" s="4"/>
      <c r="X142" s="4"/>
      <c r="Y142" s="2925"/>
      <c r="Z142" s="4"/>
      <c r="AA142" s="140"/>
      <c r="AB142" s="4"/>
      <c r="AC142" s="4"/>
      <c r="AD142" s="4"/>
      <c r="AE142" s="2925"/>
      <c r="AF142" s="4"/>
      <c r="AG142" s="140"/>
      <c r="AH142" s="4"/>
      <c r="AI142" s="4"/>
      <c r="AJ142" s="4"/>
      <c r="AK142" s="2926"/>
      <c r="AL142" s="4"/>
      <c r="AM142" s="140"/>
      <c r="AN142" s="164"/>
      <c r="AO142" s="164"/>
      <c r="AP142" s="23"/>
      <c r="AQ142" s="2925"/>
      <c r="AR142" s="4"/>
      <c r="AS142" s="2927"/>
      <c r="AT142" s="2928"/>
      <c r="AU142" s="2928"/>
      <c r="AV142" s="4"/>
      <c r="AW142" s="2925"/>
      <c r="AX142" s="4"/>
      <c r="AY142" s="140"/>
      <c r="AZ142" s="4"/>
      <c r="BA142" s="4"/>
      <c r="BB142" s="4"/>
      <c r="BC142" s="2925"/>
      <c r="BD142" s="4"/>
      <c r="BE142" s="2174"/>
      <c r="BF142" s="4"/>
      <c r="BG142" s="4"/>
      <c r="BH142" s="4"/>
      <c r="BI142" s="2925"/>
      <c r="BJ142" s="4"/>
      <c r="BK142" s="140"/>
      <c r="BL142" s="4"/>
      <c r="BM142" s="4"/>
      <c r="BN142" s="4"/>
      <c r="BO142" s="2925"/>
      <c r="BP142" s="4"/>
      <c r="BQ142" s="140"/>
      <c r="BR142" s="4"/>
      <c r="BS142" s="4"/>
      <c r="BT142" s="4"/>
      <c r="BU142" s="2925"/>
      <c r="BV142" s="4"/>
      <c r="BW142" s="140"/>
      <c r="BX142" s="4"/>
      <c r="BY142" s="4"/>
      <c r="BZ142" s="4"/>
      <c r="CA142" s="2925"/>
      <c r="CB142" s="4"/>
      <c r="CC142" s="140"/>
      <c r="CD142" s="4"/>
      <c r="CE142" s="4"/>
      <c r="CF142" s="4"/>
      <c r="CG142" s="2925"/>
      <c r="CH142" s="4"/>
      <c r="CI142" s="140"/>
      <c r="CJ142" s="4"/>
      <c r="CK142" s="4"/>
      <c r="CL142" s="4"/>
      <c r="CM142" s="2925"/>
      <c r="CN142" s="4"/>
      <c r="CO142" s="140"/>
      <c r="CP142" s="4"/>
      <c r="CQ142" s="4"/>
      <c r="CR142" s="4"/>
      <c r="CS142" s="2925"/>
      <c r="CT142" s="2474"/>
      <c r="CU142" s="2474"/>
      <c r="CV142" s="2474"/>
      <c r="CX142" s="194"/>
      <c r="CY142" s="194"/>
      <c r="CZ142" s="194"/>
      <c r="DA142" s="194"/>
      <c r="DB142" s="194"/>
      <c r="DC142" s="194"/>
      <c r="DD142" s="194"/>
      <c r="DE142" s="194"/>
      <c r="DF142" s="194"/>
      <c r="DG142" s="194"/>
      <c r="DH142" s="194"/>
      <c r="DI142" s="194"/>
      <c r="DJ142" s="194"/>
      <c r="DK142" s="194"/>
      <c r="DL142" s="194"/>
      <c r="DM142" s="1987"/>
      <c r="DN142" s="1987"/>
      <c r="DO142" s="1987"/>
      <c r="DP142" s="1987"/>
      <c r="DQ142" s="1987"/>
      <c r="DR142" s="1987"/>
      <c r="DS142" s="1987"/>
      <c r="DT142" s="1987"/>
      <c r="DU142" s="1987"/>
      <c r="DV142" s="1987"/>
      <c r="DW142" s="1987"/>
      <c r="DX142" s="1987"/>
    </row>
    <row r="143" spans="1:128">
      <c r="A143" s="2924"/>
      <c r="B143" s="4"/>
      <c r="C143" s="140"/>
      <c r="D143" s="4"/>
      <c r="E143" s="4"/>
      <c r="F143" s="4"/>
      <c r="G143" s="2925"/>
      <c r="H143" s="4"/>
      <c r="I143" s="140"/>
      <c r="J143" s="4"/>
      <c r="K143" s="4"/>
      <c r="L143" s="4"/>
      <c r="M143" s="2925"/>
      <c r="N143" s="4"/>
      <c r="O143" s="140"/>
      <c r="P143" s="4"/>
      <c r="Q143" s="4"/>
      <c r="R143" s="4"/>
      <c r="S143" s="2925"/>
      <c r="T143" s="4"/>
      <c r="U143" s="140"/>
      <c r="V143" s="4"/>
      <c r="W143" s="4"/>
      <c r="X143" s="4"/>
      <c r="Y143" s="2925"/>
      <c r="Z143" s="4"/>
      <c r="AA143" s="140"/>
      <c r="AB143" s="4"/>
      <c r="AC143" s="4"/>
      <c r="AD143" s="4"/>
      <c r="AE143" s="2925"/>
      <c r="AF143" s="4"/>
      <c r="AG143" s="140"/>
      <c r="AH143" s="4"/>
      <c r="AI143" s="4"/>
      <c r="AJ143" s="4"/>
      <c r="AK143" s="2926"/>
      <c r="AL143" s="4"/>
      <c r="AM143" s="140"/>
      <c r="AN143" s="164"/>
      <c r="AO143" s="164"/>
      <c r="AP143" s="23"/>
      <c r="AQ143" s="2925"/>
      <c r="AR143" s="4"/>
      <c r="AS143" s="2927"/>
      <c r="AT143" s="2928"/>
      <c r="AU143" s="2928"/>
      <c r="AV143" s="4"/>
      <c r="AW143" s="2925"/>
      <c r="AX143" s="4"/>
      <c r="AY143" s="140"/>
      <c r="AZ143" s="4"/>
      <c r="BA143" s="4"/>
      <c r="BB143" s="4"/>
      <c r="BC143" s="2925"/>
      <c r="BD143" s="4"/>
      <c r="BE143" s="2174"/>
      <c r="BF143" s="4"/>
      <c r="BG143" s="4"/>
      <c r="BH143" s="4"/>
      <c r="BI143" s="2925"/>
      <c r="BJ143" s="4"/>
      <c r="BK143" s="140"/>
      <c r="BL143" s="4"/>
      <c r="BM143" s="4"/>
      <c r="BN143" s="4"/>
      <c r="BO143" s="2925"/>
      <c r="BP143" s="4"/>
      <c r="BQ143" s="140"/>
      <c r="BR143" s="4"/>
      <c r="BS143" s="4"/>
      <c r="BT143" s="4"/>
      <c r="BU143" s="2925"/>
      <c r="BV143" s="4"/>
      <c r="BW143" s="140"/>
      <c r="BX143" s="4"/>
      <c r="BY143" s="4"/>
      <c r="BZ143" s="4"/>
      <c r="CA143" s="2925"/>
      <c r="CB143" s="4"/>
      <c r="CC143" s="140"/>
      <c r="CD143" s="4"/>
      <c r="CE143" s="4"/>
      <c r="CF143" s="4"/>
      <c r="CG143" s="2925"/>
      <c r="CH143" s="4"/>
      <c r="CI143" s="140"/>
      <c r="CJ143" s="4"/>
      <c r="CK143" s="4"/>
      <c r="CL143" s="4"/>
      <c r="CM143" s="2925"/>
      <c r="CN143" s="4"/>
      <c r="CO143" s="140"/>
      <c r="CP143" s="4"/>
      <c r="CQ143" s="4"/>
      <c r="CR143" s="4"/>
      <c r="CS143" s="2925"/>
      <c r="CT143" s="2474"/>
      <c r="CU143" s="2474"/>
      <c r="CV143" s="2474"/>
      <c r="CX143" s="194"/>
      <c r="CY143" s="194"/>
      <c r="CZ143" s="194"/>
      <c r="DA143" s="194"/>
      <c r="DB143" s="194"/>
      <c r="DC143" s="194"/>
      <c r="DD143" s="194"/>
      <c r="DE143" s="194"/>
      <c r="DF143" s="194"/>
      <c r="DG143" s="194"/>
      <c r="DH143" s="194"/>
      <c r="DI143" s="194"/>
      <c r="DJ143" s="194"/>
      <c r="DK143" s="194"/>
      <c r="DL143" s="194"/>
      <c r="DM143" s="1987"/>
      <c r="DN143" s="1987"/>
      <c r="DO143" s="1987"/>
      <c r="DP143" s="1987"/>
      <c r="DQ143" s="1987"/>
      <c r="DR143" s="1987"/>
      <c r="DS143" s="1987"/>
      <c r="DT143" s="1987"/>
      <c r="DU143" s="1987"/>
      <c r="DV143" s="1987"/>
      <c r="DW143" s="1987"/>
      <c r="DX143" s="1987"/>
    </row>
    <row r="144" spans="1:128">
      <c r="A144" s="2924"/>
      <c r="B144" s="4"/>
      <c r="C144" s="140"/>
      <c r="D144" s="4"/>
      <c r="E144" s="4"/>
      <c r="F144" s="4"/>
      <c r="G144" s="2925"/>
      <c r="H144" s="4"/>
      <c r="I144" s="140"/>
      <c r="J144" s="4"/>
      <c r="K144" s="4"/>
      <c r="L144" s="4"/>
      <c r="M144" s="2925"/>
      <c r="N144" s="4"/>
      <c r="O144" s="140"/>
      <c r="P144" s="4"/>
      <c r="Q144" s="4"/>
      <c r="R144" s="4"/>
      <c r="S144" s="2925"/>
      <c r="T144" s="4"/>
      <c r="U144" s="140"/>
      <c r="V144" s="4"/>
      <c r="W144" s="4"/>
      <c r="X144" s="4"/>
      <c r="Y144" s="2925"/>
      <c r="Z144" s="4"/>
      <c r="AA144" s="140"/>
      <c r="AB144" s="4"/>
      <c r="AC144" s="4"/>
      <c r="AD144" s="4"/>
      <c r="AE144" s="2925"/>
      <c r="AF144" s="4"/>
      <c r="AG144" s="140"/>
      <c r="AH144" s="4"/>
      <c r="AI144" s="4"/>
      <c r="AJ144" s="4"/>
      <c r="AK144" s="2926"/>
      <c r="AL144" s="4"/>
      <c r="AM144" s="140"/>
      <c r="AN144" s="164"/>
      <c r="AO144" s="164"/>
      <c r="AP144" s="23"/>
      <c r="AQ144" s="2925"/>
      <c r="AR144" s="4"/>
      <c r="AS144" s="2927"/>
      <c r="AT144" s="2928"/>
      <c r="AU144" s="2928"/>
      <c r="AV144" s="4"/>
      <c r="AW144" s="2925"/>
      <c r="AX144" s="4"/>
      <c r="AY144" s="140"/>
      <c r="AZ144" s="4"/>
      <c r="BA144" s="4"/>
      <c r="BB144" s="4"/>
      <c r="BC144" s="2925"/>
      <c r="BD144" s="4"/>
      <c r="BE144" s="2174"/>
      <c r="BF144" s="4"/>
      <c r="BG144" s="4"/>
      <c r="BH144" s="4"/>
      <c r="BI144" s="2925"/>
      <c r="BJ144" s="4"/>
      <c r="BK144" s="140"/>
      <c r="BL144" s="4"/>
      <c r="BM144" s="4"/>
      <c r="BN144" s="4"/>
      <c r="BO144" s="2925"/>
      <c r="BP144" s="4"/>
      <c r="BQ144" s="140"/>
      <c r="BR144" s="4"/>
      <c r="BS144" s="4"/>
      <c r="BT144" s="4"/>
      <c r="BU144" s="2925"/>
      <c r="BV144" s="4"/>
      <c r="BW144" s="140"/>
      <c r="BX144" s="4"/>
      <c r="BY144" s="4"/>
      <c r="BZ144" s="4"/>
      <c r="CA144" s="2925"/>
      <c r="CB144" s="4"/>
      <c r="CC144" s="140"/>
      <c r="CD144" s="4"/>
      <c r="CE144" s="4"/>
      <c r="CF144" s="4"/>
      <c r="CG144" s="2925"/>
      <c r="CH144" s="4"/>
      <c r="CI144" s="140"/>
      <c r="CJ144" s="4"/>
      <c r="CK144" s="4"/>
      <c r="CL144" s="4"/>
      <c r="CM144" s="2925"/>
      <c r="CN144" s="4"/>
      <c r="CO144" s="140"/>
      <c r="CP144" s="4"/>
      <c r="CQ144" s="4"/>
      <c r="CR144" s="4"/>
      <c r="CS144" s="2925"/>
      <c r="CT144" s="2474"/>
      <c r="CU144" s="2474"/>
      <c r="CV144" s="2474"/>
      <c r="CX144" s="194"/>
      <c r="CY144" s="194"/>
      <c r="CZ144" s="194"/>
      <c r="DA144" s="194"/>
      <c r="DB144" s="194"/>
      <c r="DC144" s="194"/>
      <c r="DD144" s="194"/>
      <c r="DE144" s="194"/>
      <c r="DF144" s="194"/>
      <c r="DG144" s="194"/>
      <c r="DH144" s="194"/>
      <c r="DI144" s="194"/>
      <c r="DJ144" s="194"/>
      <c r="DK144" s="194"/>
      <c r="DL144" s="194"/>
      <c r="DM144" s="1987"/>
      <c r="DN144" s="1987"/>
      <c r="DO144" s="1987"/>
      <c r="DP144" s="1987"/>
      <c r="DQ144" s="1987"/>
      <c r="DR144" s="1987"/>
      <c r="DS144" s="1987"/>
      <c r="DT144" s="1987"/>
      <c r="DU144" s="1987"/>
      <c r="DV144" s="1987"/>
      <c r="DW144" s="1987"/>
      <c r="DX144" s="1987"/>
    </row>
    <row r="145" spans="1:128">
      <c r="A145" s="1984" t="s">
        <v>873</v>
      </c>
      <c r="B145" s="1973"/>
      <c r="C145" s="1974"/>
      <c r="D145" s="1973"/>
      <c r="E145" s="1973"/>
      <c r="F145" s="1973"/>
      <c r="G145" s="1975"/>
      <c r="H145" s="1973"/>
      <c r="I145" s="1974"/>
      <c r="J145" s="1973"/>
      <c r="K145" s="1973"/>
      <c r="L145" s="1973"/>
      <c r="M145" s="1975"/>
      <c r="N145" s="1973"/>
      <c r="O145" s="1974"/>
      <c r="P145" s="1973"/>
      <c r="Q145" s="1973"/>
      <c r="R145" s="1973"/>
      <c r="S145" s="1975"/>
      <c r="T145" s="1973"/>
      <c r="U145" s="1974"/>
      <c r="V145" s="1973"/>
      <c r="W145" s="1973"/>
      <c r="X145" s="1973"/>
      <c r="Y145" s="1975"/>
      <c r="Z145" s="1973"/>
      <c r="AA145" s="1974"/>
      <c r="AB145" s="1973"/>
      <c r="AC145" s="1973"/>
      <c r="AD145" s="1973"/>
      <c r="AE145" s="1975"/>
      <c r="AF145" s="1973"/>
      <c r="AG145" s="1974"/>
      <c r="AH145" s="1973"/>
      <c r="AI145" s="1973"/>
      <c r="AJ145" s="1973"/>
      <c r="AK145" s="1976"/>
      <c r="AL145" s="1973"/>
      <c r="AM145" s="1974"/>
      <c r="AN145" s="1977"/>
      <c r="AO145" s="1977"/>
      <c r="AP145" s="1978"/>
      <c r="AQ145" s="1975"/>
      <c r="AR145" s="1973"/>
      <c r="AS145" s="1979"/>
      <c r="AT145" s="1980"/>
      <c r="AU145" s="1980"/>
      <c r="AV145" s="1981"/>
      <c r="AW145" s="1982"/>
      <c r="AX145" s="1981"/>
      <c r="AY145" s="1983"/>
      <c r="AZ145" s="1981"/>
      <c r="BA145" s="1981"/>
      <c r="BB145" s="1981"/>
      <c r="BC145" s="1982"/>
      <c r="BD145" s="1981"/>
      <c r="BE145" s="2216"/>
      <c r="BF145" s="1981"/>
      <c r="BG145" s="1981"/>
      <c r="BH145" s="1981"/>
      <c r="BI145" s="1982"/>
      <c r="BJ145" s="1981"/>
      <c r="BK145" s="1983"/>
      <c r="BL145" s="1981"/>
      <c r="BM145" s="1981"/>
      <c r="BN145" s="1981"/>
      <c r="BO145" s="1982"/>
      <c r="BP145" s="1981"/>
      <c r="BQ145" s="1983"/>
      <c r="BR145" s="1981"/>
      <c r="BS145" s="1981"/>
      <c r="BT145" s="1981"/>
      <c r="BU145" s="1982"/>
      <c r="BV145" s="1981"/>
      <c r="BW145" s="1983"/>
      <c r="BX145" s="1981"/>
      <c r="BY145" s="1981"/>
      <c r="BZ145" s="1981"/>
      <c r="CA145" s="1982"/>
      <c r="CB145" s="1981"/>
      <c r="CC145" s="1983"/>
      <c r="CD145" s="1981"/>
      <c r="CE145" s="1981"/>
      <c r="CF145" s="1981"/>
      <c r="CG145" s="1982"/>
      <c r="CH145" s="1981"/>
      <c r="CI145" s="1983"/>
      <c r="CJ145" s="1981"/>
      <c r="CK145" s="1981"/>
      <c r="CL145" s="1981"/>
      <c r="CM145" s="1982"/>
      <c r="CN145" s="1981"/>
      <c r="CO145" s="1983"/>
      <c r="CP145" s="1981"/>
      <c r="CQ145" s="1981"/>
      <c r="CR145" s="1981"/>
      <c r="CS145" s="1982"/>
      <c r="CT145" s="2474"/>
      <c r="CU145" s="2474"/>
      <c r="CV145" s="2474"/>
      <c r="CX145" s="194"/>
      <c r="CY145" s="194"/>
      <c r="CZ145" s="194"/>
      <c r="DA145" s="194"/>
      <c r="DB145" s="194"/>
      <c r="DC145" s="194"/>
      <c r="DD145" s="194"/>
      <c r="DE145" s="194"/>
      <c r="DF145" s="194"/>
      <c r="DG145" s="194"/>
      <c r="DH145" s="194"/>
      <c r="DI145" s="194"/>
      <c r="DJ145" s="194"/>
      <c r="DK145" s="194"/>
      <c r="DL145" s="194"/>
      <c r="DM145" s="1987"/>
      <c r="DN145" s="1987"/>
      <c r="DO145" s="1987"/>
      <c r="DP145" s="1987"/>
      <c r="DQ145" s="1987"/>
      <c r="DR145" s="1987"/>
      <c r="DS145" s="1987"/>
      <c r="DT145" s="1987"/>
      <c r="DU145" s="1987"/>
      <c r="DV145" s="1987"/>
      <c r="DW145" s="1987"/>
      <c r="DX145" s="1987"/>
    </row>
    <row r="146" spans="1:128">
      <c r="A146" s="2924"/>
      <c r="B146" s="4"/>
      <c r="C146" s="140"/>
      <c r="D146" s="4"/>
      <c r="E146" s="4"/>
      <c r="F146" s="4"/>
      <c r="G146" s="2925"/>
      <c r="H146" s="4"/>
      <c r="I146" s="140"/>
      <c r="J146" s="4"/>
      <c r="K146" s="4"/>
      <c r="L146" s="4"/>
      <c r="M146" s="2925"/>
      <c r="N146" s="4"/>
      <c r="O146" s="140"/>
      <c r="P146" s="4"/>
      <c r="Q146" s="4"/>
      <c r="R146" s="4"/>
      <c r="S146" s="2925"/>
      <c r="T146" s="4"/>
      <c r="U146" s="140"/>
      <c r="V146" s="4"/>
      <c r="W146" s="4"/>
      <c r="X146" s="4"/>
      <c r="Y146" s="2925"/>
      <c r="Z146" s="4"/>
      <c r="AA146" s="140"/>
      <c r="AB146" s="4"/>
      <c r="AC146" s="4"/>
      <c r="AD146" s="4"/>
      <c r="AE146" s="2925"/>
      <c r="AF146" s="4"/>
      <c r="AG146" s="140"/>
      <c r="AH146" s="4"/>
      <c r="AI146" s="4"/>
      <c r="AJ146" s="4"/>
      <c r="AK146" s="2926"/>
      <c r="AL146" s="4"/>
      <c r="AM146" s="140"/>
      <c r="AN146" s="164"/>
      <c r="AO146" s="164"/>
      <c r="AP146" s="23"/>
      <c r="AQ146" s="2925"/>
      <c r="AR146" s="4"/>
      <c r="AS146" s="2927"/>
      <c r="AT146" s="2928"/>
      <c r="AU146" s="2928"/>
      <c r="AV146" s="4"/>
      <c r="AW146" s="2925"/>
      <c r="AX146" s="4"/>
      <c r="AY146" s="140"/>
      <c r="AZ146" s="4"/>
      <c r="BA146" s="4"/>
      <c r="BB146" s="4"/>
      <c r="BC146" s="2925"/>
      <c r="BD146" s="4"/>
      <c r="BE146" s="2174"/>
      <c r="BF146" s="4"/>
      <c r="BG146" s="4"/>
      <c r="BH146" s="4"/>
      <c r="BI146" s="2925"/>
      <c r="BJ146" s="4"/>
      <c r="BK146" s="140"/>
      <c r="BL146" s="4"/>
      <c r="BM146" s="4"/>
      <c r="BN146" s="4"/>
      <c r="BO146" s="2925"/>
      <c r="BP146" s="4"/>
      <c r="BQ146" s="140"/>
      <c r="BR146" s="4"/>
      <c r="BS146" s="4"/>
      <c r="BT146" s="4"/>
      <c r="BU146" s="2925"/>
      <c r="BV146" s="4"/>
      <c r="BW146" s="140"/>
      <c r="BX146" s="4"/>
      <c r="BY146" s="4"/>
      <c r="BZ146" s="4"/>
      <c r="CA146" s="2925"/>
      <c r="CB146" s="4"/>
      <c r="CC146" s="140"/>
      <c r="CD146" s="4"/>
      <c r="CE146" s="4"/>
      <c r="CF146" s="4"/>
      <c r="CG146" s="2925"/>
      <c r="CH146" s="4"/>
      <c r="CI146" s="140"/>
      <c r="CJ146" s="4"/>
      <c r="CK146" s="4"/>
      <c r="CL146" s="4"/>
      <c r="CM146" s="2925"/>
      <c r="CN146" s="4"/>
      <c r="CO146" s="140"/>
      <c r="CP146" s="4"/>
      <c r="CQ146" s="4"/>
      <c r="CR146" s="4"/>
      <c r="CS146" s="2925"/>
      <c r="CT146" s="2474"/>
      <c r="CU146" s="2474"/>
      <c r="CV146" s="2474"/>
      <c r="CX146" s="194"/>
      <c r="CY146" s="194"/>
      <c r="CZ146" s="194"/>
      <c r="DA146" s="194"/>
      <c r="DB146" s="194"/>
      <c r="DC146" s="194"/>
      <c r="DD146" s="194"/>
      <c r="DE146" s="194"/>
      <c r="DF146" s="194"/>
      <c r="DG146" s="194"/>
      <c r="DH146" s="194"/>
      <c r="DI146" s="194"/>
      <c r="DJ146" s="194"/>
      <c r="DK146" s="194"/>
      <c r="DL146" s="194"/>
      <c r="DM146" s="1987"/>
      <c r="DN146" s="1987"/>
      <c r="DO146" s="1987"/>
      <c r="DP146" s="1987"/>
      <c r="DQ146" s="1987"/>
      <c r="DR146" s="1987"/>
      <c r="DS146" s="1987"/>
      <c r="DT146" s="1987"/>
      <c r="DU146" s="1987"/>
      <c r="DV146" s="1987"/>
      <c r="DW146" s="1987"/>
      <c r="DX146" s="1987"/>
    </row>
    <row r="147" spans="1:128">
      <c r="A147" s="2924"/>
      <c r="B147" s="4"/>
      <c r="C147" s="140"/>
      <c r="D147" s="4"/>
      <c r="E147" s="4"/>
      <c r="F147" s="4"/>
      <c r="G147" s="2925"/>
      <c r="H147" s="4"/>
      <c r="I147" s="140"/>
      <c r="J147" s="4"/>
      <c r="K147" s="4"/>
      <c r="L147" s="4"/>
      <c r="M147" s="2925"/>
      <c r="N147" s="4"/>
      <c r="O147" s="140"/>
      <c r="P147" s="4"/>
      <c r="Q147" s="4"/>
      <c r="R147" s="4"/>
      <c r="S147" s="2925"/>
      <c r="T147" s="4"/>
      <c r="U147" s="140"/>
      <c r="V147" s="4"/>
      <c r="W147" s="4"/>
      <c r="X147" s="4"/>
      <c r="Y147" s="2925"/>
      <c r="Z147" s="4"/>
      <c r="AA147" s="140"/>
      <c r="AB147" s="4"/>
      <c r="AC147" s="4"/>
      <c r="AD147" s="4"/>
      <c r="AE147" s="2925"/>
      <c r="AF147" s="4"/>
      <c r="AG147" s="140"/>
      <c r="AH147" s="4"/>
      <c r="AI147" s="4"/>
      <c r="AJ147" s="4"/>
      <c r="AK147" s="2926"/>
      <c r="AL147" s="4"/>
      <c r="AM147" s="140"/>
      <c r="AN147" s="164"/>
      <c r="AO147" s="164"/>
      <c r="AP147" s="23"/>
      <c r="AQ147" s="2925"/>
      <c r="AR147" s="4"/>
      <c r="AS147" s="2927"/>
      <c r="AT147" s="2928"/>
      <c r="AU147" s="2928"/>
      <c r="AV147" s="4"/>
      <c r="AW147" s="2925"/>
      <c r="AX147" s="4"/>
      <c r="AY147" s="140"/>
      <c r="AZ147" s="4"/>
      <c r="BA147" s="4"/>
      <c r="BB147" s="4"/>
      <c r="BC147" s="2925"/>
      <c r="BD147" s="4"/>
      <c r="BE147" s="2174"/>
      <c r="BF147" s="4"/>
      <c r="BG147" s="4"/>
      <c r="BH147" s="4"/>
      <c r="BI147" s="2925"/>
      <c r="BJ147" s="4"/>
      <c r="BK147" s="140"/>
      <c r="BL147" s="4"/>
      <c r="BM147" s="4"/>
      <c r="BN147" s="4"/>
      <c r="BO147" s="2925"/>
      <c r="BP147" s="4"/>
      <c r="BQ147" s="140"/>
      <c r="BR147" s="4"/>
      <c r="BS147" s="4"/>
      <c r="BT147" s="4"/>
      <c r="BU147" s="2925"/>
      <c r="BV147" s="4"/>
      <c r="BW147" s="140"/>
      <c r="BX147" s="4"/>
      <c r="BY147" s="4"/>
      <c r="BZ147" s="4"/>
      <c r="CA147" s="2925"/>
      <c r="CB147" s="4"/>
      <c r="CC147" s="140"/>
      <c r="CD147" s="4"/>
      <c r="CE147" s="4"/>
      <c r="CF147" s="4"/>
      <c r="CG147" s="2925"/>
      <c r="CH147" s="4"/>
      <c r="CI147" s="140"/>
      <c r="CJ147" s="4"/>
      <c r="CK147" s="4"/>
      <c r="CL147" s="4"/>
      <c r="CM147" s="2925"/>
      <c r="CN147" s="4"/>
      <c r="CO147" s="140"/>
      <c r="CP147" s="4"/>
      <c r="CQ147" s="4"/>
      <c r="CR147" s="4"/>
      <c r="CS147" s="2925"/>
      <c r="CT147" s="2474"/>
      <c r="CU147" s="2474"/>
      <c r="CV147" s="2474"/>
      <c r="CX147" s="194"/>
      <c r="CY147" s="194"/>
      <c r="CZ147" s="194"/>
      <c r="DA147" s="194"/>
      <c r="DB147" s="194"/>
      <c r="DC147" s="194"/>
      <c r="DD147" s="194"/>
      <c r="DE147" s="194"/>
      <c r="DF147" s="194"/>
      <c r="DG147" s="194"/>
      <c r="DH147" s="194"/>
      <c r="DI147" s="194"/>
      <c r="DJ147" s="194"/>
      <c r="DK147" s="194"/>
      <c r="DL147" s="194"/>
      <c r="DM147" s="1987"/>
      <c r="DN147" s="1987"/>
      <c r="DO147" s="1987"/>
      <c r="DP147" s="1987"/>
      <c r="DQ147" s="1987"/>
      <c r="DR147" s="1987"/>
      <c r="DS147" s="1987"/>
      <c r="DT147" s="1987"/>
      <c r="DU147" s="1987"/>
      <c r="DV147" s="1987"/>
      <c r="DW147" s="1987"/>
      <c r="DX147" s="1987"/>
    </row>
    <row r="148" spans="1:128">
      <c r="A148" s="2924"/>
      <c r="B148" s="4"/>
      <c r="C148" s="140"/>
      <c r="D148" s="4"/>
      <c r="E148" s="4"/>
      <c r="F148" s="4"/>
      <c r="G148" s="2925"/>
      <c r="H148" s="4"/>
      <c r="I148" s="140"/>
      <c r="J148" s="4"/>
      <c r="K148" s="4"/>
      <c r="L148" s="4"/>
      <c r="M148" s="2925"/>
      <c r="N148" s="4"/>
      <c r="O148" s="140"/>
      <c r="P148" s="4"/>
      <c r="Q148" s="4"/>
      <c r="R148" s="4"/>
      <c r="S148" s="2925"/>
      <c r="T148" s="4"/>
      <c r="U148" s="140"/>
      <c r="V148" s="4"/>
      <c r="W148" s="4"/>
      <c r="X148" s="4"/>
      <c r="Y148" s="2925"/>
      <c r="Z148" s="4"/>
      <c r="AA148" s="140"/>
      <c r="AB148" s="4"/>
      <c r="AC148" s="4"/>
      <c r="AD148" s="4"/>
      <c r="AE148" s="2925"/>
      <c r="AF148" s="4"/>
      <c r="AG148" s="140"/>
      <c r="AH148" s="4"/>
      <c r="AI148" s="4"/>
      <c r="AJ148" s="4"/>
      <c r="AK148" s="2926"/>
      <c r="AL148" s="4"/>
      <c r="AM148" s="140"/>
      <c r="AN148" s="164"/>
      <c r="AO148" s="164"/>
      <c r="AP148" s="23"/>
      <c r="AQ148" s="2925"/>
      <c r="AR148" s="4"/>
      <c r="AS148" s="2927"/>
      <c r="AT148" s="2928"/>
      <c r="AU148" s="2928"/>
      <c r="AV148" s="4"/>
      <c r="AW148" s="2925"/>
      <c r="AX148" s="4"/>
      <c r="AY148" s="140"/>
      <c r="AZ148" s="4"/>
      <c r="BA148" s="4"/>
      <c r="BB148" s="4"/>
      <c r="BC148" s="2925"/>
      <c r="BD148" s="4"/>
      <c r="BE148" s="2174"/>
      <c r="BF148" s="4"/>
      <c r="BG148" s="4"/>
      <c r="BH148" s="4"/>
      <c r="BI148" s="2925"/>
      <c r="BJ148" s="4"/>
      <c r="BK148" s="140"/>
      <c r="BL148" s="4"/>
      <c r="BM148" s="4"/>
      <c r="BN148" s="4"/>
      <c r="BO148" s="2925"/>
      <c r="BP148" s="4"/>
      <c r="BQ148" s="140"/>
      <c r="BR148" s="4"/>
      <c r="BS148" s="4"/>
      <c r="BT148" s="4"/>
      <c r="BU148" s="2925"/>
      <c r="BV148" s="4"/>
      <c r="BW148" s="140"/>
      <c r="BX148" s="4"/>
      <c r="BY148" s="4"/>
      <c r="BZ148" s="4"/>
      <c r="CA148" s="2925"/>
      <c r="CB148" s="4"/>
      <c r="CC148" s="140"/>
      <c r="CD148" s="4"/>
      <c r="CE148" s="4"/>
      <c r="CF148" s="4"/>
      <c r="CG148" s="2925"/>
      <c r="CH148" s="4"/>
      <c r="CI148" s="140"/>
      <c r="CJ148" s="4"/>
      <c r="CK148" s="4"/>
      <c r="CL148" s="4"/>
      <c r="CM148" s="2925"/>
      <c r="CN148" s="4"/>
      <c r="CO148" s="140"/>
      <c r="CP148" s="4"/>
      <c r="CQ148" s="4"/>
      <c r="CR148" s="4"/>
      <c r="CS148" s="2925"/>
      <c r="CT148" s="2474"/>
      <c r="CU148" s="2474"/>
      <c r="CV148" s="2474"/>
      <c r="CX148" s="194"/>
      <c r="CY148" s="194"/>
      <c r="CZ148" s="194"/>
      <c r="DA148" s="194"/>
      <c r="DB148" s="194"/>
      <c r="DC148" s="194"/>
      <c r="DD148" s="194"/>
      <c r="DE148" s="194"/>
      <c r="DF148" s="194"/>
      <c r="DG148" s="194"/>
      <c r="DH148" s="194"/>
      <c r="DI148" s="194"/>
      <c r="DJ148" s="194"/>
      <c r="DK148" s="194"/>
      <c r="DL148" s="194"/>
      <c r="DM148" s="1987"/>
      <c r="DN148" s="1987"/>
      <c r="DO148" s="1987"/>
      <c r="DP148" s="1987"/>
      <c r="DQ148" s="1987"/>
      <c r="DR148" s="1987"/>
      <c r="DS148" s="1987"/>
      <c r="DT148" s="1987"/>
      <c r="DU148" s="1987"/>
      <c r="DV148" s="1987"/>
      <c r="DW148" s="1987"/>
      <c r="DX148" s="1987"/>
    </row>
    <row r="149" spans="1:128">
      <c r="A149" s="2924"/>
      <c r="B149" s="4"/>
      <c r="C149" s="140"/>
      <c r="D149" s="4"/>
      <c r="E149" s="4"/>
      <c r="F149" s="4"/>
      <c r="G149" s="2925"/>
      <c r="H149" s="4"/>
      <c r="I149" s="140"/>
      <c r="J149" s="4"/>
      <c r="K149" s="4"/>
      <c r="L149" s="4"/>
      <c r="M149" s="2925"/>
      <c r="N149" s="4"/>
      <c r="O149" s="140"/>
      <c r="P149" s="4"/>
      <c r="Q149" s="4"/>
      <c r="R149" s="4"/>
      <c r="S149" s="2925"/>
      <c r="T149" s="4"/>
      <c r="U149" s="140"/>
      <c r="V149" s="4"/>
      <c r="W149" s="4"/>
      <c r="X149" s="4"/>
      <c r="Y149" s="2925"/>
      <c r="Z149" s="4"/>
      <c r="AA149" s="140"/>
      <c r="AB149" s="4"/>
      <c r="AC149" s="4"/>
      <c r="AD149" s="4"/>
      <c r="AE149" s="2925"/>
      <c r="AF149" s="4"/>
      <c r="AG149" s="140"/>
      <c r="AH149" s="4"/>
      <c r="AI149" s="4"/>
      <c r="AJ149" s="4"/>
      <c r="AK149" s="2926"/>
      <c r="AL149" s="4"/>
      <c r="AM149" s="140"/>
      <c r="AN149" s="164"/>
      <c r="AO149" s="164"/>
      <c r="AP149" s="23"/>
      <c r="AQ149" s="2925"/>
      <c r="AR149" s="4"/>
      <c r="AS149" s="2927"/>
      <c r="AT149" s="2928"/>
      <c r="AU149" s="2928"/>
      <c r="AV149" s="4"/>
      <c r="AW149" s="2925"/>
      <c r="AX149" s="4"/>
      <c r="AY149" s="140"/>
      <c r="AZ149" s="4"/>
      <c r="BA149" s="4"/>
      <c r="BB149" s="4"/>
      <c r="BC149" s="2925"/>
      <c r="BD149" s="4"/>
      <c r="BE149" s="2174"/>
      <c r="BF149" s="4"/>
      <c r="BG149" s="4"/>
      <c r="BH149" s="4"/>
      <c r="BI149" s="2925"/>
      <c r="BJ149" s="4"/>
      <c r="BK149" s="140"/>
      <c r="BL149" s="4"/>
      <c r="BM149" s="4"/>
      <c r="BN149" s="4"/>
      <c r="BO149" s="2925"/>
      <c r="BP149" s="4"/>
      <c r="BQ149" s="140"/>
      <c r="BR149" s="4"/>
      <c r="BS149" s="4"/>
      <c r="BT149" s="4"/>
      <c r="BU149" s="2925"/>
      <c r="BV149" s="4"/>
      <c r="BW149" s="140"/>
      <c r="BX149" s="4"/>
      <c r="BY149" s="4"/>
      <c r="BZ149" s="4"/>
      <c r="CA149" s="2925"/>
      <c r="CB149" s="4"/>
      <c r="CC149" s="140"/>
      <c r="CD149" s="4"/>
      <c r="CE149" s="4"/>
      <c r="CF149" s="4"/>
      <c r="CG149" s="2925"/>
      <c r="CH149" s="4"/>
      <c r="CI149" s="140"/>
      <c r="CJ149" s="4"/>
      <c r="CK149" s="4"/>
      <c r="CL149" s="4"/>
      <c r="CM149" s="2925"/>
      <c r="CN149" s="4"/>
      <c r="CO149" s="140"/>
      <c r="CP149" s="4"/>
      <c r="CQ149" s="4"/>
      <c r="CR149" s="4"/>
      <c r="CS149" s="2925"/>
      <c r="CT149" s="2474"/>
      <c r="CU149" s="2474"/>
      <c r="CV149" s="2474"/>
      <c r="CX149" s="194"/>
      <c r="CY149" s="194"/>
      <c r="CZ149" s="194"/>
      <c r="DA149" s="194"/>
      <c r="DB149" s="194"/>
      <c r="DC149" s="194"/>
      <c r="DD149" s="194"/>
      <c r="DE149" s="194"/>
      <c r="DF149" s="194"/>
      <c r="DG149" s="194"/>
      <c r="DH149" s="194"/>
      <c r="DI149" s="194"/>
      <c r="DJ149" s="194"/>
      <c r="DK149" s="194"/>
      <c r="DL149" s="194"/>
      <c r="DM149" s="1987"/>
      <c r="DN149" s="1987"/>
      <c r="DO149" s="1987"/>
      <c r="DP149" s="1987"/>
      <c r="DQ149" s="1987"/>
      <c r="DR149" s="1987"/>
      <c r="DS149" s="1987"/>
      <c r="DT149" s="1987"/>
      <c r="DU149" s="1987"/>
      <c r="DV149" s="1987"/>
      <c r="DW149" s="1987"/>
      <c r="DX149" s="1987"/>
    </row>
    <row r="150" spans="1:128">
      <c r="A150" s="2924"/>
      <c r="B150" s="4"/>
      <c r="C150" s="140"/>
      <c r="D150" s="4"/>
      <c r="E150" s="4"/>
      <c r="F150" s="4"/>
      <c r="G150" s="2925"/>
      <c r="H150" s="4"/>
      <c r="I150" s="140"/>
      <c r="J150" s="4"/>
      <c r="K150" s="4"/>
      <c r="L150" s="4"/>
      <c r="M150" s="2925"/>
      <c r="N150" s="4"/>
      <c r="O150" s="140"/>
      <c r="P150" s="4"/>
      <c r="Q150" s="4"/>
      <c r="R150" s="4"/>
      <c r="S150" s="2925"/>
      <c r="T150" s="4"/>
      <c r="U150" s="140"/>
      <c r="V150" s="4"/>
      <c r="W150" s="4"/>
      <c r="X150" s="4"/>
      <c r="Y150" s="2925"/>
      <c r="Z150" s="4"/>
      <c r="AA150" s="140"/>
      <c r="AB150" s="4"/>
      <c r="AC150" s="4"/>
      <c r="AD150" s="4"/>
      <c r="AE150" s="2925"/>
      <c r="AF150" s="4"/>
      <c r="AG150" s="140"/>
      <c r="AH150" s="4"/>
      <c r="AI150" s="4"/>
      <c r="AJ150" s="4"/>
      <c r="AK150" s="2926"/>
      <c r="AL150" s="4"/>
      <c r="AM150" s="140"/>
      <c r="AN150" s="164"/>
      <c r="AO150" s="164"/>
      <c r="AP150" s="23"/>
      <c r="AQ150" s="2925"/>
      <c r="AR150" s="4"/>
      <c r="AS150" s="2927"/>
      <c r="AT150" s="2928"/>
      <c r="AU150" s="2928"/>
      <c r="AV150" s="4"/>
      <c r="AW150" s="2925"/>
      <c r="AX150" s="4"/>
      <c r="AY150" s="140"/>
      <c r="AZ150" s="4"/>
      <c r="BA150" s="4"/>
      <c r="BB150" s="4"/>
      <c r="BC150" s="2925"/>
      <c r="BD150" s="4"/>
      <c r="BE150" s="2174"/>
      <c r="BF150" s="4"/>
      <c r="BG150" s="4"/>
      <c r="BH150" s="4"/>
      <c r="BI150" s="2925"/>
      <c r="BJ150" s="4"/>
      <c r="BK150" s="140"/>
      <c r="BL150" s="4"/>
      <c r="BM150" s="4"/>
      <c r="BN150" s="4"/>
      <c r="BO150" s="2925"/>
      <c r="BP150" s="4"/>
      <c r="BQ150" s="140"/>
      <c r="BR150" s="4"/>
      <c r="BS150" s="4"/>
      <c r="BT150" s="4"/>
      <c r="BU150" s="2925"/>
      <c r="BV150" s="4"/>
      <c r="BW150" s="140"/>
      <c r="BX150" s="4"/>
      <c r="BY150" s="4"/>
      <c r="BZ150" s="4"/>
      <c r="CA150" s="2925"/>
      <c r="CB150" s="4"/>
      <c r="CC150" s="140"/>
      <c r="CD150" s="4"/>
      <c r="CE150" s="4"/>
      <c r="CF150" s="4"/>
      <c r="CG150" s="2925"/>
      <c r="CH150" s="4"/>
      <c r="CI150" s="140"/>
      <c r="CJ150" s="4"/>
      <c r="CK150" s="4"/>
      <c r="CL150" s="4"/>
      <c r="CM150" s="2925"/>
      <c r="CN150" s="4"/>
      <c r="CO150" s="140"/>
      <c r="CP150" s="4"/>
      <c r="CQ150" s="4"/>
      <c r="CR150" s="4"/>
      <c r="CS150" s="2925"/>
      <c r="CT150" s="2474"/>
      <c r="CU150" s="2474"/>
      <c r="CV150" s="2474"/>
      <c r="CX150" s="194"/>
      <c r="CY150" s="194"/>
      <c r="CZ150" s="194"/>
      <c r="DA150" s="194"/>
      <c r="DB150" s="194"/>
      <c r="DC150" s="194"/>
      <c r="DD150" s="194"/>
      <c r="DE150" s="194"/>
      <c r="DF150" s="194"/>
      <c r="DG150" s="194"/>
      <c r="DH150" s="194"/>
      <c r="DI150" s="194"/>
      <c r="DJ150" s="194"/>
      <c r="DK150" s="194"/>
      <c r="DL150" s="194"/>
      <c r="DM150" s="1987"/>
      <c r="DN150" s="1987"/>
      <c r="DO150" s="1987"/>
      <c r="DP150" s="1987"/>
      <c r="DQ150" s="1987"/>
      <c r="DR150" s="1987"/>
      <c r="DS150" s="1987"/>
      <c r="DT150" s="1987"/>
      <c r="DU150" s="1987"/>
      <c r="DV150" s="1987"/>
      <c r="DW150" s="1987"/>
      <c r="DX150" s="1987"/>
    </row>
    <row r="151" spans="1:128">
      <c r="A151" s="2924"/>
      <c r="B151" s="4"/>
      <c r="C151" s="140"/>
      <c r="D151" s="4"/>
      <c r="E151" s="4"/>
      <c r="F151" s="4"/>
      <c r="G151" s="2925"/>
      <c r="H151" s="4"/>
      <c r="I151" s="140"/>
      <c r="J151" s="4"/>
      <c r="K151" s="4"/>
      <c r="L151" s="4"/>
      <c r="M151" s="2925"/>
      <c r="N151" s="4"/>
      <c r="O151" s="140"/>
      <c r="P151" s="4"/>
      <c r="Q151" s="4"/>
      <c r="R151" s="4"/>
      <c r="S151" s="2925"/>
      <c r="T151" s="4"/>
      <c r="U151" s="140"/>
      <c r="V151" s="4"/>
      <c r="W151" s="4"/>
      <c r="X151" s="4"/>
      <c r="Y151" s="2925"/>
      <c r="Z151" s="4"/>
      <c r="AA151" s="140"/>
      <c r="AB151" s="4"/>
      <c r="AC151" s="4"/>
      <c r="AD151" s="4"/>
      <c r="AE151" s="2925"/>
      <c r="AF151" s="4"/>
      <c r="AG151" s="140"/>
      <c r="AH151" s="4"/>
      <c r="AI151" s="4"/>
      <c r="AJ151" s="4"/>
      <c r="AK151" s="2926"/>
      <c r="AL151" s="4"/>
      <c r="AM151" s="140"/>
      <c r="AN151" s="164"/>
      <c r="AO151" s="164"/>
      <c r="AP151" s="23"/>
      <c r="AQ151" s="2925"/>
      <c r="AR151" s="4"/>
      <c r="AS151" s="2927"/>
      <c r="AT151" s="2928"/>
      <c r="AU151" s="2928"/>
      <c r="AV151" s="4"/>
      <c r="AW151" s="2925"/>
      <c r="AX151" s="4"/>
      <c r="AY151" s="140"/>
      <c r="AZ151" s="4"/>
      <c r="BA151" s="4"/>
      <c r="BB151" s="4"/>
      <c r="BC151" s="2925"/>
      <c r="BD151" s="4"/>
      <c r="BE151" s="2174"/>
      <c r="BF151" s="4"/>
      <c r="BG151" s="4"/>
      <c r="BH151" s="4"/>
      <c r="BI151" s="2925"/>
      <c r="BJ151" s="4"/>
      <c r="BK151" s="140"/>
      <c r="BL151" s="4"/>
      <c r="BM151" s="4"/>
      <c r="BN151" s="4"/>
      <c r="BO151" s="2925"/>
      <c r="BP151" s="4"/>
      <c r="BQ151" s="140"/>
      <c r="BR151" s="4"/>
      <c r="BS151" s="4"/>
      <c r="BT151" s="4"/>
      <c r="BU151" s="2925"/>
      <c r="BV151" s="4"/>
      <c r="BW151" s="140"/>
      <c r="BX151" s="4"/>
      <c r="BY151" s="4"/>
      <c r="BZ151" s="4"/>
      <c r="CA151" s="2925"/>
      <c r="CB151" s="4"/>
      <c r="CC151" s="140"/>
      <c r="CD151" s="4"/>
      <c r="CE151" s="4"/>
      <c r="CF151" s="4"/>
      <c r="CG151" s="2925"/>
      <c r="CH151" s="4"/>
      <c r="CI151" s="140"/>
      <c r="CJ151" s="4"/>
      <c r="CK151" s="4"/>
      <c r="CL151" s="4"/>
      <c r="CM151" s="2925"/>
      <c r="CN151" s="4"/>
      <c r="CO151" s="140"/>
      <c r="CP151" s="4"/>
      <c r="CQ151" s="4"/>
      <c r="CR151" s="4"/>
      <c r="CS151" s="2925"/>
      <c r="CT151" s="2474"/>
      <c r="CU151" s="2474"/>
      <c r="CV151" s="2474"/>
      <c r="CX151" s="194"/>
      <c r="CY151" s="194"/>
      <c r="CZ151" s="194"/>
      <c r="DA151" s="194"/>
      <c r="DB151" s="194"/>
      <c r="DC151" s="194"/>
      <c r="DD151" s="194"/>
      <c r="DE151" s="194"/>
      <c r="DF151" s="194"/>
      <c r="DG151" s="194"/>
      <c r="DH151" s="194"/>
      <c r="DI151" s="194"/>
      <c r="DJ151" s="194"/>
      <c r="DK151" s="194"/>
      <c r="DL151" s="194"/>
      <c r="DM151" s="1987"/>
      <c r="DN151" s="1987"/>
      <c r="DO151" s="1987"/>
      <c r="DP151" s="1987"/>
      <c r="DQ151" s="1987"/>
      <c r="DR151" s="1987"/>
      <c r="DS151" s="1987"/>
      <c r="DT151" s="1987"/>
      <c r="DU151" s="1987"/>
      <c r="DV151" s="1987"/>
      <c r="DW151" s="1987"/>
      <c r="DX151" s="1987"/>
    </row>
    <row r="152" spans="1:128">
      <c r="A152" s="2924"/>
      <c r="B152" s="4"/>
      <c r="C152" s="140"/>
      <c r="D152" s="4"/>
      <c r="E152" s="4"/>
      <c r="F152" s="4"/>
      <c r="G152" s="2925"/>
      <c r="H152" s="4"/>
      <c r="I152" s="140"/>
      <c r="J152" s="4"/>
      <c r="K152" s="4"/>
      <c r="L152" s="4"/>
      <c r="M152" s="2925"/>
      <c r="N152" s="4"/>
      <c r="O152" s="140"/>
      <c r="P152" s="4"/>
      <c r="Q152" s="4"/>
      <c r="R152" s="4"/>
      <c r="S152" s="2925"/>
      <c r="T152" s="4"/>
      <c r="U152" s="140"/>
      <c r="V152" s="4"/>
      <c r="W152" s="4"/>
      <c r="X152" s="4"/>
      <c r="Y152" s="2925"/>
      <c r="Z152" s="4"/>
      <c r="AA152" s="140"/>
      <c r="AB152" s="4"/>
      <c r="AC152" s="4"/>
      <c r="AD152" s="4"/>
      <c r="AE152" s="2925"/>
      <c r="AF152" s="4"/>
      <c r="AG152" s="140"/>
      <c r="AH152" s="4"/>
      <c r="AI152" s="4"/>
      <c r="AJ152" s="4"/>
      <c r="AK152" s="2926"/>
      <c r="AL152" s="4"/>
      <c r="AM152" s="140"/>
      <c r="AN152" s="164"/>
      <c r="AO152" s="164"/>
      <c r="AP152" s="23"/>
      <c r="AQ152" s="2925"/>
      <c r="AR152" s="4"/>
      <c r="AS152" s="2927"/>
      <c r="AT152" s="2928"/>
      <c r="AU152" s="2928"/>
      <c r="AV152" s="4"/>
      <c r="AW152" s="2925"/>
      <c r="AX152" s="4"/>
      <c r="AY152" s="140"/>
      <c r="AZ152" s="4"/>
      <c r="BA152" s="4"/>
      <c r="BB152" s="4"/>
      <c r="BC152" s="2925"/>
      <c r="BD152" s="4"/>
      <c r="BE152" s="2174"/>
      <c r="BF152" s="4"/>
      <c r="BG152" s="4"/>
      <c r="BH152" s="4"/>
      <c r="BI152" s="2925"/>
      <c r="BJ152" s="4"/>
      <c r="BK152" s="140"/>
      <c r="BL152" s="4"/>
      <c r="BM152" s="4"/>
      <c r="BN152" s="4"/>
      <c r="BO152" s="2925"/>
      <c r="BP152" s="4"/>
      <c r="BQ152" s="140"/>
      <c r="BR152" s="4"/>
      <c r="BS152" s="4"/>
      <c r="BT152" s="4"/>
      <c r="BU152" s="2925"/>
      <c r="BV152" s="4"/>
      <c r="BW152" s="140"/>
      <c r="BX152" s="4"/>
      <c r="BY152" s="4"/>
      <c r="BZ152" s="4"/>
      <c r="CA152" s="2925"/>
      <c r="CB152" s="4"/>
      <c r="CC152" s="140"/>
      <c r="CD152" s="4"/>
      <c r="CE152" s="4"/>
      <c r="CF152" s="4"/>
      <c r="CG152" s="2925"/>
      <c r="CH152" s="4"/>
      <c r="CI152" s="140"/>
      <c r="CJ152" s="4"/>
      <c r="CK152" s="4"/>
      <c r="CL152" s="4"/>
      <c r="CM152" s="2925"/>
      <c r="CN152" s="4"/>
      <c r="CO152" s="140"/>
      <c r="CP152" s="4"/>
      <c r="CQ152" s="4"/>
      <c r="CR152" s="4"/>
      <c r="CS152" s="2925"/>
      <c r="CT152" s="2474"/>
      <c r="CU152" s="2474"/>
      <c r="CV152" s="2474"/>
      <c r="CX152" s="194"/>
      <c r="CY152" s="194"/>
      <c r="CZ152" s="194"/>
      <c r="DA152" s="194"/>
      <c r="DB152" s="194"/>
      <c r="DC152" s="194"/>
      <c r="DD152" s="194"/>
      <c r="DE152" s="194"/>
      <c r="DF152" s="194"/>
      <c r="DG152" s="194"/>
      <c r="DH152" s="194"/>
      <c r="DI152" s="194"/>
      <c r="DJ152" s="194"/>
      <c r="DK152" s="194"/>
      <c r="DL152" s="194"/>
      <c r="DM152" s="1987"/>
      <c r="DN152" s="1987"/>
      <c r="DO152" s="1987"/>
      <c r="DP152" s="1987"/>
      <c r="DQ152" s="1987"/>
      <c r="DR152" s="1987"/>
      <c r="DS152" s="1987"/>
      <c r="DT152" s="1987"/>
      <c r="DU152" s="1987"/>
      <c r="DV152" s="1987"/>
      <c r="DW152" s="1987"/>
      <c r="DX152" s="1987"/>
    </row>
    <row r="153" spans="1:128">
      <c r="A153" s="2924"/>
      <c r="B153" s="4"/>
      <c r="C153" s="140"/>
      <c r="D153" s="4"/>
      <c r="E153" s="4"/>
      <c r="F153" s="4"/>
      <c r="G153" s="2925"/>
      <c r="H153" s="4"/>
      <c r="I153" s="140"/>
      <c r="J153" s="4"/>
      <c r="K153" s="4"/>
      <c r="L153" s="4"/>
      <c r="M153" s="2925"/>
      <c r="N153" s="4"/>
      <c r="O153" s="140"/>
      <c r="P153" s="4"/>
      <c r="Q153" s="4"/>
      <c r="R153" s="4"/>
      <c r="S153" s="2925"/>
      <c r="T153" s="4"/>
      <c r="U153" s="140"/>
      <c r="V153" s="4"/>
      <c r="W153" s="4"/>
      <c r="X153" s="4"/>
      <c r="Y153" s="2925"/>
      <c r="Z153" s="4"/>
      <c r="AA153" s="140"/>
      <c r="AB153" s="4"/>
      <c r="AC153" s="4"/>
      <c r="AD153" s="4"/>
      <c r="AE153" s="2925"/>
      <c r="AF153" s="4"/>
      <c r="AG153" s="140"/>
      <c r="AH153" s="4"/>
      <c r="AI153" s="4"/>
      <c r="AJ153" s="4"/>
      <c r="AK153" s="2926"/>
      <c r="AL153" s="4"/>
      <c r="AM153" s="140"/>
      <c r="AN153" s="164"/>
      <c r="AO153" s="164"/>
      <c r="AP153" s="23"/>
      <c r="AQ153" s="2925"/>
      <c r="AR153" s="4"/>
      <c r="AS153" s="2927"/>
      <c r="AT153" s="2928"/>
      <c r="AU153" s="2928"/>
      <c r="AV153" s="4"/>
      <c r="AW153" s="2925"/>
      <c r="AX153" s="4"/>
      <c r="AY153" s="140"/>
      <c r="AZ153" s="4"/>
      <c r="BA153" s="4"/>
      <c r="BB153" s="4"/>
      <c r="BC153" s="2925"/>
      <c r="BD153" s="4"/>
      <c r="BE153" s="2174"/>
      <c r="BF153" s="4"/>
      <c r="BG153" s="4"/>
      <c r="BH153" s="4"/>
      <c r="BI153" s="2925"/>
      <c r="BJ153" s="4"/>
      <c r="BK153" s="140"/>
      <c r="BL153" s="4"/>
      <c r="BM153" s="4"/>
      <c r="BN153" s="4"/>
      <c r="BO153" s="2925"/>
      <c r="BP153" s="4"/>
      <c r="BQ153" s="140"/>
      <c r="BR153" s="4"/>
      <c r="BS153" s="4"/>
      <c r="BT153" s="4"/>
      <c r="BU153" s="2925"/>
      <c r="BV153" s="4"/>
      <c r="BW153" s="140"/>
      <c r="BX153" s="4"/>
      <c r="BY153" s="4"/>
      <c r="BZ153" s="4"/>
      <c r="CA153" s="2925"/>
      <c r="CB153" s="4"/>
      <c r="CC153" s="140"/>
      <c r="CD153" s="4"/>
      <c r="CE153" s="4"/>
      <c r="CF153" s="4"/>
      <c r="CG153" s="2925"/>
      <c r="CH153" s="4"/>
      <c r="CI153" s="140"/>
      <c r="CJ153" s="4"/>
      <c r="CK153" s="4"/>
      <c r="CL153" s="4"/>
      <c r="CM153" s="2925"/>
      <c r="CN153" s="4"/>
      <c r="CO153" s="140"/>
      <c r="CP153" s="4"/>
      <c r="CQ153" s="4"/>
      <c r="CR153" s="4"/>
      <c r="CS153" s="2925"/>
      <c r="CT153" s="2474"/>
      <c r="CU153" s="2474"/>
      <c r="CV153" s="2474"/>
      <c r="CX153" s="194"/>
      <c r="CY153" s="194"/>
      <c r="CZ153" s="194"/>
      <c r="DA153" s="194"/>
      <c r="DB153" s="194"/>
      <c r="DC153" s="194"/>
      <c r="DD153" s="194"/>
      <c r="DE153" s="194"/>
      <c r="DF153" s="194"/>
      <c r="DG153" s="194"/>
      <c r="DH153" s="194"/>
      <c r="DI153" s="194"/>
      <c r="DJ153" s="194"/>
      <c r="DK153" s="194"/>
      <c r="DL153" s="194"/>
      <c r="DM153" s="1987"/>
      <c r="DN153" s="1987"/>
      <c r="DO153" s="1987"/>
      <c r="DP153" s="1987"/>
      <c r="DQ153" s="1987"/>
      <c r="DR153" s="1987"/>
      <c r="DS153" s="1987"/>
      <c r="DT153" s="1987"/>
      <c r="DU153" s="1987"/>
      <c r="DV153" s="1987"/>
      <c r="DW153" s="1987"/>
      <c r="DX153" s="1987"/>
    </row>
    <row r="154" spans="1:128">
      <c r="A154" s="2924"/>
      <c r="B154" s="4"/>
      <c r="C154" s="140"/>
      <c r="D154" s="4"/>
      <c r="E154" s="4"/>
      <c r="F154" s="4"/>
      <c r="G154" s="2925"/>
      <c r="H154" s="4"/>
      <c r="I154" s="140"/>
      <c r="J154" s="4"/>
      <c r="K154" s="4"/>
      <c r="L154" s="4"/>
      <c r="M154" s="2925"/>
      <c r="N154" s="4"/>
      <c r="O154" s="140"/>
      <c r="P154" s="4"/>
      <c r="Q154" s="4"/>
      <c r="R154" s="4"/>
      <c r="S154" s="2925"/>
      <c r="T154" s="4"/>
      <c r="U154" s="140"/>
      <c r="V154" s="4"/>
      <c r="W154" s="4"/>
      <c r="X154" s="4"/>
      <c r="Y154" s="2925"/>
      <c r="Z154" s="4"/>
      <c r="AA154" s="140"/>
      <c r="AB154" s="4"/>
      <c r="AC154" s="4"/>
      <c r="AD154" s="4"/>
      <c r="AE154" s="2925"/>
      <c r="AF154" s="4"/>
      <c r="AG154" s="140"/>
      <c r="AH154" s="4"/>
      <c r="AI154" s="4"/>
      <c r="AJ154" s="4"/>
      <c r="AK154" s="2926"/>
      <c r="AL154" s="4"/>
      <c r="AM154" s="140"/>
      <c r="AN154" s="164"/>
      <c r="AO154" s="164"/>
      <c r="AP154" s="23"/>
      <c r="AQ154" s="2925"/>
      <c r="AR154" s="4"/>
      <c r="AS154" s="2927"/>
      <c r="AT154" s="2928"/>
      <c r="AU154" s="2928"/>
      <c r="AV154" s="4"/>
      <c r="AW154" s="2925"/>
      <c r="AX154" s="4"/>
      <c r="AY154" s="140"/>
      <c r="AZ154" s="4"/>
      <c r="BA154" s="4"/>
      <c r="BB154" s="4"/>
      <c r="BC154" s="2925"/>
      <c r="BD154" s="4"/>
      <c r="BE154" s="2174"/>
      <c r="BF154" s="4"/>
      <c r="BG154" s="4"/>
      <c r="BH154" s="4"/>
      <c r="BI154" s="2925"/>
      <c r="BJ154" s="4"/>
      <c r="BK154" s="140"/>
      <c r="BL154" s="4"/>
      <c r="BM154" s="4"/>
      <c r="BN154" s="4"/>
      <c r="BO154" s="2925"/>
      <c r="BP154" s="4"/>
      <c r="BQ154" s="140"/>
      <c r="BR154" s="4"/>
      <c r="BS154" s="4"/>
      <c r="BT154" s="4"/>
      <c r="BU154" s="2925"/>
      <c r="BV154" s="4"/>
      <c r="BW154" s="140"/>
      <c r="BX154" s="4"/>
      <c r="BY154" s="4"/>
      <c r="BZ154" s="4"/>
      <c r="CA154" s="2925"/>
      <c r="CB154" s="4"/>
      <c r="CC154" s="140"/>
      <c r="CD154" s="4"/>
      <c r="CE154" s="4"/>
      <c r="CF154" s="4"/>
      <c r="CG154" s="2925"/>
      <c r="CH154" s="4"/>
      <c r="CI154" s="140"/>
      <c r="CJ154" s="4"/>
      <c r="CK154" s="4"/>
      <c r="CL154" s="4"/>
      <c r="CM154" s="2925"/>
      <c r="CN154" s="4"/>
      <c r="CO154" s="140"/>
      <c r="CP154" s="4"/>
      <c r="CQ154" s="4"/>
      <c r="CR154" s="4"/>
      <c r="CS154" s="2925"/>
      <c r="CT154" s="2474"/>
      <c r="CU154" s="2474"/>
      <c r="CV154" s="2474"/>
      <c r="CX154" s="194"/>
      <c r="CY154" s="194"/>
      <c r="CZ154" s="194"/>
      <c r="DA154" s="194"/>
      <c r="DB154" s="194"/>
      <c r="DC154" s="194"/>
      <c r="DD154" s="194"/>
      <c r="DE154" s="194"/>
      <c r="DF154" s="194"/>
      <c r="DG154" s="194"/>
      <c r="DH154" s="194"/>
      <c r="DI154" s="194"/>
      <c r="DJ154" s="194"/>
      <c r="DK154" s="194"/>
      <c r="DL154" s="194"/>
      <c r="DM154" s="1987"/>
      <c r="DN154" s="1987"/>
      <c r="DO154" s="1987"/>
      <c r="DP154" s="1987"/>
      <c r="DQ154" s="1987"/>
      <c r="DR154" s="1987"/>
      <c r="DS154" s="1987"/>
      <c r="DT154" s="1987"/>
      <c r="DU154" s="1987"/>
      <c r="DV154" s="1987"/>
      <c r="DW154" s="1987"/>
      <c r="DX154" s="1987"/>
    </row>
    <row r="155" spans="1:128">
      <c r="CX155" s="194"/>
      <c r="CY155" s="194"/>
      <c r="CZ155" s="194"/>
      <c r="DA155" s="194"/>
      <c r="DB155" s="194"/>
      <c r="DC155" s="194"/>
      <c r="DD155" s="194"/>
      <c r="DE155" s="194"/>
      <c r="DF155" s="194"/>
      <c r="DG155" s="194"/>
      <c r="DH155" s="194"/>
      <c r="DI155" s="194"/>
      <c r="DJ155" s="194"/>
      <c r="DK155" s="194"/>
      <c r="DL155" s="194"/>
      <c r="DM155" s="1987"/>
      <c r="DN155" s="1987"/>
      <c r="DO155" s="1987"/>
      <c r="DP155" s="1987"/>
      <c r="DQ155" s="1987"/>
      <c r="DR155" s="1987"/>
      <c r="DS155" s="1987"/>
      <c r="DT155" s="1987"/>
      <c r="DU155" s="1987"/>
      <c r="DV155" s="1987"/>
      <c r="DW155" s="1987"/>
      <c r="DX155" s="1987"/>
    </row>
    <row r="156" spans="1:128">
      <c r="A156" s="2348" t="s">
        <v>783</v>
      </c>
      <c r="AK156" s="1356"/>
      <c r="AL156" s="1356"/>
      <c r="AM156" s="1356"/>
      <c r="AN156" s="1356"/>
      <c r="AO156" s="2351"/>
      <c r="AP156" s="2351" t="s">
        <v>769</v>
      </c>
      <c r="AQ156" s="1356"/>
      <c r="AR156" s="1356"/>
      <c r="AS156" s="1356"/>
      <c r="AT156" s="1356"/>
      <c r="AU156" s="1356">
        <v>0.02</v>
      </c>
      <c r="AV156" s="1356"/>
      <c r="AW156" s="1356"/>
      <c r="AX156" s="1356"/>
      <c r="AY156" s="1356"/>
      <c r="AZ156" s="1356"/>
      <c r="BA156" s="1356"/>
      <c r="BB156" s="1356"/>
      <c r="BC156" s="1356"/>
      <c r="BD156" s="1356"/>
      <c r="BE156" s="1356"/>
      <c r="BF156" s="1356"/>
      <c r="BG156" s="1356">
        <v>0.15</v>
      </c>
      <c r="BI156" s="1356"/>
      <c r="CX156" s="194"/>
      <c r="CY156" s="194"/>
      <c r="CZ156" s="194"/>
      <c r="DA156" s="194"/>
      <c r="DB156" s="194"/>
      <c r="DC156" s="194"/>
      <c r="DD156" s="194"/>
      <c r="DE156" s="194"/>
      <c r="DF156" s="194"/>
      <c r="DG156" s="194"/>
      <c r="DH156" s="194"/>
      <c r="DI156" s="194"/>
      <c r="DJ156" s="194"/>
      <c r="DK156" s="194"/>
      <c r="DL156" s="194"/>
      <c r="DM156" s="1987"/>
      <c r="DN156" s="1987"/>
      <c r="DO156" s="1987"/>
      <c r="DP156" s="1987"/>
      <c r="DQ156" s="1987"/>
      <c r="DR156" s="1987"/>
      <c r="DS156" s="1987"/>
      <c r="DT156" s="1987"/>
      <c r="DU156" s="1987"/>
      <c r="DV156" s="1987"/>
      <c r="DW156" s="1987"/>
      <c r="DX156" s="1987"/>
    </row>
    <row r="157" spans="1:128">
      <c r="A157" s="2463" t="s">
        <v>782</v>
      </c>
      <c r="AQ157" s="2282">
        <v>65</v>
      </c>
      <c r="AW157" s="2282"/>
      <c r="BI157" s="2282">
        <v>500</v>
      </c>
    </row>
    <row r="158" spans="1:128">
      <c r="A158" s="2348" t="s">
        <v>781</v>
      </c>
      <c r="BI158" s="2370">
        <f>+(BI157/AQ157)^(1/3)-1</f>
        <v>0.97402303374857113</v>
      </c>
    </row>
    <row r="159" spans="1:128">
      <c r="CX159" s="60"/>
      <c r="CY159" s="60"/>
      <c r="CZ159" s="60"/>
      <c r="DA159" s="60"/>
      <c r="DB159" s="60"/>
      <c r="DC159" s="60"/>
      <c r="DD159" s="60"/>
      <c r="DE159" s="60"/>
      <c r="DF159" s="60"/>
      <c r="DG159" s="60"/>
      <c r="DH159" s="60"/>
      <c r="DI159" s="60"/>
      <c r="DJ159" s="60"/>
      <c r="DK159" s="60"/>
      <c r="DL159" s="60"/>
      <c r="DM159" s="68"/>
      <c r="DN159" s="68"/>
      <c r="DO159" s="68"/>
      <c r="DP159" s="68"/>
      <c r="DQ159" s="68"/>
      <c r="DR159" s="68"/>
      <c r="DS159" s="68"/>
      <c r="DT159" s="68"/>
      <c r="DU159" s="68"/>
      <c r="DV159" s="68"/>
      <c r="DW159" s="68"/>
      <c r="DX159" s="68"/>
    </row>
    <row r="160" spans="1:128">
      <c r="CX160" s="60"/>
      <c r="CY160" s="60"/>
      <c r="CZ160" s="60"/>
      <c r="DA160" s="60"/>
      <c r="DB160" s="60"/>
      <c r="DC160" s="60"/>
      <c r="DD160" s="60"/>
      <c r="DE160" s="60"/>
      <c r="DF160" s="60"/>
      <c r="DG160" s="60"/>
      <c r="DH160" s="60"/>
      <c r="DI160" s="60"/>
      <c r="DJ160" s="60"/>
      <c r="DK160" s="60"/>
      <c r="DL160" s="60"/>
      <c r="DM160" s="68"/>
      <c r="DN160" s="68"/>
      <c r="DO160" s="68"/>
      <c r="DP160" s="68"/>
      <c r="DQ160" s="68"/>
      <c r="DR160" s="68"/>
      <c r="DS160" s="68"/>
      <c r="DT160" s="68"/>
      <c r="DU160" s="68"/>
      <c r="DV160" s="68"/>
      <c r="DW160" s="68"/>
      <c r="DX160" s="68"/>
    </row>
    <row r="161" spans="102:128">
      <c r="CX161" s="60"/>
      <c r="CY161" s="60"/>
      <c r="CZ161" s="60"/>
      <c r="DA161" s="60"/>
      <c r="DB161" s="60"/>
      <c r="DC161" s="60"/>
      <c r="DD161" s="60"/>
      <c r="DE161" s="60"/>
      <c r="DF161" s="60"/>
      <c r="DG161" s="60"/>
      <c r="DH161" s="60"/>
      <c r="DI161" s="60"/>
      <c r="DJ161" s="60"/>
      <c r="DK161" s="60"/>
      <c r="DL161" s="60"/>
      <c r="DM161" s="68"/>
      <c r="DN161" s="68"/>
      <c r="DO161" s="68"/>
      <c r="DP161" s="68"/>
      <c r="DQ161" s="68"/>
      <c r="DR161" s="68"/>
      <c r="DS161" s="68"/>
      <c r="DT161" s="68"/>
      <c r="DU161" s="68"/>
      <c r="DV161" s="68"/>
      <c r="DW161" s="68"/>
      <c r="DX161" s="68"/>
    </row>
    <row r="162" spans="102:128">
      <c r="CX162" s="60"/>
      <c r="CY162" s="60"/>
      <c r="CZ162" s="60"/>
      <c r="DA162" s="60"/>
      <c r="DB162" s="60"/>
      <c r="DC162" s="60"/>
      <c r="DD162" s="60"/>
      <c r="DE162" s="60"/>
      <c r="DF162" s="60"/>
      <c r="DG162" s="60"/>
      <c r="DH162" s="60"/>
      <c r="DI162" s="60"/>
      <c r="DJ162" s="60"/>
      <c r="DK162" s="60"/>
      <c r="DL162" s="60"/>
      <c r="DM162" s="68"/>
      <c r="DN162" s="68"/>
      <c r="DO162" s="68"/>
      <c r="DP162" s="68"/>
      <c r="DQ162" s="68"/>
      <c r="DR162" s="68"/>
      <c r="DS162" s="68"/>
      <c r="DT162" s="68"/>
      <c r="DU162" s="68"/>
      <c r="DV162" s="68"/>
      <c r="DW162" s="68"/>
      <c r="DX162" s="68"/>
    </row>
    <row r="163" spans="102:128">
      <c r="CX163" s="60"/>
      <c r="CY163" s="60"/>
      <c r="CZ163" s="60"/>
      <c r="DA163" s="60"/>
      <c r="DB163" s="60"/>
      <c r="DC163" s="60"/>
      <c r="DD163" s="60"/>
      <c r="DE163" s="60"/>
      <c r="DF163" s="60"/>
      <c r="DG163" s="60"/>
      <c r="DH163" s="60"/>
      <c r="DI163" s="60"/>
      <c r="DJ163" s="60"/>
      <c r="DK163" s="60"/>
      <c r="DL163" s="60"/>
      <c r="DM163" s="68"/>
      <c r="DN163" s="68"/>
      <c r="DO163" s="68"/>
      <c r="DP163" s="68"/>
      <c r="DQ163" s="68"/>
      <c r="DR163" s="68"/>
      <c r="DS163" s="68"/>
      <c r="DT163" s="68"/>
      <c r="DU163" s="68"/>
      <c r="DV163" s="68"/>
      <c r="DW163" s="68"/>
      <c r="DX163" s="68"/>
    </row>
    <row r="164" spans="102:128">
      <c r="CX164" s="60"/>
      <c r="CY164" s="60"/>
      <c r="CZ164" s="60"/>
      <c r="DA164" s="60"/>
      <c r="DB164" s="60"/>
      <c r="DC164" s="60"/>
      <c r="DD164" s="60"/>
      <c r="DE164" s="60"/>
      <c r="DF164" s="60"/>
      <c r="DG164" s="60"/>
      <c r="DH164" s="60"/>
      <c r="DI164" s="60"/>
      <c r="DJ164" s="60"/>
      <c r="DK164" s="60"/>
      <c r="DL164" s="60"/>
      <c r="DM164" s="68"/>
      <c r="DN164" s="68"/>
      <c r="DO164" s="68"/>
      <c r="DP164" s="68"/>
      <c r="DQ164" s="68"/>
      <c r="DR164" s="68"/>
      <c r="DS164" s="68"/>
      <c r="DT164" s="68"/>
      <c r="DU164" s="68"/>
      <c r="DV164" s="68"/>
      <c r="DW164" s="68"/>
      <c r="DX164" s="68"/>
    </row>
    <row r="165" spans="102:128">
      <c r="CX165" s="60"/>
      <c r="CY165" s="60"/>
      <c r="CZ165" s="60"/>
      <c r="DA165" s="60"/>
      <c r="DB165" s="60"/>
      <c r="DC165" s="60"/>
      <c r="DD165" s="60"/>
      <c r="DE165" s="60"/>
      <c r="DF165" s="60"/>
      <c r="DG165" s="60"/>
      <c r="DH165" s="60"/>
      <c r="DI165" s="60"/>
      <c r="DJ165" s="60"/>
      <c r="DK165" s="60"/>
      <c r="DL165" s="60"/>
      <c r="DM165" s="68"/>
      <c r="DN165" s="68"/>
      <c r="DO165" s="68"/>
      <c r="DP165" s="68"/>
      <c r="DQ165" s="68"/>
      <c r="DR165" s="68"/>
      <c r="DS165" s="68"/>
      <c r="DT165" s="68"/>
      <c r="DU165" s="68"/>
      <c r="DV165" s="68"/>
      <c r="DW165" s="68"/>
      <c r="DX165" s="68"/>
    </row>
    <row r="166" spans="102:128">
      <c r="CX166" s="60"/>
      <c r="CY166" s="60"/>
      <c r="CZ166" s="60"/>
      <c r="DA166" s="60"/>
      <c r="DB166" s="60"/>
      <c r="DC166" s="60"/>
      <c r="DD166" s="60"/>
      <c r="DE166" s="60"/>
      <c r="DF166" s="60"/>
      <c r="DG166" s="60"/>
      <c r="DH166" s="60"/>
      <c r="DI166" s="60"/>
      <c r="DJ166" s="60"/>
      <c r="DK166" s="60"/>
      <c r="DL166" s="60"/>
      <c r="DM166" s="68"/>
      <c r="DN166" s="68"/>
      <c r="DO166" s="68"/>
      <c r="DP166" s="68"/>
      <c r="DQ166" s="68"/>
      <c r="DR166" s="68"/>
      <c r="DS166" s="68"/>
      <c r="DT166" s="68"/>
      <c r="DU166" s="68"/>
      <c r="DV166" s="68"/>
      <c r="DW166" s="68"/>
      <c r="DX166" s="68"/>
    </row>
    <row r="167" spans="102:128">
      <c r="CX167" s="60"/>
      <c r="CY167" s="60"/>
      <c r="CZ167" s="60"/>
      <c r="DA167" s="60"/>
      <c r="DB167" s="60"/>
      <c r="DC167" s="60"/>
      <c r="DD167" s="60"/>
      <c r="DE167" s="60"/>
      <c r="DF167" s="60"/>
      <c r="DG167" s="60"/>
      <c r="DH167" s="60"/>
      <c r="DI167" s="60"/>
      <c r="DJ167" s="60"/>
      <c r="DK167" s="60"/>
      <c r="DL167" s="60"/>
      <c r="DM167" s="68"/>
      <c r="DN167" s="68"/>
      <c r="DO167" s="68"/>
      <c r="DP167" s="68"/>
      <c r="DQ167" s="68"/>
      <c r="DR167" s="68"/>
      <c r="DS167" s="68"/>
      <c r="DT167" s="68"/>
      <c r="DU167" s="68"/>
      <c r="DV167" s="68"/>
      <c r="DW167" s="68"/>
      <c r="DX167" s="68"/>
    </row>
    <row r="168" spans="102:128">
      <c r="CX168" s="60"/>
      <c r="CY168" s="60"/>
      <c r="CZ168" s="60"/>
      <c r="DA168" s="60"/>
      <c r="DB168" s="60"/>
      <c r="DC168" s="60"/>
      <c r="DD168" s="60"/>
      <c r="DE168" s="60"/>
      <c r="DF168" s="60"/>
      <c r="DG168" s="60"/>
      <c r="DH168" s="60"/>
      <c r="DI168" s="60"/>
      <c r="DJ168" s="60"/>
      <c r="DK168" s="60"/>
      <c r="DL168" s="60"/>
      <c r="DM168" s="68"/>
      <c r="DN168" s="68"/>
      <c r="DO168" s="68"/>
      <c r="DP168" s="68"/>
      <c r="DQ168" s="68"/>
      <c r="DR168" s="68"/>
      <c r="DS168" s="68"/>
      <c r="DT168" s="68"/>
      <c r="DU168" s="68"/>
      <c r="DV168" s="68"/>
      <c r="DW168" s="68"/>
      <c r="DX168" s="68"/>
    </row>
    <row r="169" spans="102:128">
      <c r="CX169" s="194"/>
      <c r="CY169" s="194"/>
      <c r="CZ169" s="194"/>
      <c r="DA169" s="194"/>
      <c r="DB169" s="194"/>
      <c r="DC169" s="194"/>
      <c r="DD169" s="194"/>
      <c r="DE169" s="194"/>
      <c r="DF169" s="194"/>
      <c r="DG169" s="194"/>
      <c r="DH169" s="194"/>
      <c r="DI169" s="194"/>
      <c r="DJ169" s="194"/>
      <c r="DK169" s="194"/>
      <c r="DL169" s="194"/>
      <c r="DM169" s="1987"/>
      <c r="DN169" s="1987"/>
      <c r="DO169" s="1987"/>
      <c r="DP169" s="1987"/>
      <c r="DQ169" s="1987"/>
      <c r="DR169" s="1987"/>
      <c r="DS169" s="1987"/>
      <c r="DT169" s="1987"/>
      <c r="DU169" s="1987"/>
      <c r="DV169" s="1987"/>
      <c r="DW169" s="1987"/>
      <c r="DX169" s="1987"/>
    </row>
    <row r="170" spans="102:128">
      <c r="CX170" s="60"/>
      <c r="CY170" s="60"/>
      <c r="CZ170" s="60"/>
      <c r="DA170" s="60"/>
      <c r="DB170" s="60"/>
      <c r="DC170" s="60"/>
      <c r="DD170" s="60"/>
      <c r="DE170" s="60"/>
      <c r="DF170" s="60"/>
      <c r="DG170" s="60"/>
      <c r="DH170" s="60"/>
      <c r="DI170" s="60"/>
      <c r="DJ170" s="60"/>
      <c r="DK170" s="60"/>
      <c r="DL170" s="60"/>
      <c r="DM170" s="68"/>
      <c r="DN170" s="68"/>
      <c r="DO170" s="68"/>
      <c r="DP170" s="68"/>
      <c r="DQ170" s="68"/>
      <c r="DR170" s="68"/>
      <c r="DS170" s="68"/>
      <c r="DT170" s="68"/>
      <c r="DU170" s="68"/>
      <c r="DV170" s="68"/>
      <c r="DW170" s="68"/>
      <c r="DX170" s="68"/>
    </row>
    <row r="171" spans="102:128">
      <c r="CX171" s="60"/>
      <c r="CY171" s="60"/>
      <c r="CZ171" s="60"/>
      <c r="DA171" s="60"/>
      <c r="DB171" s="60"/>
      <c r="DC171" s="60"/>
      <c r="DD171" s="60"/>
      <c r="DE171" s="60"/>
      <c r="DF171" s="60"/>
      <c r="DG171" s="60"/>
      <c r="DH171" s="60"/>
      <c r="DI171" s="60"/>
      <c r="DJ171" s="60"/>
      <c r="DK171" s="60"/>
      <c r="DL171" s="60"/>
      <c r="DM171" s="68"/>
      <c r="DN171" s="68"/>
      <c r="DO171" s="68"/>
      <c r="DP171" s="68"/>
      <c r="DQ171" s="68"/>
      <c r="DR171" s="68"/>
      <c r="DS171" s="68"/>
      <c r="DT171" s="68"/>
      <c r="DU171" s="68"/>
      <c r="DV171" s="68"/>
      <c r="DW171" s="68"/>
      <c r="DX171" s="68"/>
    </row>
    <row r="172" spans="102:128">
      <c r="CX172" s="194"/>
      <c r="CY172" s="194"/>
      <c r="CZ172" s="194"/>
      <c r="DA172" s="194"/>
      <c r="DB172" s="194"/>
      <c r="DC172" s="194"/>
      <c r="DD172" s="194"/>
      <c r="DE172" s="194"/>
      <c r="DF172" s="194"/>
      <c r="DG172" s="194"/>
      <c r="DH172" s="194"/>
      <c r="DI172" s="194"/>
      <c r="DJ172" s="194"/>
      <c r="DK172" s="194"/>
      <c r="DL172" s="194"/>
      <c r="DM172" s="1987"/>
      <c r="DN172" s="1987"/>
      <c r="DO172" s="1987"/>
      <c r="DP172" s="1987"/>
      <c r="DQ172" s="1987"/>
      <c r="DR172" s="1987"/>
      <c r="DS172" s="1987"/>
      <c r="DT172" s="1987"/>
      <c r="DU172" s="1987"/>
      <c r="DV172" s="1987"/>
      <c r="DW172" s="1987"/>
      <c r="DX172" s="1987"/>
    </row>
    <row r="173" spans="102:128">
      <c r="CX173" s="60"/>
      <c r="CY173" s="60"/>
      <c r="CZ173" s="60"/>
      <c r="DA173" s="60"/>
      <c r="DB173" s="60"/>
      <c r="DC173" s="60"/>
      <c r="DD173" s="60"/>
      <c r="DE173" s="60"/>
      <c r="DF173" s="60"/>
      <c r="DG173" s="60"/>
      <c r="DH173" s="60"/>
      <c r="DI173" s="60"/>
      <c r="DJ173" s="60"/>
      <c r="DK173" s="60"/>
      <c r="DL173" s="60"/>
      <c r="DM173" s="68"/>
      <c r="DN173" s="68"/>
      <c r="DO173" s="68"/>
      <c r="DP173" s="68"/>
      <c r="DQ173" s="68"/>
      <c r="DR173" s="68"/>
      <c r="DS173" s="68"/>
      <c r="DT173" s="68"/>
      <c r="DU173" s="68"/>
      <c r="DV173" s="68"/>
      <c r="DW173" s="68"/>
      <c r="DX173" s="68"/>
    </row>
    <row r="174" spans="102:128" hidden="1"/>
    <row r="175" spans="102:128" hidden="1"/>
    <row r="176" spans="102:128" hidden="1"/>
    <row r="177" hidden="1"/>
    <row r="178" collapsed="1"/>
    <row r="179" hidden="1"/>
    <row r="182" hidden="1"/>
    <row r="183" collapsed="1"/>
    <row r="184" hidden="1"/>
    <row r="185" collapsed="1"/>
    <row r="186" hidden="1"/>
    <row r="187" hidden="1"/>
    <row r="190" hidden="1"/>
    <row r="191" collapsed="1"/>
    <row r="192" hidden="1"/>
    <row r="193" collapsed="1"/>
    <row r="194" hidden="1"/>
    <row r="195" collapsed="1"/>
    <row r="196" hidden="1"/>
    <row r="197" collapsed="1"/>
    <row r="198" hidden="1"/>
    <row r="199" collapsed="1"/>
    <row r="207" ht="12" customHeight="1"/>
    <row r="208" ht="12" customHeight="1"/>
    <row r="229" ht="5.0999999999999996" customHeight="1"/>
    <row r="231" ht="5.0999999999999996" customHeight="1"/>
    <row r="238" hidden="1"/>
    <row r="239" hidden="1"/>
    <row r="240" collapsed="1"/>
    <row r="242" hidden="1"/>
    <row r="243" hidden="1"/>
    <row r="244" collapsed="1"/>
    <row r="246" ht="6.75" hidden="1" customHeight="1"/>
    <row r="247" ht="6.75" customHeight="1" collapsed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collapsed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collapsed="1"/>
    <row r="325" ht="13.5" customHeight="1"/>
    <row r="326" ht="13.5" customHeight="1"/>
  </sheetData>
  <pageMargins left="0.25" right="0.25" top="0.75" bottom="0.75" header="0.3" footer="0.3"/>
  <pageSetup scale="25" orientation="landscape" r:id="rId1"/>
  <headerFooter alignWithMargins="0"/>
  <rowBreaks count="2" manualBreakCount="2">
    <brk id="108" max="66" man="1"/>
    <brk id="177" max="66" man="1"/>
  </rowBreaks>
  <ignoredErrors>
    <ignoredError sqref="BO30 BI30 AK111:CG113 BI86:CG86 BI74:CG77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3"/>
  <sheetViews>
    <sheetView workbookViewId="0">
      <selection activeCell="B42" sqref="B42"/>
    </sheetView>
  </sheetViews>
  <sheetFormatPr defaultRowHeight="12.75"/>
  <cols>
    <col min="1" max="1" width="29.5703125" style="2782" bestFit="1" customWidth="1"/>
    <col min="2" max="2" width="19.85546875" style="3092" customWidth="1"/>
    <col min="3" max="3" width="12" style="2782" bestFit="1" customWidth="1"/>
    <col min="4" max="256" width="9.140625" style="2782"/>
    <col min="257" max="257" width="29.5703125" style="2782" bestFit="1" customWidth="1"/>
    <col min="258" max="258" width="19.85546875" style="2782" customWidth="1"/>
    <col min="259" max="259" width="12" style="2782" bestFit="1" customWidth="1"/>
    <col min="260" max="512" width="9.140625" style="2782"/>
    <col min="513" max="513" width="29.5703125" style="2782" bestFit="1" customWidth="1"/>
    <col min="514" max="514" width="19.85546875" style="2782" customWidth="1"/>
    <col min="515" max="515" width="12" style="2782" bestFit="1" customWidth="1"/>
    <col min="516" max="768" width="9.140625" style="2782"/>
    <col min="769" max="769" width="29.5703125" style="2782" bestFit="1" customWidth="1"/>
    <col min="770" max="770" width="19.85546875" style="2782" customWidth="1"/>
    <col min="771" max="771" width="12" style="2782" bestFit="1" customWidth="1"/>
    <col min="772" max="1024" width="9.140625" style="2782"/>
    <col min="1025" max="1025" width="29.5703125" style="2782" bestFit="1" customWidth="1"/>
    <col min="1026" max="1026" width="19.85546875" style="2782" customWidth="1"/>
    <col min="1027" max="1027" width="12" style="2782" bestFit="1" customWidth="1"/>
    <col min="1028" max="1280" width="9.140625" style="2782"/>
    <col min="1281" max="1281" width="29.5703125" style="2782" bestFit="1" customWidth="1"/>
    <col min="1282" max="1282" width="19.85546875" style="2782" customWidth="1"/>
    <col min="1283" max="1283" width="12" style="2782" bestFit="1" customWidth="1"/>
    <col min="1284" max="1536" width="9.140625" style="2782"/>
    <col min="1537" max="1537" width="29.5703125" style="2782" bestFit="1" customWidth="1"/>
    <col min="1538" max="1538" width="19.85546875" style="2782" customWidth="1"/>
    <col min="1539" max="1539" width="12" style="2782" bestFit="1" customWidth="1"/>
    <col min="1540" max="1792" width="9.140625" style="2782"/>
    <col min="1793" max="1793" width="29.5703125" style="2782" bestFit="1" customWidth="1"/>
    <col min="1794" max="1794" width="19.85546875" style="2782" customWidth="1"/>
    <col min="1795" max="1795" width="12" style="2782" bestFit="1" customWidth="1"/>
    <col min="1796" max="2048" width="9.140625" style="2782"/>
    <col min="2049" max="2049" width="29.5703125" style="2782" bestFit="1" customWidth="1"/>
    <col min="2050" max="2050" width="19.85546875" style="2782" customWidth="1"/>
    <col min="2051" max="2051" width="12" style="2782" bestFit="1" customWidth="1"/>
    <col min="2052" max="2304" width="9.140625" style="2782"/>
    <col min="2305" max="2305" width="29.5703125" style="2782" bestFit="1" customWidth="1"/>
    <col min="2306" max="2306" width="19.85546875" style="2782" customWidth="1"/>
    <col min="2307" max="2307" width="12" style="2782" bestFit="1" customWidth="1"/>
    <col min="2308" max="2560" width="9.140625" style="2782"/>
    <col min="2561" max="2561" width="29.5703125" style="2782" bestFit="1" customWidth="1"/>
    <col min="2562" max="2562" width="19.85546875" style="2782" customWidth="1"/>
    <col min="2563" max="2563" width="12" style="2782" bestFit="1" customWidth="1"/>
    <col min="2564" max="2816" width="9.140625" style="2782"/>
    <col min="2817" max="2817" width="29.5703125" style="2782" bestFit="1" customWidth="1"/>
    <col min="2818" max="2818" width="19.85546875" style="2782" customWidth="1"/>
    <col min="2819" max="2819" width="12" style="2782" bestFit="1" customWidth="1"/>
    <col min="2820" max="3072" width="9.140625" style="2782"/>
    <col min="3073" max="3073" width="29.5703125" style="2782" bestFit="1" customWidth="1"/>
    <col min="3074" max="3074" width="19.85546875" style="2782" customWidth="1"/>
    <col min="3075" max="3075" width="12" style="2782" bestFit="1" customWidth="1"/>
    <col min="3076" max="3328" width="9.140625" style="2782"/>
    <col min="3329" max="3329" width="29.5703125" style="2782" bestFit="1" customWidth="1"/>
    <col min="3330" max="3330" width="19.85546875" style="2782" customWidth="1"/>
    <col min="3331" max="3331" width="12" style="2782" bestFit="1" customWidth="1"/>
    <col min="3332" max="3584" width="9.140625" style="2782"/>
    <col min="3585" max="3585" width="29.5703125" style="2782" bestFit="1" customWidth="1"/>
    <col min="3586" max="3586" width="19.85546875" style="2782" customWidth="1"/>
    <col min="3587" max="3587" width="12" style="2782" bestFit="1" customWidth="1"/>
    <col min="3588" max="3840" width="9.140625" style="2782"/>
    <col min="3841" max="3841" width="29.5703125" style="2782" bestFit="1" customWidth="1"/>
    <col min="3842" max="3842" width="19.85546875" style="2782" customWidth="1"/>
    <col min="3843" max="3843" width="12" style="2782" bestFit="1" customWidth="1"/>
    <col min="3844" max="4096" width="9.140625" style="2782"/>
    <col min="4097" max="4097" width="29.5703125" style="2782" bestFit="1" customWidth="1"/>
    <col min="4098" max="4098" width="19.85546875" style="2782" customWidth="1"/>
    <col min="4099" max="4099" width="12" style="2782" bestFit="1" customWidth="1"/>
    <col min="4100" max="4352" width="9.140625" style="2782"/>
    <col min="4353" max="4353" width="29.5703125" style="2782" bestFit="1" customWidth="1"/>
    <col min="4354" max="4354" width="19.85546875" style="2782" customWidth="1"/>
    <col min="4355" max="4355" width="12" style="2782" bestFit="1" customWidth="1"/>
    <col min="4356" max="4608" width="9.140625" style="2782"/>
    <col min="4609" max="4609" width="29.5703125" style="2782" bestFit="1" customWidth="1"/>
    <col min="4610" max="4610" width="19.85546875" style="2782" customWidth="1"/>
    <col min="4611" max="4611" width="12" style="2782" bestFit="1" customWidth="1"/>
    <col min="4612" max="4864" width="9.140625" style="2782"/>
    <col min="4865" max="4865" width="29.5703125" style="2782" bestFit="1" customWidth="1"/>
    <col min="4866" max="4866" width="19.85546875" style="2782" customWidth="1"/>
    <col min="4867" max="4867" width="12" style="2782" bestFit="1" customWidth="1"/>
    <col min="4868" max="5120" width="9.140625" style="2782"/>
    <col min="5121" max="5121" width="29.5703125" style="2782" bestFit="1" customWidth="1"/>
    <col min="5122" max="5122" width="19.85546875" style="2782" customWidth="1"/>
    <col min="5123" max="5123" width="12" style="2782" bestFit="1" customWidth="1"/>
    <col min="5124" max="5376" width="9.140625" style="2782"/>
    <col min="5377" max="5377" width="29.5703125" style="2782" bestFit="1" customWidth="1"/>
    <col min="5378" max="5378" width="19.85546875" style="2782" customWidth="1"/>
    <col min="5379" max="5379" width="12" style="2782" bestFit="1" customWidth="1"/>
    <col min="5380" max="5632" width="9.140625" style="2782"/>
    <col min="5633" max="5633" width="29.5703125" style="2782" bestFit="1" customWidth="1"/>
    <col min="5634" max="5634" width="19.85546875" style="2782" customWidth="1"/>
    <col min="5635" max="5635" width="12" style="2782" bestFit="1" customWidth="1"/>
    <col min="5636" max="5888" width="9.140625" style="2782"/>
    <col min="5889" max="5889" width="29.5703125" style="2782" bestFit="1" customWidth="1"/>
    <col min="5890" max="5890" width="19.85546875" style="2782" customWidth="1"/>
    <col min="5891" max="5891" width="12" style="2782" bestFit="1" customWidth="1"/>
    <col min="5892" max="6144" width="9.140625" style="2782"/>
    <col min="6145" max="6145" width="29.5703125" style="2782" bestFit="1" customWidth="1"/>
    <col min="6146" max="6146" width="19.85546875" style="2782" customWidth="1"/>
    <col min="6147" max="6147" width="12" style="2782" bestFit="1" customWidth="1"/>
    <col min="6148" max="6400" width="9.140625" style="2782"/>
    <col min="6401" max="6401" width="29.5703125" style="2782" bestFit="1" customWidth="1"/>
    <col min="6402" max="6402" width="19.85546875" style="2782" customWidth="1"/>
    <col min="6403" max="6403" width="12" style="2782" bestFit="1" customWidth="1"/>
    <col min="6404" max="6656" width="9.140625" style="2782"/>
    <col min="6657" max="6657" width="29.5703125" style="2782" bestFit="1" customWidth="1"/>
    <col min="6658" max="6658" width="19.85546875" style="2782" customWidth="1"/>
    <col min="6659" max="6659" width="12" style="2782" bestFit="1" customWidth="1"/>
    <col min="6660" max="6912" width="9.140625" style="2782"/>
    <col min="6913" max="6913" width="29.5703125" style="2782" bestFit="1" customWidth="1"/>
    <col min="6914" max="6914" width="19.85546875" style="2782" customWidth="1"/>
    <col min="6915" max="6915" width="12" style="2782" bestFit="1" customWidth="1"/>
    <col min="6916" max="7168" width="9.140625" style="2782"/>
    <col min="7169" max="7169" width="29.5703125" style="2782" bestFit="1" customWidth="1"/>
    <col min="7170" max="7170" width="19.85546875" style="2782" customWidth="1"/>
    <col min="7171" max="7171" width="12" style="2782" bestFit="1" customWidth="1"/>
    <col min="7172" max="7424" width="9.140625" style="2782"/>
    <col min="7425" max="7425" width="29.5703125" style="2782" bestFit="1" customWidth="1"/>
    <col min="7426" max="7426" width="19.85546875" style="2782" customWidth="1"/>
    <col min="7427" max="7427" width="12" style="2782" bestFit="1" customWidth="1"/>
    <col min="7428" max="7680" width="9.140625" style="2782"/>
    <col min="7681" max="7681" width="29.5703125" style="2782" bestFit="1" customWidth="1"/>
    <col min="7682" max="7682" width="19.85546875" style="2782" customWidth="1"/>
    <col min="7683" max="7683" width="12" style="2782" bestFit="1" customWidth="1"/>
    <col min="7684" max="7936" width="9.140625" style="2782"/>
    <col min="7937" max="7937" width="29.5703125" style="2782" bestFit="1" customWidth="1"/>
    <col min="7938" max="7938" width="19.85546875" style="2782" customWidth="1"/>
    <col min="7939" max="7939" width="12" style="2782" bestFit="1" customWidth="1"/>
    <col min="7940" max="8192" width="9.140625" style="2782"/>
    <col min="8193" max="8193" width="29.5703125" style="2782" bestFit="1" customWidth="1"/>
    <col min="8194" max="8194" width="19.85546875" style="2782" customWidth="1"/>
    <col min="8195" max="8195" width="12" style="2782" bestFit="1" customWidth="1"/>
    <col min="8196" max="8448" width="9.140625" style="2782"/>
    <col min="8449" max="8449" width="29.5703125" style="2782" bestFit="1" customWidth="1"/>
    <col min="8450" max="8450" width="19.85546875" style="2782" customWidth="1"/>
    <col min="8451" max="8451" width="12" style="2782" bestFit="1" customWidth="1"/>
    <col min="8452" max="8704" width="9.140625" style="2782"/>
    <col min="8705" max="8705" width="29.5703125" style="2782" bestFit="1" customWidth="1"/>
    <col min="8706" max="8706" width="19.85546875" style="2782" customWidth="1"/>
    <col min="8707" max="8707" width="12" style="2782" bestFit="1" customWidth="1"/>
    <col min="8708" max="8960" width="9.140625" style="2782"/>
    <col min="8961" max="8961" width="29.5703125" style="2782" bestFit="1" customWidth="1"/>
    <col min="8962" max="8962" width="19.85546875" style="2782" customWidth="1"/>
    <col min="8963" max="8963" width="12" style="2782" bestFit="1" customWidth="1"/>
    <col min="8964" max="9216" width="9.140625" style="2782"/>
    <col min="9217" max="9217" width="29.5703125" style="2782" bestFit="1" customWidth="1"/>
    <col min="9218" max="9218" width="19.85546875" style="2782" customWidth="1"/>
    <col min="9219" max="9219" width="12" style="2782" bestFit="1" customWidth="1"/>
    <col min="9220" max="9472" width="9.140625" style="2782"/>
    <col min="9473" max="9473" width="29.5703125" style="2782" bestFit="1" customWidth="1"/>
    <col min="9474" max="9474" width="19.85546875" style="2782" customWidth="1"/>
    <col min="9475" max="9475" width="12" style="2782" bestFit="1" customWidth="1"/>
    <col min="9476" max="9728" width="9.140625" style="2782"/>
    <col min="9729" max="9729" width="29.5703125" style="2782" bestFit="1" customWidth="1"/>
    <col min="9730" max="9730" width="19.85546875" style="2782" customWidth="1"/>
    <col min="9731" max="9731" width="12" style="2782" bestFit="1" customWidth="1"/>
    <col min="9732" max="9984" width="9.140625" style="2782"/>
    <col min="9985" max="9985" width="29.5703125" style="2782" bestFit="1" customWidth="1"/>
    <col min="9986" max="9986" width="19.85546875" style="2782" customWidth="1"/>
    <col min="9987" max="9987" width="12" style="2782" bestFit="1" customWidth="1"/>
    <col min="9988" max="10240" width="9.140625" style="2782"/>
    <col min="10241" max="10241" width="29.5703125" style="2782" bestFit="1" customWidth="1"/>
    <col min="10242" max="10242" width="19.85546875" style="2782" customWidth="1"/>
    <col min="10243" max="10243" width="12" style="2782" bestFit="1" customWidth="1"/>
    <col min="10244" max="10496" width="9.140625" style="2782"/>
    <col min="10497" max="10497" width="29.5703125" style="2782" bestFit="1" customWidth="1"/>
    <col min="10498" max="10498" width="19.85546875" style="2782" customWidth="1"/>
    <col min="10499" max="10499" width="12" style="2782" bestFit="1" customWidth="1"/>
    <col min="10500" max="10752" width="9.140625" style="2782"/>
    <col min="10753" max="10753" width="29.5703125" style="2782" bestFit="1" customWidth="1"/>
    <col min="10754" max="10754" width="19.85546875" style="2782" customWidth="1"/>
    <col min="10755" max="10755" width="12" style="2782" bestFit="1" customWidth="1"/>
    <col min="10756" max="11008" width="9.140625" style="2782"/>
    <col min="11009" max="11009" width="29.5703125" style="2782" bestFit="1" customWidth="1"/>
    <col min="11010" max="11010" width="19.85546875" style="2782" customWidth="1"/>
    <col min="11011" max="11011" width="12" style="2782" bestFit="1" customWidth="1"/>
    <col min="11012" max="11264" width="9.140625" style="2782"/>
    <col min="11265" max="11265" width="29.5703125" style="2782" bestFit="1" customWidth="1"/>
    <col min="11266" max="11266" width="19.85546875" style="2782" customWidth="1"/>
    <col min="11267" max="11267" width="12" style="2782" bestFit="1" customWidth="1"/>
    <col min="11268" max="11520" width="9.140625" style="2782"/>
    <col min="11521" max="11521" width="29.5703125" style="2782" bestFit="1" customWidth="1"/>
    <col min="11522" max="11522" width="19.85546875" style="2782" customWidth="1"/>
    <col min="11523" max="11523" width="12" style="2782" bestFit="1" customWidth="1"/>
    <col min="11524" max="11776" width="9.140625" style="2782"/>
    <col min="11777" max="11777" width="29.5703125" style="2782" bestFit="1" customWidth="1"/>
    <col min="11778" max="11778" width="19.85546875" style="2782" customWidth="1"/>
    <col min="11779" max="11779" width="12" style="2782" bestFit="1" customWidth="1"/>
    <col min="11780" max="12032" width="9.140625" style="2782"/>
    <col min="12033" max="12033" width="29.5703125" style="2782" bestFit="1" customWidth="1"/>
    <col min="12034" max="12034" width="19.85546875" style="2782" customWidth="1"/>
    <col min="12035" max="12035" width="12" style="2782" bestFit="1" customWidth="1"/>
    <col min="12036" max="12288" width="9.140625" style="2782"/>
    <col min="12289" max="12289" width="29.5703125" style="2782" bestFit="1" customWidth="1"/>
    <col min="12290" max="12290" width="19.85546875" style="2782" customWidth="1"/>
    <col min="12291" max="12291" width="12" style="2782" bestFit="1" customWidth="1"/>
    <col min="12292" max="12544" width="9.140625" style="2782"/>
    <col min="12545" max="12545" width="29.5703125" style="2782" bestFit="1" customWidth="1"/>
    <col min="12546" max="12546" width="19.85546875" style="2782" customWidth="1"/>
    <col min="12547" max="12547" width="12" style="2782" bestFit="1" customWidth="1"/>
    <col min="12548" max="12800" width="9.140625" style="2782"/>
    <col min="12801" max="12801" width="29.5703125" style="2782" bestFit="1" customWidth="1"/>
    <col min="12802" max="12802" width="19.85546875" style="2782" customWidth="1"/>
    <col min="12803" max="12803" width="12" style="2782" bestFit="1" customWidth="1"/>
    <col min="12804" max="13056" width="9.140625" style="2782"/>
    <col min="13057" max="13057" width="29.5703125" style="2782" bestFit="1" customWidth="1"/>
    <col min="13058" max="13058" width="19.85546875" style="2782" customWidth="1"/>
    <col min="13059" max="13059" width="12" style="2782" bestFit="1" customWidth="1"/>
    <col min="13060" max="13312" width="9.140625" style="2782"/>
    <col min="13313" max="13313" width="29.5703125" style="2782" bestFit="1" customWidth="1"/>
    <col min="13314" max="13314" width="19.85546875" style="2782" customWidth="1"/>
    <col min="13315" max="13315" width="12" style="2782" bestFit="1" customWidth="1"/>
    <col min="13316" max="13568" width="9.140625" style="2782"/>
    <col min="13569" max="13569" width="29.5703125" style="2782" bestFit="1" customWidth="1"/>
    <col min="13570" max="13570" width="19.85546875" style="2782" customWidth="1"/>
    <col min="13571" max="13571" width="12" style="2782" bestFit="1" customWidth="1"/>
    <col min="13572" max="13824" width="9.140625" style="2782"/>
    <col min="13825" max="13825" width="29.5703125" style="2782" bestFit="1" customWidth="1"/>
    <col min="13826" max="13826" width="19.85546875" style="2782" customWidth="1"/>
    <col min="13827" max="13827" width="12" style="2782" bestFit="1" customWidth="1"/>
    <col min="13828" max="14080" width="9.140625" style="2782"/>
    <col min="14081" max="14081" width="29.5703125" style="2782" bestFit="1" customWidth="1"/>
    <col min="14082" max="14082" width="19.85546875" style="2782" customWidth="1"/>
    <col min="14083" max="14083" width="12" style="2782" bestFit="1" customWidth="1"/>
    <col min="14084" max="14336" width="9.140625" style="2782"/>
    <col min="14337" max="14337" width="29.5703125" style="2782" bestFit="1" customWidth="1"/>
    <col min="14338" max="14338" width="19.85546875" style="2782" customWidth="1"/>
    <col min="14339" max="14339" width="12" style="2782" bestFit="1" customWidth="1"/>
    <col min="14340" max="14592" width="9.140625" style="2782"/>
    <col min="14593" max="14593" width="29.5703125" style="2782" bestFit="1" customWidth="1"/>
    <col min="14594" max="14594" width="19.85546875" style="2782" customWidth="1"/>
    <col min="14595" max="14595" width="12" style="2782" bestFit="1" customWidth="1"/>
    <col min="14596" max="14848" width="9.140625" style="2782"/>
    <col min="14849" max="14849" width="29.5703125" style="2782" bestFit="1" customWidth="1"/>
    <col min="14850" max="14850" width="19.85546875" style="2782" customWidth="1"/>
    <col min="14851" max="14851" width="12" style="2782" bestFit="1" customWidth="1"/>
    <col min="14852" max="15104" width="9.140625" style="2782"/>
    <col min="15105" max="15105" width="29.5703125" style="2782" bestFit="1" customWidth="1"/>
    <col min="15106" max="15106" width="19.85546875" style="2782" customWidth="1"/>
    <col min="15107" max="15107" width="12" style="2782" bestFit="1" customWidth="1"/>
    <col min="15108" max="15360" width="9.140625" style="2782"/>
    <col min="15361" max="15361" width="29.5703125" style="2782" bestFit="1" customWidth="1"/>
    <col min="15362" max="15362" width="19.85546875" style="2782" customWidth="1"/>
    <col min="15363" max="15363" width="12" style="2782" bestFit="1" customWidth="1"/>
    <col min="15364" max="15616" width="9.140625" style="2782"/>
    <col min="15617" max="15617" width="29.5703125" style="2782" bestFit="1" customWidth="1"/>
    <col min="15618" max="15618" width="19.85546875" style="2782" customWidth="1"/>
    <col min="15619" max="15619" width="12" style="2782" bestFit="1" customWidth="1"/>
    <col min="15620" max="15872" width="9.140625" style="2782"/>
    <col min="15873" max="15873" width="29.5703125" style="2782" bestFit="1" customWidth="1"/>
    <col min="15874" max="15874" width="19.85546875" style="2782" customWidth="1"/>
    <col min="15875" max="15875" width="12" style="2782" bestFit="1" customWidth="1"/>
    <col min="15876" max="16128" width="9.140625" style="2782"/>
    <col min="16129" max="16129" width="29.5703125" style="2782" bestFit="1" customWidth="1"/>
    <col min="16130" max="16130" width="19.85546875" style="2782" customWidth="1"/>
    <col min="16131" max="16131" width="12" style="2782" bestFit="1" customWidth="1"/>
    <col min="16132" max="16384" width="9.140625" style="2782"/>
  </cols>
  <sheetData>
    <row r="1" spans="1:2">
      <c r="A1" s="2782" t="s">
        <v>1204</v>
      </c>
      <c r="B1" s="3091">
        <v>6.1</v>
      </c>
    </row>
    <row r="2" spans="1:2">
      <c r="A2" s="2782" t="s">
        <v>1205</v>
      </c>
      <c r="B2" s="3094">
        <v>43215.394895833335</v>
      </c>
    </row>
    <row r="3" spans="1:2">
      <c r="A3" s="2782" t="s">
        <v>1206</v>
      </c>
      <c r="B3" s="3092" t="s">
        <v>905</v>
      </c>
    </row>
    <row r="4" spans="1:2">
      <c r="A4" s="2782" t="s">
        <v>1207</v>
      </c>
      <c r="B4" s="3092" t="s">
        <v>1208</v>
      </c>
    </row>
    <row r="5" spans="1:2">
      <c r="A5" s="2782" t="s">
        <v>1209</v>
      </c>
      <c r="B5" s="3092" t="s">
        <v>1210</v>
      </c>
    </row>
    <row r="6" spans="1:2">
      <c r="A6" s="2782" t="s">
        <v>1211</v>
      </c>
    </row>
    <row r="7" spans="1:2">
      <c r="A7" s="2782" t="s">
        <v>1212</v>
      </c>
      <c r="B7" s="3092" t="s">
        <v>19</v>
      </c>
    </row>
    <row r="8" spans="1:2">
      <c r="A8" s="2782" t="s">
        <v>1213</v>
      </c>
      <c r="B8" s="3092" t="s">
        <v>1214</v>
      </c>
    </row>
    <row r="9" spans="1:2">
      <c r="A9" s="2782" t="s">
        <v>1215</v>
      </c>
      <c r="B9" s="3092" t="s">
        <v>1252</v>
      </c>
    </row>
    <row r="10" spans="1:2">
      <c r="A10" s="2782" t="s">
        <v>1216</v>
      </c>
    </row>
    <row r="11" spans="1:2">
      <c r="A11" s="2782" t="s">
        <v>1217</v>
      </c>
    </row>
    <row r="12" spans="1:2">
      <c r="A12" s="2782" t="s">
        <v>1218</v>
      </c>
    </row>
    <row r="13" spans="1:2">
      <c r="A13" s="2782" t="s">
        <v>1219</v>
      </c>
    </row>
    <row r="14" spans="1:2">
      <c r="A14" s="2782" t="s">
        <v>1220</v>
      </c>
    </row>
    <row r="15" spans="1:2">
      <c r="A15" s="2782" t="s">
        <v>1221</v>
      </c>
    </row>
    <row r="16" spans="1:2">
      <c r="A16" s="2782" t="s">
        <v>1222</v>
      </c>
    </row>
    <row r="17" spans="1:4">
      <c r="A17" s="2782" t="s">
        <v>1223</v>
      </c>
      <c r="B17" s="3092" t="s">
        <v>1253</v>
      </c>
    </row>
    <row r="18" spans="1:4">
      <c r="A18" s="2782" t="s">
        <v>1224</v>
      </c>
      <c r="B18" s="3092" t="s">
        <v>906</v>
      </c>
    </row>
    <row r="19" spans="1:4">
      <c r="A19" s="2782" t="s">
        <v>1225</v>
      </c>
      <c r="B19" s="3092" t="s">
        <v>264</v>
      </c>
    </row>
    <row r="20" spans="1:4">
      <c r="A20" s="2782" t="s">
        <v>1226</v>
      </c>
      <c r="B20" s="3093">
        <v>452327109</v>
      </c>
    </row>
    <row r="21" spans="1:4">
      <c r="A21" s="2782" t="s">
        <v>1227</v>
      </c>
      <c r="B21" s="3092" t="s">
        <v>264</v>
      </c>
    </row>
    <row r="22" spans="1:4">
      <c r="A22" s="2782" t="s">
        <v>1228</v>
      </c>
      <c r="B22" s="3093">
        <v>2613990</v>
      </c>
    </row>
    <row r="23" spans="1:4">
      <c r="A23" s="2782" t="s">
        <v>72</v>
      </c>
      <c r="B23" s="3091">
        <v>238.5</v>
      </c>
    </row>
    <row r="24" spans="1:4">
      <c r="A24" s="2782" t="s">
        <v>71</v>
      </c>
      <c r="B24" s="3092" t="s">
        <v>45</v>
      </c>
      <c r="D24" s="2782" t="s">
        <v>16</v>
      </c>
    </row>
    <row r="25" spans="1:4">
      <c r="A25" s="2782" t="s">
        <v>1229</v>
      </c>
      <c r="B25" s="3092" t="s">
        <v>1256</v>
      </c>
    </row>
    <row r="26" spans="1:4">
      <c r="A26" s="2782" t="s">
        <v>1230</v>
      </c>
      <c r="B26" s="3092">
        <v>0</v>
      </c>
    </row>
    <row r="27" spans="1:4">
      <c r="A27" s="2782" t="s">
        <v>1231</v>
      </c>
      <c r="B27" s="3092" t="s">
        <v>1232</v>
      </c>
    </row>
    <row r="28" spans="1:4">
      <c r="A28" s="2782" t="s">
        <v>1233</v>
      </c>
      <c r="B28" s="3092" t="s">
        <v>1234</v>
      </c>
    </row>
    <row r="29" spans="1:4">
      <c r="A29" s="2782" t="s">
        <v>1235</v>
      </c>
    </row>
    <row r="30" spans="1:4">
      <c r="A30" s="2782" t="s">
        <v>1236</v>
      </c>
    </row>
    <row r="31" spans="1:4">
      <c r="A31" s="2782" t="s">
        <v>1237</v>
      </c>
    </row>
    <row r="32" spans="1:4">
      <c r="A32" s="2782" t="s">
        <v>1238</v>
      </c>
      <c r="B32" s="3091"/>
    </row>
    <row r="33" spans="1:2">
      <c r="A33" s="2782" t="s">
        <v>1239</v>
      </c>
      <c r="B33" s="3091"/>
    </row>
    <row r="34" spans="1:2">
      <c r="A34" s="2782" t="s">
        <v>1240</v>
      </c>
      <c r="B34" s="3091"/>
    </row>
    <row r="35" spans="1:2">
      <c r="A35" s="2782" t="s">
        <v>1241</v>
      </c>
      <c r="B35" s="3092">
        <v>1000000</v>
      </c>
    </row>
    <row r="36" spans="1:2">
      <c r="A36" s="2782" t="s">
        <v>1242</v>
      </c>
      <c r="B36" s="3092" t="s">
        <v>1254</v>
      </c>
    </row>
    <row r="37" spans="1:2">
      <c r="A37" s="2782" t="s">
        <v>1243</v>
      </c>
      <c r="B37" s="3092" t="s">
        <v>1244</v>
      </c>
    </row>
    <row r="38" spans="1:2">
      <c r="A38" s="2782" t="s">
        <v>1245</v>
      </c>
      <c r="B38" s="3092" t="s">
        <v>1246</v>
      </c>
    </row>
    <row r="39" spans="1:2">
      <c r="A39" s="2782" t="s">
        <v>1247</v>
      </c>
      <c r="B39" s="3092" t="s">
        <v>1255</v>
      </c>
    </row>
    <row r="40" spans="1:2">
      <c r="A40" s="2782" t="s">
        <v>1248</v>
      </c>
      <c r="B40" s="3092">
        <v>1500005571</v>
      </c>
    </row>
    <row r="41" spans="1:2">
      <c r="A41" s="2782" t="s">
        <v>1249</v>
      </c>
      <c r="B41" s="3092">
        <v>1</v>
      </c>
    </row>
    <row r="42" spans="1:2">
      <c r="A42" s="2783" t="s">
        <v>1250</v>
      </c>
    </row>
    <row r="43" spans="1:2">
      <c r="A43" s="2782" t="s">
        <v>1251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3"/>
  <sheetViews>
    <sheetView workbookViewId="0">
      <selection activeCell="E11" sqref="E11"/>
    </sheetView>
  </sheetViews>
  <sheetFormatPr defaultRowHeight="12.75"/>
  <cols>
    <col min="1" max="1" width="28.5703125" style="2782" bestFit="1" customWidth="1"/>
    <col min="2" max="256" width="9.140625" style="2782"/>
    <col min="257" max="257" width="28.5703125" style="2782" bestFit="1" customWidth="1"/>
    <col min="258" max="512" width="9.140625" style="2782"/>
    <col min="513" max="513" width="28.5703125" style="2782" bestFit="1" customWidth="1"/>
    <col min="514" max="768" width="9.140625" style="2782"/>
    <col min="769" max="769" width="28.5703125" style="2782" bestFit="1" customWidth="1"/>
    <col min="770" max="1024" width="9.140625" style="2782"/>
    <col min="1025" max="1025" width="28.5703125" style="2782" bestFit="1" customWidth="1"/>
    <col min="1026" max="1280" width="9.140625" style="2782"/>
    <col min="1281" max="1281" width="28.5703125" style="2782" bestFit="1" customWidth="1"/>
    <col min="1282" max="1536" width="9.140625" style="2782"/>
    <col min="1537" max="1537" width="28.5703125" style="2782" bestFit="1" customWidth="1"/>
    <col min="1538" max="1792" width="9.140625" style="2782"/>
    <col min="1793" max="1793" width="28.5703125" style="2782" bestFit="1" customWidth="1"/>
    <col min="1794" max="2048" width="9.140625" style="2782"/>
    <col min="2049" max="2049" width="28.5703125" style="2782" bestFit="1" customWidth="1"/>
    <col min="2050" max="2304" width="9.140625" style="2782"/>
    <col min="2305" max="2305" width="28.5703125" style="2782" bestFit="1" customWidth="1"/>
    <col min="2306" max="2560" width="9.140625" style="2782"/>
    <col min="2561" max="2561" width="28.5703125" style="2782" bestFit="1" customWidth="1"/>
    <col min="2562" max="2816" width="9.140625" style="2782"/>
    <col min="2817" max="2817" width="28.5703125" style="2782" bestFit="1" customWidth="1"/>
    <col min="2818" max="3072" width="9.140625" style="2782"/>
    <col min="3073" max="3073" width="28.5703125" style="2782" bestFit="1" customWidth="1"/>
    <col min="3074" max="3328" width="9.140625" style="2782"/>
    <col min="3329" max="3329" width="28.5703125" style="2782" bestFit="1" customWidth="1"/>
    <col min="3330" max="3584" width="9.140625" style="2782"/>
    <col min="3585" max="3585" width="28.5703125" style="2782" bestFit="1" customWidth="1"/>
    <col min="3586" max="3840" width="9.140625" style="2782"/>
    <col min="3841" max="3841" width="28.5703125" style="2782" bestFit="1" customWidth="1"/>
    <col min="3842" max="4096" width="9.140625" style="2782"/>
    <col min="4097" max="4097" width="28.5703125" style="2782" bestFit="1" customWidth="1"/>
    <col min="4098" max="4352" width="9.140625" style="2782"/>
    <col min="4353" max="4353" width="28.5703125" style="2782" bestFit="1" customWidth="1"/>
    <col min="4354" max="4608" width="9.140625" style="2782"/>
    <col min="4609" max="4609" width="28.5703125" style="2782" bestFit="1" customWidth="1"/>
    <col min="4610" max="4864" width="9.140625" style="2782"/>
    <col min="4865" max="4865" width="28.5703125" style="2782" bestFit="1" customWidth="1"/>
    <col min="4866" max="5120" width="9.140625" style="2782"/>
    <col min="5121" max="5121" width="28.5703125" style="2782" bestFit="1" customWidth="1"/>
    <col min="5122" max="5376" width="9.140625" style="2782"/>
    <col min="5377" max="5377" width="28.5703125" style="2782" bestFit="1" customWidth="1"/>
    <col min="5378" max="5632" width="9.140625" style="2782"/>
    <col min="5633" max="5633" width="28.5703125" style="2782" bestFit="1" customWidth="1"/>
    <col min="5634" max="5888" width="9.140625" style="2782"/>
    <col min="5889" max="5889" width="28.5703125" style="2782" bestFit="1" customWidth="1"/>
    <col min="5890" max="6144" width="9.140625" style="2782"/>
    <col min="6145" max="6145" width="28.5703125" style="2782" bestFit="1" customWidth="1"/>
    <col min="6146" max="6400" width="9.140625" style="2782"/>
    <col min="6401" max="6401" width="28.5703125" style="2782" bestFit="1" customWidth="1"/>
    <col min="6402" max="6656" width="9.140625" style="2782"/>
    <col min="6657" max="6657" width="28.5703125" style="2782" bestFit="1" customWidth="1"/>
    <col min="6658" max="6912" width="9.140625" style="2782"/>
    <col min="6913" max="6913" width="28.5703125" style="2782" bestFit="1" customWidth="1"/>
    <col min="6914" max="7168" width="9.140625" style="2782"/>
    <col min="7169" max="7169" width="28.5703125" style="2782" bestFit="1" customWidth="1"/>
    <col min="7170" max="7424" width="9.140625" style="2782"/>
    <col min="7425" max="7425" width="28.5703125" style="2782" bestFit="1" customWidth="1"/>
    <col min="7426" max="7680" width="9.140625" style="2782"/>
    <col min="7681" max="7681" width="28.5703125" style="2782" bestFit="1" customWidth="1"/>
    <col min="7682" max="7936" width="9.140625" style="2782"/>
    <col min="7937" max="7937" width="28.5703125" style="2782" bestFit="1" customWidth="1"/>
    <col min="7938" max="8192" width="9.140625" style="2782"/>
    <col min="8193" max="8193" width="28.5703125" style="2782" bestFit="1" customWidth="1"/>
    <col min="8194" max="8448" width="9.140625" style="2782"/>
    <col min="8449" max="8449" width="28.5703125" style="2782" bestFit="1" customWidth="1"/>
    <col min="8450" max="8704" width="9.140625" style="2782"/>
    <col min="8705" max="8705" width="28.5703125" style="2782" bestFit="1" customWidth="1"/>
    <col min="8706" max="8960" width="9.140625" style="2782"/>
    <col min="8961" max="8961" width="28.5703125" style="2782" bestFit="1" customWidth="1"/>
    <col min="8962" max="9216" width="9.140625" style="2782"/>
    <col min="9217" max="9217" width="28.5703125" style="2782" bestFit="1" customWidth="1"/>
    <col min="9218" max="9472" width="9.140625" style="2782"/>
    <col min="9473" max="9473" width="28.5703125" style="2782" bestFit="1" customWidth="1"/>
    <col min="9474" max="9728" width="9.140625" style="2782"/>
    <col min="9729" max="9729" width="28.5703125" style="2782" bestFit="1" customWidth="1"/>
    <col min="9730" max="9984" width="9.140625" style="2782"/>
    <col min="9985" max="9985" width="28.5703125" style="2782" bestFit="1" customWidth="1"/>
    <col min="9986" max="10240" width="9.140625" style="2782"/>
    <col min="10241" max="10241" width="28.5703125" style="2782" bestFit="1" customWidth="1"/>
    <col min="10242" max="10496" width="9.140625" style="2782"/>
    <col min="10497" max="10497" width="28.5703125" style="2782" bestFit="1" customWidth="1"/>
    <col min="10498" max="10752" width="9.140625" style="2782"/>
    <col min="10753" max="10753" width="28.5703125" style="2782" bestFit="1" customWidth="1"/>
    <col min="10754" max="11008" width="9.140625" style="2782"/>
    <col min="11009" max="11009" width="28.5703125" style="2782" bestFit="1" customWidth="1"/>
    <col min="11010" max="11264" width="9.140625" style="2782"/>
    <col min="11265" max="11265" width="28.5703125" style="2782" bestFit="1" customWidth="1"/>
    <col min="11266" max="11520" width="9.140625" style="2782"/>
    <col min="11521" max="11521" width="28.5703125" style="2782" bestFit="1" customWidth="1"/>
    <col min="11522" max="11776" width="9.140625" style="2782"/>
    <col min="11777" max="11777" width="28.5703125" style="2782" bestFit="1" customWidth="1"/>
    <col min="11778" max="12032" width="9.140625" style="2782"/>
    <col min="12033" max="12033" width="28.5703125" style="2782" bestFit="1" customWidth="1"/>
    <col min="12034" max="12288" width="9.140625" style="2782"/>
    <col min="12289" max="12289" width="28.5703125" style="2782" bestFit="1" customWidth="1"/>
    <col min="12290" max="12544" width="9.140625" style="2782"/>
    <col min="12545" max="12545" width="28.5703125" style="2782" bestFit="1" customWidth="1"/>
    <col min="12546" max="12800" width="9.140625" style="2782"/>
    <col min="12801" max="12801" width="28.5703125" style="2782" bestFit="1" customWidth="1"/>
    <col min="12802" max="13056" width="9.140625" style="2782"/>
    <col min="13057" max="13057" width="28.5703125" style="2782" bestFit="1" customWidth="1"/>
    <col min="13058" max="13312" width="9.140625" style="2782"/>
    <col min="13313" max="13313" width="28.5703125" style="2782" bestFit="1" customWidth="1"/>
    <col min="13314" max="13568" width="9.140625" style="2782"/>
    <col min="13569" max="13569" width="28.5703125" style="2782" bestFit="1" customWidth="1"/>
    <col min="13570" max="13824" width="9.140625" style="2782"/>
    <col min="13825" max="13825" width="28.5703125" style="2782" bestFit="1" customWidth="1"/>
    <col min="13826" max="14080" width="9.140625" style="2782"/>
    <col min="14081" max="14081" width="28.5703125" style="2782" bestFit="1" customWidth="1"/>
    <col min="14082" max="14336" width="9.140625" style="2782"/>
    <col min="14337" max="14337" width="28.5703125" style="2782" bestFit="1" customWidth="1"/>
    <col min="14338" max="14592" width="9.140625" style="2782"/>
    <col min="14593" max="14593" width="28.5703125" style="2782" bestFit="1" customWidth="1"/>
    <col min="14594" max="14848" width="9.140625" style="2782"/>
    <col min="14849" max="14849" width="28.5703125" style="2782" bestFit="1" customWidth="1"/>
    <col min="14850" max="15104" width="9.140625" style="2782"/>
    <col min="15105" max="15105" width="28.5703125" style="2782" bestFit="1" customWidth="1"/>
    <col min="15106" max="15360" width="9.140625" style="2782"/>
    <col min="15361" max="15361" width="28.5703125" style="2782" bestFit="1" customWidth="1"/>
    <col min="15362" max="15616" width="9.140625" style="2782"/>
    <col min="15617" max="15617" width="28.5703125" style="2782" bestFit="1" customWidth="1"/>
    <col min="15618" max="15872" width="9.140625" style="2782"/>
    <col min="15873" max="15873" width="28.5703125" style="2782" bestFit="1" customWidth="1"/>
    <col min="15874" max="16128" width="9.140625" style="2782"/>
    <col min="16129" max="16129" width="28.5703125" style="2782" bestFit="1" customWidth="1"/>
    <col min="16130" max="16384" width="9.140625" style="2782"/>
  </cols>
  <sheetData>
    <row r="1" spans="1:1">
      <c r="A1" s="3095" t="s">
        <v>1257</v>
      </c>
    </row>
    <row r="2" spans="1:1">
      <c r="A2" s="3095" t="s">
        <v>1262</v>
      </c>
    </row>
    <row r="3" spans="1:1">
      <c r="A3" s="3095" t="s">
        <v>1263</v>
      </c>
    </row>
    <row r="4" spans="1:1">
      <c r="A4" s="3095" t="s">
        <v>1264</v>
      </c>
    </row>
    <row r="5" spans="1:1">
      <c r="A5" s="3095" t="s">
        <v>1265</v>
      </c>
    </row>
    <row r="6" spans="1:1">
      <c r="A6" s="3095" t="s">
        <v>1258</v>
      </c>
    </row>
    <row r="7" spans="1:1">
      <c r="A7" s="3095" t="s">
        <v>1266</v>
      </c>
    </row>
    <row r="8" spans="1:1">
      <c r="A8" s="3095" t="s">
        <v>1267</v>
      </c>
    </row>
    <row r="9" spans="1:1">
      <c r="A9" s="3095" t="s">
        <v>1268</v>
      </c>
    </row>
    <row r="10" spans="1:1">
      <c r="A10" s="3095" t="s">
        <v>1259</v>
      </c>
    </row>
    <row r="11" spans="1:1">
      <c r="A11" s="3095" t="s">
        <v>1269</v>
      </c>
    </row>
    <row r="12" spans="1:1">
      <c r="A12" s="3095" t="s">
        <v>1260</v>
      </c>
    </row>
    <row r="13" spans="1:1">
      <c r="A13" s="3095" t="s">
        <v>1261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"/>
  <sheetViews>
    <sheetView workbookViewId="0"/>
  </sheetViews>
  <sheetFormatPr defaultRowHeight="12.75"/>
  <sheetData>
    <row r="1" spans="1:2">
      <c r="B1" t="s">
        <v>47</v>
      </c>
    </row>
  </sheetData>
  <phoneticPr fontId="6" type="noConversion"/>
  <pageMargins left="0.75" right="0.75" top="1" bottom="1" header="0.5" footer="0.5"/>
  <pageSetup orientation="portrait" r:id="rId1"/>
  <headerFooter alignWithMargins="0"/>
  <legacyDrawing r:id="rId2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35b4316b-c37d-4195-8fe7-63d19aa1fa4d</GUID>
    <SOURCE_ALTADDRESS>$BX$139:$CN$152</SOURCE_ALTADDRESS>
    <SOURCETYPE>Table</SOURCETYPE>
    <SOURCE_OBJECTNAME>Linking_Range_97</SOURCE_OBJECTNAME>
    <OBJECTTYPE>Native</OBJECTTYPE>
    <SOURCE_SHEETCODE>Sheet7</SOURCE_SHEETCODE>
    <SOURCE_SHEETNAME>OrgRev</SOURCE_SHEETNAME>
    <SOURCEAPPLICATION>EXCEL_SOURCE</SOURCEAPPLICATION>
    <UPDATEDAT>4/15/2015 12:54:55 PM</UPDATEDAT>
    <SOURCE_ISOUTOFDATE>False</SOURCE_ISOUTOFDATE>
    <SOURCE_WORKBOOKNAME>ILMN.xls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/MSResearch/Content/ExternalAssets/2015-04/Images/omYL6aqzjU2SpjGRNPc69w--.png</TARGET_BINARYFULLNAME>
    <TARGET_STORYFULLNAME>/MSResearch/Content/ExternalAssets/2015-04/Sections/20150407_055856_Linking_Range_97.xml</TARGET_STORYFULLNAME>
    <TARGET_UUID>49a11818-dd71-11e4-9cfb-6eb77350c59b</TARGET_UUID>
    <LINKSTATUS>Unknown</LINKSTATUS>
    <TRANSPARENTBACKGROUND>False</TRANSPARENTBACKGROUND>
    <TRANSPARENTPLOTAREA>False</TRANSPARENTPLOTAREA>
  </Link>
  <Link>
    <GUID>b503d470-ce90-4bb2-82e7-0621bb09b5fa</GUID>
    <SOURCE_ALTADDRESS>$A$7:$BU$64</SOURCE_ALTADDRESS>
    <SOURCETYPE>Table</SOURCETYPE>
    <SOURCE_OBJECTNAME>Linking_Range_67</SOURCE_OBJECTNAME>
    <OBJECTTYPE>Native</OBJECTTYPE>
    <SOURCE_SHEETCODE>Sheet1</SOURCE_SHEETCODE>
    <SOURCE_SHEETNAME>IS</SOURCE_SHEETNAME>
    <SOURCEAPPLICATION>EXCEL_SOURCE</SOURCEAPPLICATION>
    <UPDATEDAT>4/21/2015 9:33:26 PM</UPDATEDAT>
    <SOURCE_ISOUTOFDATE>False</SOURCE_ISOUTOFDATE>
    <SOURCE_WORKBOOKNAME>ILMN.xls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/MSResearch/Content/ExternalAssets/2015-04/Images/ifx8tErxHE_SE-FNF8W22Q--.png</TARGET_BINARYFULLNAME>
    <TARGET_STORYFULLNAME>/MSResearch/Content/ExternalAssets/2015-04/Sections/20150416_113259_Linking_Range_67.xml</TARGET_STORYFULLNAME>
    <TARGET_UUID>dcee0d5a-e44d-11e4-8428-e799a3b9280a</TARGET_UUID>
    <LINKSTATUS>Unknown</LINKSTATUS>
  </Link>
  <Link>
    <GUID>99bd6257-13fe-4b22-b892-303cae522aa7</GUID>
    <SOURCE_ALTADDRESS>$A$6:$BU$167</SOURCE_ALTADDRESS>
    <SOURCETYPE>Table</SOURCETYPE>
    <SOURCE_OBJECTNAME>Linking_Range_68</SOURCE_OBJECTNAME>
    <OBJECTTYPE>Native</OBJECTTYPE>
    <SOURCE_SHEETCODE>Sheet2</SOURCE_SHEETCODE>
    <SOURCE_SHEETNAME>RevBuild</SOURCE_SHEETNAME>
    <SOURCEAPPLICATION>EXCEL_SOURCE</SOURCEAPPLICATION>
    <UPDATEDAT>4/21/2015 9:33:32 PM</UPDATEDAT>
    <SOURCE_ISOUTOFDATE>False</SOURCE_ISOUTOFDATE>
    <SOURCE_WORKBOOKNAME>ILMN.xls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/MSResearch/Content/ExternalAssets/2015-04/Images/0Cb0ryTQj0mQvN1K43TOww--.png</TARGET_BINARYFULLNAME>
    <TARGET_STORYFULLNAME>/MSResearch/Content/ExternalAssets/2015-04/Sections/20150416_113449_Linking_Range_68.xml</TARGET_STORYFULLNAME>
    <TARGET_UUID>1e346e30-e44e-11e4-8428-e799a3b9280a</TARGET_UUID>
    <LINKSTATUS>Unknown</LINKSTATUS>
  </Link>
  <Link>
    <GUID>b63000ab-193b-44c8-a67d-f1f33e7cbe91</GUID>
    <SOURCE_ALTADDRESS>$H$12:$I$24</SOURCE_ALTADDRESS>
    <SOURCETYPE>Table</SOURCETYPE>
    <SOURCE_OBJECTNAME>Linking_Range_95</SOURCE_OBJECTNAME>
    <OBJECTTYPE>Native</OBJECTTYPE>
    <SOURCE_SHEETCODE>Sheet12</SOURCE_SHEETCODE>
    <SOURCE_SHEETNAME>EPS Charts</SOURCE_SHEETNAME>
    <SOURCEAPPLICATION>EXCEL_SOURCE</SOURCEAPPLICATION>
    <UPDATEDAT>4/21/2015 9:33:32 PM</UPDATEDAT>
    <SOURCE_ISOUTOFDATE>False</SOURCE_ISOUTOFDATE>
    <SOURCE_WORKBOOKNAME>ILMN.xls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/MSResearch/Content/ExternalAssets/2015-04/Images/n3aae23dRkSa1sbY5oTBCw--.png</TARGET_BINARYFULLNAME>
    <TARGET_STORYFULLNAME>/MSResearch/Content/ExternalAssets/2015-04/Sections/20150416_105923_Linking_Range_95.xml</TARGET_STORYFULLNAME>
    <TARGET_UUID>2b46378e-e449-11e4-8428-e799a3b9280a</TARGET_UUID>
    <TRANSPARENTBACKGROUND>False</TRANSPARENTBACKGROUND>
    <TRANSPARENTPLOTAREA>False</TRANSPARENTPLOTAREA>
    <LINKSTATUS>Unknown</LINKSTATUS>
  </Link>
  <Link>
    <GUID>f8cfd17a-a664-417c-b069-dd5ad4fd51d1</GUID>
    <SOURCE_ALTADDRESS>$O$40:$S$63</SOURCE_ALTADDRESS>
    <SOURCETYPE>Table</SOURCETYPE>
    <SOURCE_OBJECTNAME>Linking_Range_82</SOURCE_OBJECTNAME>
    <OBJECTTYPE>Native</OBJECTTYPE>
    <SOURCE_SHEETCODE>Sheet23</SOURCE_SHEETCODE>
    <SOURCE_SHEETNAME>Q Variance</SOURCE_SHEETNAME>
    <SOURCEAPPLICATION>EXCEL_SOURCE</SOURCEAPPLICATION>
    <UPDATEDAT>4/21/2015 9:33:33 PM</UPDATEDAT>
    <SOURCE_ISOUTOFDATE>False</SOURCE_ISOUTOFDATE>
    <SOURCE_WORKBOOKNAME>ILMN.xls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/MSResearch/Content/ExternalAssets/2015-04/Images/-Y-CZesr8kyRCwDQit62IQ--.png</TARGET_BINARYFULLNAME>
    <TARGET_STORYFULLNAME>/MSResearch/Content/ExternalAssets/2015-04/Sections/20150407_060220_Linking_Range_82.xml</TARGET_STORYFULLNAME>
    <TARGET_UUID>c307f0be-dd71-11e4-9cfb-6eb77350c59b</TARGET_UUID>
    <LINKSTATUS>Unknown</LINKSTATUS>
  </Link>
  <Link>
    <GUID>183d5442-c189-4da6-bca1-aa003c8fb2f8</GUID>
    <SOURCE_ALTADDRESS>$A$11:$J$34</SOURCE_ALTADDRESS>
    <SOURCETYPE>Table</SOURCETYPE>
    <SOURCE_OBJECTNAME>Linking_Range_48</SOURCE_OBJECTNAME>
    <OBJECTTYPE>Native</OBJECTTYPE>
    <SOURCE_SHEETCODE>Sheet23</SOURCE_SHEETCODE>
    <SOURCE_SHEETNAME>Q Variance</SOURCE_SHEETNAME>
    <SOURCEAPPLICATION>EXCEL_SOURCE</SOURCEAPPLICATION>
    <UPDATEDAT>4/21/2015 9:33:37 PM</UPDATEDAT>
    <SOURCE_ISOUTOFDATE>False</SOURCE_ISOUTOFDATE>
    <SOURCE_WORKBOOKNAME>ILMN.xls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/MSResearch/Content/ExternalAssets/2015-04/Images/PJ8-w52McUSgbLvnDpjmsA--.png</TARGET_BINARYFULLNAME>
    <TARGET_STORYFULLNAME>/MSResearch/Content/ExternalAssets/2015-04/Sections/20150407_060154_Linking_Range_48.xml</TARGET_STORYFULLNAME>
    <TARGET_UUID>b3ed2478-dd71-11e4-9cfb-6eb77350c59b</TARGET_UUID>
    <TRANSPARENTBACKGROUND>False</TRANSPARENTBACKGROUND>
    <TRANSPARENTPLOTAREA>False</TRANSPARENTPLOTAREA>
    <LINKSTATUS>Unknown</LINKSTATUS>
  </Link>
  <Link>
    <GUID>307ce5e3-d122-463f-8786-79063f476db7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4/21/2015 9:59:39 PM</UPDATEDAT>
    <SOURCE_ISOUTOFDATE>False</SOURCE_ISOUTOFDATE>
    <SOURCE_WORKBOOKNAME>ILMN.xls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/MSResearch/Content/ExternalAssets/2015-04/Images/XMO835RQskW0UqXyKmFk2Q--.png</TARGET_BINARYFULLNAME>
    <TARGET_STORYFULLNAME>/MSResearch/Content/ExternalAssets/2015-04/Sections/20150407_055816_MWA_Risk_Reward.xml</TARGET_STORYFULLNAME>
    <TARGET_UUID>318ef722-dd71-11e4-9cfb-6eb77350c59b</TARGET_UUID>
    <LINKSTATUS>Unknown</LINKSTATUS>
    <HIDEGRIDLINES>False</HIDEGRIDLINES>
  </Link>
  <Link>
    <GUID>ee89c4dc-fb02-4251-ab11-015090786e64</GUID>
    <SOURCE_ALTADDRESS>$BX$140:$CN$155</SOURCE_ALTADDRESS>
    <SOURCETYPE>Table</SOURCETYPE>
    <SOURCE_OBJECTNAME>Linking_Range_105</SOURCE_OBJECTNAME>
    <OBJECTTYPE>Native</OBJECTTYPE>
    <SOURCE_SHEETCODE>Sheet7</SOURCE_SHEETCODE>
    <SOURCE_SHEETNAME>OrgRev</SOURCE_SHEETNAME>
    <SOURCEAPPLICATION>EXCEL_SOURCE</SOURCEAPPLICATION>
    <UPDATEDAT>4/21/2015 10:03:15 PM</UPDATEDAT>
    <SOURCE_ISOUTOFDATE>False</SOURCE_ISOUTOFDATE>
    <SOURCE_WORKBOOKNAME>ILMN.xls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/MSResearch/Content/ExternalAssets/2015-04/Images/nkUApqYzCU_7EA2PGDNmJw--.png</TARGET_BINARYFULLNAME>
    <TARGET_STORYFULLNAME>/MSResearch/Content/ExternalAssets/2015-04/Sections/20150414_111243_Linking_Range_105.xml</TARGET_STORYFULLNAME>
    <TARGET_UUID>b32adcd2-e2b8-11e4-8428-e799a3b9280a</TARGET_UUID>
    <TRANSPARENTBACKGROUND>False</TRANSPARENTBACKGROUND>
    <TRANSPARENTPLOTAREA>False</TRANSPARENTPLOTAREA>
    <LINKSTATUS>Unknown</LINKSTATUS>
  </Link>
  <Link>
    <GUID>3ff68aca-5034-4c12-9cc1-89d546c69507</GUID>
    <SOURCE_ALTADDRESS>$BZ$41:$CP$51</SOURCE_ALTADDRESS>
    <SOURCETYPE>Table</SOURCETYPE>
    <SOURCE_OBJECTNAME>Linking_Range_106</SOURCE_OBJECTNAME>
    <OBJECTTYPE>Native</OBJECTTYPE>
    <SOURCE_SHEETCODE>Sheet2</SOURCE_SHEETCODE>
    <SOURCE_SHEETNAME>RevBuild</SOURCE_SHEETNAME>
    <SOURCEAPPLICATION>EXCEL_SOURCE</SOURCEAPPLICATION>
    <UPDATEDAT>4/21/2015 10:04:58 PM</UPDATEDAT>
    <SOURCE_ISOUTOFDATE>False</SOURCE_ISOUTOFDATE>
    <SOURCE_WORKBOOKNAME>ILMN.xls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/MSResearch/Content/ExternalAssets/2015-04/Images/fcPoGlxEkE_Ey6fTMkBa5g--.png</TARGET_BINARYFULLNAME>
    <TARGET_STORYFULLNAME>/MSResearch/Content/ExternalAssets/2015-04/Sections/20150414_043032_Linking_Range_106.xml</TARGET_STORYFULLNAME>
    <TARGET_UUID>19591d08-e2e5-11e4-8428-e799a3b9280a</TARGET_UUID>
    <LINKSTATUS>Unknown</LINKSTATUS>
    <TRANSPARENTBACKGROUND>False</TRANSPARENTBACKGROUND>
    <TRANSPARENTPLOTAREA>False</TRANSPARENTPLOTAREA>
  </Link>
  <Link>
    <GUID>62b55a75-3e2b-437e-b068-992380af93bd</GUID>
    <SOURCETYPE>Chart</SOURCETYPE>
    <SOURCE_OBJECTNAME>Chart 1sdDC</SOURCE_OBJECTNAME>
    <SOURCE_SHEETCODE>Sheet7</SOURCE_SHEETCODE>
    <SOURCE_SHEETNAME>OrgRev</SOURCE_SHEETNAME>
    <OBJECTTYPE>Native</OBJECTTYPE>
    <SOURCEAPPLICATION>EXCEL_SOURCE</SOURCEAPPLICATION>
    <UPDATEDAT>4/21/2015 10:07:01 PM</UPDATEDAT>
    <SOURCE_ISOUTOFDATE>False</SOURCE_ISOUTOFDATE>
    <SOURCE_WORKBOOKNAME>ILMN.xls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/MSResearch/Content/ExternalAssets/2015-04/Images/Ewst6xFaFE65bOL0O7NNPw--.png</TARGET_BINARYFULLNAME>
    <TARGET_STORYFULLNAME>/MSResearch/Content/ExternalAssets/2015-04/Sections/20150416_112138_Chart1sdDC.xml</TARGET_STORYFULLNAME>
    <TARGET_UUID>469b5d36-e44c-11e4-8428-e799a3b9280a</TARGET_UUID>
    <LINKSTATUS>Unknown</LINKSTATUS>
  </Link>
  <Link>
    <GUID>8c3825bc-329c-415b-a8c7-5b0263a210ce</GUID>
    <SOURCETYPE>Chart</SOURCETYPE>
    <SOURCE_OBJECTNAME>dfas</SOURCE_OBJECTNAME>
    <SOURCE_SHEETCODE>Sheet7</SOURCE_SHEETCODE>
    <SOURCE_SHEETNAME>OrgRev</SOURCE_SHEETNAME>
    <OBJECTTYPE>Native</OBJECTTYPE>
    <SOURCEAPPLICATION>EXCEL_SOURCE</SOURCEAPPLICATION>
    <UPDATEDAT>4/21/2015 10:07:09 PM</UPDATEDAT>
    <SOURCE_ISOUTOFDATE>False</SOURCE_ISOUTOFDATE>
    <SOURCE_WORKBOOKNAME>ILMN.xls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/MSResearch/Content/ExternalAssets/2015-04/Images/pHh-ENrhIEip-FRcGSTkOw--.png</TARGET_BINARYFULLNAME>
    <TARGET_STORYFULLNAME>/MSResearch/Content/ExternalAssets/2015-04/Sections/20150416_112111_dfas.xml</TARGET_STORYFULLNAME>
    <TARGET_UUID>368f5014-e44c-11e4-8428-e799a3b9280a</TARGET_UUID>
    <LINKSTATUS>Unknown</LINKSTATUS>
  </Link>
  <Link>
    <GUID>3fc1a9c0-2b64-43c0-a04e-f4988599ad6f</GUID>
    <SOURCETYPE>Chart</SOURCETYPE>
    <SOURCE_OBJECTNAME>ILMN EBIT</SOURCE_OBJECTNAME>
    <SOURCE_SHEETCODE>Sheet12</SOURCE_SHEETCODE>
    <SOURCE_SHEETNAME>EPS Charts</SOURCE_SHEETNAME>
    <OBJECTTYPE>Native</OBJECTTYPE>
    <SOURCEAPPLICATION>EXCEL_SOURCE</SOURCEAPPLICATION>
    <UPDATEDAT>4/21/2015 10:08:07 PM</UPDATEDAT>
    <SOURCE_ISOUTOFDATE>False</SOURCE_ISOUTOFDATE>
    <SOURCE_WORKBOOKNAME>ILMN.xls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/MSResearch/Content/ExternalAssets/2015-04/Images/jT0s-_00P0CUr9Cwv-VTyQ--.png</TARGET_BINARYFULLNAME>
    <TARGET_STORYFULLNAME>/MSResearch/Content/ExternalAssets/2015-04/Sections/20150416_110527_ILMNEBIT.xml</TARGET_STORYFULLNAME>
    <TARGET_UUID>03f3c9b6-e44a-11e4-8428-e799a3b9280a</TARGET_UUID>
    <LINKSTATUS>Unknown</LINKSTATUS>
  </Link>
  <Link>
    <GUID>e5bdb9b7-57fa-412b-9ad4-feb6c3f92fd9</GUID>
    <SOURCE_ALTADDRESS>$A$5:$O$16</SOURCE_ALTADDRESS>
    <SOURCETYPE>Table</SOURCETYPE>
    <SOURCE_OBJECTNAME>Linking_Range_89</SOURCE_OBJECTNAME>
    <OBJECTTYPE>Native</OBJECTTYPE>
    <SOURCE_SHEETCODE>Sheet14</SOURCE_SHEETCODE>
    <SOURCE_SHEETNAME>Consensus</SOURCE_SHEETNAME>
    <SOURCEAPPLICATION>EXCEL_SOURCE</SOURCEAPPLICATION>
    <UPDATEDAT>4/21/2015 10:10:37 PM</UPDATEDAT>
    <SOURCE_ISOUTOFDATE>False</SOURCE_ISOUTOFDATE>
    <SOURCE_WORKBOOKNAME>ILMN.xls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/MSResearch/Content/ExternalAssets/2015-04/Images/TW9BkNaN9Eq5VARRxNSgqA--.png</TARGET_BINARYFULLNAME>
    <TARGET_STORYFULLNAME>/MSResearch/Content/ExternalAssets/2015-04/Sections/20150416_111040_Linking_Range_89.xml</TARGET_STORYFULLNAME>
    <TARGET_UUID>beb2a1be-e44a-11e4-8428-e799a3b9280a</TARGET_UUID>
    <TRANSPARENTBACKGROUND>False</TRANSPARENTBACKGROUND>
    <TRANSPARENTPLOTAREA>False</TRANSPARENTPLOTAREA>
    <LINKSTATUS>Unknown</LINKSTATUS>
  </Link>
  <Link>
    <GUID>30ad30ec-26a8-49b0-a479-30372469c885</GUID>
    <SOURCE_ALTADDRESS>$K$39:$R$79</SOURCE_ALTADDRESS>
    <SOURCETYPE>Table</SOURCETYPE>
    <SOURCE_OBJECTNAME>Linking_Range_98</SOURCE_OBJECTNAME>
    <OBJECTTYPE>Native</OBJECTTYPE>
    <SOURCE_SHEETCODE>Sheet12</SOURCE_SHEETCODE>
    <SOURCE_SHEETNAME>EPS Charts</SOURCE_SHEETNAME>
    <SOURCEAPPLICATION>EXCEL_SOURCE</SOURCEAPPLICATION>
    <UPDATEDAT>4/21/2015 10:13:43 PM</UPDATEDAT>
    <SOURCE_ISOUTOFDATE>False</SOURCE_ISOUTOFDATE>
    <SOURCE_WORKBOOKNAME>ILMN.xls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/MSResearch/Content/ExternalAssets/2015-04/Images/ewDVlzKyJUeH4jhXjiqD5A--.png</TARGET_BINARYFULLNAME>
    <TARGET_STORYFULLNAME>/MSResearch/Content/ExternalAssets/2015-04/Sections/20150416_111329_Linking_Range_98.xml</TARGET_STORYFULLNAME>
    <TARGET_UUID>233ee0de-e44b-11e4-8428-e799a3b9280a</TARGET_UUID>
    <LINKSTATUS>Unknown</LINKSTATUS>
  </Link>
  <Link>
    <GUID>d81b8a00-fffe-4c24-a0c5-427be50be74e</GUID>
    <SOURCE_ALTADDRESS>$A$7:$BO$64</SOURCE_ALTADDRESS>
    <SOURCETYPE>Table</SOURCETYPE>
    <SOURCE_OBJECTNAME>Linking_Range_32</SOURCE_OBJECTNAME>
    <OBJECTTYPE>Native</OBJECTTYPE>
    <SOURCE_SHEETCODE>Sheet1</SOURCE_SHEETCODE>
    <SOURCE_SHEETNAME>IS</SOURCE_SHEETNAME>
    <SOURCEAPPLICATION>EXCEL_SOURCE</SOURCEAPPLICATION>
    <UPDATEDAT>4/21/2015 10:59:19 PM</UPDATEDAT>
    <SOURCE_ISOUTOFDATE>False</SOURCE_ISOUTOFDATE>
    <SOURCE_WORKBOOKNAME>ILMN.xls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/MSResearch/Content/ExternalAssets/2015-04/Images/5yqsn6YjB0CyXkTnwpwR5g--.png</TARGET_BINARYFULLNAME>
    <TARGET_STORYFULLNAME>/MSResearch/Content/ExternalAssets/2015-04/Sections/20150421_105917_Linking_Range_32.xml</TARGET_STORYFULLNAME>
    <TARGET_UUID>90ad679a-e89b-11e4-b44c-544b7b2f2e67</TARGET_UUID>
  </Link>
  <Link>
    <GUID>18f8d905-002f-4bc8-9b77-57d28a1acdaf</GUID>
    <SOURCE_ALTADDRESS>$A$6:$BO$167</SOURCE_ALTADDRESS>
    <SOURCETYPE>Table</SOURCETYPE>
    <SOURCE_OBJECTNAME>Linking_Range_47</SOURCE_OBJECTNAME>
    <OBJECTTYPE>Native</OBJECTTYPE>
    <SOURCE_SHEETCODE>Sheet2</SOURCE_SHEETCODE>
    <SOURCE_SHEETNAME>RevBuild</SOURCE_SHEETNAME>
    <SOURCEAPPLICATION>EXCEL_SOURCE</SOURCEAPPLICATION>
    <UPDATEDAT>4/21/2015 11:00:14 PM</UPDATEDAT>
    <SOURCE_ISOUTOFDATE>False</SOURCE_ISOUTOFDATE>
    <SOURCE_WORKBOOKNAME>ILMN.xls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/MSResearch/Content/ExternalAssets/2015-04/Images/6jKNDnmt80eE11uGq9966A--.png</TARGET_BINARYFULLNAME>
    <TARGET_STORYFULLNAME>/MSResearch/Content/ExternalAssets/2015-04/Sections/20150421_110011_Linking_Range_47.xml</TARGET_STORYFULLNAME>
    <TARGET_UUID>b0f3b5ea-e89b-11e4-b44c-544b7b2f2e67</TARGET_UUID>
  </Link>
</lk:Links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CF80021B-7B5A-46A0-B1C7-919808CF8DF2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89F1AD41-5973-4C35-9639-783EE0255938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173</vt:i4>
      </vt:variant>
    </vt:vector>
  </HeadingPairs>
  <TitlesOfParts>
    <vt:vector size="182" baseType="lpstr">
      <vt:lpstr>ImportantDisclosures</vt:lpstr>
      <vt:lpstr>IS</vt:lpstr>
      <vt:lpstr>RevBuild</vt:lpstr>
      <vt:lpstr>BS</vt:lpstr>
      <vt:lpstr>CFS</vt:lpstr>
      <vt:lpstr>Debt</vt:lpstr>
      <vt:lpstr>End_Mkts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End_Mkts!Linking_1</vt:lpstr>
      <vt:lpstr>Linking_1</vt:lpstr>
      <vt:lpstr>Linking_15</vt:lpstr>
      <vt:lpstr>Linking_18</vt:lpstr>
      <vt:lpstr>Linking_20</vt:lpstr>
      <vt:lpstr>Linking_21</vt:lpstr>
      <vt:lpstr>Linking_22</vt:lpstr>
      <vt:lpstr>Linking_31</vt:lpstr>
      <vt:lpstr>Linking_32</vt:lpstr>
      <vt:lpstr>Linking_36</vt:lpstr>
      <vt:lpstr>Linking_37</vt:lpstr>
      <vt:lpstr>Linking_47</vt:lpstr>
      <vt:lpstr>Linking_49</vt:lpstr>
      <vt:lpstr>Linking_51</vt:lpstr>
      <vt:lpstr>Linking_52</vt:lpstr>
      <vt:lpstr>Linking_Range_10</vt:lpstr>
      <vt:lpstr>End_Mkts!Linking_Range_100</vt:lpstr>
      <vt:lpstr>Linking_Range_100</vt:lpstr>
      <vt:lpstr>Linking_Range_101</vt:lpstr>
      <vt:lpstr>Linking_Range_102</vt:lpstr>
      <vt:lpstr>Linking_Range_104</vt:lpstr>
      <vt:lpstr>Linking_Range_106</vt:lpstr>
      <vt:lpstr>Linking_Range_107</vt:lpstr>
      <vt:lpstr>Linking_Range_109</vt:lpstr>
      <vt:lpstr>Linking_Range_11</vt:lpstr>
      <vt:lpstr>Linking_Range_110</vt:lpstr>
      <vt:lpstr>End_Mkts!Linking_Range_111</vt:lpstr>
      <vt:lpstr>Linking_Range_111</vt:lpstr>
      <vt:lpstr>End_Mkts!Linking_Range_112</vt:lpstr>
      <vt:lpstr>Linking_Range_112</vt:lpstr>
      <vt:lpstr>End_Mkts!Linking_Range_113</vt:lpstr>
      <vt:lpstr>Linking_Range_113</vt:lpstr>
      <vt:lpstr>End_Mkts!Linking_Range_115</vt:lpstr>
      <vt:lpstr>Linking_Range_115</vt:lpstr>
      <vt:lpstr>Linking_Range_116</vt:lpstr>
      <vt:lpstr>End_Mkts!Linking_Range_117</vt:lpstr>
      <vt:lpstr>Linking_Range_117</vt:lpstr>
      <vt:lpstr>Linking_Range_118</vt:lpstr>
      <vt:lpstr>Linking_Range_119</vt:lpstr>
      <vt:lpstr>Linking_Range_120</vt:lpstr>
      <vt:lpstr>Linking_Range_121</vt:lpstr>
      <vt:lpstr>Linking_Range_122</vt:lpstr>
      <vt:lpstr>Linking_Range_13</vt:lpstr>
      <vt:lpstr>Linking_Range_14</vt:lpstr>
      <vt:lpstr>Linking_Range_22</vt:lpstr>
      <vt:lpstr>Linking_Range_23</vt:lpstr>
      <vt:lpstr>Linking_Range_24</vt:lpstr>
      <vt:lpstr>Linking_Range_25</vt:lpstr>
      <vt:lpstr>End_Mkts!Linking_Range_26</vt:lpstr>
      <vt:lpstr>Linking_Range_26</vt:lpstr>
      <vt:lpstr>Linking_Range_27</vt:lpstr>
      <vt:lpstr>Linking_Range_29</vt:lpstr>
      <vt:lpstr>Linking_Range_32</vt:lpstr>
      <vt:lpstr>End_Mkts!Linking_Range_33</vt:lpstr>
      <vt:lpstr>Linking_Range_33</vt:lpstr>
      <vt:lpstr>Linking_Range_34</vt:lpstr>
      <vt:lpstr>Linking_Range_35</vt:lpstr>
      <vt:lpstr>End_Mkts!Linking_Range_37</vt:lpstr>
      <vt:lpstr>Linking_Range_37</vt:lpstr>
      <vt:lpstr>End_Mkts!Linking_Range_38</vt:lpstr>
      <vt:lpstr>Linking_Range_38</vt:lpstr>
      <vt:lpstr>Linking_Range_39</vt:lpstr>
      <vt:lpstr>Linking_Range_4</vt:lpstr>
      <vt:lpstr>Linking_Range_40</vt:lpstr>
      <vt:lpstr>Linking_Range_42</vt:lpstr>
      <vt:lpstr>Linking_Range_43</vt:lpstr>
      <vt:lpstr>Linking_Range_44</vt:lpstr>
      <vt:lpstr>Linking_Range_45</vt:lpstr>
      <vt:lpstr>End_Mkts!Linking_Range_46</vt:lpstr>
      <vt:lpstr>Linking_Range_46</vt:lpstr>
      <vt:lpstr>End_Mkts!Linking_Range_47</vt:lpstr>
      <vt:lpstr>Linking_Range_47</vt:lpstr>
      <vt:lpstr>Linking_Range_49</vt:lpstr>
      <vt:lpstr>Linking_Range_5</vt:lpstr>
      <vt:lpstr>Linking_Range_52</vt:lpstr>
      <vt:lpstr>End_Mkts!Linking_Range_53</vt:lpstr>
      <vt:lpstr>Linking_Range_53</vt:lpstr>
      <vt:lpstr>End_Mkts!Linking_Range_54</vt:lpstr>
      <vt:lpstr>Linking_Range_54</vt:lpstr>
      <vt:lpstr>Linking_Range_56</vt:lpstr>
      <vt:lpstr>Linking_Range_6</vt:lpstr>
      <vt:lpstr>Linking_Range_67</vt:lpstr>
      <vt:lpstr>End_Mkts!Linking_Range_68</vt:lpstr>
      <vt:lpstr>Linking_Range_68</vt:lpstr>
      <vt:lpstr>Linking_Range_69</vt:lpstr>
      <vt:lpstr>End_Mkts!Linking_Range_7</vt:lpstr>
      <vt:lpstr>Linking_Range_7</vt:lpstr>
      <vt:lpstr>Linking_Range_70</vt:lpstr>
      <vt:lpstr>Linking_Range_72</vt:lpstr>
      <vt:lpstr>End_Mkts!Linking_Range_78</vt:lpstr>
      <vt:lpstr>Linking_Range_78</vt:lpstr>
      <vt:lpstr>Linking_Range_8</vt:lpstr>
      <vt:lpstr>Linking_Range_85</vt:lpstr>
      <vt:lpstr>Linking_Range_86</vt:lpstr>
      <vt:lpstr>Linking_Range_87</vt:lpstr>
      <vt:lpstr>Linking_Range_9</vt:lpstr>
      <vt:lpstr>Linking_Range_90</vt:lpstr>
      <vt:lpstr>End_Mkts!Linking_Range_91</vt:lpstr>
      <vt:lpstr>Linking_Range_91</vt:lpstr>
      <vt:lpstr>End_Mkts!Linking_Range_96</vt:lpstr>
      <vt:lpstr>Linking_Range_96</vt:lpstr>
      <vt:lpstr>Linking_Range_99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IS!Print_Area</vt:lpstr>
      <vt:lpstr>RevBuild!Print_Area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2011-09-27T21:09:41Z</dcterms:created>
  <dc:creator>gorinaar</dc:creator>
  <cp:lastModifiedBy>Wachter, Zachary (Research)</cp:lastModifiedBy>
  <cp:lastPrinted>2018-04-25T01:51:09Z</cp:lastPrinted>
  <dcterms:modified xsi:type="dcterms:W3CDTF">2018-04-25T13:28:41Z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{A44787D4-0540-4523-9961-78E4036D8C6D}" pid="2">
    <vt:lpwstr>{05DB24E5-7E1E-461D-8D29-56B1109300A7}</vt:lpwstr>
  </property>
  <property fmtid="{D5CDD505-2E9C-101B-9397-08002B2CF9AE}" name="LinkingAutoNameNumberLinking_Range_" pid="3">
    <vt:lpwstr>124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763989</vt:lpwstr>
  </property>
  <property fmtid="{D5CDD505-2E9C-101B-9397-08002B2CF9AE}" name="ERModPubCompanyName" pid="7">
    <vt:lpwstr>Illumina Inc.</vt:lpwstr>
  </property>
  <property fmtid="{D5CDD505-2E9C-101B-9397-08002B2CF9AE}" name="MSDH34TAG" pid="8">
    <vt:lpwstr>.TEZUF76X5TAHATHESADREYAK-00-INB160+*94600-06=962d2d82/-488c/-11e8/-adef/-6a0a1ce82510,MD=20180425093839/-0400,ZZ=000Z-3702.</vt:lpwstr>
  </property>
</Properties>
</file>